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S:\Performance_Management_Unit\8_Team_Members\11_Rob_Jordan\Disclosure Data\FY 2024 Q1\Public DD Files\"/>
    </mc:Choice>
  </mc:AlternateContent>
  <xr:revisionPtr revIDLastSave="0" documentId="13_ncr:1_{12AA9577-5634-46D8-9A5D-578A33F54361}" xr6:coauthVersionLast="47" xr6:coauthVersionMax="47" xr10:uidLastSave="{00000000-0000-0000-0000-000000000000}"/>
  <bookViews>
    <workbookView xWindow="-120" yWindow="-120" windowWidth="29040" windowHeight="15720" xr2:uid="{00000000-000D-0000-FFFF-FFFF00000000}"/>
  </bookViews>
  <sheets>
    <sheet name="H-2B_Disclosure_Data_FY2024_Q1" sheetId="1" r:id="rId1"/>
  </sheets>
  <definedNames>
    <definedName name="_xlnm._FilterDatabase" localSheetId="0" hidden="1">'H-2B_Disclosure_Data_FY2024_Q1'!$A$1:$DI$2401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71" i="1" l="1"/>
  <c r="V871" i="1"/>
  <c r="AJ871" i="1"/>
  <c r="AX871" i="1"/>
  <c r="BQ871" i="1"/>
  <c r="BR871" i="1"/>
  <c r="CC871" i="1"/>
  <c r="CW871" i="1"/>
  <c r="G2014" i="1"/>
  <c r="V2014" i="1"/>
  <c r="AJ2014" i="1"/>
  <c r="AX2014" i="1"/>
  <c r="BQ2014" i="1"/>
  <c r="BR2014" i="1"/>
  <c r="CC2014" i="1"/>
  <c r="CW2014" i="1"/>
  <c r="G1397" i="1"/>
  <c r="V1397" i="1"/>
  <c r="AJ1397" i="1"/>
  <c r="AX1397" i="1"/>
  <c r="BQ1397" i="1"/>
  <c r="BR1397" i="1"/>
  <c r="CC1397" i="1"/>
  <c r="CW1397" i="1"/>
  <c r="G1013" i="1"/>
  <c r="V1013" i="1"/>
  <c r="AJ1013" i="1"/>
  <c r="AX1013" i="1"/>
  <c r="BQ1013" i="1"/>
  <c r="BR1013" i="1"/>
  <c r="CC1013" i="1"/>
  <c r="CW1013" i="1"/>
  <c r="G1337" i="1"/>
  <c r="V1337" i="1"/>
  <c r="AJ1337" i="1"/>
  <c r="AX1337" i="1"/>
  <c r="BQ1337" i="1"/>
  <c r="BR1337" i="1"/>
  <c r="CC1337" i="1"/>
  <c r="CW1337" i="1"/>
  <c r="G1645" i="1"/>
  <c r="V1645" i="1"/>
  <c r="AJ1645" i="1"/>
  <c r="AX1645" i="1"/>
  <c r="BQ1645" i="1"/>
  <c r="BR1645" i="1"/>
  <c r="CC1645" i="1"/>
  <c r="CW1645" i="1"/>
  <c r="G2060" i="1"/>
  <c r="V2060" i="1"/>
  <c r="AJ2060" i="1"/>
  <c r="AX2060" i="1"/>
  <c r="BQ2060" i="1"/>
  <c r="BR2060" i="1"/>
  <c r="CC2060" i="1"/>
  <c r="CW2060" i="1"/>
  <c r="G873" i="1"/>
  <c r="V873" i="1"/>
  <c r="AJ873" i="1"/>
  <c r="AX873" i="1"/>
  <c r="BQ873" i="1"/>
  <c r="BR873" i="1"/>
  <c r="CC873" i="1"/>
  <c r="CW873" i="1"/>
  <c r="G1682" i="1"/>
  <c r="V1682" i="1"/>
  <c r="AJ1682" i="1"/>
  <c r="AX1682" i="1"/>
  <c r="BQ1682" i="1"/>
  <c r="BR1682" i="1"/>
  <c r="CC1682" i="1"/>
  <c r="CW1682" i="1"/>
  <c r="G2393" i="1"/>
  <c r="V2393" i="1"/>
  <c r="AJ2393" i="1"/>
  <c r="AX2393" i="1"/>
  <c r="BQ2393" i="1"/>
  <c r="BR2393" i="1"/>
  <c r="CC2393" i="1"/>
  <c r="CW2393" i="1"/>
  <c r="G2165" i="1"/>
  <c r="V2165" i="1"/>
  <c r="AJ2165" i="1"/>
  <c r="AX2165" i="1"/>
  <c r="BQ2165" i="1"/>
  <c r="BR2165" i="1"/>
  <c r="CC2165" i="1"/>
  <c r="CW2165" i="1"/>
  <c r="G1018" i="1"/>
  <c r="V1018" i="1"/>
  <c r="AJ1018" i="1"/>
  <c r="AX1018" i="1"/>
  <c r="BQ1018" i="1"/>
  <c r="BR1018" i="1"/>
  <c r="CC1018" i="1"/>
  <c r="CW1018" i="1"/>
  <c r="G1707" i="1"/>
  <c r="V1707" i="1"/>
  <c r="AJ1707" i="1"/>
  <c r="AX1707" i="1"/>
  <c r="BQ1707" i="1"/>
  <c r="BR1707" i="1"/>
  <c r="CC1707" i="1"/>
  <c r="CW1707" i="1"/>
  <c r="G1209" i="1"/>
  <c r="V1209" i="1"/>
  <c r="AJ1209" i="1"/>
  <c r="AX1209" i="1"/>
  <c r="BQ1209" i="1"/>
  <c r="BR1209" i="1"/>
  <c r="CC1209" i="1"/>
  <c r="CW1209" i="1"/>
  <c r="G1154" i="1"/>
  <c r="V1154" i="1"/>
  <c r="AJ1154" i="1"/>
  <c r="AX1154" i="1"/>
  <c r="BQ1154" i="1"/>
  <c r="BR1154" i="1"/>
  <c r="CC1154" i="1"/>
  <c r="CW1154" i="1"/>
  <c r="G1936" i="1"/>
  <c r="V1936" i="1"/>
  <c r="AJ1936" i="1"/>
  <c r="AX1936" i="1"/>
  <c r="BQ1936" i="1"/>
  <c r="BR1936" i="1"/>
  <c r="CC1936" i="1"/>
  <c r="CW1936" i="1"/>
  <c r="G931" i="1"/>
  <c r="V931" i="1"/>
  <c r="AJ931" i="1"/>
  <c r="AX931" i="1"/>
  <c r="BQ931" i="1"/>
  <c r="BR931" i="1"/>
  <c r="CC931" i="1"/>
  <c r="CW931" i="1"/>
  <c r="G1675" i="1"/>
  <c r="V1675" i="1"/>
  <c r="AJ1675" i="1"/>
  <c r="AX1675" i="1"/>
  <c r="BQ1675" i="1"/>
  <c r="BR1675" i="1"/>
  <c r="CC1675" i="1"/>
  <c r="CW1675" i="1"/>
  <c r="G1781" i="1"/>
  <c r="V1781" i="1"/>
  <c r="AJ1781" i="1"/>
  <c r="AX1781" i="1"/>
  <c r="BQ1781" i="1"/>
  <c r="BR1781" i="1"/>
  <c r="CC1781" i="1"/>
  <c r="CW1781" i="1"/>
  <c r="G1152" i="1"/>
  <c r="V1152" i="1"/>
  <c r="AJ1152" i="1"/>
  <c r="AX1152" i="1"/>
  <c r="BQ1152" i="1"/>
  <c r="BR1152" i="1"/>
  <c r="CC1152" i="1"/>
  <c r="CW1152" i="1"/>
  <c r="G2061" i="1"/>
  <c r="V2061" i="1"/>
  <c r="AJ2061" i="1"/>
  <c r="AX2061" i="1"/>
  <c r="BQ2061" i="1"/>
  <c r="BR2061" i="1"/>
  <c r="CC2061" i="1"/>
  <c r="CW2061" i="1"/>
  <c r="G886" i="1"/>
  <c r="V886" i="1"/>
  <c r="AJ886" i="1"/>
  <c r="AX886" i="1"/>
  <c r="BQ886" i="1"/>
  <c r="BR886" i="1"/>
  <c r="CC886" i="1"/>
  <c r="CW886" i="1"/>
  <c r="G857" i="1"/>
  <c r="V857" i="1"/>
  <c r="AJ857" i="1"/>
  <c r="AX857" i="1"/>
  <c r="BQ857" i="1"/>
  <c r="BR857" i="1"/>
  <c r="CC857" i="1"/>
  <c r="CW857" i="1"/>
  <c r="G1134" i="1"/>
  <c r="V1134" i="1"/>
  <c r="AJ1134" i="1"/>
  <c r="AX1134" i="1"/>
  <c r="BQ1134" i="1"/>
  <c r="BR1134" i="1"/>
  <c r="CC1134" i="1"/>
  <c r="CW1134" i="1"/>
  <c r="G1721" i="1"/>
  <c r="V1721" i="1"/>
  <c r="AJ1721" i="1"/>
  <c r="AX1721" i="1"/>
  <c r="BQ1721" i="1"/>
  <c r="BR1721" i="1"/>
  <c r="CC1721" i="1"/>
  <c r="CW1721" i="1"/>
  <c r="G1480" i="1"/>
  <c r="V1480" i="1"/>
  <c r="AJ1480" i="1"/>
  <c r="AX1480" i="1"/>
  <c r="BQ1480" i="1"/>
  <c r="BR1480" i="1"/>
  <c r="CC1480" i="1"/>
  <c r="CW1480" i="1"/>
  <c r="G1704" i="1"/>
  <c r="V1704" i="1"/>
  <c r="AJ1704" i="1"/>
  <c r="AX1704" i="1"/>
  <c r="BQ1704" i="1"/>
  <c r="BR1704" i="1"/>
  <c r="CC1704" i="1"/>
  <c r="CW1704" i="1"/>
  <c r="G1293" i="1"/>
  <c r="V1293" i="1"/>
  <c r="AJ1293" i="1"/>
  <c r="AX1293" i="1"/>
  <c r="BQ1293" i="1"/>
  <c r="BR1293" i="1"/>
  <c r="CC1293" i="1"/>
  <c r="CW1293" i="1"/>
  <c r="G1594" i="1"/>
  <c r="V1594" i="1"/>
  <c r="AJ1594" i="1"/>
  <c r="AX1594" i="1"/>
  <c r="BQ1594" i="1"/>
  <c r="BR1594" i="1"/>
  <c r="CC1594" i="1"/>
  <c r="CW1594" i="1"/>
  <c r="G1982" i="1"/>
  <c r="V1982" i="1"/>
  <c r="AJ1982" i="1"/>
  <c r="AX1982" i="1"/>
  <c r="BQ1982" i="1"/>
  <c r="BR1982" i="1"/>
  <c r="CC1982" i="1"/>
  <c r="CW1982" i="1"/>
  <c r="G895" i="1"/>
  <c r="V895" i="1"/>
  <c r="AJ895" i="1"/>
  <c r="AX895" i="1"/>
  <c r="BQ895" i="1"/>
  <c r="BR895" i="1"/>
  <c r="CC895" i="1"/>
  <c r="CW895" i="1"/>
  <c r="G1028" i="1"/>
  <c r="V1028" i="1"/>
  <c r="AJ1028" i="1"/>
  <c r="AX1028" i="1"/>
  <c r="BQ1028" i="1"/>
  <c r="BR1028" i="1"/>
  <c r="CC1028" i="1"/>
  <c r="CW1028" i="1"/>
  <c r="G2248" i="1"/>
  <c r="V2248" i="1"/>
  <c r="AJ2248" i="1"/>
  <c r="AX2248" i="1"/>
  <c r="BQ2248" i="1"/>
  <c r="BR2248" i="1"/>
  <c r="CC2248" i="1"/>
  <c r="CW2248" i="1"/>
  <c r="G1644" i="1"/>
  <c r="V1644" i="1"/>
  <c r="AJ1644" i="1"/>
  <c r="AX1644" i="1"/>
  <c r="BQ1644" i="1"/>
  <c r="BR1644" i="1"/>
  <c r="CC1644" i="1"/>
  <c r="CW1644" i="1"/>
  <c r="G1568" i="1"/>
  <c r="V1568" i="1"/>
  <c r="AJ1568" i="1"/>
  <c r="AX1568" i="1"/>
  <c r="BQ1568" i="1"/>
  <c r="BR1568" i="1"/>
  <c r="CC1568" i="1"/>
  <c r="CW1568" i="1"/>
  <c r="G1487" i="1"/>
  <c r="V1487" i="1"/>
  <c r="AJ1487" i="1"/>
  <c r="AX1487" i="1"/>
  <c r="BQ1487" i="1"/>
  <c r="BR1487" i="1"/>
  <c r="CC1487" i="1"/>
  <c r="CW1487" i="1"/>
  <c r="G1446" i="1"/>
  <c r="V1446" i="1"/>
  <c r="AJ1446" i="1"/>
  <c r="AX1446" i="1"/>
  <c r="BQ1446" i="1"/>
  <c r="BR1446" i="1"/>
  <c r="CC1446" i="1"/>
  <c r="CW1446" i="1"/>
  <c r="G2201" i="1"/>
  <c r="V2201" i="1"/>
  <c r="AJ2201" i="1"/>
  <c r="AX2201" i="1"/>
  <c r="BQ2201" i="1"/>
  <c r="BR2201" i="1"/>
  <c r="CC2201" i="1"/>
  <c r="CW2201" i="1"/>
  <c r="G2080" i="1"/>
  <c r="V2080" i="1"/>
  <c r="AJ2080" i="1"/>
  <c r="AX2080" i="1"/>
  <c r="BQ2080" i="1"/>
  <c r="BR2080" i="1"/>
  <c r="CC2080" i="1"/>
  <c r="CW2080" i="1"/>
  <c r="G1138" i="1"/>
  <c r="V1138" i="1"/>
  <c r="AJ1138" i="1"/>
  <c r="AX1138" i="1"/>
  <c r="BQ1138" i="1"/>
  <c r="BR1138" i="1"/>
  <c r="CC1138" i="1"/>
  <c r="CW1138" i="1"/>
  <c r="G1896" i="1"/>
  <c r="V1896" i="1"/>
  <c r="AJ1896" i="1"/>
  <c r="AX1896" i="1"/>
  <c r="BQ1896" i="1"/>
  <c r="BR1896" i="1"/>
  <c r="CC1896" i="1"/>
  <c r="CW1896" i="1"/>
  <c r="G1061" i="1"/>
  <c r="V1061" i="1"/>
  <c r="AJ1061" i="1"/>
  <c r="AX1061" i="1"/>
  <c r="BQ1061" i="1"/>
  <c r="BR1061" i="1"/>
  <c r="CC1061" i="1"/>
  <c r="CW1061" i="1"/>
  <c r="G1472" i="1"/>
  <c r="V1472" i="1"/>
  <c r="AJ1472" i="1"/>
  <c r="AX1472" i="1"/>
  <c r="BQ1472" i="1"/>
  <c r="BR1472" i="1"/>
  <c r="CC1472" i="1"/>
  <c r="CW1472" i="1"/>
  <c r="G1264" i="1"/>
  <c r="V1264" i="1"/>
  <c r="AJ1264" i="1"/>
  <c r="AX1264" i="1"/>
  <c r="BQ1264" i="1"/>
  <c r="BR1264" i="1"/>
  <c r="CC1264" i="1"/>
  <c r="CW1264" i="1"/>
  <c r="G1393" i="1"/>
  <c r="V1393" i="1"/>
  <c r="AJ1393" i="1"/>
  <c r="AX1393" i="1"/>
  <c r="BQ1393" i="1"/>
  <c r="BR1393" i="1"/>
  <c r="CC1393" i="1"/>
  <c r="CW1393" i="1"/>
  <c r="G1033" i="1"/>
  <c r="V1033" i="1"/>
  <c r="AJ1033" i="1"/>
  <c r="AX1033" i="1"/>
  <c r="BQ1033" i="1"/>
  <c r="BR1033" i="1"/>
  <c r="CC1033" i="1"/>
  <c r="CW1033" i="1"/>
  <c r="G1166" i="1"/>
  <c r="V1166" i="1"/>
  <c r="AJ1166" i="1"/>
  <c r="AX1166" i="1"/>
  <c r="BQ1166" i="1"/>
  <c r="BR1166" i="1"/>
  <c r="CC1166" i="1"/>
  <c r="CW1166" i="1"/>
  <c r="G1049" i="1"/>
  <c r="V1049" i="1"/>
  <c r="AJ1049" i="1"/>
  <c r="AX1049" i="1"/>
  <c r="BQ1049" i="1"/>
  <c r="BR1049" i="1"/>
  <c r="CC1049" i="1"/>
  <c r="CW1049" i="1"/>
  <c r="G1539" i="1"/>
  <c r="V1539" i="1"/>
  <c r="AJ1539" i="1"/>
  <c r="AX1539" i="1"/>
  <c r="BQ1539" i="1"/>
  <c r="BR1539" i="1"/>
  <c r="CC1539" i="1"/>
  <c r="CW1539" i="1"/>
  <c r="G986" i="1"/>
  <c r="V986" i="1"/>
  <c r="AJ986" i="1"/>
  <c r="AX986" i="1"/>
  <c r="BQ986" i="1"/>
  <c r="BR986" i="1"/>
  <c r="CC986" i="1"/>
  <c r="CW986" i="1"/>
  <c r="G2354" i="1"/>
  <c r="V2354" i="1"/>
  <c r="AJ2354" i="1"/>
  <c r="AX2354" i="1"/>
  <c r="BQ2354" i="1"/>
  <c r="BR2354" i="1"/>
  <c r="CC2354" i="1"/>
  <c r="CW2354" i="1"/>
  <c r="G2002" i="1"/>
  <c r="V2002" i="1"/>
  <c r="AJ2002" i="1"/>
  <c r="AX2002" i="1"/>
  <c r="BQ2002" i="1"/>
  <c r="BR2002" i="1"/>
  <c r="CC2002" i="1"/>
  <c r="CW2002" i="1"/>
  <c r="G965" i="1"/>
  <c r="V965" i="1"/>
  <c r="AJ965" i="1"/>
  <c r="AX965" i="1"/>
  <c r="BQ965" i="1"/>
  <c r="BR965" i="1"/>
  <c r="CC965" i="1"/>
  <c r="CW965" i="1"/>
  <c r="G1158" i="1"/>
  <c r="V1158" i="1"/>
  <c r="AJ1158" i="1"/>
  <c r="AX1158" i="1"/>
  <c r="BQ1158" i="1"/>
  <c r="BR1158" i="1"/>
  <c r="CC1158" i="1"/>
  <c r="CW1158" i="1"/>
  <c r="G851" i="1"/>
  <c r="V851" i="1"/>
  <c r="AJ851" i="1"/>
  <c r="AX851" i="1"/>
  <c r="BQ851" i="1"/>
  <c r="BR851" i="1"/>
  <c r="CC851" i="1"/>
  <c r="CW851" i="1"/>
  <c r="G2173" i="1"/>
  <c r="V2173" i="1"/>
  <c r="AJ2173" i="1"/>
  <c r="AX2173" i="1"/>
  <c r="BQ2173" i="1"/>
  <c r="BR2173" i="1"/>
  <c r="CC2173" i="1"/>
  <c r="CW2173" i="1"/>
  <c r="G1475" i="1"/>
  <c r="V1475" i="1"/>
  <c r="AJ1475" i="1"/>
  <c r="AX1475" i="1"/>
  <c r="BQ1475" i="1"/>
  <c r="BR1475" i="1"/>
  <c r="CC1475" i="1"/>
  <c r="CW1475" i="1"/>
  <c r="G1304" i="1"/>
  <c r="V1304" i="1"/>
  <c r="AJ1304" i="1"/>
  <c r="AX1304" i="1"/>
  <c r="BQ1304" i="1"/>
  <c r="BR1304" i="1"/>
  <c r="CC1304" i="1"/>
  <c r="CW1304" i="1"/>
  <c r="G2166" i="1"/>
  <c r="V2166" i="1"/>
  <c r="AJ2166" i="1"/>
  <c r="AX2166" i="1"/>
  <c r="BQ2166" i="1"/>
  <c r="BR2166" i="1"/>
  <c r="CC2166" i="1"/>
  <c r="CW2166" i="1"/>
  <c r="G1457" i="1"/>
  <c r="V1457" i="1"/>
  <c r="AJ1457" i="1"/>
  <c r="AX1457" i="1"/>
  <c r="BQ1457" i="1"/>
  <c r="BR1457" i="1"/>
  <c r="CC1457" i="1"/>
  <c r="CW1457" i="1"/>
  <c r="G1700" i="1"/>
  <c r="V1700" i="1"/>
  <c r="AJ1700" i="1"/>
  <c r="AX1700" i="1"/>
  <c r="BQ1700" i="1"/>
  <c r="BR1700" i="1"/>
  <c r="CC1700" i="1"/>
  <c r="CW1700" i="1"/>
  <c r="G953" i="1"/>
  <c r="V953" i="1"/>
  <c r="AJ953" i="1"/>
  <c r="AX953" i="1"/>
  <c r="BQ953" i="1"/>
  <c r="BR953" i="1"/>
  <c r="CC953" i="1"/>
  <c r="CW953" i="1"/>
  <c r="G1581" i="1"/>
  <c r="V1581" i="1"/>
  <c r="AJ1581" i="1"/>
  <c r="AX1581" i="1"/>
  <c r="BQ1581" i="1"/>
  <c r="BR1581" i="1"/>
  <c r="CC1581" i="1"/>
  <c r="CW1581" i="1"/>
  <c r="G1944" i="1"/>
  <c r="V1944" i="1"/>
  <c r="AJ1944" i="1"/>
  <c r="AX1944" i="1"/>
  <c r="BQ1944" i="1"/>
  <c r="BR1944" i="1"/>
  <c r="CC1944" i="1"/>
  <c r="CW1944" i="1"/>
  <c r="G1984" i="1"/>
  <c r="V1984" i="1"/>
  <c r="AJ1984" i="1"/>
  <c r="AX1984" i="1"/>
  <c r="BQ1984" i="1"/>
  <c r="BR1984" i="1"/>
  <c r="CC1984" i="1"/>
  <c r="CW1984" i="1"/>
  <c r="G1172" i="1"/>
  <c r="V1172" i="1"/>
  <c r="AJ1172" i="1"/>
  <c r="AX1172" i="1"/>
  <c r="BQ1172" i="1"/>
  <c r="BR1172" i="1"/>
  <c r="CC1172" i="1"/>
  <c r="CW1172" i="1"/>
  <c r="G2094" i="1"/>
  <c r="V2094" i="1"/>
  <c r="AJ2094" i="1"/>
  <c r="AX2094" i="1"/>
  <c r="BQ2094" i="1"/>
  <c r="BR2094" i="1"/>
  <c r="CC2094" i="1"/>
  <c r="CW2094" i="1"/>
  <c r="G1891" i="1"/>
  <c r="V1891" i="1"/>
  <c r="AJ1891" i="1"/>
  <c r="AX1891" i="1"/>
  <c r="BQ1891" i="1"/>
  <c r="BR1891" i="1"/>
  <c r="CC1891" i="1"/>
  <c r="CW1891" i="1"/>
  <c r="G996" i="1"/>
  <c r="V996" i="1"/>
  <c r="AJ996" i="1"/>
  <c r="AX996" i="1"/>
  <c r="BQ996" i="1"/>
  <c r="BR996" i="1"/>
  <c r="CC996" i="1"/>
  <c r="CK996" i="1"/>
  <c r="CW996" i="1"/>
  <c r="G1251" i="1"/>
  <c r="V1251" i="1"/>
  <c r="AJ1251" i="1"/>
  <c r="AX1251" i="1"/>
  <c r="BQ1251" i="1"/>
  <c r="BR1251" i="1"/>
  <c r="CC1251" i="1"/>
  <c r="CW1251" i="1"/>
  <c r="G2178" i="1"/>
  <c r="V2178" i="1"/>
  <c r="AJ2178" i="1"/>
  <c r="AX2178" i="1"/>
  <c r="BQ2178" i="1"/>
  <c r="BR2178" i="1"/>
  <c r="CC2178" i="1"/>
  <c r="CW2178" i="1"/>
  <c r="G1655" i="1"/>
  <c r="V1655" i="1"/>
  <c r="AJ1655" i="1"/>
  <c r="AX1655" i="1"/>
  <c r="BQ1655" i="1"/>
  <c r="BR1655" i="1"/>
  <c r="CC1655" i="1"/>
  <c r="CW1655" i="1"/>
  <c r="G968" i="1"/>
  <c r="V968" i="1"/>
  <c r="AJ968" i="1"/>
  <c r="AX968" i="1"/>
  <c r="BQ968" i="1"/>
  <c r="BR968" i="1"/>
  <c r="CC968" i="1"/>
  <c r="CW968" i="1"/>
  <c r="G1651" i="1"/>
  <c r="V1651" i="1"/>
  <c r="AJ1651" i="1"/>
  <c r="AX1651" i="1"/>
  <c r="BQ1651" i="1"/>
  <c r="BR1651" i="1"/>
  <c r="CC1651" i="1"/>
  <c r="CW1651" i="1"/>
  <c r="G1889" i="1"/>
  <c r="V1889" i="1"/>
  <c r="AJ1889" i="1"/>
  <c r="AX1889" i="1"/>
  <c r="BQ1889" i="1"/>
  <c r="BR1889" i="1"/>
  <c r="CC1889" i="1"/>
  <c r="CW1889" i="1"/>
  <c r="G1957" i="1"/>
  <c r="V1957" i="1"/>
  <c r="AJ1957" i="1"/>
  <c r="AX1957" i="1"/>
  <c r="BQ1957" i="1"/>
  <c r="BR1957" i="1"/>
  <c r="CC1957" i="1"/>
  <c r="CW1957" i="1"/>
  <c r="G1204" i="1"/>
  <c r="V1204" i="1"/>
  <c r="AJ1204" i="1"/>
  <c r="AX1204" i="1"/>
  <c r="BQ1204" i="1"/>
  <c r="BR1204" i="1"/>
  <c r="CC1204" i="1"/>
  <c r="CW1204" i="1"/>
  <c r="G1443" i="1"/>
  <c r="V1443" i="1"/>
  <c r="AJ1443" i="1"/>
  <c r="AX1443" i="1"/>
  <c r="BQ1443" i="1"/>
  <c r="BR1443" i="1"/>
  <c r="CC1443" i="1"/>
  <c r="CW1443" i="1"/>
  <c r="G427" i="1"/>
  <c r="V427" i="1"/>
  <c r="AJ427" i="1"/>
  <c r="AX427" i="1"/>
  <c r="BQ427" i="1"/>
  <c r="BR427" i="1"/>
  <c r="CC427" i="1"/>
  <c r="CW427" i="1"/>
  <c r="G2297" i="1"/>
  <c r="V2297" i="1"/>
  <c r="AJ2297" i="1"/>
  <c r="AX2297" i="1"/>
  <c r="BQ2297" i="1"/>
  <c r="BR2297" i="1"/>
  <c r="CC2297" i="1"/>
  <c r="CW2297" i="1"/>
  <c r="G164" i="1"/>
  <c r="V164" i="1"/>
  <c r="AJ164" i="1"/>
  <c r="AX164" i="1"/>
  <c r="BQ164" i="1"/>
  <c r="BR164" i="1"/>
  <c r="CC164" i="1"/>
  <c r="CW164" i="1"/>
  <c r="G358" i="1"/>
  <c r="V358" i="1"/>
  <c r="AJ358" i="1"/>
  <c r="AX358" i="1"/>
  <c r="BQ358" i="1"/>
  <c r="BR358" i="1"/>
  <c r="CC358" i="1"/>
  <c r="CW358" i="1"/>
  <c r="G611" i="1"/>
  <c r="V611" i="1"/>
  <c r="AJ611" i="1"/>
  <c r="AX611" i="1"/>
  <c r="BQ611" i="1"/>
  <c r="BR611" i="1"/>
  <c r="CC611" i="1"/>
  <c r="CW611" i="1"/>
  <c r="G163" i="1"/>
  <c r="V163" i="1"/>
  <c r="AJ163" i="1"/>
  <c r="AX163" i="1"/>
  <c r="BQ163" i="1"/>
  <c r="BR163" i="1"/>
  <c r="CC163" i="1"/>
  <c r="CW163" i="1"/>
  <c r="G15" i="1"/>
  <c r="V15" i="1"/>
  <c r="AJ15" i="1"/>
  <c r="AX15" i="1"/>
  <c r="BQ15" i="1"/>
  <c r="BR15" i="1"/>
  <c r="CC15" i="1"/>
  <c r="CW15" i="1"/>
  <c r="G441" i="1"/>
  <c r="V441" i="1"/>
  <c r="AJ441" i="1"/>
  <c r="AX441" i="1"/>
  <c r="BQ441" i="1"/>
  <c r="BR441" i="1"/>
  <c r="CC441" i="1"/>
  <c r="CW441" i="1"/>
  <c r="G283" i="1"/>
  <c r="V283" i="1"/>
  <c r="AJ283" i="1"/>
  <c r="AX283" i="1"/>
  <c r="BQ283" i="1"/>
  <c r="BR283" i="1"/>
  <c r="CC283" i="1"/>
  <c r="CW283" i="1"/>
  <c r="G1860" i="1"/>
  <c r="V1860" i="1"/>
  <c r="AJ1860" i="1"/>
  <c r="AX1860" i="1"/>
  <c r="BQ1860" i="1"/>
  <c r="BR1860" i="1"/>
  <c r="CC1860" i="1"/>
  <c r="CW1860" i="1"/>
  <c r="G718" i="1"/>
  <c r="V718" i="1"/>
  <c r="AJ718" i="1"/>
  <c r="AX718" i="1"/>
  <c r="BQ718" i="1"/>
  <c r="BR718" i="1"/>
  <c r="CC718" i="1"/>
  <c r="CW718" i="1"/>
  <c r="G654" i="1"/>
  <c r="V654" i="1"/>
  <c r="AJ654" i="1"/>
  <c r="AX654" i="1"/>
  <c r="BQ654" i="1"/>
  <c r="BR654" i="1"/>
  <c r="CC654" i="1"/>
  <c r="CW654" i="1"/>
  <c r="G32" i="1"/>
  <c r="V32" i="1"/>
  <c r="AJ32" i="1"/>
  <c r="AX32" i="1"/>
  <c r="BQ32" i="1"/>
  <c r="BR32" i="1"/>
  <c r="CC32" i="1"/>
  <c r="CW32" i="1"/>
  <c r="G706" i="1"/>
  <c r="V706" i="1"/>
  <c r="AJ706" i="1"/>
  <c r="AX706" i="1"/>
  <c r="BQ706" i="1"/>
  <c r="BR706" i="1"/>
  <c r="CC706" i="1"/>
  <c r="CW706" i="1"/>
  <c r="G555" i="1"/>
  <c r="V555" i="1"/>
  <c r="AJ555" i="1"/>
  <c r="AX555" i="1"/>
  <c r="BQ555" i="1"/>
  <c r="BR555" i="1"/>
  <c r="CC555" i="1"/>
  <c r="CW555" i="1"/>
  <c r="G111" i="1"/>
  <c r="V111" i="1"/>
  <c r="AJ111" i="1"/>
  <c r="AX111" i="1"/>
  <c r="BQ111" i="1"/>
  <c r="BR111" i="1"/>
  <c r="CC111" i="1"/>
  <c r="CW111" i="1"/>
  <c r="G795" i="1"/>
  <c r="V795" i="1"/>
  <c r="AJ795" i="1"/>
  <c r="AX795" i="1"/>
  <c r="BQ795" i="1"/>
  <c r="BR795" i="1"/>
  <c r="CC795" i="1"/>
  <c r="CW795" i="1"/>
  <c r="G570" i="1"/>
  <c r="V570" i="1"/>
  <c r="AJ570" i="1"/>
  <c r="AX570" i="1"/>
  <c r="BQ570" i="1"/>
  <c r="BR570" i="1"/>
  <c r="CC570" i="1"/>
  <c r="CW570" i="1"/>
  <c r="G52" i="1"/>
  <c r="V52" i="1"/>
  <c r="AJ52" i="1"/>
  <c r="AX52" i="1"/>
  <c r="BQ52" i="1"/>
  <c r="BR52" i="1"/>
  <c r="CC52" i="1"/>
  <c r="CW52" i="1"/>
  <c r="G727" i="1"/>
  <c r="V727" i="1"/>
  <c r="AJ727" i="1"/>
  <c r="AX727" i="1"/>
  <c r="BQ727" i="1"/>
  <c r="BR727" i="1"/>
  <c r="CC727" i="1"/>
  <c r="CW727" i="1"/>
  <c r="G2320" i="1"/>
  <c r="V2320" i="1"/>
  <c r="AJ2320" i="1"/>
  <c r="AX2320" i="1"/>
  <c r="BQ2320" i="1"/>
  <c r="BR2320" i="1"/>
  <c r="CC2320" i="1"/>
  <c r="CW2320" i="1"/>
  <c r="G110" i="1"/>
  <c r="V110" i="1"/>
  <c r="AJ110" i="1"/>
  <c r="AX110" i="1"/>
  <c r="BQ110" i="1"/>
  <c r="BR110" i="1"/>
  <c r="CC110" i="1"/>
  <c r="CW110" i="1"/>
  <c r="G41" i="1"/>
  <c r="V41" i="1"/>
  <c r="AJ41" i="1"/>
  <c r="AX41" i="1"/>
  <c r="BQ41" i="1"/>
  <c r="BR41" i="1"/>
  <c r="CC41" i="1"/>
  <c r="CW41" i="1"/>
  <c r="G33" i="1"/>
  <c r="V33" i="1"/>
  <c r="AJ33" i="1"/>
  <c r="AX33" i="1"/>
  <c r="BQ33" i="1"/>
  <c r="BR33" i="1"/>
  <c r="CC33" i="1"/>
  <c r="CW33" i="1"/>
  <c r="G721" i="1"/>
  <c r="V721" i="1"/>
  <c r="AJ721" i="1"/>
  <c r="AX721" i="1"/>
  <c r="BQ721" i="1"/>
  <c r="BR721" i="1"/>
  <c r="CC721" i="1"/>
  <c r="CW721" i="1"/>
  <c r="G2298" i="1"/>
  <c r="V2298" i="1"/>
  <c r="AJ2298" i="1"/>
  <c r="AX2298" i="1"/>
  <c r="BQ2298" i="1"/>
  <c r="BR2298" i="1"/>
  <c r="CC2298" i="1"/>
  <c r="CW2298" i="1"/>
  <c r="G687" i="1"/>
  <c r="V687" i="1"/>
  <c r="AJ687" i="1"/>
  <c r="AX687" i="1"/>
  <c r="BQ687" i="1"/>
  <c r="BR687" i="1"/>
  <c r="CC687" i="1"/>
  <c r="CW687" i="1"/>
  <c r="G1815" i="1"/>
  <c r="V1815" i="1"/>
  <c r="AJ1815" i="1"/>
  <c r="AX1815" i="1"/>
  <c r="BQ1815" i="1"/>
  <c r="BR1815" i="1"/>
  <c r="CC1815" i="1"/>
  <c r="CW1815" i="1"/>
  <c r="G529" i="1"/>
  <c r="V529" i="1"/>
  <c r="AJ529" i="1"/>
  <c r="AX529" i="1"/>
  <c r="BQ529" i="1"/>
  <c r="BR529" i="1"/>
  <c r="CC529" i="1"/>
  <c r="CW529" i="1"/>
  <c r="G223" i="1"/>
  <c r="V223" i="1"/>
  <c r="AJ223" i="1"/>
  <c r="AX223" i="1"/>
  <c r="BQ223" i="1"/>
  <c r="BR223" i="1"/>
  <c r="CC223" i="1"/>
  <c r="CW223" i="1"/>
  <c r="G660" i="1"/>
  <c r="V660" i="1"/>
  <c r="AJ660" i="1"/>
  <c r="AX660" i="1"/>
  <c r="BQ660" i="1"/>
  <c r="BR660" i="1"/>
  <c r="CC660" i="1"/>
  <c r="CW660" i="1"/>
  <c r="G580" i="1"/>
  <c r="V580" i="1"/>
  <c r="AJ580" i="1"/>
  <c r="AX580" i="1"/>
  <c r="BQ580" i="1"/>
  <c r="BR580" i="1"/>
  <c r="CC580" i="1"/>
  <c r="CW580" i="1"/>
  <c r="G431" i="1"/>
  <c r="V431" i="1"/>
  <c r="AJ431" i="1"/>
  <c r="AX431" i="1"/>
  <c r="BQ431" i="1"/>
  <c r="BR431" i="1"/>
  <c r="CC431" i="1"/>
  <c r="CW431" i="1"/>
  <c r="G632" i="1"/>
  <c r="V632" i="1"/>
  <c r="AJ632" i="1"/>
  <c r="AX632" i="1"/>
  <c r="BQ632" i="1"/>
  <c r="BR632" i="1"/>
  <c r="CC632" i="1"/>
  <c r="CW632" i="1"/>
  <c r="G289" i="1"/>
  <c r="V289" i="1"/>
  <c r="AJ289" i="1"/>
  <c r="AX289" i="1"/>
  <c r="BQ289" i="1"/>
  <c r="BR289" i="1"/>
  <c r="CC289" i="1"/>
  <c r="CW289" i="1"/>
  <c r="G217" i="1"/>
  <c r="V217" i="1"/>
  <c r="AJ217" i="1"/>
  <c r="AX217" i="1"/>
  <c r="BQ217" i="1"/>
  <c r="BR217" i="1"/>
  <c r="CC217" i="1"/>
  <c r="CW217" i="1"/>
  <c r="G747" i="1"/>
  <c r="V747" i="1"/>
  <c r="AJ747" i="1"/>
  <c r="AX747" i="1"/>
  <c r="BQ747" i="1"/>
  <c r="BR747" i="1"/>
  <c r="CC747" i="1"/>
  <c r="CW747" i="1"/>
  <c r="G128" i="1"/>
  <c r="V128" i="1"/>
  <c r="AJ128" i="1"/>
  <c r="AX128" i="1"/>
  <c r="BQ128" i="1"/>
  <c r="BR128" i="1"/>
  <c r="CC128" i="1"/>
  <c r="CW128" i="1"/>
  <c r="G722" i="1"/>
  <c r="V722" i="1"/>
  <c r="AJ722" i="1"/>
  <c r="AX722" i="1"/>
  <c r="BQ722" i="1"/>
  <c r="BR722" i="1"/>
  <c r="CC722" i="1"/>
  <c r="CW722" i="1"/>
  <c r="G280" i="1"/>
  <c r="V280" i="1"/>
  <c r="AJ280" i="1"/>
  <c r="AX280" i="1"/>
  <c r="BQ280" i="1"/>
  <c r="BR280" i="1"/>
  <c r="CC280" i="1"/>
  <c r="CW280" i="1"/>
  <c r="G255" i="1"/>
  <c r="V255" i="1"/>
  <c r="AJ255" i="1"/>
  <c r="AX255" i="1"/>
  <c r="BQ255" i="1"/>
  <c r="BR255" i="1"/>
  <c r="CC255" i="1"/>
  <c r="CW255" i="1"/>
  <c r="G2305" i="1"/>
  <c r="V2305" i="1"/>
  <c r="AJ2305" i="1"/>
  <c r="AX2305" i="1"/>
  <c r="BQ2305" i="1"/>
  <c r="BR2305" i="1"/>
  <c r="CC2305" i="1"/>
  <c r="CW2305" i="1"/>
  <c r="G221" i="1"/>
  <c r="V221" i="1"/>
  <c r="AJ221" i="1"/>
  <c r="AX221" i="1"/>
  <c r="BQ221" i="1"/>
  <c r="BR221" i="1"/>
  <c r="CC221" i="1"/>
  <c r="CW221" i="1"/>
  <c r="G88" i="1"/>
  <c r="V88" i="1"/>
  <c r="AJ88" i="1"/>
  <c r="AX88" i="1"/>
  <c r="BQ88" i="1"/>
  <c r="BR88" i="1"/>
  <c r="CC88" i="1"/>
  <c r="CW88" i="1"/>
  <c r="G1864" i="1"/>
  <c r="V1864" i="1"/>
  <c r="AJ1864" i="1"/>
  <c r="AX1864" i="1"/>
  <c r="BQ1864" i="1"/>
  <c r="BR1864" i="1"/>
  <c r="CC1864" i="1"/>
  <c r="CW1864" i="1"/>
  <c r="G443" i="1"/>
  <c r="V443" i="1"/>
  <c r="AJ443" i="1"/>
  <c r="AX443" i="1"/>
  <c r="BQ443" i="1"/>
  <c r="BR443" i="1"/>
  <c r="CC443" i="1"/>
  <c r="CW443" i="1"/>
  <c r="G680" i="1"/>
  <c r="V680" i="1"/>
  <c r="AJ680" i="1"/>
  <c r="AX680" i="1"/>
  <c r="BQ680" i="1"/>
  <c r="BR680" i="1"/>
  <c r="CC680" i="1"/>
  <c r="CW680" i="1"/>
  <c r="G13" i="1"/>
  <c r="V13" i="1"/>
  <c r="AJ13" i="1"/>
  <c r="AX13" i="1"/>
  <c r="BQ13" i="1"/>
  <c r="BR13" i="1"/>
  <c r="CC13" i="1"/>
  <c r="CW13" i="1"/>
  <c r="G412" i="1"/>
  <c r="V412" i="1"/>
  <c r="AJ412" i="1"/>
  <c r="AX412" i="1"/>
  <c r="BQ412" i="1"/>
  <c r="BR412" i="1"/>
  <c r="CC412" i="1"/>
  <c r="CW412" i="1"/>
  <c r="G473" i="1"/>
  <c r="V473" i="1"/>
  <c r="AJ473" i="1"/>
  <c r="AX473" i="1"/>
  <c r="BQ473" i="1"/>
  <c r="BR473" i="1"/>
  <c r="CC473" i="1"/>
  <c r="CW473" i="1"/>
  <c r="G2217" i="1"/>
  <c r="V2217" i="1"/>
  <c r="AJ2217" i="1"/>
  <c r="AX2217" i="1"/>
  <c r="BQ2217" i="1"/>
  <c r="BR2217" i="1"/>
  <c r="CC2217" i="1"/>
  <c r="CW2217" i="1"/>
  <c r="G342" i="1"/>
  <c r="V342" i="1"/>
  <c r="AJ342" i="1"/>
  <c r="AX342" i="1"/>
  <c r="BQ342" i="1"/>
  <c r="BR342" i="1"/>
  <c r="CC342" i="1"/>
  <c r="CW342" i="1"/>
  <c r="G725" i="1"/>
  <c r="V725" i="1"/>
  <c r="AJ725" i="1"/>
  <c r="AX725" i="1"/>
  <c r="BQ725" i="1"/>
  <c r="BR725" i="1"/>
  <c r="CC725" i="1"/>
  <c r="CW725" i="1"/>
  <c r="G597" i="1"/>
  <c r="V597" i="1"/>
  <c r="AJ597" i="1"/>
  <c r="AX597" i="1"/>
  <c r="BQ597" i="1"/>
  <c r="BR597" i="1"/>
  <c r="CC597" i="1"/>
  <c r="CW597" i="1"/>
  <c r="G693" i="1"/>
  <c r="V693" i="1"/>
  <c r="AJ693" i="1"/>
  <c r="AX693" i="1"/>
  <c r="BQ693" i="1"/>
  <c r="BR693" i="1"/>
  <c r="CC693" i="1"/>
  <c r="CW693" i="1"/>
  <c r="G673" i="1"/>
  <c r="V673" i="1"/>
  <c r="AJ673" i="1"/>
  <c r="AX673" i="1"/>
  <c r="BQ673" i="1"/>
  <c r="BR673" i="1"/>
  <c r="CC673" i="1"/>
  <c r="CW673" i="1"/>
  <c r="G386" i="1"/>
  <c r="V386" i="1"/>
  <c r="AJ386" i="1"/>
  <c r="AX386" i="1"/>
  <c r="BQ386" i="1"/>
  <c r="BR386" i="1"/>
  <c r="CC386" i="1"/>
  <c r="CW386" i="1"/>
  <c r="G307" i="1"/>
  <c r="V307" i="1"/>
  <c r="AJ307" i="1"/>
  <c r="AX307" i="1"/>
  <c r="BQ307" i="1"/>
  <c r="BR307" i="1"/>
  <c r="CC307" i="1"/>
  <c r="CW307" i="1"/>
  <c r="G456" i="1"/>
  <c r="V456" i="1"/>
  <c r="AJ456" i="1"/>
  <c r="AX456" i="1"/>
  <c r="BQ456" i="1"/>
  <c r="BR456" i="1"/>
  <c r="CC456" i="1"/>
  <c r="CW456" i="1"/>
  <c r="G1937" i="1"/>
  <c r="V1937" i="1"/>
  <c r="AJ1937" i="1"/>
  <c r="AX1937" i="1"/>
  <c r="BQ1937" i="1"/>
  <c r="BR1937" i="1"/>
  <c r="CC1937" i="1"/>
  <c r="CW1937" i="1"/>
  <c r="G575" i="1"/>
  <c r="V575" i="1"/>
  <c r="AJ575" i="1"/>
  <c r="AX575" i="1"/>
  <c r="BQ575" i="1"/>
  <c r="BR575" i="1"/>
  <c r="CC575" i="1"/>
  <c r="CW575" i="1"/>
  <c r="G684" i="1"/>
  <c r="V684" i="1"/>
  <c r="AJ684" i="1"/>
  <c r="AX684" i="1"/>
  <c r="BQ684" i="1"/>
  <c r="BR684" i="1"/>
  <c r="CC684" i="1"/>
  <c r="CW684" i="1"/>
  <c r="G218" i="1"/>
  <c r="V218" i="1"/>
  <c r="AJ218" i="1"/>
  <c r="AX218" i="1"/>
  <c r="BQ218" i="1"/>
  <c r="BR218" i="1"/>
  <c r="CC218" i="1"/>
  <c r="CW218" i="1"/>
  <c r="G2286" i="1"/>
  <c r="V2286" i="1"/>
  <c r="AJ2286" i="1"/>
  <c r="AX2286" i="1"/>
  <c r="BQ2286" i="1"/>
  <c r="BR2286" i="1"/>
  <c r="CC2286" i="1"/>
  <c r="CW2286" i="1"/>
  <c r="G245" i="1"/>
  <c r="V245" i="1"/>
  <c r="AJ245" i="1"/>
  <c r="AX245" i="1"/>
  <c r="BQ245" i="1"/>
  <c r="BR245" i="1"/>
  <c r="CC245" i="1"/>
  <c r="CW245" i="1"/>
  <c r="G1191" i="1"/>
  <c r="V1191" i="1"/>
  <c r="AJ1191" i="1"/>
  <c r="AX1191" i="1"/>
  <c r="BQ1191" i="1"/>
  <c r="BR1191" i="1"/>
  <c r="CC1191" i="1"/>
  <c r="CW1191" i="1"/>
  <c r="G2379" i="1"/>
  <c r="V2379" i="1"/>
  <c r="AJ2379" i="1"/>
  <c r="AX2379" i="1"/>
  <c r="BQ2379" i="1"/>
  <c r="BR2379" i="1"/>
  <c r="CC2379" i="1"/>
  <c r="CW2379" i="1"/>
  <c r="G2399" i="1"/>
  <c r="V2399" i="1"/>
  <c r="AJ2399" i="1"/>
  <c r="AX2399" i="1"/>
  <c r="BQ2399" i="1"/>
  <c r="BR2399" i="1"/>
  <c r="CC2399" i="1"/>
  <c r="CW2399" i="1"/>
  <c r="G2401" i="1"/>
  <c r="V2401" i="1"/>
  <c r="AJ2401" i="1"/>
  <c r="AX2401" i="1"/>
  <c r="BQ2401" i="1"/>
  <c r="BR2401" i="1"/>
  <c r="CC2401" i="1"/>
  <c r="CW2401" i="1"/>
  <c r="G1674" i="1"/>
  <c r="V1674" i="1"/>
  <c r="AJ1674" i="1"/>
  <c r="AX1674" i="1"/>
  <c r="BQ1674" i="1"/>
  <c r="BR1674" i="1"/>
  <c r="CC1674" i="1"/>
  <c r="CW1674" i="1"/>
  <c r="G1416" i="1"/>
  <c r="V1416" i="1"/>
  <c r="AJ1416" i="1"/>
  <c r="AX1416" i="1"/>
  <c r="BQ1416" i="1"/>
  <c r="BR1416" i="1"/>
  <c r="CC1416" i="1"/>
  <c r="CW1416" i="1"/>
  <c r="G2268" i="1"/>
  <c r="V2268" i="1"/>
  <c r="AJ2268" i="1"/>
  <c r="AX2268" i="1"/>
  <c r="BQ2268" i="1"/>
  <c r="BR2268" i="1"/>
  <c r="CC2268" i="1"/>
  <c r="CW2268" i="1"/>
  <c r="G1041" i="1"/>
  <c r="V1041" i="1"/>
  <c r="AJ1041" i="1"/>
  <c r="AX1041" i="1"/>
  <c r="BQ1041" i="1"/>
  <c r="BR1041" i="1"/>
  <c r="CC1041" i="1"/>
  <c r="CW1041" i="1"/>
  <c r="G2039" i="1"/>
  <c r="V2039" i="1"/>
  <c r="AJ2039" i="1"/>
  <c r="AX2039" i="1"/>
  <c r="BQ2039" i="1"/>
  <c r="BR2039" i="1"/>
  <c r="CC2039" i="1"/>
  <c r="CW2039" i="1"/>
  <c r="G1031" i="1"/>
  <c r="V1031" i="1"/>
  <c r="AJ1031" i="1"/>
  <c r="AX1031" i="1"/>
  <c r="BQ1031" i="1"/>
  <c r="BR1031" i="1"/>
  <c r="CC1031" i="1"/>
  <c r="CW1031" i="1"/>
  <c r="G1985" i="1"/>
  <c r="V1985" i="1"/>
  <c r="AJ1985" i="1"/>
  <c r="AX1985" i="1"/>
  <c r="BQ1985" i="1"/>
  <c r="BR1985" i="1"/>
  <c r="CC1985" i="1"/>
  <c r="CW1985" i="1"/>
  <c r="G1930" i="1"/>
  <c r="V1930" i="1"/>
  <c r="AJ1930" i="1"/>
  <c r="AX1930" i="1"/>
  <c r="BQ1930" i="1"/>
  <c r="BR1930" i="1"/>
  <c r="CC1930" i="1"/>
  <c r="CW1930" i="1"/>
  <c r="G2249" i="1"/>
  <c r="V2249" i="1"/>
  <c r="AJ2249" i="1"/>
  <c r="AX2249" i="1"/>
  <c r="BQ2249" i="1"/>
  <c r="BR2249" i="1"/>
  <c r="CC2249" i="1"/>
  <c r="CW2249" i="1"/>
  <c r="G2003" i="1"/>
  <c r="V2003" i="1"/>
  <c r="AJ2003" i="1"/>
  <c r="AX2003" i="1"/>
  <c r="BQ2003" i="1"/>
  <c r="BR2003" i="1"/>
  <c r="CC2003" i="1"/>
  <c r="CW2003" i="1"/>
  <c r="G1096" i="1"/>
  <c r="V1096" i="1"/>
  <c r="AJ1096" i="1"/>
  <c r="AX1096" i="1"/>
  <c r="BQ1096" i="1"/>
  <c r="BR1096" i="1"/>
  <c r="CC1096" i="1"/>
  <c r="CW1096" i="1"/>
  <c r="G1125" i="1"/>
  <c r="V1125" i="1"/>
  <c r="AJ1125" i="1"/>
  <c r="AX1125" i="1"/>
  <c r="BQ1125" i="1"/>
  <c r="BR1125" i="1"/>
  <c r="CC1125" i="1"/>
  <c r="CK1125" i="1"/>
  <c r="CW1125" i="1"/>
  <c r="G1479" i="1"/>
  <c r="V1479" i="1"/>
  <c r="AJ1479" i="1"/>
  <c r="AX1479" i="1"/>
  <c r="BQ1479" i="1"/>
  <c r="BR1479" i="1"/>
  <c r="CC1479" i="1"/>
  <c r="CW1479" i="1"/>
  <c r="G2247" i="1"/>
  <c r="V2247" i="1"/>
  <c r="AJ2247" i="1"/>
  <c r="AX2247" i="1"/>
  <c r="BQ2247" i="1"/>
  <c r="BR2247" i="1"/>
  <c r="CC2247" i="1"/>
  <c r="CW2247" i="1"/>
  <c r="G2273" i="1"/>
  <c r="V2273" i="1"/>
  <c r="AJ2273" i="1"/>
  <c r="AX2273" i="1"/>
  <c r="BQ2273" i="1"/>
  <c r="BR2273" i="1"/>
  <c r="CC2273" i="1"/>
  <c r="CW2273" i="1"/>
  <c r="G1740" i="1"/>
  <c r="V1740" i="1"/>
  <c r="AJ1740" i="1"/>
  <c r="AX1740" i="1"/>
  <c r="BQ1740" i="1"/>
  <c r="BR1740" i="1"/>
  <c r="CC1740" i="1"/>
  <c r="CW1740" i="1"/>
  <c r="G1117" i="1"/>
  <c r="V1117" i="1"/>
  <c r="AJ1117" i="1"/>
  <c r="AX1117" i="1"/>
  <c r="BQ1117" i="1"/>
  <c r="BR1117" i="1"/>
  <c r="CC1117" i="1"/>
  <c r="CW1117" i="1"/>
  <c r="G1884" i="1"/>
  <c r="V1884" i="1"/>
  <c r="AJ1884" i="1"/>
  <c r="AX1884" i="1"/>
  <c r="BQ1884" i="1"/>
  <c r="BR1884" i="1"/>
  <c r="CC1884" i="1"/>
  <c r="CW1884" i="1"/>
  <c r="G1935" i="1"/>
  <c r="V1935" i="1"/>
  <c r="AJ1935" i="1"/>
  <c r="AX1935" i="1"/>
  <c r="BQ1935" i="1"/>
  <c r="BR1935" i="1"/>
  <c r="CC1935" i="1"/>
  <c r="CW1935" i="1"/>
  <c r="G1106" i="1"/>
  <c r="V1106" i="1"/>
  <c r="AJ1106" i="1"/>
  <c r="AX1106" i="1"/>
  <c r="BQ1106" i="1"/>
  <c r="BR1106" i="1"/>
  <c r="CC1106" i="1"/>
  <c r="CW1106" i="1"/>
  <c r="G1269" i="1"/>
  <c r="V1269" i="1"/>
  <c r="AJ1269" i="1"/>
  <c r="AX1269" i="1"/>
  <c r="BQ1269" i="1"/>
  <c r="BR1269" i="1"/>
  <c r="CC1269" i="1"/>
  <c r="CW1269" i="1"/>
  <c r="G2114" i="1"/>
  <c r="V2114" i="1"/>
  <c r="AJ2114" i="1"/>
  <c r="AX2114" i="1"/>
  <c r="BQ2114" i="1"/>
  <c r="BR2114" i="1"/>
  <c r="CC2114" i="1"/>
  <c r="CW2114" i="1"/>
  <c r="G2343" i="1"/>
  <c r="V2343" i="1"/>
  <c r="AJ2343" i="1"/>
  <c r="AX2343" i="1"/>
  <c r="BQ2343" i="1"/>
  <c r="BR2343" i="1"/>
  <c r="CC2343" i="1"/>
  <c r="CW2343" i="1"/>
  <c r="G1173" i="1"/>
  <c r="V1173" i="1"/>
  <c r="AJ1173" i="1"/>
  <c r="AX1173" i="1"/>
  <c r="BQ1173" i="1"/>
  <c r="BR1173" i="1"/>
  <c r="CC1173" i="1"/>
  <c r="CW1173" i="1"/>
  <c r="G2146" i="1"/>
  <c r="V2146" i="1"/>
  <c r="AJ2146" i="1"/>
  <c r="AX2146" i="1"/>
  <c r="BQ2146" i="1"/>
  <c r="BR2146" i="1"/>
  <c r="CC2146" i="1"/>
  <c r="CW2146" i="1"/>
  <c r="G1426" i="1"/>
  <c r="V1426" i="1"/>
  <c r="AJ1426" i="1"/>
  <c r="AX1426" i="1"/>
  <c r="BQ1426" i="1"/>
  <c r="BR1426" i="1"/>
  <c r="CC1426" i="1"/>
  <c r="CW1426" i="1"/>
  <c r="G1153" i="1"/>
  <c r="V1153" i="1"/>
  <c r="AJ1153" i="1"/>
  <c r="AX1153" i="1"/>
  <c r="BQ1153" i="1"/>
  <c r="BR1153" i="1"/>
  <c r="CC1153" i="1"/>
  <c r="CW1153" i="1"/>
  <c r="G1002" i="1"/>
  <c r="V1002" i="1"/>
  <c r="AJ1002" i="1"/>
  <c r="AX1002" i="1"/>
  <c r="BQ1002" i="1"/>
  <c r="BR1002" i="1"/>
  <c r="CC1002" i="1"/>
  <c r="CW1002" i="1"/>
  <c r="G1731" i="1"/>
  <c r="V1731" i="1"/>
  <c r="AJ1731" i="1"/>
  <c r="AX1731" i="1"/>
  <c r="BQ1731" i="1"/>
  <c r="BR1731" i="1"/>
  <c r="CC1731" i="1"/>
  <c r="CW1731" i="1"/>
  <c r="G1881" i="1"/>
  <c r="V1881" i="1"/>
  <c r="AJ1881" i="1"/>
  <c r="AX1881" i="1"/>
  <c r="BQ1881" i="1"/>
  <c r="BR1881" i="1"/>
  <c r="CC1881" i="1"/>
  <c r="CW1881" i="1"/>
  <c r="G2076" i="1"/>
  <c r="V2076" i="1"/>
  <c r="AJ2076" i="1"/>
  <c r="AX2076" i="1"/>
  <c r="BQ2076" i="1"/>
  <c r="BR2076" i="1"/>
  <c r="CC2076" i="1"/>
  <c r="CW2076" i="1"/>
  <c r="G1743" i="1"/>
  <c r="V1743" i="1"/>
  <c r="AJ1743" i="1"/>
  <c r="AX1743" i="1"/>
  <c r="BQ1743" i="1"/>
  <c r="BR1743" i="1"/>
  <c r="CC1743" i="1"/>
  <c r="CW1743" i="1"/>
  <c r="G2141" i="1"/>
  <c r="V2141" i="1"/>
  <c r="AJ2141" i="1"/>
  <c r="AX2141" i="1"/>
  <c r="BQ2141" i="1"/>
  <c r="BR2141" i="1"/>
  <c r="CC2141" i="1"/>
  <c r="CW2141" i="1"/>
  <c r="G1260" i="1"/>
  <c r="V1260" i="1"/>
  <c r="AJ1260" i="1"/>
  <c r="AX1260" i="1"/>
  <c r="BQ1260" i="1"/>
  <c r="BR1260" i="1"/>
  <c r="CC1260" i="1"/>
  <c r="CW1260" i="1"/>
  <c r="G1489" i="1"/>
  <c r="V1489" i="1"/>
  <c r="AJ1489" i="1"/>
  <c r="AX1489" i="1"/>
  <c r="BQ1489" i="1"/>
  <c r="BR1489" i="1"/>
  <c r="CC1489" i="1"/>
  <c r="CW1489" i="1"/>
  <c r="G1366" i="1"/>
  <c r="V1366" i="1"/>
  <c r="AJ1366" i="1"/>
  <c r="AX1366" i="1"/>
  <c r="BQ1366" i="1"/>
  <c r="BR1366" i="1"/>
  <c r="CC1366" i="1"/>
  <c r="CW1366" i="1"/>
  <c r="G1981" i="1"/>
  <c r="V1981" i="1"/>
  <c r="AJ1981" i="1"/>
  <c r="AX1981" i="1"/>
  <c r="BQ1981" i="1"/>
  <c r="BR1981" i="1"/>
  <c r="CC1981" i="1"/>
  <c r="CW1981" i="1"/>
  <c r="G1949" i="1"/>
  <c r="V1949" i="1"/>
  <c r="AJ1949" i="1"/>
  <c r="AX1949" i="1"/>
  <c r="BQ1949" i="1"/>
  <c r="BR1949" i="1"/>
  <c r="CC1949" i="1"/>
  <c r="CW1949" i="1"/>
  <c r="G1362" i="1"/>
  <c r="V1362" i="1"/>
  <c r="AJ1362" i="1"/>
  <c r="AX1362" i="1"/>
  <c r="BQ1362" i="1"/>
  <c r="BR1362" i="1"/>
  <c r="CC1362" i="1"/>
  <c r="CW1362" i="1"/>
  <c r="G2234" i="1"/>
  <c r="V2234" i="1"/>
  <c r="AJ2234" i="1"/>
  <c r="AX2234" i="1"/>
  <c r="BQ2234" i="1"/>
  <c r="BR2234" i="1"/>
  <c r="CC2234" i="1"/>
  <c r="CW2234" i="1"/>
  <c r="G1077" i="1"/>
  <c r="V1077" i="1"/>
  <c r="AJ1077" i="1"/>
  <c r="AX1077" i="1"/>
  <c r="BQ1077" i="1"/>
  <c r="BR1077" i="1"/>
  <c r="CC1077" i="1"/>
  <c r="CW1077" i="1"/>
  <c r="G920" i="1"/>
  <c r="V920" i="1"/>
  <c r="AJ920" i="1"/>
  <c r="AX920" i="1"/>
  <c r="BQ920" i="1"/>
  <c r="BR920" i="1"/>
  <c r="CC920" i="1"/>
  <c r="CW920" i="1"/>
  <c r="G1501" i="1"/>
  <c r="V1501" i="1"/>
  <c r="AJ1501" i="1"/>
  <c r="AX1501" i="1"/>
  <c r="BQ1501" i="1"/>
  <c r="BR1501" i="1"/>
  <c r="CC1501" i="1"/>
  <c r="CW1501" i="1"/>
  <c r="G1030" i="1"/>
  <c r="V1030" i="1"/>
  <c r="AJ1030" i="1"/>
  <c r="AX1030" i="1"/>
  <c r="BQ1030" i="1"/>
  <c r="BR1030" i="1"/>
  <c r="CC1030" i="1"/>
  <c r="CW1030" i="1"/>
  <c r="G1178" i="1"/>
  <c r="V1178" i="1"/>
  <c r="AJ1178" i="1"/>
  <c r="AX1178" i="1"/>
  <c r="BQ1178" i="1"/>
  <c r="BR1178" i="1"/>
  <c r="CC1178" i="1"/>
  <c r="CW1178" i="1"/>
  <c r="G1331" i="1"/>
  <c r="V1331" i="1"/>
  <c r="AJ1331" i="1"/>
  <c r="AX1331" i="1"/>
  <c r="BQ1331" i="1"/>
  <c r="BR1331" i="1"/>
  <c r="CC1331" i="1"/>
  <c r="CW1331" i="1"/>
  <c r="G1968" i="1"/>
  <c r="V1968" i="1"/>
  <c r="AJ1968" i="1"/>
  <c r="AX1968" i="1"/>
  <c r="BQ1968" i="1"/>
  <c r="BR1968" i="1"/>
  <c r="CC1968" i="1"/>
  <c r="CW1968" i="1"/>
  <c r="G1752" i="1"/>
  <c r="V1752" i="1"/>
  <c r="AJ1752" i="1"/>
  <c r="AX1752" i="1"/>
  <c r="BQ1752" i="1"/>
  <c r="BR1752" i="1"/>
  <c r="CC1752" i="1"/>
  <c r="CW1752" i="1"/>
  <c r="G1064" i="1"/>
  <c r="V1064" i="1"/>
  <c r="AJ1064" i="1"/>
  <c r="AX1064" i="1"/>
  <c r="BQ1064" i="1"/>
  <c r="BR1064" i="1"/>
  <c r="CC1064" i="1"/>
  <c r="CW1064" i="1"/>
  <c r="G1052" i="1"/>
  <c r="V1052" i="1"/>
  <c r="AJ1052" i="1"/>
  <c r="AX1052" i="1"/>
  <c r="BQ1052" i="1"/>
  <c r="BR1052" i="1"/>
  <c r="CC1052" i="1"/>
  <c r="CW1052" i="1"/>
  <c r="G896" i="1"/>
  <c r="V896" i="1"/>
  <c r="AJ896" i="1"/>
  <c r="AX896" i="1"/>
  <c r="BQ896" i="1"/>
  <c r="BR896" i="1"/>
  <c r="CC896" i="1"/>
  <c r="CW896" i="1"/>
  <c r="G1133" i="1"/>
  <c r="V1133" i="1"/>
  <c r="AJ1133" i="1"/>
  <c r="AX1133" i="1"/>
  <c r="BQ1133" i="1"/>
  <c r="BR1133" i="1"/>
  <c r="CC1133" i="1"/>
  <c r="CW1133" i="1"/>
  <c r="G1107" i="1"/>
  <c r="V1107" i="1"/>
  <c r="AJ1107" i="1"/>
  <c r="AX1107" i="1"/>
  <c r="BQ1107" i="1"/>
  <c r="BR1107" i="1"/>
  <c r="CC1107" i="1"/>
  <c r="CW1107" i="1"/>
  <c r="G1983" i="1"/>
  <c r="V1983" i="1"/>
  <c r="AJ1983" i="1"/>
  <c r="AX1983" i="1"/>
  <c r="BQ1983" i="1"/>
  <c r="BR1983" i="1"/>
  <c r="CC1983" i="1"/>
  <c r="CW1983" i="1"/>
  <c r="G1063" i="1"/>
  <c r="V1063" i="1"/>
  <c r="AJ1063" i="1"/>
  <c r="AX1063" i="1"/>
  <c r="BQ1063" i="1"/>
  <c r="BR1063" i="1"/>
  <c r="CC1063" i="1"/>
  <c r="CW1063" i="1"/>
  <c r="G971" i="1"/>
  <c r="V971" i="1"/>
  <c r="AJ971" i="1"/>
  <c r="AX971" i="1"/>
  <c r="BQ971" i="1"/>
  <c r="BR971" i="1"/>
  <c r="CC971" i="1"/>
  <c r="CW971" i="1"/>
  <c r="G1776" i="1"/>
  <c r="V1776" i="1"/>
  <c r="AJ1776" i="1"/>
  <c r="AX1776" i="1"/>
  <c r="BQ1776" i="1"/>
  <c r="BR1776" i="1"/>
  <c r="CC1776" i="1"/>
  <c r="CW1776" i="1"/>
  <c r="G2082" i="1"/>
  <c r="V2082" i="1"/>
  <c r="AJ2082" i="1"/>
  <c r="AX2082" i="1"/>
  <c r="BQ2082" i="1"/>
  <c r="BR2082" i="1"/>
  <c r="CC2082" i="1"/>
  <c r="CW2082" i="1"/>
  <c r="G1000" i="1"/>
  <c r="V1000" i="1"/>
  <c r="AJ1000" i="1"/>
  <c r="AX1000" i="1"/>
  <c r="BQ1000" i="1"/>
  <c r="BR1000" i="1"/>
  <c r="CC1000" i="1"/>
  <c r="CW1000" i="1"/>
  <c r="G1387" i="1"/>
  <c r="V1387" i="1"/>
  <c r="AJ1387" i="1"/>
  <c r="AX1387" i="1"/>
  <c r="BQ1387" i="1"/>
  <c r="BR1387" i="1"/>
  <c r="CC1387" i="1"/>
  <c r="CW1387" i="1"/>
  <c r="G1921" i="1"/>
  <c r="V1921" i="1"/>
  <c r="AJ1921" i="1"/>
  <c r="AX1921" i="1"/>
  <c r="BQ1921" i="1"/>
  <c r="BR1921" i="1"/>
  <c r="CC1921" i="1"/>
  <c r="CW1921" i="1"/>
  <c r="G2160" i="1"/>
  <c r="V2160" i="1"/>
  <c r="AJ2160" i="1"/>
  <c r="AX2160" i="1"/>
  <c r="BQ2160" i="1"/>
  <c r="BR2160" i="1"/>
  <c r="CC2160" i="1"/>
  <c r="CW2160" i="1"/>
  <c r="G2152" i="1"/>
  <c r="V2152" i="1"/>
  <c r="AJ2152" i="1"/>
  <c r="AX2152" i="1"/>
  <c r="BQ2152" i="1"/>
  <c r="BR2152" i="1"/>
  <c r="CC2152" i="1"/>
  <c r="CW2152" i="1"/>
  <c r="G1126" i="1"/>
  <c r="V1126" i="1"/>
  <c r="AJ1126" i="1"/>
  <c r="AX1126" i="1"/>
  <c r="BQ1126" i="1"/>
  <c r="BR1126" i="1"/>
  <c r="CC1126" i="1"/>
  <c r="CW1126" i="1"/>
  <c r="G1605" i="1"/>
  <c r="V1605" i="1"/>
  <c r="AJ1605" i="1"/>
  <c r="AX1605" i="1"/>
  <c r="BQ1605" i="1"/>
  <c r="BR1605" i="1"/>
  <c r="CC1605" i="1"/>
  <c r="CW1605" i="1"/>
  <c r="G1614" i="1"/>
  <c r="V1614" i="1"/>
  <c r="AJ1614" i="1"/>
  <c r="AX1614" i="1"/>
  <c r="BQ1614" i="1"/>
  <c r="BR1614" i="1"/>
  <c r="CC1614" i="1"/>
  <c r="CW1614" i="1"/>
  <c r="G1932" i="1"/>
  <c r="V1932" i="1"/>
  <c r="AJ1932" i="1"/>
  <c r="AX1932" i="1"/>
  <c r="BQ1932" i="1"/>
  <c r="BR1932" i="1"/>
  <c r="CC1932" i="1"/>
  <c r="CW1932" i="1"/>
  <c r="G1924" i="1"/>
  <c r="V1924" i="1"/>
  <c r="AJ1924" i="1"/>
  <c r="AX1924" i="1"/>
  <c r="BQ1924" i="1"/>
  <c r="BR1924" i="1"/>
  <c r="CC1924" i="1"/>
  <c r="CW1924" i="1"/>
  <c r="G1436" i="1"/>
  <c r="V1436" i="1"/>
  <c r="AJ1436" i="1"/>
  <c r="AX1436" i="1"/>
  <c r="BQ1436" i="1"/>
  <c r="BR1436" i="1"/>
  <c r="CC1436" i="1"/>
  <c r="CW1436" i="1"/>
  <c r="G915" i="1"/>
  <c r="V915" i="1"/>
  <c r="AJ915" i="1"/>
  <c r="AX915" i="1"/>
  <c r="BQ915" i="1"/>
  <c r="BR915" i="1"/>
  <c r="CC915" i="1"/>
  <c r="CW915" i="1"/>
  <c r="G1727" i="1"/>
  <c r="V1727" i="1"/>
  <c r="AJ1727" i="1"/>
  <c r="AX1727" i="1"/>
  <c r="BQ1727" i="1"/>
  <c r="BR1727" i="1"/>
  <c r="CC1727" i="1"/>
  <c r="CW1727" i="1"/>
  <c r="G1286" i="1"/>
  <c r="V1286" i="1"/>
  <c r="AJ1286" i="1"/>
  <c r="AX1286" i="1"/>
  <c r="BQ1286" i="1"/>
  <c r="BR1286" i="1"/>
  <c r="CC1286" i="1"/>
  <c r="CW1286" i="1"/>
  <c r="G1636" i="1"/>
  <c r="V1636" i="1"/>
  <c r="AJ1636" i="1"/>
  <c r="AX1636" i="1"/>
  <c r="BQ1636" i="1"/>
  <c r="BR1636" i="1"/>
  <c r="CC1636" i="1"/>
  <c r="CW1636" i="1"/>
  <c r="G1606" i="1"/>
  <c r="V1606" i="1"/>
  <c r="AJ1606" i="1"/>
  <c r="AX1606" i="1"/>
  <c r="BQ1606" i="1"/>
  <c r="BR1606" i="1"/>
  <c r="CC1606" i="1"/>
  <c r="CW1606" i="1"/>
  <c r="G2232" i="1"/>
  <c r="V2232" i="1"/>
  <c r="AJ2232" i="1"/>
  <c r="AX2232" i="1"/>
  <c r="BQ2232" i="1"/>
  <c r="BR2232" i="1"/>
  <c r="CC2232" i="1"/>
  <c r="CW2232" i="1"/>
  <c r="G1823" i="1"/>
  <c r="V1823" i="1"/>
  <c r="AJ1823" i="1"/>
  <c r="AX1823" i="1"/>
  <c r="BQ1823" i="1"/>
  <c r="BR1823" i="1"/>
  <c r="CC1823" i="1"/>
  <c r="CW1823" i="1"/>
  <c r="G228" i="1"/>
  <c r="V228" i="1"/>
  <c r="AJ228" i="1"/>
  <c r="AX228" i="1"/>
  <c r="BQ228" i="1"/>
  <c r="BR228" i="1"/>
  <c r="CC228" i="1"/>
  <c r="CW228" i="1"/>
  <c r="G2311" i="1"/>
  <c r="V2311" i="1"/>
  <c r="AJ2311" i="1"/>
  <c r="AX2311" i="1"/>
  <c r="BQ2311" i="1"/>
  <c r="BR2311" i="1"/>
  <c r="CC2311" i="1"/>
  <c r="CW2311" i="1"/>
  <c r="G127" i="1"/>
  <c r="V127" i="1"/>
  <c r="AJ127" i="1"/>
  <c r="AX127" i="1"/>
  <c r="BQ127" i="1"/>
  <c r="BR127" i="1"/>
  <c r="CC127" i="1"/>
  <c r="CW127" i="1"/>
  <c r="G213" i="1"/>
  <c r="V213" i="1"/>
  <c r="AJ213" i="1"/>
  <c r="AX213" i="1"/>
  <c r="BQ213" i="1"/>
  <c r="BR213" i="1"/>
  <c r="CC213" i="1"/>
  <c r="CW213" i="1"/>
  <c r="G448" i="1"/>
  <c r="V448" i="1"/>
  <c r="AJ448" i="1"/>
  <c r="AX448" i="1"/>
  <c r="BQ448" i="1"/>
  <c r="BR448" i="1"/>
  <c r="CC448" i="1"/>
  <c r="CW448" i="1"/>
  <c r="G639" i="1"/>
  <c r="V639" i="1"/>
  <c r="AJ639" i="1"/>
  <c r="AX639" i="1"/>
  <c r="BQ639" i="1"/>
  <c r="BR639" i="1"/>
  <c r="CC639" i="1"/>
  <c r="CW639" i="1"/>
  <c r="G159" i="1"/>
  <c r="V159" i="1"/>
  <c r="AJ159" i="1"/>
  <c r="AX159" i="1"/>
  <c r="BQ159" i="1"/>
  <c r="BR159" i="1"/>
  <c r="CC159" i="1"/>
  <c r="CW159" i="1"/>
  <c r="G93" i="1"/>
  <c r="V93" i="1"/>
  <c r="AJ93" i="1"/>
  <c r="AX93" i="1"/>
  <c r="BQ93" i="1"/>
  <c r="BR93" i="1"/>
  <c r="CC93" i="1"/>
  <c r="CW93" i="1"/>
  <c r="G729" i="1"/>
  <c r="V729" i="1"/>
  <c r="AJ729" i="1"/>
  <c r="AX729" i="1"/>
  <c r="BQ729" i="1"/>
  <c r="BR729" i="1"/>
  <c r="CC729" i="1"/>
  <c r="CW729" i="1"/>
  <c r="G600" i="1"/>
  <c r="V600" i="1"/>
  <c r="AJ600" i="1"/>
  <c r="AX600" i="1"/>
  <c r="BQ600" i="1"/>
  <c r="BR600" i="1"/>
  <c r="CC600" i="1"/>
  <c r="CW600" i="1"/>
  <c r="G57" i="1"/>
  <c r="V57" i="1"/>
  <c r="AJ57" i="1"/>
  <c r="AX57" i="1"/>
  <c r="BQ57" i="1"/>
  <c r="BR57" i="1"/>
  <c r="CC57" i="1"/>
  <c r="CW57" i="1"/>
  <c r="G352" i="1"/>
  <c r="V352" i="1"/>
  <c r="AJ352" i="1"/>
  <c r="AX352" i="1"/>
  <c r="BQ352" i="1"/>
  <c r="BR352" i="1"/>
  <c r="CC352" i="1"/>
  <c r="CW352" i="1"/>
  <c r="G514" i="1"/>
  <c r="V514" i="1"/>
  <c r="AJ514" i="1"/>
  <c r="AX514" i="1"/>
  <c r="BQ514" i="1"/>
  <c r="BR514" i="1"/>
  <c r="CC514" i="1"/>
  <c r="CW514" i="1"/>
  <c r="G2322" i="1"/>
  <c r="V2322" i="1"/>
  <c r="AJ2322" i="1"/>
  <c r="AX2322" i="1"/>
  <c r="BQ2322" i="1"/>
  <c r="BR2322" i="1"/>
  <c r="CC2322" i="1"/>
  <c r="CW2322" i="1"/>
  <c r="G1810" i="1"/>
  <c r="V1810" i="1"/>
  <c r="AJ1810" i="1"/>
  <c r="AX1810" i="1"/>
  <c r="BQ1810" i="1"/>
  <c r="BR1810" i="1"/>
  <c r="CC1810" i="1"/>
  <c r="CW1810" i="1"/>
  <c r="G803" i="1"/>
  <c r="V803" i="1"/>
  <c r="AJ803" i="1"/>
  <c r="AX803" i="1"/>
  <c r="BQ803" i="1"/>
  <c r="BR803" i="1"/>
  <c r="CC803" i="1"/>
  <c r="CW803" i="1"/>
  <c r="G493" i="1"/>
  <c r="V493" i="1"/>
  <c r="AJ493" i="1"/>
  <c r="AX493" i="1"/>
  <c r="BQ493" i="1"/>
  <c r="BR493" i="1"/>
  <c r="CC493" i="1"/>
  <c r="CW493" i="1"/>
  <c r="G117" i="1"/>
  <c r="V117" i="1"/>
  <c r="AJ117" i="1"/>
  <c r="AX117" i="1"/>
  <c r="BQ117" i="1"/>
  <c r="BR117" i="1"/>
  <c r="CC117" i="1"/>
  <c r="CW117" i="1"/>
  <c r="G2282" i="1"/>
  <c r="V2282" i="1"/>
  <c r="AJ2282" i="1"/>
  <c r="AX2282" i="1"/>
  <c r="BQ2282" i="1"/>
  <c r="BR2282" i="1"/>
  <c r="CC2282" i="1"/>
  <c r="CW2282" i="1"/>
  <c r="G2224" i="1"/>
  <c r="V2224" i="1"/>
  <c r="AJ2224" i="1"/>
  <c r="AX2224" i="1"/>
  <c r="BQ2224" i="1"/>
  <c r="BR2224" i="1"/>
  <c r="CC2224" i="1"/>
  <c r="CW2224" i="1"/>
  <c r="G373" i="1"/>
  <c r="V373" i="1"/>
  <c r="AJ373" i="1"/>
  <c r="AX373" i="1"/>
  <c r="BQ373" i="1"/>
  <c r="BR373" i="1"/>
  <c r="CC373" i="1"/>
  <c r="CW373" i="1"/>
  <c r="G732" i="1"/>
  <c r="V732" i="1"/>
  <c r="AJ732" i="1"/>
  <c r="AX732" i="1"/>
  <c r="BQ732" i="1"/>
  <c r="BR732" i="1"/>
  <c r="CC732" i="1"/>
  <c r="CW732" i="1"/>
  <c r="G72" i="1"/>
  <c r="V72" i="1"/>
  <c r="AJ72" i="1"/>
  <c r="AX72" i="1"/>
  <c r="BQ72" i="1"/>
  <c r="BR72" i="1"/>
  <c r="CC72" i="1"/>
  <c r="CW72" i="1"/>
  <c r="G435" i="1"/>
  <c r="V435" i="1"/>
  <c r="AJ435" i="1"/>
  <c r="AX435" i="1"/>
  <c r="BQ435" i="1"/>
  <c r="BR435" i="1"/>
  <c r="CC435" i="1"/>
  <c r="CW435" i="1"/>
  <c r="G364" i="1"/>
  <c r="V364" i="1"/>
  <c r="AJ364" i="1"/>
  <c r="AX364" i="1"/>
  <c r="BQ364" i="1"/>
  <c r="BR364" i="1"/>
  <c r="CC364" i="1"/>
  <c r="CW364" i="1"/>
  <c r="G723" i="1"/>
  <c r="V723" i="1"/>
  <c r="AJ723" i="1"/>
  <c r="AX723" i="1"/>
  <c r="BQ723" i="1"/>
  <c r="BR723" i="1"/>
  <c r="CC723" i="1"/>
  <c r="CW723" i="1"/>
  <c r="G533" i="1"/>
  <c r="V533" i="1"/>
  <c r="AJ533" i="1"/>
  <c r="AX533" i="1"/>
  <c r="BQ533" i="1"/>
  <c r="BR533" i="1"/>
  <c r="CC533" i="1"/>
  <c r="CW533" i="1"/>
  <c r="G724" i="1"/>
  <c r="V724" i="1"/>
  <c r="AJ724" i="1"/>
  <c r="AX724" i="1"/>
  <c r="BQ724" i="1"/>
  <c r="BR724" i="1"/>
  <c r="CC724" i="1"/>
  <c r="CW724" i="1"/>
  <c r="G332" i="1"/>
  <c r="V332" i="1"/>
  <c r="AJ332" i="1"/>
  <c r="AX332" i="1"/>
  <c r="BQ332" i="1"/>
  <c r="BR332" i="1"/>
  <c r="CC332" i="1"/>
  <c r="CW332" i="1"/>
  <c r="G198" i="1"/>
  <c r="V198" i="1"/>
  <c r="AJ198" i="1"/>
  <c r="AX198" i="1"/>
  <c r="BQ198" i="1"/>
  <c r="BR198" i="1"/>
  <c r="CC198" i="1"/>
  <c r="CW198" i="1"/>
  <c r="G1863" i="1"/>
  <c r="V1863" i="1"/>
  <c r="AJ1863" i="1"/>
  <c r="AX1863" i="1"/>
  <c r="BQ1863" i="1"/>
  <c r="BR1863" i="1"/>
  <c r="CC1863" i="1"/>
  <c r="CW1863" i="1"/>
  <c r="G323" i="1"/>
  <c r="V323" i="1"/>
  <c r="AJ323" i="1"/>
  <c r="AX323" i="1"/>
  <c r="BQ323" i="1"/>
  <c r="BR323" i="1"/>
  <c r="CC323" i="1"/>
  <c r="CW323" i="1"/>
  <c r="G756" i="1"/>
  <c r="V756" i="1"/>
  <c r="AJ756" i="1"/>
  <c r="AX756" i="1"/>
  <c r="BQ756" i="1"/>
  <c r="BR756" i="1"/>
  <c r="CC756" i="1"/>
  <c r="CW756" i="1"/>
  <c r="G394" i="1"/>
  <c r="V394" i="1"/>
  <c r="AJ394" i="1"/>
  <c r="AX394" i="1"/>
  <c r="BQ394" i="1"/>
  <c r="BR394" i="1"/>
  <c r="CC394" i="1"/>
  <c r="CW394" i="1"/>
  <c r="G177" i="1"/>
  <c r="V177" i="1"/>
  <c r="AJ177" i="1"/>
  <c r="AX177" i="1"/>
  <c r="BQ177" i="1"/>
  <c r="BR177" i="1"/>
  <c r="CC177" i="1"/>
  <c r="CW177" i="1"/>
  <c r="G612" i="1"/>
  <c r="V612" i="1"/>
  <c r="AJ612" i="1"/>
  <c r="AX612" i="1"/>
  <c r="BQ612" i="1"/>
  <c r="BR612" i="1"/>
  <c r="CC612" i="1"/>
  <c r="CW612" i="1"/>
  <c r="G582" i="1"/>
  <c r="V582" i="1"/>
  <c r="AJ582" i="1"/>
  <c r="AX582" i="1"/>
  <c r="BQ582" i="1"/>
  <c r="BR582" i="1"/>
  <c r="CC582" i="1"/>
  <c r="CW582" i="1"/>
  <c r="G474" i="1"/>
  <c r="V474" i="1"/>
  <c r="AJ474" i="1"/>
  <c r="AX474" i="1"/>
  <c r="BQ474" i="1"/>
  <c r="BR474" i="1"/>
  <c r="CC474" i="1"/>
  <c r="CW474" i="1"/>
  <c r="G116" i="1"/>
  <c r="V116" i="1"/>
  <c r="AJ116" i="1"/>
  <c r="AX116" i="1"/>
  <c r="BQ116" i="1"/>
  <c r="BR116" i="1"/>
  <c r="CC116" i="1"/>
  <c r="CW116" i="1"/>
  <c r="G430" i="1"/>
  <c r="V430" i="1"/>
  <c r="AJ430" i="1"/>
  <c r="AX430" i="1"/>
  <c r="BQ430" i="1"/>
  <c r="BR430" i="1"/>
  <c r="CC430" i="1"/>
  <c r="CW430" i="1"/>
  <c r="G98" i="1"/>
  <c r="V98" i="1"/>
  <c r="AJ98" i="1"/>
  <c r="AX98" i="1"/>
  <c r="BQ98" i="1"/>
  <c r="BR98" i="1"/>
  <c r="CC98" i="1"/>
  <c r="CW98" i="1"/>
  <c r="G517" i="1"/>
  <c r="V517" i="1"/>
  <c r="AJ517" i="1"/>
  <c r="AX517" i="1"/>
  <c r="BQ517" i="1"/>
  <c r="BR517" i="1"/>
  <c r="CC517" i="1"/>
  <c r="CW517" i="1"/>
  <c r="G31" i="1"/>
  <c r="V31" i="1"/>
  <c r="AJ31" i="1"/>
  <c r="AX31" i="1"/>
  <c r="BQ31" i="1"/>
  <c r="BR31" i="1"/>
  <c r="CC31" i="1"/>
  <c r="CW31" i="1"/>
  <c r="G417" i="1"/>
  <c r="V417" i="1"/>
  <c r="AJ417" i="1"/>
  <c r="AX417" i="1"/>
  <c r="BQ417" i="1"/>
  <c r="BR417" i="1"/>
  <c r="CC417" i="1"/>
  <c r="CW417" i="1"/>
  <c r="G51" i="1"/>
  <c r="V51" i="1"/>
  <c r="AJ51" i="1"/>
  <c r="AX51" i="1"/>
  <c r="BQ51" i="1"/>
  <c r="BR51" i="1"/>
  <c r="CC51" i="1"/>
  <c r="CW51" i="1"/>
  <c r="G251" i="1"/>
  <c r="V251" i="1"/>
  <c r="AJ251" i="1"/>
  <c r="AX251" i="1"/>
  <c r="BQ251" i="1"/>
  <c r="BR251" i="1"/>
  <c r="CC251" i="1"/>
  <c r="CW251" i="1"/>
  <c r="G1814" i="1"/>
  <c r="V1814" i="1"/>
  <c r="AJ1814" i="1"/>
  <c r="AX1814" i="1"/>
  <c r="BQ1814" i="1"/>
  <c r="BR1814" i="1"/>
  <c r="CC1814" i="1"/>
  <c r="CW1814" i="1"/>
  <c r="G2335" i="1"/>
  <c r="V2335" i="1"/>
  <c r="AJ2335" i="1"/>
  <c r="AX2335" i="1"/>
  <c r="BQ2335" i="1"/>
  <c r="BR2335" i="1"/>
  <c r="CC2335" i="1"/>
  <c r="CW2335" i="1"/>
  <c r="G1837" i="1"/>
  <c r="V1837" i="1"/>
  <c r="AJ1837" i="1"/>
  <c r="AX1837" i="1"/>
  <c r="BQ1837" i="1"/>
  <c r="BR1837" i="1"/>
  <c r="CC1837" i="1"/>
  <c r="CW1837" i="1"/>
  <c r="G81" i="1"/>
  <c r="V81" i="1"/>
  <c r="AJ81" i="1"/>
  <c r="AX81" i="1"/>
  <c r="BQ81" i="1"/>
  <c r="BR81" i="1"/>
  <c r="CC81" i="1"/>
  <c r="CW81" i="1"/>
  <c r="G605" i="1"/>
  <c r="V605" i="1"/>
  <c r="AJ605" i="1"/>
  <c r="AX605" i="1"/>
  <c r="BQ605" i="1"/>
  <c r="BR605" i="1"/>
  <c r="CC605" i="1"/>
  <c r="CW605" i="1"/>
  <c r="G710" i="1"/>
  <c r="V710" i="1"/>
  <c r="AJ710" i="1"/>
  <c r="AX710" i="1"/>
  <c r="BQ710" i="1"/>
  <c r="BR710" i="1"/>
  <c r="CC710" i="1"/>
  <c r="CW710" i="1"/>
  <c r="G2220" i="1"/>
  <c r="V2220" i="1"/>
  <c r="AJ2220" i="1"/>
  <c r="AX2220" i="1"/>
  <c r="BQ2220" i="1"/>
  <c r="BR2220" i="1"/>
  <c r="CC2220" i="1"/>
  <c r="CW2220" i="1"/>
  <c r="G509" i="1"/>
  <c r="V509" i="1"/>
  <c r="AJ509" i="1"/>
  <c r="AX509" i="1"/>
  <c r="BQ509" i="1"/>
  <c r="BR509" i="1"/>
  <c r="CC509" i="1"/>
  <c r="CW509" i="1"/>
  <c r="G5" i="1"/>
  <c r="V5" i="1"/>
  <c r="AJ5" i="1"/>
  <c r="AX5" i="1"/>
  <c r="BQ5" i="1"/>
  <c r="BR5" i="1"/>
  <c r="CC5" i="1"/>
  <c r="CW5" i="1"/>
  <c r="G581" i="1"/>
  <c r="V581" i="1"/>
  <c r="AJ581" i="1"/>
  <c r="AX581" i="1"/>
  <c r="BQ581" i="1"/>
  <c r="BR581" i="1"/>
  <c r="CC581" i="1"/>
  <c r="CW581" i="1"/>
  <c r="G249" i="1"/>
  <c r="V249" i="1"/>
  <c r="AJ249" i="1"/>
  <c r="AX249" i="1"/>
  <c r="BQ249" i="1"/>
  <c r="BR249" i="1"/>
  <c r="CC249" i="1"/>
  <c r="CW249" i="1"/>
  <c r="G229" i="1"/>
  <c r="V229" i="1"/>
  <c r="AJ229" i="1"/>
  <c r="AX229" i="1"/>
  <c r="BQ229" i="1"/>
  <c r="BR229" i="1"/>
  <c r="CC229" i="1"/>
  <c r="CW229" i="1"/>
  <c r="G451" i="1"/>
  <c r="V451" i="1"/>
  <c r="AJ451" i="1"/>
  <c r="AX451" i="1"/>
  <c r="BQ451" i="1"/>
  <c r="BR451" i="1"/>
  <c r="CC451" i="1"/>
  <c r="CW451" i="1"/>
  <c r="G130" i="1"/>
  <c r="V130" i="1"/>
  <c r="AJ130" i="1"/>
  <c r="AX130" i="1"/>
  <c r="BQ130" i="1"/>
  <c r="BR130" i="1"/>
  <c r="CC130" i="1"/>
  <c r="CW130" i="1"/>
  <c r="G615" i="1"/>
  <c r="V615" i="1"/>
  <c r="AJ615" i="1"/>
  <c r="AX615" i="1"/>
  <c r="BQ615" i="1"/>
  <c r="BR615" i="1"/>
  <c r="CC615" i="1"/>
  <c r="CW615" i="1"/>
  <c r="G2222" i="1"/>
  <c r="V2222" i="1"/>
  <c r="AJ2222" i="1"/>
  <c r="AX2222" i="1"/>
  <c r="BQ2222" i="1"/>
  <c r="BR2222" i="1"/>
  <c r="CC2222" i="1"/>
  <c r="CW2222" i="1"/>
  <c r="G62" i="1"/>
  <c r="V62" i="1"/>
  <c r="AJ62" i="1"/>
  <c r="AX62" i="1"/>
  <c r="BQ62" i="1"/>
  <c r="BR62" i="1"/>
  <c r="CC62" i="1"/>
  <c r="CW62" i="1"/>
  <c r="G1862" i="1"/>
  <c r="V1862" i="1"/>
  <c r="AJ1862" i="1"/>
  <c r="AX1862" i="1"/>
  <c r="BQ1862" i="1"/>
  <c r="BR1862" i="1"/>
  <c r="CC1862" i="1"/>
  <c r="CW1862" i="1"/>
  <c r="G773" i="1"/>
  <c r="V773" i="1"/>
  <c r="AJ773" i="1"/>
  <c r="AX773" i="1"/>
  <c r="BQ773" i="1"/>
  <c r="BR773" i="1"/>
  <c r="CC773" i="1"/>
  <c r="CW773" i="1"/>
  <c r="G782" i="1"/>
  <c r="V782" i="1"/>
  <c r="AJ782" i="1"/>
  <c r="AX782" i="1"/>
  <c r="BQ782" i="1"/>
  <c r="BR782" i="1"/>
  <c r="CC782" i="1"/>
  <c r="CW782" i="1"/>
  <c r="G1661" i="1"/>
  <c r="V1661" i="1"/>
  <c r="AJ1661" i="1"/>
  <c r="AX1661" i="1"/>
  <c r="BQ1661" i="1"/>
  <c r="BR1661" i="1"/>
  <c r="CC1661" i="1"/>
  <c r="CW1661" i="1"/>
  <c r="G606" i="1"/>
  <c r="V606" i="1"/>
  <c r="AJ606" i="1"/>
  <c r="AX606" i="1"/>
  <c r="BQ606" i="1"/>
  <c r="BR606" i="1"/>
  <c r="CC606" i="1"/>
  <c r="CW606" i="1"/>
  <c r="G1618" i="1"/>
  <c r="V1618" i="1"/>
  <c r="AJ1618" i="1"/>
  <c r="AX1618" i="1"/>
  <c r="BQ1618" i="1"/>
  <c r="BR1618" i="1"/>
  <c r="CC1618" i="1"/>
  <c r="CW1618" i="1"/>
  <c r="G2376" i="1"/>
  <c r="V2376" i="1"/>
  <c r="AJ2376" i="1"/>
  <c r="AX2376" i="1"/>
  <c r="BQ2376" i="1"/>
  <c r="BR2376" i="1"/>
  <c r="CC2376" i="1"/>
  <c r="CW2376" i="1"/>
  <c r="G1919" i="1"/>
  <c r="V1919" i="1"/>
  <c r="AJ1919" i="1"/>
  <c r="AX1919" i="1"/>
  <c r="BQ1919" i="1"/>
  <c r="BR1919" i="1"/>
  <c r="CC1919" i="1"/>
  <c r="CW1919" i="1"/>
  <c r="G576" i="1"/>
  <c r="V576" i="1"/>
  <c r="AJ576" i="1"/>
  <c r="AX576" i="1"/>
  <c r="BQ576" i="1"/>
  <c r="BR576" i="1"/>
  <c r="CC576" i="1"/>
  <c r="CW576" i="1"/>
  <c r="G1502" i="1"/>
  <c r="V1502" i="1"/>
  <c r="AJ1502" i="1"/>
  <c r="AX1502" i="1"/>
  <c r="BQ1502" i="1"/>
  <c r="BR1502" i="1"/>
  <c r="CC1502" i="1"/>
  <c r="CW1502" i="1"/>
  <c r="G2385" i="1"/>
  <c r="V2385" i="1"/>
  <c r="AJ2385" i="1"/>
  <c r="AX2385" i="1"/>
  <c r="BQ2385" i="1"/>
  <c r="BR2385" i="1"/>
  <c r="CC2385" i="1"/>
  <c r="CW2385" i="1"/>
  <c r="G1657" i="1"/>
  <c r="V1657" i="1"/>
  <c r="AJ1657" i="1"/>
  <c r="AX1657" i="1"/>
  <c r="BQ1657" i="1"/>
  <c r="BR1657" i="1"/>
  <c r="CC1657" i="1"/>
  <c r="CW1657" i="1"/>
  <c r="G1278" i="1"/>
  <c r="V1278" i="1"/>
  <c r="AJ1278" i="1"/>
  <c r="AX1278" i="1"/>
  <c r="BQ1278" i="1"/>
  <c r="BR1278" i="1"/>
  <c r="CC1278" i="1"/>
  <c r="CW1278" i="1"/>
  <c r="G967" i="1"/>
  <c r="V967" i="1"/>
  <c r="AJ967" i="1"/>
  <c r="AX967" i="1"/>
  <c r="BQ967" i="1"/>
  <c r="BR967" i="1"/>
  <c r="CC967" i="1"/>
  <c r="CW967" i="1"/>
  <c r="G1177" i="1"/>
  <c r="V1177" i="1"/>
  <c r="AJ1177" i="1"/>
  <c r="AX1177" i="1"/>
  <c r="BQ1177" i="1"/>
  <c r="BR1177" i="1"/>
  <c r="CC1177" i="1"/>
  <c r="CW1177" i="1"/>
  <c r="G2338" i="1"/>
  <c r="V2338" i="1"/>
  <c r="AJ2338" i="1"/>
  <c r="AX2338" i="1"/>
  <c r="BQ2338" i="1"/>
  <c r="BR2338" i="1"/>
  <c r="CC2338" i="1"/>
  <c r="CW2338" i="1"/>
  <c r="G1060" i="1"/>
  <c r="V1060" i="1"/>
  <c r="AJ1060" i="1"/>
  <c r="AX1060" i="1"/>
  <c r="BQ1060" i="1"/>
  <c r="BR1060" i="1"/>
  <c r="CC1060" i="1"/>
  <c r="CW1060" i="1"/>
  <c r="G1174" i="1"/>
  <c r="V1174" i="1"/>
  <c r="AJ1174" i="1"/>
  <c r="AX1174" i="1"/>
  <c r="BQ1174" i="1"/>
  <c r="BR1174" i="1"/>
  <c r="CC1174" i="1"/>
  <c r="CW1174" i="1"/>
  <c r="G1659" i="1"/>
  <c r="V1659" i="1"/>
  <c r="AJ1659" i="1"/>
  <c r="AX1659" i="1"/>
  <c r="BQ1659" i="1"/>
  <c r="BR1659" i="1"/>
  <c r="CC1659" i="1"/>
  <c r="CW1659" i="1"/>
  <c r="G1124" i="1"/>
  <c r="V1124" i="1"/>
  <c r="AJ1124" i="1"/>
  <c r="AX1124" i="1"/>
  <c r="BQ1124" i="1"/>
  <c r="BR1124" i="1"/>
  <c r="CC1124" i="1"/>
  <c r="CW1124" i="1"/>
  <c r="G1713" i="1"/>
  <c r="V1713" i="1"/>
  <c r="AJ1713" i="1"/>
  <c r="AX1713" i="1"/>
  <c r="BQ1713" i="1"/>
  <c r="BR1713" i="1"/>
  <c r="CC1713" i="1"/>
  <c r="CW1713" i="1"/>
  <c r="G870" i="1"/>
  <c r="V870" i="1"/>
  <c r="AJ870" i="1"/>
  <c r="AX870" i="1"/>
  <c r="BQ870" i="1"/>
  <c r="BR870" i="1"/>
  <c r="CC870" i="1"/>
  <c r="CW870" i="1"/>
  <c r="G1570" i="1"/>
  <c r="V1570" i="1"/>
  <c r="AJ1570" i="1"/>
  <c r="AX1570" i="1"/>
  <c r="BQ1570" i="1"/>
  <c r="BR1570" i="1"/>
  <c r="CC1570" i="1"/>
  <c r="CW1570" i="1"/>
  <c r="G1504" i="1"/>
  <c r="V1504" i="1"/>
  <c r="AJ1504" i="1"/>
  <c r="AX1504" i="1"/>
  <c r="BQ1504" i="1"/>
  <c r="BR1504" i="1"/>
  <c r="CC1504" i="1"/>
  <c r="CW1504" i="1"/>
  <c r="G2009" i="1"/>
  <c r="V2009" i="1"/>
  <c r="AJ2009" i="1"/>
  <c r="AX2009" i="1"/>
  <c r="BQ2009" i="1"/>
  <c r="BR2009" i="1"/>
  <c r="CC2009" i="1"/>
  <c r="CW2009" i="1"/>
  <c r="G1667" i="1"/>
  <c r="V1667" i="1"/>
  <c r="AJ1667" i="1"/>
  <c r="AX1667" i="1"/>
  <c r="BQ1667" i="1"/>
  <c r="BR1667" i="1"/>
  <c r="CC1667" i="1"/>
  <c r="CW1667" i="1"/>
  <c r="G1114" i="1"/>
  <c r="V1114" i="1"/>
  <c r="AJ1114" i="1"/>
  <c r="AX1114" i="1"/>
  <c r="BQ1114" i="1"/>
  <c r="BR1114" i="1"/>
  <c r="CC1114" i="1"/>
  <c r="CW1114" i="1"/>
  <c r="G1766" i="1"/>
  <c r="V1766" i="1"/>
  <c r="AJ1766" i="1"/>
  <c r="AX1766" i="1"/>
  <c r="BQ1766" i="1"/>
  <c r="BR1766" i="1"/>
  <c r="CC1766" i="1"/>
  <c r="CW1766" i="1"/>
  <c r="G2371" i="1"/>
  <c r="V2371" i="1"/>
  <c r="AJ2371" i="1"/>
  <c r="AX2371" i="1"/>
  <c r="BQ2371" i="1"/>
  <c r="BR2371" i="1"/>
  <c r="CC2371" i="1"/>
  <c r="CW2371" i="1"/>
  <c r="G2103" i="1"/>
  <c r="V2103" i="1"/>
  <c r="AJ2103" i="1"/>
  <c r="AX2103" i="1"/>
  <c r="BQ2103" i="1"/>
  <c r="BR2103" i="1"/>
  <c r="CC2103" i="1"/>
  <c r="CW2103" i="1"/>
  <c r="G2091" i="1"/>
  <c r="V2091" i="1"/>
  <c r="AJ2091" i="1"/>
  <c r="AX2091" i="1"/>
  <c r="BQ2091" i="1"/>
  <c r="BR2091" i="1"/>
  <c r="CC2091" i="1"/>
  <c r="CW2091" i="1"/>
  <c r="G2089" i="1"/>
  <c r="V2089" i="1"/>
  <c r="AJ2089" i="1"/>
  <c r="AX2089" i="1"/>
  <c r="BQ2089" i="1"/>
  <c r="BR2089" i="1"/>
  <c r="CC2089" i="1"/>
  <c r="CW2089" i="1"/>
  <c r="G1975" i="1"/>
  <c r="V1975" i="1"/>
  <c r="AJ1975" i="1"/>
  <c r="AX1975" i="1"/>
  <c r="BQ1975" i="1"/>
  <c r="BR1975" i="1"/>
  <c r="CC1975" i="1"/>
  <c r="CW1975" i="1"/>
  <c r="G938" i="1"/>
  <c r="V938" i="1"/>
  <c r="AJ938" i="1"/>
  <c r="AX938" i="1"/>
  <c r="BQ938" i="1"/>
  <c r="BR938" i="1"/>
  <c r="CC938" i="1"/>
  <c r="CW938" i="1"/>
  <c r="G1716" i="1"/>
  <c r="V1716" i="1"/>
  <c r="AJ1716" i="1"/>
  <c r="AX1716" i="1"/>
  <c r="BQ1716" i="1"/>
  <c r="BR1716" i="1"/>
  <c r="CC1716" i="1"/>
  <c r="CW1716" i="1"/>
  <c r="G1513" i="1"/>
  <c r="V1513" i="1"/>
  <c r="AJ1513" i="1"/>
  <c r="AX1513" i="1"/>
  <c r="BQ1513" i="1"/>
  <c r="BR1513" i="1"/>
  <c r="CC1513" i="1"/>
  <c r="CW1513" i="1"/>
  <c r="G835" i="1"/>
  <c r="V835" i="1"/>
  <c r="AJ835" i="1"/>
  <c r="AX835" i="1"/>
  <c r="BQ835" i="1"/>
  <c r="BR835" i="1"/>
  <c r="CC835" i="1"/>
  <c r="CW835" i="1"/>
  <c r="G1575" i="1"/>
  <c r="V1575" i="1"/>
  <c r="AJ1575" i="1"/>
  <c r="AX1575" i="1"/>
  <c r="BQ1575" i="1"/>
  <c r="BR1575" i="1"/>
  <c r="CC1575" i="1"/>
  <c r="CW1575" i="1"/>
  <c r="G1787" i="1"/>
  <c r="V1787" i="1"/>
  <c r="AJ1787" i="1"/>
  <c r="AX1787" i="1"/>
  <c r="BQ1787" i="1"/>
  <c r="BR1787" i="1"/>
  <c r="CC1787" i="1"/>
  <c r="CW1787" i="1"/>
  <c r="G963" i="1"/>
  <c r="V963" i="1"/>
  <c r="AJ963" i="1"/>
  <c r="AX963" i="1"/>
  <c r="BQ963" i="1"/>
  <c r="BR963" i="1"/>
  <c r="CC963" i="1"/>
  <c r="CW963" i="1"/>
  <c r="G1687" i="1"/>
  <c r="V1687" i="1"/>
  <c r="AJ1687" i="1"/>
  <c r="AX1687" i="1"/>
  <c r="BQ1687" i="1"/>
  <c r="BR1687" i="1"/>
  <c r="CC1687" i="1"/>
  <c r="CW1687" i="1"/>
  <c r="G1202" i="1"/>
  <c r="V1202" i="1"/>
  <c r="AJ1202" i="1"/>
  <c r="AX1202" i="1"/>
  <c r="BQ1202" i="1"/>
  <c r="BR1202" i="1"/>
  <c r="CC1202" i="1"/>
  <c r="CW1202" i="1"/>
  <c r="G1105" i="1"/>
  <c r="V1105" i="1"/>
  <c r="AJ1105" i="1"/>
  <c r="AX1105" i="1"/>
  <c r="BQ1105" i="1"/>
  <c r="BR1105" i="1"/>
  <c r="CC1105" i="1"/>
  <c r="CW1105" i="1"/>
  <c r="G993" i="1"/>
  <c r="V993" i="1"/>
  <c r="AJ993" i="1"/>
  <c r="AX993" i="1"/>
  <c r="BQ993" i="1"/>
  <c r="BR993" i="1"/>
  <c r="CC993" i="1"/>
  <c r="CW993" i="1"/>
  <c r="G952" i="1"/>
  <c r="V952" i="1"/>
  <c r="AJ952" i="1"/>
  <c r="AX952" i="1"/>
  <c r="BQ952" i="1"/>
  <c r="BR952" i="1"/>
  <c r="CC952" i="1"/>
  <c r="CW952" i="1"/>
  <c r="G909" i="1"/>
  <c r="V909" i="1"/>
  <c r="AJ909" i="1"/>
  <c r="AX909" i="1"/>
  <c r="BQ909" i="1"/>
  <c r="BR909" i="1"/>
  <c r="CC909" i="1"/>
  <c r="CW909" i="1"/>
  <c r="G1507" i="1"/>
  <c r="V1507" i="1"/>
  <c r="AJ1507" i="1"/>
  <c r="AX1507" i="1"/>
  <c r="BQ1507" i="1"/>
  <c r="BR1507" i="1"/>
  <c r="CC1507" i="1"/>
  <c r="CW1507" i="1"/>
  <c r="G1227" i="1"/>
  <c r="V1227" i="1"/>
  <c r="AJ1227" i="1"/>
  <c r="AX1227" i="1"/>
  <c r="BQ1227" i="1"/>
  <c r="BR1227" i="1"/>
  <c r="CC1227" i="1"/>
  <c r="CW1227" i="1"/>
  <c r="G1938" i="1"/>
  <c r="V1938" i="1"/>
  <c r="AJ1938" i="1"/>
  <c r="AX1938" i="1"/>
  <c r="BQ1938" i="1"/>
  <c r="BR1938" i="1"/>
  <c r="CC1938" i="1"/>
  <c r="CW1938" i="1"/>
  <c r="G1182" i="1"/>
  <c r="V1182" i="1"/>
  <c r="AJ1182" i="1"/>
  <c r="AX1182" i="1"/>
  <c r="BQ1182" i="1"/>
  <c r="BR1182" i="1"/>
  <c r="CC1182" i="1"/>
  <c r="CW1182" i="1"/>
  <c r="G912" i="1"/>
  <c r="V912" i="1"/>
  <c r="AJ912" i="1"/>
  <c r="AX912" i="1"/>
  <c r="BQ912" i="1"/>
  <c r="BR912" i="1"/>
  <c r="CC912" i="1"/>
  <c r="CW912" i="1"/>
  <c r="G1775" i="1"/>
  <c r="V1775" i="1"/>
  <c r="AJ1775" i="1"/>
  <c r="AX1775" i="1"/>
  <c r="BQ1775" i="1"/>
  <c r="BR1775" i="1"/>
  <c r="CC1775" i="1"/>
  <c r="CW1775" i="1"/>
  <c r="G1422" i="1"/>
  <c r="V1422" i="1"/>
  <c r="AJ1422" i="1"/>
  <c r="AX1422" i="1"/>
  <c r="BQ1422" i="1"/>
  <c r="BR1422" i="1"/>
  <c r="CC1422" i="1"/>
  <c r="CW1422" i="1"/>
  <c r="G983" i="1"/>
  <c r="V983" i="1"/>
  <c r="AJ983" i="1"/>
  <c r="AX983" i="1"/>
  <c r="BQ983" i="1"/>
  <c r="BR983" i="1"/>
  <c r="CC983" i="1"/>
  <c r="CW983" i="1"/>
  <c r="G1186" i="1"/>
  <c r="V1186" i="1"/>
  <c r="AJ1186" i="1"/>
  <c r="AX1186" i="1"/>
  <c r="BQ1186" i="1"/>
  <c r="BR1186" i="1"/>
  <c r="CC1186" i="1"/>
  <c r="CW1186" i="1"/>
  <c r="G2088" i="1"/>
  <c r="V2088" i="1"/>
  <c r="AJ2088" i="1"/>
  <c r="AX2088" i="1"/>
  <c r="BQ2088" i="1"/>
  <c r="BR2088" i="1"/>
  <c r="CC2088" i="1"/>
  <c r="CW2088" i="1"/>
  <c r="G1358" i="1"/>
  <c r="V1358" i="1"/>
  <c r="AJ1358" i="1"/>
  <c r="AX1358" i="1"/>
  <c r="BQ1358" i="1"/>
  <c r="BR1358" i="1"/>
  <c r="CC1358" i="1"/>
  <c r="CW1358" i="1"/>
  <c r="G1338" i="1"/>
  <c r="V1338" i="1"/>
  <c r="AJ1338" i="1"/>
  <c r="AX1338" i="1"/>
  <c r="BQ1338" i="1"/>
  <c r="BR1338" i="1"/>
  <c r="CC1338" i="1"/>
  <c r="CW1338" i="1"/>
  <c r="G1792" i="1"/>
  <c r="V1792" i="1"/>
  <c r="AJ1792" i="1"/>
  <c r="AX1792" i="1"/>
  <c r="BQ1792" i="1"/>
  <c r="BR1792" i="1"/>
  <c r="CC1792" i="1"/>
  <c r="CW1792" i="1"/>
  <c r="G2365" i="1"/>
  <c r="V2365" i="1"/>
  <c r="AJ2365" i="1"/>
  <c r="AX2365" i="1"/>
  <c r="BQ2365" i="1"/>
  <c r="BR2365" i="1"/>
  <c r="CC2365" i="1"/>
  <c r="CW2365" i="1"/>
  <c r="G1448" i="1"/>
  <c r="V1448" i="1"/>
  <c r="AJ1448" i="1"/>
  <c r="AX1448" i="1"/>
  <c r="BQ1448" i="1"/>
  <c r="BR1448" i="1"/>
  <c r="CC1448" i="1"/>
  <c r="CW1448" i="1"/>
  <c r="G838" i="1"/>
  <c r="V838" i="1"/>
  <c r="AJ838" i="1"/>
  <c r="AX838" i="1"/>
  <c r="BQ838" i="1"/>
  <c r="BR838" i="1"/>
  <c r="CC838" i="1"/>
  <c r="CW838" i="1"/>
  <c r="G1405" i="1"/>
  <c r="V1405" i="1"/>
  <c r="AJ1405" i="1"/>
  <c r="AX1405" i="1"/>
  <c r="BQ1405" i="1"/>
  <c r="BR1405" i="1"/>
  <c r="CC1405" i="1"/>
  <c r="CW1405" i="1"/>
  <c r="G1284" i="1"/>
  <c r="V1284" i="1"/>
  <c r="AJ1284" i="1"/>
  <c r="AX1284" i="1"/>
  <c r="BQ1284" i="1"/>
  <c r="BR1284" i="1"/>
  <c r="CC1284" i="1"/>
  <c r="CW1284" i="1"/>
  <c r="G1588" i="1"/>
  <c r="V1588" i="1"/>
  <c r="AJ1588" i="1"/>
  <c r="AX1588" i="1"/>
  <c r="BQ1588" i="1"/>
  <c r="BR1588" i="1"/>
  <c r="CC1588" i="1"/>
  <c r="CW1588" i="1"/>
  <c r="G1205" i="1"/>
  <c r="V1205" i="1"/>
  <c r="AJ1205" i="1"/>
  <c r="AX1205" i="1"/>
  <c r="BQ1205" i="1"/>
  <c r="BR1205" i="1"/>
  <c r="CC1205" i="1"/>
  <c r="CW1205" i="1"/>
  <c r="G1317" i="1"/>
  <c r="V1317" i="1"/>
  <c r="AJ1317" i="1"/>
  <c r="AX1317" i="1"/>
  <c r="BQ1317" i="1"/>
  <c r="BR1317" i="1"/>
  <c r="CC1317" i="1"/>
  <c r="CW1317" i="1"/>
  <c r="G950" i="1"/>
  <c r="V950" i="1"/>
  <c r="AJ950" i="1"/>
  <c r="AX950" i="1"/>
  <c r="BQ950" i="1"/>
  <c r="BR950" i="1"/>
  <c r="CC950" i="1"/>
  <c r="CW950" i="1"/>
  <c r="G1017" i="1"/>
  <c r="V1017" i="1"/>
  <c r="AJ1017" i="1"/>
  <c r="AX1017" i="1"/>
  <c r="BQ1017" i="1"/>
  <c r="BR1017" i="1"/>
  <c r="CC1017" i="1"/>
  <c r="CW1017" i="1"/>
  <c r="G2188" i="1"/>
  <c r="V2188" i="1"/>
  <c r="AJ2188" i="1"/>
  <c r="AX2188" i="1"/>
  <c r="BQ2188" i="1"/>
  <c r="BR2188" i="1"/>
  <c r="CC2188" i="1"/>
  <c r="CW2188" i="1"/>
  <c r="G1540" i="1"/>
  <c r="V1540" i="1"/>
  <c r="AJ1540" i="1"/>
  <c r="AX1540" i="1"/>
  <c r="BQ1540" i="1"/>
  <c r="BR1540" i="1"/>
  <c r="CC1540" i="1"/>
  <c r="CW1540" i="1"/>
  <c r="G2164" i="1"/>
  <c r="V2164" i="1"/>
  <c r="AJ2164" i="1"/>
  <c r="AX2164" i="1"/>
  <c r="BQ2164" i="1"/>
  <c r="BR2164" i="1"/>
  <c r="CC2164" i="1"/>
  <c r="CW2164" i="1"/>
  <c r="G1445" i="1"/>
  <c r="V1445" i="1"/>
  <c r="AJ1445" i="1"/>
  <c r="AX1445" i="1"/>
  <c r="BQ1445" i="1"/>
  <c r="BR1445" i="1"/>
  <c r="CC1445" i="1"/>
  <c r="CW1445" i="1"/>
  <c r="G982" i="1"/>
  <c r="V982" i="1"/>
  <c r="AJ982" i="1"/>
  <c r="AX982" i="1"/>
  <c r="BQ982" i="1"/>
  <c r="BR982" i="1"/>
  <c r="CC982" i="1"/>
  <c r="CW982" i="1"/>
  <c r="G1080" i="1"/>
  <c r="V1080" i="1"/>
  <c r="AJ1080" i="1"/>
  <c r="AX1080" i="1"/>
  <c r="BQ1080" i="1"/>
  <c r="BR1080" i="1"/>
  <c r="CC1080" i="1"/>
  <c r="CW1080" i="1"/>
  <c r="G1607" i="1"/>
  <c r="V1607" i="1"/>
  <c r="AJ1607" i="1"/>
  <c r="AX1607" i="1"/>
  <c r="BQ1607" i="1"/>
  <c r="BR1607" i="1"/>
  <c r="CC1607" i="1"/>
  <c r="CW1607" i="1"/>
  <c r="G1383" i="1"/>
  <c r="V1383" i="1"/>
  <c r="AJ1383" i="1"/>
  <c r="AX1383" i="1"/>
  <c r="BQ1383" i="1"/>
  <c r="BR1383" i="1"/>
  <c r="CC1383" i="1"/>
  <c r="CW1383" i="1"/>
  <c r="G1276" i="1"/>
  <c r="V1276" i="1"/>
  <c r="AJ1276" i="1"/>
  <c r="AX1276" i="1"/>
  <c r="BQ1276" i="1"/>
  <c r="BR1276" i="1"/>
  <c r="CC1276" i="1"/>
  <c r="CW1276" i="1"/>
  <c r="G1112" i="1"/>
  <c r="V1112" i="1"/>
  <c r="AJ1112" i="1"/>
  <c r="AX1112" i="1"/>
  <c r="BQ1112" i="1"/>
  <c r="BR1112" i="1"/>
  <c r="CC1112" i="1"/>
  <c r="CW1112" i="1"/>
  <c r="G1237" i="1"/>
  <c r="V1237" i="1"/>
  <c r="AJ1237" i="1"/>
  <c r="AX1237" i="1"/>
  <c r="BQ1237" i="1"/>
  <c r="BR1237" i="1"/>
  <c r="CC1237" i="1"/>
  <c r="CW1237" i="1"/>
  <c r="G1450" i="1"/>
  <c r="V1450" i="1"/>
  <c r="AJ1450" i="1"/>
  <c r="AX1450" i="1"/>
  <c r="BQ1450" i="1"/>
  <c r="BR1450" i="1"/>
  <c r="CC1450" i="1"/>
  <c r="CW1450" i="1"/>
  <c r="G1059" i="1"/>
  <c r="V1059" i="1"/>
  <c r="AJ1059" i="1"/>
  <c r="AX1059" i="1"/>
  <c r="BQ1059" i="1"/>
  <c r="BR1059" i="1"/>
  <c r="CC1059" i="1"/>
  <c r="CW1059" i="1"/>
  <c r="G1461" i="1"/>
  <c r="V1461" i="1"/>
  <c r="AJ1461" i="1"/>
  <c r="AX1461" i="1"/>
  <c r="BQ1461" i="1"/>
  <c r="BR1461" i="1"/>
  <c r="CC1461" i="1"/>
  <c r="CW1461" i="1"/>
  <c r="G1587" i="1"/>
  <c r="V1587" i="1"/>
  <c r="AJ1587" i="1"/>
  <c r="AX1587" i="1"/>
  <c r="BQ1587" i="1"/>
  <c r="BR1587" i="1"/>
  <c r="CC1587" i="1"/>
  <c r="CW1587" i="1"/>
  <c r="G863" i="1"/>
  <c r="V863" i="1"/>
  <c r="AJ863" i="1"/>
  <c r="AX863" i="1"/>
  <c r="BQ863" i="1"/>
  <c r="BR863" i="1"/>
  <c r="CC863" i="1"/>
  <c r="CW863" i="1"/>
  <c r="G1319" i="1"/>
  <c r="V1319" i="1"/>
  <c r="AJ1319" i="1"/>
  <c r="AX1319" i="1"/>
  <c r="BQ1319" i="1"/>
  <c r="BR1319" i="1"/>
  <c r="CC1319" i="1"/>
  <c r="CW1319" i="1"/>
  <c r="G1590" i="1"/>
  <c r="V1590" i="1"/>
  <c r="AJ1590" i="1"/>
  <c r="AX1590" i="1"/>
  <c r="BQ1590" i="1"/>
  <c r="BR1590" i="1"/>
  <c r="CC1590" i="1"/>
  <c r="CW1590" i="1"/>
  <c r="G1583" i="1"/>
  <c r="V1583" i="1"/>
  <c r="AJ1583" i="1"/>
  <c r="AX1583" i="1"/>
  <c r="BQ1583" i="1"/>
  <c r="BR1583" i="1"/>
  <c r="CC1583" i="1"/>
  <c r="CW1583" i="1"/>
  <c r="G1388" i="1"/>
  <c r="V1388" i="1"/>
  <c r="AJ1388" i="1"/>
  <c r="AX1388" i="1"/>
  <c r="BQ1388" i="1"/>
  <c r="BR1388" i="1"/>
  <c r="CC1388" i="1"/>
  <c r="CW1388" i="1"/>
  <c r="G1378" i="1"/>
  <c r="V1378" i="1"/>
  <c r="AJ1378" i="1"/>
  <c r="AX1378" i="1"/>
  <c r="BQ1378" i="1"/>
  <c r="BR1378" i="1"/>
  <c r="CC1378" i="1"/>
  <c r="CW1378" i="1"/>
  <c r="G1876" i="1"/>
  <c r="V1876" i="1"/>
  <c r="AJ1876" i="1"/>
  <c r="AX1876" i="1"/>
  <c r="BQ1876" i="1"/>
  <c r="BR1876" i="1"/>
  <c r="CC1876" i="1"/>
  <c r="CW1876" i="1"/>
  <c r="G1632" i="1"/>
  <c r="V1632" i="1"/>
  <c r="AJ1632" i="1"/>
  <c r="AX1632" i="1"/>
  <c r="BQ1632" i="1"/>
  <c r="BR1632" i="1"/>
  <c r="CC1632" i="1"/>
  <c r="CW1632" i="1"/>
  <c r="G969" i="1"/>
  <c r="V969" i="1"/>
  <c r="AJ969" i="1"/>
  <c r="AX969" i="1"/>
  <c r="BQ969" i="1"/>
  <c r="BR969" i="1"/>
  <c r="CC969" i="1"/>
  <c r="CW969" i="1"/>
  <c r="G1470" i="1"/>
  <c r="V1470" i="1"/>
  <c r="AJ1470" i="1"/>
  <c r="AX1470" i="1"/>
  <c r="BQ1470" i="1"/>
  <c r="BR1470" i="1"/>
  <c r="CC1470" i="1"/>
  <c r="CW1470" i="1"/>
  <c r="G1980" i="1"/>
  <c r="V1980" i="1"/>
  <c r="AJ1980" i="1"/>
  <c r="AX1980" i="1"/>
  <c r="BQ1980" i="1"/>
  <c r="BR1980" i="1"/>
  <c r="CC1980" i="1"/>
  <c r="CW1980" i="1"/>
  <c r="G1993" i="1"/>
  <c r="V1993" i="1"/>
  <c r="AJ1993" i="1"/>
  <c r="AX1993" i="1"/>
  <c r="BQ1993" i="1"/>
  <c r="BR1993" i="1"/>
  <c r="CC1993" i="1"/>
  <c r="CW1993" i="1"/>
  <c r="G929" i="1"/>
  <c r="V929" i="1"/>
  <c r="AJ929" i="1"/>
  <c r="AX929" i="1"/>
  <c r="BQ929" i="1"/>
  <c r="BR929" i="1"/>
  <c r="CC929" i="1"/>
  <c r="CW929" i="1"/>
  <c r="G1684" i="1"/>
  <c r="V1684" i="1"/>
  <c r="AJ1684" i="1"/>
  <c r="AX1684" i="1"/>
  <c r="BQ1684" i="1"/>
  <c r="BR1684" i="1"/>
  <c r="CC1684" i="1"/>
  <c r="CW1684" i="1"/>
  <c r="G992" i="1"/>
  <c r="V992" i="1"/>
  <c r="AJ992" i="1"/>
  <c r="AX992" i="1"/>
  <c r="BQ992" i="1"/>
  <c r="BR992" i="1"/>
  <c r="CC992" i="1"/>
  <c r="CW992" i="1"/>
  <c r="G1960" i="1"/>
  <c r="V1960" i="1"/>
  <c r="AJ1960" i="1"/>
  <c r="AX1960" i="1"/>
  <c r="BQ1960" i="1"/>
  <c r="BR1960" i="1"/>
  <c r="CC1960" i="1"/>
  <c r="CW1960" i="1"/>
  <c r="G1121" i="1"/>
  <c r="V1121" i="1"/>
  <c r="AJ1121" i="1"/>
  <c r="AX1121" i="1"/>
  <c r="BQ1121" i="1"/>
  <c r="BR1121" i="1"/>
  <c r="CC1121" i="1"/>
  <c r="CW1121" i="1"/>
  <c r="G153" i="1"/>
  <c r="V153" i="1"/>
  <c r="AJ153" i="1"/>
  <c r="AX153" i="1"/>
  <c r="BQ153" i="1"/>
  <c r="BR153" i="1"/>
  <c r="CC153" i="1"/>
  <c r="CW153" i="1"/>
  <c r="G230" i="1"/>
  <c r="V230" i="1"/>
  <c r="AJ230" i="1"/>
  <c r="AX230" i="1"/>
  <c r="BQ230" i="1"/>
  <c r="BR230" i="1"/>
  <c r="CC230" i="1"/>
  <c r="CW230" i="1"/>
  <c r="G567" i="1"/>
  <c r="V567" i="1"/>
  <c r="AJ567" i="1"/>
  <c r="AX567" i="1"/>
  <c r="BQ567" i="1"/>
  <c r="BR567" i="1"/>
  <c r="CC567" i="1"/>
  <c r="CW567" i="1"/>
  <c r="G413" i="1"/>
  <c r="V413" i="1"/>
  <c r="AJ413" i="1"/>
  <c r="AX413" i="1"/>
  <c r="BQ413" i="1"/>
  <c r="BR413" i="1"/>
  <c r="CC413" i="1"/>
  <c r="CW413" i="1"/>
  <c r="G1817" i="1"/>
  <c r="V1817" i="1"/>
  <c r="AJ1817" i="1"/>
  <c r="AX1817" i="1"/>
  <c r="BQ1817" i="1"/>
  <c r="BR1817" i="1"/>
  <c r="CC1817" i="1"/>
  <c r="CW1817" i="1"/>
  <c r="G449" i="1"/>
  <c r="V449" i="1"/>
  <c r="AJ449" i="1"/>
  <c r="AX449" i="1"/>
  <c r="BQ449" i="1"/>
  <c r="BR449" i="1"/>
  <c r="CC449" i="1"/>
  <c r="CW449" i="1"/>
  <c r="G733" i="1"/>
  <c r="V733" i="1"/>
  <c r="AJ733" i="1"/>
  <c r="AX733" i="1"/>
  <c r="BQ733" i="1"/>
  <c r="BR733" i="1"/>
  <c r="CC733" i="1"/>
  <c r="CW733" i="1"/>
  <c r="G411" i="1"/>
  <c r="V411" i="1"/>
  <c r="AJ411" i="1"/>
  <c r="AX411" i="1"/>
  <c r="BQ411" i="1"/>
  <c r="BR411" i="1"/>
  <c r="CC411" i="1"/>
  <c r="CW411" i="1"/>
  <c r="G318" i="1"/>
  <c r="V318" i="1"/>
  <c r="AJ318" i="1"/>
  <c r="AX318" i="1"/>
  <c r="BQ318" i="1"/>
  <c r="BR318" i="1"/>
  <c r="CC318" i="1"/>
  <c r="CW318" i="1"/>
  <c r="G2215" i="1"/>
  <c r="V2215" i="1"/>
  <c r="AJ2215" i="1"/>
  <c r="AX2215" i="1"/>
  <c r="BQ2215" i="1"/>
  <c r="BR2215" i="1"/>
  <c r="CC2215" i="1"/>
  <c r="CW2215" i="1"/>
  <c r="G1824" i="1"/>
  <c r="V1824" i="1"/>
  <c r="AJ1824" i="1"/>
  <c r="AX1824" i="1"/>
  <c r="BQ1824" i="1"/>
  <c r="BR1824" i="1"/>
  <c r="CC1824" i="1"/>
  <c r="CW1824" i="1"/>
  <c r="G176" i="1"/>
  <c r="V176" i="1"/>
  <c r="AJ176" i="1"/>
  <c r="AX176" i="1"/>
  <c r="BQ176" i="1"/>
  <c r="BR176" i="1"/>
  <c r="CC176" i="1"/>
  <c r="CW176" i="1"/>
  <c r="G589" i="1"/>
  <c r="V589" i="1"/>
  <c r="AJ589" i="1"/>
  <c r="AX589" i="1"/>
  <c r="BQ589" i="1"/>
  <c r="BR589" i="1"/>
  <c r="CC589" i="1"/>
  <c r="CW589" i="1"/>
  <c r="G277" i="1"/>
  <c r="V277" i="1"/>
  <c r="AJ277" i="1"/>
  <c r="AX277" i="1"/>
  <c r="BQ277" i="1"/>
  <c r="BR277" i="1"/>
  <c r="CC277" i="1"/>
  <c r="CW277" i="1"/>
  <c r="G237" i="1"/>
  <c r="V237" i="1"/>
  <c r="AJ237" i="1"/>
  <c r="AX237" i="1"/>
  <c r="BQ237" i="1"/>
  <c r="BR237" i="1"/>
  <c r="CC237" i="1"/>
  <c r="CW237" i="1"/>
  <c r="G655" i="1"/>
  <c r="V655" i="1"/>
  <c r="AJ655" i="1"/>
  <c r="AX655" i="1"/>
  <c r="BQ655" i="1"/>
  <c r="BR655" i="1"/>
  <c r="CC655" i="1"/>
  <c r="CW655" i="1"/>
  <c r="G823" i="1"/>
  <c r="V823" i="1"/>
  <c r="AJ823" i="1"/>
  <c r="AX823" i="1"/>
  <c r="BQ823" i="1"/>
  <c r="BR823" i="1"/>
  <c r="CC823" i="1"/>
  <c r="CW823" i="1"/>
  <c r="G73" i="1"/>
  <c r="V73" i="1"/>
  <c r="AJ73" i="1"/>
  <c r="AX73" i="1"/>
  <c r="BQ73" i="1"/>
  <c r="BR73" i="1"/>
  <c r="CC73" i="1"/>
  <c r="CW73" i="1"/>
  <c r="G347" i="1"/>
  <c r="V347" i="1"/>
  <c r="AJ347" i="1"/>
  <c r="AX347" i="1"/>
  <c r="BQ347" i="1"/>
  <c r="BR347" i="1"/>
  <c r="CC347" i="1"/>
  <c r="CW347" i="1"/>
  <c r="G242" i="1"/>
  <c r="V242" i="1"/>
  <c r="AJ242" i="1"/>
  <c r="AX242" i="1"/>
  <c r="BQ242" i="1"/>
  <c r="BR242" i="1"/>
  <c r="CC242" i="1"/>
  <c r="CW242" i="1"/>
  <c r="G247" i="1"/>
  <c r="V247" i="1"/>
  <c r="AJ247" i="1"/>
  <c r="AX247" i="1"/>
  <c r="BQ247" i="1"/>
  <c r="BR247" i="1"/>
  <c r="CC247" i="1"/>
  <c r="CW247" i="1"/>
  <c r="G416" i="1"/>
  <c r="V416" i="1"/>
  <c r="AJ416" i="1"/>
  <c r="AX416" i="1"/>
  <c r="BQ416" i="1"/>
  <c r="BR416" i="1"/>
  <c r="CC416" i="1"/>
  <c r="CW416" i="1"/>
  <c r="G2292" i="1"/>
  <c r="V2292" i="1"/>
  <c r="AJ2292" i="1"/>
  <c r="AX2292" i="1"/>
  <c r="BQ2292" i="1"/>
  <c r="BR2292" i="1"/>
  <c r="CC2292" i="1"/>
  <c r="CW2292" i="1"/>
  <c r="G1839" i="1"/>
  <c r="V1839" i="1"/>
  <c r="AJ1839" i="1"/>
  <c r="AX1839" i="1"/>
  <c r="BQ1839" i="1"/>
  <c r="BR1839" i="1"/>
  <c r="CC1839" i="1"/>
  <c r="CW1839" i="1"/>
  <c r="G806" i="1"/>
  <c r="V806" i="1"/>
  <c r="AJ806" i="1"/>
  <c r="AX806" i="1"/>
  <c r="BQ806" i="1"/>
  <c r="BR806" i="1"/>
  <c r="CC806" i="1"/>
  <c r="CW806" i="1"/>
  <c r="G2254" i="1"/>
  <c r="V2254" i="1"/>
  <c r="AJ2254" i="1"/>
  <c r="AX2254" i="1"/>
  <c r="BQ2254" i="1"/>
  <c r="BR2254" i="1"/>
  <c r="CC2254" i="1"/>
  <c r="CW2254" i="1"/>
  <c r="G610" i="1"/>
  <c r="V610" i="1"/>
  <c r="AJ610" i="1"/>
  <c r="AX610" i="1"/>
  <c r="BQ610" i="1"/>
  <c r="BR610" i="1"/>
  <c r="CC610" i="1"/>
  <c r="CW610" i="1"/>
  <c r="G1804" i="1"/>
  <c r="V1804" i="1"/>
  <c r="AJ1804" i="1"/>
  <c r="AX1804" i="1"/>
  <c r="BQ1804" i="1"/>
  <c r="BR1804" i="1"/>
  <c r="CC1804" i="1"/>
  <c r="CW1804" i="1"/>
  <c r="G261" i="1"/>
  <c r="V261" i="1"/>
  <c r="AJ261" i="1"/>
  <c r="AX261" i="1"/>
  <c r="BQ261" i="1"/>
  <c r="BR261" i="1"/>
  <c r="CC261" i="1"/>
  <c r="CW261" i="1"/>
  <c r="G2214" i="1"/>
  <c r="V2214" i="1"/>
  <c r="AJ2214" i="1"/>
  <c r="AX2214" i="1"/>
  <c r="BQ2214" i="1"/>
  <c r="BR2214" i="1"/>
  <c r="CC2214" i="1"/>
  <c r="CW2214" i="1"/>
  <c r="G306" i="1"/>
  <c r="V306" i="1"/>
  <c r="AJ306" i="1"/>
  <c r="AX306" i="1"/>
  <c r="BQ306" i="1"/>
  <c r="BR306" i="1"/>
  <c r="CC306" i="1"/>
  <c r="CW306" i="1"/>
  <c r="G214" i="1"/>
  <c r="V214" i="1"/>
  <c r="AJ214" i="1"/>
  <c r="AX214" i="1"/>
  <c r="BQ214" i="1"/>
  <c r="BR214" i="1"/>
  <c r="CC214" i="1"/>
  <c r="CW214" i="1"/>
  <c r="G572" i="1"/>
  <c r="V572" i="1"/>
  <c r="AJ572" i="1"/>
  <c r="AX572" i="1"/>
  <c r="BQ572" i="1"/>
  <c r="BR572" i="1"/>
  <c r="CC572" i="1"/>
  <c r="CW572" i="1"/>
  <c r="G64" i="1"/>
  <c r="V64" i="1"/>
  <c r="AJ64" i="1"/>
  <c r="AX64" i="1"/>
  <c r="BQ64" i="1"/>
  <c r="BR64" i="1"/>
  <c r="CC64" i="1"/>
  <c r="CW64" i="1"/>
  <c r="G719" i="1"/>
  <c r="V719" i="1"/>
  <c r="AJ719" i="1"/>
  <c r="AX719" i="1"/>
  <c r="BQ719" i="1"/>
  <c r="BR719" i="1"/>
  <c r="CC719" i="1"/>
  <c r="CW719" i="1"/>
  <c r="G331" i="1"/>
  <c r="V331" i="1"/>
  <c r="AJ331" i="1"/>
  <c r="AX331" i="1"/>
  <c r="BQ331" i="1"/>
  <c r="BR331" i="1"/>
  <c r="CC331" i="1"/>
  <c r="CW331" i="1"/>
  <c r="G106" i="1"/>
  <c r="V106" i="1"/>
  <c r="AJ106" i="1"/>
  <c r="AX106" i="1"/>
  <c r="BQ106" i="1"/>
  <c r="BR106" i="1"/>
  <c r="CC106" i="1"/>
  <c r="CW106" i="1"/>
  <c r="G679" i="1"/>
  <c r="V679" i="1"/>
  <c r="AJ679" i="1"/>
  <c r="AX679" i="1"/>
  <c r="BQ679" i="1"/>
  <c r="BR679" i="1"/>
  <c r="CC679" i="1"/>
  <c r="CW679" i="1"/>
  <c r="G414" i="1"/>
  <c r="V414" i="1"/>
  <c r="AJ414" i="1"/>
  <c r="AX414" i="1"/>
  <c r="BQ414" i="1"/>
  <c r="BR414" i="1"/>
  <c r="CC414" i="1"/>
  <c r="CW414" i="1"/>
  <c r="G488" i="1"/>
  <c r="V488" i="1"/>
  <c r="AJ488" i="1"/>
  <c r="AX488" i="1"/>
  <c r="BQ488" i="1"/>
  <c r="BR488" i="1"/>
  <c r="CC488" i="1"/>
  <c r="CW488" i="1"/>
  <c r="G315" i="1"/>
  <c r="V315" i="1"/>
  <c r="AJ315" i="1"/>
  <c r="AX315" i="1"/>
  <c r="BQ315" i="1"/>
  <c r="BR315" i="1"/>
  <c r="CC315" i="1"/>
  <c r="CW315" i="1"/>
  <c r="G569" i="1"/>
  <c r="V569" i="1"/>
  <c r="AJ569" i="1"/>
  <c r="AX569" i="1"/>
  <c r="BQ569" i="1"/>
  <c r="BR569" i="1"/>
  <c r="CC569" i="1"/>
  <c r="CW569" i="1"/>
  <c r="G465" i="1"/>
  <c r="V465" i="1"/>
  <c r="AJ465" i="1"/>
  <c r="AX465" i="1"/>
  <c r="BQ465" i="1"/>
  <c r="BR465" i="1"/>
  <c r="CC465" i="1"/>
  <c r="CW465" i="1"/>
  <c r="G557" i="1"/>
  <c r="V557" i="1"/>
  <c r="AJ557" i="1"/>
  <c r="AX557" i="1"/>
  <c r="BQ557" i="1"/>
  <c r="BR557" i="1"/>
  <c r="CC557" i="1"/>
  <c r="CW557" i="1"/>
  <c r="G675" i="1"/>
  <c r="V675" i="1"/>
  <c r="AJ675" i="1"/>
  <c r="AX675" i="1"/>
  <c r="BQ675" i="1"/>
  <c r="BR675" i="1"/>
  <c r="CC675" i="1"/>
  <c r="CW675" i="1"/>
  <c r="G495" i="1"/>
  <c r="V495" i="1"/>
  <c r="AJ495" i="1"/>
  <c r="AX495" i="1"/>
  <c r="BQ495" i="1"/>
  <c r="BR495" i="1"/>
  <c r="CC495" i="1"/>
  <c r="CW495" i="1"/>
  <c r="G401" i="1"/>
  <c r="V401" i="1"/>
  <c r="AJ401" i="1"/>
  <c r="AX401" i="1"/>
  <c r="BQ401" i="1"/>
  <c r="BR401" i="1"/>
  <c r="CC401" i="1"/>
  <c r="CW401" i="1"/>
  <c r="G579" i="1"/>
  <c r="V579" i="1"/>
  <c r="AJ579" i="1"/>
  <c r="AX579" i="1"/>
  <c r="BQ579" i="1"/>
  <c r="BR579" i="1"/>
  <c r="CC579" i="1"/>
  <c r="CW579" i="1"/>
  <c r="G398" i="1"/>
  <c r="V398" i="1"/>
  <c r="AJ398" i="1"/>
  <c r="AX398" i="1"/>
  <c r="BQ398" i="1"/>
  <c r="BR398" i="1"/>
  <c r="CC398" i="1"/>
  <c r="CW398" i="1"/>
  <c r="G508" i="1"/>
  <c r="V508" i="1"/>
  <c r="AJ508" i="1"/>
  <c r="AX508" i="1"/>
  <c r="BQ508" i="1"/>
  <c r="BR508" i="1"/>
  <c r="CC508" i="1"/>
  <c r="CW508" i="1"/>
  <c r="G599" i="1"/>
  <c r="V599" i="1"/>
  <c r="AJ599" i="1"/>
  <c r="AX599" i="1"/>
  <c r="BQ599" i="1"/>
  <c r="BR599" i="1"/>
  <c r="CC599" i="1"/>
  <c r="CW599" i="1"/>
  <c r="G365" i="1"/>
  <c r="V365" i="1"/>
  <c r="AJ365" i="1"/>
  <c r="AX365" i="1"/>
  <c r="BQ365" i="1"/>
  <c r="BR365" i="1"/>
  <c r="CC365" i="1"/>
  <c r="CW365" i="1"/>
  <c r="G804" i="1"/>
  <c r="V804" i="1"/>
  <c r="AJ804" i="1"/>
  <c r="AX804" i="1"/>
  <c r="BQ804" i="1"/>
  <c r="BR804" i="1"/>
  <c r="CC804" i="1"/>
  <c r="CW804" i="1"/>
  <c r="G172" i="1"/>
  <c r="V172" i="1"/>
  <c r="AJ172" i="1"/>
  <c r="AX172" i="1"/>
  <c r="BQ172" i="1"/>
  <c r="BR172" i="1"/>
  <c r="CC172" i="1"/>
  <c r="CW172" i="1"/>
  <c r="G2285" i="1"/>
  <c r="V2285" i="1"/>
  <c r="AJ2285" i="1"/>
  <c r="AX2285" i="1"/>
  <c r="BQ2285" i="1"/>
  <c r="BR2285" i="1"/>
  <c r="CC2285" i="1"/>
  <c r="CW2285" i="1"/>
  <c r="G2284" i="1"/>
  <c r="V2284" i="1"/>
  <c r="AJ2284" i="1"/>
  <c r="AX2284" i="1"/>
  <c r="BQ2284" i="1"/>
  <c r="BR2284" i="1"/>
  <c r="CC2284" i="1"/>
  <c r="CW2284" i="1"/>
  <c r="G1813" i="1"/>
  <c r="V1813" i="1"/>
  <c r="AJ1813" i="1"/>
  <c r="AX1813" i="1"/>
  <c r="BQ1813" i="1"/>
  <c r="BR1813" i="1"/>
  <c r="CC1813" i="1"/>
  <c r="CW1813" i="1"/>
  <c r="G697" i="1"/>
  <c r="V697" i="1"/>
  <c r="AJ697" i="1"/>
  <c r="AX697" i="1"/>
  <c r="BQ697" i="1"/>
  <c r="BR697" i="1"/>
  <c r="CC697" i="1"/>
  <c r="CW697" i="1"/>
  <c r="G165" i="1"/>
  <c r="V165" i="1"/>
  <c r="AJ165" i="1"/>
  <c r="AX165" i="1"/>
  <c r="BQ165" i="1"/>
  <c r="BR165" i="1"/>
  <c r="CC165" i="1"/>
  <c r="CW165" i="1"/>
  <c r="G97" i="1"/>
  <c r="V97" i="1"/>
  <c r="AJ97" i="1"/>
  <c r="AX97" i="1"/>
  <c r="BQ97" i="1"/>
  <c r="BR97" i="1"/>
  <c r="CC97" i="1"/>
  <c r="CW97" i="1"/>
  <c r="G234" i="1"/>
  <c r="V234" i="1"/>
  <c r="AJ234" i="1"/>
  <c r="AX234" i="1"/>
  <c r="BQ234" i="1"/>
  <c r="BR234" i="1"/>
  <c r="CC234" i="1"/>
  <c r="CW234" i="1"/>
  <c r="G1663" i="1"/>
  <c r="V1663" i="1"/>
  <c r="AJ1663" i="1"/>
  <c r="AX1663" i="1"/>
  <c r="BQ1663" i="1"/>
  <c r="BR1663" i="1"/>
  <c r="CC1663" i="1"/>
  <c r="CW1663" i="1"/>
  <c r="G24" i="1"/>
  <c r="V24" i="1"/>
  <c r="AJ24" i="1"/>
  <c r="AX24" i="1"/>
  <c r="BQ24" i="1"/>
  <c r="BR24" i="1"/>
  <c r="CC24" i="1"/>
  <c r="CW24" i="1"/>
  <c r="G135" i="1"/>
  <c r="V135" i="1"/>
  <c r="AJ135" i="1"/>
  <c r="AX135" i="1"/>
  <c r="BQ135" i="1"/>
  <c r="BR135" i="1"/>
  <c r="CC135" i="1"/>
  <c r="CW135" i="1"/>
  <c r="G483" i="1"/>
  <c r="V483" i="1"/>
  <c r="AJ483" i="1"/>
  <c r="AX483" i="1"/>
  <c r="BQ483" i="1"/>
  <c r="BR483" i="1"/>
  <c r="CC483" i="1"/>
  <c r="CW483" i="1"/>
  <c r="G2313" i="1"/>
  <c r="V2313" i="1"/>
  <c r="AJ2313" i="1"/>
  <c r="AX2313" i="1"/>
  <c r="BQ2313" i="1"/>
  <c r="BR2313" i="1"/>
  <c r="CC2313" i="1"/>
  <c r="CW2313" i="1"/>
  <c r="G2047" i="1"/>
  <c r="V2047" i="1"/>
  <c r="AJ2047" i="1"/>
  <c r="AX2047" i="1"/>
  <c r="BQ2047" i="1"/>
  <c r="BR2047" i="1"/>
  <c r="CC2047" i="1"/>
  <c r="CW2047" i="1"/>
  <c r="G210" i="1"/>
  <c r="V210" i="1"/>
  <c r="AJ210" i="1"/>
  <c r="AX210" i="1"/>
  <c r="BQ210" i="1"/>
  <c r="BR210" i="1"/>
  <c r="CC210" i="1"/>
  <c r="CW210" i="1"/>
  <c r="G2370" i="1"/>
  <c r="V2370" i="1"/>
  <c r="AJ2370" i="1"/>
  <c r="AX2370" i="1"/>
  <c r="BQ2370" i="1"/>
  <c r="BR2370" i="1"/>
  <c r="CC2370" i="1"/>
  <c r="CW2370" i="1"/>
  <c r="G1702" i="1"/>
  <c r="V1702" i="1"/>
  <c r="AJ1702" i="1"/>
  <c r="AX1702" i="1"/>
  <c r="BQ1702" i="1"/>
  <c r="BR1702" i="1"/>
  <c r="CC1702" i="1"/>
  <c r="CW1702" i="1"/>
  <c r="G2296" i="1"/>
  <c r="V2296" i="1"/>
  <c r="AJ2296" i="1"/>
  <c r="AX2296" i="1"/>
  <c r="BQ2296" i="1"/>
  <c r="BR2296" i="1"/>
  <c r="CC2296" i="1"/>
  <c r="CW2296" i="1"/>
  <c r="G2326" i="1"/>
  <c r="V2326" i="1"/>
  <c r="AJ2326" i="1"/>
  <c r="AX2326" i="1"/>
  <c r="BQ2326" i="1"/>
  <c r="BR2326" i="1"/>
  <c r="CC2326" i="1"/>
  <c r="CW2326" i="1"/>
  <c r="G852" i="1"/>
  <c r="V852" i="1"/>
  <c r="AJ852" i="1"/>
  <c r="AX852" i="1"/>
  <c r="BQ852" i="1"/>
  <c r="BR852" i="1"/>
  <c r="CC852" i="1"/>
  <c r="CW852" i="1"/>
  <c r="G1232" i="1"/>
  <c r="V1232" i="1"/>
  <c r="AJ1232" i="1"/>
  <c r="AX1232" i="1"/>
  <c r="BQ1232" i="1"/>
  <c r="BR1232" i="1"/>
  <c r="CC1232" i="1"/>
  <c r="CW1232" i="1"/>
  <c r="G252" i="1"/>
  <c r="V252" i="1"/>
  <c r="AJ252" i="1"/>
  <c r="AX252" i="1"/>
  <c r="BQ252" i="1"/>
  <c r="BR252" i="1"/>
  <c r="CC252" i="1"/>
  <c r="CW252" i="1"/>
  <c r="G219" i="1"/>
  <c r="V219" i="1"/>
  <c r="AJ219" i="1"/>
  <c r="AX219" i="1"/>
  <c r="BQ219" i="1"/>
  <c r="BR219" i="1"/>
  <c r="CC219" i="1"/>
  <c r="CW219" i="1"/>
  <c r="G2202" i="1"/>
  <c r="V2202" i="1"/>
  <c r="AJ2202" i="1"/>
  <c r="AX2202" i="1"/>
  <c r="BQ2202" i="1"/>
  <c r="BR2202" i="1"/>
  <c r="CC2202" i="1"/>
  <c r="CW2202" i="1"/>
  <c r="G961" i="1"/>
  <c r="V961" i="1"/>
  <c r="AJ961" i="1"/>
  <c r="AX961" i="1"/>
  <c r="BQ961" i="1"/>
  <c r="BR961" i="1"/>
  <c r="CC961" i="1"/>
  <c r="CW961" i="1"/>
  <c r="G1241" i="1"/>
  <c r="V1241" i="1"/>
  <c r="AJ1241" i="1"/>
  <c r="AX1241" i="1"/>
  <c r="BQ1241" i="1"/>
  <c r="BR1241" i="1"/>
  <c r="CC1241" i="1"/>
  <c r="CW1241" i="1"/>
  <c r="G2112" i="1"/>
  <c r="V2112" i="1"/>
  <c r="AJ2112" i="1"/>
  <c r="AX2112" i="1"/>
  <c r="BQ2112" i="1"/>
  <c r="BR2112" i="1"/>
  <c r="CC2112" i="1"/>
  <c r="CW2112" i="1"/>
  <c r="G922" i="1"/>
  <c r="V922" i="1"/>
  <c r="AJ922" i="1"/>
  <c r="AX922" i="1"/>
  <c r="BQ922" i="1"/>
  <c r="BR922" i="1"/>
  <c r="CC922" i="1"/>
  <c r="CW922" i="1"/>
  <c r="G1708" i="1"/>
  <c r="V1708" i="1"/>
  <c r="AJ1708" i="1"/>
  <c r="AX1708" i="1"/>
  <c r="BQ1708" i="1"/>
  <c r="BR1708" i="1"/>
  <c r="CC1708" i="1"/>
  <c r="CW1708" i="1"/>
  <c r="G2263" i="1"/>
  <c r="V2263" i="1"/>
  <c r="AJ2263" i="1"/>
  <c r="AX2263" i="1"/>
  <c r="BQ2263" i="1"/>
  <c r="BR2263" i="1"/>
  <c r="CC2263" i="1"/>
  <c r="CW2263" i="1"/>
  <c r="G1109" i="1"/>
  <c r="V1109" i="1"/>
  <c r="AJ1109" i="1"/>
  <c r="AX1109" i="1"/>
  <c r="BQ1109" i="1"/>
  <c r="BR1109" i="1"/>
  <c r="CC1109" i="1"/>
  <c r="CW1109" i="1"/>
  <c r="G1658" i="1"/>
  <c r="V1658" i="1"/>
  <c r="AJ1658" i="1"/>
  <c r="AX1658" i="1"/>
  <c r="BQ1658" i="1"/>
  <c r="BR1658" i="1"/>
  <c r="CC1658" i="1"/>
  <c r="CW1658" i="1"/>
  <c r="G2191" i="1"/>
  <c r="V2191" i="1"/>
  <c r="AJ2191" i="1"/>
  <c r="AX2191" i="1"/>
  <c r="BQ2191" i="1"/>
  <c r="BR2191" i="1"/>
  <c r="CC2191" i="1"/>
  <c r="CW2191" i="1"/>
  <c r="G1360" i="1"/>
  <c r="V1360" i="1"/>
  <c r="AJ1360" i="1"/>
  <c r="AX1360" i="1"/>
  <c r="BQ1360" i="1"/>
  <c r="BR1360" i="1"/>
  <c r="CC1360" i="1"/>
  <c r="CW1360" i="1"/>
  <c r="G2199" i="1"/>
  <c r="V2199" i="1"/>
  <c r="AJ2199" i="1"/>
  <c r="AX2199" i="1"/>
  <c r="BQ2199" i="1"/>
  <c r="BR2199" i="1"/>
  <c r="CC2199" i="1"/>
  <c r="CW2199" i="1"/>
  <c r="G2017" i="1"/>
  <c r="V2017" i="1"/>
  <c r="AJ2017" i="1"/>
  <c r="AX2017" i="1"/>
  <c r="BQ2017" i="1"/>
  <c r="BR2017" i="1"/>
  <c r="CC2017" i="1"/>
  <c r="CW2017" i="1"/>
  <c r="G1885" i="1"/>
  <c r="V1885" i="1"/>
  <c r="AJ1885" i="1"/>
  <c r="AX1885" i="1"/>
  <c r="BQ1885" i="1"/>
  <c r="BR1885" i="1"/>
  <c r="CC1885" i="1"/>
  <c r="CW1885" i="1"/>
  <c r="G1963" i="1"/>
  <c r="V1963" i="1"/>
  <c r="AJ1963" i="1"/>
  <c r="AX1963" i="1"/>
  <c r="BQ1963" i="1"/>
  <c r="BR1963" i="1"/>
  <c r="CC1963" i="1"/>
  <c r="CW1963" i="1"/>
  <c r="G1612" i="1"/>
  <c r="V1612" i="1"/>
  <c r="AJ1612" i="1"/>
  <c r="AX1612" i="1"/>
  <c r="BQ1612" i="1"/>
  <c r="BR1612" i="1"/>
  <c r="CC1612" i="1"/>
  <c r="CW1612" i="1"/>
  <c r="G1236" i="1"/>
  <c r="V1236" i="1"/>
  <c r="AJ1236" i="1"/>
  <c r="AX1236" i="1"/>
  <c r="BQ1236" i="1"/>
  <c r="BR1236" i="1"/>
  <c r="CC1236" i="1"/>
  <c r="CW1236" i="1"/>
  <c r="G905" i="1"/>
  <c r="V905" i="1"/>
  <c r="AJ905" i="1"/>
  <c r="AX905" i="1"/>
  <c r="BQ905" i="1"/>
  <c r="BR905" i="1"/>
  <c r="CC905" i="1"/>
  <c r="CW905" i="1"/>
  <c r="G2115" i="1"/>
  <c r="V2115" i="1"/>
  <c r="AJ2115" i="1"/>
  <c r="AX2115" i="1"/>
  <c r="BQ2115" i="1"/>
  <c r="BR2115" i="1"/>
  <c r="CC2115" i="1"/>
  <c r="CW2115" i="1"/>
  <c r="G2101" i="1"/>
  <c r="V2101" i="1"/>
  <c r="AJ2101" i="1"/>
  <c r="AX2101" i="1"/>
  <c r="BQ2101" i="1"/>
  <c r="BR2101" i="1"/>
  <c r="CC2101" i="1"/>
  <c r="CW2101" i="1"/>
  <c r="G1710" i="1"/>
  <c r="V1710" i="1"/>
  <c r="AJ1710" i="1"/>
  <c r="AX1710" i="1"/>
  <c r="BQ1710" i="1"/>
  <c r="BR1710" i="1"/>
  <c r="CC1710" i="1"/>
  <c r="CW1710" i="1"/>
  <c r="G1120" i="1"/>
  <c r="V1120" i="1"/>
  <c r="AJ1120" i="1"/>
  <c r="AX1120" i="1"/>
  <c r="BQ1120" i="1"/>
  <c r="BR1120" i="1"/>
  <c r="CC1120" i="1"/>
  <c r="CW1120" i="1"/>
  <c r="G1249" i="1"/>
  <c r="V1249" i="1"/>
  <c r="AJ1249" i="1"/>
  <c r="AX1249" i="1"/>
  <c r="BQ1249" i="1"/>
  <c r="BR1249" i="1"/>
  <c r="CC1249" i="1"/>
  <c r="CW1249" i="1"/>
  <c r="G1956" i="1"/>
  <c r="V1956" i="1"/>
  <c r="AJ1956" i="1"/>
  <c r="AX1956" i="1"/>
  <c r="BQ1956" i="1"/>
  <c r="BR1956" i="1"/>
  <c r="CC1956" i="1"/>
  <c r="CW1956" i="1"/>
  <c r="G2348" i="1"/>
  <c r="V2348" i="1"/>
  <c r="AJ2348" i="1"/>
  <c r="AX2348" i="1"/>
  <c r="BQ2348" i="1"/>
  <c r="BR2348" i="1"/>
  <c r="CC2348" i="1"/>
  <c r="CW2348" i="1"/>
  <c r="G984" i="1"/>
  <c r="V984" i="1"/>
  <c r="AJ984" i="1"/>
  <c r="AX984" i="1"/>
  <c r="BQ984" i="1"/>
  <c r="BR984" i="1"/>
  <c r="CC984" i="1"/>
  <c r="CW984" i="1"/>
  <c r="G1500" i="1"/>
  <c r="V1500" i="1"/>
  <c r="AJ1500" i="1"/>
  <c r="AX1500" i="1"/>
  <c r="BQ1500" i="1"/>
  <c r="BR1500" i="1"/>
  <c r="CC1500" i="1"/>
  <c r="CW1500" i="1"/>
  <c r="G1313" i="1"/>
  <c r="V1313" i="1"/>
  <c r="AJ1313" i="1"/>
  <c r="AX1313" i="1"/>
  <c r="BQ1313" i="1"/>
  <c r="BR1313" i="1"/>
  <c r="CC1313" i="1"/>
  <c r="CW1313" i="1"/>
  <c r="G1556" i="1"/>
  <c r="V1556" i="1"/>
  <c r="AJ1556" i="1"/>
  <c r="AX1556" i="1"/>
  <c r="BQ1556" i="1"/>
  <c r="BR1556" i="1"/>
  <c r="CC1556" i="1"/>
  <c r="CW1556" i="1"/>
  <c r="G1717" i="1"/>
  <c r="V1717" i="1"/>
  <c r="AJ1717" i="1"/>
  <c r="AX1717" i="1"/>
  <c r="BQ1717" i="1"/>
  <c r="BR1717" i="1"/>
  <c r="CC1717" i="1"/>
  <c r="CW1717" i="1"/>
  <c r="G1875" i="1"/>
  <c r="V1875" i="1"/>
  <c r="AJ1875" i="1"/>
  <c r="AX1875" i="1"/>
  <c r="BQ1875" i="1"/>
  <c r="BR1875" i="1"/>
  <c r="CC1875" i="1"/>
  <c r="CW1875" i="1"/>
  <c r="G2040" i="1"/>
  <c r="V2040" i="1"/>
  <c r="AJ2040" i="1"/>
  <c r="AX2040" i="1"/>
  <c r="BQ2040" i="1"/>
  <c r="BR2040" i="1"/>
  <c r="CC2040" i="1"/>
  <c r="CW2040" i="1"/>
  <c r="G1425" i="1"/>
  <c r="V1425" i="1"/>
  <c r="AJ1425" i="1"/>
  <c r="AX1425" i="1"/>
  <c r="BQ1425" i="1"/>
  <c r="BR1425" i="1"/>
  <c r="CC1425" i="1"/>
  <c r="CW1425" i="1"/>
  <c r="G1094" i="1"/>
  <c r="V1094" i="1"/>
  <c r="AJ1094" i="1"/>
  <c r="AX1094" i="1"/>
  <c r="BQ1094" i="1"/>
  <c r="BR1094" i="1"/>
  <c r="CC1094" i="1"/>
  <c r="CW1094" i="1"/>
  <c r="G1257" i="1"/>
  <c r="V1257" i="1"/>
  <c r="AJ1257" i="1"/>
  <c r="AX1257" i="1"/>
  <c r="BQ1257" i="1"/>
  <c r="BR1257" i="1"/>
  <c r="CC1257" i="1"/>
  <c r="CW1257" i="1"/>
  <c r="G894" i="1"/>
  <c r="V894" i="1"/>
  <c r="AJ894" i="1"/>
  <c r="AX894" i="1"/>
  <c r="BQ894" i="1"/>
  <c r="BR894" i="1"/>
  <c r="CC894" i="1"/>
  <c r="CW894" i="1"/>
  <c r="G1421" i="1"/>
  <c r="V1421" i="1"/>
  <c r="AJ1421" i="1"/>
  <c r="AX1421" i="1"/>
  <c r="BQ1421" i="1"/>
  <c r="BR1421" i="1"/>
  <c r="CC1421" i="1"/>
  <c r="CW1421" i="1"/>
  <c r="G1010" i="1"/>
  <c r="V1010" i="1"/>
  <c r="AJ1010" i="1"/>
  <c r="AX1010" i="1"/>
  <c r="BQ1010" i="1"/>
  <c r="BR1010" i="1"/>
  <c r="CC1010" i="1"/>
  <c r="CW1010" i="1"/>
  <c r="G2108" i="1"/>
  <c r="V2108" i="1"/>
  <c r="AJ2108" i="1"/>
  <c r="AX2108" i="1"/>
  <c r="BQ2108" i="1"/>
  <c r="BR2108" i="1"/>
  <c r="CC2108" i="1"/>
  <c r="CW2108" i="1"/>
  <c r="G2074" i="1"/>
  <c r="V2074" i="1"/>
  <c r="AJ2074" i="1"/>
  <c r="AX2074" i="1"/>
  <c r="BQ2074" i="1"/>
  <c r="BR2074" i="1"/>
  <c r="CC2074" i="1"/>
  <c r="CW2074" i="1"/>
  <c r="G2362" i="1"/>
  <c r="V2362" i="1"/>
  <c r="AJ2362" i="1"/>
  <c r="AX2362" i="1"/>
  <c r="BQ2362" i="1"/>
  <c r="BR2362" i="1"/>
  <c r="CC2362" i="1"/>
  <c r="CW2362" i="1"/>
  <c r="G1978" i="1"/>
  <c r="V1978" i="1"/>
  <c r="AJ1978" i="1"/>
  <c r="AX1978" i="1"/>
  <c r="BQ1978" i="1"/>
  <c r="BR1978" i="1"/>
  <c r="CC1978" i="1"/>
  <c r="CW1978" i="1"/>
  <c r="G1200" i="1"/>
  <c r="V1200" i="1"/>
  <c r="AJ1200" i="1"/>
  <c r="AX1200" i="1"/>
  <c r="BQ1200" i="1"/>
  <c r="BR1200" i="1"/>
  <c r="CC1200" i="1"/>
  <c r="CW1200" i="1"/>
  <c r="G1523" i="1"/>
  <c r="V1523" i="1"/>
  <c r="AJ1523" i="1"/>
  <c r="AX1523" i="1"/>
  <c r="BQ1523" i="1"/>
  <c r="BR1523" i="1"/>
  <c r="CC1523" i="1"/>
  <c r="CW1523" i="1"/>
  <c r="G1546" i="1"/>
  <c r="V1546" i="1"/>
  <c r="AJ1546" i="1"/>
  <c r="AX1546" i="1"/>
  <c r="BQ1546" i="1"/>
  <c r="BR1546" i="1"/>
  <c r="CC1546" i="1"/>
  <c r="CW1546" i="1"/>
  <c r="G1958" i="1"/>
  <c r="V1958" i="1"/>
  <c r="AJ1958" i="1"/>
  <c r="AX1958" i="1"/>
  <c r="BQ1958" i="1"/>
  <c r="BR1958" i="1"/>
  <c r="CC1958" i="1"/>
  <c r="CW1958" i="1"/>
  <c r="G2111" i="1"/>
  <c r="V2111" i="1"/>
  <c r="AJ2111" i="1"/>
  <c r="AX2111" i="1"/>
  <c r="BQ2111" i="1"/>
  <c r="BR2111" i="1"/>
  <c r="CC2111" i="1"/>
  <c r="CW2111" i="1"/>
  <c r="G2015" i="1"/>
  <c r="V2015" i="1"/>
  <c r="AJ2015" i="1"/>
  <c r="AX2015" i="1"/>
  <c r="BQ2015" i="1"/>
  <c r="BR2015" i="1"/>
  <c r="CC2015" i="1"/>
  <c r="CW2015" i="1"/>
  <c r="G1899" i="1"/>
  <c r="V1899" i="1"/>
  <c r="AJ1899" i="1"/>
  <c r="AX1899" i="1"/>
  <c r="BQ1899" i="1"/>
  <c r="BR1899" i="1"/>
  <c r="CC1899" i="1"/>
  <c r="CW1899" i="1"/>
  <c r="G1991" i="1"/>
  <c r="V1991" i="1"/>
  <c r="AJ1991" i="1"/>
  <c r="AX1991" i="1"/>
  <c r="BQ1991" i="1"/>
  <c r="BR1991" i="1"/>
  <c r="CC1991" i="1"/>
  <c r="CW1991" i="1"/>
  <c r="G2028" i="1"/>
  <c r="V2028" i="1"/>
  <c r="AJ2028" i="1"/>
  <c r="AX2028" i="1"/>
  <c r="BQ2028" i="1"/>
  <c r="BR2028" i="1"/>
  <c r="CC2028" i="1"/>
  <c r="CW2028" i="1"/>
  <c r="G1974" i="1"/>
  <c r="V1974" i="1"/>
  <c r="AJ1974" i="1"/>
  <c r="AX1974" i="1"/>
  <c r="BQ1974" i="1"/>
  <c r="BR1974" i="1"/>
  <c r="CC1974" i="1"/>
  <c r="CW1974" i="1"/>
  <c r="G2032" i="1"/>
  <c r="V2032" i="1"/>
  <c r="AJ2032" i="1"/>
  <c r="AX2032" i="1"/>
  <c r="BQ2032" i="1"/>
  <c r="BR2032" i="1"/>
  <c r="CC2032" i="1"/>
  <c r="CW2032" i="1"/>
  <c r="G1407" i="1"/>
  <c r="V1407" i="1"/>
  <c r="AJ1407" i="1"/>
  <c r="AX1407" i="1"/>
  <c r="BQ1407" i="1"/>
  <c r="BR1407" i="1"/>
  <c r="CC1407" i="1"/>
  <c r="CW1407" i="1"/>
  <c r="G846" i="1"/>
  <c r="V846" i="1"/>
  <c r="AJ846" i="1"/>
  <c r="AX846" i="1"/>
  <c r="BQ846" i="1"/>
  <c r="BR846" i="1"/>
  <c r="CC846" i="1"/>
  <c r="CW846" i="1"/>
  <c r="G1320" i="1"/>
  <c r="V1320" i="1"/>
  <c r="AJ1320" i="1"/>
  <c r="AX1320" i="1"/>
  <c r="BQ1320" i="1"/>
  <c r="BR1320" i="1"/>
  <c r="CC1320" i="1"/>
  <c r="CW1320" i="1"/>
  <c r="G1955" i="1"/>
  <c r="V1955" i="1"/>
  <c r="AJ1955" i="1"/>
  <c r="AX1955" i="1"/>
  <c r="BQ1955" i="1"/>
  <c r="BR1955" i="1"/>
  <c r="CC1955" i="1"/>
  <c r="CW1955" i="1"/>
  <c r="G860" i="1"/>
  <c r="V860" i="1"/>
  <c r="AJ860" i="1"/>
  <c r="AX860" i="1"/>
  <c r="BQ860" i="1"/>
  <c r="BR860" i="1"/>
  <c r="CC860" i="1"/>
  <c r="CW860" i="1"/>
  <c r="G2190" i="1"/>
  <c r="V2190" i="1"/>
  <c r="AJ2190" i="1"/>
  <c r="AX2190" i="1"/>
  <c r="BQ2190" i="1"/>
  <c r="BR2190" i="1"/>
  <c r="CC2190" i="1"/>
  <c r="CW2190" i="1"/>
  <c r="G1678" i="1"/>
  <c r="V1678" i="1"/>
  <c r="AJ1678" i="1"/>
  <c r="AX1678" i="1"/>
  <c r="BQ1678" i="1"/>
  <c r="BR1678" i="1"/>
  <c r="CC1678" i="1"/>
  <c r="CW1678" i="1"/>
  <c r="G1773" i="1"/>
  <c r="V1773" i="1"/>
  <c r="AJ1773" i="1"/>
  <c r="AX1773" i="1"/>
  <c r="BQ1773" i="1"/>
  <c r="BR1773" i="1"/>
  <c r="CC1773" i="1"/>
  <c r="CW1773" i="1"/>
  <c r="G1761" i="1"/>
  <c r="V1761" i="1"/>
  <c r="AJ1761" i="1"/>
  <c r="AX1761" i="1"/>
  <c r="BQ1761" i="1"/>
  <c r="BR1761" i="1"/>
  <c r="CC1761" i="1"/>
  <c r="CW1761" i="1"/>
  <c r="G1005" i="1"/>
  <c r="V1005" i="1"/>
  <c r="AJ1005" i="1"/>
  <c r="AX1005" i="1"/>
  <c r="BQ1005" i="1"/>
  <c r="BR1005" i="1"/>
  <c r="CC1005" i="1"/>
  <c r="CW1005" i="1"/>
  <c r="G1076" i="1"/>
  <c r="V1076" i="1"/>
  <c r="AJ1076" i="1"/>
  <c r="AX1076" i="1"/>
  <c r="BQ1076" i="1"/>
  <c r="BR1076" i="1"/>
  <c r="CC1076" i="1"/>
  <c r="CW1076" i="1"/>
  <c r="G1367" i="1"/>
  <c r="V1367" i="1"/>
  <c r="AJ1367" i="1"/>
  <c r="AX1367" i="1"/>
  <c r="BQ1367" i="1"/>
  <c r="BR1367" i="1"/>
  <c r="CC1367" i="1"/>
  <c r="CW1367" i="1"/>
  <c r="G2360" i="1"/>
  <c r="V2360" i="1"/>
  <c r="AJ2360" i="1"/>
  <c r="AX2360" i="1"/>
  <c r="BQ2360" i="1"/>
  <c r="BR2360" i="1"/>
  <c r="CC2360" i="1"/>
  <c r="CW2360" i="1"/>
  <c r="G1215" i="1"/>
  <c r="V1215" i="1"/>
  <c r="AJ1215" i="1"/>
  <c r="AX1215" i="1"/>
  <c r="BQ1215" i="1"/>
  <c r="BR1215" i="1"/>
  <c r="CC1215" i="1"/>
  <c r="CW1215" i="1"/>
  <c r="G1621" i="1"/>
  <c r="V1621" i="1"/>
  <c r="AJ1621" i="1"/>
  <c r="AX1621" i="1"/>
  <c r="BQ1621" i="1"/>
  <c r="BR1621" i="1"/>
  <c r="CC1621" i="1"/>
  <c r="CW1621" i="1"/>
  <c r="G916" i="1"/>
  <c r="V916" i="1"/>
  <c r="AJ916" i="1"/>
  <c r="AX916" i="1"/>
  <c r="BQ916" i="1"/>
  <c r="BR916" i="1"/>
  <c r="CC916" i="1"/>
  <c r="CW916" i="1"/>
  <c r="G957" i="1"/>
  <c r="V957" i="1"/>
  <c r="AJ957" i="1"/>
  <c r="AX957" i="1"/>
  <c r="BQ957" i="1"/>
  <c r="BR957" i="1"/>
  <c r="CC957" i="1"/>
  <c r="CW957" i="1"/>
  <c r="G1676" i="1"/>
  <c r="V1676" i="1"/>
  <c r="AJ1676" i="1"/>
  <c r="AX1676" i="1"/>
  <c r="BQ1676" i="1"/>
  <c r="BR1676" i="1"/>
  <c r="CC1676" i="1"/>
  <c r="CW1676" i="1"/>
  <c r="G2139" i="1"/>
  <c r="V2139" i="1"/>
  <c r="AJ2139" i="1"/>
  <c r="AX2139" i="1"/>
  <c r="BQ2139" i="1"/>
  <c r="BR2139" i="1"/>
  <c r="CC2139" i="1"/>
  <c r="CW2139" i="1"/>
  <c r="G1473" i="1"/>
  <c r="V1473" i="1"/>
  <c r="AJ1473" i="1"/>
  <c r="AX1473" i="1"/>
  <c r="BQ1473" i="1"/>
  <c r="BR1473" i="1"/>
  <c r="CC1473" i="1"/>
  <c r="CW1473" i="1"/>
  <c r="G866" i="1"/>
  <c r="V866" i="1"/>
  <c r="AJ866" i="1"/>
  <c r="AX866" i="1"/>
  <c r="BQ866" i="1"/>
  <c r="BR866" i="1"/>
  <c r="CC866" i="1"/>
  <c r="CW866" i="1"/>
  <c r="G1516" i="1"/>
  <c r="V1516" i="1"/>
  <c r="AJ1516" i="1"/>
  <c r="AX1516" i="1"/>
  <c r="BQ1516" i="1"/>
  <c r="BR1516" i="1"/>
  <c r="CC1516" i="1"/>
  <c r="CW1516" i="1"/>
  <c r="G2269" i="1"/>
  <c r="V2269" i="1"/>
  <c r="AJ2269" i="1"/>
  <c r="AX2269" i="1"/>
  <c r="BQ2269" i="1"/>
  <c r="BR2269" i="1"/>
  <c r="CC2269" i="1"/>
  <c r="CW2269" i="1"/>
  <c r="G966" i="1"/>
  <c r="V966" i="1"/>
  <c r="AJ966" i="1"/>
  <c r="AX966" i="1"/>
  <c r="BQ966" i="1"/>
  <c r="BR966" i="1"/>
  <c r="CC966" i="1"/>
  <c r="CW966" i="1"/>
  <c r="G1668" i="1"/>
  <c r="V1668" i="1"/>
  <c r="AJ1668" i="1"/>
  <c r="AX1668" i="1"/>
  <c r="BQ1668" i="1"/>
  <c r="BR1668" i="1"/>
  <c r="CC1668" i="1"/>
  <c r="CW1668" i="1"/>
  <c r="G1255" i="1"/>
  <c r="V1255" i="1"/>
  <c r="AJ1255" i="1"/>
  <c r="AX1255" i="1"/>
  <c r="BQ1255" i="1"/>
  <c r="BR1255" i="1"/>
  <c r="CC1255" i="1"/>
  <c r="CW1255" i="1"/>
  <c r="G1356" i="1"/>
  <c r="V1356" i="1"/>
  <c r="AJ1356" i="1"/>
  <c r="AX1356" i="1"/>
  <c r="BQ1356" i="1"/>
  <c r="BR1356" i="1"/>
  <c r="CC1356" i="1"/>
  <c r="CW1356" i="1"/>
  <c r="G2207" i="1"/>
  <c r="V2207" i="1"/>
  <c r="AJ2207" i="1"/>
  <c r="AX2207" i="1"/>
  <c r="BQ2207" i="1"/>
  <c r="BR2207" i="1"/>
  <c r="CC2207" i="1"/>
  <c r="CW2207" i="1"/>
  <c r="G1749" i="1"/>
  <c r="V1749" i="1"/>
  <c r="AJ1749" i="1"/>
  <c r="AX1749" i="1"/>
  <c r="BQ1749" i="1"/>
  <c r="BR1749" i="1"/>
  <c r="CC1749" i="1"/>
  <c r="CW1749" i="1"/>
  <c r="G884" i="1"/>
  <c r="V884" i="1"/>
  <c r="AJ884" i="1"/>
  <c r="AX884" i="1"/>
  <c r="BQ884" i="1"/>
  <c r="BR884" i="1"/>
  <c r="CC884" i="1"/>
  <c r="CW884" i="1"/>
  <c r="G973" i="1"/>
  <c r="V973" i="1"/>
  <c r="AJ973" i="1"/>
  <c r="AX973" i="1"/>
  <c r="BQ973" i="1"/>
  <c r="BR973" i="1"/>
  <c r="CC973" i="1"/>
  <c r="CW973" i="1"/>
  <c r="G1790" i="1"/>
  <c r="V1790" i="1"/>
  <c r="AJ1790" i="1"/>
  <c r="AX1790" i="1"/>
  <c r="BQ1790" i="1"/>
  <c r="BR1790" i="1"/>
  <c r="CC1790" i="1"/>
  <c r="CW1790" i="1"/>
  <c r="G1848" i="1"/>
  <c r="V1848" i="1"/>
  <c r="AJ1848" i="1"/>
  <c r="AX1848" i="1"/>
  <c r="BQ1848" i="1"/>
  <c r="BR1848" i="1"/>
  <c r="CC1848" i="1"/>
  <c r="CW1848" i="1"/>
  <c r="G637" i="1"/>
  <c r="V637" i="1"/>
  <c r="AJ637" i="1"/>
  <c r="AX637" i="1"/>
  <c r="BQ637" i="1"/>
  <c r="BR637" i="1"/>
  <c r="CC637" i="1"/>
  <c r="CW637" i="1"/>
  <c r="G202" i="1"/>
  <c r="V202" i="1"/>
  <c r="AJ202" i="1"/>
  <c r="AX202" i="1"/>
  <c r="BQ202" i="1"/>
  <c r="BR202" i="1"/>
  <c r="CC202" i="1"/>
  <c r="CW202" i="1"/>
  <c r="G1818" i="1"/>
  <c r="V1818" i="1"/>
  <c r="AJ1818" i="1"/>
  <c r="AX1818" i="1"/>
  <c r="BQ1818" i="1"/>
  <c r="BR1818" i="1"/>
  <c r="CC1818" i="1"/>
  <c r="CW1818" i="1"/>
  <c r="G259" i="1"/>
  <c r="V259" i="1"/>
  <c r="AJ259" i="1"/>
  <c r="AX259" i="1"/>
  <c r="BQ259" i="1"/>
  <c r="BR259" i="1"/>
  <c r="CC259" i="1"/>
  <c r="CW259" i="1"/>
  <c r="G748" i="1"/>
  <c r="V748" i="1"/>
  <c r="AJ748" i="1"/>
  <c r="AX748" i="1"/>
  <c r="BQ748" i="1"/>
  <c r="BR748" i="1"/>
  <c r="CC748" i="1"/>
  <c r="CW748" i="1"/>
  <c r="G617" i="1"/>
  <c r="V617" i="1"/>
  <c r="AJ617" i="1"/>
  <c r="AX617" i="1"/>
  <c r="BQ617" i="1"/>
  <c r="BR617" i="1"/>
  <c r="CC617" i="1"/>
  <c r="CW617" i="1"/>
  <c r="G461" i="1"/>
  <c r="V461" i="1"/>
  <c r="AJ461" i="1"/>
  <c r="AX461" i="1"/>
  <c r="BQ461" i="1"/>
  <c r="BR461" i="1"/>
  <c r="CC461" i="1"/>
  <c r="CW461" i="1"/>
  <c r="G108" i="1"/>
  <c r="V108" i="1"/>
  <c r="AJ108" i="1"/>
  <c r="AX108" i="1"/>
  <c r="BQ108" i="1"/>
  <c r="BR108" i="1"/>
  <c r="CC108" i="1"/>
  <c r="CW108" i="1"/>
  <c r="G182" i="1"/>
  <c r="V182" i="1"/>
  <c r="AJ182" i="1"/>
  <c r="AX182" i="1"/>
  <c r="BQ182" i="1"/>
  <c r="BR182" i="1"/>
  <c r="CC182" i="1"/>
  <c r="CW182" i="1"/>
  <c r="G566" i="1"/>
  <c r="V566" i="1"/>
  <c r="AJ566" i="1"/>
  <c r="AX566" i="1"/>
  <c r="BQ566" i="1"/>
  <c r="BR566" i="1"/>
  <c r="CC566" i="1"/>
  <c r="CW566" i="1"/>
  <c r="G471" i="1"/>
  <c r="V471" i="1"/>
  <c r="AJ471" i="1"/>
  <c r="AX471" i="1"/>
  <c r="BQ471" i="1"/>
  <c r="BR471" i="1"/>
  <c r="CC471" i="1"/>
  <c r="CW471" i="1"/>
  <c r="G771" i="1"/>
  <c r="V771" i="1"/>
  <c r="AJ771" i="1"/>
  <c r="AX771" i="1"/>
  <c r="BQ771" i="1"/>
  <c r="BR771" i="1"/>
  <c r="CC771" i="1"/>
  <c r="CW771" i="1"/>
  <c r="G822" i="1"/>
  <c r="V822" i="1"/>
  <c r="AJ822" i="1"/>
  <c r="AX822" i="1"/>
  <c r="BQ822" i="1"/>
  <c r="BR822" i="1"/>
  <c r="CC822" i="1"/>
  <c r="CW822" i="1"/>
  <c r="G499" i="1"/>
  <c r="V499" i="1"/>
  <c r="AJ499" i="1"/>
  <c r="AX499" i="1"/>
  <c r="BQ499" i="1"/>
  <c r="BR499" i="1"/>
  <c r="CC499" i="1"/>
  <c r="CW499" i="1"/>
  <c r="G490" i="1"/>
  <c r="V490" i="1"/>
  <c r="AJ490" i="1"/>
  <c r="AX490" i="1"/>
  <c r="BQ490" i="1"/>
  <c r="BR490" i="1"/>
  <c r="CC490" i="1"/>
  <c r="CW490" i="1"/>
  <c r="G48" i="1"/>
  <c r="V48" i="1"/>
  <c r="AJ48" i="1"/>
  <c r="AX48" i="1"/>
  <c r="BQ48" i="1"/>
  <c r="BR48" i="1"/>
  <c r="CC48" i="1"/>
  <c r="CW48" i="1"/>
  <c r="G300" i="1"/>
  <c r="V300" i="1"/>
  <c r="AJ300" i="1"/>
  <c r="AX300" i="1"/>
  <c r="BQ300" i="1"/>
  <c r="BR300" i="1"/>
  <c r="CC300" i="1"/>
  <c r="CW300" i="1"/>
  <c r="G124" i="1"/>
  <c r="V124" i="1"/>
  <c r="AJ124" i="1"/>
  <c r="AX124" i="1"/>
  <c r="BQ124" i="1"/>
  <c r="BR124" i="1"/>
  <c r="CC124" i="1"/>
  <c r="CW124" i="1"/>
  <c r="G2332" i="1"/>
  <c r="V2332" i="1"/>
  <c r="AJ2332" i="1"/>
  <c r="AX2332" i="1"/>
  <c r="BQ2332" i="1"/>
  <c r="BR2332" i="1"/>
  <c r="CC2332" i="1"/>
  <c r="CW2332" i="1"/>
  <c r="G1816" i="1"/>
  <c r="V1816" i="1"/>
  <c r="AJ1816" i="1"/>
  <c r="AX1816" i="1"/>
  <c r="BQ1816" i="1"/>
  <c r="BR1816" i="1"/>
  <c r="CC1816" i="1"/>
  <c r="CW1816" i="1"/>
  <c r="G629" i="1"/>
  <c r="V629" i="1"/>
  <c r="AJ629" i="1"/>
  <c r="AX629" i="1"/>
  <c r="BQ629" i="1"/>
  <c r="BR629" i="1"/>
  <c r="CC629" i="1"/>
  <c r="CW629" i="1"/>
  <c r="G294" i="1"/>
  <c r="V294" i="1"/>
  <c r="AJ294" i="1"/>
  <c r="AX294" i="1"/>
  <c r="BQ294" i="1"/>
  <c r="BR294" i="1"/>
  <c r="CC294" i="1"/>
  <c r="CW294" i="1"/>
  <c r="G92" i="1"/>
  <c r="V92" i="1"/>
  <c r="AJ92" i="1"/>
  <c r="AX92" i="1"/>
  <c r="BQ92" i="1"/>
  <c r="BR92" i="1"/>
  <c r="CC92" i="1"/>
  <c r="CW92" i="1"/>
  <c r="G596" i="1"/>
  <c r="V596" i="1"/>
  <c r="AJ596" i="1"/>
  <c r="AX596" i="1"/>
  <c r="BQ596" i="1"/>
  <c r="BR596" i="1"/>
  <c r="CC596" i="1"/>
  <c r="CW596" i="1"/>
  <c r="G1865" i="1"/>
  <c r="V1865" i="1"/>
  <c r="AJ1865" i="1"/>
  <c r="AX1865" i="1"/>
  <c r="BQ1865" i="1"/>
  <c r="BR1865" i="1"/>
  <c r="CC1865" i="1"/>
  <c r="CW1865" i="1"/>
  <c r="G334" i="1"/>
  <c r="V334" i="1"/>
  <c r="AJ334" i="1"/>
  <c r="AX334" i="1"/>
  <c r="BQ334" i="1"/>
  <c r="BR334" i="1"/>
  <c r="CC334" i="1"/>
  <c r="CW334" i="1"/>
  <c r="G162" i="1"/>
  <c r="V162" i="1"/>
  <c r="AJ162" i="1"/>
  <c r="AX162" i="1"/>
  <c r="BQ162" i="1"/>
  <c r="BR162" i="1"/>
  <c r="CC162" i="1"/>
  <c r="CW162" i="1"/>
  <c r="G188" i="1"/>
  <c r="V188" i="1"/>
  <c r="AJ188" i="1"/>
  <c r="AX188" i="1"/>
  <c r="BQ188" i="1"/>
  <c r="BR188" i="1"/>
  <c r="CC188" i="1"/>
  <c r="CW188" i="1"/>
  <c r="G790" i="1"/>
  <c r="V790" i="1"/>
  <c r="AJ790" i="1"/>
  <c r="AX790" i="1"/>
  <c r="BQ790" i="1"/>
  <c r="BR790" i="1"/>
  <c r="CC790" i="1"/>
  <c r="CW790" i="1"/>
  <c r="G548" i="1"/>
  <c r="V548" i="1"/>
  <c r="AJ548" i="1"/>
  <c r="AX548" i="1"/>
  <c r="BQ548" i="1"/>
  <c r="BR548" i="1"/>
  <c r="CC548" i="1"/>
  <c r="CW548" i="1"/>
  <c r="G763" i="1"/>
  <c r="V763" i="1"/>
  <c r="AJ763" i="1"/>
  <c r="AX763" i="1"/>
  <c r="BQ763" i="1"/>
  <c r="BR763" i="1"/>
  <c r="CC763" i="1"/>
  <c r="CW763" i="1"/>
  <c r="G730" i="1"/>
  <c r="V730" i="1"/>
  <c r="AJ730" i="1"/>
  <c r="AX730" i="1"/>
  <c r="BQ730" i="1"/>
  <c r="BR730" i="1"/>
  <c r="CC730" i="1"/>
  <c r="CW730" i="1"/>
  <c r="G169" i="1"/>
  <c r="V169" i="1"/>
  <c r="AJ169" i="1"/>
  <c r="AX169" i="1"/>
  <c r="BQ169" i="1"/>
  <c r="BR169" i="1"/>
  <c r="CC169" i="1"/>
  <c r="CW169" i="1"/>
  <c r="G828" i="1"/>
  <c r="V828" i="1"/>
  <c r="AJ828" i="1"/>
  <c r="AX828" i="1"/>
  <c r="BQ828" i="1"/>
  <c r="BR828" i="1"/>
  <c r="CC828" i="1"/>
  <c r="CW828" i="1"/>
  <c r="G2304" i="1"/>
  <c r="V2304" i="1"/>
  <c r="AJ2304" i="1"/>
  <c r="AX2304" i="1"/>
  <c r="BQ2304" i="1"/>
  <c r="BR2304" i="1"/>
  <c r="CC2304" i="1"/>
  <c r="CW2304" i="1"/>
  <c r="G699" i="1"/>
  <c r="V699" i="1"/>
  <c r="AJ699" i="1"/>
  <c r="AX699" i="1"/>
  <c r="BQ699" i="1"/>
  <c r="BR699" i="1"/>
  <c r="CC699" i="1"/>
  <c r="CW699" i="1"/>
  <c r="G233" i="1"/>
  <c r="V233" i="1"/>
  <c r="AJ233" i="1"/>
  <c r="AX233" i="1"/>
  <c r="BQ233" i="1"/>
  <c r="BR233" i="1"/>
  <c r="CC233" i="1"/>
  <c r="CW233" i="1"/>
  <c r="G713" i="1"/>
  <c r="V713" i="1"/>
  <c r="AJ713" i="1"/>
  <c r="AX713" i="1"/>
  <c r="BQ713" i="1"/>
  <c r="BR713" i="1"/>
  <c r="CC713" i="1"/>
  <c r="CW713" i="1"/>
  <c r="G1812" i="1"/>
  <c r="V1812" i="1"/>
  <c r="AJ1812" i="1"/>
  <c r="AX1812" i="1"/>
  <c r="BQ1812" i="1"/>
  <c r="BR1812" i="1"/>
  <c r="CC1812" i="1"/>
  <c r="CW1812" i="1"/>
  <c r="G659" i="1"/>
  <c r="V659" i="1"/>
  <c r="AJ659" i="1"/>
  <c r="AX659" i="1"/>
  <c r="BQ659" i="1"/>
  <c r="BR659" i="1"/>
  <c r="CC659" i="1"/>
  <c r="CW659" i="1"/>
  <c r="G257" i="1"/>
  <c r="V257" i="1"/>
  <c r="AJ257" i="1"/>
  <c r="AX257" i="1"/>
  <c r="BQ257" i="1"/>
  <c r="BR257" i="1"/>
  <c r="CC257" i="1"/>
  <c r="CW257" i="1"/>
  <c r="G744" i="1"/>
  <c r="V744" i="1"/>
  <c r="AJ744" i="1"/>
  <c r="AX744" i="1"/>
  <c r="BQ744" i="1"/>
  <c r="BR744" i="1"/>
  <c r="CC744" i="1"/>
  <c r="CW744" i="1"/>
  <c r="G167" i="1"/>
  <c r="V167" i="1"/>
  <c r="AJ167" i="1"/>
  <c r="AX167" i="1"/>
  <c r="BQ167" i="1"/>
  <c r="BR167" i="1"/>
  <c r="CC167" i="1"/>
  <c r="CW167" i="1"/>
  <c r="G1841" i="1"/>
  <c r="V1841" i="1"/>
  <c r="AJ1841" i="1"/>
  <c r="AX1841" i="1"/>
  <c r="BQ1841" i="1"/>
  <c r="BR1841" i="1"/>
  <c r="CC1841" i="1"/>
  <c r="CW1841" i="1"/>
  <c r="G308" i="1"/>
  <c r="V308" i="1"/>
  <c r="AJ308" i="1"/>
  <c r="AX308" i="1"/>
  <c r="BQ308" i="1"/>
  <c r="BR308" i="1"/>
  <c r="CC308" i="1"/>
  <c r="CW308" i="1"/>
  <c r="G316" i="1"/>
  <c r="V316" i="1"/>
  <c r="AJ316" i="1"/>
  <c r="AX316" i="1"/>
  <c r="BQ316" i="1"/>
  <c r="BR316" i="1"/>
  <c r="CC316" i="1"/>
  <c r="CW316" i="1"/>
  <c r="G1334" i="1"/>
  <c r="V1334" i="1"/>
  <c r="AJ1334" i="1"/>
  <c r="AX1334" i="1"/>
  <c r="BQ1334" i="1"/>
  <c r="BR1334" i="1"/>
  <c r="CC1334" i="1"/>
  <c r="CW1334" i="1"/>
  <c r="G500" i="1"/>
  <c r="V500" i="1"/>
  <c r="AJ500" i="1"/>
  <c r="AX500" i="1"/>
  <c r="BQ500" i="1"/>
  <c r="BR500" i="1"/>
  <c r="CC500" i="1"/>
  <c r="CW500" i="1"/>
  <c r="G676" i="1"/>
  <c r="V676" i="1"/>
  <c r="AJ676" i="1"/>
  <c r="AX676" i="1"/>
  <c r="BQ676" i="1"/>
  <c r="BR676" i="1"/>
  <c r="CC676" i="1"/>
  <c r="CW676" i="1"/>
  <c r="G1083" i="1"/>
  <c r="V1083" i="1"/>
  <c r="AJ1083" i="1"/>
  <c r="AX1083" i="1"/>
  <c r="BQ1083" i="1"/>
  <c r="BR1083" i="1"/>
  <c r="CC1083" i="1"/>
  <c r="CW1083" i="1"/>
  <c r="G425" i="1"/>
  <c r="V425" i="1"/>
  <c r="AJ425" i="1"/>
  <c r="AX425" i="1"/>
  <c r="BQ425" i="1"/>
  <c r="BR425" i="1"/>
  <c r="CC425" i="1"/>
  <c r="CW425" i="1"/>
  <c r="G185" i="1"/>
  <c r="V185" i="1"/>
  <c r="AJ185" i="1"/>
  <c r="AX185" i="1"/>
  <c r="BQ185" i="1"/>
  <c r="BR185" i="1"/>
  <c r="CC185" i="1"/>
  <c r="CW185" i="1"/>
  <c r="G698" i="1"/>
  <c r="V698" i="1"/>
  <c r="AJ698" i="1"/>
  <c r="AX698" i="1"/>
  <c r="BQ698" i="1"/>
  <c r="BR698" i="1"/>
  <c r="CC698" i="1"/>
  <c r="CW698" i="1"/>
  <c r="G1525" i="1"/>
  <c r="V1525" i="1"/>
  <c r="AJ1525" i="1"/>
  <c r="AX1525" i="1"/>
  <c r="BQ1525" i="1"/>
  <c r="BR1525" i="1"/>
  <c r="CC1525" i="1"/>
  <c r="CW1525" i="1"/>
  <c r="G1311" i="1"/>
  <c r="V1311" i="1"/>
  <c r="AJ1311" i="1"/>
  <c r="AX1311" i="1"/>
  <c r="BQ1311" i="1"/>
  <c r="BR1311" i="1"/>
  <c r="CC1311" i="1"/>
  <c r="CW1311" i="1"/>
  <c r="G549" i="1"/>
  <c r="V549" i="1"/>
  <c r="AJ549" i="1"/>
  <c r="AX549" i="1"/>
  <c r="BQ549" i="1"/>
  <c r="BR549" i="1"/>
  <c r="CC549" i="1"/>
  <c r="CW549" i="1"/>
  <c r="G1300" i="1"/>
  <c r="V1300" i="1"/>
  <c r="AJ1300" i="1"/>
  <c r="AX1300" i="1"/>
  <c r="BQ1300" i="1"/>
  <c r="BR1300" i="1"/>
  <c r="CC1300" i="1"/>
  <c r="CW1300" i="1"/>
  <c r="G2130" i="1"/>
  <c r="V2130" i="1"/>
  <c r="AJ2130" i="1"/>
  <c r="AX2130" i="1"/>
  <c r="BQ2130" i="1"/>
  <c r="BR2130" i="1"/>
  <c r="CC2130" i="1"/>
  <c r="CW2130" i="1"/>
  <c r="G2121" i="1"/>
  <c r="V2121" i="1"/>
  <c r="AJ2121" i="1"/>
  <c r="AX2121" i="1"/>
  <c r="BQ2121" i="1"/>
  <c r="BR2121" i="1"/>
  <c r="CC2121" i="1"/>
  <c r="CW2121" i="1"/>
  <c r="G2144" i="1"/>
  <c r="V2144" i="1"/>
  <c r="AJ2144" i="1"/>
  <c r="AX2144" i="1"/>
  <c r="BQ2144" i="1"/>
  <c r="BR2144" i="1"/>
  <c r="CC2144" i="1"/>
  <c r="CW2144" i="1"/>
  <c r="G1515" i="1"/>
  <c r="V1515" i="1"/>
  <c r="AJ1515" i="1"/>
  <c r="AX1515" i="1"/>
  <c r="BQ1515" i="1"/>
  <c r="BR1515" i="1"/>
  <c r="CC1515" i="1"/>
  <c r="CW1515" i="1"/>
  <c r="G1670" i="1"/>
  <c r="V1670" i="1"/>
  <c r="AJ1670" i="1"/>
  <c r="AX1670" i="1"/>
  <c r="BQ1670" i="1"/>
  <c r="BR1670" i="1"/>
  <c r="CC1670" i="1"/>
  <c r="CW1670" i="1"/>
  <c r="G2078" i="1"/>
  <c r="V2078" i="1"/>
  <c r="AJ2078" i="1"/>
  <c r="AX2078" i="1"/>
  <c r="BQ2078" i="1"/>
  <c r="BR2078" i="1"/>
  <c r="CC2078" i="1"/>
  <c r="CW2078" i="1"/>
  <c r="G991" i="1"/>
  <c r="V991" i="1"/>
  <c r="AJ991" i="1"/>
  <c r="AX991" i="1"/>
  <c r="BQ991" i="1"/>
  <c r="BR991" i="1"/>
  <c r="CC991" i="1"/>
  <c r="CW991" i="1"/>
  <c r="G2195" i="1"/>
  <c r="V2195" i="1"/>
  <c r="AJ2195" i="1"/>
  <c r="AX2195" i="1"/>
  <c r="BQ2195" i="1"/>
  <c r="BR2195" i="1"/>
  <c r="CC2195" i="1"/>
  <c r="CW2195" i="1"/>
  <c r="G1027" i="1"/>
  <c r="V1027" i="1"/>
  <c r="AJ1027" i="1"/>
  <c r="AX1027" i="1"/>
  <c r="BQ1027" i="1"/>
  <c r="BR1027" i="1"/>
  <c r="CC1027" i="1"/>
  <c r="CW1027" i="1"/>
  <c r="G2176" i="1"/>
  <c r="V2176" i="1"/>
  <c r="AJ2176" i="1"/>
  <c r="AX2176" i="1"/>
  <c r="BQ2176" i="1"/>
  <c r="BR2176" i="1"/>
  <c r="CC2176" i="1"/>
  <c r="CW2176" i="1"/>
  <c r="G981" i="1"/>
  <c r="V981" i="1"/>
  <c r="AJ981" i="1"/>
  <c r="AX981" i="1"/>
  <c r="BQ981" i="1"/>
  <c r="BR981" i="1"/>
  <c r="CC981" i="1"/>
  <c r="CW981" i="1"/>
  <c r="G1400" i="1"/>
  <c r="V1400" i="1"/>
  <c r="AJ1400" i="1"/>
  <c r="AX1400" i="1"/>
  <c r="BQ1400" i="1"/>
  <c r="BR1400" i="1"/>
  <c r="CC1400" i="1"/>
  <c r="CW1400" i="1"/>
  <c r="G2019" i="1"/>
  <c r="V2019" i="1"/>
  <c r="AJ2019" i="1"/>
  <c r="AX2019" i="1"/>
  <c r="BQ2019" i="1"/>
  <c r="BR2019" i="1"/>
  <c r="CC2019" i="1"/>
  <c r="CW2019" i="1"/>
  <c r="G1551" i="1"/>
  <c r="V1551" i="1"/>
  <c r="AJ1551" i="1"/>
  <c r="AX1551" i="1"/>
  <c r="BQ1551" i="1"/>
  <c r="BR1551" i="1"/>
  <c r="CC1551" i="1"/>
  <c r="CW1551" i="1"/>
  <c r="G910" i="1"/>
  <c r="V910" i="1"/>
  <c r="AJ910" i="1"/>
  <c r="AX910" i="1"/>
  <c r="BQ910" i="1"/>
  <c r="BR910" i="1"/>
  <c r="CC910" i="1"/>
  <c r="CW910" i="1"/>
  <c r="G1180" i="1"/>
  <c r="V1180" i="1"/>
  <c r="AJ1180" i="1"/>
  <c r="AX1180" i="1"/>
  <c r="BQ1180" i="1"/>
  <c r="BR1180" i="1"/>
  <c r="CC1180" i="1"/>
  <c r="CW1180" i="1"/>
  <c r="G1892" i="1"/>
  <c r="V1892" i="1"/>
  <c r="AJ1892" i="1"/>
  <c r="AX1892" i="1"/>
  <c r="BQ1892" i="1"/>
  <c r="BR1892" i="1"/>
  <c r="CC1892" i="1"/>
  <c r="CW1892" i="1"/>
  <c r="G1782" i="1"/>
  <c r="V1782" i="1"/>
  <c r="AJ1782" i="1"/>
  <c r="AX1782" i="1"/>
  <c r="BQ1782" i="1"/>
  <c r="BR1782" i="1"/>
  <c r="CC1782" i="1"/>
  <c r="CW1782" i="1"/>
  <c r="G2147" i="1"/>
  <c r="V2147" i="1"/>
  <c r="AJ2147" i="1"/>
  <c r="AX2147" i="1"/>
  <c r="BQ2147" i="1"/>
  <c r="BR2147" i="1"/>
  <c r="CC2147" i="1"/>
  <c r="CW2147" i="1"/>
  <c r="G1677" i="1"/>
  <c r="V1677" i="1"/>
  <c r="AJ1677" i="1"/>
  <c r="AX1677" i="1"/>
  <c r="BQ1677" i="1"/>
  <c r="BR1677" i="1"/>
  <c r="CC1677" i="1"/>
  <c r="CW1677" i="1"/>
  <c r="G1108" i="1"/>
  <c r="V1108" i="1"/>
  <c r="AJ1108" i="1"/>
  <c r="AX1108" i="1"/>
  <c r="BQ1108" i="1"/>
  <c r="BR1108" i="1"/>
  <c r="CC1108" i="1"/>
  <c r="CW1108" i="1"/>
  <c r="G939" i="1"/>
  <c r="V939" i="1"/>
  <c r="AJ939" i="1"/>
  <c r="AX939" i="1"/>
  <c r="BQ939" i="1"/>
  <c r="BR939" i="1"/>
  <c r="CC939" i="1"/>
  <c r="CW939" i="1"/>
  <c r="G1872" i="1"/>
  <c r="V1872" i="1"/>
  <c r="AJ1872" i="1"/>
  <c r="AX1872" i="1"/>
  <c r="BQ1872" i="1"/>
  <c r="BR1872" i="1"/>
  <c r="CC1872" i="1"/>
  <c r="CW1872" i="1"/>
  <c r="G1939" i="1"/>
  <c r="V1939" i="1"/>
  <c r="AJ1939" i="1"/>
  <c r="AX1939" i="1"/>
  <c r="BQ1939" i="1"/>
  <c r="BR1939" i="1"/>
  <c r="CC1939" i="1"/>
  <c r="CW1939" i="1"/>
  <c r="G1880" i="1"/>
  <c r="V1880" i="1"/>
  <c r="AJ1880" i="1"/>
  <c r="AX1880" i="1"/>
  <c r="BQ1880" i="1"/>
  <c r="BR1880" i="1"/>
  <c r="CC1880" i="1"/>
  <c r="CW1880" i="1"/>
  <c r="G914" i="1"/>
  <c r="V914" i="1"/>
  <c r="AJ914" i="1"/>
  <c r="AX914" i="1"/>
  <c r="BQ914" i="1"/>
  <c r="BR914" i="1"/>
  <c r="CC914" i="1"/>
  <c r="CW914" i="1"/>
  <c r="G1140" i="1"/>
  <c r="V1140" i="1"/>
  <c r="AJ1140" i="1"/>
  <c r="AX1140" i="1"/>
  <c r="BQ1140" i="1"/>
  <c r="BR1140" i="1"/>
  <c r="CC1140" i="1"/>
  <c r="CW1140" i="1"/>
  <c r="G943" i="1"/>
  <c r="V943" i="1"/>
  <c r="AJ943" i="1"/>
  <c r="AX943" i="1"/>
  <c r="BQ943" i="1"/>
  <c r="BR943" i="1"/>
  <c r="CC943" i="1"/>
  <c r="CW943" i="1"/>
  <c r="G1292" i="1"/>
  <c r="V1292" i="1"/>
  <c r="AJ1292" i="1"/>
  <c r="AX1292" i="1"/>
  <c r="BQ1292" i="1"/>
  <c r="BR1292" i="1"/>
  <c r="CC1292" i="1"/>
  <c r="CW1292" i="1"/>
  <c r="G1440" i="1"/>
  <c r="V1440" i="1"/>
  <c r="AJ1440" i="1"/>
  <c r="AX1440" i="1"/>
  <c r="BQ1440" i="1"/>
  <c r="BR1440" i="1"/>
  <c r="CC1440" i="1"/>
  <c r="CW1440" i="1"/>
  <c r="G1510" i="1"/>
  <c r="V1510" i="1"/>
  <c r="AJ1510" i="1"/>
  <c r="AX1510" i="1"/>
  <c r="BQ1510" i="1"/>
  <c r="BR1510" i="1"/>
  <c r="CC1510" i="1"/>
  <c r="CW1510" i="1"/>
  <c r="G889" i="1"/>
  <c r="V889" i="1"/>
  <c r="AJ889" i="1"/>
  <c r="AX889" i="1"/>
  <c r="BQ889" i="1"/>
  <c r="BR889" i="1"/>
  <c r="CC889" i="1"/>
  <c r="CW889" i="1"/>
  <c r="G2092" i="1"/>
  <c r="V2092" i="1"/>
  <c r="AJ2092" i="1"/>
  <c r="AX2092" i="1"/>
  <c r="BQ2092" i="1"/>
  <c r="BR2092" i="1"/>
  <c r="CC2092" i="1"/>
  <c r="CW2092" i="1"/>
  <c r="G2119" i="1"/>
  <c r="V2119" i="1"/>
  <c r="AJ2119" i="1"/>
  <c r="AX2119" i="1"/>
  <c r="BQ2119" i="1"/>
  <c r="BR2119" i="1"/>
  <c r="CC2119" i="1"/>
  <c r="CW2119" i="1"/>
  <c r="G2122" i="1"/>
  <c r="V2122" i="1"/>
  <c r="AJ2122" i="1"/>
  <c r="AX2122" i="1"/>
  <c r="BQ2122" i="1"/>
  <c r="BR2122" i="1"/>
  <c r="CC2122" i="1"/>
  <c r="CW2122" i="1"/>
  <c r="G1514" i="1"/>
  <c r="V1514" i="1"/>
  <c r="AJ1514" i="1"/>
  <c r="AX1514" i="1"/>
  <c r="BQ1514" i="1"/>
  <c r="BR1514" i="1"/>
  <c r="CC1514" i="1"/>
  <c r="CW1514" i="1"/>
  <c r="G1762" i="1"/>
  <c r="V1762" i="1"/>
  <c r="AJ1762" i="1"/>
  <c r="AX1762" i="1"/>
  <c r="BQ1762" i="1"/>
  <c r="BR1762" i="1"/>
  <c r="CC1762" i="1"/>
  <c r="CW1762" i="1"/>
  <c r="G845" i="1"/>
  <c r="V845" i="1"/>
  <c r="AJ845" i="1"/>
  <c r="AX845" i="1"/>
  <c r="BQ845" i="1"/>
  <c r="BR845" i="1"/>
  <c r="CC845" i="1"/>
  <c r="CW845" i="1"/>
  <c r="G1494" i="1"/>
  <c r="V1494" i="1"/>
  <c r="AJ1494" i="1"/>
  <c r="AX1494" i="1"/>
  <c r="BQ1494" i="1"/>
  <c r="BR1494" i="1"/>
  <c r="CC1494" i="1"/>
  <c r="CW1494" i="1"/>
  <c r="G1596" i="1"/>
  <c r="V1596" i="1"/>
  <c r="AJ1596" i="1"/>
  <c r="AX1596" i="1"/>
  <c r="BQ1596" i="1"/>
  <c r="BR1596" i="1"/>
  <c r="CC1596" i="1"/>
  <c r="CW1596" i="1"/>
  <c r="G1351" i="1"/>
  <c r="V1351" i="1"/>
  <c r="AJ1351" i="1"/>
  <c r="AX1351" i="1"/>
  <c r="BQ1351" i="1"/>
  <c r="BR1351" i="1"/>
  <c r="CC1351" i="1"/>
  <c r="CW1351" i="1"/>
  <c r="G1933" i="1"/>
  <c r="V1933" i="1"/>
  <c r="AJ1933" i="1"/>
  <c r="AX1933" i="1"/>
  <c r="BQ1933" i="1"/>
  <c r="BR1933" i="1"/>
  <c r="CC1933" i="1"/>
  <c r="CW1933" i="1"/>
  <c r="G1347" i="1"/>
  <c r="V1347" i="1"/>
  <c r="AJ1347" i="1"/>
  <c r="AX1347" i="1"/>
  <c r="BQ1347" i="1"/>
  <c r="BR1347" i="1"/>
  <c r="CC1347" i="1"/>
  <c r="CW1347" i="1"/>
  <c r="G1081" i="1"/>
  <c r="V1081" i="1"/>
  <c r="AJ1081" i="1"/>
  <c r="AX1081" i="1"/>
  <c r="BQ1081" i="1"/>
  <c r="BR1081" i="1"/>
  <c r="CC1081" i="1"/>
  <c r="CW1081" i="1"/>
  <c r="G1036" i="1"/>
  <c r="V1036" i="1"/>
  <c r="AJ1036" i="1"/>
  <c r="AX1036" i="1"/>
  <c r="BQ1036" i="1"/>
  <c r="BR1036" i="1"/>
  <c r="CC1036" i="1"/>
  <c r="CW1036" i="1"/>
  <c r="G1116" i="1"/>
  <c r="V1116" i="1"/>
  <c r="AJ1116" i="1"/>
  <c r="AX1116" i="1"/>
  <c r="BQ1116" i="1"/>
  <c r="BR1116" i="1"/>
  <c r="CC1116" i="1"/>
  <c r="CW1116" i="1"/>
  <c r="G1729" i="1"/>
  <c r="V1729" i="1"/>
  <c r="AJ1729" i="1"/>
  <c r="AX1729" i="1"/>
  <c r="BQ1729" i="1"/>
  <c r="BR1729" i="1"/>
  <c r="CC1729" i="1"/>
  <c r="CW1729" i="1"/>
  <c r="G1291" i="1"/>
  <c r="V1291" i="1"/>
  <c r="AJ1291" i="1"/>
  <c r="AX1291" i="1"/>
  <c r="BQ1291" i="1"/>
  <c r="BR1291" i="1"/>
  <c r="CC1291" i="1"/>
  <c r="CW1291" i="1"/>
  <c r="G1882" i="1"/>
  <c r="V1882" i="1"/>
  <c r="AJ1882" i="1"/>
  <c r="AX1882" i="1"/>
  <c r="BQ1882" i="1"/>
  <c r="BR1882" i="1"/>
  <c r="CC1882" i="1"/>
  <c r="CW1882" i="1"/>
  <c r="G1377" i="1"/>
  <c r="V1377" i="1"/>
  <c r="AJ1377" i="1"/>
  <c r="AX1377" i="1"/>
  <c r="BQ1377" i="1"/>
  <c r="BR1377" i="1"/>
  <c r="CC1377" i="1"/>
  <c r="CW1377" i="1"/>
  <c r="G1696" i="1"/>
  <c r="V1696" i="1"/>
  <c r="AJ1696" i="1"/>
  <c r="AX1696" i="1"/>
  <c r="BQ1696" i="1"/>
  <c r="BR1696" i="1"/>
  <c r="CC1696" i="1"/>
  <c r="CW1696" i="1"/>
  <c r="G1538" i="1"/>
  <c r="V1538" i="1"/>
  <c r="AJ1538" i="1"/>
  <c r="AX1538" i="1"/>
  <c r="BQ1538" i="1"/>
  <c r="BR1538" i="1"/>
  <c r="CC1538" i="1"/>
  <c r="CW1538" i="1"/>
  <c r="G1990" i="1"/>
  <c r="V1990" i="1"/>
  <c r="AJ1990" i="1"/>
  <c r="AX1990" i="1"/>
  <c r="BQ1990" i="1"/>
  <c r="BR1990" i="1"/>
  <c r="CC1990" i="1"/>
  <c r="CW1990" i="1"/>
  <c r="G1495" i="1"/>
  <c r="V1495" i="1"/>
  <c r="AJ1495" i="1"/>
  <c r="AX1495" i="1"/>
  <c r="BQ1495" i="1"/>
  <c r="BR1495" i="1"/>
  <c r="CC1495" i="1"/>
  <c r="CW1495" i="1"/>
  <c r="G1951" i="1"/>
  <c r="V1951" i="1"/>
  <c r="AJ1951" i="1"/>
  <c r="AX1951" i="1"/>
  <c r="BQ1951" i="1"/>
  <c r="BR1951" i="1"/>
  <c r="CC1951" i="1"/>
  <c r="CW1951" i="1"/>
  <c r="G1357" i="1"/>
  <c r="V1357" i="1"/>
  <c r="AJ1357" i="1"/>
  <c r="AX1357" i="1"/>
  <c r="BQ1357" i="1"/>
  <c r="BR1357" i="1"/>
  <c r="CC1357" i="1"/>
  <c r="CW1357" i="1"/>
  <c r="G1035" i="1"/>
  <c r="V1035" i="1"/>
  <c r="AJ1035" i="1"/>
  <c r="AX1035" i="1"/>
  <c r="BQ1035" i="1"/>
  <c r="BR1035" i="1"/>
  <c r="CC1035" i="1"/>
  <c r="CW1035" i="1"/>
  <c r="G1627" i="1"/>
  <c r="V1627" i="1"/>
  <c r="AJ1627" i="1"/>
  <c r="AX1627" i="1"/>
  <c r="BQ1627" i="1"/>
  <c r="BR1627" i="1"/>
  <c r="CC1627" i="1"/>
  <c r="CW1627" i="1"/>
  <c r="G1563" i="1"/>
  <c r="V1563" i="1"/>
  <c r="AJ1563" i="1"/>
  <c r="AX1563" i="1"/>
  <c r="BQ1563" i="1"/>
  <c r="BR1563" i="1"/>
  <c r="CC1563" i="1"/>
  <c r="CW1563" i="1"/>
  <c r="G1282" i="1"/>
  <c r="V1282" i="1"/>
  <c r="AJ1282" i="1"/>
  <c r="AX1282" i="1"/>
  <c r="BQ1282" i="1"/>
  <c r="BR1282" i="1"/>
  <c r="CC1282" i="1"/>
  <c r="CW1282" i="1"/>
  <c r="G1517" i="1"/>
  <c r="V1517" i="1"/>
  <c r="AJ1517" i="1"/>
  <c r="AX1517" i="1"/>
  <c r="BQ1517" i="1"/>
  <c r="BR1517" i="1"/>
  <c r="CC1517" i="1"/>
  <c r="CW1517" i="1"/>
  <c r="G2070" i="1"/>
  <c r="V2070" i="1"/>
  <c r="AJ2070" i="1"/>
  <c r="AX2070" i="1"/>
  <c r="BQ2070" i="1"/>
  <c r="BR2070" i="1"/>
  <c r="CC2070" i="1"/>
  <c r="CW2070" i="1"/>
  <c r="G1424" i="1"/>
  <c r="V1424" i="1"/>
  <c r="AJ1424" i="1"/>
  <c r="AX1424" i="1"/>
  <c r="BQ1424" i="1"/>
  <c r="BR1424" i="1"/>
  <c r="CC1424" i="1"/>
  <c r="CW1424" i="1"/>
  <c r="G1189" i="1"/>
  <c r="V1189" i="1"/>
  <c r="AJ1189" i="1"/>
  <c r="AX1189" i="1"/>
  <c r="BQ1189" i="1"/>
  <c r="BR1189" i="1"/>
  <c r="CC1189" i="1"/>
  <c r="CW1189" i="1"/>
  <c r="G1111" i="1"/>
  <c r="V1111" i="1"/>
  <c r="AJ1111" i="1"/>
  <c r="AX1111" i="1"/>
  <c r="BQ1111" i="1"/>
  <c r="BR1111" i="1"/>
  <c r="CC1111" i="1"/>
  <c r="CW1111" i="1"/>
  <c r="G1316" i="1"/>
  <c r="V1316" i="1"/>
  <c r="AJ1316" i="1"/>
  <c r="AX1316" i="1"/>
  <c r="BQ1316" i="1"/>
  <c r="BR1316" i="1"/>
  <c r="CC1316" i="1"/>
  <c r="CW1316" i="1"/>
  <c r="G1569" i="1"/>
  <c r="V1569" i="1"/>
  <c r="AJ1569" i="1"/>
  <c r="AX1569" i="1"/>
  <c r="BQ1569" i="1"/>
  <c r="BR1569" i="1"/>
  <c r="CC1569" i="1"/>
  <c r="CW1569" i="1"/>
  <c r="G1988" i="1"/>
  <c r="V1988" i="1"/>
  <c r="AJ1988" i="1"/>
  <c r="AX1988" i="1"/>
  <c r="BQ1988" i="1"/>
  <c r="BR1988" i="1"/>
  <c r="CC1988" i="1"/>
  <c r="CW1988" i="1"/>
  <c r="G1239" i="1"/>
  <c r="V1239" i="1"/>
  <c r="AJ1239" i="1"/>
  <c r="AX1239" i="1"/>
  <c r="BQ1239" i="1"/>
  <c r="BR1239" i="1"/>
  <c r="CC1239" i="1"/>
  <c r="CW1239" i="1"/>
  <c r="G1887" i="1"/>
  <c r="V1887" i="1"/>
  <c r="AJ1887" i="1"/>
  <c r="AX1887" i="1"/>
  <c r="BQ1887" i="1"/>
  <c r="BR1887" i="1"/>
  <c r="CC1887" i="1"/>
  <c r="CW1887" i="1"/>
  <c r="G1600" i="1"/>
  <c r="V1600" i="1"/>
  <c r="AJ1600" i="1"/>
  <c r="AX1600" i="1"/>
  <c r="BQ1600" i="1"/>
  <c r="BR1600" i="1"/>
  <c r="CC1600" i="1"/>
  <c r="CK1600" i="1"/>
  <c r="CW1600" i="1"/>
  <c r="G1973" i="1"/>
  <c r="V1973" i="1"/>
  <c r="AJ1973" i="1"/>
  <c r="AX1973" i="1"/>
  <c r="BQ1973" i="1"/>
  <c r="BR1973" i="1"/>
  <c r="CC1973" i="1"/>
  <c r="CW1973" i="1"/>
  <c r="G1252" i="1"/>
  <c r="V1252" i="1"/>
  <c r="AJ1252" i="1"/>
  <c r="AX1252" i="1"/>
  <c r="BQ1252" i="1"/>
  <c r="BR1252" i="1"/>
  <c r="CC1252" i="1"/>
  <c r="CW1252" i="1"/>
  <c r="G1074" i="1"/>
  <c r="V1074" i="1"/>
  <c r="AJ1074" i="1"/>
  <c r="AX1074" i="1"/>
  <c r="BQ1074" i="1"/>
  <c r="BR1074" i="1"/>
  <c r="CC1074" i="1"/>
  <c r="CW1074" i="1"/>
  <c r="G1188" i="1"/>
  <c r="V1188" i="1"/>
  <c r="AJ1188" i="1"/>
  <c r="AX1188" i="1"/>
  <c r="BQ1188" i="1"/>
  <c r="BR1188" i="1"/>
  <c r="CC1188" i="1"/>
  <c r="CW1188" i="1"/>
  <c r="G1066" i="1"/>
  <c r="V1066" i="1"/>
  <c r="AJ1066" i="1"/>
  <c r="AX1066" i="1"/>
  <c r="BQ1066" i="1"/>
  <c r="BR1066" i="1"/>
  <c r="CC1066" i="1"/>
  <c r="CW1066" i="1"/>
  <c r="G2270" i="1"/>
  <c r="V2270" i="1"/>
  <c r="AJ2270" i="1"/>
  <c r="AX2270" i="1"/>
  <c r="BQ2270" i="1"/>
  <c r="BR2270" i="1"/>
  <c r="CC2270" i="1"/>
  <c r="CW2270" i="1"/>
  <c r="G1390" i="1"/>
  <c r="V1390" i="1"/>
  <c r="AJ1390" i="1"/>
  <c r="AX1390" i="1"/>
  <c r="BQ1390" i="1"/>
  <c r="BR1390" i="1"/>
  <c r="CC1390" i="1"/>
  <c r="CW1390" i="1"/>
  <c r="G2212" i="1"/>
  <c r="V2212" i="1"/>
  <c r="AJ2212" i="1"/>
  <c r="AX2212" i="1"/>
  <c r="BQ2212" i="1"/>
  <c r="BR2212" i="1"/>
  <c r="CC2212" i="1"/>
  <c r="CW2212" i="1"/>
  <c r="G869" i="1"/>
  <c r="V869" i="1"/>
  <c r="AJ869" i="1"/>
  <c r="AX869" i="1"/>
  <c r="BQ869" i="1"/>
  <c r="BR869" i="1"/>
  <c r="CC869" i="1"/>
  <c r="CW869" i="1"/>
  <c r="G2189" i="1"/>
  <c r="V2189" i="1"/>
  <c r="AJ2189" i="1"/>
  <c r="AX2189" i="1"/>
  <c r="BQ2189" i="1"/>
  <c r="BR2189" i="1"/>
  <c r="CC2189" i="1"/>
  <c r="CW2189" i="1"/>
  <c r="G2183" i="1"/>
  <c r="V2183" i="1"/>
  <c r="AJ2183" i="1"/>
  <c r="AX2183" i="1"/>
  <c r="BQ2183" i="1"/>
  <c r="BR2183" i="1"/>
  <c r="CC2183" i="1"/>
  <c r="CW2183" i="1"/>
  <c r="G1545" i="1"/>
  <c r="V1545" i="1"/>
  <c r="AJ1545" i="1"/>
  <c r="AX1545" i="1"/>
  <c r="BQ1545" i="1"/>
  <c r="BR1545" i="1"/>
  <c r="CC1545" i="1"/>
  <c r="CW1545" i="1"/>
  <c r="G1624" i="1"/>
  <c r="V1624" i="1"/>
  <c r="AJ1624" i="1"/>
  <c r="AX1624" i="1"/>
  <c r="BQ1624" i="1"/>
  <c r="BR1624" i="1"/>
  <c r="CC1624" i="1"/>
  <c r="CW1624" i="1"/>
  <c r="G2185" i="1"/>
  <c r="V2185" i="1"/>
  <c r="AJ2185" i="1"/>
  <c r="AX2185" i="1"/>
  <c r="BQ2185" i="1"/>
  <c r="BR2185" i="1"/>
  <c r="CC2185" i="1"/>
  <c r="CW2185" i="1"/>
  <c r="G1012" i="1"/>
  <c r="V1012" i="1"/>
  <c r="AJ1012" i="1"/>
  <c r="AX1012" i="1"/>
  <c r="BQ1012" i="1"/>
  <c r="BR1012" i="1"/>
  <c r="CC1012" i="1"/>
  <c r="CW1012" i="1"/>
  <c r="G1537" i="1"/>
  <c r="V1537" i="1"/>
  <c r="AJ1537" i="1"/>
  <c r="AX1537" i="1"/>
  <c r="BQ1537" i="1"/>
  <c r="BR1537" i="1"/>
  <c r="CC1537" i="1"/>
  <c r="CW1537" i="1"/>
  <c r="G1353" i="1"/>
  <c r="V1353" i="1"/>
  <c r="AJ1353" i="1"/>
  <c r="AX1353" i="1"/>
  <c r="BQ1353" i="1"/>
  <c r="BR1353" i="1"/>
  <c r="CC1353" i="1"/>
  <c r="CW1353" i="1"/>
  <c r="G61" i="1"/>
  <c r="V61" i="1"/>
  <c r="AJ61" i="1"/>
  <c r="AX61" i="1"/>
  <c r="BQ61" i="1"/>
  <c r="BR61" i="1"/>
  <c r="CC61" i="1"/>
  <c r="CW61" i="1"/>
  <c r="G757" i="1"/>
  <c r="V757" i="1"/>
  <c r="AJ757" i="1"/>
  <c r="AX757" i="1"/>
  <c r="BQ757" i="1"/>
  <c r="BR757" i="1"/>
  <c r="CC757" i="1"/>
  <c r="CW757" i="1"/>
  <c r="G216" i="1"/>
  <c r="V216" i="1"/>
  <c r="AJ216" i="1"/>
  <c r="AX216" i="1"/>
  <c r="BQ216" i="1"/>
  <c r="BR216" i="1"/>
  <c r="CC216" i="1"/>
  <c r="CW216" i="1"/>
  <c r="G683" i="1"/>
  <c r="V683" i="1"/>
  <c r="AJ683" i="1"/>
  <c r="AX683" i="1"/>
  <c r="BQ683" i="1"/>
  <c r="BR683" i="1"/>
  <c r="CC683" i="1"/>
  <c r="CW683" i="1"/>
  <c r="G9" i="1"/>
  <c r="V9" i="1"/>
  <c r="AJ9" i="1"/>
  <c r="AX9" i="1"/>
  <c r="BQ9" i="1"/>
  <c r="BR9" i="1"/>
  <c r="CC9" i="1"/>
  <c r="CW9" i="1"/>
  <c r="G1801" i="1"/>
  <c r="V1801" i="1"/>
  <c r="AJ1801" i="1"/>
  <c r="AX1801" i="1"/>
  <c r="BQ1801" i="1"/>
  <c r="BR1801" i="1"/>
  <c r="CC1801" i="1"/>
  <c r="CW1801" i="1"/>
  <c r="G260" i="1"/>
  <c r="V260" i="1"/>
  <c r="AJ260" i="1"/>
  <c r="AX260" i="1"/>
  <c r="BQ260" i="1"/>
  <c r="BR260" i="1"/>
  <c r="CC260" i="1"/>
  <c r="CW260" i="1"/>
  <c r="G813" i="1"/>
  <c r="V813" i="1"/>
  <c r="AJ813" i="1"/>
  <c r="AX813" i="1"/>
  <c r="BQ813" i="1"/>
  <c r="BR813" i="1"/>
  <c r="CC813" i="1"/>
  <c r="CW813" i="1"/>
  <c r="G619" i="1"/>
  <c r="V619" i="1"/>
  <c r="AJ619" i="1"/>
  <c r="AX619" i="1"/>
  <c r="BQ619" i="1"/>
  <c r="BR619" i="1"/>
  <c r="CC619" i="1"/>
  <c r="CW619" i="1"/>
  <c r="G403" i="1"/>
  <c r="V403" i="1"/>
  <c r="AJ403" i="1"/>
  <c r="AX403" i="1"/>
  <c r="BQ403" i="1"/>
  <c r="BR403" i="1"/>
  <c r="CC403" i="1"/>
  <c r="CW403" i="1"/>
  <c r="G376" i="1"/>
  <c r="V376" i="1"/>
  <c r="AJ376" i="1"/>
  <c r="AX376" i="1"/>
  <c r="BQ376" i="1"/>
  <c r="BR376" i="1"/>
  <c r="CC376" i="1"/>
  <c r="CW376" i="1"/>
  <c r="G740" i="1"/>
  <c r="V740" i="1"/>
  <c r="AJ740" i="1"/>
  <c r="AX740" i="1"/>
  <c r="BQ740" i="1"/>
  <c r="BR740" i="1"/>
  <c r="CC740" i="1"/>
  <c r="CW740" i="1"/>
  <c r="G2221" i="1"/>
  <c r="V2221" i="1"/>
  <c r="AJ2221" i="1"/>
  <c r="AX2221" i="1"/>
  <c r="BQ2221" i="1"/>
  <c r="BR2221" i="1"/>
  <c r="CC2221" i="1"/>
  <c r="CW2221" i="1"/>
  <c r="G445" i="1"/>
  <c r="V445" i="1"/>
  <c r="AJ445" i="1"/>
  <c r="AX445" i="1"/>
  <c r="BQ445" i="1"/>
  <c r="BR445" i="1"/>
  <c r="CC445" i="1"/>
  <c r="CW445" i="1"/>
  <c r="G426" i="1"/>
  <c r="V426" i="1"/>
  <c r="AJ426" i="1"/>
  <c r="AX426" i="1"/>
  <c r="BQ426" i="1"/>
  <c r="BR426" i="1"/>
  <c r="CC426" i="1"/>
  <c r="CW426" i="1"/>
  <c r="G2328" i="1"/>
  <c r="V2328" i="1"/>
  <c r="AJ2328" i="1"/>
  <c r="AX2328" i="1"/>
  <c r="BQ2328" i="1"/>
  <c r="BR2328" i="1"/>
  <c r="CC2328" i="1"/>
  <c r="CW2328" i="1"/>
  <c r="G84" i="1"/>
  <c r="V84" i="1"/>
  <c r="AJ84" i="1"/>
  <c r="AX84" i="1"/>
  <c r="BQ84" i="1"/>
  <c r="BR84" i="1"/>
  <c r="CC84" i="1"/>
  <c r="CW84" i="1"/>
  <c r="G2294" i="1"/>
  <c r="V2294" i="1"/>
  <c r="AJ2294" i="1"/>
  <c r="AX2294" i="1"/>
  <c r="BQ2294" i="1"/>
  <c r="BR2294" i="1"/>
  <c r="CC2294" i="1"/>
  <c r="CW2294" i="1"/>
  <c r="G770" i="1"/>
  <c r="V770" i="1"/>
  <c r="AJ770" i="1"/>
  <c r="AX770" i="1"/>
  <c r="BQ770" i="1"/>
  <c r="BR770" i="1"/>
  <c r="CC770" i="1"/>
  <c r="CW770" i="1"/>
  <c r="G402" i="1"/>
  <c r="V402" i="1"/>
  <c r="AJ402" i="1"/>
  <c r="AX402" i="1"/>
  <c r="BQ402" i="1"/>
  <c r="BR402" i="1"/>
  <c r="CC402" i="1"/>
  <c r="CW402" i="1"/>
  <c r="G470" i="1"/>
  <c r="V470" i="1"/>
  <c r="AJ470" i="1"/>
  <c r="AX470" i="1"/>
  <c r="BQ470" i="1"/>
  <c r="BR470" i="1"/>
  <c r="CC470" i="1"/>
  <c r="CW470" i="1"/>
  <c r="G20" i="1"/>
  <c r="V20" i="1"/>
  <c r="AJ20" i="1"/>
  <c r="AX20" i="1"/>
  <c r="BQ20" i="1"/>
  <c r="BR20" i="1"/>
  <c r="CC20" i="1"/>
  <c r="CW20" i="1"/>
  <c r="G539" i="1"/>
  <c r="V539" i="1"/>
  <c r="AJ539" i="1"/>
  <c r="AX539" i="1"/>
  <c r="BQ539" i="1"/>
  <c r="BR539" i="1"/>
  <c r="CC539" i="1"/>
  <c r="CW539" i="1"/>
  <c r="G2300" i="1"/>
  <c r="V2300" i="1"/>
  <c r="AJ2300" i="1"/>
  <c r="AX2300" i="1"/>
  <c r="BQ2300" i="1"/>
  <c r="BR2300" i="1"/>
  <c r="CC2300" i="1"/>
  <c r="CW2300" i="1"/>
  <c r="G23" i="1"/>
  <c r="V23" i="1"/>
  <c r="AJ23" i="1"/>
  <c r="AX23" i="1"/>
  <c r="BQ23" i="1"/>
  <c r="BR23" i="1"/>
  <c r="CC23" i="1"/>
  <c r="CW23" i="1"/>
  <c r="G746" i="1"/>
  <c r="V746" i="1"/>
  <c r="AJ746" i="1"/>
  <c r="AX746" i="1"/>
  <c r="BQ746" i="1"/>
  <c r="BR746" i="1"/>
  <c r="CC746" i="1"/>
  <c r="CW746" i="1"/>
  <c r="G793" i="1"/>
  <c r="V793" i="1"/>
  <c r="AJ793" i="1"/>
  <c r="AX793" i="1"/>
  <c r="BQ793" i="1"/>
  <c r="BR793" i="1"/>
  <c r="CC793" i="1"/>
  <c r="CW793" i="1"/>
  <c r="G175" i="1"/>
  <c r="V175" i="1"/>
  <c r="AJ175" i="1"/>
  <c r="AX175" i="1"/>
  <c r="BQ175" i="1"/>
  <c r="BR175" i="1"/>
  <c r="CC175" i="1"/>
  <c r="CW175" i="1"/>
  <c r="G463" i="1"/>
  <c r="V463" i="1"/>
  <c r="AJ463" i="1"/>
  <c r="AX463" i="1"/>
  <c r="BQ463" i="1"/>
  <c r="BR463" i="1"/>
  <c r="CC463" i="1"/>
  <c r="CW463" i="1"/>
  <c r="G768" i="1"/>
  <c r="V768" i="1"/>
  <c r="AJ768" i="1"/>
  <c r="AX768" i="1"/>
  <c r="BQ768" i="1"/>
  <c r="BR768" i="1"/>
  <c r="CC768" i="1"/>
  <c r="CW768" i="1"/>
  <c r="G79" i="1"/>
  <c r="V79" i="1"/>
  <c r="AJ79" i="1"/>
  <c r="AX79" i="1"/>
  <c r="BQ79" i="1"/>
  <c r="BR79" i="1"/>
  <c r="CC79" i="1"/>
  <c r="CW79" i="1"/>
  <c r="G558" i="1"/>
  <c r="V558" i="1"/>
  <c r="AJ558" i="1"/>
  <c r="AX558" i="1"/>
  <c r="BQ558" i="1"/>
  <c r="BR558" i="1"/>
  <c r="CC558" i="1"/>
  <c r="CW558" i="1"/>
  <c r="G821" i="1"/>
  <c r="V821" i="1"/>
  <c r="AJ821" i="1"/>
  <c r="AX821" i="1"/>
  <c r="BQ821" i="1"/>
  <c r="BR821" i="1"/>
  <c r="CC821" i="1"/>
  <c r="CW821" i="1"/>
  <c r="G286" i="1"/>
  <c r="V286" i="1"/>
  <c r="AJ286" i="1"/>
  <c r="AX286" i="1"/>
  <c r="BQ286" i="1"/>
  <c r="BR286" i="1"/>
  <c r="CC286" i="1"/>
  <c r="CW286" i="1"/>
  <c r="G622" i="1"/>
  <c r="V622" i="1"/>
  <c r="AJ622" i="1"/>
  <c r="AX622" i="1"/>
  <c r="BQ622" i="1"/>
  <c r="BR622" i="1"/>
  <c r="CC622" i="1"/>
  <c r="CW622" i="1"/>
  <c r="G1851" i="1"/>
  <c r="V1851" i="1"/>
  <c r="AJ1851" i="1"/>
  <c r="AX1851" i="1"/>
  <c r="BQ1851" i="1"/>
  <c r="BR1851" i="1"/>
  <c r="CC1851" i="1"/>
  <c r="CW1851" i="1"/>
  <c r="G816" i="1"/>
  <c r="V816" i="1"/>
  <c r="AJ816" i="1"/>
  <c r="AX816" i="1"/>
  <c r="BQ816" i="1"/>
  <c r="BR816" i="1"/>
  <c r="CC816" i="1"/>
  <c r="CW816" i="1"/>
  <c r="G215" i="1"/>
  <c r="V215" i="1"/>
  <c r="AJ215" i="1"/>
  <c r="AX215" i="1"/>
  <c r="BQ215" i="1"/>
  <c r="BR215" i="1"/>
  <c r="CC215" i="1"/>
  <c r="CW215" i="1"/>
  <c r="G817" i="1"/>
  <c r="V817" i="1"/>
  <c r="AJ817" i="1"/>
  <c r="AX817" i="1"/>
  <c r="BQ817" i="1"/>
  <c r="BR817" i="1"/>
  <c r="CC817" i="1"/>
  <c r="CW817" i="1"/>
  <c r="G389" i="1"/>
  <c r="V389" i="1"/>
  <c r="AJ389" i="1"/>
  <c r="AX389" i="1"/>
  <c r="BQ389" i="1"/>
  <c r="BR389" i="1"/>
  <c r="CC389" i="1"/>
  <c r="CW389" i="1"/>
  <c r="G453" i="1"/>
  <c r="V453" i="1"/>
  <c r="AJ453" i="1"/>
  <c r="AX453" i="1"/>
  <c r="BQ453" i="1"/>
  <c r="BR453" i="1"/>
  <c r="CC453" i="1"/>
  <c r="CW453" i="1"/>
  <c r="G497" i="1"/>
  <c r="V497" i="1"/>
  <c r="AJ497" i="1"/>
  <c r="AX497" i="1"/>
  <c r="BQ497" i="1"/>
  <c r="BR497" i="1"/>
  <c r="CC497" i="1"/>
  <c r="CW497" i="1"/>
  <c r="G638" i="1"/>
  <c r="V638" i="1"/>
  <c r="AJ638" i="1"/>
  <c r="AX638" i="1"/>
  <c r="BQ638" i="1"/>
  <c r="BR638" i="1"/>
  <c r="CC638" i="1"/>
  <c r="CW638" i="1"/>
  <c r="G292" i="1"/>
  <c r="V292" i="1"/>
  <c r="AJ292" i="1"/>
  <c r="AX292" i="1"/>
  <c r="BQ292" i="1"/>
  <c r="BR292" i="1"/>
  <c r="CC292" i="1"/>
  <c r="CW292" i="1"/>
  <c r="G602" i="1"/>
  <c r="V602" i="1"/>
  <c r="AJ602" i="1"/>
  <c r="AX602" i="1"/>
  <c r="BQ602" i="1"/>
  <c r="BR602" i="1"/>
  <c r="CC602" i="1"/>
  <c r="CW602" i="1"/>
  <c r="G503" i="1"/>
  <c r="V503" i="1"/>
  <c r="AJ503" i="1"/>
  <c r="AX503" i="1"/>
  <c r="BQ503" i="1"/>
  <c r="BR503" i="1"/>
  <c r="CC503" i="1"/>
  <c r="CW503" i="1"/>
  <c r="G189" i="1"/>
  <c r="V189" i="1"/>
  <c r="AJ189" i="1"/>
  <c r="AX189" i="1"/>
  <c r="BQ189" i="1"/>
  <c r="BR189" i="1"/>
  <c r="CC189" i="1"/>
  <c r="CW189" i="1"/>
  <c r="G34" i="1"/>
  <c r="V34" i="1"/>
  <c r="AJ34" i="1"/>
  <c r="AX34" i="1"/>
  <c r="BQ34" i="1"/>
  <c r="BR34" i="1"/>
  <c r="CC34" i="1"/>
  <c r="CW34" i="1"/>
  <c r="G814" i="1"/>
  <c r="V814" i="1"/>
  <c r="AJ814" i="1"/>
  <c r="AX814" i="1"/>
  <c r="BQ814" i="1"/>
  <c r="BR814" i="1"/>
  <c r="CC814" i="1"/>
  <c r="CW814" i="1"/>
  <c r="G206" i="1"/>
  <c r="V206" i="1"/>
  <c r="AJ206" i="1"/>
  <c r="AX206" i="1"/>
  <c r="BQ206" i="1"/>
  <c r="BR206" i="1"/>
  <c r="CC206" i="1"/>
  <c r="CW206" i="1"/>
  <c r="G272" i="1"/>
  <c r="V272" i="1"/>
  <c r="AJ272" i="1"/>
  <c r="AX272" i="1"/>
  <c r="BQ272" i="1"/>
  <c r="BR272" i="1"/>
  <c r="CC272" i="1"/>
  <c r="CW272" i="1"/>
  <c r="G1327" i="1"/>
  <c r="V1327" i="1"/>
  <c r="AJ1327" i="1"/>
  <c r="AX1327" i="1"/>
  <c r="BQ1327" i="1"/>
  <c r="BR1327" i="1"/>
  <c r="CC1327" i="1"/>
  <c r="CW1327" i="1"/>
  <c r="G593" i="1"/>
  <c r="V593" i="1"/>
  <c r="AJ593" i="1"/>
  <c r="AX593" i="1"/>
  <c r="BQ593" i="1"/>
  <c r="BR593" i="1"/>
  <c r="CC593" i="1"/>
  <c r="CW593" i="1"/>
  <c r="G921" i="1"/>
  <c r="V921" i="1"/>
  <c r="AJ921" i="1"/>
  <c r="AX921" i="1"/>
  <c r="BQ921" i="1"/>
  <c r="BR921" i="1"/>
  <c r="CC921" i="1"/>
  <c r="CW921" i="1"/>
  <c r="G1728" i="1"/>
  <c r="V1728" i="1"/>
  <c r="AJ1728" i="1"/>
  <c r="AX1728" i="1"/>
  <c r="BQ1728" i="1"/>
  <c r="BR1728" i="1"/>
  <c r="CC1728" i="1"/>
  <c r="CW1728" i="1"/>
  <c r="G674" i="1"/>
  <c r="V674" i="1"/>
  <c r="AJ674" i="1"/>
  <c r="AX674" i="1"/>
  <c r="BQ674" i="1"/>
  <c r="BR674" i="1"/>
  <c r="CC674" i="1"/>
  <c r="CW674" i="1"/>
  <c r="G841" i="1"/>
  <c r="V841" i="1"/>
  <c r="AJ841" i="1"/>
  <c r="AX841" i="1"/>
  <c r="BQ841" i="1"/>
  <c r="BR841" i="1"/>
  <c r="CC841" i="1"/>
  <c r="CW841" i="1"/>
  <c r="G1506" i="1"/>
  <c r="V1506" i="1"/>
  <c r="AJ1506" i="1"/>
  <c r="AX1506" i="1"/>
  <c r="BQ1506" i="1"/>
  <c r="BR1506" i="1"/>
  <c r="CC1506" i="1"/>
  <c r="CW1506" i="1"/>
  <c r="G457" i="1"/>
  <c r="V457" i="1"/>
  <c r="AJ457" i="1"/>
  <c r="AX457" i="1"/>
  <c r="BQ457" i="1"/>
  <c r="BR457" i="1"/>
  <c r="CC457" i="1"/>
  <c r="CW457" i="1"/>
  <c r="G650" i="1"/>
  <c r="V650" i="1"/>
  <c r="AJ650" i="1"/>
  <c r="AX650" i="1"/>
  <c r="BQ650" i="1"/>
  <c r="BR650" i="1"/>
  <c r="CC650" i="1"/>
  <c r="CW650" i="1"/>
  <c r="G1090" i="1"/>
  <c r="V1090" i="1"/>
  <c r="AJ1090" i="1"/>
  <c r="AX1090" i="1"/>
  <c r="BQ1090" i="1"/>
  <c r="BR1090" i="1"/>
  <c r="CC1090" i="1"/>
  <c r="CW1090" i="1"/>
  <c r="G1079" i="1"/>
  <c r="V1079" i="1"/>
  <c r="AJ1079" i="1"/>
  <c r="AX1079" i="1"/>
  <c r="BQ1079" i="1"/>
  <c r="BR1079" i="1"/>
  <c r="CC1079" i="1"/>
  <c r="CW1079" i="1"/>
  <c r="G2384" i="1"/>
  <c r="V2384" i="1"/>
  <c r="AJ2384" i="1"/>
  <c r="AX2384" i="1"/>
  <c r="BQ2384" i="1"/>
  <c r="BR2384" i="1"/>
  <c r="CC2384" i="1"/>
  <c r="CW2384" i="1"/>
  <c r="G2388" i="1"/>
  <c r="V2388" i="1"/>
  <c r="AJ2388" i="1"/>
  <c r="AX2388" i="1"/>
  <c r="BQ2388" i="1"/>
  <c r="BR2388" i="1"/>
  <c r="CC2388" i="1"/>
  <c r="CW2388" i="1"/>
  <c r="G2398" i="1"/>
  <c r="V2398" i="1"/>
  <c r="AJ2398" i="1"/>
  <c r="AX2398" i="1"/>
  <c r="BQ2398" i="1"/>
  <c r="BR2398" i="1"/>
  <c r="CC2398" i="1"/>
  <c r="CW2398" i="1"/>
  <c r="G1497" i="1"/>
  <c r="V1497" i="1"/>
  <c r="AJ1497" i="1"/>
  <c r="AX1497" i="1"/>
  <c r="BQ1497" i="1"/>
  <c r="BR1497" i="1"/>
  <c r="CC1497" i="1"/>
  <c r="CW1497" i="1"/>
  <c r="G1953" i="1"/>
  <c r="V1953" i="1"/>
  <c r="AJ1953" i="1"/>
  <c r="AX1953" i="1"/>
  <c r="BQ1953" i="1"/>
  <c r="BR1953" i="1"/>
  <c r="CC1953" i="1"/>
  <c r="CW1953" i="1"/>
  <c r="G2142" i="1"/>
  <c r="V2142" i="1"/>
  <c r="AJ2142" i="1"/>
  <c r="AX2142" i="1"/>
  <c r="BQ2142" i="1"/>
  <c r="BR2142" i="1"/>
  <c r="CC2142" i="1"/>
  <c r="CW2142" i="1"/>
  <c r="G1339" i="1"/>
  <c r="V1339" i="1"/>
  <c r="AJ1339" i="1"/>
  <c r="AX1339" i="1"/>
  <c r="BQ1339" i="1"/>
  <c r="BR1339" i="1"/>
  <c r="CC1339" i="1"/>
  <c r="CW1339" i="1"/>
  <c r="G977" i="1"/>
  <c r="V977" i="1"/>
  <c r="AJ977" i="1"/>
  <c r="AX977" i="1"/>
  <c r="BQ977" i="1"/>
  <c r="BR977" i="1"/>
  <c r="CC977" i="1"/>
  <c r="CW977" i="1"/>
  <c r="G972" i="1"/>
  <c r="V972" i="1"/>
  <c r="AJ972" i="1"/>
  <c r="AX972" i="1"/>
  <c r="BQ972" i="1"/>
  <c r="BR972" i="1"/>
  <c r="CC972" i="1"/>
  <c r="CW972" i="1"/>
  <c r="G1169" i="1"/>
  <c r="V1169" i="1"/>
  <c r="AJ1169" i="1"/>
  <c r="AX1169" i="1"/>
  <c r="BQ1169" i="1"/>
  <c r="BR1169" i="1"/>
  <c r="CC1169" i="1"/>
  <c r="CW1169" i="1"/>
  <c r="G1187" i="1"/>
  <c r="V1187" i="1"/>
  <c r="AJ1187" i="1"/>
  <c r="AX1187" i="1"/>
  <c r="BQ1187" i="1"/>
  <c r="BR1187" i="1"/>
  <c r="CC1187" i="1"/>
  <c r="CW1187" i="1"/>
  <c r="G1299" i="1"/>
  <c r="V1299" i="1"/>
  <c r="AJ1299" i="1"/>
  <c r="AX1299" i="1"/>
  <c r="BQ1299" i="1"/>
  <c r="BR1299" i="1"/>
  <c r="CC1299" i="1"/>
  <c r="CW1299" i="1"/>
  <c r="G990" i="1"/>
  <c r="V990" i="1"/>
  <c r="AJ990" i="1"/>
  <c r="AX990" i="1"/>
  <c r="BQ990" i="1"/>
  <c r="BR990" i="1"/>
  <c r="CC990" i="1"/>
  <c r="CW990" i="1"/>
  <c r="G2011" i="1"/>
  <c r="V2011" i="1"/>
  <c r="AJ2011" i="1"/>
  <c r="AX2011" i="1"/>
  <c r="BQ2011" i="1"/>
  <c r="BR2011" i="1"/>
  <c r="CC2011" i="1"/>
  <c r="CW2011" i="1"/>
  <c r="G1595" i="1"/>
  <c r="V1595" i="1"/>
  <c r="AJ1595" i="1"/>
  <c r="AX1595" i="1"/>
  <c r="BQ1595" i="1"/>
  <c r="BR1595" i="1"/>
  <c r="CC1595" i="1"/>
  <c r="CW1595" i="1"/>
  <c r="G1118" i="1"/>
  <c r="V1118" i="1"/>
  <c r="AJ1118" i="1"/>
  <c r="AX1118" i="1"/>
  <c r="BQ1118" i="1"/>
  <c r="BR1118" i="1"/>
  <c r="CC1118" i="1"/>
  <c r="CW1118" i="1"/>
  <c r="G1913" i="1"/>
  <c r="V1913" i="1"/>
  <c r="AJ1913" i="1"/>
  <c r="AX1913" i="1"/>
  <c r="BQ1913" i="1"/>
  <c r="BR1913" i="1"/>
  <c r="CC1913" i="1"/>
  <c r="CW1913" i="1"/>
  <c r="G1435" i="1"/>
  <c r="V1435" i="1"/>
  <c r="AJ1435" i="1"/>
  <c r="AX1435" i="1"/>
  <c r="BQ1435" i="1"/>
  <c r="BR1435" i="1"/>
  <c r="CC1435" i="1"/>
  <c r="CW1435" i="1"/>
  <c r="G1350" i="1"/>
  <c r="V1350" i="1"/>
  <c r="AJ1350" i="1"/>
  <c r="AX1350" i="1"/>
  <c r="BQ1350" i="1"/>
  <c r="BR1350" i="1"/>
  <c r="CC1350" i="1"/>
  <c r="CW1350" i="1"/>
  <c r="G1228" i="1"/>
  <c r="V1228" i="1"/>
  <c r="AJ1228" i="1"/>
  <c r="AX1228" i="1"/>
  <c r="BQ1228" i="1"/>
  <c r="BR1228" i="1"/>
  <c r="CC1228" i="1"/>
  <c r="CW1228" i="1"/>
  <c r="G1478" i="1"/>
  <c r="V1478" i="1"/>
  <c r="AJ1478" i="1"/>
  <c r="AX1478" i="1"/>
  <c r="BQ1478" i="1"/>
  <c r="BR1478" i="1"/>
  <c r="CC1478" i="1"/>
  <c r="CW1478" i="1"/>
  <c r="G1046" i="1"/>
  <c r="V1046" i="1"/>
  <c r="AJ1046" i="1"/>
  <c r="AX1046" i="1"/>
  <c r="BQ1046" i="1"/>
  <c r="BR1046" i="1"/>
  <c r="CC1046" i="1"/>
  <c r="CW1046" i="1"/>
  <c r="G2344" i="1"/>
  <c r="V2344" i="1"/>
  <c r="AJ2344" i="1"/>
  <c r="AX2344" i="1"/>
  <c r="BQ2344" i="1"/>
  <c r="BR2344" i="1"/>
  <c r="CC2344" i="1"/>
  <c r="CW2344" i="1"/>
  <c r="G1656" i="1"/>
  <c r="V1656" i="1"/>
  <c r="AJ1656" i="1"/>
  <c r="AX1656" i="1"/>
  <c r="BQ1656" i="1"/>
  <c r="BR1656" i="1"/>
  <c r="CC1656" i="1"/>
  <c r="CW1656" i="1"/>
  <c r="G1385" i="1"/>
  <c r="V1385" i="1"/>
  <c r="AJ1385" i="1"/>
  <c r="AX1385" i="1"/>
  <c r="BQ1385" i="1"/>
  <c r="BR1385" i="1"/>
  <c r="CC1385" i="1"/>
  <c r="CW1385" i="1"/>
  <c r="G1697" i="1"/>
  <c r="V1697" i="1"/>
  <c r="AJ1697" i="1"/>
  <c r="AX1697" i="1"/>
  <c r="BQ1697" i="1"/>
  <c r="BR1697" i="1"/>
  <c r="CC1697" i="1"/>
  <c r="CW1697" i="1"/>
  <c r="G1213" i="1"/>
  <c r="V1213" i="1"/>
  <c r="AJ1213" i="1"/>
  <c r="AX1213" i="1"/>
  <c r="BQ1213" i="1"/>
  <c r="BR1213" i="1"/>
  <c r="CC1213" i="1"/>
  <c r="CW1213" i="1"/>
  <c r="G1902" i="1"/>
  <c r="V1902" i="1"/>
  <c r="AJ1902" i="1"/>
  <c r="AX1902" i="1"/>
  <c r="BQ1902" i="1"/>
  <c r="BR1902" i="1"/>
  <c r="CC1902" i="1"/>
  <c r="CW1902" i="1"/>
  <c r="G893" i="1"/>
  <c r="V893" i="1"/>
  <c r="AJ893" i="1"/>
  <c r="AX893" i="1"/>
  <c r="BQ893" i="1"/>
  <c r="BR893" i="1"/>
  <c r="CC893" i="1"/>
  <c r="CW893" i="1"/>
  <c r="G1069" i="1"/>
  <c r="V1069" i="1"/>
  <c r="AJ1069" i="1"/>
  <c r="AX1069" i="1"/>
  <c r="BQ1069" i="1"/>
  <c r="BR1069" i="1"/>
  <c r="CC1069" i="1"/>
  <c r="CW1069" i="1"/>
  <c r="G2053" i="1"/>
  <c r="V2053" i="1"/>
  <c r="AJ2053" i="1"/>
  <c r="AX2053" i="1"/>
  <c r="BQ2053" i="1"/>
  <c r="BR2053" i="1"/>
  <c r="CC2053" i="1"/>
  <c r="CW2053" i="1"/>
  <c r="G1934" i="1"/>
  <c r="V1934" i="1"/>
  <c r="AJ1934" i="1"/>
  <c r="AX1934" i="1"/>
  <c r="BQ1934" i="1"/>
  <c r="BR1934" i="1"/>
  <c r="CC1934" i="1"/>
  <c r="CW1934" i="1"/>
  <c r="G2236" i="1"/>
  <c r="V2236" i="1"/>
  <c r="AJ2236" i="1"/>
  <c r="AX2236" i="1"/>
  <c r="BQ2236" i="1"/>
  <c r="BR2236" i="1"/>
  <c r="CC2236" i="1"/>
  <c r="CW2236" i="1"/>
  <c r="G2211" i="1"/>
  <c r="V2211" i="1"/>
  <c r="AJ2211" i="1"/>
  <c r="AX2211" i="1"/>
  <c r="BQ2211" i="1"/>
  <c r="BR2211" i="1"/>
  <c r="CC2211" i="1"/>
  <c r="CW2211" i="1"/>
  <c r="G858" i="1"/>
  <c r="V858" i="1"/>
  <c r="AJ858" i="1"/>
  <c r="AX858" i="1"/>
  <c r="BQ858" i="1"/>
  <c r="BR858" i="1"/>
  <c r="CC858" i="1"/>
  <c r="CW858" i="1"/>
  <c r="G1543" i="1"/>
  <c r="V1543" i="1"/>
  <c r="AJ1543" i="1"/>
  <c r="AX1543" i="1"/>
  <c r="BQ1543" i="1"/>
  <c r="BR1543" i="1"/>
  <c r="CC1543" i="1"/>
  <c r="CW1543" i="1"/>
  <c r="G2175" i="1"/>
  <c r="V2175" i="1"/>
  <c r="AJ2175" i="1"/>
  <c r="AX2175" i="1"/>
  <c r="BQ2175" i="1"/>
  <c r="BR2175" i="1"/>
  <c r="CC2175" i="1"/>
  <c r="CW2175" i="1"/>
  <c r="G1598" i="1"/>
  <c r="V1598" i="1"/>
  <c r="AJ1598" i="1"/>
  <c r="AX1598" i="1"/>
  <c r="BQ1598" i="1"/>
  <c r="BR1598" i="1"/>
  <c r="CC1598" i="1"/>
  <c r="CW1598" i="1"/>
  <c r="G2064" i="1"/>
  <c r="V2064" i="1"/>
  <c r="AJ2064" i="1"/>
  <c r="AX2064" i="1"/>
  <c r="BQ2064" i="1"/>
  <c r="BR2064" i="1"/>
  <c r="CC2064" i="1"/>
  <c r="CW2064" i="1"/>
  <c r="G1295" i="1"/>
  <c r="V1295" i="1"/>
  <c r="AJ1295" i="1"/>
  <c r="AX1295" i="1"/>
  <c r="BQ1295" i="1"/>
  <c r="BR1295" i="1"/>
  <c r="CC1295" i="1"/>
  <c r="CW1295" i="1"/>
  <c r="G1162" i="1"/>
  <c r="V1162" i="1"/>
  <c r="AJ1162" i="1"/>
  <c r="AX1162" i="1"/>
  <c r="BQ1162" i="1"/>
  <c r="BR1162" i="1"/>
  <c r="CC1162" i="1"/>
  <c r="CW1162" i="1"/>
  <c r="G999" i="1"/>
  <c r="V999" i="1"/>
  <c r="AJ999" i="1"/>
  <c r="AX999" i="1"/>
  <c r="BQ999" i="1"/>
  <c r="BR999" i="1"/>
  <c r="CC999" i="1"/>
  <c r="CW999" i="1"/>
  <c r="G1488" i="1"/>
  <c r="V1488" i="1"/>
  <c r="AJ1488" i="1"/>
  <c r="AX1488" i="1"/>
  <c r="BQ1488" i="1"/>
  <c r="BR1488" i="1"/>
  <c r="CC1488" i="1"/>
  <c r="CW1488" i="1"/>
  <c r="G1447" i="1"/>
  <c r="V1447" i="1"/>
  <c r="AJ1447" i="1"/>
  <c r="AX1447" i="1"/>
  <c r="BQ1447" i="1"/>
  <c r="BR1447" i="1"/>
  <c r="CC1447" i="1"/>
  <c r="CW1447" i="1"/>
  <c r="G1725" i="1"/>
  <c r="V1725" i="1"/>
  <c r="AJ1725" i="1"/>
  <c r="AX1725" i="1"/>
  <c r="BQ1725" i="1"/>
  <c r="BR1725" i="1"/>
  <c r="CC1725" i="1"/>
  <c r="CW1725" i="1"/>
  <c r="G998" i="1"/>
  <c r="V998" i="1"/>
  <c r="AJ998" i="1"/>
  <c r="AX998" i="1"/>
  <c r="BQ998" i="1"/>
  <c r="BR998" i="1"/>
  <c r="CC998" i="1"/>
  <c r="CW998" i="1"/>
  <c r="G2113" i="1"/>
  <c r="V2113" i="1"/>
  <c r="AJ2113" i="1"/>
  <c r="AX2113" i="1"/>
  <c r="BQ2113" i="1"/>
  <c r="BR2113" i="1"/>
  <c r="CC2113" i="1"/>
  <c r="CW2113" i="1"/>
  <c r="G1225" i="1"/>
  <c r="V1225" i="1"/>
  <c r="AJ1225" i="1"/>
  <c r="AX1225" i="1"/>
  <c r="BQ1225" i="1"/>
  <c r="BR1225" i="1"/>
  <c r="CC1225" i="1"/>
  <c r="CW1225" i="1"/>
  <c r="G1998" i="1"/>
  <c r="V1998" i="1"/>
  <c r="AJ1998" i="1"/>
  <c r="AX1998" i="1"/>
  <c r="BQ1998" i="1"/>
  <c r="BR1998" i="1"/>
  <c r="CC1998" i="1"/>
  <c r="CW1998" i="1"/>
  <c r="G2145" i="1"/>
  <c r="V2145" i="1"/>
  <c r="AJ2145" i="1"/>
  <c r="AX2145" i="1"/>
  <c r="BQ2145" i="1"/>
  <c r="BR2145" i="1"/>
  <c r="CC2145" i="1"/>
  <c r="CW2145" i="1"/>
  <c r="G1586" i="1"/>
  <c r="V1586" i="1"/>
  <c r="AJ1586" i="1"/>
  <c r="AX1586" i="1"/>
  <c r="BQ1586" i="1"/>
  <c r="BR1586" i="1"/>
  <c r="CC1586" i="1"/>
  <c r="CW1586" i="1"/>
  <c r="G1233" i="1"/>
  <c r="V1233" i="1"/>
  <c r="AJ1233" i="1"/>
  <c r="AX1233" i="1"/>
  <c r="BQ1233" i="1"/>
  <c r="BR1233" i="1"/>
  <c r="CC1233" i="1"/>
  <c r="CW1233" i="1"/>
  <c r="G2124" i="1"/>
  <c r="V2124" i="1"/>
  <c r="AJ2124" i="1"/>
  <c r="AX2124" i="1"/>
  <c r="BQ2124" i="1"/>
  <c r="BR2124" i="1"/>
  <c r="CC2124" i="1"/>
  <c r="CW2124" i="1"/>
  <c r="G1634" i="1"/>
  <c r="V1634" i="1"/>
  <c r="AJ1634" i="1"/>
  <c r="AX1634" i="1"/>
  <c r="BQ1634" i="1"/>
  <c r="BR1634" i="1"/>
  <c r="CC1634" i="1"/>
  <c r="CW1634" i="1"/>
  <c r="G1926" i="1"/>
  <c r="V1926" i="1"/>
  <c r="AJ1926" i="1"/>
  <c r="AX1926" i="1"/>
  <c r="BQ1926" i="1"/>
  <c r="BR1926" i="1"/>
  <c r="CC1926" i="1"/>
  <c r="CW1926" i="1"/>
  <c r="G1553" i="1"/>
  <c r="V1553" i="1"/>
  <c r="AJ1553" i="1"/>
  <c r="AX1553" i="1"/>
  <c r="BQ1553" i="1"/>
  <c r="BR1553" i="1"/>
  <c r="CC1553" i="1"/>
  <c r="CW1553" i="1"/>
  <c r="G2123" i="1"/>
  <c r="V2123" i="1"/>
  <c r="AJ2123" i="1"/>
  <c r="AX2123" i="1"/>
  <c r="BQ2123" i="1"/>
  <c r="BR2123" i="1"/>
  <c r="CC2123" i="1"/>
  <c r="CW2123" i="1"/>
  <c r="G1476" i="1"/>
  <c r="V1476" i="1"/>
  <c r="AJ1476" i="1"/>
  <c r="AX1476" i="1"/>
  <c r="BQ1476" i="1"/>
  <c r="BR1476" i="1"/>
  <c r="CC1476" i="1"/>
  <c r="CW1476" i="1"/>
  <c r="G1610" i="1"/>
  <c r="V1610" i="1"/>
  <c r="AJ1610" i="1"/>
  <c r="AX1610" i="1"/>
  <c r="BQ1610" i="1"/>
  <c r="BR1610" i="1"/>
  <c r="CC1610" i="1"/>
  <c r="CW1610" i="1"/>
  <c r="G2029" i="1"/>
  <c r="V2029" i="1"/>
  <c r="AJ2029" i="1"/>
  <c r="AX2029" i="1"/>
  <c r="BQ2029" i="1"/>
  <c r="BR2029" i="1"/>
  <c r="CC2029" i="1"/>
  <c r="CW2029" i="1"/>
  <c r="G1380" i="1"/>
  <c r="V1380" i="1"/>
  <c r="AJ1380" i="1"/>
  <c r="AX1380" i="1"/>
  <c r="BQ1380" i="1"/>
  <c r="BR1380" i="1"/>
  <c r="CC1380" i="1"/>
  <c r="CW1380" i="1"/>
  <c r="G2359" i="1"/>
  <c r="V2359" i="1"/>
  <c r="AJ2359" i="1"/>
  <c r="AX2359" i="1"/>
  <c r="BQ2359" i="1"/>
  <c r="BR2359" i="1"/>
  <c r="CC2359" i="1"/>
  <c r="CW2359" i="1"/>
  <c r="G1878" i="1"/>
  <c r="V1878" i="1"/>
  <c r="AJ1878" i="1"/>
  <c r="AX1878" i="1"/>
  <c r="BQ1878" i="1"/>
  <c r="BR1878" i="1"/>
  <c r="CC1878" i="1"/>
  <c r="CW1878" i="1"/>
  <c r="G1082" i="1"/>
  <c r="V1082" i="1"/>
  <c r="AJ1082" i="1"/>
  <c r="AX1082" i="1"/>
  <c r="BQ1082" i="1"/>
  <c r="BR1082" i="1"/>
  <c r="CC1082" i="1"/>
  <c r="CW1082" i="1"/>
  <c r="G1928" i="1"/>
  <c r="V1928" i="1"/>
  <c r="AJ1928" i="1"/>
  <c r="AX1928" i="1"/>
  <c r="BQ1928" i="1"/>
  <c r="BR1928" i="1"/>
  <c r="CC1928" i="1"/>
  <c r="CW1928" i="1"/>
  <c r="G843" i="1"/>
  <c r="V843" i="1"/>
  <c r="AJ843" i="1"/>
  <c r="AX843" i="1"/>
  <c r="BQ843" i="1"/>
  <c r="BR843" i="1"/>
  <c r="CC843" i="1"/>
  <c r="CW843" i="1"/>
  <c r="G848" i="1"/>
  <c r="V848" i="1"/>
  <c r="AJ848" i="1"/>
  <c r="AX848" i="1"/>
  <c r="BQ848" i="1"/>
  <c r="BR848" i="1"/>
  <c r="CC848" i="1"/>
  <c r="CW848" i="1"/>
  <c r="G1547" i="1"/>
  <c r="V1547" i="1"/>
  <c r="AJ1547" i="1"/>
  <c r="AX1547" i="1"/>
  <c r="BQ1547" i="1"/>
  <c r="BR1547" i="1"/>
  <c r="CC1547" i="1"/>
  <c r="CW1547" i="1"/>
  <c r="G1941" i="1"/>
  <c r="V1941" i="1"/>
  <c r="AJ1941" i="1"/>
  <c r="AX1941" i="1"/>
  <c r="BQ1941" i="1"/>
  <c r="BR1941" i="1"/>
  <c r="CC1941" i="1"/>
  <c r="CW1941" i="1"/>
  <c r="G2230" i="1"/>
  <c r="V2230" i="1"/>
  <c r="AJ2230" i="1"/>
  <c r="AX2230" i="1"/>
  <c r="BQ2230" i="1"/>
  <c r="BR2230" i="1"/>
  <c r="CC2230" i="1"/>
  <c r="CW2230" i="1"/>
  <c r="G1056" i="1"/>
  <c r="V1056" i="1"/>
  <c r="AJ1056" i="1"/>
  <c r="AX1056" i="1"/>
  <c r="BQ1056" i="1"/>
  <c r="BR1056" i="1"/>
  <c r="CC1056" i="1"/>
  <c r="CW1056" i="1"/>
  <c r="G1361" i="1"/>
  <c r="V1361" i="1"/>
  <c r="AJ1361" i="1"/>
  <c r="AX1361" i="1"/>
  <c r="BQ1361" i="1"/>
  <c r="BR1361" i="1"/>
  <c r="CC1361" i="1"/>
  <c r="CW1361" i="1"/>
  <c r="G1620" i="1"/>
  <c r="V1620" i="1"/>
  <c r="AJ1620" i="1"/>
  <c r="AX1620" i="1"/>
  <c r="BQ1620" i="1"/>
  <c r="BR1620" i="1"/>
  <c r="CC1620" i="1"/>
  <c r="CW1620" i="1"/>
  <c r="G1688" i="1"/>
  <c r="V1688" i="1"/>
  <c r="AJ1688" i="1"/>
  <c r="AX1688" i="1"/>
  <c r="BQ1688" i="1"/>
  <c r="BR1688" i="1"/>
  <c r="CC1688" i="1"/>
  <c r="CW1688" i="1"/>
  <c r="G861" i="1"/>
  <c r="V861" i="1"/>
  <c r="AJ861" i="1"/>
  <c r="AX861" i="1"/>
  <c r="BQ861" i="1"/>
  <c r="BR861" i="1"/>
  <c r="CC861" i="1"/>
  <c r="CW861" i="1"/>
  <c r="G1542" i="1"/>
  <c r="V1542" i="1"/>
  <c r="AJ1542" i="1"/>
  <c r="AX1542" i="1"/>
  <c r="BQ1542" i="1"/>
  <c r="BR1542" i="1"/>
  <c r="CC1542" i="1"/>
  <c r="CW1542" i="1"/>
  <c r="G1532" i="1"/>
  <c r="V1532" i="1"/>
  <c r="AJ1532" i="1"/>
  <c r="AX1532" i="1"/>
  <c r="BQ1532" i="1"/>
  <c r="BR1532" i="1"/>
  <c r="CC1532" i="1"/>
  <c r="CW1532" i="1"/>
  <c r="G1127" i="1"/>
  <c r="V1127" i="1"/>
  <c r="AJ1127" i="1"/>
  <c r="AX1127" i="1"/>
  <c r="BQ1127" i="1"/>
  <c r="BR1127" i="1"/>
  <c r="CC1127" i="1"/>
  <c r="CW1127" i="1"/>
  <c r="G1428" i="1"/>
  <c r="V1428" i="1"/>
  <c r="AJ1428" i="1"/>
  <c r="AX1428" i="1"/>
  <c r="BQ1428" i="1"/>
  <c r="BR1428" i="1"/>
  <c r="CC1428" i="1"/>
  <c r="CW1428" i="1"/>
  <c r="G2169" i="1"/>
  <c r="V2169" i="1"/>
  <c r="AJ2169" i="1"/>
  <c r="AX2169" i="1"/>
  <c r="BQ2169" i="1"/>
  <c r="BR2169" i="1"/>
  <c r="CC2169" i="1"/>
  <c r="CW2169" i="1"/>
  <c r="G1305" i="1"/>
  <c r="V1305" i="1"/>
  <c r="AJ1305" i="1"/>
  <c r="AX1305" i="1"/>
  <c r="BQ1305" i="1"/>
  <c r="BR1305" i="1"/>
  <c r="CC1305" i="1"/>
  <c r="CW1305" i="1"/>
  <c r="G407" i="1"/>
  <c r="V407" i="1"/>
  <c r="AJ407" i="1"/>
  <c r="AX407" i="1"/>
  <c r="BQ407" i="1"/>
  <c r="BR407" i="1"/>
  <c r="CC407" i="1"/>
  <c r="CW407" i="1"/>
  <c r="G378" i="1"/>
  <c r="V378" i="1"/>
  <c r="AJ378" i="1"/>
  <c r="AX378" i="1"/>
  <c r="BQ378" i="1"/>
  <c r="BR378" i="1"/>
  <c r="CC378" i="1"/>
  <c r="CW378" i="1"/>
  <c r="G563" i="1"/>
  <c r="V563" i="1"/>
  <c r="AJ563" i="1"/>
  <c r="AX563" i="1"/>
  <c r="BQ563" i="1"/>
  <c r="BR563" i="1"/>
  <c r="CC563" i="1"/>
  <c r="CW563" i="1"/>
  <c r="G131" i="1"/>
  <c r="V131" i="1"/>
  <c r="AJ131" i="1"/>
  <c r="AX131" i="1"/>
  <c r="BQ131" i="1"/>
  <c r="BR131" i="1"/>
  <c r="CC131" i="1"/>
  <c r="CW131" i="1"/>
  <c r="G761" i="1"/>
  <c r="V761" i="1"/>
  <c r="AJ761" i="1"/>
  <c r="AX761" i="1"/>
  <c r="BQ761" i="1"/>
  <c r="BR761" i="1"/>
  <c r="CC761" i="1"/>
  <c r="CW761" i="1"/>
  <c r="G800" i="1"/>
  <c r="V800" i="1"/>
  <c r="AJ800" i="1"/>
  <c r="AX800" i="1"/>
  <c r="BQ800" i="1"/>
  <c r="BR800" i="1"/>
  <c r="CC800" i="1"/>
  <c r="CW800" i="1"/>
  <c r="G2293" i="1"/>
  <c r="V2293" i="1"/>
  <c r="AJ2293" i="1"/>
  <c r="AX2293" i="1"/>
  <c r="BQ2293" i="1"/>
  <c r="BR2293" i="1"/>
  <c r="CC2293" i="1"/>
  <c r="CW2293" i="1"/>
  <c r="G238" i="1"/>
  <c r="V238" i="1"/>
  <c r="AJ238" i="1"/>
  <c r="AX238" i="1"/>
  <c r="BQ238" i="1"/>
  <c r="BR238" i="1"/>
  <c r="CC238" i="1"/>
  <c r="CW238" i="1"/>
  <c r="G826" i="1"/>
  <c r="V826" i="1"/>
  <c r="AJ826" i="1"/>
  <c r="AX826" i="1"/>
  <c r="BQ826" i="1"/>
  <c r="BR826" i="1"/>
  <c r="CC826" i="1"/>
  <c r="CW826" i="1"/>
  <c r="G553" i="1"/>
  <c r="V553" i="1"/>
  <c r="AJ553" i="1"/>
  <c r="AX553" i="1"/>
  <c r="BQ553" i="1"/>
  <c r="BR553" i="1"/>
  <c r="CC553" i="1"/>
  <c r="CW553" i="1"/>
  <c r="G113" i="1"/>
  <c r="V113" i="1"/>
  <c r="AJ113" i="1"/>
  <c r="AX113" i="1"/>
  <c r="BQ113" i="1"/>
  <c r="BR113" i="1"/>
  <c r="CC113" i="1"/>
  <c r="CW113" i="1"/>
  <c r="G620" i="1"/>
  <c r="V620" i="1"/>
  <c r="AJ620" i="1"/>
  <c r="AX620" i="1"/>
  <c r="BQ620" i="1"/>
  <c r="BR620" i="1"/>
  <c r="CC620" i="1"/>
  <c r="CW620" i="1"/>
  <c r="G562" i="1"/>
  <c r="V562" i="1"/>
  <c r="AJ562" i="1"/>
  <c r="AX562" i="1"/>
  <c r="BQ562" i="1"/>
  <c r="BR562" i="1"/>
  <c r="CC562" i="1"/>
  <c r="CW562" i="1"/>
  <c r="G85" i="1"/>
  <c r="V85" i="1"/>
  <c r="AJ85" i="1"/>
  <c r="AX85" i="1"/>
  <c r="BQ85" i="1"/>
  <c r="BR85" i="1"/>
  <c r="CC85" i="1"/>
  <c r="CW85" i="1"/>
  <c r="G408" i="1"/>
  <c r="V408" i="1"/>
  <c r="AJ408" i="1"/>
  <c r="AX408" i="1"/>
  <c r="BQ408" i="1"/>
  <c r="BR408" i="1"/>
  <c r="CC408" i="1"/>
  <c r="CW408" i="1"/>
  <c r="G2314" i="1"/>
  <c r="V2314" i="1"/>
  <c r="AJ2314" i="1"/>
  <c r="AX2314" i="1"/>
  <c r="BQ2314" i="1"/>
  <c r="BR2314" i="1"/>
  <c r="CC2314" i="1"/>
  <c r="CW2314" i="1"/>
  <c r="G743" i="1"/>
  <c r="V743" i="1"/>
  <c r="AJ743" i="1"/>
  <c r="AX743" i="1"/>
  <c r="BQ743" i="1"/>
  <c r="BR743" i="1"/>
  <c r="CC743" i="1"/>
  <c r="CW743" i="1"/>
  <c r="G212" i="1"/>
  <c r="V212" i="1"/>
  <c r="AJ212" i="1"/>
  <c r="AX212" i="1"/>
  <c r="BQ212" i="1"/>
  <c r="BR212" i="1"/>
  <c r="CC212" i="1"/>
  <c r="CW212" i="1"/>
  <c r="G254" i="1"/>
  <c r="V254" i="1"/>
  <c r="AJ254" i="1"/>
  <c r="AX254" i="1"/>
  <c r="BQ254" i="1"/>
  <c r="BR254" i="1"/>
  <c r="CC254" i="1"/>
  <c r="CW254" i="1"/>
  <c r="G192" i="1"/>
  <c r="V192" i="1"/>
  <c r="AJ192" i="1"/>
  <c r="AX192" i="1"/>
  <c r="BQ192" i="1"/>
  <c r="BR192" i="1"/>
  <c r="CC192" i="1"/>
  <c r="CW192" i="1"/>
  <c r="G447" i="1"/>
  <c r="V447" i="1"/>
  <c r="AJ447" i="1"/>
  <c r="AX447" i="1"/>
  <c r="BQ447" i="1"/>
  <c r="BR447" i="1"/>
  <c r="CC447" i="1"/>
  <c r="CW447" i="1"/>
  <c r="G1856" i="1"/>
  <c r="V1856" i="1"/>
  <c r="AJ1856" i="1"/>
  <c r="AX1856" i="1"/>
  <c r="BQ1856" i="1"/>
  <c r="BR1856" i="1"/>
  <c r="CC1856" i="1"/>
  <c r="CW1856" i="1"/>
  <c r="G583" i="1"/>
  <c r="V583" i="1"/>
  <c r="AJ583" i="1"/>
  <c r="AX583" i="1"/>
  <c r="BQ583" i="1"/>
  <c r="BR583" i="1"/>
  <c r="CC583" i="1"/>
  <c r="CW583" i="1"/>
  <c r="G452" i="1"/>
  <c r="V452" i="1"/>
  <c r="AJ452" i="1"/>
  <c r="AX452" i="1"/>
  <c r="BQ452" i="1"/>
  <c r="BR452" i="1"/>
  <c r="CC452" i="1"/>
  <c r="CW452" i="1"/>
  <c r="G776" i="1"/>
  <c r="V776" i="1"/>
  <c r="AJ776" i="1"/>
  <c r="AX776" i="1"/>
  <c r="BQ776" i="1"/>
  <c r="BR776" i="1"/>
  <c r="CC776" i="1"/>
  <c r="CW776" i="1"/>
  <c r="G335" i="1"/>
  <c r="V335" i="1"/>
  <c r="AJ335" i="1"/>
  <c r="AX335" i="1"/>
  <c r="BQ335" i="1"/>
  <c r="BR335" i="1"/>
  <c r="CC335" i="1"/>
  <c r="CW335" i="1"/>
  <c r="G700" i="1"/>
  <c r="V700" i="1"/>
  <c r="AJ700" i="1"/>
  <c r="AX700" i="1"/>
  <c r="BQ700" i="1"/>
  <c r="BR700" i="1"/>
  <c r="CC700" i="1"/>
  <c r="CW700" i="1"/>
  <c r="G339" i="1"/>
  <c r="V339" i="1"/>
  <c r="AJ339" i="1"/>
  <c r="AX339" i="1"/>
  <c r="BQ339" i="1"/>
  <c r="BR339" i="1"/>
  <c r="CC339" i="1"/>
  <c r="CW339" i="1"/>
  <c r="G195" i="1"/>
  <c r="V195" i="1"/>
  <c r="AJ195" i="1"/>
  <c r="AX195" i="1"/>
  <c r="BQ195" i="1"/>
  <c r="BR195" i="1"/>
  <c r="CC195" i="1"/>
  <c r="CW195" i="1"/>
  <c r="G250" i="1"/>
  <c r="V250" i="1"/>
  <c r="AJ250" i="1"/>
  <c r="AX250" i="1"/>
  <c r="BQ250" i="1"/>
  <c r="BR250" i="1"/>
  <c r="CC250" i="1"/>
  <c r="CW250" i="1"/>
  <c r="G715" i="1"/>
  <c r="V715" i="1"/>
  <c r="AJ715" i="1"/>
  <c r="AX715" i="1"/>
  <c r="BQ715" i="1"/>
  <c r="BR715" i="1"/>
  <c r="CC715" i="1"/>
  <c r="CW715" i="1"/>
  <c r="G2256" i="1"/>
  <c r="V2256" i="1"/>
  <c r="AJ2256" i="1"/>
  <c r="AX2256" i="1"/>
  <c r="BQ2256" i="1"/>
  <c r="BR2256" i="1"/>
  <c r="CC2256" i="1"/>
  <c r="CW2256" i="1"/>
  <c r="G348" i="1"/>
  <c r="V348" i="1"/>
  <c r="AJ348" i="1"/>
  <c r="AX348" i="1"/>
  <c r="BQ348" i="1"/>
  <c r="BR348" i="1"/>
  <c r="CC348" i="1"/>
  <c r="CW348" i="1"/>
  <c r="G2280" i="1"/>
  <c r="V2280" i="1"/>
  <c r="AJ2280" i="1"/>
  <c r="AX2280" i="1"/>
  <c r="BQ2280" i="1"/>
  <c r="BR2280" i="1"/>
  <c r="CC2280" i="1"/>
  <c r="CW2280" i="1"/>
  <c r="G820" i="1"/>
  <c r="V820" i="1"/>
  <c r="AJ820" i="1"/>
  <c r="AX820" i="1"/>
  <c r="BQ820" i="1"/>
  <c r="BR820" i="1"/>
  <c r="CC820" i="1"/>
  <c r="CW820" i="1"/>
  <c r="G76" i="1"/>
  <c r="V76" i="1"/>
  <c r="AJ76" i="1"/>
  <c r="AX76" i="1"/>
  <c r="BQ76" i="1"/>
  <c r="BR76" i="1"/>
  <c r="CC76" i="1"/>
  <c r="CW76" i="1"/>
  <c r="G454" i="1"/>
  <c r="V454" i="1"/>
  <c r="AJ454" i="1"/>
  <c r="AX454" i="1"/>
  <c r="BQ454" i="1"/>
  <c r="BR454" i="1"/>
  <c r="CC454" i="1"/>
  <c r="CW454" i="1"/>
  <c r="G635" i="1"/>
  <c r="V635" i="1"/>
  <c r="AJ635" i="1"/>
  <c r="AX635" i="1"/>
  <c r="BQ635" i="1"/>
  <c r="BR635" i="1"/>
  <c r="CC635" i="1"/>
  <c r="CW635" i="1"/>
  <c r="G479" i="1"/>
  <c r="V479" i="1"/>
  <c r="AJ479" i="1"/>
  <c r="AX479" i="1"/>
  <c r="BQ479" i="1"/>
  <c r="BR479" i="1"/>
  <c r="CC479" i="1"/>
  <c r="CW479" i="1"/>
  <c r="G262" i="1"/>
  <c r="V262" i="1"/>
  <c r="AJ262" i="1"/>
  <c r="AX262" i="1"/>
  <c r="BQ262" i="1"/>
  <c r="BR262" i="1"/>
  <c r="CC262" i="1"/>
  <c r="CW262" i="1"/>
  <c r="G2324" i="1"/>
  <c r="V2324" i="1"/>
  <c r="AJ2324" i="1"/>
  <c r="AX2324" i="1"/>
  <c r="BQ2324" i="1"/>
  <c r="BR2324" i="1"/>
  <c r="CC2324" i="1"/>
  <c r="CW2324" i="1"/>
  <c r="G147" i="1"/>
  <c r="V147" i="1"/>
  <c r="AJ147" i="1"/>
  <c r="AX147" i="1"/>
  <c r="BQ147" i="1"/>
  <c r="BR147" i="1"/>
  <c r="CC147" i="1"/>
  <c r="CW147" i="1"/>
  <c r="G546" i="1"/>
  <c r="V546" i="1"/>
  <c r="AJ546" i="1"/>
  <c r="AX546" i="1"/>
  <c r="BQ546" i="1"/>
  <c r="BR546" i="1"/>
  <c r="CC546" i="1"/>
  <c r="CW546" i="1"/>
  <c r="G839" i="1"/>
  <c r="V839" i="1"/>
  <c r="AJ839" i="1"/>
  <c r="AX839" i="1"/>
  <c r="BQ839" i="1"/>
  <c r="BR839" i="1"/>
  <c r="CC839" i="1"/>
  <c r="CW839" i="1"/>
  <c r="G818" i="1"/>
  <c r="V818" i="1"/>
  <c r="AJ818" i="1"/>
  <c r="AX818" i="1"/>
  <c r="BQ818" i="1"/>
  <c r="BR818" i="1"/>
  <c r="CC818" i="1"/>
  <c r="CW818" i="1"/>
  <c r="G2290" i="1"/>
  <c r="V2290" i="1"/>
  <c r="AJ2290" i="1"/>
  <c r="AX2290" i="1"/>
  <c r="BQ2290" i="1"/>
  <c r="BR2290" i="1"/>
  <c r="CC2290" i="1"/>
  <c r="CW2290" i="1"/>
  <c r="G2327" i="1"/>
  <c r="V2327" i="1"/>
  <c r="AJ2327" i="1"/>
  <c r="AX2327" i="1"/>
  <c r="BQ2327" i="1"/>
  <c r="BR2327" i="1"/>
  <c r="CC2327" i="1"/>
  <c r="CW2327" i="1"/>
  <c r="G244" i="1"/>
  <c r="V244" i="1"/>
  <c r="AJ244" i="1"/>
  <c r="AX244" i="1"/>
  <c r="BQ244" i="1"/>
  <c r="BR244" i="1"/>
  <c r="CC244" i="1"/>
  <c r="CW244" i="1"/>
  <c r="G77" i="1"/>
  <c r="V77" i="1"/>
  <c r="AJ77" i="1"/>
  <c r="AX77" i="1"/>
  <c r="BQ77" i="1"/>
  <c r="BR77" i="1"/>
  <c r="CC77" i="1"/>
  <c r="CW77" i="1"/>
  <c r="G808" i="1"/>
  <c r="V808" i="1"/>
  <c r="AJ808" i="1"/>
  <c r="AX808" i="1"/>
  <c r="BQ808" i="1"/>
  <c r="BR808" i="1"/>
  <c r="CC808" i="1"/>
  <c r="CW808" i="1"/>
  <c r="G736" i="1"/>
  <c r="V736" i="1"/>
  <c r="AJ736" i="1"/>
  <c r="AX736" i="1"/>
  <c r="BQ736" i="1"/>
  <c r="BR736" i="1"/>
  <c r="CC736" i="1"/>
  <c r="CW736" i="1"/>
  <c r="G556" i="1"/>
  <c r="V556" i="1"/>
  <c r="AJ556" i="1"/>
  <c r="AX556" i="1"/>
  <c r="BQ556" i="1"/>
  <c r="BR556" i="1"/>
  <c r="CC556" i="1"/>
  <c r="CW556" i="1"/>
  <c r="G545" i="1"/>
  <c r="V545" i="1"/>
  <c r="AJ545" i="1"/>
  <c r="AX545" i="1"/>
  <c r="BQ545" i="1"/>
  <c r="BR545" i="1"/>
  <c r="CC545" i="1"/>
  <c r="CW545" i="1"/>
  <c r="G2255" i="1"/>
  <c r="V2255" i="1"/>
  <c r="AJ2255" i="1"/>
  <c r="AX2255" i="1"/>
  <c r="BQ2255" i="1"/>
  <c r="BR2255" i="1"/>
  <c r="CC2255" i="1"/>
  <c r="CW2255" i="1"/>
  <c r="G1611" i="1"/>
  <c r="V1611" i="1"/>
  <c r="AJ1611" i="1"/>
  <c r="AX1611" i="1"/>
  <c r="BQ1611" i="1"/>
  <c r="BR1611" i="1"/>
  <c r="CC1611" i="1"/>
  <c r="CW1611" i="1"/>
  <c r="G726" i="1"/>
  <c r="V726" i="1"/>
  <c r="AJ726" i="1"/>
  <c r="AX726" i="1"/>
  <c r="BQ726" i="1"/>
  <c r="BR726" i="1"/>
  <c r="CC726" i="1"/>
  <c r="CW726" i="1"/>
  <c r="G326" i="1"/>
  <c r="V326" i="1"/>
  <c r="AJ326" i="1"/>
  <c r="AX326" i="1"/>
  <c r="BQ326" i="1"/>
  <c r="BR326" i="1"/>
  <c r="CC326" i="1"/>
  <c r="CW326" i="1"/>
  <c r="G774" i="1"/>
  <c r="V774" i="1"/>
  <c r="AJ774" i="1"/>
  <c r="AX774" i="1"/>
  <c r="BQ774" i="1"/>
  <c r="BR774" i="1"/>
  <c r="CC774" i="1"/>
  <c r="CW774" i="1"/>
  <c r="G148" i="1"/>
  <c r="V148" i="1"/>
  <c r="AJ148" i="1"/>
  <c r="AX148" i="1"/>
  <c r="BQ148" i="1"/>
  <c r="BR148" i="1"/>
  <c r="CC148" i="1"/>
  <c r="CW148" i="1"/>
  <c r="G1434" i="1"/>
  <c r="V1434" i="1"/>
  <c r="AJ1434" i="1"/>
  <c r="AX1434" i="1"/>
  <c r="BQ1434" i="1"/>
  <c r="BR1434" i="1"/>
  <c r="CC1434" i="1"/>
  <c r="CW1434" i="1"/>
  <c r="G712" i="1"/>
  <c r="V712" i="1"/>
  <c r="AJ712" i="1"/>
  <c r="AX712" i="1"/>
  <c r="BQ712" i="1"/>
  <c r="BR712" i="1"/>
  <c r="CC712" i="1"/>
  <c r="CW712" i="1"/>
  <c r="G288" i="1"/>
  <c r="V288" i="1"/>
  <c r="AJ288" i="1"/>
  <c r="AX288" i="1"/>
  <c r="BQ288" i="1"/>
  <c r="BR288" i="1"/>
  <c r="CC288" i="1"/>
  <c r="CW288" i="1"/>
  <c r="G1952" i="1"/>
  <c r="V1952" i="1"/>
  <c r="AJ1952" i="1"/>
  <c r="AX1952" i="1"/>
  <c r="BQ1952" i="1"/>
  <c r="BR1952" i="1"/>
  <c r="CC1952" i="1"/>
  <c r="CW1952" i="1"/>
  <c r="G2200" i="1"/>
  <c r="V2200" i="1"/>
  <c r="AJ2200" i="1"/>
  <c r="AX2200" i="1"/>
  <c r="BQ2200" i="1"/>
  <c r="BR2200" i="1"/>
  <c r="CC2200" i="1"/>
  <c r="CW2200" i="1"/>
  <c r="G1430" i="1"/>
  <c r="V1430" i="1"/>
  <c r="AJ1430" i="1"/>
  <c r="AX1430" i="1"/>
  <c r="BQ1430" i="1"/>
  <c r="BR1430" i="1"/>
  <c r="CC1430" i="1"/>
  <c r="CW1430" i="1"/>
  <c r="G892" i="1"/>
  <c r="V892" i="1"/>
  <c r="AJ892" i="1"/>
  <c r="AX892" i="1"/>
  <c r="BQ892" i="1"/>
  <c r="BR892" i="1"/>
  <c r="CC892" i="1"/>
  <c r="CW892" i="1"/>
  <c r="G2084" i="1"/>
  <c r="V2084" i="1"/>
  <c r="AJ2084" i="1"/>
  <c r="AX2084" i="1"/>
  <c r="BQ2084" i="1"/>
  <c r="BR2084" i="1"/>
  <c r="CC2084" i="1"/>
  <c r="CW2084" i="1"/>
  <c r="G1037" i="1"/>
  <c r="V1037" i="1"/>
  <c r="AJ1037" i="1"/>
  <c r="AX1037" i="1"/>
  <c r="BQ1037" i="1"/>
  <c r="BR1037" i="1"/>
  <c r="CC1037" i="1"/>
  <c r="CW1037" i="1"/>
  <c r="G2395" i="1"/>
  <c r="V2395" i="1"/>
  <c r="AJ2395" i="1"/>
  <c r="AX2395" i="1"/>
  <c r="BQ2395" i="1"/>
  <c r="BR2395" i="1"/>
  <c r="CC2395" i="1"/>
  <c r="CW2395" i="1"/>
  <c r="G1633" i="1"/>
  <c r="V1633" i="1"/>
  <c r="AJ1633" i="1"/>
  <c r="AX1633" i="1"/>
  <c r="BQ1633" i="1"/>
  <c r="BR1633" i="1"/>
  <c r="CC1633" i="1"/>
  <c r="CW1633" i="1"/>
  <c r="G2257" i="1"/>
  <c r="V2257" i="1"/>
  <c r="AJ2257" i="1"/>
  <c r="AX2257" i="1"/>
  <c r="BQ2257" i="1"/>
  <c r="BR2257" i="1"/>
  <c r="CC2257" i="1"/>
  <c r="CW2257" i="1"/>
  <c r="G1004" i="1"/>
  <c r="V1004" i="1"/>
  <c r="AJ1004" i="1"/>
  <c r="AX1004" i="1"/>
  <c r="BQ1004" i="1"/>
  <c r="BR1004" i="1"/>
  <c r="CC1004" i="1"/>
  <c r="CW1004" i="1"/>
  <c r="G1382" i="1"/>
  <c r="V1382" i="1"/>
  <c r="AJ1382" i="1"/>
  <c r="AX1382" i="1"/>
  <c r="BQ1382" i="1"/>
  <c r="BR1382" i="1"/>
  <c r="CC1382" i="1"/>
  <c r="CW1382" i="1"/>
  <c r="G2229" i="1"/>
  <c r="V2229" i="1"/>
  <c r="AJ2229" i="1"/>
  <c r="AX2229" i="1"/>
  <c r="BQ2229" i="1"/>
  <c r="BR2229" i="1"/>
  <c r="CC2229" i="1"/>
  <c r="CW2229" i="1"/>
  <c r="G1683" i="1"/>
  <c r="V1683" i="1"/>
  <c r="AJ1683" i="1"/>
  <c r="AX1683" i="1"/>
  <c r="BQ1683" i="1"/>
  <c r="BR1683" i="1"/>
  <c r="CC1683" i="1"/>
  <c r="CW1683" i="1"/>
  <c r="G1290" i="1"/>
  <c r="V1290" i="1"/>
  <c r="AJ1290" i="1"/>
  <c r="AX1290" i="1"/>
  <c r="BQ1290" i="1"/>
  <c r="BR1290" i="1"/>
  <c r="CC1290" i="1"/>
  <c r="CW1290" i="1"/>
  <c r="G970" i="1"/>
  <c r="V970" i="1"/>
  <c r="AJ970" i="1"/>
  <c r="AX970" i="1"/>
  <c r="BQ970" i="1"/>
  <c r="BR970" i="1"/>
  <c r="CC970" i="1"/>
  <c r="CW970" i="1"/>
  <c r="G2209" i="1"/>
  <c r="V2209" i="1"/>
  <c r="AJ2209" i="1"/>
  <c r="AX2209" i="1"/>
  <c r="BQ2209" i="1"/>
  <c r="BR2209" i="1"/>
  <c r="CC2209" i="1"/>
  <c r="CW2209" i="1"/>
  <c r="G2058" i="1"/>
  <c r="V2058" i="1"/>
  <c r="AJ2058" i="1"/>
  <c r="AX2058" i="1"/>
  <c r="BQ2058" i="1"/>
  <c r="BR2058" i="1"/>
  <c r="CC2058" i="1"/>
  <c r="CW2058" i="1"/>
  <c r="G2259" i="1"/>
  <c r="V2259" i="1"/>
  <c r="AJ2259" i="1"/>
  <c r="AX2259" i="1"/>
  <c r="BQ2259" i="1"/>
  <c r="BR2259" i="1"/>
  <c r="CC2259" i="1"/>
  <c r="CW2259" i="1"/>
  <c r="G1580" i="1"/>
  <c r="V1580" i="1"/>
  <c r="AJ1580" i="1"/>
  <c r="AX1580" i="1"/>
  <c r="BQ1580" i="1"/>
  <c r="BR1580" i="1"/>
  <c r="CC1580" i="1"/>
  <c r="CW1580" i="1"/>
  <c r="G985" i="1"/>
  <c r="V985" i="1"/>
  <c r="AJ985" i="1"/>
  <c r="AX985" i="1"/>
  <c r="BQ985" i="1"/>
  <c r="BR985" i="1"/>
  <c r="CC985" i="1"/>
  <c r="CW985" i="1"/>
  <c r="G1145" i="1"/>
  <c r="V1145" i="1"/>
  <c r="AJ1145" i="1"/>
  <c r="AX1145" i="1"/>
  <c r="BQ1145" i="1"/>
  <c r="BR1145" i="1"/>
  <c r="CC1145" i="1"/>
  <c r="CW1145" i="1"/>
  <c r="G1371" i="1"/>
  <c r="V1371" i="1"/>
  <c r="AJ1371" i="1"/>
  <c r="AX1371" i="1"/>
  <c r="BQ1371" i="1"/>
  <c r="BR1371" i="1"/>
  <c r="CC1371" i="1"/>
  <c r="CW1371" i="1"/>
  <c r="G2024" i="1"/>
  <c r="V2024" i="1"/>
  <c r="AJ2024" i="1"/>
  <c r="AX2024" i="1"/>
  <c r="BQ2024" i="1"/>
  <c r="BR2024" i="1"/>
  <c r="CC2024" i="1"/>
  <c r="CW2024" i="1"/>
  <c r="G1003" i="1"/>
  <c r="V1003" i="1"/>
  <c r="AJ1003" i="1"/>
  <c r="AX1003" i="1"/>
  <c r="BQ1003" i="1"/>
  <c r="BR1003" i="1"/>
  <c r="CC1003" i="1"/>
  <c r="CW1003" i="1"/>
  <c r="G1530" i="1"/>
  <c r="V1530" i="1"/>
  <c r="AJ1530" i="1"/>
  <c r="AX1530" i="1"/>
  <c r="BQ1530" i="1"/>
  <c r="BR1530" i="1"/>
  <c r="CC1530" i="1"/>
  <c r="CW1530" i="1"/>
  <c r="G1942" i="1"/>
  <c r="V1942" i="1"/>
  <c r="AJ1942" i="1"/>
  <c r="AX1942" i="1"/>
  <c r="BQ1942" i="1"/>
  <c r="BR1942" i="1"/>
  <c r="CC1942" i="1"/>
  <c r="CW1942" i="1"/>
  <c r="G1217" i="1"/>
  <c r="V1217" i="1"/>
  <c r="AJ1217" i="1"/>
  <c r="AX1217" i="1"/>
  <c r="BQ1217" i="1"/>
  <c r="BR1217" i="1"/>
  <c r="CC1217" i="1"/>
  <c r="CW1217" i="1"/>
  <c r="G2105" i="1"/>
  <c r="V2105" i="1"/>
  <c r="AJ2105" i="1"/>
  <c r="AX2105" i="1"/>
  <c r="BQ2105" i="1"/>
  <c r="BR2105" i="1"/>
  <c r="CC2105" i="1"/>
  <c r="CW2105" i="1"/>
  <c r="G1219" i="1"/>
  <c r="V1219" i="1"/>
  <c r="AJ1219" i="1"/>
  <c r="AX1219" i="1"/>
  <c r="BQ1219" i="1"/>
  <c r="BR1219" i="1"/>
  <c r="CC1219" i="1"/>
  <c r="CW1219" i="1"/>
  <c r="G2134" i="1"/>
  <c r="V2134" i="1"/>
  <c r="AJ2134" i="1"/>
  <c r="AX2134" i="1"/>
  <c r="BQ2134" i="1"/>
  <c r="BR2134" i="1"/>
  <c r="CC2134" i="1"/>
  <c r="CW2134" i="1"/>
  <c r="G959" i="1"/>
  <c r="V959" i="1"/>
  <c r="AJ959" i="1"/>
  <c r="AX959" i="1"/>
  <c r="BQ959" i="1"/>
  <c r="BR959" i="1"/>
  <c r="CC959" i="1"/>
  <c r="CW959" i="1"/>
  <c r="G1333" i="1"/>
  <c r="V1333" i="1"/>
  <c r="AJ1333" i="1"/>
  <c r="AX1333" i="1"/>
  <c r="BQ1333" i="1"/>
  <c r="BR1333" i="1"/>
  <c r="CC1333" i="1"/>
  <c r="CW1333" i="1"/>
  <c r="G1714" i="1"/>
  <c r="V1714" i="1"/>
  <c r="AJ1714" i="1"/>
  <c r="AX1714" i="1"/>
  <c r="BQ1714" i="1"/>
  <c r="BR1714" i="1"/>
  <c r="CC1714" i="1"/>
  <c r="CW1714" i="1"/>
  <c r="G1560" i="1"/>
  <c r="V1560" i="1"/>
  <c r="AJ1560" i="1"/>
  <c r="AX1560" i="1"/>
  <c r="BQ1560" i="1"/>
  <c r="BR1560" i="1"/>
  <c r="CC1560" i="1"/>
  <c r="CW1560" i="1"/>
  <c r="G1048" i="1"/>
  <c r="V1048" i="1"/>
  <c r="AJ1048" i="1"/>
  <c r="AX1048" i="1"/>
  <c r="BQ1048" i="1"/>
  <c r="BR1048" i="1"/>
  <c r="CC1048" i="1"/>
  <c r="CW1048" i="1"/>
  <c r="G1246" i="1"/>
  <c r="V1246" i="1"/>
  <c r="AJ1246" i="1"/>
  <c r="AX1246" i="1"/>
  <c r="BQ1246" i="1"/>
  <c r="BR1246" i="1"/>
  <c r="CC1246" i="1"/>
  <c r="CK1246" i="1"/>
  <c r="CW1246" i="1"/>
  <c r="G1245" i="1"/>
  <c r="V1245" i="1"/>
  <c r="AJ1245" i="1"/>
  <c r="AX1245" i="1"/>
  <c r="BQ1245" i="1"/>
  <c r="BR1245" i="1"/>
  <c r="CC1245" i="1"/>
  <c r="CW1245" i="1"/>
  <c r="G1750" i="1"/>
  <c r="V1750" i="1"/>
  <c r="AJ1750" i="1"/>
  <c r="AX1750" i="1"/>
  <c r="BQ1750" i="1"/>
  <c r="BR1750" i="1"/>
  <c r="CC1750" i="1"/>
  <c r="CW1750" i="1"/>
  <c r="G1280" i="1"/>
  <c r="V1280" i="1"/>
  <c r="AJ1280" i="1"/>
  <c r="AX1280" i="1"/>
  <c r="BQ1280" i="1"/>
  <c r="BR1280" i="1"/>
  <c r="CC1280" i="1"/>
  <c r="CW1280" i="1"/>
  <c r="G2049" i="1"/>
  <c r="V2049" i="1"/>
  <c r="AJ2049" i="1"/>
  <c r="AX2049" i="1"/>
  <c r="BQ2049" i="1"/>
  <c r="BR2049" i="1"/>
  <c r="CC2049" i="1"/>
  <c r="CW2049" i="1"/>
  <c r="G2258" i="1"/>
  <c r="V2258" i="1"/>
  <c r="AJ2258" i="1"/>
  <c r="AX2258" i="1"/>
  <c r="BQ2258" i="1"/>
  <c r="BR2258" i="1"/>
  <c r="CC2258" i="1"/>
  <c r="CW2258" i="1"/>
  <c r="G2025" i="1"/>
  <c r="V2025" i="1"/>
  <c r="AJ2025" i="1"/>
  <c r="AX2025" i="1"/>
  <c r="BQ2025" i="1"/>
  <c r="BR2025" i="1"/>
  <c r="CC2025" i="1"/>
  <c r="CW2025" i="1"/>
  <c r="G864" i="1"/>
  <c r="V864" i="1"/>
  <c r="AJ864" i="1"/>
  <c r="AX864" i="1"/>
  <c r="BQ864" i="1"/>
  <c r="BR864" i="1"/>
  <c r="CC864" i="1"/>
  <c r="CW864" i="1"/>
  <c r="G1029" i="1"/>
  <c r="V1029" i="1"/>
  <c r="AJ1029" i="1"/>
  <c r="AX1029" i="1"/>
  <c r="BQ1029" i="1"/>
  <c r="BR1029" i="1"/>
  <c r="CC1029" i="1"/>
  <c r="CW1029" i="1"/>
  <c r="G1496" i="1"/>
  <c r="V1496" i="1"/>
  <c r="AJ1496" i="1"/>
  <c r="AX1496" i="1"/>
  <c r="BQ1496" i="1"/>
  <c r="BR1496" i="1"/>
  <c r="CC1496" i="1"/>
  <c r="CW1496" i="1"/>
  <c r="G1565" i="1"/>
  <c r="V1565" i="1"/>
  <c r="AJ1565" i="1"/>
  <c r="AX1565" i="1"/>
  <c r="BQ1565" i="1"/>
  <c r="BR1565" i="1"/>
  <c r="CC1565" i="1"/>
  <c r="CW1565" i="1"/>
  <c r="G1769" i="1"/>
  <c r="V1769" i="1"/>
  <c r="AJ1769" i="1"/>
  <c r="AX1769" i="1"/>
  <c r="BQ1769" i="1"/>
  <c r="BR1769" i="1"/>
  <c r="CC1769" i="1"/>
  <c r="CW1769" i="1"/>
  <c r="G1798" i="1"/>
  <c r="V1798" i="1"/>
  <c r="AJ1798" i="1"/>
  <c r="AX1798" i="1"/>
  <c r="BQ1798" i="1"/>
  <c r="BR1798" i="1"/>
  <c r="CC1798" i="1"/>
  <c r="CW1798" i="1"/>
  <c r="G1042" i="1"/>
  <c r="V1042" i="1"/>
  <c r="AJ1042" i="1"/>
  <c r="AX1042" i="1"/>
  <c r="BQ1042" i="1"/>
  <c r="BR1042" i="1"/>
  <c r="CC1042" i="1"/>
  <c r="CW1042" i="1"/>
  <c r="G2075" i="1"/>
  <c r="V2075" i="1"/>
  <c r="AJ2075" i="1"/>
  <c r="AX2075" i="1"/>
  <c r="BQ2075" i="1"/>
  <c r="BR2075" i="1"/>
  <c r="CC2075" i="1"/>
  <c r="CW2075" i="1"/>
  <c r="G1582" i="1"/>
  <c r="V1582" i="1"/>
  <c r="AJ1582" i="1"/>
  <c r="AX1582" i="1"/>
  <c r="BQ1582" i="1"/>
  <c r="BR1582" i="1"/>
  <c r="CC1582" i="1"/>
  <c r="CW1582" i="1"/>
  <c r="G1073" i="1"/>
  <c r="V1073" i="1"/>
  <c r="AJ1073" i="1"/>
  <c r="AX1073" i="1"/>
  <c r="BQ1073" i="1"/>
  <c r="BR1073" i="1"/>
  <c r="CC1073" i="1"/>
  <c r="CW1073" i="1"/>
  <c r="G2276" i="1"/>
  <c r="V2276" i="1"/>
  <c r="AJ2276" i="1"/>
  <c r="AX2276" i="1"/>
  <c r="BQ2276" i="1"/>
  <c r="BR2276" i="1"/>
  <c r="CC2276" i="1"/>
  <c r="CW2276" i="1"/>
  <c r="G1783" i="1"/>
  <c r="V1783" i="1"/>
  <c r="AJ1783" i="1"/>
  <c r="AX1783" i="1"/>
  <c r="BQ1783" i="1"/>
  <c r="BR1783" i="1"/>
  <c r="CC1783" i="1"/>
  <c r="CW1783" i="1"/>
  <c r="G2102" i="1"/>
  <c r="V2102" i="1"/>
  <c r="AJ2102" i="1"/>
  <c r="AX2102" i="1"/>
  <c r="BQ2102" i="1"/>
  <c r="BR2102" i="1"/>
  <c r="CC2102" i="1"/>
  <c r="CW2102" i="1"/>
  <c r="G1015" i="1"/>
  <c r="V1015" i="1"/>
  <c r="AJ1015" i="1"/>
  <c r="AX1015" i="1"/>
  <c r="BQ1015" i="1"/>
  <c r="BR1015" i="1"/>
  <c r="CC1015" i="1"/>
  <c r="CW1015" i="1"/>
  <c r="G1248" i="1"/>
  <c r="V1248" i="1"/>
  <c r="AJ1248" i="1"/>
  <c r="AX1248" i="1"/>
  <c r="BQ1248" i="1"/>
  <c r="BR1248" i="1"/>
  <c r="CC1248" i="1"/>
  <c r="CW1248" i="1"/>
  <c r="G1647" i="1"/>
  <c r="V1647" i="1"/>
  <c r="AJ1647" i="1"/>
  <c r="AX1647" i="1"/>
  <c r="BQ1647" i="1"/>
  <c r="BR1647" i="1"/>
  <c r="CC1647" i="1"/>
  <c r="CW1647" i="1"/>
  <c r="G1318" i="1"/>
  <c r="V1318" i="1"/>
  <c r="AJ1318" i="1"/>
  <c r="AX1318" i="1"/>
  <c r="BQ1318" i="1"/>
  <c r="BR1318" i="1"/>
  <c r="CC1318" i="1"/>
  <c r="CW1318" i="1"/>
  <c r="G1995" i="1"/>
  <c r="V1995" i="1"/>
  <c r="AJ1995" i="1"/>
  <c r="AX1995" i="1"/>
  <c r="BQ1995" i="1"/>
  <c r="BR1995" i="1"/>
  <c r="CC1995" i="1"/>
  <c r="CW1995" i="1"/>
  <c r="G2158" i="1"/>
  <c r="V2158" i="1"/>
  <c r="AJ2158" i="1"/>
  <c r="AX2158" i="1"/>
  <c r="BQ2158" i="1"/>
  <c r="BR2158" i="1"/>
  <c r="CC2158" i="1"/>
  <c r="CW2158" i="1"/>
  <c r="G1256" i="1"/>
  <c r="V1256" i="1"/>
  <c r="AJ1256" i="1"/>
  <c r="AX1256" i="1"/>
  <c r="BQ1256" i="1"/>
  <c r="BR1256" i="1"/>
  <c r="CC1256" i="1"/>
  <c r="CW1256" i="1"/>
  <c r="G1175" i="1"/>
  <c r="V1175" i="1"/>
  <c r="AJ1175" i="1"/>
  <c r="AX1175" i="1"/>
  <c r="BQ1175" i="1"/>
  <c r="BR1175" i="1"/>
  <c r="CC1175" i="1"/>
  <c r="CW1175" i="1"/>
  <c r="G1946" i="1"/>
  <c r="V1946" i="1"/>
  <c r="AJ1946" i="1"/>
  <c r="AX1946" i="1"/>
  <c r="BQ1946" i="1"/>
  <c r="BR1946" i="1"/>
  <c r="CC1946" i="1"/>
  <c r="CW1946" i="1"/>
  <c r="G1085" i="1"/>
  <c r="V1085" i="1"/>
  <c r="AJ1085" i="1"/>
  <c r="AX1085" i="1"/>
  <c r="BQ1085" i="1"/>
  <c r="BR1085" i="1"/>
  <c r="CC1085" i="1"/>
  <c r="CW1085" i="1"/>
  <c r="G1994" i="1"/>
  <c r="V1994" i="1"/>
  <c r="AJ1994" i="1"/>
  <c r="AX1994" i="1"/>
  <c r="BQ1994" i="1"/>
  <c r="BR1994" i="1"/>
  <c r="CC1994" i="1"/>
  <c r="CW1994" i="1"/>
  <c r="G947" i="1"/>
  <c r="V947" i="1"/>
  <c r="AJ947" i="1"/>
  <c r="AX947" i="1"/>
  <c r="BQ947" i="1"/>
  <c r="BR947" i="1"/>
  <c r="CC947" i="1"/>
  <c r="CW947" i="1"/>
  <c r="G1733" i="1"/>
  <c r="V1733" i="1"/>
  <c r="AJ1733" i="1"/>
  <c r="AX1733" i="1"/>
  <c r="BQ1733" i="1"/>
  <c r="BR1733" i="1"/>
  <c r="CC1733" i="1"/>
  <c r="CW1733" i="1"/>
  <c r="G1630" i="1"/>
  <c r="V1630" i="1"/>
  <c r="AJ1630" i="1"/>
  <c r="AX1630" i="1"/>
  <c r="BQ1630" i="1"/>
  <c r="BR1630" i="1"/>
  <c r="CC1630" i="1"/>
  <c r="CW1630" i="1"/>
  <c r="G1419" i="1"/>
  <c r="V1419" i="1"/>
  <c r="AJ1419" i="1"/>
  <c r="AX1419" i="1"/>
  <c r="BQ1419" i="1"/>
  <c r="BR1419" i="1"/>
  <c r="CC1419" i="1"/>
  <c r="CW1419" i="1"/>
  <c r="G1888" i="1"/>
  <c r="V1888" i="1"/>
  <c r="AJ1888" i="1"/>
  <c r="AX1888" i="1"/>
  <c r="BQ1888" i="1"/>
  <c r="BR1888" i="1"/>
  <c r="CC1888" i="1"/>
  <c r="CW1888" i="1"/>
  <c r="G1250" i="1"/>
  <c r="V1250" i="1"/>
  <c r="AJ1250" i="1"/>
  <c r="AX1250" i="1"/>
  <c r="BQ1250" i="1"/>
  <c r="BR1250" i="1"/>
  <c r="CC1250" i="1"/>
  <c r="CW1250" i="1"/>
  <c r="G1206" i="1"/>
  <c r="V1206" i="1"/>
  <c r="AJ1206" i="1"/>
  <c r="AX1206" i="1"/>
  <c r="BQ1206" i="1"/>
  <c r="BR1206" i="1"/>
  <c r="CC1206" i="1"/>
  <c r="CW1206" i="1"/>
  <c r="G1285" i="1"/>
  <c r="V1285" i="1"/>
  <c r="AJ1285" i="1"/>
  <c r="AX1285" i="1"/>
  <c r="BQ1285" i="1"/>
  <c r="BR1285" i="1"/>
  <c r="CC1285" i="1"/>
  <c r="CW1285" i="1"/>
  <c r="G1807" i="1"/>
  <c r="V1807" i="1"/>
  <c r="AJ1807" i="1"/>
  <c r="AX1807" i="1"/>
  <c r="BQ1807" i="1"/>
  <c r="BR1807" i="1"/>
  <c r="CC1807" i="1"/>
  <c r="CW1807" i="1"/>
  <c r="G187" i="1"/>
  <c r="V187" i="1"/>
  <c r="AJ187" i="1"/>
  <c r="AX187" i="1"/>
  <c r="BQ187" i="1"/>
  <c r="BR187" i="1"/>
  <c r="CC187" i="1"/>
  <c r="CW187" i="1"/>
  <c r="G171" i="1"/>
  <c r="V171" i="1"/>
  <c r="AJ171" i="1"/>
  <c r="AX171" i="1"/>
  <c r="BQ171" i="1"/>
  <c r="BR171" i="1"/>
  <c r="CC171" i="1"/>
  <c r="CW171" i="1"/>
  <c r="G134" i="1"/>
  <c r="V134" i="1"/>
  <c r="AJ134" i="1"/>
  <c r="AX134" i="1"/>
  <c r="BQ134" i="1"/>
  <c r="BR134" i="1"/>
  <c r="CC134" i="1"/>
  <c r="CW134" i="1"/>
  <c r="G353" i="1"/>
  <c r="V353" i="1"/>
  <c r="AJ353" i="1"/>
  <c r="AX353" i="1"/>
  <c r="BQ353" i="1"/>
  <c r="BR353" i="1"/>
  <c r="CC353" i="1"/>
  <c r="CW353" i="1"/>
  <c r="G100" i="1"/>
  <c r="V100" i="1"/>
  <c r="AJ100" i="1"/>
  <c r="AX100" i="1"/>
  <c r="BQ100" i="1"/>
  <c r="BR100" i="1"/>
  <c r="CC100" i="1"/>
  <c r="CW100" i="1"/>
  <c r="G784" i="1"/>
  <c r="V784" i="1"/>
  <c r="AJ784" i="1"/>
  <c r="AX784" i="1"/>
  <c r="BQ784" i="1"/>
  <c r="BR784" i="1"/>
  <c r="CC784" i="1"/>
  <c r="CW784" i="1"/>
  <c r="G544" i="1"/>
  <c r="V544" i="1"/>
  <c r="AJ544" i="1"/>
  <c r="AX544" i="1"/>
  <c r="BQ544" i="1"/>
  <c r="BR544" i="1"/>
  <c r="CC544" i="1"/>
  <c r="CW544" i="1"/>
  <c r="G393" i="1"/>
  <c r="V393" i="1"/>
  <c r="AJ393" i="1"/>
  <c r="AX393" i="1"/>
  <c r="BQ393" i="1"/>
  <c r="BR393" i="1"/>
  <c r="CC393" i="1"/>
  <c r="CW393" i="1"/>
  <c r="G512" i="1"/>
  <c r="V512" i="1"/>
  <c r="AJ512" i="1"/>
  <c r="AX512" i="1"/>
  <c r="BQ512" i="1"/>
  <c r="BR512" i="1"/>
  <c r="CC512" i="1"/>
  <c r="CW512" i="1"/>
  <c r="G678" i="1"/>
  <c r="V678" i="1"/>
  <c r="AJ678" i="1"/>
  <c r="AX678" i="1"/>
  <c r="BQ678" i="1"/>
  <c r="BR678" i="1"/>
  <c r="CC678" i="1"/>
  <c r="CW678" i="1"/>
  <c r="G501" i="1"/>
  <c r="V501" i="1"/>
  <c r="AJ501" i="1"/>
  <c r="AX501" i="1"/>
  <c r="BQ501" i="1"/>
  <c r="BR501" i="1"/>
  <c r="CC501" i="1"/>
  <c r="CW501" i="1"/>
  <c r="G709" i="1"/>
  <c r="V709" i="1"/>
  <c r="AJ709" i="1"/>
  <c r="AX709" i="1"/>
  <c r="BQ709" i="1"/>
  <c r="BR709" i="1"/>
  <c r="CC709" i="1"/>
  <c r="CW709" i="1"/>
  <c r="G1805" i="1"/>
  <c r="V1805" i="1"/>
  <c r="AJ1805" i="1"/>
  <c r="AX1805" i="1"/>
  <c r="BQ1805" i="1"/>
  <c r="BR1805" i="1"/>
  <c r="CC1805" i="1"/>
  <c r="CW1805" i="1"/>
  <c r="G436" i="1"/>
  <c r="V436" i="1"/>
  <c r="AJ436" i="1"/>
  <c r="AX436" i="1"/>
  <c r="BQ436" i="1"/>
  <c r="BR436" i="1"/>
  <c r="CC436" i="1"/>
  <c r="CW436" i="1"/>
  <c r="G766" i="1"/>
  <c r="V766" i="1"/>
  <c r="AJ766" i="1"/>
  <c r="AX766" i="1"/>
  <c r="BQ766" i="1"/>
  <c r="BR766" i="1"/>
  <c r="CC766" i="1"/>
  <c r="CW766" i="1"/>
  <c r="G101" i="1"/>
  <c r="V101" i="1"/>
  <c r="AJ101" i="1"/>
  <c r="AX101" i="1"/>
  <c r="BQ101" i="1"/>
  <c r="BR101" i="1"/>
  <c r="CC101" i="1"/>
  <c r="CW101" i="1"/>
  <c r="G179" i="1"/>
  <c r="V179" i="1"/>
  <c r="AJ179" i="1"/>
  <c r="AX179" i="1"/>
  <c r="BQ179" i="1"/>
  <c r="BR179" i="1"/>
  <c r="CC179" i="1"/>
  <c r="CW179" i="1"/>
  <c r="G65" i="1"/>
  <c r="V65" i="1"/>
  <c r="AJ65" i="1"/>
  <c r="AX65" i="1"/>
  <c r="BQ65" i="1"/>
  <c r="BR65" i="1"/>
  <c r="CC65" i="1"/>
  <c r="CW65" i="1"/>
  <c r="G764" i="1"/>
  <c r="V764" i="1"/>
  <c r="AJ764" i="1"/>
  <c r="AX764" i="1"/>
  <c r="BQ764" i="1"/>
  <c r="BR764" i="1"/>
  <c r="CC764" i="1"/>
  <c r="CW764" i="1"/>
  <c r="G701" i="1"/>
  <c r="V701" i="1"/>
  <c r="AJ701" i="1"/>
  <c r="AX701" i="1"/>
  <c r="BQ701" i="1"/>
  <c r="BR701" i="1"/>
  <c r="CC701" i="1"/>
  <c r="CW701" i="1"/>
  <c r="G537" i="1"/>
  <c r="V537" i="1"/>
  <c r="AJ537" i="1"/>
  <c r="AX537" i="1"/>
  <c r="BQ537" i="1"/>
  <c r="BR537" i="1"/>
  <c r="CC537" i="1"/>
  <c r="CW537" i="1"/>
  <c r="G690" i="1"/>
  <c r="V690" i="1"/>
  <c r="AJ690" i="1"/>
  <c r="AX690" i="1"/>
  <c r="BQ690" i="1"/>
  <c r="BR690" i="1"/>
  <c r="CC690" i="1"/>
  <c r="CW690" i="1"/>
  <c r="G39" i="1"/>
  <c r="V39" i="1"/>
  <c r="AJ39" i="1"/>
  <c r="AX39" i="1"/>
  <c r="BQ39" i="1"/>
  <c r="BR39" i="1"/>
  <c r="CC39" i="1"/>
  <c r="CW39" i="1"/>
  <c r="G627" i="1"/>
  <c r="V627" i="1"/>
  <c r="AJ627" i="1"/>
  <c r="AX627" i="1"/>
  <c r="BQ627" i="1"/>
  <c r="BR627" i="1"/>
  <c r="CC627" i="1"/>
  <c r="CW627" i="1"/>
  <c r="G796" i="1"/>
  <c r="V796" i="1"/>
  <c r="AJ796" i="1"/>
  <c r="AX796" i="1"/>
  <c r="BQ796" i="1"/>
  <c r="BR796" i="1"/>
  <c r="CC796" i="1"/>
  <c r="CW796" i="1"/>
  <c r="G519" i="1"/>
  <c r="V519" i="1"/>
  <c r="AJ519" i="1"/>
  <c r="AX519" i="1"/>
  <c r="BQ519" i="1"/>
  <c r="BR519" i="1"/>
  <c r="CC519" i="1"/>
  <c r="CW519" i="1"/>
  <c r="G440" i="1"/>
  <c r="V440" i="1"/>
  <c r="AJ440" i="1"/>
  <c r="AX440" i="1"/>
  <c r="BQ440" i="1"/>
  <c r="BR440" i="1"/>
  <c r="CC440" i="1"/>
  <c r="CW440" i="1"/>
  <c r="G362" i="1"/>
  <c r="V362" i="1"/>
  <c r="AJ362" i="1"/>
  <c r="AX362" i="1"/>
  <c r="BQ362" i="1"/>
  <c r="BR362" i="1"/>
  <c r="CC362" i="1"/>
  <c r="CW362" i="1"/>
  <c r="G516" i="1"/>
  <c r="V516" i="1"/>
  <c r="AJ516" i="1"/>
  <c r="AX516" i="1"/>
  <c r="BQ516" i="1"/>
  <c r="BR516" i="1"/>
  <c r="CC516" i="1"/>
  <c r="CW516" i="1"/>
  <c r="G396" i="1"/>
  <c r="V396" i="1"/>
  <c r="AJ396" i="1"/>
  <c r="AX396" i="1"/>
  <c r="BQ396" i="1"/>
  <c r="BR396" i="1"/>
  <c r="CC396" i="1"/>
  <c r="CW396" i="1"/>
  <c r="G211" i="1"/>
  <c r="V211" i="1"/>
  <c r="AJ211" i="1"/>
  <c r="AX211" i="1"/>
  <c r="BQ211" i="1"/>
  <c r="BR211" i="1"/>
  <c r="CC211" i="1"/>
  <c r="CW211" i="1"/>
  <c r="G754" i="1"/>
  <c r="V754" i="1"/>
  <c r="AJ754" i="1"/>
  <c r="AX754" i="1"/>
  <c r="BQ754" i="1"/>
  <c r="BR754" i="1"/>
  <c r="CC754" i="1"/>
  <c r="CW754" i="1"/>
  <c r="G264" i="1"/>
  <c r="V264" i="1"/>
  <c r="AJ264" i="1"/>
  <c r="AX264" i="1"/>
  <c r="BQ264" i="1"/>
  <c r="BR264" i="1"/>
  <c r="CC264" i="1"/>
  <c r="CW264" i="1"/>
  <c r="G269" i="1"/>
  <c r="V269" i="1"/>
  <c r="AJ269" i="1"/>
  <c r="AX269" i="1"/>
  <c r="BQ269" i="1"/>
  <c r="BR269" i="1"/>
  <c r="CC269" i="1"/>
  <c r="CW269" i="1"/>
  <c r="G327" i="1"/>
  <c r="V327" i="1"/>
  <c r="AJ327" i="1"/>
  <c r="AX327" i="1"/>
  <c r="BQ327" i="1"/>
  <c r="BR327" i="1"/>
  <c r="CC327" i="1"/>
  <c r="CW327" i="1"/>
  <c r="G515" i="1"/>
  <c r="V515" i="1"/>
  <c r="AJ515" i="1"/>
  <c r="AX515" i="1"/>
  <c r="BQ515" i="1"/>
  <c r="BR515" i="1"/>
  <c r="CC515" i="1"/>
  <c r="CW515" i="1"/>
  <c r="G298" i="1"/>
  <c r="V298" i="1"/>
  <c r="AJ298" i="1"/>
  <c r="AX298" i="1"/>
  <c r="BQ298" i="1"/>
  <c r="BR298" i="1"/>
  <c r="CC298" i="1"/>
  <c r="CW298" i="1"/>
  <c r="G1853" i="1"/>
  <c r="V1853" i="1"/>
  <c r="AJ1853" i="1"/>
  <c r="AX1853" i="1"/>
  <c r="BQ1853" i="1"/>
  <c r="BR1853" i="1"/>
  <c r="CC1853" i="1"/>
  <c r="CW1853" i="1"/>
  <c r="G524" i="1"/>
  <c r="V524" i="1"/>
  <c r="AJ524" i="1"/>
  <c r="AX524" i="1"/>
  <c r="BQ524" i="1"/>
  <c r="BR524" i="1"/>
  <c r="CC524" i="1"/>
  <c r="CW524" i="1"/>
  <c r="G2325" i="1"/>
  <c r="V2325" i="1"/>
  <c r="AJ2325" i="1"/>
  <c r="AX2325" i="1"/>
  <c r="BQ2325" i="1"/>
  <c r="BR2325" i="1"/>
  <c r="CC2325" i="1"/>
  <c r="CW2325" i="1"/>
  <c r="G694" i="1"/>
  <c r="V694" i="1"/>
  <c r="AJ694" i="1"/>
  <c r="AX694" i="1"/>
  <c r="BQ694" i="1"/>
  <c r="BR694" i="1"/>
  <c r="CC694" i="1"/>
  <c r="CW694" i="1"/>
  <c r="G380" i="1"/>
  <c r="V380" i="1"/>
  <c r="AJ380" i="1"/>
  <c r="AX380" i="1"/>
  <c r="BQ380" i="1"/>
  <c r="BR380" i="1"/>
  <c r="CC380" i="1"/>
  <c r="CW380" i="1"/>
  <c r="G433" i="1"/>
  <c r="V433" i="1"/>
  <c r="AJ433" i="1"/>
  <c r="AX433" i="1"/>
  <c r="BQ433" i="1"/>
  <c r="BR433" i="1"/>
  <c r="CC433" i="1"/>
  <c r="CW433" i="1"/>
  <c r="G648" i="1"/>
  <c r="V648" i="1"/>
  <c r="AJ648" i="1"/>
  <c r="AX648" i="1"/>
  <c r="BQ648" i="1"/>
  <c r="BR648" i="1"/>
  <c r="CC648" i="1"/>
  <c r="CW648" i="1"/>
  <c r="G104" i="1"/>
  <c r="V104" i="1"/>
  <c r="AJ104" i="1"/>
  <c r="AX104" i="1"/>
  <c r="BQ104" i="1"/>
  <c r="BR104" i="1"/>
  <c r="CC104" i="1"/>
  <c r="CW104" i="1"/>
  <c r="G1840" i="1"/>
  <c r="V1840" i="1"/>
  <c r="AJ1840" i="1"/>
  <c r="AX1840" i="1"/>
  <c r="BQ1840" i="1"/>
  <c r="BR1840" i="1"/>
  <c r="CC1840" i="1"/>
  <c r="CW1840" i="1"/>
  <c r="G711" i="1"/>
  <c r="V711" i="1"/>
  <c r="AJ711" i="1"/>
  <c r="AX711" i="1"/>
  <c r="BQ711" i="1"/>
  <c r="BR711" i="1"/>
  <c r="CC711" i="1"/>
  <c r="CW711" i="1"/>
  <c r="G634" i="1"/>
  <c r="V634" i="1"/>
  <c r="AJ634" i="1"/>
  <c r="AX634" i="1"/>
  <c r="BQ634" i="1"/>
  <c r="BR634" i="1"/>
  <c r="CC634" i="1"/>
  <c r="CW634" i="1"/>
  <c r="G2151" i="1"/>
  <c r="V2151" i="1"/>
  <c r="AJ2151" i="1"/>
  <c r="AX2151" i="1"/>
  <c r="BQ2151" i="1"/>
  <c r="BR2151" i="1"/>
  <c r="CC2151" i="1"/>
  <c r="CW2151" i="1"/>
  <c r="G253" i="1"/>
  <c r="V253" i="1"/>
  <c r="AJ253" i="1"/>
  <c r="AX253" i="1"/>
  <c r="BQ253" i="1"/>
  <c r="BR253" i="1"/>
  <c r="CC253" i="1"/>
  <c r="CW253" i="1"/>
  <c r="G361" i="1"/>
  <c r="V361" i="1"/>
  <c r="AJ361" i="1"/>
  <c r="AX361" i="1"/>
  <c r="BQ361" i="1"/>
  <c r="BR361" i="1"/>
  <c r="CC361" i="1"/>
  <c r="CW361" i="1"/>
  <c r="G762" i="1"/>
  <c r="V762" i="1"/>
  <c r="AJ762" i="1"/>
  <c r="AX762" i="1"/>
  <c r="BQ762" i="1"/>
  <c r="BR762" i="1"/>
  <c r="CC762" i="1"/>
  <c r="CW762" i="1"/>
  <c r="G523" i="1"/>
  <c r="V523" i="1"/>
  <c r="AJ523" i="1"/>
  <c r="AX523" i="1"/>
  <c r="BQ523" i="1"/>
  <c r="BR523" i="1"/>
  <c r="CC523" i="1"/>
  <c r="CW523" i="1"/>
  <c r="G1412" i="1"/>
  <c r="V1412" i="1"/>
  <c r="AJ1412" i="1"/>
  <c r="AX1412" i="1"/>
  <c r="BQ1412" i="1"/>
  <c r="BR1412" i="1"/>
  <c r="CC1412" i="1"/>
  <c r="CW1412" i="1"/>
  <c r="G741" i="1"/>
  <c r="V741" i="1"/>
  <c r="AJ741" i="1"/>
  <c r="AX741" i="1"/>
  <c r="BQ741" i="1"/>
  <c r="BR741" i="1"/>
  <c r="CC741" i="1"/>
  <c r="CW741" i="1"/>
  <c r="G1128" i="1"/>
  <c r="V1128" i="1"/>
  <c r="AJ1128" i="1"/>
  <c r="AX1128" i="1"/>
  <c r="BQ1128" i="1"/>
  <c r="BR1128" i="1"/>
  <c r="CC1128" i="1"/>
  <c r="CW1128" i="1"/>
  <c r="G1521" i="1"/>
  <c r="V1521" i="1"/>
  <c r="AJ1521" i="1"/>
  <c r="AX1521" i="1"/>
  <c r="BQ1521" i="1"/>
  <c r="BR1521" i="1"/>
  <c r="CC1521" i="1"/>
  <c r="CW1521" i="1"/>
  <c r="G1433" i="1"/>
  <c r="V1433" i="1"/>
  <c r="AJ1433" i="1"/>
  <c r="AX1433" i="1"/>
  <c r="BQ1433" i="1"/>
  <c r="BR1433" i="1"/>
  <c r="CC1433" i="1"/>
  <c r="CK1433" i="1"/>
  <c r="CW1433" i="1"/>
  <c r="G891" i="1"/>
  <c r="V891" i="1"/>
  <c r="AJ891" i="1"/>
  <c r="AX891" i="1"/>
  <c r="BQ891" i="1"/>
  <c r="BR891" i="1"/>
  <c r="CC891" i="1"/>
  <c r="CW891" i="1"/>
  <c r="G1322" i="1"/>
  <c r="V1322" i="1"/>
  <c r="AJ1322" i="1"/>
  <c r="AX1322" i="1"/>
  <c r="BQ1322" i="1"/>
  <c r="BR1322" i="1"/>
  <c r="CC1322" i="1"/>
  <c r="CW1322" i="1"/>
  <c r="G935" i="1"/>
  <c r="V935" i="1"/>
  <c r="AJ935" i="1"/>
  <c r="AX935" i="1"/>
  <c r="BQ935" i="1"/>
  <c r="BR935" i="1"/>
  <c r="CC935" i="1"/>
  <c r="CW935" i="1"/>
  <c r="G1498" i="1"/>
  <c r="V1498" i="1"/>
  <c r="AJ1498" i="1"/>
  <c r="AX1498" i="1"/>
  <c r="BQ1498" i="1"/>
  <c r="BR1498" i="1"/>
  <c r="CC1498" i="1"/>
  <c r="CW1498" i="1"/>
  <c r="G1572" i="1"/>
  <c r="V1572" i="1"/>
  <c r="AJ1572" i="1"/>
  <c r="AX1572" i="1"/>
  <c r="BQ1572" i="1"/>
  <c r="BR1572" i="1"/>
  <c r="CC1572" i="1"/>
  <c r="CW1572" i="1"/>
  <c r="G1326" i="1"/>
  <c r="V1326" i="1"/>
  <c r="AJ1326" i="1"/>
  <c r="AX1326" i="1"/>
  <c r="BQ1326" i="1"/>
  <c r="BR1326" i="1"/>
  <c r="CC1326" i="1"/>
  <c r="CW1326" i="1"/>
  <c r="G2106" i="1"/>
  <c r="V2106" i="1"/>
  <c r="AJ2106" i="1"/>
  <c r="AX2106" i="1"/>
  <c r="BQ2106" i="1"/>
  <c r="BR2106" i="1"/>
  <c r="CC2106" i="1"/>
  <c r="CW2106" i="1"/>
  <c r="G1794" i="1"/>
  <c r="V1794" i="1"/>
  <c r="AJ1794" i="1"/>
  <c r="AX1794" i="1"/>
  <c r="BQ1794" i="1"/>
  <c r="BR1794" i="1"/>
  <c r="CC1794" i="1"/>
  <c r="CW1794" i="1"/>
  <c r="G1223" i="1"/>
  <c r="V1223" i="1"/>
  <c r="AJ1223" i="1"/>
  <c r="AX1223" i="1"/>
  <c r="BQ1223" i="1"/>
  <c r="BR1223" i="1"/>
  <c r="CC1223" i="1"/>
  <c r="CW1223" i="1"/>
  <c r="G2366" i="1"/>
  <c r="V2366" i="1"/>
  <c r="AJ2366" i="1"/>
  <c r="AX2366" i="1"/>
  <c r="BQ2366" i="1"/>
  <c r="BR2366" i="1"/>
  <c r="CC2366" i="1"/>
  <c r="CW2366" i="1"/>
  <c r="G1301" i="1"/>
  <c r="V1301" i="1"/>
  <c r="AJ1301" i="1"/>
  <c r="AX1301" i="1"/>
  <c r="BQ1301" i="1"/>
  <c r="BR1301" i="1"/>
  <c r="CC1301" i="1"/>
  <c r="CW1301" i="1"/>
  <c r="G1016" i="1"/>
  <c r="V1016" i="1"/>
  <c r="AJ1016" i="1"/>
  <c r="AX1016" i="1"/>
  <c r="BQ1016" i="1"/>
  <c r="BR1016" i="1"/>
  <c r="CC1016" i="1"/>
  <c r="CW1016" i="1"/>
  <c r="G1324" i="1"/>
  <c r="V1324" i="1"/>
  <c r="AJ1324" i="1"/>
  <c r="AX1324" i="1"/>
  <c r="BQ1324" i="1"/>
  <c r="BR1324" i="1"/>
  <c r="CC1324" i="1"/>
  <c r="CW1324" i="1"/>
  <c r="G1275" i="1"/>
  <c r="V1275" i="1"/>
  <c r="AJ1275" i="1"/>
  <c r="AX1275" i="1"/>
  <c r="BQ1275" i="1"/>
  <c r="BR1275" i="1"/>
  <c r="CC1275" i="1"/>
  <c r="CW1275" i="1"/>
  <c r="G1437" i="1"/>
  <c r="V1437" i="1"/>
  <c r="AJ1437" i="1"/>
  <c r="AX1437" i="1"/>
  <c r="BQ1437" i="1"/>
  <c r="BR1437" i="1"/>
  <c r="CC1437" i="1"/>
  <c r="CW1437" i="1"/>
  <c r="G1681" i="1"/>
  <c r="V1681" i="1"/>
  <c r="AJ1681" i="1"/>
  <c r="AX1681" i="1"/>
  <c r="BQ1681" i="1"/>
  <c r="BR1681" i="1"/>
  <c r="CC1681" i="1"/>
  <c r="CW1681" i="1"/>
  <c r="G2073" i="1"/>
  <c r="V2073" i="1"/>
  <c r="AJ2073" i="1"/>
  <c r="AX2073" i="1"/>
  <c r="BQ2073" i="1"/>
  <c r="BR2073" i="1"/>
  <c r="CC2073" i="1"/>
  <c r="CW2073" i="1"/>
  <c r="G2377" i="1"/>
  <c r="V2377" i="1"/>
  <c r="AJ2377" i="1"/>
  <c r="AX2377" i="1"/>
  <c r="BQ2377" i="1"/>
  <c r="BR2377" i="1"/>
  <c r="CC2377" i="1"/>
  <c r="CW2377" i="1"/>
  <c r="G1044" i="1"/>
  <c r="V1044" i="1"/>
  <c r="AJ1044" i="1"/>
  <c r="AX1044" i="1"/>
  <c r="BQ1044" i="1"/>
  <c r="BR1044" i="1"/>
  <c r="CC1044" i="1"/>
  <c r="CW1044" i="1"/>
  <c r="G1631" i="1"/>
  <c r="V1631" i="1"/>
  <c r="AJ1631" i="1"/>
  <c r="AX1631" i="1"/>
  <c r="BQ1631" i="1"/>
  <c r="BR1631" i="1"/>
  <c r="CC1631" i="1"/>
  <c r="CW1631" i="1"/>
  <c r="G1328" i="1"/>
  <c r="V1328" i="1"/>
  <c r="AJ1328" i="1"/>
  <c r="AX1328" i="1"/>
  <c r="BQ1328" i="1"/>
  <c r="BR1328" i="1"/>
  <c r="CC1328" i="1"/>
  <c r="CW1328" i="1"/>
  <c r="G1198" i="1"/>
  <c r="V1198" i="1"/>
  <c r="AJ1198" i="1"/>
  <c r="AX1198" i="1"/>
  <c r="BQ1198" i="1"/>
  <c r="BR1198" i="1"/>
  <c r="CC1198" i="1"/>
  <c r="CW1198" i="1"/>
  <c r="G877" i="1"/>
  <c r="V877" i="1"/>
  <c r="AJ877" i="1"/>
  <c r="AX877" i="1"/>
  <c r="BQ877" i="1"/>
  <c r="BR877" i="1"/>
  <c r="CC877" i="1"/>
  <c r="CW877" i="1"/>
  <c r="G1137" i="1"/>
  <c r="V1137" i="1"/>
  <c r="AJ1137" i="1"/>
  <c r="AX1137" i="1"/>
  <c r="BQ1137" i="1"/>
  <c r="BR1137" i="1"/>
  <c r="CC1137" i="1"/>
  <c r="CW1137" i="1"/>
  <c r="G1006" i="1"/>
  <c r="V1006" i="1"/>
  <c r="AJ1006" i="1"/>
  <c r="AX1006" i="1"/>
  <c r="BQ1006" i="1"/>
  <c r="BR1006" i="1"/>
  <c r="CC1006" i="1"/>
  <c r="CW1006" i="1"/>
  <c r="G1102" i="1"/>
  <c r="V1102" i="1"/>
  <c r="AJ1102" i="1"/>
  <c r="AX1102" i="1"/>
  <c r="BQ1102" i="1"/>
  <c r="BR1102" i="1"/>
  <c r="CC1102" i="1"/>
  <c r="CW1102" i="1"/>
  <c r="G2275" i="1"/>
  <c r="V2275" i="1"/>
  <c r="AJ2275" i="1"/>
  <c r="AX2275" i="1"/>
  <c r="BQ2275" i="1"/>
  <c r="BR2275" i="1"/>
  <c r="CC2275" i="1"/>
  <c r="CW2275" i="1"/>
  <c r="G1519" i="1"/>
  <c r="V1519" i="1"/>
  <c r="AJ1519" i="1"/>
  <c r="AX1519" i="1"/>
  <c r="BQ1519" i="1"/>
  <c r="BR1519" i="1"/>
  <c r="CC1519" i="1"/>
  <c r="CW1519" i="1"/>
  <c r="G1330" i="1"/>
  <c r="V1330" i="1"/>
  <c r="AJ1330" i="1"/>
  <c r="AX1330" i="1"/>
  <c r="BQ1330" i="1"/>
  <c r="BR1330" i="1"/>
  <c r="CC1330" i="1"/>
  <c r="CW1330" i="1"/>
  <c r="G1701" i="1"/>
  <c r="V1701" i="1"/>
  <c r="AJ1701" i="1"/>
  <c r="AX1701" i="1"/>
  <c r="BQ1701" i="1"/>
  <c r="BR1701" i="1"/>
  <c r="CC1701" i="1"/>
  <c r="CW1701" i="1"/>
  <c r="G2342" i="1"/>
  <c r="V2342" i="1"/>
  <c r="AJ2342" i="1"/>
  <c r="AX2342" i="1"/>
  <c r="BQ2342" i="1"/>
  <c r="BR2342" i="1"/>
  <c r="CC2342" i="1"/>
  <c r="CW2342" i="1"/>
  <c r="G1078" i="1"/>
  <c r="V1078" i="1"/>
  <c r="AJ1078" i="1"/>
  <c r="AX1078" i="1"/>
  <c r="BQ1078" i="1"/>
  <c r="BR1078" i="1"/>
  <c r="CC1078" i="1"/>
  <c r="CW1078" i="1"/>
  <c r="G1122" i="1"/>
  <c r="V1122" i="1"/>
  <c r="AJ1122" i="1"/>
  <c r="AX1122" i="1"/>
  <c r="BQ1122" i="1"/>
  <c r="BR1122" i="1"/>
  <c r="CC1122" i="1"/>
  <c r="CW1122" i="1"/>
  <c r="G1491" i="1"/>
  <c r="V1491" i="1"/>
  <c r="AJ1491" i="1"/>
  <c r="AX1491" i="1"/>
  <c r="BQ1491" i="1"/>
  <c r="BR1491" i="1"/>
  <c r="CC1491" i="1"/>
  <c r="CW1491" i="1"/>
  <c r="G1578" i="1"/>
  <c r="V1578" i="1"/>
  <c r="AJ1578" i="1"/>
  <c r="AX1578" i="1"/>
  <c r="BQ1578" i="1"/>
  <c r="BR1578" i="1"/>
  <c r="CC1578" i="1"/>
  <c r="CW1578" i="1"/>
  <c r="G1098" i="1"/>
  <c r="V1098" i="1"/>
  <c r="AJ1098" i="1"/>
  <c r="AX1098" i="1"/>
  <c r="BQ1098" i="1"/>
  <c r="BR1098" i="1"/>
  <c r="CC1098" i="1"/>
  <c r="CW1098" i="1"/>
  <c r="G1734" i="1"/>
  <c r="V1734" i="1"/>
  <c r="AJ1734" i="1"/>
  <c r="AX1734" i="1"/>
  <c r="BQ1734" i="1"/>
  <c r="BR1734" i="1"/>
  <c r="CC1734" i="1"/>
  <c r="CW1734" i="1"/>
  <c r="G1490" i="1"/>
  <c r="V1490" i="1"/>
  <c r="AJ1490" i="1"/>
  <c r="AX1490" i="1"/>
  <c r="BQ1490" i="1"/>
  <c r="BR1490" i="1"/>
  <c r="CC1490" i="1"/>
  <c r="CW1490" i="1"/>
  <c r="G1558" i="1"/>
  <c r="V1558" i="1"/>
  <c r="AJ1558" i="1"/>
  <c r="AX1558" i="1"/>
  <c r="BQ1558" i="1"/>
  <c r="BR1558" i="1"/>
  <c r="CC1558" i="1"/>
  <c r="CW1558" i="1"/>
  <c r="G1915" i="1"/>
  <c r="V1915" i="1"/>
  <c r="AJ1915" i="1"/>
  <c r="AX1915" i="1"/>
  <c r="BQ1915" i="1"/>
  <c r="BR1915" i="1"/>
  <c r="CC1915" i="1"/>
  <c r="CW1915" i="1"/>
  <c r="G1786" i="1"/>
  <c r="V1786" i="1"/>
  <c r="AJ1786" i="1"/>
  <c r="AX1786" i="1"/>
  <c r="BQ1786" i="1"/>
  <c r="BR1786" i="1"/>
  <c r="CC1786" i="1"/>
  <c r="CW1786" i="1"/>
  <c r="G1637" i="1"/>
  <c r="V1637" i="1"/>
  <c r="AJ1637" i="1"/>
  <c r="AX1637" i="1"/>
  <c r="BQ1637" i="1"/>
  <c r="BR1637" i="1"/>
  <c r="CC1637" i="1"/>
  <c r="CW1637" i="1"/>
  <c r="G2109" i="1"/>
  <c r="V2109" i="1"/>
  <c r="AJ2109" i="1"/>
  <c r="AX2109" i="1"/>
  <c r="BQ2109" i="1"/>
  <c r="BR2109" i="1"/>
  <c r="CC2109" i="1"/>
  <c r="CW2109" i="1"/>
  <c r="G2341" i="1"/>
  <c r="V2341" i="1"/>
  <c r="AJ2341" i="1"/>
  <c r="AX2341" i="1"/>
  <c r="BQ2341" i="1"/>
  <c r="BR2341" i="1"/>
  <c r="CC2341" i="1"/>
  <c r="CW2341" i="1"/>
  <c r="G1585" i="1"/>
  <c r="V1585" i="1"/>
  <c r="AJ1585" i="1"/>
  <c r="AX1585" i="1"/>
  <c r="BQ1585" i="1"/>
  <c r="BR1585" i="1"/>
  <c r="CC1585" i="1"/>
  <c r="CW1585" i="1"/>
  <c r="G2368" i="1"/>
  <c r="V2368" i="1"/>
  <c r="AJ2368" i="1"/>
  <c r="AX2368" i="1"/>
  <c r="BQ2368" i="1"/>
  <c r="BR2368" i="1"/>
  <c r="CC2368" i="1"/>
  <c r="CW2368" i="1"/>
  <c r="G1103" i="1"/>
  <c r="V1103" i="1"/>
  <c r="AJ1103" i="1"/>
  <c r="AX1103" i="1"/>
  <c r="BQ1103" i="1"/>
  <c r="BR1103" i="1"/>
  <c r="CC1103" i="1"/>
  <c r="CW1103" i="1"/>
  <c r="G1389" i="1"/>
  <c r="V1389" i="1"/>
  <c r="AJ1389" i="1"/>
  <c r="AX1389" i="1"/>
  <c r="BQ1389" i="1"/>
  <c r="BR1389" i="1"/>
  <c r="CC1389" i="1"/>
  <c r="CW1389" i="1"/>
  <c r="G1452" i="1"/>
  <c r="V1452" i="1"/>
  <c r="AJ1452" i="1"/>
  <c r="AX1452" i="1"/>
  <c r="BQ1452" i="1"/>
  <c r="BR1452" i="1"/>
  <c r="CC1452" i="1"/>
  <c r="CW1452" i="1"/>
  <c r="G1344" i="1"/>
  <c r="V1344" i="1"/>
  <c r="AJ1344" i="1"/>
  <c r="AX1344" i="1"/>
  <c r="BQ1344" i="1"/>
  <c r="BR1344" i="1"/>
  <c r="CC1344" i="1"/>
  <c r="CW1344" i="1"/>
  <c r="G989" i="1"/>
  <c r="V989" i="1"/>
  <c r="AJ989" i="1"/>
  <c r="AX989" i="1"/>
  <c r="BQ989" i="1"/>
  <c r="BR989" i="1"/>
  <c r="CC989" i="1"/>
  <c r="CW989" i="1"/>
  <c r="G924" i="1"/>
  <c r="V924" i="1"/>
  <c r="AJ924" i="1"/>
  <c r="AX924" i="1"/>
  <c r="BQ924" i="1"/>
  <c r="BR924" i="1"/>
  <c r="CC924" i="1"/>
  <c r="CW924" i="1"/>
  <c r="G2265" i="1"/>
  <c r="V2265" i="1"/>
  <c r="AJ2265" i="1"/>
  <c r="AX2265" i="1"/>
  <c r="BQ2265" i="1"/>
  <c r="BR2265" i="1"/>
  <c r="CC2265" i="1"/>
  <c r="CW2265" i="1"/>
  <c r="G1392" i="1"/>
  <c r="V1392" i="1"/>
  <c r="AJ1392" i="1"/>
  <c r="AX1392" i="1"/>
  <c r="BQ1392" i="1"/>
  <c r="BR1392" i="1"/>
  <c r="CC1392" i="1"/>
  <c r="CW1392" i="1"/>
  <c r="G834" i="1"/>
  <c r="V834" i="1"/>
  <c r="AJ834" i="1"/>
  <c r="AX834" i="1"/>
  <c r="BQ834" i="1"/>
  <c r="BR834" i="1"/>
  <c r="CC834" i="1"/>
  <c r="CW834" i="1"/>
  <c r="G1903" i="1"/>
  <c r="V1903" i="1"/>
  <c r="AJ1903" i="1"/>
  <c r="AX1903" i="1"/>
  <c r="BQ1903" i="1"/>
  <c r="BR1903" i="1"/>
  <c r="CC1903" i="1"/>
  <c r="CW1903" i="1"/>
  <c r="G880" i="1"/>
  <c r="V880" i="1"/>
  <c r="AJ880" i="1"/>
  <c r="AX880" i="1"/>
  <c r="BQ880" i="1"/>
  <c r="BR880" i="1"/>
  <c r="CC880" i="1"/>
  <c r="CW880" i="1"/>
  <c r="G2117" i="1"/>
  <c r="V2117" i="1"/>
  <c r="AJ2117" i="1"/>
  <c r="AX2117" i="1"/>
  <c r="BQ2117" i="1"/>
  <c r="BR2117" i="1"/>
  <c r="CC2117" i="1"/>
  <c r="CW2117" i="1"/>
  <c r="G911" i="1"/>
  <c r="V911" i="1"/>
  <c r="AJ911" i="1"/>
  <c r="AX911" i="1"/>
  <c r="BQ911" i="1"/>
  <c r="BR911" i="1"/>
  <c r="CC911" i="1"/>
  <c r="CW911" i="1"/>
  <c r="G1650" i="1"/>
  <c r="V1650" i="1"/>
  <c r="AJ1650" i="1"/>
  <c r="AX1650" i="1"/>
  <c r="BQ1650" i="1"/>
  <c r="BR1650" i="1"/>
  <c r="CC1650" i="1"/>
  <c r="CW1650" i="1"/>
  <c r="G1253" i="1"/>
  <c r="V1253" i="1"/>
  <c r="AJ1253" i="1"/>
  <c r="AX1253" i="1"/>
  <c r="BQ1253" i="1"/>
  <c r="BR1253" i="1"/>
  <c r="CC1253" i="1"/>
  <c r="CW1253" i="1"/>
  <c r="G2239" i="1"/>
  <c r="V2239" i="1"/>
  <c r="AJ2239" i="1"/>
  <c r="AX2239" i="1"/>
  <c r="BQ2239" i="1"/>
  <c r="BR2239" i="1"/>
  <c r="CC2239" i="1"/>
  <c r="CW2239" i="1"/>
  <c r="G1940" i="1"/>
  <c r="V1940" i="1"/>
  <c r="AJ1940" i="1"/>
  <c r="AX1940" i="1"/>
  <c r="BQ1940" i="1"/>
  <c r="BR1940" i="1"/>
  <c r="CC1940" i="1"/>
  <c r="CW1940" i="1"/>
  <c r="G1067" i="1"/>
  <c r="V1067" i="1"/>
  <c r="AJ1067" i="1"/>
  <c r="AX1067" i="1"/>
  <c r="BQ1067" i="1"/>
  <c r="BR1067" i="1"/>
  <c r="CC1067" i="1"/>
  <c r="CW1067" i="1"/>
  <c r="G2351" i="1"/>
  <c r="V2351" i="1"/>
  <c r="AJ2351" i="1"/>
  <c r="AX2351" i="1"/>
  <c r="BQ2351" i="1"/>
  <c r="BR2351" i="1"/>
  <c r="CC2351" i="1"/>
  <c r="CW2351" i="1"/>
  <c r="G2245" i="1"/>
  <c r="V2245" i="1"/>
  <c r="AJ2245" i="1"/>
  <c r="AX2245" i="1"/>
  <c r="BQ2245" i="1"/>
  <c r="BR2245" i="1"/>
  <c r="CC2245" i="1"/>
  <c r="CW2245" i="1"/>
  <c r="G1444" i="1"/>
  <c r="V1444" i="1"/>
  <c r="AJ1444" i="1"/>
  <c r="AX1444" i="1"/>
  <c r="BQ1444" i="1"/>
  <c r="BR1444" i="1"/>
  <c r="CC1444" i="1"/>
  <c r="CW1444" i="1"/>
  <c r="G1976" i="1"/>
  <c r="V1976" i="1"/>
  <c r="AJ1976" i="1"/>
  <c r="AX1976" i="1"/>
  <c r="BQ1976" i="1"/>
  <c r="BR1976" i="1"/>
  <c r="CC1976" i="1"/>
  <c r="CW1976" i="1"/>
  <c r="G949" i="1"/>
  <c r="V949" i="1"/>
  <c r="AJ949" i="1"/>
  <c r="AX949" i="1"/>
  <c r="BQ949" i="1"/>
  <c r="BR949" i="1"/>
  <c r="CC949" i="1"/>
  <c r="CW949" i="1"/>
  <c r="G976" i="1"/>
  <c r="V976" i="1"/>
  <c r="AJ976" i="1"/>
  <c r="AX976" i="1"/>
  <c r="BQ976" i="1"/>
  <c r="BR976" i="1"/>
  <c r="CC976" i="1"/>
  <c r="CW976" i="1"/>
  <c r="G1720" i="1"/>
  <c r="V1720" i="1"/>
  <c r="AJ1720" i="1"/>
  <c r="AX1720" i="1"/>
  <c r="BQ1720" i="1"/>
  <c r="BR1720" i="1"/>
  <c r="CC1720" i="1"/>
  <c r="CW1720" i="1"/>
  <c r="G1522" i="1"/>
  <c r="V1522" i="1"/>
  <c r="AJ1522" i="1"/>
  <c r="AX1522" i="1"/>
  <c r="BQ1522" i="1"/>
  <c r="BR1522" i="1"/>
  <c r="CC1522" i="1"/>
  <c r="CW1522" i="1"/>
  <c r="G907" i="1"/>
  <c r="V907" i="1"/>
  <c r="AJ907" i="1"/>
  <c r="AX907" i="1"/>
  <c r="BQ907" i="1"/>
  <c r="BR907" i="1"/>
  <c r="CC907" i="1"/>
  <c r="CW907" i="1"/>
  <c r="G902" i="1"/>
  <c r="V902" i="1"/>
  <c r="AJ902" i="1"/>
  <c r="AX902" i="1"/>
  <c r="BQ902" i="1"/>
  <c r="BR902" i="1"/>
  <c r="CC902" i="1"/>
  <c r="CW902" i="1"/>
  <c r="G1483" i="1"/>
  <c r="V1483" i="1"/>
  <c r="AJ1483" i="1"/>
  <c r="AX1483" i="1"/>
  <c r="BQ1483" i="1"/>
  <c r="BR1483" i="1"/>
  <c r="CC1483" i="1"/>
  <c r="CW1483" i="1"/>
  <c r="G2389" i="1"/>
  <c r="V2389" i="1"/>
  <c r="AJ2389" i="1"/>
  <c r="AX2389" i="1"/>
  <c r="BQ2389" i="1"/>
  <c r="BR2389" i="1"/>
  <c r="CC2389" i="1"/>
  <c r="CW2389" i="1"/>
  <c r="G1458" i="1"/>
  <c r="V1458" i="1"/>
  <c r="AJ1458" i="1"/>
  <c r="AX1458" i="1"/>
  <c r="BQ1458" i="1"/>
  <c r="BR1458" i="1"/>
  <c r="CC1458" i="1"/>
  <c r="CW1458" i="1"/>
  <c r="G1220" i="1"/>
  <c r="V1220" i="1"/>
  <c r="AJ1220" i="1"/>
  <c r="AX1220" i="1"/>
  <c r="BQ1220" i="1"/>
  <c r="BR1220" i="1"/>
  <c r="CC1220" i="1"/>
  <c r="CW1220" i="1"/>
  <c r="G2170" i="1"/>
  <c r="V2170" i="1"/>
  <c r="AJ2170" i="1"/>
  <c r="AX2170" i="1"/>
  <c r="BQ2170" i="1"/>
  <c r="BR2170" i="1"/>
  <c r="CC2170" i="1"/>
  <c r="CW2170" i="1"/>
  <c r="G1561" i="1"/>
  <c r="V1561" i="1"/>
  <c r="AJ1561" i="1"/>
  <c r="AX1561" i="1"/>
  <c r="BQ1561" i="1"/>
  <c r="BR1561" i="1"/>
  <c r="CC1561" i="1"/>
  <c r="CW1561" i="1"/>
  <c r="G1843" i="1"/>
  <c r="V1843" i="1"/>
  <c r="AJ1843" i="1"/>
  <c r="AX1843" i="1"/>
  <c r="BQ1843" i="1"/>
  <c r="BR1843" i="1"/>
  <c r="CC1843" i="1"/>
  <c r="CW1843" i="1"/>
  <c r="G142" i="1"/>
  <c r="V142" i="1"/>
  <c r="AJ142" i="1"/>
  <c r="AX142" i="1"/>
  <c r="BQ142" i="1"/>
  <c r="BR142" i="1"/>
  <c r="CC142" i="1"/>
  <c r="CW142" i="1"/>
  <c r="G1828" i="1"/>
  <c r="V1828" i="1"/>
  <c r="AJ1828" i="1"/>
  <c r="AX1828" i="1"/>
  <c r="BQ1828" i="1"/>
  <c r="BR1828" i="1"/>
  <c r="CC1828" i="1"/>
  <c r="CW1828" i="1"/>
  <c r="G55" i="1"/>
  <c r="V55" i="1"/>
  <c r="AJ55" i="1"/>
  <c r="AX55" i="1"/>
  <c r="BQ55" i="1"/>
  <c r="BR55" i="1"/>
  <c r="CC55" i="1"/>
  <c r="CW55" i="1"/>
  <c r="G686" i="1"/>
  <c r="V686" i="1"/>
  <c r="AJ686" i="1"/>
  <c r="AX686" i="1"/>
  <c r="BQ686" i="1"/>
  <c r="BR686" i="1"/>
  <c r="CC686" i="1"/>
  <c r="CW686" i="1"/>
  <c r="G366" i="1"/>
  <c r="V366" i="1"/>
  <c r="AJ366" i="1"/>
  <c r="AX366" i="1"/>
  <c r="BQ366" i="1"/>
  <c r="BR366" i="1"/>
  <c r="CC366" i="1"/>
  <c r="CW366" i="1"/>
  <c r="G239" i="1"/>
  <c r="V239" i="1"/>
  <c r="AJ239" i="1"/>
  <c r="AX239" i="1"/>
  <c r="BQ239" i="1"/>
  <c r="BR239" i="1"/>
  <c r="CC239" i="1"/>
  <c r="CW239" i="1"/>
  <c r="G2287" i="1"/>
  <c r="V2287" i="1"/>
  <c r="AJ2287" i="1"/>
  <c r="AX2287" i="1"/>
  <c r="BQ2287" i="1"/>
  <c r="BR2287" i="1"/>
  <c r="CC2287" i="1"/>
  <c r="CW2287" i="1"/>
  <c r="G2333" i="1"/>
  <c r="V2333" i="1"/>
  <c r="AJ2333" i="1"/>
  <c r="AX2333" i="1"/>
  <c r="BQ2333" i="1"/>
  <c r="BR2333" i="1"/>
  <c r="CC2333" i="1"/>
  <c r="CW2333" i="1"/>
  <c r="G831" i="1"/>
  <c r="V831" i="1"/>
  <c r="AJ831" i="1"/>
  <c r="AX831" i="1"/>
  <c r="BQ831" i="1"/>
  <c r="BR831" i="1"/>
  <c r="CC831" i="1"/>
  <c r="CW831" i="1"/>
  <c r="G450" i="1"/>
  <c r="V450" i="1"/>
  <c r="AJ450" i="1"/>
  <c r="AX450" i="1"/>
  <c r="BQ450" i="1"/>
  <c r="BR450" i="1"/>
  <c r="CC450" i="1"/>
  <c r="CW450" i="1"/>
  <c r="G2306" i="1"/>
  <c r="V2306" i="1"/>
  <c r="AJ2306" i="1"/>
  <c r="AX2306" i="1"/>
  <c r="BQ2306" i="1"/>
  <c r="BR2306" i="1"/>
  <c r="CC2306" i="1"/>
  <c r="CW2306" i="1"/>
  <c r="G345" i="1"/>
  <c r="V345" i="1"/>
  <c r="AJ345" i="1"/>
  <c r="AX345" i="1"/>
  <c r="BQ345" i="1"/>
  <c r="BR345" i="1"/>
  <c r="CC345" i="1"/>
  <c r="CW345" i="1"/>
  <c r="G527" i="1"/>
  <c r="V527" i="1"/>
  <c r="AJ527" i="1"/>
  <c r="AX527" i="1"/>
  <c r="BQ527" i="1"/>
  <c r="BR527" i="1"/>
  <c r="CC527" i="1"/>
  <c r="CW527" i="1"/>
  <c r="G592" i="1"/>
  <c r="V592" i="1"/>
  <c r="AJ592" i="1"/>
  <c r="AX592" i="1"/>
  <c r="BQ592" i="1"/>
  <c r="BR592" i="1"/>
  <c r="CC592" i="1"/>
  <c r="CW592" i="1"/>
  <c r="G742" i="1"/>
  <c r="V742" i="1"/>
  <c r="AJ742" i="1"/>
  <c r="AX742" i="1"/>
  <c r="BQ742" i="1"/>
  <c r="BR742" i="1"/>
  <c r="CC742" i="1"/>
  <c r="CW742" i="1"/>
  <c r="G811" i="1"/>
  <c r="V811" i="1"/>
  <c r="AJ811" i="1"/>
  <c r="AX811" i="1"/>
  <c r="BQ811" i="1"/>
  <c r="BR811" i="1"/>
  <c r="CC811" i="1"/>
  <c r="CW811" i="1"/>
  <c r="G1859" i="1"/>
  <c r="V1859" i="1"/>
  <c r="AJ1859" i="1"/>
  <c r="AX1859" i="1"/>
  <c r="BQ1859" i="1"/>
  <c r="BR1859" i="1"/>
  <c r="CC1859" i="1"/>
  <c r="CW1859" i="1"/>
  <c r="G201" i="1"/>
  <c r="V201" i="1"/>
  <c r="AJ201" i="1"/>
  <c r="AX201" i="1"/>
  <c r="BQ201" i="1"/>
  <c r="BR201" i="1"/>
  <c r="CC201" i="1"/>
  <c r="CW201" i="1"/>
  <c r="G647" i="1"/>
  <c r="V647" i="1"/>
  <c r="AJ647" i="1"/>
  <c r="AX647" i="1"/>
  <c r="BQ647" i="1"/>
  <c r="BR647" i="1"/>
  <c r="CC647" i="1"/>
  <c r="CW647" i="1"/>
  <c r="G705" i="1"/>
  <c r="V705" i="1"/>
  <c r="AJ705" i="1"/>
  <c r="AX705" i="1"/>
  <c r="BQ705" i="1"/>
  <c r="BR705" i="1"/>
  <c r="CC705" i="1"/>
  <c r="CW705" i="1"/>
  <c r="G691" i="1"/>
  <c r="V691" i="1"/>
  <c r="AJ691" i="1"/>
  <c r="AX691" i="1"/>
  <c r="BQ691" i="1"/>
  <c r="BR691" i="1"/>
  <c r="CC691" i="1"/>
  <c r="CW691" i="1"/>
  <c r="G644" i="1"/>
  <c r="V644" i="1"/>
  <c r="AJ644" i="1"/>
  <c r="AX644" i="1"/>
  <c r="BQ644" i="1"/>
  <c r="BR644" i="1"/>
  <c r="CC644" i="1"/>
  <c r="CW644" i="1"/>
  <c r="G390" i="1"/>
  <c r="V390" i="1"/>
  <c r="AJ390" i="1"/>
  <c r="AX390" i="1"/>
  <c r="BQ390" i="1"/>
  <c r="BR390" i="1"/>
  <c r="CC390" i="1"/>
  <c r="CW390" i="1"/>
  <c r="G133" i="1"/>
  <c r="V133" i="1"/>
  <c r="AJ133" i="1"/>
  <c r="AX133" i="1"/>
  <c r="BQ133" i="1"/>
  <c r="BR133" i="1"/>
  <c r="CC133" i="1"/>
  <c r="CW133" i="1"/>
  <c r="G59" i="1"/>
  <c r="V59" i="1"/>
  <c r="AJ59" i="1"/>
  <c r="AX59" i="1"/>
  <c r="BQ59" i="1"/>
  <c r="BR59" i="1"/>
  <c r="CC59" i="1"/>
  <c r="CW59" i="1"/>
  <c r="G778" i="1"/>
  <c r="V778" i="1"/>
  <c r="AJ778" i="1"/>
  <c r="AX778" i="1"/>
  <c r="BQ778" i="1"/>
  <c r="BR778" i="1"/>
  <c r="CC778" i="1"/>
  <c r="CW778" i="1"/>
  <c r="G204" i="1"/>
  <c r="V204" i="1"/>
  <c r="AJ204" i="1"/>
  <c r="AX204" i="1"/>
  <c r="BQ204" i="1"/>
  <c r="BR204" i="1"/>
  <c r="CC204" i="1"/>
  <c r="CW204" i="1"/>
  <c r="G496" i="1"/>
  <c r="V496" i="1"/>
  <c r="AJ496" i="1"/>
  <c r="AX496" i="1"/>
  <c r="BQ496" i="1"/>
  <c r="BR496" i="1"/>
  <c r="CC496" i="1"/>
  <c r="CW496" i="1"/>
  <c r="G541" i="1"/>
  <c r="V541" i="1"/>
  <c r="AJ541" i="1"/>
  <c r="AX541" i="1"/>
  <c r="BQ541" i="1"/>
  <c r="BR541" i="1"/>
  <c r="CC541" i="1"/>
  <c r="CW541" i="1"/>
  <c r="G518" i="1"/>
  <c r="V518" i="1"/>
  <c r="AJ518" i="1"/>
  <c r="AX518" i="1"/>
  <c r="BQ518" i="1"/>
  <c r="BR518" i="1"/>
  <c r="CC518" i="1"/>
  <c r="CW518" i="1"/>
  <c r="G2223" i="1"/>
  <c r="V2223" i="1"/>
  <c r="AJ2223" i="1"/>
  <c r="AX2223" i="1"/>
  <c r="BQ2223" i="1"/>
  <c r="BR2223" i="1"/>
  <c r="CC2223" i="1"/>
  <c r="CW2223" i="1"/>
  <c r="G44" i="1"/>
  <c r="V44" i="1"/>
  <c r="AJ44" i="1"/>
  <c r="AX44" i="1"/>
  <c r="BQ44" i="1"/>
  <c r="BR44" i="1"/>
  <c r="CC44" i="1"/>
  <c r="CW44" i="1"/>
  <c r="G388" i="1"/>
  <c r="V388" i="1"/>
  <c r="AJ388" i="1"/>
  <c r="AX388" i="1"/>
  <c r="BQ388" i="1"/>
  <c r="BR388" i="1"/>
  <c r="CC388" i="1"/>
  <c r="CW388" i="1"/>
  <c r="G305" i="1"/>
  <c r="V305" i="1"/>
  <c r="AJ305" i="1"/>
  <c r="AX305" i="1"/>
  <c r="BQ305" i="1"/>
  <c r="BR305" i="1"/>
  <c r="CC305" i="1"/>
  <c r="CW305" i="1"/>
  <c r="G688" i="1"/>
  <c r="V688" i="1"/>
  <c r="AJ688" i="1"/>
  <c r="AX688" i="1"/>
  <c r="BQ688" i="1"/>
  <c r="BR688" i="1"/>
  <c r="CC688" i="1"/>
  <c r="CW688" i="1"/>
  <c r="G199" i="1"/>
  <c r="V199" i="1"/>
  <c r="AJ199" i="1"/>
  <c r="AX199" i="1"/>
  <c r="BQ199" i="1"/>
  <c r="BR199" i="1"/>
  <c r="CC199" i="1"/>
  <c r="CW199" i="1"/>
  <c r="G70" i="1"/>
  <c r="V70" i="1"/>
  <c r="AJ70" i="1"/>
  <c r="AX70" i="1"/>
  <c r="BQ70" i="1"/>
  <c r="BR70" i="1"/>
  <c r="CC70" i="1"/>
  <c r="CW70" i="1"/>
  <c r="G346" i="1"/>
  <c r="V346" i="1"/>
  <c r="AJ346" i="1"/>
  <c r="AX346" i="1"/>
  <c r="BQ346" i="1"/>
  <c r="BR346" i="1"/>
  <c r="CC346" i="1"/>
  <c r="CW346" i="1"/>
  <c r="G482" i="1"/>
  <c r="V482" i="1"/>
  <c r="AJ482" i="1"/>
  <c r="AX482" i="1"/>
  <c r="BQ482" i="1"/>
  <c r="BR482" i="1"/>
  <c r="CC482" i="1"/>
  <c r="CW482" i="1"/>
  <c r="G1857" i="1"/>
  <c r="V1857" i="1"/>
  <c r="AJ1857" i="1"/>
  <c r="AX1857" i="1"/>
  <c r="BQ1857" i="1"/>
  <c r="BR1857" i="1"/>
  <c r="CC1857" i="1"/>
  <c r="CW1857" i="1"/>
  <c r="G397" i="1"/>
  <c r="V397" i="1"/>
  <c r="AJ397" i="1"/>
  <c r="AX397" i="1"/>
  <c r="BQ397" i="1"/>
  <c r="BR397" i="1"/>
  <c r="CC397" i="1"/>
  <c r="CW397" i="1"/>
  <c r="G669" i="1"/>
  <c r="V669" i="1"/>
  <c r="AJ669" i="1"/>
  <c r="AX669" i="1"/>
  <c r="BQ669" i="1"/>
  <c r="BR669" i="1"/>
  <c r="CC669" i="1"/>
  <c r="CW669" i="1"/>
  <c r="G129" i="1"/>
  <c r="V129" i="1"/>
  <c r="AJ129" i="1"/>
  <c r="AX129" i="1"/>
  <c r="BQ129" i="1"/>
  <c r="BR129" i="1"/>
  <c r="CC129" i="1"/>
  <c r="CW129" i="1"/>
  <c r="G643" i="1"/>
  <c r="V643" i="1"/>
  <c r="AJ643" i="1"/>
  <c r="AX643" i="1"/>
  <c r="BQ643" i="1"/>
  <c r="BR643" i="1"/>
  <c r="CC643" i="1"/>
  <c r="CW643" i="1"/>
  <c r="G571" i="1"/>
  <c r="V571" i="1"/>
  <c r="AJ571" i="1"/>
  <c r="AX571" i="1"/>
  <c r="BQ571" i="1"/>
  <c r="BR571" i="1"/>
  <c r="CC571" i="1"/>
  <c r="CW571" i="1"/>
  <c r="G494" i="1"/>
  <c r="V494" i="1"/>
  <c r="AJ494" i="1"/>
  <c r="AX494" i="1"/>
  <c r="BQ494" i="1"/>
  <c r="BR494" i="1"/>
  <c r="CC494" i="1"/>
  <c r="CW494" i="1"/>
  <c r="G2331" i="1"/>
  <c r="V2331" i="1"/>
  <c r="AJ2331" i="1"/>
  <c r="AX2331" i="1"/>
  <c r="BQ2331" i="1"/>
  <c r="BR2331" i="1"/>
  <c r="CC2331" i="1"/>
  <c r="CW2331" i="1"/>
  <c r="G2279" i="1"/>
  <c r="V2279" i="1"/>
  <c r="AJ2279" i="1"/>
  <c r="AX2279" i="1"/>
  <c r="BQ2279" i="1"/>
  <c r="BR2279" i="1"/>
  <c r="CC2279" i="1"/>
  <c r="CW2279" i="1"/>
  <c r="G737" i="1"/>
  <c r="V737" i="1"/>
  <c r="AJ737" i="1"/>
  <c r="AX737" i="1"/>
  <c r="BQ737" i="1"/>
  <c r="BR737" i="1"/>
  <c r="CC737" i="1"/>
  <c r="CW737" i="1"/>
  <c r="G668" i="1"/>
  <c r="V668" i="1"/>
  <c r="AJ668" i="1"/>
  <c r="AX668" i="1"/>
  <c r="BQ668" i="1"/>
  <c r="BR668" i="1"/>
  <c r="CC668" i="1"/>
  <c r="CW668" i="1"/>
  <c r="G1844" i="1"/>
  <c r="V1844" i="1"/>
  <c r="AJ1844" i="1"/>
  <c r="AX1844" i="1"/>
  <c r="BQ1844" i="1"/>
  <c r="BR1844" i="1"/>
  <c r="CC1844" i="1"/>
  <c r="CW1844" i="1"/>
  <c r="G759" i="1"/>
  <c r="V759" i="1"/>
  <c r="AJ759" i="1"/>
  <c r="AX759" i="1"/>
  <c r="BQ759" i="1"/>
  <c r="BR759" i="1"/>
  <c r="CC759" i="1"/>
  <c r="CW759" i="1"/>
  <c r="G28" i="1"/>
  <c r="V28" i="1"/>
  <c r="AJ28" i="1"/>
  <c r="AX28" i="1"/>
  <c r="BQ28" i="1"/>
  <c r="BR28" i="1"/>
  <c r="CC28" i="1"/>
  <c r="CW28" i="1"/>
  <c r="G2340" i="1"/>
  <c r="V2340" i="1"/>
  <c r="AJ2340" i="1"/>
  <c r="AX2340" i="1"/>
  <c r="BQ2340" i="1"/>
  <c r="BR2340" i="1"/>
  <c r="CC2340" i="1"/>
  <c r="CW2340" i="1"/>
  <c r="G336" i="1"/>
  <c r="V336" i="1"/>
  <c r="AJ336" i="1"/>
  <c r="AX336" i="1"/>
  <c r="BQ336" i="1"/>
  <c r="BR336" i="1"/>
  <c r="CC336" i="1"/>
  <c r="CW336" i="1"/>
  <c r="G122" i="1"/>
  <c r="V122" i="1"/>
  <c r="AJ122" i="1"/>
  <c r="AX122" i="1"/>
  <c r="BQ122" i="1"/>
  <c r="BR122" i="1"/>
  <c r="CC122" i="1"/>
  <c r="CW122" i="1"/>
  <c r="G505" i="1"/>
  <c r="V505" i="1"/>
  <c r="AJ505" i="1"/>
  <c r="AX505" i="1"/>
  <c r="BQ505" i="1"/>
  <c r="BR505" i="1"/>
  <c r="CC505" i="1"/>
  <c r="CW505" i="1"/>
  <c r="G377" i="1"/>
  <c r="V377" i="1"/>
  <c r="AJ377" i="1"/>
  <c r="AX377" i="1"/>
  <c r="BQ377" i="1"/>
  <c r="BR377" i="1"/>
  <c r="CC377" i="1"/>
  <c r="CW377" i="1"/>
  <c r="G329" i="1"/>
  <c r="V329" i="1"/>
  <c r="AJ329" i="1"/>
  <c r="AX329" i="1"/>
  <c r="BQ329" i="1"/>
  <c r="BR329" i="1"/>
  <c r="CC329" i="1"/>
  <c r="CW329" i="1"/>
  <c r="G601" i="1"/>
  <c r="V601" i="1"/>
  <c r="AJ601" i="1"/>
  <c r="AX601" i="1"/>
  <c r="BQ601" i="1"/>
  <c r="BR601" i="1"/>
  <c r="CC601" i="1"/>
  <c r="CW601" i="1"/>
  <c r="G256" i="1"/>
  <c r="V256" i="1"/>
  <c r="AJ256" i="1"/>
  <c r="AX256" i="1"/>
  <c r="BQ256" i="1"/>
  <c r="BR256" i="1"/>
  <c r="CC256" i="1"/>
  <c r="CW256" i="1"/>
  <c r="G609" i="1"/>
  <c r="V609" i="1"/>
  <c r="AJ609" i="1"/>
  <c r="AX609" i="1"/>
  <c r="BQ609" i="1"/>
  <c r="BR609" i="1"/>
  <c r="CC609" i="1"/>
  <c r="CW609" i="1"/>
  <c r="G830" i="1"/>
  <c r="V830" i="1"/>
  <c r="AJ830" i="1"/>
  <c r="AX830" i="1"/>
  <c r="BQ830" i="1"/>
  <c r="BR830" i="1"/>
  <c r="CC830" i="1"/>
  <c r="CW830" i="1"/>
  <c r="G2278" i="1"/>
  <c r="V2278" i="1"/>
  <c r="AJ2278" i="1"/>
  <c r="AX2278" i="1"/>
  <c r="BQ2278" i="1"/>
  <c r="BR2278" i="1"/>
  <c r="CC2278" i="1"/>
  <c r="CW2278" i="1"/>
  <c r="G1858" i="1"/>
  <c r="V1858" i="1"/>
  <c r="AJ1858" i="1"/>
  <c r="AX1858" i="1"/>
  <c r="BQ1858" i="1"/>
  <c r="BR1858" i="1"/>
  <c r="CC1858" i="1"/>
  <c r="CW1858" i="1"/>
  <c r="G2281" i="1"/>
  <c r="V2281" i="1"/>
  <c r="AJ2281" i="1"/>
  <c r="AX2281" i="1"/>
  <c r="BQ2281" i="1"/>
  <c r="BR2281" i="1"/>
  <c r="CC2281" i="1"/>
  <c r="CW2281" i="1"/>
  <c r="G66" i="1"/>
  <c r="V66" i="1"/>
  <c r="AJ66" i="1"/>
  <c r="AX66" i="1"/>
  <c r="BQ66" i="1"/>
  <c r="BR66" i="1"/>
  <c r="CC66" i="1"/>
  <c r="CW66" i="1"/>
  <c r="G385" i="1"/>
  <c r="V385" i="1"/>
  <c r="AJ385" i="1"/>
  <c r="AX385" i="1"/>
  <c r="BQ385" i="1"/>
  <c r="BR385" i="1"/>
  <c r="CC385" i="1"/>
  <c r="CW385" i="1"/>
  <c r="G590" i="1"/>
  <c r="V590" i="1"/>
  <c r="AJ590" i="1"/>
  <c r="AX590" i="1"/>
  <c r="BQ590" i="1"/>
  <c r="BR590" i="1"/>
  <c r="CC590" i="1"/>
  <c r="CW590" i="1"/>
  <c r="G197" i="1"/>
  <c r="V197" i="1"/>
  <c r="AJ197" i="1"/>
  <c r="AX197" i="1"/>
  <c r="BQ197" i="1"/>
  <c r="BR197" i="1"/>
  <c r="CC197" i="1"/>
  <c r="CW197" i="1"/>
  <c r="G200" i="1"/>
  <c r="V200" i="1"/>
  <c r="AJ200" i="1"/>
  <c r="AX200" i="1"/>
  <c r="BQ200" i="1"/>
  <c r="BR200" i="1"/>
  <c r="CC200" i="1"/>
  <c r="CW200" i="1"/>
  <c r="G2303" i="1"/>
  <c r="V2303" i="1"/>
  <c r="AJ2303" i="1"/>
  <c r="AX2303" i="1"/>
  <c r="BQ2303" i="1"/>
  <c r="BR2303" i="1"/>
  <c r="CC2303" i="1"/>
  <c r="CW2303" i="1"/>
  <c r="G1616" i="1"/>
  <c r="V1616" i="1"/>
  <c r="AJ1616" i="1"/>
  <c r="AX1616" i="1"/>
  <c r="BQ1616" i="1"/>
  <c r="BR1616" i="1"/>
  <c r="CC1616" i="1"/>
  <c r="CW1616" i="1"/>
  <c r="G274" i="1"/>
  <c r="V274" i="1"/>
  <c r="AJ274" i="1"/>
  <c r="AX274" i="1"/>
  <c r="BQ274" i="1"/>
  <c r="BR274" i="1"/>
  <c r="CC274" i="1"/>
  <c r="CW274" i="1"/>
  <c r="G351" i="1"/>
  <c r="V351" i="1"/>
  <c r="AJ351" i="1"/>
  <c r="AX351" i="1"/>
  <c r="BQ351" i="1"/>
  <c r="BR351" i="1"/>
  <c r="CC351" i="1"/>
  <c r="CW351" i="1"/>
  <c r="G1711" i="1"/>
  <c r="V1711" i="1"/>
  <c r="AJ1711" i="1"/>
  <c r="AX1711" i="1"/>
  <c r="BQ1711" i="1"/>
  <c r="BR1711" i="1"/>
  <c r="CC1711" i="1"/>
  <c r="CW1711" i="1"/>
  <c r="G302" i="1"/>
  <c r="V302" i="1"/>
  <c r="AJ302" i="1"/>
  <c r="AX302" i="1"/>
  <c r="BQ302" i="1"/>
  <c r="BR302" i="1"/>
  <c r="CC302" i="1"/>
  <c r="CW302" i="1"/>
  <c r="G1931" i="1"/>
  <c r="V1931" i="1"/>
  <c r="AJ1931" i="1"/>
  <c r="AX1931" i="1"/>
  <c r="BQ1931" i="1"/>
  <c r="BR1931" i="1"/>
  <c r="CC1931" i="1"/>
  <c r="CW1931" i="1"/>
  <c r="G271" i="1"/>
  <c r="V271" i="1"/>
  <c r="AJ271" i="1"/>
  <c r="AX271" i="1"/>
  <c r="BQ271" i="1"/>
  <c r="BR271" i="1"/>
  <c r="CC271" i="1"/>
  <c r="CW271" i="1"/>
  <c r="G1806" i="1"/>
  <c r="V1806" i="1"/>
  <c r="AJ1806" i="1"/>
  <c r="AX1806" i="1"/>
  <c r="BQ1806" i="1"/>
  <c r="BR1806" i="1"/>
  <c r="CC1806" i="1"/>
  <c r="CW1806" i="1"/>
  <c r="G1842" i="1"/>
  <c r="V1842" i="1"/>
  <c r="AJ1842" i="1"/>
  <c r="AX1842" i="1"/>
  <c r="BQ1842" i="1"/>
  <c r="BR1842" i="1"/>
  <c r="CC1842" i="1"/>
  <c r="CW1842" i="1"/>
  <c r="G1768" i="1"/>
  <c r="V1768" i="1"/>
  <c r="AJ1768" i="1"/>
  <c r="AX1768" i="1"/>
  <c r="BQ1768" i="1"/>
  <c r="BR1768" i="1"/>
  <c r="CC1768" i="1"/>
  <c r="CW1768" i="1"/>
  <c r="G2023" i="1"/>
  <c r="V2023" i="1"/>
  <c r="AJ2023" i="1"/>
  <c r="AX2023" i="1"/>
  <c r="BQ2023" i="1"/>
  <c r="BR2023" i="1"/>
  <c r="CC2023" i="1"/>
  <c r="CW2023" i="1"/>
  <c r="G543" i="1"/>
  <c r="V543" i="1"/>
  <c r="AJ543" i="1"/>
  <c r="AX543" i="1"/>
  <c r="BQ543" i="1"/>
  <c r="BR543" i="1"/>
  <c r="CC543" i="1"/>
  <c r="CW543" i="1"/>
  <c r="G1099" i="1"/>
  <c r="V1099" i="1"/>
  <c r="AJ1099" i="1"/>
  <c r="AX1099" i="1"/>
  <c r="BQ1099" i="1"/>
  <c r="BR1099" i="1"/>
  <c r="CC1099" i="1"/>
  <c r="CW1099" i="1"/>
  <c r="G1146" i="1"/>
  <c r="V1146" i="1"/>
  <c r="AJ1146" i="1"/>
  <c r="AX1146" i="1"/>
  <c r="BQ1146" i="1"/>
  <c r="BR1146" i="1"/>
  <c r="CC1146" i="1"/>
  <c r="CW1146" i="1"/>
  <c r="G1343" i="1"/>
  <c r="V1343" i="1"/>
  <c r="AJ1343" i="1"/>
  <c r="AX1343" i="1"/>
  <c r="BQ1343" i="1"/>
  <c r="BR1343" i="1"/>
  <c r="CC1343" i="1"/>
  <c r="CW1343" i="1"/>
  <c r="G1406" i="1"/>
  <c r="V1406" i="1"/>
  <c r="AJ1406" i="1"/>
  <c r="AX1406" i="1"/>
  <c r="BQ1406" i="1"/>
  <c r="BR1406" i="1"/>
  <c r="CC1406" i="1"/>
  <c r="CW1406" i="1"/>
  <c r="G1742" i="1"/>
  <c r="V1742" i="1"/>
  <c r="AJ1742" i="1"/>
  <c r="AX1742" i="1"/>
  <c r="BQ1742" i="1"/>
  <c r="BR1742" i="1"/>
  <c r="CC1742" i="1"/>
  <c r="CW1742" i="1"/>
  <c r="G1492" i="1"/>
  <c r="V1492" i="1"/>
  <c r="AJ1492" i="1"/>
  <c r="AX1492" i="1"/>
  <c r="BQ1492" i="1"/>
  <c r="BR1492" i="1"/>
  <c r="CC1492" i="1"/>
  <c r="CW1492" i="1"/>
  <c r="G1454" i="1"/>
  <c r="V1454" i="1"/>
  <c r="AJ1454" i="1"/>
  <c r="AX1454" i="1"/>
  <c r="BQ1454" i="1"/>
  <c r="BR1454" i="1"/>
  <c r="CC1454" i="1"/>
  <c r="CW1454" i="1"/>
  <c r="G2244" i="1"/>
  <c r="V2244" i="1"/>
  <c r="AJ2244" i="1"/>
  <c r="AX2244" i="1"/>
  <c r="BQ2244" i="1"/>
  <c r="BR2244" i="1"/>
  <c r="CC2244" i="1"/>
  <c r="CW2244" i="1"/>
  <c r="G1732" i="1"/>
  <c r="V1732" i="1"/>
  <c r="AJ1732" i="1"/>
  <c r="AX1732" i="1"/>
  <c r="BQ1732" i="1"/>
  <c r="BR1732" i="1"/>
  <c r="CC1732" i="1"/>
  <c r="CW1732" i="1"/>
  <c r="G1341" i="1"/>
  <c r="V1341" i="1"/>
  <c r="AJ1341" i="1"/>
  <c r="AX1341" i="1"/>
  <c r="BQ1341" i="1"/>
  <c r="BR1341" i="1"/>
  <c r="CC1341" i="1"/>
  <c r="CW1341" i="1"/>
  <c r="G1724" i="1"/>
  <c r="V1724" i="1"/>
  <c r="AJ1724" i="1"/>
  <c r="AX1724" i="1"/>
  <c r="BQ1724" i="1"/>
  <c r="BR1724" i="1"/>
  <c r="CC1724" i="1"/>
  <c r="CW1724" i="1"/>
  <c r="G1335" i="1"/>
  <c r="V1335" i="1"/>
  <c r="AJ1335" i="1"/>
  <c r="AX1335" i="1"/>
  <c r="BQ1335" i="1"/>
  <c r="BR1335" i="1"/>
  <c r="CC1335" i="1"/>
  <c r="CW1335" i="1"/>
  <c r="G1123" i="1"/>
  <c r="V1123" i="1"/>
  <c r="AJ1123" i="1"/>
  <c r="AX1123" i="1"/>
  <c r="BQ1123" i="1"/>
  <c r="BR1123" i="1"/>
  <c r="CC1123" i="1"/>
  <c r="CW1123" i="1"/>
  <c r="G1482" i="1"/>
  <c r="V1482" i="1"/>
  <c r="AJ1482" i="1"/>
  <c r="AX1482" i="1"/>
  <c r="BQ1482" i="1"/>
  <c r="BR1482" i="1"/>
  <c r="CC1482" i="1"/>
  <c r="CW1482" i="1"/>
  <c r="G1192" i="1"/>
  <c r="V1192" i="1"/>
  <c r="AJ1192" i="1"/>
  <c r="AX1192" i="1"/>
  <c r="BQ1192" i="1"/>
  <c r="BR1192" i="1"/>
  <c r="CC1192" i="1"/>
  <c r="CW1192" i="1"/>
  <c r="G1266" i="1"/>
  <c r="V1266" i="1"/>
  <c r="AJ1266" i="1"/>
  <c r="AX1266" i="1"/>
  <c r="BQ1266" i="1"/>
  <c r="BR1266" i="1"/>
  <c r="CC1266" i="1"/>
  <c r="CW1266" i="1"/>
  <c r="G1176" i="1"/>
  <c r="V1176" i="1"/>
  <c r="AJ1176" i="1"/>
  <c r="AX1176" i="1"/>
  <c r="BQ1176" i="1"/>
  <c r="BR1176" i="1"/>
  <c r="CC1176" i="1"/>
  <c r="CW1176" i="1"/>
  <c r="G1552" i="1"/>
  <c r="V1552" i="1"/>
  <c r="AJ1552" i="1"/>
  <c r="AX1552" i="1"/>
  <c r="BQ1552" i="1"/>
  <c r="BR1552" i="1"/>
  <c r="CC1552" i="1"/>
  <c r="CW1552" i="1"/>
  <c r="G2179" i="1"/>
  <c r="V2179" i="1"/>
  <c r="AJ2179" i="1"/>
  <c r="AX2179" i="1"/>
  <c r="BQ2179" i="1"/>
  <c r="BR2179" i="1"/>
  <c r="CC2179" i="1"/>
  <c r="CW2179" i="1"/>
  <c r="G1211" i="1"/>
  <c r="V1211" i="1"/>
  <c r="AJ1211" i="1"/>
  <c r="AX1211" i="1"/>
  <c r="BQ1211" i="1"/>
  <c r="BR1211" i="1"/>
  <c r="CC1211" i="1"/>
  <c r="CW1211" i="1"/>
  <c r="G1699" i="1"/>
  <c r="V1699" i="1"/>
  <c r="AJ1699" i="1"/>
  <c r="AX1699" i="1"/>
  <c r="BQ1699" i="1"/>
  <c r="BR1699" i="1"/>
  <c r="CC1699" i="1"/>
  <c r="CW1699" i="1"/>
  <c r="G2083" i="1"/>
  <c r="V2083" i="1"/>
  <c r="AJ2083" i="1"/>
  <c r="AX2083" i="1"/>
  <c r="BQ2083" i="1"/>
  <c r="BR2083" i="1"/>
  <c r="CC2083" i="1"/>
  <c r="CW2083" i="1"/>
  <c r="G1087" i="1"/>
  <c r="V1087" i="1"/>
  <c r="AJ1087" i="1"/>
  <c r="AX1087" i="1"/>
  <c r="BQ1087" i="1"/>
  <c r="BR1087" i="1"/>
  <c r="CC1087" i="1"/>
  <c r="CW1087" i="1"/>
  <c r="G927" i="1"/>
  <c r="V927" i="1"/>
  <c r="AJ927" i="1"/>
  <c r="AX927" i="1"/>
  <c r="BQ927" i="1"/>
  <c r="BR927" i="1"/>
  <c r="CC927" i="1"/>
  <c r="CW927" i="1"/>
  <c r="G1772" i="1"/>
  <c r="V1772" i="1"/>
  <c r="AJ1772" i="1"/>
  <c r="AX1772" i="1"/>
  <c r="BQ1772" i="1"/>
  <c r="BR1772" i="1"/>
  <c r="CC1772" i="1"/>
  <c r="CW1772" i="1"/>
  <c r="G875" i="1"/>
  <c r="V875" i="1"/>
  <c r="AJ875" i="1"/>
  <c r="AX875" i="1"/>
  <c r="BQ875" i="1"/>
  <c r="BR875" i="1"/>
  <c r="CC875" i="1"/>
  <c r="CW875" i="1"/>
  <c r="G2374" i="1"/>
  <c r="V2374" i="1"/>
  <c r="AJ2374" i="1"/>
  <c r="AX2374" i="1"/>
  <c r="BQ2374" i="1"/>
  <c r="BR2374" i="1"/>
  <c r="CC2374" i="1"/>
  <c r="CW2374" i="1"/>
  <c r="G1686" i="1"/>
  <c r="V1686" i="1"/>
  <c r="AJ1686" i="1"/>
  <c r="AX1686" i="1"/>
  <c r="BQ1686" i="1"/>
  <c r="BR1686" i="1"/>
  <c r="CC1686" i="1"/>
  <c r="CW1686" i="1"/>
  <c r="G1722" i="1"/>
  <c r="V1722" i="1"/>
  <c r="AJ1722" i="1"/>
  <c r="AX1722" i="1"/>
  <c r="BQ1722" i="1"/>
  <c r="BR1722" i="1"/>
  <c r="CC1722" i="1"/>
  <c r="CW1722" i="1"/>
  <c r="G1449" i="1"/>
  <c r="V1449" i="1"/>
  <c r="AJ1449" i="1"/>
  <c r="AX1449" i="1"/>
  <c r="BQ1449" i="1"/>
  <c r="BR1449" i="1"/>
  <c r="CC1449" i="1"/>
  <c r="CW1449" i="1"/>
  <c r="G1055" i="1"/>
  <c r="V1055" i="1"/>
  <c r="AJ1055" i="1"/>
  <c r="AX1055" i="1"/>
  <c r="BQ1055" i="1"/>
  <c r="BR1055" i="1"/>
  <c r="CC1055" i="1"/>
  <c r="CW1055" i="1"/>
  <c r="G1091" i="1"/>
  <c r="V1091" i="1"/>
  <c r="AJ1091" i="1"/>
  <c r="AX1091" i="1"/>
  <c r="BQ1091" i="1"/>
  <c r="BR1091" i="1"/>
  <c r="CC1091" i="1"/>
  <c r="CW1091" i="1"/>
  <c r="G2210" i="1"/>
  <c r="V2210" i="1"/>
  <c r="AJ2210" i="1"/>
  <c r="AX2210" i="1"/>
  <c r="BQ2210" i="1"/>
  <c r="BR2210" i="1"/>
  <c r="CC2210" i="1"/>
  <c r="CW2210" i="1"/>
  <c r="G1615" i="1"/>
  <c r="V1615" i="1"/>
  <c r="AJ1615" i="1"/>
  <c r="AX1615" i="1"/>
  <c r="BQ1615" i="1"/>
  <c r="BR1615" i="1"/>
  <c r="CC1615" i="1"/>
  <c r="CW1615" i="1"/>
  <c r="G940" i="1"/>
  <c r="V940" i="1"/>
  <c r="AJ940" i="1"/>
  <c r="AX940" i="1"/>
  <c r="BQ940" i="1"/>
  <c r="BR940" i="1"/>
  <c r="CC940" i="1"/>
  <c r="CW940" i="1"/>
  <c r="G1910" i="1"/>
  <c r="V1910" i="1"/>
  <c r="AJ1910" i="1"/>
  <c r="AX1910" i="1"/>
  <c r="BQ1910" i="1"/>
  <c r="BR1910" i="1"/>
  <c r="CC1910" i="1"/>
  <c r="CW1910" i="1"/>
  <c r="G1649" i="1"/>
  <c r="V1649" i="1"/>
  <c r="AJ1649" i="1"/>
  <c r="AX1649" i="1"/>
  <c r="BQ1649" i="1"/>
  <c r="BR1649" i="1"/>
  <c r="CC1649" i="1"/>
  <c r="CW1649" i="1"/>
  <c r="G945" i="1"/>
  <c r="V945" i="1"/>
  <c r="AJ945" i="1"/>
  <c r="AX945" i="1"/>
  <c r="BQ945" i="1"/>
  <c r="BR945" i="1"/>
  <c r="CC945" i="1"/>
  <c r="CW945" i="1"/>
  <c r="G2193" i="1"/>
  <c r="V2193" i="1"/>
  <c r="AJ2193" i="1"/>
  <c r="AX2193" i="1"/>
  <c r="BQ2193" i="1"/>
  <c r="BR2193" i="1"/>
  <c r="CC2193" i="1"/>
  <c r="CW2193" i="1"/>
  <c r="G1194" i="1"/>
  <c r="V1194" i="1"/>
  <c r="AJ1194" i="1"/>
  <c r="AX1194" i="1"/>
  <c r="BQ1194" i="1"/>
  <c r="BR1194" i="1"/>
  <c r="CC1194" i="1"/>
  <c r="CW1194" i="1"/>
  <c r="G1764" i="1"/>
  <c r="V1764" i="1"/>
  <c r="AJ1764" i="1"/>
  <c r="AX1764" i="1"/>
  <c r="BQ1764" i="1"/>
  <c r="BR1764" i="1"/>
  <c r="CC1764" i="1"/>
  <c r="CW1764" i="1"/>
  <c r="G1156" i="1"/>
  <c r="V1156" i="1"/>
  <c r="AJ1156" i="1"/>
  <c r="AX1156" i="1"/>
  <c r="BQ1156" i="1"/>
  <c r="BR1156" i="1"/>
  <c r="CC1156" i="1"/>
  <c r="CW1156" i="1"/>
  <c r="G2054" i="1"/>
  <c r="V2054" i="1"/>
  <c r="AJ2054" i="1"/>
  <c r="AX2054" i="1"/>
  <c r="BQ2054" i="1"/>
  <c r="BR2054" i="1"/>
  <c r="CC2054" i="1"/>
  <c r="CW2054" i="1"/>
  <c r="G2358" i="1"/>
  <c r="V2358" i="1"/>
  <c r="AJ2358" i="1"/>
  <c r="AX2358" i="1"/>
  <c r="BQ2358" i="1"/>
  <c r="BR2358" i="1"/>
  <c r="CC2358" i="1"/>
  <c r="CW2358" i="1"/>
  <c r="G1148" i="1"/>
  <c r="V1148" i="1"/>
  <c r="AJ1148" i="1"/>
  <c r="AX1148" i="1"/>
  <c r="BQ1148" i="1"/>
  <c r="BR1148" i="1"/>
  <c r="CC1148" i="1"/>
  <c r="CW1148" i="1"/>
  <c r="G1032" i="1"/>
  <c r="V1032" i="1"/>
  <c r="AJ1032" i="1"/>
  <c r="AX1032" i="1"/>
  <c r="BQ1032" i="1"/>
  <c r="BR1032" i="1"/>
  <c r="CC1032" i="1"/>
  <c r="CW1032" i="1"/>
  <c r="G1467" i="1"/>
  <c r="V1467" i="1"/>
  <c r="AJ1467" i="1"/>
  <c r="AX1467" i="1"/>
  <c r="BQ1467" i="1"/>
  <c r="BR1467" i="1"/>
  <c r="CC1467" i="1"/>
  <c r="CW1467" i="1"/>
  <c r="G2042" i="1"/>
  <c r="V2042" i="1"/>
  <c r="AJ2042" i="1"/>
  <c r="AX2042" i="1"/>
  <c r="BQ2042" i="1"/>
  <c r="BR2042" i="1"/>
  <c r="CC2042" i="1"/>
  <c r="CW2042" i="1"/>
  <c r="G1529" i="1"/>
  <c r="V1529" i="1"/>
  <c r="AJ1529" i="1"/>
  <c r="AX1529" i="1"/>
  <c r="BQ1529" i="1"/>
  <c r="BR1529" i="1"/>
  <c r="CC1529" i="1"/>
  <c r="CW1529" i="1"/>
  <c r="G1310" i="1"/>
  <c r="V1310" i="1"/>
  <c r="AJ1310" i="1"/>
  <c r="AX1310" i="1"/>
  <c r="BQ1310" i="1"/>
  <c r="BR1310" i="1"/>
  <c r="CC1310" i="1"/>
  <c r="CW1310" i="1"/>
  <c r="G1386" i="1"/>
  <c r="V1386" i="1"/>
  <c r="AJ1386" i="1"/>
  <c r="AX1386" i="1"/>
  <c r="BQ1386" i="1"/>
  <c r="BR1386" i="1"/>
  <c r="CC1386" i="1"/>
  <c r="CW1386" i="1"/>
  <c r="G1873" i="1"/>
  <c r="V1873" i="1"/>
  <c r="AJ1873" i="1"/>
  <c r="AX1873" i="1"/>
  <c r="BQ1873" i="1"/>
  <c r="BR1873" i="1"/>
  <c r="CC1873" i="1"/>
  <c r="CW1873" i="1"/>
  <c r="G1894" i="1"/>
  <c r="V1894" i="1"/>
  <c r="AJ1894" i="1"/>
  <c r="AX1894" i="1"/>
  <c r="BQ1894" i="1"/>
  <c r="BR1894" i="1"/>
  <c r="CC1894" i="1"/>
  <c r="CW1894" i="1"/>
  <c r="G2068" i="1"/>
  <c r="V2068" i="1"/>
  <c r="AJ2068" i="1"/>
  <c r="AX2068" i="1"/>
  <c r="BQ2068" i="1"/>
  <c r="BR2068" i="1"/>
  <c r="CC2068" i="1"/>
  <c r="CW2068" i="1"/>
  <c r="G1022" i="1"/>
  <c r="V1022" i="1"/>
  <c r="AJ1022" i="1"/>
  <c r="AX1022" i="1"/>
  <c r="BQ1022" i="1"/>
  <c r="BR1022" i="1"/>
  <c r="CC1022" i="1"/>
  <c r="CW1022" i="1"/>
  <c r="G1315" i="1"/>
  <c r="V1315" i="1"/>
  <c r="AJ1315" i="1"/>
  <c r="AX1315" i="1"/>
  <c r="BQ1315" i="1"/>
  <c r="BR1315" i="1"/>
  <c r="CC1315" i="1"/>
  <c r="CW1315" i="1"/>
  <c r="G2050" i="1"/>
  <c r="V2050" i="1"/>
  <c r="AJ2050" i="1"/>
  <c r="AX2050" i="1"/>
  <c r="BQ2050" i="1"/>
  <c r="BR2050" i="1"/>
  <c r="CC2050" i="1"/>
  <c r="CW2050" i="1"/>
  <c r="G2372" i="1"/>
  <c r="V2372" i="1"/>
  <c r="AJ2372" i="1"/>
  <c r="AX2372" i="1"/>
  <c r="BQ2372" i="1"/>
  <c r="BR2372" i="1"/>
  <c r="CC2372" i="1"/>
  <c r="CW2372" i="1"/>
  <c r="G1262" i="1"/>
  <c r="V1262" i="1"/>
  <c r="AJ1262" i="1"/>
  <c r="AX1262" i="1"/>
  <c r="BQ1262" i="1"/>
  <c r="BR1262" i="1"/>
  <c r="CC1262" i="1"/>
  <c r="CW1262" i="1"/>
  <c r="G1962" i="1"/>
  <c r="V1962" i="1"/>
  <c r="AJ1962" i="1"/>
  <c r="AX1962" i="1"/>
  <c r="BQ1962" i="1"/>
  <c r="BR1962" i="1"/>
  <c r="CC1962" i="1"/>
  <c r="CW1962" i="1"/>
  <c r="G1277" i="1"/>
  <c r="V1277" i="1"/>
  <c r="AJ1277" i="1"/>
  <c r="AX1277" i="1"/>
  <c r="BQ1277" i="1"/>
  <c r="BR1277" i="1"/>
  <c r="CC1277" i="1"/>
  <c r="CW1277" i="1"/>
  <c r="G1692" i="1"/>
  <c r="V1692" i="1"/>
  <c r="AJ1692" i="1"/>
  <c r="AX1692" i="1"/>
  <c r="BQ1692" i="1"/>
  <c r="BR1692" i="1"/>
  <c r="CC1692" i="1"/>
  <c r="CW1692" i="1"/>
  <c r="G1466" i="1"/>
  <c r="V1466" i="1"/>
  <c r="AJ1466" i="1"/>
  <c r="AX1466" i="1"/>
  <c r="BQ1466" i="1"/>
  <c r="BR1466" i="1"/>
  <c r="CC1466" i="1"/>
  <c r="CW1466" i="1"/>
  <c r="G1628" i="1"/>
  <c r="V1628" i="1"/>
  <c r="AJ1628" i="1"/>
  <c r="AX1628" i="1"/>
  <c r="BQ1628" i="1"/>
  <c r="BR1628" i="1"/>
  <c r="CC1628" i="1"/>
  <c r="CW1628" i="1"/>
  <c r="G2135" i="1"/>
  <c r="V2135" i="1"/>
  <c r="AJ2135" i="1"/>
  <c r="AX2135" i="1"/>
  <c r="BQ2135" i="1"/>
  <c r="BR2135" i="1"/>
  <c r="CC2135" i="1"/>
  <c r="CW2135" i="1"/>
  <c r="G1905" i="1"/>
  <c r="V1905" i="1"/>
  <c r="AJ1905" i="1"/>
  <c r="AX1905" i="1"/>
  <c r="BQ1905" i="1"/>
  <c r="BR1905" i="1"/>
  <c r="CC1905" i="1"/>
  <c r="CW1905" i="1"/>
  <c r="G1464" i="1"/>
  <c r="V1464" i="1"/>
  <c r="AJ1464" i="1"/>
  <c r="AX1464" i="1"/>
  <c r="BQ1464" i="1"/>
  <c r="BR1464" i="1"/>
  <c r="CC1464" i="1"/>
  <c r="CW1464" i="1"/>
  <c r="G2148" i="1"/>
  <c r="V2148" i="1"/>
  <c r="AJ2148" i="1"/>
  <c r="AX2148" i="1"/>
  <c r="BQ2148" i="1"/>
  <c r="BR2148" i="1"/>
  <c r="CC2148" i="1"/>
  <c r="CW2148" i="1"/>
  <c r="G1904" i="1"/>
  <c r="V1904" i="1"/>
  <c r="AJ1904" i="1"/>
  <c r="AX1904" i="1"/>
  <c r="BQ1904" i="1"/>
  <c r="BR1904" i="1"/>
  <c r="CC1904" i="1"/>
  <c r="CW1904" i="1"/>
  <c r="G1907" i="1"/>
  <c r="V1907" i="1"/>
  <c r="AJ1907" i="1"/>
  <c r="AX1907" i="1"/>
  <c r="BQ1907" i="1"/>
  <c r="BR1907" i="1"/>
  <c r="CC1907" i="1"/>
  <c r="CW1907" i="1"/>
  <c r="G2034" i="1"/>
  <c r="V2034" i="1"/>
  <c r="AJ2034" i="1"/>
  <c r="AX2034" i="1"/>
  <c r="BQ2034" i="1"/>
  <c r="BR2034" i="1"/>
  <c r="CC2034" i="1"/>
  <c r="CW2034" i="1"/>
  <c r="G1737" i="1"/>
  <c r="V1737" i="1"/>
  <c r="AJ1737" i="1"/>
  <c r="AX1737" i="1"/>
  <c r="BQ1737" i="1"/>
  <c r="BR1737" i="1"/>
  <c r="CC1737" i="1"/>
  <c r="CW1737" i="1"/>
  <c r="G2033" i="1"/>
  <c r="V2033" i="1"/>
  <c r="AJ2033" i="1"/>
  <c r="AX2033" i="1"/>
  <c r="BQ2033" i="1"/>
  <c r="BR2033" i="1"/>
  <c r="CC2033" i="1"/>
  <c r="CW2033" i="1"/>
  <c r="G2128" i="1"/>
  <c r="V2128" i="1"/>
  <c r="AJ2128" i="1"/>
  <c r="AX2128" i="1"/>
  <c r="BQ2128" i="1"/>
  <c r="BR2128" i="1"/>
  <c r="CC2128" i="1"/>
  <c r="CW2128" i="1"/>
  <c r="G979" i="1"/>
  <c r="V979" i="1"/>
  <c r="AJ979" i="1"/>
  <c r="AX979" i="1"/>
  <c r="BQ979" i="1"/>
  <c r="BR979" i="1"/>
  <c r="CC979" i="1"/>
  <c r="CW979" i="1"/>
  <c r="G926" i="1"/>
  <c r="V926" i="1"/>
  <c r="AJ926" i="1"/>
  <c r="AX926" i="1"/>
  <c r="BQ926" i="1"/>
  <c r="BR926" i="1"/>
  <c r="CC926" i="1"/>
  <c r="CW926" i="1"/>
  <c r="G1999" i="1"/>
  <c r="V1999" i="1"/>
  <c r="AJ1999" i="1"/>
  <c r="AX1999" i="1"/>
  <c r="BQ1999" i="1"/>
  <c r="BR1999" i="1"/>
  <c r="CC1999" i="1"/>
  <c r="CW1999" i="1"/>
  <c r="G2347" i="1"/>
  <c r="V2347" i="1"/>
  <c r="AJ2347" i="1"/>
  <c r="AX2347" i="1"/>
  <c r="BQ2347" i="1"/>
  <c r="BR2347" i="1"/>
  <c r="CC2347" i="1"/>
  <c r="CW2347" i="1"/>
  <c r="G1026" i="1"/>
  <c r="V1026" i="1"/>
  <c r="AJ1026" i="1"/>
  <c r="AX1026" i="1"/>
  <c r="BQ1026" i="1"/>
  <c r="BR1026" i="1"/>
  <c r="CC1026" i="1"/>
  <c r="CW1026" i="1"/>
  <c r="G1965" i="1"/>
  <c r="V1965" i="1"/>
  <c r="AJ1965" i="1"/>
  <c r="AX1965" i="1"/>
  <c r="BQ1965" i="1"/>
  <c r="BR1965" i="1"/>
  <c r="CC1965" i="1"/>
  <c r="CW1965" i="1"/>
  <c r="G2006" i="1"/>
  <c r="V2006" i="1"/>
  <c r="AJ2006" i="1"/>
  <c r="AX2006" i="1"/>
  <c r="BQ2006" i="1"/>
  <c r="BR2006" i="1"/>
  <c r="CC2006" i="1"/>
  <c r="CW2006" i="1"/>
  <c r="G1945" i="1"/>
  <c r="V1945" i="1"/>
  <c r="AJ1945" i="1"/>
  <c r="AX1945" i="1"/>
  <c r="BQ1945" i="1"/>
  <c r="BR1945" i="1"/>
  <c r="CC1945" i="1"/>
  <c r="CW1945" i="1"/>
  <c r="G1592" i="1"/>
  <c r="V1592" i="1"/>
  <c r="AJ1592" i="1"/>
  <c r="AX1592" i="1"/>
  <c r="BQ1592" i="1"/>
  <c r="BR1592" i="1"/>
  <c r="CC1592" i="1"/>
  <c r="CW1592" i="1"/>
  <c r="G2192" i="1"/>
  <c r="V2192" i="1"/>
  <c r="AJ2192" i="1"/>
  <c r="AX2192" i="1"/>
  <c r="BQ2192" i="1"/>
  <c r="BR2192" i="1"/>
  <c r="CC2192" i="1"/>
  <c r="CW2192" i="1"/>
  <c r="G1969" i="1"/>
  <c r="V1969" i="1"/>
  <c r="AJ1969" i="1"/>
  <c r="AX1969" i="1"/>
  <c r="BQ1969" i="1"/>
  <c r="BR1969" i="1"/>
  <c r="CC1969" i="1"/>
  <c r="CW1969" i="1"/>
  <c r="G1673" i="1"/>
  <c r="V1673" i="1"/>
  <c r="AJ1673" i="1"/>
  <c r="AX1673" i="1"/>
  <c r="BQ1673" i="1"/>
  <c r="BR1673" i="1"/>
  <c r="CC1673" i="1"/>
  <c r="CW1673" i="1"/>
  <c r="G35" i="1"/>
  <c r="V35" i="1"/>
  <c r="AJ35" i="1"/>
  <c r="AX35" i="1"/>
  <c r="BQ35" i="1"/>
  <c r="BR35" i="1"/>
  <c r="CC35" i="1"/>
  <c r="CW35" i="1"/>
  <c r="G418" i="1"/>
  <c r="V418" i="1"/>
  <c r="AJ418" i="1"/>
  <c r="AX418" i="1"/>
  <c r="BQ418" i="1"/>
  <c r="BR418" i="1"/>
  <c r="CC418" i="1"/>
  <c r="CW418" i="1"/>
  <c r="G815" i="1"/>
  <c r="V815" i="1"/>
  <c r="AJ815" i="1"/>
  <c r="AX815" i="1"/>
  <c r="BQ815" i="1"/>
  <c r="BR815" i="1"/>
  <c r="CC815" i="1"/>
  <c r="CW815" i="1"/>
  <c r="G819" i="1"/>
  <c r="V819" i="1"/>
  <c r="AJ819" i="1"/>
  <c r="AX819" i="1"/>
  <c r="BQ819" i="1"/>
  <c r="BR819" i="1"/>
  <c r="CC819" i="1"/>
  <c r="CW819" i="1"/>
  <c r="G2302" i="1"/>
  <c r="V2302" i="1"/>
  <c r="AJ2302" i="1"/>
  <c r="AX2302" i="1"/>
  <c r="BQ2302" i="1"/>
  <c r="BR2302" i="1"/>
  <c r="CC2302" i="1"/>
  <c r="CW2302" i="1"/>
  <c r="G663" i="1"/>
  <c r="V663" i="1"/>
  <c r="AJ663" i="1"/>
  <c r="AX663" i="1"/>
  <c r="BQ663" i="1"/>
  <c r="BR663" i="1"/>
  <c r="CC663" i="1"/>
  <c r="CW663" i="1"/>
  <c r="G1800" i="1"/>
  <c r="V1800" i="1"/>
  <c r="AJ1800" i="1"/>
  <c r="AX1800" i="1"/>
  <c r="BQ1800" i="1"/>
  <c r="BR1800" i="1"/>
  <c r="CC1800" i="1"/>
  <c r="CW1800" i="1"/>
  <c r="G420" i="1"/>
  <c r="V420" i="1"/>
  <c r="AJ420" i="1"/>
  <c r="AX420" i="1"/>
  <c r="BQ420" i="1"/>
  <c r="BR420" i="1"/>
  <c r="CC420" i="1"/>
  <c r="CW420" i="1"/>
  <c r="G833" i="1"/>
  <c r="V833" i="1"/>
  <c r="AJ833" i="1"/>
  <c r="AX833" i="1"/>
  <c r="BQ833" i="1"/>
  <c r="BR833" i="1"/>
  <c r="CC833" i="1"/>
  <c r="CW833" i="1"/>
  <c r="G487" i="1"/>
  <c r="V487" i="1"/>
  <c r="AJ487" i="1"/>
  <c r="AX487" i="1"/>
  <c r="BQ487" i="1"/>
  <c r="BR487" i="1"/>
  <c r="CC487" i="1"/>
  <c r="CW487" i="1"/>
  <c r="G628" i="1"/>
  <c r="V628" i="1"/>
  <c r="AJ628" i="1"/>
  <c r="AX628" i="1"/>
  <c r="BQ628" i="1"/>
  <c r="BR628" i="1"/>
  <c r="CC628" i="1"/>
  <c r="CW628" i="1"/>
  <c r="G2323" i="1"/>
  <c r="V2323" i="1"/>
  <c r="AJ2323" i="1"/>
  <c r="AX2323" i="1"/>
  <c r="BQ2323" i="1"/>
  <c r="BR2323" i="1"/>
  <c r="CC2323" i="1"/>
  <c r="CW2323" i="1"/>
  <c r="G67" i="1"/>
  <c r="V67" i="1"/>
  <c r="AJ67" i="1"/>
  <c r="AX67" i="1"/>
  <c r="BQ67" i="1"/>
  <c r="BR67" i="1"/>
  <c r="CC67" i="1"/>
  <c r="CW67" i="1"/>
  <c r="G780" i="1"/>
  <c r="V780" i="1"/>
  <c r="AJ780" i="1"/>
  <c r="AX780" i="1"/>
  <c r="BQ780" i="1"/>
  <c r="BR780" i="1"/>
  <c r="CC780" i="1"/>
  <c r="CW780" i="1"/>
  <c r="G1835" i="1"/>
  <c r="V1835" i="1"/>
  <c r="AJ1835" i="1"/>
  <c r="AX1835" i="1"/>
  <c r="BQ1835" i="1"/>
  <c r="BR1835" i="1"/>
  <c r="CC1835" i="1"/>
  <c r="CW1835" i="1"/>
  <c r="G1830" i="1"/>
  <c r="V1830" i="1"/>
  <c r="AJ1830" i="1"/>
  <c r="AX1830" i="1"/>
  <c r="BQ1830" i="1"/>
  <c r="BR1830" i="1"/>
  <c r="CC1830" i="1"/>
  <c r="CW1830" i="1"/>
  <c r="G485" i="1"/>
  <c r="V485" i="1"/>
  <c r="AJ485" i="1"/>
  <c r="AX485" i="1"/>
  <c r="BQ485" i="1"/>
  <c r="BR485" i="1"/>
  <c r="CC485" i="1"/>
  <c r="CW485" i="1"/>
  <c r="G27" i="1"/>
  <c r="V27" i="1"/>
  <c r="AJ27" i="1"/>
  <c r="AX27" i="1"/>
  <c r="BQ27" i="1"/>
  <c r="BR27" i="1"/>
  <c r="CC27" i="1"/>
  <c r="CW27" i="1"/>
  <c r="G226" i="1"/>
  <c r="V226" i="1"/>
  <c r="AJ226" i="1"/>
  <c r="AX226" i="1"/>
  <c r="BQ226" i="1"/>
  <c r="BR226" i="1"/>
  <c r="CC226" i="1"/>
  <c r="CW226" i="1"/>
  <c r="G359" i="1"/>
  <c r="V359" i="1"/>
  <c r="AJ359" i="1"/>
  <c r="AX359" i="1"/>
  <c r="BQ359" i="1"/>
  <c r="BR359" i="1"/>
  <c r="CC359" i="1"/>
  <c r="CW359" i="1"/>
  <c r="G657" i="1"/>
  <c r="V657" i="1"/>
  <c r="AJ657" i="1"/>
  <c r="AX657" i="1"/>
  <c r="BQ657" i="1"/>
  <c r="BR657" i="1"/>
  <c r="CC657" i="1"/>
  <c r="CW657" i="1"/>
  <c r="G379" i="1"/>
  <c r="V379" i="1"/>
  <c r="AJ379" i="1"/>
  <c r="AX379" i="1"/>
  <c r="BQ379" i="1"/>
  <c r="BR379" i="1"/>
  <c r="CC379" i="1"/>
  <c r="CW379" i="1"/>
  <c r="G107" i="1"/>
  <c r="V107" i="1"/>
  <c r="AJ107" i="1"/>
  <c r="AX107" i="1"/>
  <c r="BQ107" i="1"/>
  <c r="BR107" i="1"/>
  <c r="CC107" i="1"/>
  <c r="CW107" i="1"/>
  <c r="G534" i="1"/>
  <c r="V534" i="1"/>
  <c r="AJ534" i="1"/>
  <c r="AX534" i="1"/>
  <c r="BQ534" i="1"/>
  <c r="BR534" i="1"/>
  <c r="CC534" i="1"/>
  <c r="CW534" i="1"/>
  <c r="G728" i="1"/>
  <c r="V728" i="1"/>
  <c r="AJ728" i="1"/>
  <c r="AX728" i="1"/>
  <c r="BQ728" i="1"/>
  <c r="BR728" i="1"/>
  <c r="CC728" i="1"/>
  <c r="CW728" i="1"/>
  <c r="G154" i="1"/>
  <c r="V154" i="1"/>
  <c r="AJ154" i="1"/>
  <c r="AX154" i="1"/>
  <c r="BQ154" i="1"/>
  <c r="BR154" i="1"/>
  <c r="CC154" i="1"/>
  <c r="CW154" i="1"/>
  <c r="G489" i="1"/>
  <c r="V489" i="1"/>
  <c r="AJ489" i="1"/>
  <c r="AX489" i="1"/>
  <c r="BQ489" i="1"/>
  <c r="BR489" i="1"/>
  <c r="CC489" i="1"/>
  <c r="CW489" i="1"/>
  <c r="G2316" i="1"/>
  <c r="V2316" i="1"/>
  <c r="AJ2316" i="1"/>
  <c r="AX2316" i="1"/>
  <c r="BQ2316" i="1"/>
  <c r="BR2316" i="1"/>
  <c r="CC2316" i="1"/>
  <c r="CW2316" i="1"/>
  <c r="G760" i="1"/>
  <c r="V760" i="1"/>
  <c r="AJ760" i="1"/>
  <c r="AX760" i="1"/>
  <c r="BQ760" i="1"/>
  <c r="BR760" i="1"/>
  <c r="CC760" i="1"/>
  <c r="CW760" i="1"/>
  <c r="G356" i="1"/>
  <c r="V356" i="1"/>
  <c r="AJ356" i="1"/>
  <c r="AX356" i="1"/>
  <c r="BQ356" i="1"/>
  <c r="BR356" i="1"/>
  <c r="CC356" i="1"/>
  <c r="CW356" i="1"/>
  <c r="G415" i="1"/>
  <c r="V415" i="1"/>
  <c r="AJ415" i="1"/>
  <c r="AX415" i="1"/>
  <c r="BQ415" i="1"/>
  <c r="BR415" i="1"/>
  <c r="CC415" i="1"/>
  <c r="CW415" i="1"/>
  <c r="G791" i="1"/>
  <c r="V791" i="1"/>
  <c r="AJ791" i="1"/>
  <c r="AX791" i="1"/>
  <c r="BQ791" i="1"/>
  <c r="BR791" i="1"/>
  <c r="CC791" i="1"/>
  <c r="CW791" i="1"/>
  <c r="G424" i="1"/>
  <c r="V424" i="1"/>
  <c r="AJ424" i="1"/>
  <c r="AX424" i="1"/>
  <c r="BQ424" i="1"/>
  <c r="BR424" i="1"/>
  <c r="CC424" i="1"/>
  <c r="CW424" i="1"/>
  <c r="G666" i="1"/>
  <c r="V666" i="1"/>
  <c r="AJ666" i="1"/>
  <c r="AX666" i="1"/>
  <c r="BQ666" i="1"/>
  <c r="BR666" i="1"/>
  <c r="CC666" i="1"/>
  <c r="CW666" i="1"/>
  <c r="G285" i="1"/>
  <c r="V285" i="1"/>
  <c r="AJ285" i="1"/>
  <c r="AX285" i="1"/>
  <c r="BQ285" i="1"/>
  <c r="BR285" i="1"/>
  <c r="CC285" i="1"/>
  <c r="CW285" i="1"/>
  <c r="G183" i="1"/>
  <c r="V183" i="1"/>
  <c r="AJ183" i="1"/>
  <c r="AX183" i="1"/>
  <c r="BQ183" i="1"/>
  <c r="BR183" i="1"/>
  <c r="CC183" i="1"/>
  <c r="CW183" i="1"/>
  <c r="G1855" i="1"/>
  <c r="V1855" i="1"/>
  <c r="AJ1855" i="1"/>
  <c r="AX1855" i="1"/>
  <c r="BQ1855" i="1"/>
  <c r="BR1855" i="1"/>
  <c r="CC1855" i="1"/>
  <c r="CW1855" i="1"/>
  <c r="G143" i="1"/>
  <c r="V143" i="1"/>
  <c r="AJ143" i="1"/>
  <c r="AX143" i="1"/>
  <c r="BQ143" i="1"/>
  <c r="BR143" i="1"/>
  <c r="CC143" i="1"/>
  <c r="CW143" i="1"/>
  <c r="G552" i="1"/>
  <c r="V552" i="1"/>
  <c r="AJ552" i="1"/>
  <c r="AX552" i="1"/>
  <c r="BQ552" i="1"/>
  <c r="BR552" i="1"/>
  <c r="CC552" i="1"/>
  <c r="CW552" i="1"/>
  <c r="G531" i="1"/>
  <c r="V531" i="1"/>
  <c r="AJ531" i="1"/>
  <c r="AX531" i="1"/>
  <c r="BQ531" i="1"/>
  <c r="BR531" i="1"/>
  <c r="CC531" i="1"/>
  <c r="CW531" i="1"/>
  <c r="G651" i="1"/>
  <c r="V651" i="1"/>
  <c r="AJ651" i="1"/>
  <c r="AX651" i="1"/>
  <c r="BQ651" i="1"/>
  <c r="BR651" i="1"/>
  <c r="CC651" i="1"/>
  <c r="CW651" i="1"/>
  <c r="G46" i="1"/>
  <c r="V46" i="1"/>
  <c r="AJ46" i="1"/>
  <c r="AX46" i="1"/>
  <c r="BQ46" i="1"/>
  <c r="BR46" i="1"/>
  <c r="CC46" i="1"/>
  <c r="CW46" i="1"/>
  <c r="G1850" i="1"/>
  <c r="V1850" i="1"/>
  <c r="AJ1850" i="1"/>
  <c r="AX1850" i="1"/>
  <c r="BQ1850" i="1"/>
  <c r="BR1850" i="1"/>
  <c r="CC1850" i="1"/>
  <c r="CW1850" i="1"/>
  <c r="G429" i="1"/>
  <c r="V429" i="1"/>
  <c r="AJ429" i="1"/>
  <c r="AX429" i="1"/>
  <c r="BQ429" i="1"/>
  <c r="BR429" i="1"/>
  <c r="CC429" i="1"/>
  <c r="CW429" i="1"/>
  <c r="G765" i="1"/>
  <c r="V765" i="1"/>
  <c r="AJ765" i="1"/>
  <c r="AX765" i="1"/>
  <c r="BQ765" i="1"/>
  <c r="BR765" i="1"/>
  <c r="CC765" i="1"/>
  <c r="CW765" i="1"/>
  <c r="G506" i="1"/>
  <c r="V506" i="1"/>
  <c r="AJ506" i="1"/>
  <c r="AX506" i="1"/>
  <c r="BQ506" i="1"/>
  <c r="BR506" i="1"/>
  <c r="CC506" i="1"/>
  <c r="CW506" i="1"/>
  <c r="G802" i="1"/>
  <c r="V802" i="1"/>
  <c r="AJ802" i="1"/>
  <c r="AX802" i="1"/>
  <c r="BQ802" i="1"/>
  <c r="BR802" i="1"/>
  <c r="CC802" i="1"/>
  <c r="CW802" i="1"/>
  <c r="G178" i="1"/>
  <c r="V178" i="1"/>
  <c r="AJ178" i="1"/>
  <c r="AX178" i="1"/>
  <c r="BQ178" i="1"/>
  <c r="BR178" i="1"/>
  <c r="CC178" i="1"/>
  <c r="CW178" i="1"/>
  <c r="G2337" i="1"/>
  <c r="V2337" i="1"/>
  <c r="AJ2337" i="1"/>
  <c r="AX2337" i="1"/>
  <c r="BQ2337" i="1"/>
  <c r="BR2337" i="1"/>
  <c r="CC2337" i="1"/>
  <c r="CW2337" i="1"/>
  <c r="G2318" i="1"/>
  <c r="V2318" i="1"/>
  <c r="AJ2318" i="1"/>
  <c r="AX2318" i="1"/>
  <c r="BQ2318" i="1"/>
  <c r="BR2318" i="1"/>
  <c r="CC2318" i="1"/>
  <c r="CW2318" i="1"/>
  <c r="G99" i="1"/>
  <c r="V99" i="1"/>
  <c r="AJ99" i="1"/>
  <c r="AX99" i="1"/>
  <c r="BQ99" i="1"/>
  <c r="BR99" i="1"/>
  <c r="CC99" i="1"/>
  <c r="CW99" i="1"/>
  <c r="G561" i="1"/>
  <c r="V561" i="1"/>
  <c r="AJ561" i="1"/>
  <c r="AX561" i="1"/>
  <c r="BQ561" i="1"/>
  <c r="BR561" i="1"/>
  <c r="CC561" i="1"/>
  <c r="CW561" i="1"/>
  <c r="G464" i="1"/>
  <c r="V464" i="1"/>
  <c r="AJ464" i="1"/>
  <c r="AX464" i="1"/>
  <c r="BQ464" i="1"/>
  <c r="BR464" i="1"/>
  <c r="CC464" i="1"/>
  <c r="CW464" i="1"/>
  <c r="G498" i="1"/>
  <c r="V498" i="1"/>
  <c r="AJ498" i="1"/>
  <c r="AX498" i="1"/>
  <c r="BQ498" i="1"/>
  <c r="BR498" i="1"/>
  <c r="CC498" i="1"/>
  <c r="CW498" i="1"/>
  <c r="G121" i="1"/>
  <c r="V121" i="1"/>
  <c r="AJ121" i="1"/>
  <c r="AX121" i="1"/>
  <c r="BQ121" i="1"/>
  <c r="BR121" i="1"/>
  <c r="CC121" i="1"/>
  <c r="CW121" i="1"/>
  <c r="G103" i="1"/>
  <c r="V103" i="1"/>
  <c r="AJ103" i="1"/>
  <c r="AX103" i="1"/>
  <c r="BQ103" i="1"/>
  <c r="BR103" i="1"/>
  <c r="CC103" i="1"/>
  <c r="CW103" i="1"/>
  <c r="G476" i="1"/>
  <c r="V476" i="1"/>
  <c r="AJ476" i="1"/>
  <c r="AX476" i="1"/>
  <c r="BQ476" i="1"/>
  <c r="BR476" i="1"/>
  <c r="CC476" i="1"/>
  <c r="CW476" i="1"/>
  <c r="G618" i="1"/>
  <c r="V618" i="1"/>
  <c r="AJ618" i="1"/>
  <c r="AX618" i="1"/>
  <c r="BQ618" i="1"/>
  <c r="BR618" i="1"/>
  <c r="CC618" i="1"/>
  <c r="CW618" i="1"/>
  <c r="G481" i="1"/>
  <c r="V481" i="1"/>
  <c r="AJ481" i="1"/>
  <c r="AX481" i="1"/>
  <c r="BQ481" i="1"/>
  <c r="BR481" i="1"/>
  <c r="CC481" i="1"/>
  <c r="CW481" i="1"/>
  <c r="G1739" i="1"/>
  <c r="V1739" i="1"/>
  <c r="AJ1739" i="1"/>
  <c r="AX1739" i="1"/>
  <c r="BQ1739" i="1"/>
  <c r="BR1739" i="1"/>
  <c r="CC1739" i="1"/>
  <c r="CW1739" i="1"/>
  <c r="G2104" i="1"/>
  <c r="V2104" i="1"/>
  <c r="AJ2104" i="1"/>
  <c r="AX2104" i="1"/>
  <c r="BQ2104" i="1"/>
  <c r="BR2104" i="1"/>
  <c r="CC2104" i="1"/>
  <c r="CW2104" i="1"/>
  <c r="G137" i="1"/>
  <c r="V137" i="1"/>
  <c r="AJ137" i="1"/>
  <c r="AX137" i="1"/>
  <c r="BQ137" i="1"/>
  <c r="BR137" i="1"/>
  <c r="CC137" i="1"/>
  <c r="CW137" i="1"/>
  <c r="G1309" i="1"/>
  <c r="V1309" i="1"/>
  <c r="AJ1309" i="1"/>
  <c r="AX1309" i="1"/>
  <c r="BQ1309" i="1"/>
  <c r="BR1309" i="1"/>
  <c r="CC1309" i="1"/>
  <c r="CW1309" i="1"/>
  <c r="G829" i="1"/>
  <c r="V829" i="1"/>
  <c r="AJ829" i="1"/>
  <c r="AX829" i="1"/>
  <c r="BQ829" i="1"/>
  <c r="BR829" i="1"/>
  <c r="CC829" i="1"/>
  <c r="CW829" i="1"/>
  <c r="G1819" i="1"/>
  <c r="V1819" i="1"/>
  <c r="AJ1819" i="1"/>
  <c r="AX1819" i="1"/>
  <c r="BQ1819" i="1"/>
  <c r="BR1819" i="1"/>
  <c r="CC1819" i="1"/>
  <c r="CW1819" i="1"/>
  <c r="G1625" i="1"/>
  <c r="V1625" i="1"/>
  <c r="AJ1625" i="1"/>
  <c r="AX1625" i="1"/>
  <c r="BQ1625" i="1"/>
  <c r="BR1625" i="1"/>
  <c r="CC1625" i="1"/>
  <c r="CW1625" i="1"/>
  <c r="G1619" i="1"/>
  <c r="V1619" i="1"/>
  <c r="AJ1619" i="1"/>
  <c r="AX1619" i="1"/>
  <c r="BQ1619" i="1"/>
  <c r="BR1619" i="1"/>
  <c r="CC1619" i="1"/>
  <c r="CW1619" i="1"/>
  <c r="G2127" i="1"/>
  <c r="V2127" i="1"/>
  <c r="AJ2127" i="1"/>
  <c r="AX2127" i="1"/>
  <c r="BQ2127" i="1"/>
  <c r="BR2127" i="1"/>
  <c r="CC2127" i="1"/>
  <c r="CW2127" i="1"/>
  <c r="G1468" i="1"/>
  <c r="V1468" i="1"/>
  <c r="AJ1468" i="1"/>
  <c r="AX1468" i="1"/>
  <c r="BQ1468" i="1"/>
  <c r="BR1468" i="1"/>
  <c r="CC1468" i="1"/>
  <c r="CW1468" i="1"/>
  <c r="G1084" i="1"/>
  <c r="V1084" i="1"/>
  <c r="AJ1084" i="1"/>
  <c r="AX1084" i="1"/>
  <c r="BQ1084" i="1"/>
  <c r="BR1084" i="1"/>
  <c r="CC1084" i="1"/>
  <c r="CW1084" i="1"/>
  <c r="G1171" i="1"/>
  <c r="V1171" i="1"/>
  <c r="AJ1171" i="1"/>
  <c r="AX1171" i="1"/>
  <c r="BQ1171" i="1"/>
  <c r="BR1171" i="1"/>
  <c r="CC1171" i="1"/>
  <c r="CW1171" i="1"/>
  <c r="G1141" i="1"/>
  <c r="V1141" i="1"/>
  <c r="AJ1141" i="1"/>
  <c r="AX1141" i="1"/>
  <c r="BQ1141" i="1"/>
  <c r="BR1141" i="1"/>
  <c r="CC1141" i="1"/>
  <c r="CW1141" i="1"/>
  <c r="G1298" i="1"/>
  <c r="V1298" i="1"/>
  <c r="AJ1298" i="1"/>
  <c r="AX1298" i="1"/>
  <c r="BQ1298" i="1"/>
  <c r="BR1298" i="1"/>
  <c r="CC1298" i="1"/>
  <c r="CW1298" i="1"/>
  <c r="G1554" i="1"/>
  <c r="V1554" i="1"/>
  <c r="AJ1554" i="1"/>
  <c r="AX1554" i="1"/>
  <c r="BQ1554" i="1"/>
  <c r="BR1554" i="1"/>
  <c r="CC1554" i="1"/>
  <c r="CW1554" i="1"/>
  <c r="G1097" i="1"/>
  <c r="V1097" i="1"/>
  <c r="AJ1097" i="1"/>
  <c r="AX1097" i="1"/>
  <c r="BQ1097" i="1"/>
  <c r="BR1097" i="1"/>
  <c r="CC1097" i="1"/>
  <c r="CW1097" i="1"/>
  <c r="G1927" i="1"/>
  <c r="V1927" i="1"/>
  <c r="AJ1927" i="1"/>
  <c r="AX1927" i="1"/>
  <c r="BQ1927" i="1"/>
  <c r="BR1927" i="1"/>
  <c r="CC1927" i="1"/>
  <c r="CW1927" i="1"/>
  <c r="G1897" i="1"/>
  <c r="V1897" i="1"/>
  <c r="AJ1897" i="1"/>
  <c r="AX1897" i="1"/>
  <c r="BQ1897" i="1"/>
  <c r="BR1897" i="1"/>
  <c r="CC1897" i="1"/>
  <c r="CW1897" i="1"/>
  <c r="G1536" i="1"/>
  <c r="V1536" i="1"/>
  <c r="AJ1536" i="1"/>
  <c r="AX1536" i="1"/>
  <c r="BQ1536" i="1"/>
  <c r="BR1536" i="1"/>
  <c r="CC1536" i="1"/>
  <c r="CW1536" i="1"/>
  <c r="G2241" i="1"/>
  <c r="V2241" i="1"/>
  <c r="AJ2241" i="1"/>
  <c r="AX2241" i="1"/>
  <c r="BQ2241" i="1"/>
  <c r="BR2241" i="1"/>
  <c r="CC2241" i="1"/>
  <c r="CW2241" i="1"/>
  <c r="G1143" i="1"/>
  <c r="V1143" i="1"/>
  <c r="AJ1143" i="1"/>
  <c r="AX1143" i="1"/>
  <c r="BQ1143" i="1"/>
  <c r="BR1143" i="1"/>
  <c r="CC1143" i="1"/>
  <c r="CW1143" i="1"/>
  <c r="G1797" i="1"/>
  <c r="V1797" i="1"/>
  <c r="AJ1797" i="1"/>
  <c r="AX1797" i="1"/>
  <c r="BQ1797" i="1"/>
  <c r="BR1797" i="1"/>
  <c r="CC1797" i="1"/>
  <c r="CW1797" i="1"/>
  <c r="G946" i="1"/>
  <c r="V946" i="1"/>
  <c r="AJ946" i="1"/>
  <c r="AX946" i="1"/>
  <c r="BQ946" i="1"/>
  <c r="BR946" i="1"/>
  <c r="CC946" i="1"/>
  <c r="CW946" i="1"/>
  <c r="G2087" i="1"/>
  <c r="V2087" i="1"/>
  <c r="AJ2087" i="1"/>
  <c r="AX2087" i="1"/>
  <c r="BQ2087" i="1"/>
  <c r="BR2087" i="1"/>
  <c r="CC2087" i="1"/>
  <c r="CW2087" i="1"/>
  <c r="G900" i="1"/>
  <c r="V900" i="1"/>
  <c r="AJ900" i="1"/>
  <c r="AX900" i="1"/>
  <c r="BQ900" i="1"/>
  <c r="BR900" i="1"/>
  <c r="CC900" i="1"/>
  <c r="CW900" i="1"/>
  <c r="G2043" i="1"/>
  <c r="V2043" i="1"/>
  <c r="AJ2043" i="1"/>
  <c r="AX2043" i="1"/>
  <c r="BQ2043" i="1"/>
  <c r="BR2043" i="1"/>
  <c r="CC2043" i="1"/>
  <c r="CW2043" i="1"/>
  <c r="G1142" i="1"/>
  <c r="V1142" i="1"/>
  <c r="AJ1142" i="1"/>
  <c r="AX1142" i="1"/>
  <c r="BQ1142" i="1"/>
  <c r="BR1142" i="1"/>
  <c r="CC1142" i="1"/>
  <c r="CW1142" i="1"/>
  <c r="G1751" i="1"/>
  <c r="V1751" i="1"/>
  <c r="AJ1751" i="1"/>
  <c r="AX1751" i="1"/>
  <c r="BQ1751" i="1"/>
  <c r="BR1751" i="1"/>
  <c r="CC1751" i="1"/>
  <c r="CW1751" i="1"/>
  <c r="G1629" i="1"/>
  <c r="V1629" i="1"/>
  <c r="AJ1629" i="1"/>
  <c r="AX1629" i="1"/>
  <c r="BQ1629" i="1"/>
  <c r="BR1629" i="1"/>
  <c r="CC1629" i="1"/>
  <c r="CW1629" i="1"/>
  <c r="G1144" i="1"/>
  <c r="V1144" i="1"/>
  <c r="AJ1144" i="1"/>
  <c r="AX1144" i="1"/>
  <c r="BQ1144" i="1"/>
  <c r="BR1144" i="1"/>
  <c r="CC1144" i="1"/>
  <c r="CW1144" i="1"/>
  <c r="G1212" i="1"/>
  <c r="V1212" i="1"/>
  <c r="AJ1212" i="1"/>
  <c r="AX1212" i="1"/>
  <c r="BQ1212" i="1"/>
  <c r="BR1212" i="1"/>
  <c r="CC1212" i="1"/>
  <c r="CW1212" i="1"/>
  <c r="G1247" i="1"/>
  <c r="V1247" i="1"/>
  <c r="AJ1247" i="1"/>
  <c r="AX1247" i="1"/>
  <c r="BQ1247" i="1"/>
  <c r="BR1247" i="1"/>
  <c r="CC1247" i="1"/>
  <c r="CW1247" i="1"/>
  <c r="G1922" i="1"/>
  <c r="V1922" i="1"/>
  <c r="AJ1922" i="1"/>
  <c r="AX1922" i="1"/>
  <c r="BQ1922" i="1"/>
  <c r="BR1922" i="1"/>
  <c r="CC1922" i="1"/>
  <c r="CW1922" i="1"/>
  <c r="G1741" i="1"/>
  <c r="V1741" i="1"/>
  <c r="AJ1741" i="1"/>
  <c r="AX1741" i="1"/>
  <c r="BQ1741" i="1"/>
  <c r="BR1741" i="1"/>
  <c r="CC1741" i="1"/>
  <c r="CW1741" i="1"/>
  <c r="G2131" i="1"/>
  <c r="V2131" i="1"/>
  <c r="AJ2131" i="1"/>
  <c r="AX2131" i="1"/>
  <c r="BQ2131" i="1"/>
  <c r="BR2131" i="1"/>
  <c r="CC2131" i="1"/>
  <c r="CW2131" i="1"/>
  <c r="G1744" i="1"/>
  <c r="V1744" i="1"/>
  <c r="AJ1744" i="1"/>
  <c r="AX1744" i="1"/>
  <c r="BQ1744" i="1"/>
  <c r="BR1744" i="1"/>
  <c r="CC1744" i="1"/>
  <c r="CW1744" i="1"/>
  <c r="G1459" i="1"/>
  <c r="V1459" i="1"/>
  <c r="AJ1459" i="1"/>
  <c r="AX1459" i="1"/>
  <c r="BQ1459" i="1"/>
  <c r="BR1459" i="1"/>
  <c r="CC1459" i="1"/>
  <c r="CW1459" i="1"/>
  <c r="G1346" i="1"/>
  <c r="V1346" i="1"/>
  <c r="AJ1346" i="1"/>
  <c r="AX1346" i="1"/>
  <c r="BQ1346" i="1"/>
  <c r="BR1346" i="1"/>
  <c r="CC1346" i="1"/>
  <c r="CW1346" i="1"/>
  <c r="G904" i="1"/>
  <c r="V904" i="1"/>
  <c r="AJ904" i="1"/>
  <c r="AX904" i="1"/>
  <c r="BQ904" i="1"/>
  <c r="BR904" i="1"/>
  <c r="CC904" i="1"/>
  <c r="CW904" i="1"/>
  <c r="G1234" i="1"/>
  <c r="V1234" i="1"/>
  <c r="AJ1234" i="1"/>
  <c r="AX1234" i="1"/>
  <c r="BQ1234" i="1"/>
  <c r="BR1234" i="1"/>
  <c r="CC1234" i="1"/>
  <c r="CW1234" i="1"/>
  <c r="G1901" i="1"/>
  <c r="V1901" i="1"/>
  <c r="AJ1901" i="1"/>
  <c r="AX1901" i="1"/>
  <c r="BQ1901" i="1"/>
  <c r="BR1901" i="1"/>
  <c r="CC1901" i="1"/>
  <c r="CW1901" i="1"/>
  <c r="G1755" i="1"/>
  <c r="V1755" i="1"/>
  <c r="AJ1755" i="1"/>
  <c r="AX1755" i="1"/>
  <c r="BQ1755" i="1"/>
  <c r="BR1755" i="1"/>
  <c r="CC1755" i="1"/>
  <c r="CW1755" i="1"/>
  <c r="G2242" i="1"/>
  <c r="V2242" i="1"/>
  <c r="AJ2242" i="1"/>
  <c r="AX2242" i="1"/>
  <c r="BQ2242" i="1"/>
  <c r="BR2242" i="1"/>
  <c r="CC2242" i="1"/>
  <c r="CW2242" i="1"/>
  <c r="G1642" i="1"/>
  <c r="V1642" i="1"/>
  <c r="AJ1642" i="1"/>
  <c r="AX1642" i="1"/>
  <c r="BQ1642" i="1"/>
  <c r="BR1642" i="1"/>
  <c r="CC1642" i="1"/>
  <c r="CW1642" i="1"/>
  <c r="G1518" i="1"/>
  <c r="V1518" i="1"/>
  <c r="AJ1518" i="1"/>
  <c r="AX1518" i="1"/>
  <c r="BQ1518" i="1"/>
  <c r="BR1518" i="1"/>
  <c r="CC1518" i="1"/>
  <c r="CW1518" i="1"/>
  <c r="G2208" i="1"/>
  <c r="V2208" i="1"/>
  <c r="AJ2208" i="1"/>
  <c r="AX2208" i="1"/>
  <c r="BQ2208" i="1"/>
  <c r="BR2208" i="1"/>
  <c r="CC2208" i="1"/>
  <c r="CW2208" i="1"/>
  <c r="G2048" i="1"/>
  <c r="V2048" i="1"/>
  <c r="AJ2048" i="1"/>
  <c r="AX2048" i="1"/>
  <c r="BQ2048" i="1"/>
  <c r="BR2048" i="1"/>
  <c r="CC2048" i="1"/>
  <c r="CW2048" i="1"/>
  <c r="G872" i="1"/>
  <c r="V872" i="1"/>
  <c r="AJ872" i="1"/>
  <c r="AX872" i="1"/>
  <c r="BQ872" i="1"/>
  <c r="BR872" i="1"/>
  <c r="CC872" i="1"/>
  <c r="CW872" i="1"/>
  <c r="G1297" i="1"/>
  <c r="V1297" i="1"/>
  <c r="AJ1297" i="1"/>
  <c r="AX1297" i="1"/>
  <c r="BQ1297" i="1"/>
  <c r="BR1297" i="1"/>
  <c r="CC1297" i="1"/>
  <c r="CW1297" i="1"/>
  <c r="G2235" i="1"/>
  <c r="V2235" i="1"/>
  <c r="AJ2235" i="1"/>
  <c r="AX2235" i="1"/>
  <c r="BQ2235" i="1"/>
  <c r="BR2235" i="1"/>
  <c r="CC2235" i="1"/>
  <c r="CW2235" i="1"/>
  <c r="G1499" i="1"/>
  <c r="V1499" i="1"/>
  <c r="AJ1499" i="1"/>
  <c r="AX1499" i="1"/>
  <c r="BQ1499" i="1"/>
  <c r="BR1499" i="1"/>
  <c r="CC1499" i="1"/>
  <c r="CW1499" i="1"/>
  <c r="G1799" i="1"/>
  <c r="V1799" i="1"/>
  <c r="AJ1799" i="1"/>
  <c r="AX1799" i="1"/>
  <c r="BQ1799" i="1"/>
  <c r="BR1799" i="1"/>
  <c r="CC1799" i="1"/>
  <c r="CW1799" i="1"/>
  <c r="G1415" i="1"/>
  <c r="V1415" i="1"/>
  <c r="AJ1415" i="1"/>
  <c r="AX1415" i="1"/>
  <c r="BQ1415" i="1"/>
  <c r="BR1415" i="1"/>
  <c r="CC1415" i="1"/>
  <c r="CW1415" i="1"/>
  <c r="G1603" i="1"/>
  <c r="V1603" i="1"/>
  <c r="AJ1603" i="1"/>
  <c r="AX1603" i="1"/>
  <c r="BQ1603" i="1"/>
  <c r="BR1603" i="1"/>
  <c r="CC1603" i="1"/>
  <c r="CK1603" i="1"/>
  <c r="CW1603" i="1"/>
  <c r="G1929" i="1"/>
  <c r="V1929" i="1"/>
  <c r="AJ1929" i="1"/>
  <c r="AX1929" i="1"/>
  <c r="BQ1929" i="1"/>
  <c r="BR1929" i="1"/>
  <c r="CC1929" i="1"/>
  <c r="CW1929" i="1"/>
  <c r="G1283" i="1"/>
  <c r="V1283" i="1"/>
  <c r="AJ1283" i="1"/>
  <c r="AX1283" i="1"/>
  <c r="BQ1283" i="1"/>
  <c r="BR1283" i="1"/>
  <c r="CC1283" i="1"/>
  <c r="CW1283" i="1"/>
  <c r="G862" i="1"/>
  <c r="V862" i="1"/>
  <c r="AJ862" i="1"/>
  <c r="AX862" i="1"/>
  <c r="BQ862" i="1"/>
  <c r="BR862" i="1"/>
  <c r="CC862" i="1"/>
  <c r="CW862" i="1"/>
  <c r="G1870" i="1"/>
  <c r="V1870" i="1"/>
  <c r="AJ1870" i="1"/>
  <c r="AX1870" i="1"/>
  <c r="BQ1870" i="1"/>
  <c r="BR1870" i="1"/>
  <c r="CC1870" i="1"/>
  <c r="CW1870" i="1"/>
  <c r="G1879" i="1"/>
  <c r="V1879" i="1"/>
  <c r="AJ1879" i="1"/>
  <c r="AX1879" i="1"/>
  <c r="BQ1879" i="1"/>
  <c r="BR1879" i="1"/>
  <c r="CC1879" i="1"/>
  <c r="CW1879" i="1"/>
  <c r="G1709" i="1"/>
  <c r="V1709" i="1"/>
  <c r="AJ1709" i="1"/>
  <c r="AX1709" i="1"/>
  <c r="BQ1709" i="1"/>
  <c r="BR1709" i="1"/>
  <c r="CC1709" i="1"/>
  <c r="CW1709" i="1"/>
  <c r="G917" i="1"/>
  <c r="V917" i="1"/>
  <c r="AJ917" i="1"/>
  <c r="AX917" i="1"/>
  <c r="BQ917" i="1"/>
  <c r="BR917" i="1"/>
  <c r="CC917" i="1"/>
  <c r="CW917" i="1"/>
  <c r="G2016" i="1"/>
  <c r="V2016" i="1"/>
  <c r="AJ2016" i="1"/>
  <c r="AX2016" i="1"/>
  <c r="BQ2016" i="1"/>
  <c r="BR2016" i="1"/>
  <c r="CC2016" i="1"/>
  <c r="CW2016" i="1"/>
  <c r="G1238" i="1"/>
  <c r="V1238" i="1"/>
  <c r="AJ1238" i="1"/>
  <c r="AX1238" i="1"/>
  <c r="BQ1238" i="1"/>
  <c r="BR1238" i="1"/>
  <c r="CC1238" i="1"/>
  <c r="CW1238" i="1"/>
  <c r="G1314" i="1"/>
  <c r="V1314" i="1"/>
  <c r="AJ1314" i="1"/>
  <c r="AX1314" i="1"/>
  <c r="BQ1314" i="1"/>
  <c r="BR1314" i="1"/>
  <c r="CC1314" i="1"/>
  <c r="CW1314" i="1"/>
  <c r="G1151" i="1"/>
  <c r="V1151" i="1"/>
  <c r="AJ1151" i="1"/>
  <c r="AX1151" i="1"/>
  <c r="BQ1151" i="1"/>
  <c r="BR1151" i="1"/>
  <c r="CC1151" i="1"/>
  <c r="CW1151" i="1"/>
  <c r="G2391" i="1"/>
  <c r="V2391" i="1"/>
  <c r="AJ2391" i="1"/>
  <c r="AX2391" i="1"/>
  <c r="BQ2391" i="1"/>
  <c r="BR2391" i="1"/>
  <c r="CC2391" i="1"/>
  <c r="CW2391" i="1"/>
  <c r="G1303" i="1"/>
  <c r="V1303" i="1"/>
  <c r="AJ1303" i="1"/>
  <c r="AX1303" i="1"/>
  <c r="BQ1303" i="1"/>
  <c r="BR1303" i="1"/>
  <c r="CC1303" i="1"/>
  <c r="CW1303" i="1"/>
  <c r="G1376" i="1"/>
  <c r="V1376" i="1"/>
  <c r="AJ1376" i="1"/>
  <c r="AX1376" i="1"/>
  <c r="BQ1376" i="1"/>
  <c r="BR1376" i="1"/>
  <c r="CC1376" i="1"/>
  <c r="CW1376" i="1"/>
  <c r="G2184" i="1"/>
  <c r="V2184" i="1"/>
  <c r="AJ2184" i="1"/>
  <c r="AX2184" i="1"/>
  <c r="BQ2184" i="1"/>
  <c r="BR2184" i="1"/>
  <c r="CC2184" i="1"/>
  <c r="CW2184" i="1"/>
  <c r="G2066" i="1"/>
  <c r="V2066" i="1"/>
  <c r="AJ2066" i="1"/>
  <c r="AX2066" i="1"/>
  <c r="BQ2066" i="1"/>
  <c r="BR2066" i="1"/>
  <c r="CC2066" i="1"/>
  <c r="CW2066" i="1"/>
  <c r="G1372" i="1"/>
  <c r="V1372" i="1"/>
  <c r="AJ1372" i="1"/>
  <c r="AX1372" i="1"/>
  <c r="BQ1372" i="1"/>
  <c r="BR1372" i="1"/>
  <c r="CC1372" i="1"/>
  <c r="CW1372" i="1"/>
  <c r="G1089" i="1"/>
  <c r="V1089" i="1"/>
  <c r="AJ1089" i="1"/>
  <c r="AX1089" i="1"/>
  <c r="BQ1089" i="1"/>
  <c r="BR1089" i="1"/>
  <c r="CC1089" i="1"/>
  <c r="CW1089" i="1"/>
  <c r="G853" i="1"/>
  <c r="V853" i="1"/>
  <c r="AJ853" i="1"/>
  <c r="AX853" i="1"/>
  <c r="BQ853" i="1"/>
  <c r="BR853" i="1"/>
  <c r="CC853" i="1"/>
  <c r="CW853" i="1"/>
  <c r="G2352" i="1"/>
  <c r="V2352" i="1"/>
  <c r="AJ2352" i="1"/>
  <c r="AX2352" i="1"/>
  <c r="BQ2352" i="1"/>
  <c r="BR2352" i="1"/>
  <c r="CC2352" i="1"/>
  <c r="CW2352" i="1"/>
  <c r="G1336" i="1"/>
  <c r="V1336" i="1"/>
  <c r="AJ1336" i="1"/>
  <c r="AX1336" i="1"/>
  <c r="BQ1336" i="1"/>
  <c r="BR1336" i="1"/>
  <c r="CC1336" i="1"/>
  <c r="CW1336" i="1"/>
  <c r="G1959" i="1"/>
  <c r="V1959" i="1"/>
  <c r="AJ1959" i="1"/>
  <c r="AX1959" i="1"/>
  <c r="BQ1959" i="1"/>
  <c r="BR1959" i="1"/>
  <c r="CC1959" i="1"/>
  <c r="CW1959" i="1"/>
  <c r="G994" i="1"/>
  <c r="V994" i="1"/>
  <c r="AJ994" i="1"/>
  <c r="AX994" i="1"/>
  <c r="BQ994" i="1"/>
  <c r="BR994" i="1"/>
  <c r="CC994" i="1"/>
  <c r="CW994" i="1"/>
  <c r="G2367" i="1"/>
  <c r="V2367" i="1"/>
  <c r="AJ2367" i="1"/>
  <c r="AX2367" i="1"/>
  <c r="BQ2367" i="1"/>
  <c r="BR2367" i="1"/>
  <c r="CC2367" i="1"/>
  <c r="CW2367" i="1"/>
  <c r="G1364" i="1"/>
  <c r="V1364" i="1"/>
  <c r="AJ1364" i="1"/>
  <c r="AX1364" i="1"/>
  <c r="BQ1364" i="1"/>
  <c r="BR1364" i="1"/>
  <c r="CC1364" i="1"/>
  <c r="CW1364" i="1"/>
  <c r="G1691" i="1"/>
  <c r="V1691" i="1"/>
  <c r="AJ1691" i="1"/>
  <c r="AX1691" i="1"/>
  <c r="BQ1691" i="1"/>
  <c r="BR1691" i="1"/>
  <c r="CC1691" i="1"/>
  <c r="CW1691" i="1"/>
  <c r="G1712" i="1"/>
  <c r="V1712" i="1"/>
  <c r="AJ1712" i="1"/>
  <c r="AX1712" i="1"/>
  <c r="BQ1712" i="1"/>
  <c r="BR1712" i="1"/>
  <c r="CC1712" i="1"/>
  <c r="CW1712" i="1"/>
  <c r="G1567" i="1"/>
  <c r="V1567" i="1"/>
  <c r="AJ1567" i="1"/>
  <c r="AX1567" i="1"/>
  <c r="BQ1567" i="1"/>
  <c r="BR1567" i="1"/>
  <c r="CC1567" i="1"/>
  <c r="CW1567" i="1"/>
  <c r="G1409" i="1"/>
  <c r="V1409" i="1"/>
  <c r="AJ1409" i="1"/>
  <c r="AX1409" i="1"/>
  <c r="BQ1409" i="1"/>
  <c r="BR1409" i="1"/>
  <c r="CC1409" i="1"/>
  <c r="CW1409" i="1"/>
  <c r="G1505" i="1"/>
  <c r="V1505" i="1"/>
  <c r="AJ1505" i="1"/>
  <c r="AX1505" i="1"/>
  <c r="BQ1505" i="1"/>
  <c r="BR1505" i="1"/>
  <c r="CC1505" i="1"/>
  <c r="CW1505" i="1"/>
  <c r="G1916" i="1"/>
  <c r="V1916" i="1"/>
  <c r="AJ1916" i="1"/>
  <c r="AX1916" i="1"/>
  <c r="BQ1916" i="1"/>
  <c r="BR1916" i="1"/>
  <c r="CC1916" i="1"/>
  <c r="CW1916" i="1"/>
  <c r="G2233" i="1"/>
  <c r="V2233" i="1"/>
  <c r="AJ2233" i="1"/>
  <c r="AX2233" i="1"/>
  <c r="BQ2233" i="1"/>
  <c r="BR2233" i="1"/>
  <c r="CC2233" i="1"/>
  <c r="CW2233" i="1"/>
  <c r="G2240" i="1"/>
  <c r="V2240" i="1"/>
  <c r="AJ2240" i="1"/>
  <c r="AX2240" i="1"/>
  <c r="BQ2240" i="1"/>
  <c r="BR2240" i="1"/>
  <c r="CC2240" i="1"/>
  <c r="CW2240" i="1"/>
  <c r="G2156" i="1"/>
  <c r="V2156" i="1"/>
  <c r="AJ2156" i="1"/>
  <c r="AX2156" i="1"/>
  <c r="BQ2156" i="1"/>
  <c r="BR2156" i="1"/>
  <c r="CC2156" i="1"/>
  <c r="CW2156" i="1"/>
  <c r="G933" i="1"/>
  <c r="V933" i="1"/>
  <c r="AJ933" i="1"/>
  <c r="AX933" i="1"/>
  <c r="BQ933" i="1"/>
  <c r="BR933" i="1"/>
  <c r="CC933" i="1"/>
  <c r="CW933" i="1"/>
  <c r="G1579" i="1"/>
  <c r="V1579" i="1"/>
  <c r="AJ1579" i="1"/>
  <c r="AX1579" i="1"/>
  <c r="BQ1579" i="1"/>
  <c r="BR1579" i="1"/>
  <c r="CC1579" i="1"/>
  <c r="CW1579" i="1"/>
  <c r="G995" i="1"/>
  <c r="V995" i="1"/>
  <c r="AJ995" i="1"/>
  <c r="AX995" i="1"/>
  <c r="BQ995" i="1"/>
  <c r="BR995" i="1"/>
  <c r="CC995" i="1"/>
  <c r="CW995" i="1"/>
  <c r="G1533" i="1"/>
  <c r="V1533" i="1"/>
  <c r="AJ1533" i="1"/>
  <c r="AX1533" i="1"/>
  <c r="BQ1533" i="1"/>
  <c r="BR1533" i="1"/>
  <c r="CC1533" i="1"/>
  <c r="CW1533" i="1"/>
  <c r="G975" i="1"/>
  <c r="V975" i="1"/>
  <c r="AJ975" i="1"/>
  <c r="AX975" i="1"/>
  <c r="BQ975" i="1"/>
  <c r="BR975" i="1"/>
  <c r="CC975" i="1"/>
  <c r="CW975" i="1"/>
  <c r="G856" i="1"/>
  <c r="V856" i="1"/>
  <c r="AJ856" i="1"/>
  <c r="AX856" i="1"/>
  <c r="BQ856" i="1"/>
  <c r="BR856" i="1"/>
  <c r="CC856" i="1"/>
  <c r="CW856" i="1"/>
  <c r="G1296" i="1"/>
  <c r="V1296" i="1"/>
  <c r="AJ1296" i="1"/>
  <c r="AX1296" i="1"/>
  <c r="BQ1296" i="1"/>
  <c r="BR1296" i="1"/>
  <c r="CC1296" i="1"/>
  <c r="CW1296" i="1"/>
  <c r="G1195" i="1"/>
  <c r="V1195" i="1"/>
  <c r="AJ1195" i="1"/>
  <c r="AX1195" i="1"/>
  <c r="BQ1195" i="1"/>
  <c r="BR1195" i="1"/>
  <c r="CC1195" i="1"/>
  <c r="CW1195" i="1"/>
  <c r="G1914" i="1"/>
  <c r="V1914" i="1"/>
  <c r="AJ1914" i="1"/>
  <c r="AX1914" i="1"/>
  <c r="BQ1914" i="1"/>
  <c r="BR1914" i="1"/>
  <c r="CC1914" i="1"/>
  <c r="CW1914" i="1"/>
  <c r="G1912" i="1"/>
  <c r="V1912" i="1"/>
  <c r="AJ1912" i="1"/>
  <c r="AX1912" i="1"/>
  <c r="BQ1912" i="1"/>
  <c r="BR1912" i="1"/>
  <c r="CC1912" i="1"/>
  <c r="CW1912" i="1"/>
  <c r="G908" i="1"/>
  <c r="V908" i="1"/>
  <c r="AJ908" i="1"/>
  <c r="AX908" i="1"/>
  <c r="BQ908" i="1"/>
  <c r="BR908" i="1"/>
  <c r="CC908" i="1"/>
  <c r="CW908" i="1"/>
  <c r="G1541" i="1"/>
  <c r="V1541" i="1"/>
  <c r="AJ1541" i="1"/>
  <c r="AX1541" i="1"/>
  <c r="BQ1541" i="1"/>
  <c r="BR1541" i="1"/>
  <c r="CC1541" i="1"/>
  <c r="CW1541" i="1"/>
  <c r="G1883" i="1"/>
  <c r="V1883" i="1"/>
  <c r="AJ1883" i="1"/>
  <c r="AX1883" i="1"/>
  <c r="BQ1883" i="1"/>
  <c r="BR1883" i="1"/>
  <c r="CC1883" i="1"/>
  <c r="CW1883" i="1"/>
  <c r="G2027" i="1"/>
  <c r="V2027" i="1"/>
  <c r="AJ2027" i="1"/>
  <c r="AX2027" i="1"/>
  <c r="BQ2027" i="1"/>
  <c r="BR2027" i="1"/>
  <c r="CC2027" i="1"/>
  <c r="CW2027" i="1"/>
  <c r="G2057" i="1"/>
  <c r="V2057" i="1"/>
  <c r="AJ2057" i="1"/>
  <c r="AX2057" i="1"/>
  <c r="BQ2057" i="1"/>
  <c r="BR2057" i="1"/>
  <c r="CC2057" i="1"/>
  <c r="CW2057" i="1"/>
  <c r="G1948" i="1"/>
  <c r="V1948" i="1"/>
  <c r="AJ1948" i="1"/>
  <c r="AX1948" i="1"/>
  <c r="BQ1948" i="1"/>
  <c r="BR1948" i="1"/>
  <c r="CC1948" i="1"/>
  <c r="CW1948" i="1"/>
  <c r="G1047" i="1"/>
  <c r="V1047" i="1"/>
  <c r="AJ1047" i="1"/>
  <c r="AX1047" i="1"/>
  <c r="BQ1047" i="1"/>
  <c r="BR1047" i="1"/>
  <c r="CC1047" i="1"/>
  <c r="CW1047" i="1"/>
  <c r="G1075" i="1"/>
  <c r="V1075" i="1"/>
  <c r="AJ1075" i="1"/>
  <c r="AX1075" i="1"/>
  <c r="BQ1075" i="1"/>
  <c r="BR1075" i="1"/>
  <c r="CC1075" i="1"/>
  <c r="CW1075" i="1"/>
  <c r="G913" i="1"/>
  <c r="V913" i="1"/>
  <c r="AJ913" i="1"/>
  <c r="AX913" i="1"/>
  <c r="BQ913" i="1"/>
  <c r="BR913" i="1"/>
  <c r="CC913" i="1"/>
  <c r="CW913" i="1"/>
  <c r="G1381" i="1"/>
  <c r="V1381" i="1"/>
  <c r="AJ1381" i="1"/>
  <c r="AX1381" i="1"/>
  <c r="BQ1381" i="1"/>
  <c r="BR1381" i="1"/>
  <c r="CC1381" i="1"/>
  <c r="CW1381" i="1"/>
  <c r="G419" i="1"/>
  <c r="V419" i="1"/>
  <c r="AJ419" i="1"/>
  <c r="AX419" i="1"/>
  <c r="BQ419" i="1"/>
  <c r="BR419" i="1"/>
  <c r="CC419" i="1"/>
  <c r="CW419" i="1"/>
  <c r="G1821" i="1"/>
  <c r="V1821" i="1"/>
  <c r="AJ1821" i="1"/>
  <c r="AX1821" i="1"/>
  <c r="BQ1821" i="1"/>
  <c r="BR1821" i="1"/>
  <c r="CC1821" i="1"/>
  <c r="CW1821" i="1"/>
  <c r="G281" i="1"/>
  <c r="V281" i="1"/>
  <c r="AJ281" i="1"/>
  <c r="AX281" i="1"/>
  <c r="BQ281" i="1"/>
  <c r="BR281" i="1"/>
  <c r="CC281" i="1"/>
  <c r="CW281" i="1"/>
  <c r="G538" i="1"/>
  <c r="V538" i="1"/>
  <c r="AJ538" i="1"/>
  <c r="AX538" i="1"/>
  <c r="BQ538" i="1"/>
  <c r="BR538" i="1"/>
  <c r="CC538" i="1"/>
  <c r="CW538" i="1"/>
  <c r="G276" i="1"/>
  <c r="V276" i="1"/>
  <c r="AJ276" i="1"/>
  <c r="AX276" i="1"/>
  <c r="BQ276" i="1"/>
  <c r="BR276" i="1"/>
  <c r="CC276" i="1"/>
  <c r="CW276" i="1"/>
  <c r="G1826" i="1"/>
  <c r="V1826" i="1"/>
  <c r="AJ1826" i="1"/>
  <c r="AX1826" i="1"/>
  <c r="BQ1826" i="1"/>
  <c r="BR1826" i="1"/>
  <c r="CC1826" i="1"/>
  <c r="CW1826" i="1"/>
  <c r="G266" i="1"/>
  <c r="V266" i="1"/>
  <c r="AJ266" i="1"/>
  <c r="AX266" i="1"/>
  <c r="BQ266" i="1"/>
  <c r="BR266" i="1"/>
  <c r="CC266" i="1"/>
  <c r="CW266" i="1"/>
  <c r="G278" i="1"/>
  <c r="V278" i="1"/>
  <c r="AJ278" i="1"/>
  <c r="AX278" i="1"/>
  <c r="BQ278" i="1"/>
  <c r="BR278" i="1"/>
  <c r="CC278" i="1"/>
  <c r="CW278" i="1"/>
  <c r="G340" i="1"/>
  <c r="V340" i="1"/>
  <c r="AJ340" i="1"/>
  <c r="AX340" i="1"/>
  <c r="BQ340" i="1"/>
  <c r="BR340" i="1"/>
  <c r="CC340" i="1"/>
  <c r="CW340" i="1"/>
  <c r="G140" i="1"/>
  <c r="V140" i="1"/>
  <c r="AJ140" i="1"/>
  <c r="AX140" i="1"/>
  <c r="BQ140" i="1"/>
  <c r="BR140" i="1"/>
  <c r="CC140" i="1"/>
  <c r="CW140" i="1"/>
  <c r="G458" i="1"/>
  <c r="V458" i="1"/>
  <c r="AJ458" i="1"/>
  <c r="AX458" i="1"/>
  <c r="BQ458" i="1"/>
  <c r="BR458" i="1"/>
  <c r="CC458" i="1"/>
  <c r="CW458" i="1"/>
  <c r="G324" i="1"/>
  <c r="V324" i="1"/>
  <c r="AJ324" i="1"/>
  <c r="AX324" i="1"/>
  <c r="BQ324" i="1"/>
  <c r="BR324" i="1"/>
  <c r="CC324" i="1"/>
  <c r="CW324" i="1"/>
  <c r="G194" i="1"/>
  <c r="V194" i="1"/>
  <c r="AJ194" i="1"/>
  <c r="AX194" i="1"/>
  <c r="BQ194" i="1"/>
  <c r="BR194" i="1"/>
  <c r="CC194" i="1"/>
  <c r="CW194" i="1"/>
  <c r="G653" i="1"/>
  <c r="V653" i="1"/>
  <c r="AJ653" i="1"/>
  <c r="AX653" i="1"/>
  <c r="BQ653" i="1"/>
  <c r="BR653" i="1"/>
  <c r="CC653" i="1"/>
  <c r="CW653" i="1"/>
  <c r="G149" i="1"/>
  <c r="V149" i="1"/>
  <c r="AJ149" i="1"/>
  <c r="AX149" i="1"/>
  <c r="BQ149" i="1"/>
  <c r="BR149" i="1"/>
  <c r="CC149" i="1"/>
  <c r="CW149" i="1"/>
  <c r="G616" i="1"/>
  <c r="V616" i="1"/>
  <c r="AJ616" i="1"/>
  <c r="AX616" i="1"/>
  <c r="BQ616" i="1"/>
  <c r="BR616" i="1"/>
  <c r="CC616" i="1"/>
  <c r="CW616" i="1"/>
  <c r="G667" i="1"/>
  <c r="V667" i="1"/>
  <c r="AJ667" i="1"/>
  <c r="AX667" i="1"/>
  <c r="BQ667" i="1"/>
  <c r="BR667" i="1"/>
  <c r="CC667" i="1"/>
  <c r="CW667" i="1"/>
  <c r="G354" i="1"/>
  <c r="V354" i="1"/>
  <c r="AJ354" i="1"/>
  <c r="AX354" i="1"/>
  <c r="BQ354" i="1"/>
  <c r="BR354" i="1"/>
  <c r="CC354" i="1"/>
  <c r="CW354" i="1"/>
  <c r="G75" i="1"/>
  <c r="V75" i="1"/>
  <c r="AJ75" i="1"/>
  <c r="AX75" i="1"/>
  <c r="BQ75" i="1"/>
  <c r="BR75" i="1"/>
  <c r="CC75" i="1"/>
  <c r="CW75" i="1"/>
  <c r="G789" i="1"/>
  <c r="V789" i="1"/>
  <c r="AJ789" i="1"/>
  <c r="AX789" i="1"/>
  <c r="BQ789" i="1"/>
  <c r="BR789" i="1"/>
  <c r="CC789" i="1"/>
  <c r="CW789" i="1"/>
  <c r="G36" i="1"/>
  <c r="V36" i="1"/>
  <c r="AJ36" i="1"/>
  <c r="AX36" i="1"/>
  <c r="BQ36" i="1"/>
  <c r="BR36" i="1"/>
  <c r="CC36" i="1"/>
  <c r="CW36" i="1"/>
  <c r="G138" i="1"/>
  <c r="V138" i="1"/>
  <c r="AJ138" i="1"/>
  <c r="AX138" i="1"/>
  <c r="BQ138" i="1"/>
  <c r="BR138" i="1"/>
  <c r="CC138" i="1"/>
  <c r="CW138" i="1"/>
  <c r="G319" i="1"/>
  <c r="V319" i="1"/>
  <c r="AJ319" i="1"/>
  <c r="AX319" i="1"/>
  <c r="BQ319" i="1"/>
  <c r="BR319" i="1"/>
  <c r="CC319" i="1"/>
  <c r="CW319" i="1"/>
  <c r="G565" i="1"/>
  <c r="V565" i="1"/>
  <c r="AJ565" i="1"/>
  <c r="AX565" i="1"/>
  <c r="BQ565" i="1"/>
  <c r="BR565" i="1"/>
  <c r="CC565" i="1"/>
  <c r="CW565" i="1"/>
  <c r="G1833" i="1"/>
  <c r="V1833" i="1"/>
  <c r="AJ1833" i="1"/>
  <c r="AX1833" i="1"/>
  <c r="BQ1833" i="1"/>
  <c r="BR1833" i="1"/>
  <c r="CC1833" i="1"/>
  <c r="CW1833" i="1"/>
  <c r="G3" i="1"/>
  <c r="V3" i="1"/>
  <c r="AJ3" i="1"/>
  <c r="AX3" i="1"/>
  <c r="BQ3" i="1"/>
  <c r="BR3" i="1"/>
  <c r="CC3" i="1"/>
  <c r="CW3" i="1"/>
  <c r="G560" i="1"/>
  <c r="V560" i="1"/>
  <c r="AJ560" i="1"/>
  <c r="AX560" i="1"/>
  <c r="BQ560" i="1"/>
  <c r="BR560" i="1"/>
  <c r="CC560" i="1"/>
  <c r="CW560" i="1"/>
  <c r="G338" i="1"/>
  <c r="V338" i="1"/>
  <c r="AJ338" i="1"/>
  <c r="AX338" i="1"/>
  <c r="BQ338" i="1"/>
  <c r="BR338" i="1"/>
  <c r="CC338" i="1"/>
  <c r="CW338" i="1"/>
  <c r="G119" i="1"/>
  <c r="V119" i="1"/>
  <c r="AJ119" i="1"/>
  <c r="AX119" i="1"/>
  <c r="BQ119" i="1"/>
  <c r="BR119" i="1"/>
  <c r="CC119" i="1"/>
  <c r="CW119" i="1"/>
  <c r="G554" i="1"/>
  <c r="V554" i="1"/>
  <c r="AJ554" i="1"/>
  <c r="AX554" i="1"/>
  <c r="BQ554" i="1"/>
  <c r="BR554" i="1"/>
  <c r="CC554" i="1"/>
  <c r="CW554" i="1"/>
  <c r="G68" i="1"/>
  <c r="V68" i="1"/>
  <c r="AJ68" i="1"/>
  <c r="AX68" i="1"/>
  <c r="BQ68" i="1"/>
  <c r="BR68" i="1"/>
  <c r="CC68" i="1"/>
  <c r="CW68" i="1"/>
  <c r="G2310" i="1"/>
  <c r="V2310" i="1"/>
  <c r="AJ2310" i="1"/>
  <c r="AX2310" i="1"/>
  <c r="BQ2310" i="1"/>
  <c r="BR2310" i="1"/>
  <c r="CC2310" i="1"/>
  <c r="CW2310" i="1"/>
  <c r="G11" i="1"/>
  <c r="V11" i="1"/>
  <c r="AJ11" i="1"/>
  <c r="AX11" i="1"/>
  <c r="BQ11" i="1"/>
  <c r="BR11" i="1"/>
  <c r="CC11" i="1"/>
  <c r="CW11" i="1"/>
  <c r="G301" i="1"/>
  <c r="V301" i="1"/>
  <c r="AJ301" i="1"/>
  <c r="AX301" i="1"/>
  <c r="BQ301" i="1"/>
  <c r="BR301" i="1"/>
  <c r="CC301" i="1"/>
  <c r="CW301" i="1"/>
  <c r="G2219" i="1"/>
  <c r="V2219" i="1"/>
  <c r="AJ2219" i="1"/>
  <c r="AX2219" i="1"/>
  <c r="BQ2219" i="1"/>
  <c r="BR2219" i="1"/>
  <c r="CC2219" i="1"/>
  <c r="CW2219" i="1"/>
  <c r="G295" i="1"/>
  <c r="V295" i="1"/>
  <c r="AJ295" i="1"/>
  <c r="AX295" i="1"/>
  <c r="BQ295" i="1"/>
  <c r="BR295" i="1"/>
  <c r="CC295" i="1"/>
  <c r="CW295" i="1"/>
  <c r="G360" i="1"/>
  <c r="V360" i="1"/>
  <c r="AJ360" i="1"/>
  <c r="AX360" i="1"/>
  <c r="BQ360" i="1"/>
  <c r="BR360" i="1"/>
  <c r="CC360" i="1"/>
  <c r="CW360" i="1"/>
  <c r="G290" i="1"/>
  <c r="V290" i="1"/>
  <c r="AJ290" i="1"/>
  <c r="AX290" i="1"/>
  <c r="BQ290" i="1"/>
  <c r="BR290" i="1"/>
  <c r="CC290" i="1"/>
  <c r="CW290" i="1"/>
  <c r="G372" i="1"/>
  <c r="V372" i="1"/>
  <c r="AJ372" i="1"/>
  <c r="AX372" i="1"/>
  <c r="BQ372" i="1"/>
  <c r="BR372" i="1"/>
  <c r="CC372" i="1"/>
  <c r="CW372" i="1"/>
  <c r="G186" i="1"/>
  <c r="V186" i="1"/>
  <c r="AJ186" i="1"/>
  <c r="AX186" i="1"/>
  <c r="BQ186" i="1"/>
  <c r="BR186" i="1"/>
  <c r="CC186" i="1"/>
  <c r="CW186" i="1"/>
  <c r="G1852" i="1"/>
  <c r="V1852" i="1"/>
  <c r="AJ1852" i="1"/>
  <c r="AX1852" i="1"/>
  <c r="BQ1852" i="1"/>
  <c r="BR1852" i="1"/>
  <c r="CC1852" i="1"/>
  <c r="CW1852" i="1"/>
  <c r="G437" i="1"/>
  <c r="V437" i="1"/>
  <c r="AJ437" i="1"/>
  <c r="AX437" i="1"/>
  <c r="BQ437" i="1"/>
  <c r="BR437" i="1"/>
  <c r="CC437" i="1"/>
  <c r="CW437" i="1"/>
  <c r="G2295" i="1"/>
  <c r="V2295" i="1"/>
  <c r="AJ2295" i="1"/>
  <c r="AX2295" i="1"/>
  <c r="BQ2295" i="1"/>
  <c r="BR2295" i="1"/>
  <c r="CC2295" i="1"/>
  <c r="CW2295" i="1"/>
  <c r="G652" i="1"/>
  <c r="V652" i="1"/>
  <c r="AJ652" i="1"/>
  <c r="AX652" i="1"/>
  <c r="BQ652" i="1"/>
  <c r="BR652" i="1"/>
  <c r="CC652" i="1"/>
  <c r="CW652" i="1"/>
  <c r="G150" i="1"/>
  <c r="V150" i="1"/>
  <c r="AJ150" i="1"/>
  <c r="AX150" i="1"/>
  <c r="BQ150" i="1"/>
  <c r="BR150" i="1"/>
  <c r="CC150" i="1"/>
  <c r="CW150" i="1"/>
  <c r="G399" i="1"/>
  <c r="V399" i="1"/>
  <c r="AJ399" i="1"/>
  <c r="AX399" i="1"/>
  <c r="BQ399" i="1"/>
  <c r="BR399" i="1"/>
  <c r="CC399" i="1"/>
  <c r="CW399" i="1"/>
  <c r="G310" i="1"/>
  <c r="V310" i="1"/>
  <c r="AJ310" i="1"/>
  <c r="AX310" i="1"/>
  <c r="BQ310" i="1"/>
  <c r="BR310" i="1"/>
  <c r="CC310" i="1"/>
  <c r="CW310" i="1"/>
  <c r="G786" i="1"/>
  <c r="V786" i="1"/>
  <c r="AJ786" i="1"/>
  <c r="AX786" i="1"/>
  <c r="BQ786" i="1"/>
  <c r="BR786" i="1"/>
  <c r="CC786" i="1"/>
  <c r="CW786" i="1"/>
  <c r="G2315" i="1"/>
  <c r="V2315" i="1"/>
  <c r="AJ2315" i="1"/>
  <c r="AX2315" i="1"/>
  <c r="BQ2315" i="1"/>
  <c r="BR2315" i="1"/>
  <c r="CC2315" i="1"/>
  <c r="CW2315" i="1"/>
  <c r="G7" i="1"/>
  <c r="V7" i="1"/>
  <c r="AJ7" i="1"/>
  <c r="AX7" i="1"/>
  <c r="BQ7" i="1"/>
  <c r="BR7" i="1"/>
  <c r="CC7" i="1"/>
  <c r="CW7" i="1"/>
  <c r="G112" i="1"/>
  <c r="V112" i="1"/>
  <c r="AJ112" i="1"/>
  <c r="AX112" i="1"/>
  <c r="BQ112" i="1"/>
  <c r="BR112" i="1"/>
  <c r="CC112" i="1"/>
  <c r="CW112" i="1"/>
  <c r="G2336" i="1"/>
  <c r="V2336" i="1"/>
  <c r="AJ2336" i="1"/>
  <c r="AX2336" i="1"/>
  <c r="BQ2336" i="1"/>
  <c r="BR2336" i="1"/>
  <c r="CC2336" i="1"/>
  <c r="CW2336" i="1"/>
  <c r="G738" i="1"/>
  <c r="V738" i="1"/>
  <c r="AJ738" i="1"/>
  <c r="AX738" i="1"/>
  <c r="BQ738" i="1"/>
  <c r="BR738" i="1"/>
  <c r="CC738" i="1"/>
  <c r="CK738" i="1"/>
  <c r="CW738" i="1"/>
  <c r="G807" i="1"/>
  <c r="V807" i="1"/>
  <c r="AJ807" i="1"/>
  <c r="AX807" i="1"/>
  <c r="BQ807" i="1"/>
  <c r="BR807" i="1"/>
  <c r="CC807" i="1"/>
  <c r="CW807" i="1"/>
  <c r="G363" i="1"/>
  <c r="V363" i="1"/>
  <c r="AJ363" i="1"/>
  <c r="AX363" i="1"/>
  <c r="BQ363" i="1"/>
  <c r="BR363" i="1"/>
  <c r="CC363" i="1"/>
  <c r="CW363" i="1"/>
  <c r="G158" i="1"/>
  <c r="V158" i="1"/>
  <c r="AJ158" i="1"/>
  <c r="AX158" i="1"/>
  <c r="BQ158" i="1"/>
  <c r="BR158" i="1"/>
  <c r="CC158" i="1"/>
  <c r="CW158" i="1"/>
  <c r="G63" i="1"/>
  <c r="V63" i="1"/>
  <c r="AJ63" i="1"/>
  <c r="AX63" i="1"/>
  <c r="BQ63" i="1"/>
  <c r="BR63" i="1"/>
  <c r="CC63" i="1"/>
  <c r="CW63" i="1"/>
  <c r="G1854" i="1"/>
  <c r="V1854" i="1"/>
  <c r="AJ1854" i="1"/>
  <c r="AX1854" i="1"/>
  <c r="BQ1854" i="1"/>
  <c r="BR1854" i="1"/>
  <c r="CC1854" i="1"/>
  <c r="CW1854" i="1"/>
  <c r="G1822" i="1"/>
  <c r="V1822" i="1"/>
  <c r="AJ1822" i="1"/>
  <c r="AX1822" i="1"/>
  <c r="BQ1822" i="1"/>
  <c r="BR1822" i="1"/>
  <c r="CC1822" i="1"/>
  <c r="CW1822" i="1"/>
  <c r="G423" i="1"/>
  <c r="V423" i="1"/>
  <c r="AJ423" i="1"/>
  <c r="AX423" i="1"/>
  <c r="BQ423" i="1"/>
  <c r="BR423" i="1"/>
  <c r="CC423" i="1"/>
  <c r="CW423" i="1"/>
  <c r="G825" i="1"/>
  <c r="V825" i="1"/>
  <c r="AJ825" i="1"/>
  <c r="AX825" i="1"/>
  <c r="BQ825" i="1"/>
  <c r="BR825" i="1"/>
  <c r="CC825" i="1"/>
  <c r="CW825" i="1"/>
  <c r="G53" i="1"/>
  <c r="V53" i="1"/>
  <c r="AJ53" i="1"/>
  <c r="AX53" i="1"/>
  <c r="BQ53" i="1"/>
  <c r="BR53" i="1"/>
  <c r="CC53" i="1"/>
  <c r="CW53" i="1"/>
  <c r="G25" i="1"/>
  <c r="V25" i="1"/>
  <c r="AJ25" i="1"/>
  <c r="AX25" i="1"/>
  <c r="BQ25" i="1"/>
  <c r="BR25" i="1"/>
  <c r="CC25" i="1"/>
  <c r="CW25" i="1"/>
  <c r="G662" i="1"/>
  <c r="V662" i="1"/>
  <c r="AJ662" i="1"/>
  <c r="AX662" i="1"/>
  <c r="BQ662" i="1"/>
  <c r="BR662" i="1"/>
  <c r="CC662" i="1"/>
  <c r="CW662" i="1"/>
  <c r="G30" i="1"/>
  <c r="V30" i="1"/>
  <c r="AJ30" i="1"/>
  <c r="AX30" i="1"/>
  <c r="BQ30" i="1"/>
  <c r="BR30" i="1"/>
  <c r="CC30" i="1"/>
  <c r="CW30" i="1"/>
  <c r="G155" i="1"/>
  <c r="V155" i="1"/>
  <c r="AJ155" i="1"/>
  <c r="AX155" i="1"/>
  <c r="BQ155" i="1"/>
  <c r="BR155" i="1"/>
  <c r="CC155" i="1"/>
  <c r="CW155" i="1"/>
  <c r="G2299" i="1"/>
  <c r="V2299" i="1"/>
  <c r="AJ2299" i="1"/>
  <c r="AX2299" i="1"/>
  <c r="BQ2299" i="1"/>
  <c r="BR2299" i="1"/>
  <c r="CC2299" i="1"/>
  <c r="CW2299" i="1"/>
  <c r="G434" i="1"/>
  <c r="V434" i="1"/>
  <c r="AJ434" i="1"/>
  <c r="AX434" i="1"/>
  <c r="BQ434" i="1"/>
  <c r="BR434" i="1"/>
  <c r="CC434" i="1"/>
  <c r="CW434" i="1"/>
  <c r="G613" i="1"/>
  <c r="V613" i="1"/>
  <c r="AJ613" i="1"/>
  <c r="AX613" i="1"/>
  <c r="BQ613" i="1"/>
  <c r="BR613" i="1"/>
  <c r="CC613" i="1"/>
  <c r="CW613" i="1"/>
  <c r="G387" i="1"/>
  <c r="V387" i="1"/>
  <c r="AJ387" i="1"/>
  <c r="AX387" i="1"/>
  <c r="BQ387" i="1"/>
  <c r="BR387" i="1"/>
  <c r="CC387" i="1"/>
  <c r="CW387" i="1"/>
  <c r="G265" i="1"/>
  <c r="V265" i="1"/>
  <c r="AJ265" i="1"/>
  <c r="AX265" i="1"/>
  <c r="BQ265" i="1"/>
  <c r="BR265" i="1"/>
  <c r="CC265" i="1"/>
  <c r="CW265" i="1"/>
  <c r="G696" i="1"/>
  <c r="V696" i="1"/>
  <c r="AJ696" i="1"/>
  <c r="AX696" i="1"/>
  <c r="BQ696" i="1"/>
  <c r="BR696" i="1"/>
  <c r="CC696" i="1"/>
  <c r="CW696" i="1"/>
  <c r="G588" i="1"/>
  <c r="V588" i="1"/>
  <c r="AJ588" i="1"/>
  <c r="AX588" i="1"/>
  <c r="BQ588" i="1"/>
  <c r="BR588" i="1"/>
  <c r="CC588" i="1"/>
  <c r="CW588" i="1"/>
  <c r="G735" i="1"/>
  <c r="V735" i="1"/>
  <c r="AJ735" i="1"/>
  <c r="AX735" i="1"/>
  <c r="BQ735" i="1"/>
  <c r="BR735" i="1"/>
  <c r="CC735" i="1"/>
  <c r="CW735" i="1"/>
  <c r="G1849" i="1"/>
  <c r="V1849" i="1"/>
  <c r="AJ1849" i="1"/>
  <c r="AX1849" i="1"/>
  <c r="BQ1849" i="1"/>
  <c r="BR1849" i="1"/>
  <c r="CC1849" i="1"/>
  <c r="CW1849" i="1"/>
  <c r="G231" i="1"/>
  <c r="V231" i="1"/>
  <c r="AJ231" i="1"/>
  <c r="AX231" i="1"/>
  <c r="BQ231" i="1"/>
  <c r="BR231" i="1"/>
  <c r="CC231" i="1"/>
  <c r="CW231" i="1"/>
  <c r="G695" i="1"/>
  <c r="V695" i="1"/>
  <c r="AJ695" i="1"/>
  <c r="AX695" i="1"/>
  <c r="BQ695" i="1"/>
  <c r="BR695" i="1"/>
  <c r="CC695" i="1"/>
  <c r="CW695" i="1"/>
  <c r="G279" i="1"/>
  <c r="V279" i="1"/>
  <c r="AJ279" i="1"/>
  <c r="AX279" i="1"/>
  <c r="BQ279" i="1"/>
  <c r="BR279" i="1"/>
  <c r="CC279" i="1"/>
  <c r="CW279" i="1"/>
  <c r="G1778" i="1"/>
  <c r="V1778" i="1"/>
  <c r="AJ1778" i="1"/>
  <c r="AX1778" i="1"/>
  <c r="BQ1778" i="1"/>
  <c r="BR1778" i="1"/>
  <c r="CC1778" i="1"/>
  <c r="CW1778" i="1"/>
  <c r="G2150" i="1"/>
  <c r="V2150" i="1"/>
  <c r="AJ2150" i="1"/>
  <c r="AX2150" i="1"/>
  <c r="BQ2150" i="1"/>
  <c r="BR2150" i="1"/>
  <c r="CC2150" i="1"/>
  <c r="CW2150" i="1"/>
  <c r="G2056" i="1"/>
  <c r="V2056" i="1"/>
  <c r="AJ2056" i="1"/>
  <c r="AX2056" i="1"/>
  <c r="BQ2056" i="1"/>
  <c r="BR2056" i="1"/>
  <c r="CC2056" i="1"/>
  <c r="CW2056" i="1"/>
  <c r="G1354" i="1"/>
  <c r="V1354" i="1"/>
  <c r="AJ1354" i="1"/>
  <c r="AX1354" i="1"/>
  <c r="BQ1354" i="1"/>
  <c r="BR1354" i="1"/>
  <c r="CC1354" i="1"/>
  <c r="CW1354" i="1"/>
  <c r="G343" i="1"/>
  <c r="V343" i="1"/>
  <c r="AJ343" i="1"/>
  <c r="AX343" i="1"/>
  <c r="BQ343" i="1"/>
  <c r="BR343" i="1"/>
  <c r="CC343" i="1"/>
  <c r="CW343" i="1"/>
  <c r="G466" i="1"/>
  <c r="V466" i="1"/>
  <c r="AJ466" i="1"/>
  <c r="AX466" i="1"/>
  <c r="BQ466" i="1"/>
  <c r="BR466" i="1"/>
  <c r="CC466" i="1"/>
  <c r="CW466" i="1"/>
  <c r="G330" i="1"/>
  <c r="V330" i="1"/>
  <c r="AJ330" i="1"/>
  <c r="AX330" i="1"/>
  <c r="BQ330" i="1"/>
  <c r="BR330" i="1"/>
  <c r="CC330" i="1"/>
  <c r="CW330" i="1"/>
  <c r="G2396" i="1"/>
  <c r="V2396" i="1"/>
  <c r="AJ2396" i="1"/>
  <c r="AX2396" i="1"/>
  <c r="BQ2396" i="1"/>
  <c r="BR2396" i="1"/>
  <c r="CC2396" i="1"/>
  <c r="CW2396" i="1"/>
  <c r="G1758" i="1"/>
  <c r="V1758" i="1"/>
  <c r="AJ1758" i="1"/>
  <c r="AX1758" i="1"/>
  <c r="BQ1758" i="1"/>
  <c r="BR1758" i="1"/>
  <c r="CC1758" i="1"/>
  <c r="CW1758" i="1"/>
  <c r="G1039" i="1"/>
  <c r="V1039" i="1"/>
  <c r="AJ1039" i="1"/>
  <c r="AX1039" i="1"/>
  <c r="BQ1039" i="1"/>
  <c r="BR1039" i="1"/>
  <c r="CC1039" i="1"/>
  <c r="CW1039" i="1"/>
  <c r="G2120" i="1"/>
  <c r="V2120" i="1"/>
  <c r="AJ2120" i="1"/>
  <c r="AX2120" i="1"/>
  <c r="BQ2120" i="1"/>
  <c r="BR2120" i="1"/>
  <c r="CC2120" i="1"/>
  <c r="CW2120" i="1"/>
  <c r="G1399" i="1"/>
  <c r="V1399" i="1"/>
  <c r="AJ1399" i="1"/>
  <c r="AX1399" i="1"/>
  <c r="BQ1399" i="1"/>
  <c r="BR1399" i="1"/>
  <c r="CC1399" i="1"/>
  <c r="CW1399" i="1"/>
  <c r="G1410" i="1"/>
  <c r="V1410" i="1"/>
  <c r="AJ1410" i="1"/>
  <c r="AX1410" i="1"/>
  <c r="BQ1410" i="1"/>
  <c r="BR1410" i="1"/>
  <c r="CC1410" i="1"/>
  <c r="CW1410" i="1"/>
  <c r="G1307" i="1"/>
  <c r="V1307" i="1"/>
  <c r="AJ1307" i="1"/>
  <c r="AX1307" i="1"/>
  <c r="BQ1307" i="1"/>
  <c r="BR1307" i="1"/>
  <c r="CC1307" i="1"/>
  <c r="CW1307" i="1"/>
  <c r="G2267" i="1"/>
  <c r="V2267" i="1"/>
  <c r="AJ2267" i="1"/>
  <c r="AX2267" i="1"/>
  <c r="BQ2267" i="1"/>
  <c r="BR2267" i="1"/>
  <c r="CC2267" i="1"/>
  <c r="CW2267" i="1"/>
  <c r="G1796" i="1"/>
  <c r="V1796" i="1"/>
  <c r="AJ1796" i="1"/>
  <c r="AX1796" i="1"/>
  <c r="BQ1796" i="1"/>
  <c r="BR1796" i="1"/>
  <c r="CC1796" i="1"/>
  <c r="CW1796" i="1"/>
  <c r="G1023" i="1"/>
  <c r="V1023" i="1"/>
  <c r="AJ1023" i="1"/>
  <c r="AX1023" i="1"/>
  <c r="BQ1023" i="1"/>
  <c r="BR1023" i="1"/>
  <c r="CC1023" i="1"/>
  <c r="CW1023" i="1"/>
  <c r="G2159" i="1"/>
  <c r="V2159" i="1"/>
  <c r="AJ2159" i="1"/>
  <c r="AX2159" i="1"/>
  <c r="BQ2159" i="1"/>
  <c r="BR2159" i="1"/>
  <c r="CC2159" i="1"/>
  <c r="CW2159" i="1"/>
  <c r="G1396" i="1"/>
  <c r="V1396" i="1"/>
  <c r="AJ1396" i="1"/>
  <c r="AX1396" i="1"/>
  <c r="BQ1396" i="1"/>
  <c r="BR1396" i="1"/>
  <c r="CC1396" i="1"/>
  <c r="CW1396" i="1"/>
  <c r="G1183" i="1"/>
  <c r="V1183" i="1"/>
  <c r="AJ1183" i="1"/>
  <c r="AX1183" i="1"/>
  <c r="BQ1183" i="1"/>
  <c r="BR1183" i="1"/>
  <c r="CC1183" i="1"/>
  <c r="CW1183" i="1"/>
  <c r="G1342" i="1"/>
  <c r="V1342" i="1"/>
  <c r="AJ1342" i="1"/>
  <c r="AX1342" i="1"/>
  <c r="BQ1342" i="1"/>
  <c r="BR1342" i="1"/>
  <c r="CC1342" i="1"/>
  <c r="CW1342" i="1"/>
  <c r="G1240" i="1"/>
  <c r="V1240" i="1"/>
  <c r="AJ1240" i="1"/>
  <c r="AX1240" i="1"/>
  <c r="BQ1240" i="1"/>
  <c r="BR1240" i="1"/>
  <c r="CC1240" i="1"/>
  <c r="CW1240" i="1"/>
  <c r="G1429" i="1"/>
  <c r="V1429" i="1"/>
  <c r="AJ1429" i="1"/>
  <c r="AX1429" i="1"/>
  <c r="BQ1429" i="1"/>
  <c r="BR1429" i="1"/>
  <c r="CC1429" i="1"/>
  <c r="CW1429" i="1"/>
  <c r="G1210" i="1"/>
  <c r="V1210" i="1"/>
  <c r="AJ1210" i="1"/>
  <c r="AX1210" i="1"/>
  <c r="BQ1210" i="1"/>
  <c r="BR1210" i="1"/>
  <c r="CC1210" i="1"/>
  <c r="CW1210" i="1"/>
  <c r="G1893" i="1"/>
  <c r="V1893" i="1"/>
  <c r="AJ1893" i="1"/>
  <c r="AX1893" i="1"/>
  <c r="BQ1893" i="1"/>
  <c r="BR1893" i="1"/>
  <c r="CC1893" i="1"/>
  <c r="CW1893" i="1"/>
  <c r="G2093" i="1"/>
  <c r="V2093" i="1"/>
  <c r="AJ2093" i="1"/>
  <c r="AX2093" i="1"/>
  <c r="BQ2093" i="1"/>
  <c r="BR2093" i="1"/>
  <c r="CC2093" i="1"/>
  <c r="CW2093" i="1"/>
  <c r="G2138" i="1"/>
  <c r="V2138" i="1"/>
  <c r="AJ2138" i="1"/>
  <c r="AX2138" i="1"/>
  <c r="BQ2138" i="1"/>
  <c r="BR2138" i="1"/>
  <c r="CC2138" i="1"/>
  <c r="CW2138" i="1"/>
  <c r="G2022" i="1"/>
  <c r="V2022" i="1"/>
  <c r="AJ2022" i="1"/>
  <c r="AX2022" i="1"/>
  <c r="BQ2022" i="1"/>
  <c r="BR2022" i="1"/>
  <c r="CC2022" i="1"/>
  <c r="CW2022" i="1"/>
  <c r="G1474" i="1"/>
  <c r="V1474" i="1"/>
  <c r="AJ1474" i="1"/>
  <c r="AX1474" i="1"/>
  <c r="BQ1474" i="1"/>
  <c r="BR1474" i="1"/>
  <c r="CC1474" i="1"/>
  <c r="CW1474" i="1"/>
  <c r="G1221" i="1"/>
  <c r="V1221" i="1"/>
  <c r="AJ1221" i="1"/>
  <c r="AX1221" i="1"/>
  <c r="BQ1221" i="1"/>
  <c r="BR1221" i="1"/>
  <c r="CC1221" i="1"/>
  <c r="CW1221" i="1"/>
  <c r="G1231" i="1"/>
  <c r="V1231" i="1"/>
  <c r="AJ1231" i="1"/>
  <c r="AX1231" i="1"/>
  <c r="BQ1231" i="1"/>
  <c r="BR1231" i="1"/>
  <c r="CC1231" i="1"/>
  <c r="CW1231" i="1"/>
  <c r="G1272" i="1"/>
  <c r="V1272" i="1"/>
  <c r="AJ1272" i="1"/>
  <c r="AX1272" i="1"/>
  <c r="BQ1272" i="1"/>
  <c r="BR1272" i="1"/>
  <c r="CC1272" i="1"/>
  <c r="CW1272" i="1"/>
  <c r="G1622" i="1"/>
  <c r="V1622" i="1"/>
  <c r="AJ1622" i="1"/>
  <c r="AX1622" i="1"/>
  <c r="BQ1622" i="1"/>
  <c r="BR1622" i="1"/>
  <c r="CC1622" i="1"/>
  <c r="CW1622" i="1"/>
  <c r="G1602" i="1"/>
  <c r="V1602" i="1"/>
  <c r="AJ1602" i="1"/>
  <c r="AX1602" i="1"/>
  <c r="BQ1602" i="1"/>
  <c r="BR1602" i="1"/>
  <c r="CC1602" i="1"/>
  <c r="CK1602" i="1"/>
  <c r="CW1602" i="1"/>
  <c r="G1218" i="1"/>
  <c r="V1218" i="1"/>
  <c r="AJ1218" i="1"/>
  <c r="AX1218" i="1"/>
  <c r="BQ1218" i="1"/>
  <c r="BR1218" i="1"/>
  <c r="CC1218" i="1"/>
  <c r="CW1218" i="1"/>
  <c r="G1289" i="1"/>
  <c r="V1289" i="1"/>
  <c r="AJ1289" i="1"/>
  <c r="AX1289" i="1"/>
  <c r="BQ1289" i="1"/>
  <c r="BR1289" i="1"/>
  <c r="CC1289" i="1"/>
  <c r="CW1289" i="1"/>
  <c r="G1895" i="1"/>
  <c r="V1895" i="1"/>
  <c r="AJ1895" i="1"/>
  <c r="AX1895" i="1"/>
  <c r="BQ1895" i="1"/>
  <c r="BR1895" i="1"/>
  <c r="CC1895" i="1"/>
  <c r="CW1895" i="1"/>
  <c r="G932" i="1"/>
  <c r="V932" i="1"/>
  <c r="AJ932" i="1"/>
  <c r="AX932" i="1"/>
  <c r="BQ932" i="1"/>
  <c r="BR932" i="1"/>
  <c r="CC932" i="1"/>
  <c r="CW932" i="1"/>
  <c r="G1785" i="1"/>
  <c r="V1785" i="1"/>
  <c r="AJ1785" i="1"/>
  <c r="AX1785" i="1"/>
  <c r="BQ1785" i="1"/>
  <c r="BR1785" i="1"/>
  <c r="CC1785" i="1"/>
  <c r="CW1785" i="1"/>
  <c r="G1736" i="1"/>
  <c r="V1736" i="1"/>
  <c r="AJ1736" i="1"/>
  <c r="AX1736" i="1"/>
  <c r="BQ1736" i="1"/>
  <c r="BR1736" i="1"/>
  <c r="CC1736" i="1"/>
  <c r="CW1736" i="1"/>
  <c r="G1564" i="1"/>
  <c r="V1564" i="1"/>
  <c r="AJ1564" i="1"/>
  <c r="AX1564" i="1"/>
  <c r="BQ1564" i="1"/>
  <c r="BR1564" i="1"/>
  <c r="CC1564" i="1"/>
  <c r="CW1564" i="1"/>
  <c r="G1979" i="1"/>
  <c r="V1979" i="1"/>
  <c r="AJ1979" i="1"/>
  <c r="AX1979" i="1"/>
  <c r="BQ1979" i="1"/>
  <c r="BR1979" i="1"/>
  <c r="CC1979" i="1"/>
  <c r="CW1979" i="1"/>
  <c r="G2226" i="1"/>
  <c r="V2226" i="1"/>
  <c r="AJ2226" i="1"/>
  <c r="AX2226" i="1"/>
  <c r="BQ2226" i="1"/>
  <c r="BR2226" i="1"/>
  <c r="CC2226" i="1"/>
  <c r="CW2226" i="1"/>
  <c r="G1263" i="1"/>
  <c r="V1263" i="1"/>
  <c r="AJ1263" i="1"/>
  <c r="AX1263" i="1"/>
  <c r="BQ1263" i="1"/>
  <c r="BR1263" i="1"/>
  <c r="CC1263" i="1"/>
  <c r="CW1263" i="1"/>
  <c r="G1423" i="1"/>
  <c r="V1423" i="1"/>
  <c r="AJ1423" i="1"/>
  <c r="AX1423" i="1"/>
  <c r="BQ1423" i="1"/>
  <c r="BR1423" i="1"/>
  <c r="CC1423" i="1"/>
  <c r="CW1423" i="1"/>
  <c r="G2237" i="1"/>
  <c r="V2237" i="1"/>
  <c r="AJ2237" i="1"/>
  <c r="AX2237" i="1"/>
  <c r="BQ2237" i="1"/>
  <c r="BR2237" i="1"/>
  <c r="CC2237" i="1"/>
  <c r="CW2237" i="1"/>
  <c r="G1623" i="1"/>
  <c r="V1623" i="1"/>
  <c r="AJ1623" i="1"/>
  <c r="AX1623" i="1"/>
  <c r="BQ1623" i="1"/>
  <c r="BR1623" i="1"/>
  <c r="CC1623" i="1"/>
  <c r="CW1623" i="1"/>
  <c r="G844" i="1"/>
  <c r="V844" i="1"/>
  <c r="AJ844" i="1"/>
  <c r="AX844" i="1"/>
  <c r="BQ844" i="1"/>
  <c r="BR844" i="1"/>
  <c r="CC844" i="1"/>
  <c r="CW844" i="1"/>
  <c r="G1025" i="1"/>
  <c r="V1025" i="1"/>
  <c r="AJ1025" i="1"/>
  <c r="AX1025" i="1"/>
  <c r="BQ1025" i="1"/>
  <c r="BR1025" i="1"/>
  <c r="CC1025" i="1"/>
  <c r="CW1025" i="1"/>
  <c r="G2177" i="1"/>
  <c r="V2177" i="1"/>
  <c r="AJ2177" i="1"/>
  <c r="AX2177" i="1"/>
  <c r="BQ2177" i="1"/>
  <c r="BR2177" i="1"/>
  <c r="CC2177" i="1"/>
  <c r="CW2177" i="1"/>
  <c r="G987" i="1"/>
  <c r="V987" i="1"/>
  <c r="AJ987" i="1"/>
  <c r="AX987" i="1"/>
  <c r="BQ987" i="1"/>
  <c r="BR987" i="1"/>
  <c r="CC987" i="1"/>
  <c r="CW987" i="1"/>
  <c r="G1321" i="1"/>
  <c r="V1321" i="1"/>
  <c r="AJ1321" i="1"/>
  <c r="AX1321" i="1"/>
  <c r="BQ1321" i="1"/>
  <c r="BR1321" i="1"/>
  <c r="CC1321" i="1"/>
  <c r="CW1321" i="1"/>
  <c r="G1989" i="1"/>
  <c r="V1989" i="1"/>
  <c r="AJ1989" i="1"/>
  <c r="AX1989" i="1"/>
  <c r="BQ1989" i="1"/>
  <c r="BR1989" i="1"/>
  <c r="CC1989" i="1"/>
  <c r="CW1989" i="1"/>
  <c r="G1273" i="1"/>
  <c r="V1273" i="1"/>
  <c r="AJ1273" i="1"/>
  <c r="AX1273" i="1"/>
  <c r="BQ1273" i="1"/>
  <c r="BR1273" i="1"/>
  <c r="CC1273" i="1"/>
  <c r="CW1273" i="1"/>
  <c r="G1242" i="1"/>
  <c r="V1242" i="1"/>
  <c r="AJ1242" i="1"/>
  <c r="AX1242" i="1"/>
  <c r="BQ1242" i="1"/>
  <c r="BR1242" i="1"/>
  <c r="CC1242" i="1"/>
  <c r="CW1242" i="1"/>
  <c r="G1279" i="1"/>
  <c r="V1279" i="1"/>
  <c r="AJ1279" i="1"/>
  <c r="AX1279" i="1"/>
  <c r="BQ1279" i="1"/>
  <c r="BR1279" i="1"/>
  <c r="CC1279" i="1"/>
  <c r="CW1279" i="1"/>
  <c r="G1908" i="1"/>
  <c r="V1908" i="1"/>
  <c r="AJ1908" i="1"/>
  <c r="AX1908" i="1"/>
  <c r="BQ1908" i="1"/>
  <c r="BR1908" i="1"/>
  <c r="CC1908" i="1"/>
  <c r="CW1908" i="1"/>
  <c r="G1753" i="1"/>
  <c r="V1753" i="1"/>
  <c r="AJ1753" i="1"/>
  <c r="AX1753" i="1"/>
  <c r="BQ1753" i="1"/>
  <c r="BR1753" i="1"/>
  <c r="CC1753" i="1"/>
  <c r="CW1753" i="1"/>
  <c r="G1100" i="1"/>
  <c r="V1100" i="1"/>
  <c r="AJ1100" i="1"/>
  <c r="AX1100" i="1"/>
  <c r="BQ1100" i="1"/>
  <c r="BR1100" i="1"/>
  <c r="CC1100" i="1"/>
  <c r="CW1100" i="1"/>
  <c r="G919" i="1"/>
  <c r="V919" i="1"/>
  <c r="AJ919" i="1"/>
  <c r="AX919" i="1"/>
  <c r="BQ919" i="1"/>
  <c r="BR919" i="1"/>
  <c r="CC919" i="1"/>
  <c r="CW919" i="1"/>
  <c r="G1597" i="1"/>
  <c r="V1597" i="1"/>
  <c r="AJ1597" i="1"/>
  <c r="AX1597" i="1"/>
  <c r="BQ1597" i="1"/>
  <c r="BR1597" i="1"/>
  <c r="CC1597" i="1"/>
  <c r="CW1597" i="1"/>
  <c r="G930" i="1"/>
  <c r="V930" i="1"/>
  <c r="AJ930" i="1"/>
  <c r="AX930" i="1"/>
  <c r="BQ930" i="1"/>
  <c r="BR930" i="1"/>
  <c r="CC930" i="1"/>
  <c r="CW930" i="1"/>
  <c r="G1391" i="1"/>
  <c r="V1391" i="1"/>
  <c r="AJ1391" i="1"/>
  <c r="AX1391" i="1"/>
  <c r="BQ1391" i="1"/>
  <c r="BR1391" i="1"/>
  <c r="CC1391" i="1"/>
  <c r="CW1391" i="1"/>
  <c r="G2171" i="1"/>
  <c r="V2171" i="1"/>
  <c r="AJ2171" i="1"/>
  <c r="AX2171" i="1"/>
  <c r="BQ2171" i="1"/>
  <c r="BR2171" i="1"/>
  <c r="CC2171" i="1"/>
  <c r="CW2171" i="1"/>
  <c r="G1784" i="1"/>
  <c r="V1784" i="1"/>
  <c r="AJ1784" i="1"/>
  <c r="AX1784" i="1"/>
  <c r="BQ1784" i="1"/>
  <c r="BR1784" i="1"/>
  <c r="CC1784" i="1"/>
  <c r="CW1784" i="1"/>
  <c r="G2180" i="1"/>
  <c r="V2180" i="1"/>
  <c r="AJ2180" i="1"/>
  <c r="AX2180" i="1"/>
  <c r="BQ2180" i="1"/>
  <c r="BR2180" i="1"/>
  <c r="CC2180" i="1"/>
  <c r="CW2180" i="1"/>
  <c r="G1719" i="1"/>
  <c r="V1719" i="1"/>
  <c r="AJ1719" i="1"/>
  <c r="AX1719" i="1"/>
  <c r="BQ1719" i="1"/>
  <c r="BR1719" i="1"/>
  <c r="CC1719" i="1"/>
  <c r="CW1719" i="1"/>
  <c r="G1379" i="1"/>
  <c r="V1379" i="1"/>
  <c r="AJ1379" i="1"/>
  <c r="AX1379" i="1"/>
  <c r="BQ1379" i="1"/>
  <c r="BR1379" i="1"/>
  <c r="CC1379" i="1"/>
  <c r="CW1379" i="1"/>
  <c r="G1418" i="1"/>
  <c r="V1418" i="1"/>
  <c r="AJ1418" i="1"/>
  <c r="AX1418" i="1"/>
  <c r="BQ1418" i="1"/>
  <c r="BR1418" i="1"/>
  <c r="CC1418" i="1"/>
  <c r="CW1418" i="1"/>
  <c r="G1465" i="1"/>
  <c r="V1465" i="1"/>
  <c r="AJ1465" i="1"/>
  <c r="AX1465" i="1"/>
  <c r="BQ1465" i="1"/>
  <c r="BR1465" i="1"/>
  <c r="CC1465" i="1"/>
  <c r="CW1465" i="1"/>
  <c r="G2381" i="1"/>
  <c r="V2381" i="1"/>
  <c r="AJ2381" i="1"/>
  <c r="AX2381" i="1"/>
  <c r="BQ2381" i="1"/>
  <c r="BR2381" i="1"/>
  <c r="CC2381" i="1"/>
  <c r="CW2381" i="1"/>
  <c r="G1384" i="1"/>
  <c r="V1384" i="1"/>
  <c r="AJ1384" i="1"/>
  <c r="AX1384" i="1"/>
  <c r="BQ1384" i="1"/>
  <c r="BR1384" i="1"/>
  <c r="CC1384" i="1"/>
  <c r="CW1384" i="1"/>
  <c r="G2197" i="1"/>
  <c r="V2197" i="1"/>
  <c r="AJ2197" i="1"/>
  <c r="AX2197" i="1"/>
  <c r="BQ2197" i="1"/>
  <c r="BR2197" i="1"/>
  <c r="CC2197" i="1"/>
  <c r="CW2197" i="1"/>
  <c r="G2375" i="1"/>
  <c r="V2375" i="1"/>
  <c r="AJ2375" i="1"/>
  <c r="AX2375" i="1"/>
  <c r="BQ2375" i="1"/>
  <c r="BR2375" i="1"/>
  <c r="CC2375" i="1"/>
  <c r="CW2375" i="1"/>
  <c r="G2007" i="1"/>
  <c r="V2007" i="1"/>
  <c r="AJ2007" i="1"/>
  <c r="AX2007" i="1"/>
  <c r="BQ2007" i="1"/>
  <c r="BR2007" i="1"/>
  <c r="CC2007" i="1"/>
  <c r="CW2007" i="1"/>
  <c r="G2206" i="1"/>
  <c r="V2206" i="1"/>
  <c r="AJ2206" i="1"/>
  <c r="AX2206" i="1"/>
  <c r="BQ2206" i="1"/>
  <c r="BR2206" i="1"/>
  <c r="CC2206" i="1"/>
  <c r="CW2206" i="1"/>
  <c r="G948" i="1"/>
  <c r="V948" i="1"/>
  <c r="AJ948" i="1"/>
  <c r="AX948" i="1"/>
  <c r="BQ948" i="1"/>
  <c r="BR948" i="1"/>
  <c r="CC948" i="1"/>
  <c r="CW948" i="1"/>
  <c r="G974" i="1"/>
  <c r="V974" i="1"/>
  <c r="AJ974" i="1"/>
  <c r="AX974" i="1"/>
  <c r="BQ974" i="1"/>
  <c r="BR974" i="1"/>
  <c r="CC974" i="1"/>
  <c r="CW974" i="1"/>
  <c r="G1374" i="1"/>
  <c r="V1374" i="1"/>
  <c r="AJ1374" i="1"/>
  <c r="AX1374" i="1"/>
  <c r="BQ1374" i="1"/>
  <c r="BR1374" i="1"/>
  <c r="CC1374" i="1"/>
  <c r="CW1374" i="1"/>
  <c r="G2246" i="1"/>
  <c r="V2246" i="1"/>
  <c r="AJ2246" i="1"/>
  <c r="AX2246" i="1"/>
  <c r="BQ2246" i="1"/>
  <c r="BR2246" i="1"/>
  <c r="CC2246" i="1"/>
  <c r="CW2246" i="1"/>
  <c r="G936" i="1"/>
  <c r="V936" i="1"/>
  <c r="AJ936" i="1"/>
  <c r="AX936" i="1"/>
  <c r="BQ936" i="1"/>
  <c r="BR936" i="1"/>
  <c r="CC936" i="1"/>
  <c r="CW936" i="1"/>
  <c r="G2072" i="1"/>
  <c r="V2072" i="1"/>
  <c r="AJ2072" i="1"/>
  <c r="AX2072" i="1"/>
  <c r="BQ2072" i="1"/>
  <c r="BR2072" i="1"/>
  <c r="CC2072" i="1"/>
  <c r="CW2072" i="1"/>
  <c r="G1340" i="1"/>
  <c r="V1340" i="1"/>
  <c r="AJ1340" i="1"/>
  <c r="AX1340" i="1"/>
  <c r="BQ1340" i="1"/>
  <c r="BR1340" i="1"/>
  <c r="CC1340" i="1"/>
  <c r="CW1340" i="1"/>
  <c r="G1053" i="1"/>
  <c r="V1053" i="1"/>
  <c r="AJ1053" i="1"/>
  <c r="AX1053" i="1"/>
  <c r="BQ1053" i="1"/>
  <c r="BR1053" i="1"/>
  <c r="CC1053" i="1"/>
  <c r="CW1053" i="1"/>
  <c r="G1054" i="1"/>
  <c r="V1054" i="1"/>
  <c r="AJ1054" i="1"/>
  <c r="AX1054" i="1"/>
  <c r="BQ1054" i="1"/>
  <c r="BR1054" i="1"/>
  <c r="CC1054" i="1"/>
  <c r="CW1054" i="1"/>
  <c r="G854" i="1"/>
  <c r="V854" i="1"/>
  <c r="AJ854" i="1"/>
  <c r="AX854" i="1"/>
  <c r="BQ854" i="1"/>
  <c r="BR854" i="1"/>
  <c r="CC854" i="1"/>
  <c r="CW854" i="1"/>
  <c r="G2062" i="1"/>
  <c r="V2062" i="1"/>
  <c r="AJ2062" i="1"/>
  <c r="AX2062" i="1"/>
  <c r="BQ2062" i="1"/>
  <c r="BR2062" i="1"/>
  <c r="CC2062" i="1"/>
  <c r="CW2062" i="1"/>
  <c r="G1432" i="1"/>
  <c r="V1432" i="1"/>
  <c r="AJ1432" i="1"/>
  <c r="AX1432" i="1"/>
  <c r="BQ1432" i="1"/>
  <c r="BR1432" i="1"/>
  <c r="CC1432" i="1"/>
  <c r="CK1432" i="1"/>
  <c r="CW1432" i="1"/>
  <c r="G879" i="1"/>
  <c r="V879" i="1"/>
  <c r="AJ879" i="1"/>
  <c r="AX879" i="1"/>
  <c r="BQ879" i="1"/>
  <c r="BR879" i="1"/>
  <c r="CC879" i="1"/>
  <c r="CW879" i="1"/>
  <c r="G906" i="1"/>
  <c r="V906" i="1"/>
  <c r="AJ906" i="1"/>
  <c r="AX906" i="1"/>
  <c r="BQ906" i="1"/>
  <c r="BR906" i="1"/>
  <c r="CC906" i="1"/>
  <c r="CW906" i="1"/>
  <c r="G1394" i="1"/>
  <c r="V1394" i="1"/>
  <c r="AJ1394" i="1"/>
  <c r="AX1394" i="1"/>
  <c r="BQ1394" i="1"/>
  <c r="BR1394" i="1"/>
  <c r="CC1394" i="1"/>
  <c r="CW1394" i="1"/>
  <c r="G1057" i="1"/>
  <c r="V1057" i="1"/>
  <c r="AJ1057" i="1"/>
  <c r="AX1057" i="1"/>
  <c r="BQ1057" i="1"/>
  <c r="BR1057" i="1"/>
  <c r="CC1057" i="1"/>
  <c r="CW1057" i="1"/>
  <c r="G1184" i="1"/>
  <c r="V1184" i="1"/>
  <c r="AJ1184" i="1"/>
  <c r="AX1184" i="1"/>
  <c r="BQ1184" i="1"/>
  <c r="BR1184" i="1"/>
  <c r="CC1184" i="1"/>
  <c r="CW1184" i="1"/>
  <c r="G2397" i="1"/>
  <c r="V2397" i="1"/>
  <c r="AJ2397" i="1"/>
  <c r="AX2397" i="1"/>
  <c r="BQ2397" i="1"/>
  <c r="BR2397" i="1"/>
  <c r="CC2397" i="1"/>
  <c r="CW2397" i="1"/>
  <c r="G1654" i="1"/>
  <c r="V1654" i="1"/>
  <c r="AJ1654" i="1"/>
  <c r="AX1654" i="1"/>
  <c r="BQ1654" i="1"/>
  <c r="BR1654" i="1"/>
  <c r="CC1654" i="1"/>
  <c r="CW1654" i="1"/>
  <c r="G2181" i="1"/>
  <c r="V2181" i="1"/>
  <c r="AJ2181" i="1"/>
  <c r="AX2181" i="1"/>
  <c r="BQ2181" i="1"/>
  <c r="BR2181" i="1"/>
  <c r="CC2181" i="1"/>
  <c r="CW2181" i="1"/>
  <c r="G191" i="1"/>
  <c r="V191" i="1"/>
  <c r="AJ191" i="1"/>
  <c r="AX191" i="1"/>
  <c r="BQ191" i="1"/>
  <c r="BR191" i="1"/>
  <c r="CC191" i="1"/>
  <c r="CW191" i="1"/>
  <c r="G367" i="1"/>
  <c r="V367" i="1"/>
  <c r="AJ367" i="1"/>
  <c r="AX367" i="1"/>
  <c r="BQ367" i="1"/>
  <c r="BR367" i="1"/>
  <c r="CC367" i="1"/>
  <c r="CW367" i="1"/>
  <c r="G10" i="1"/>
  <c r="V10" i="1"/>
  <c r="AJ10" i="1"/>
  <c r="AX10" i="1"/>
  <c r="BQ10" i="1"/>
  <c r="BR10" i="1"/>
  <c r="CC10" i="1"/>
  <c r="CW10" i="1"/>
  <c r="G714" i="1"/>
  <c r="V714" i="1"/>
  <c r="AJ714" i="1"/>
  <c r="AX714" i="1"/>
  <c r="BQ714" i="1"/>
  <c r="BR714" i="1"/>
  <c r="CC714" i="1"/>
  <c r="CW714" i="1"/>
  <c r="G2309" i="1"/>
  <c r="V2309" i="1"/>
  <c r="AJ2309" i="1"/>
  <c r="AX2309" i="1"/>
  <c r="BQ2309" i="1"/>
  <c r="BR2309" i="1"/>
  <c r="CC2309" i="1"/>
  <c r="CW2309" i="1"/>
  <c r="G446" i="1"/>
  <c r="V446" i="1"/>
  <c r="AJ446" i="1"/>
  <c r="AX446" i="1"/>
  <c r="BQ446" i="1"/>
  <c r="BR446" i="1"/>
  <c r="CC446" i="1"/>
  <c r="CW446" i="1"/>
  <c r="G317" i="1"/>
  <c r="V317" i="1"/>
  <c r="AJ317" i="1"/>
  <c r="AX317" i="1"/>
  <c r="BQ317" i="1"/>
  <c r="BR317" i="1"/>
  <c r="CC317" i="1"/>
  <c r="CW317" i="1"/>
  <c r="G263" i="1"/>
  <c r="V263" i="1"/>
  <c r="AJ263" i="1"/>
  <c r="AX263" i="1"/>
  <c r="BQ263" i="1"/>
  <c r="BR263" i="1"/>
  <c r="CC263" i="1"/>
  <c r="CW263" i="1"/>
  <c r="G50" i="1"/>
  <c r="V50" i="1"/>
  <c r="AJ50" i="1"/>
  <c r="AX50" i="1"/>
  <c r="BQ50" i="1"/>
  <c r="BR50" i="1"/>
  <c r="CC50" i="1"/>
  <c r="CW50" i="1"/>
  <c r="G141" i="1"/>
  <c r="V141" i="1"/>
  <c r="AJ141" i="1"/>
  <c r="AX141" i="1"/>
  <c r="BQ141" i="1"/>
  <c r="BR141" i="1"/>
  <c r="CC141" i="1"/>
  <c r="CW141" i="1"/>
  <c r="G649" i="1"/>
  <c r="V649" i="1"/>
  <c r="AJ649" i="1"/>
  <c r="AX649" i="1"/>
  <c r="BQ649" i="1"/>
  <c r="BR649" i="1"/>
  <c r="CC649" i="1"/>
  <c r="CW649" i="1"/>
  <c r="G469" i="1"/>
  <c r="V469" i="1"/>
  <c r="AJ469" i="1"/>
  <c r="AX469" i="1"/>
  <c r="BQ469" i="1"/>
  <c r="BR469" i="1"/>
  <c r="CC469" i="1"/>
  <c r="CW469" i="1"/>
  <c r="G625" i="1"/>
  <c r="V625" i="1"/>
  <c r="AJ625" i="1"/>
  <c r="AX625" i="1"/>
  <c r="BQ625" i="1"/>
  <c r="BR625" i="1"/>
  <c r="CC625" i="1"/>
  <c r="CW625" i="1"/>
  <c r="G86" i="1"/>
  <c r="V86" i="1"/>
  <c r="AJ86" i="1"/>
  <c r="AX86" i="1"/>
  <c r="BQ86" i="1"/>
  <c r="BR86" i="1"/>
  <c r="CC86" i="1"/>
  <c r="CW86" i="1"/>
  <c r="G56" i="1"/>
  <c r="V56" i="1"/>
  <c r="AJ56" i="1"/>
  <c r="AX56" i="1"/>
  <c r="BQ56" i="1"/>
  <c r="BR56" i="1"/>
  <c r="CC56" i="1"/>
  <c r="CW56" i="1"/>
  <c r="G752" i="1"/>
  <c r="V752" i="1"/>
  <c r="AJ752" i="1"/>
  <c r="AX752" i="1"/>
  <c r="BQ752" i="1"/>
  <c r="BR752" i="1"/>
  <c r="CC752" i="1"/>
  <c r="CW752" i="1"/>
  <c r="G120" i="1"/>
  <c r="V120" i="1"/>
  <c r="AJ120" i="1"/>
  <c r="AX120" i="1"/>
  <c r="BQ120" i="1"/>
  <c r="BR120" i="1"/>
  <c r="CC120" i="1"/>
  <c r="CW120" i="1"/>
  <c r="G623" i="1"/>
  <c r="V623" i="1"/>
  <c r="AJ623" i="1"/>
  <c r="AX623" i="1"/>
  <c r="BQ623" i="1"/>
  <c r="BR623" i="1"/>
  <c r="CC623" i="1"/>
  <c r="CW623" i="1"/>
  <c r="G1827" i="1"/>
  <c r="V1827" i="1"/>
  <c r="AJ1827" i="1"/>
  <c r="AX1827" i="1"/>
  <c r="BQ1827" i="1"/>
  <c r="BR1827" i="1"/>
  <c r="CC1827" i="1"/>
  <c r="CW1827" i="1"/>
  <c r="G486" i="1"/>
  <c r="V486" i="1"/>
  <c r="AJ486" i="1"/>
  <c r="AX486" i="1"/>
  <c r="BQ486" i="1"/>
  <c r="BR486" i="1"/>
  <c r="CC486" i="1"/>
  <c r="CW486" i="1"/>
  <c r="G591" i="1"/>
  <c r="V591" i="1"/>
  <c r="AJ591" i="1"/>
  <c r="AX591" i="1"/>
  <c r="BQ591" i="1"/>
  <c r="BR591" i="1"/>
  <c r="CC591" i="1"/>
  <c r="CW591" i="1"/>
  <c r="G681" i="1"/>
  <c r="V681" i="1"/>
  <c r="AJ681" i="1"/>
  <c r="AX681" i="1"/>
  <c r="BQ681" i="1"/>
  <c r="BR681" i="1"/>
  <c r="CC681" i="1"/>
  <c r="CW681" i="1"/>
  <c r="G170" i="1"/>
  <c r="V170" i="1"/>
  <c r="AJ170" i="1"/>
  <c r="AX170" i="1"/>
  <c r="BQ170" i="1"/>
  <c r="BR170" i="1"/>
  <c r="CC170" i="1"/>
  <c r="CW170" i="1"/>
  <c r="G410" i="1"/>
  <c r="V410" i="1"/>
  <c r="AJ410" i="1"/>
  <c r="AX410" i="1"/>
  <c r="BQ410" i="1"/>
  <c r="BR410" i="1"/>
  <c r="CC410" i="1"/>
  <c r="CW410" i="1"/>
  <c r="G118" i="1"/>
  <c r="V118" i="1"/>
  <c r="AJ118" i="1"/>
  <c r="AX118" i="1"/>
  <c r="BQ118" i="1"/>
  <c r="BR118" i="1"/>
  <c r="CC118" i="1"/>
  <c r="CW118" i="1"/>
  <c r="G1847" i="1"/>
  <c r="V1847" i="1"/>
  <c r="AJ1847" i="1"/>
  <c r="AX1847" i="1"/>
  <c r="BQ1847" i="1"/>
  <c r="BR1847" i="1"/>
  <c r="CC1847" i="1"/>
  <c r="CW1847" i="1"/>
  <c r="G193" i="1"/>
  <c r="V193" i="1"/>
  <c r="AJ193" i="1"/>
  <c r="AX193" i="1"/>
  <c r="BQ193" i="1"/>
  <c r="BR193" i="1"/>
  <c r="CC193" i="1"/>
  <c r="CW193" i="1"/>
  <c r="G291" i="1"/>
  <c r="V291" i="1"/>
  <c r="AJ291" i="1"/>
  <c r="AX291" i="1"/>
  <c r="BQ291" i="1"/>
  <c r="BR291" i="1"/>
  <c r="CC291" i="1"/>
  <c r="CW291" i="1"/>
  <c r="G196" i="1"/>
  <c r="V196" i="1"/>
  <c r="AJ196" i="1"/>
  <c r="AX196" i="1"/>
  <c r="BQ196" i="1"/>
  <c r="BR196" i="1"/>
  <c r="CC196" i="1"/>
  <c r="CW196" i="1"/>
  <c r="G47" i="1"/>
  <c r="V47" i="1"/>
  <c r="AJ47" i="1"/>
  <c r="AX47" i="1"/>
  <c r="BQ47" i="1"/>
  <c r="BR47" i="1"/>
  <c r="CC47" i="1"/>
  <c r="CW47" i="1"/>
  <c r="G136" i="1"/>
  <c r="V136" i="1"/>
  <c r="AJ136" i="1"/>
  <c r="AX136" i="1"/>
  <c r="BQ136" i="1"/>
  <c r="BR136" i="1"/>
  <c r="CC136" i="1"/>
  <c r="CW136" i="1"/>
  <c r="G275" i="1"/>
  <c r="V275" i="1"/>
  <c r="AJ275" i="1"/>
  <c r="AX275" i="1"/>
  <c r="BQ275" i="1"/>
  <c r="BR275" i="1"/>
  <c r="CC275" i="1"/>
  <c r="CW275" i="1"/>
  <c r="G595" i="1"/>
  <c r="V595" i="1"/>
  <c r="AJ595" i="1"/>
  <c r="AX595" i="1"/>
  <c r="BQ595" i="1"/>
  <c r="BR595" i="1"/>
  <c r="CC595" i="1"/>
  <c r="CW595" i="1"/>
  <c r="G672" i="1"/>
  <c r="V672" i="1"/>
  <c r="AJ672" i="1"/>
  <c r="AX672" i="1"/>
  <c r="BQ672" i="1"/>
  <c r="BR672" i="1"/>
  <c r="CC672" i="1"/>
  <c r="CW672" i="1"/>
  <c r="G472" i="1"/>
  <c r="V472" i="1"/>
  <c r="AJ472" i="1"/>
  <c r="AX472" i="1"/>
  <c r="BQ472" i="1"/>
  <c r="BR472" i="1"/>
  <c r="CC472" i="1"/>
  <c r="CW472" i="1"/>
  <c r="G139" i="1"/>
  <c r="V139" i="1"/>
  <c r="AJ139" i="1"/>
  <c r="AX139" i="1"/>
  <c r="BQ139" i="1"/>
  <c r="BR139" i="1"/>
  <c r="CC139" i="1"/>
  <c r="CW139" i="1"/>
  <c r="G547" i="1"/>
  <c r="V547" i="1"/>
  <c r="AJ547" i="1"/>
  <c r="AX547" i="1"/>
  <c r="BQ547" i="1"/>
  <c r="BR547" i="1"/>
  <c r="CC547" i="1"/>
  <c r="CW547" i="1"/>
  <c r="G74" i="1"/>
  <c r="V74" i="1"/>
  <c r="AJ74" i="1"/>
  <c r="AX74" i="1"/>
  <c r="BQ74" i="1"/>
  <c r="BR74" i="1"/>
  <c r="CC74" i="1"/>
  <c r="CW74" i="1"/>
  <c r="G299" i="1"/>
  <c r="V299" i="1"/>
  <c r="AJ299" i="1"/>
  <c r="AX299" i="1"/>
  <c r="BQ299" i="1"/>
  <c r="BR299" i="1"/>
  <c r="CC299" i="1"/>
  <c r="CW299" i="1"/>
  <c r="G777" i="1"/>
  <c r="V777" i="1"/>
  <c r="AJ777" i="1"/>
  <c r="AX777" i="1"/>
  <c r="BQ777" i="1"/>
  <c r="BR777" i="1"/>
  <c r="CC777" i="1"/>
  <c r="CW777" i="1"/>
  <c r="G96" i="1"/>
  <c r="V96" i="1"/>
  <c r="AJ96" i="1"/>
  <c r="AX96" i="1"/>
  <c r="BQ96" i="1"/>
  <c r="BR96" i="1"/>
  <c r="CC96" i="1"/>
  <c r="CW96" i="1"/>
  <c r="G152" i="1"/>
  <c r="V152" i="1"/>
  <c r="AJ152" i="1"/>
  <c r="AX152" i="1"/>
  <c r="BQ152" i="1"/>
  <c r="BR152" i="1"/>
  <c r="CC152" i="1"/>
  <c r="CW152" i="1"/>
  <c r="G739" i="1"/>
  <c r="V739" i="1"/>
  <c r="AJ739" i="1"/>
  <c r="AX739" i="1"/>
  <c r="BQ739" i="1"/>
  <c r="BR739" i="1"/>
  <c r="CC739" i="1"/>
  <c r="CW739" i="1"/>
  <c r="G16" i="1"/>
  <c r="V16" i="1"/>
  <c r="AJ16" i="1"/>
  <c r="AX16" i="1"/>
  <c r="BQ16" i="1"/>
  <c r="BR16" i="1"/>
  <c r="CC16" i="1"/>
  <c r="CW16" i="1"/>
  <c r="G720" i="1"/>
  <c r="V720" i="1"/>
  <c r="AJ720" i="1"/>
  <c r="AX720" i="1"/>
  <c r="BQ720" i="1"/>
  <c r="BR720" i="1"/>
  <c r="CC720" i="1"/>
  <c r="CW720" i="1"/>
  <c r="G432" i="1"/>
  <c r="V432" i="1"/>
  <c r="AJ432" i="1"/>
  <c r="AX432" i="1"/>
  <c r="BQ432" i="1"/>
  <c r="BR432" i="1"/>
  <c r="CC432" i="1"/>
  <c r="CW432" i="1"/>
  <c r="G827" i="1"/>
  <c r="V827" i="1"/>
  <c r="AJ827" i="1"/>
  <c r="AX827" i="1"/>
  <c r="BQ827" i="1"/>
  <c r="BR827" i="1"/>
  <c r="CC827" i="1"/>
  <c r="CW827" i="1"/>
  <c r="G267" i="1"/>
  <c r="V267" i="1"/>
  <c r="AJ267" i="1"/>
  <c r="AX267" i="1"/>
  <c r="BQ267" i="1"/>
  <c r="BR267" i="1"/>
  <c r="CC267" i="1"/>
  <c r="CW267" i="1"/>
  <c r="G43" i="1"/>
  <c r="V43" i="1"/>
  <c r="AJ43" i="1"/>
  <c r="AX43" i="1"/>
  <c r="BQ43" i="1"/>
  <c r="BR43" i="1"/>
  <c r="CC43" i="1"/>
  <c r="CW43" i="1"/>
  <c r="G510" i="1"/>
  <c r="V510" i="1"/>
  <c r="AJ510" i="1"/>
  <c r="AX510" i="1"/>
  <c r="BQ510" i="1"/>
  <c r="BR510" i="1"/>
  <c r="CC510" i="1"/>
  <c r="CW510" i="1"/>
  <c r="G1868" i="1"/>
  <c r="V1868" i="1"/>
  <c r="AJ1868" i="1"/>
  <c r="AX1868" i="1"/>
  <c r="BQ1868" i="1"/>
  <c r="BR1868" i="1"/>
  <c r="CC1868" i="1"/>
  <c r="CW1868" i="1"/>
  <c r="G1746" i="1"/>
  <c r="V1746" i="1"/>
  <c r="AJ1746" i="1"/>
  <c r="AX1746" i="1"/>
  <c r="BQ1746" i="1"/>
  <c r="BR1746" i="1"/>
  <c r="CC1746" i="1"/>
  <c r="CW1746" i="1"/>
  <c r="G1477" i="1"/>
  <c r="V1477" i="1"/>
  <c r="AJ1477" i="1"/>
  <c r="AX1477" i="1"/>
  <c r="BQ1477" i="1"/>
  <c r="BR1477" i="1"/>
  <c r="CC1477" i="1"/>
  <c r="CW1477" i="1"/>
  <c r="G624" i="1"/>
  <c r="V624" i="1"/>
  <c r="AJ624" i="1"/>
  <c r="AX624" i="1"/>
  <c r="BQ624" i="1"/>
  <c r="BR624" i="1"/>
  <c r="CC624" i="1"/>
  <c r="CW624" i="1"/>
  <c r="G1986" i="1"/>
  <c r="V1986" i="1"/>
  <c r="AJ1986" i="1"/>
  <c r="AX1986" i="1"/>
  <c r="BQ1986" i="1"/>
  <c r="BR1986" i="1"/>
  <c r="CC1986" i="1"/>
  <c r="CW1986" i="1"/>
  <c r="G734" i="1"/>
  <c r="V734" i="1"/>
  <c r="AJ734" i="1"/>
  <c r="AX734" i="1"/>
  <c r="BQ734" i="1"/>
  <c r="BR734" i="1"/>
  <c r="CC734" i="1"/>
  <c r="CW734" i="1"/>
  <c r="G341" i="1"/>
  <c r="V341" i="1"/>
  <c r="AJ341" i="1"/>
  <c r="AX341" i="1"/>
  <c r="BQ341" i="1"/>
  <c r="BR341" i="1"/>
  <c r="CC341" i="1"/>
  <c r="CW341" i="1"/>
  <c r="G2213" i="1"/>
  <c r="V2213" i="1"/>
  <c r="AJ2213" i="1"/>
  <c r="AX2213" i="1"/>
  <c r="BQ2213" i="1"/>
  <c r="BR2213" i="1"/>
  <c r="CC2213" i="1"/>
  <c r="CW2213" i="1"/>
  <c r="G123" i="1"/>
  <c r="V123" i="1"/>
  <c r="AJ123" i="1"/>
  <c r="AX123" i="1"/>
  <c r="BQ123" i="1"/>
  <c r="BR123" i="1"/>
  <c r="CC123" i="1"/>
  <c r="CW123" i="1"/>
  <c r="G1359" i="1"/>
  <c r="V1359" i="1"/>
  <c r="AJ1359" i="1"/>
  <c r="AX1359" i="1"/>
  <c r="BQ1359" i="1"/>
  <c r="BR1359" i="1"/>
  <c r="CC1359" i="1"/>
  <c r="CW1359" i="1"/>
  <c r="G621" i="1"/>
  <c r="V621" i="1"/>
  <c r="AJ621" i="1"/>
  <c r="AX621" i="1"/>
  <c r="BQ621" i="1"/>
  <c r="BR621" i="1"/>
  <c r="CC621" i="1"/>
  <c r="CW621" i="1"/>
  <c r="G2378" i="1"/>
  <c r="V2378" i="1"/>
  <c r="AJ2378" i="1"/>
  <c r="AX2378" i="1"/>
  <c r="BQ2378" i="1"/>
  <c r="BR2378" i="1"/>
  <c r="CC2378" i="1"/>
  <c r="CW2378" i="1"/>
  <c r="G850" i="1"/>
  <c r="V850" i="1"/>
  <c r="AJ850" i="1"/>
  <c r="AX850" i="1"/>
  <c r="BQ850" i="1"/>
  <c r="BR850" i="1"/>
  <c r="CC850" i="1"/>
  <c r="CW850" i="1"/>
  <c r="G1038" i="1"/>
  <c r="V1038" i="1"/>
  <c r="AJ1038" i="1"/>
  <c r="AX1038" i="1"/>
  <c r="BQ1038" i="1"/>
  <c r="BR1038" i="1"/>
  <c r="CC1038" i="1"/>
  <c r="CW1038" i="1"/>
  <c r="G1024" i="1"/>
  <c r="V1024" i="1"/>
  <c r="AJ1024" i="1"/>
  <c r="AX1024" i="1"/>
  <c r="BQ1024" i="1"/>
  <c r="BR1024" i="1"/>
  <c r="CC1024" i="1"/>
  <c r="CW1024" i="1"/>
  <c r="G928" i="1"/>
  <c r="V928" i="1"/>
  <c r="AJ928" i="1"/>
  <c r="AX928" i="1"/>
  <c r="BQ928" i="1"/>
  <c r="BR928" i="1"/>
  <c r="CC928" i="1"/>
  <c r="CW928" i="1"/>
  <c r="G1193" i="1"/>
  <c r="V1193" i="1"/>
  <c r="AJ1193" i="1"/>
  <c r="AX1193" i="1"/>
  <c r="BQ1193" i="1"/>
  <c r="BR1193" i="1"/>
  <c r="CC1193" i="1"/>
  <c r="CW1193" i="1"/>
  <c r="G2001" i="1"/>
  <c r="V2001" i="1"/>
  <c r="AJ2001" i="1"/>
  <c r="AX2001" i="1"/>
  <c r="BQ2001" i="1"/>
  <c r="BR2001" i="1"/>
  <c r="CC2001" i="1"/>
  <c r="CW2001" i="1"/>
  <c r="G1008" i="1"/>
  <c r="V1008" i="1"/>
  <c r="AJ1008" i="1"/>
  <c r="AX1008" i="1"/>
  <c r="BQ1008" i="1"/>
  <c r="BR1008" i="1"/>
  <c r="CC1008" i="1"/>
  <c r="CW1008" i="1"/>
  <c r="G1179" i="1"/>
  <c r="V1179" i="1"/>
  <c r="AJ1179" i="1"/>
  <c r="AX1179" i="1"/>
  <c r="BQ1179" i="1"/>
  <c r="BR1179" i="1"/>
  <c r="CC1179" i="1"/>
  <c r="CW1179" i="1"/>
  <c r="G2012" i="1"/>
  <c r="V2012" i="1"/>
  <c r="AJ2012" i="1"/>
  <c r="AX2012" i="1"/>
  <c r="BQ2012" i="1"/>
  <c r="BR2012" i="1"/>
  <c r="CC2012" i="1"/>
  <c r="CW2012" i="1"/>
  <c r="G1693" i="1"/>
  <c r="V1693" i="1"/>
  <c r="AJ1693" i="1"/>
  <c r="AX1693" i="1"/>
  <c r="BQ1693" i="1"/>
  <c r="BR1693" i="1"/>
  <c r="CC1693" i="1"/>
  <c r="CW1693" i="1"/>
  <c r="G1308" i="1"/>
  <c r="V1308" i="1"/>
  <c r="AJ1308" i="1"/>
  <c r="AX1308" i="1"/>
  <c r="BQ1308" i="1"/>
  <c r="BR1308" i="1"/>
  <c r="CC1308" i="1"/>
  <c r="CW1308" i="1"/>
  <c r="G1441" i="1"/>
  <c r="V1441" i="1"/>
  <c r="AJ1441" i="1"/>
  <c r="AX1441" i="1"/>
  <c r="BQ1441" i="1"/>
  <c r="BR1441" i="1"/>
  <c r="CC1441" i="1"/>
  <c r="CW1441" i="1"/>
  <c r="G1139" i="1"/>
  <c r="V1139" i="1"/>
  <c r="AJ1139" i="1"/>
  <c r="AX1139" i="1"/>
  <c r="BQ1139" i="1"/>
  <c r="BR1139" i="1"/>
  <c r="CC1139" i="1"/>
  <c r="CW1139" i="1"/>
  <c r="G1131" i="1"/>
  <c r="V1131" i="1"/>
  <c r="AJ1131" i="1"/>
  <c r="AX1131" i="1"/>
  <c r="BQ1131" i="1"/>
  <c r="BR1131" i="1"/>
  <c r="CC1131" i="1"/>
  <c r="CW1131" i="1"/>
  <c r="G1190" i="1"/>
  <c r="V1190" i="1"/>
  <c r="AJ1190" i="1"/>
  <c r="AX1190" i="1"/>
  <c r="BQ1190" i="1"/>
  <c r="BR1190" i="1"/>
  <c r="CC1190" i="1"/>
  <c r="CW1190" i="1"/>
  <c r="G1593" i="1"/>
  <c r="V1593" i="1"/>
  <c r="AJ1593" i="1"/>
  <c r="AX1593" i="1"/>
  <c r="BQ1593" i="1"/>
  <c r="BR1593" i="1"/>
  <c r="CC1593" i="1"/>
  <c r="CW1593" i="1"/>
  <c r="G2243" i="1"/>
  <c r="V2243" i="1"/>
  <c r="AJ2243" i="1"/>
  <c r="AX2243" i="1"/>
  <c r="BQ2243" i="1"/>
  <c r="BR2243" i="1"/>
  <c r="CC2243" i="1"/>
  <c r="CW2243" i="1"/>
  <c r="G1481" i="1"/>
  <c r="V1481" i="1"/>
  <c r="AJ1481" i="1"/>
  <c r="AX1481" i="1"/>
  <c r="BQ1481" i="1"/>
  <c r="BR1481" i="1"/>
  <c r="CC1481" i="1"/>
  <c r="CW1481" i="1"/>
  <c r="G1626" i="1"/>
  <c r="V1626" i="1"/>
  <c r="AJ1626" i="1"/>
  <c r="AX1626" i="1"/>
  <c r="BQ1626" i="1"/>
  <c r="BR1626" i="1"/>
  <c r="CC1626" i="1"/>
  <c r="CW1626" i="1"/>
  <c r="G1259" i="1"/>
  <c r="V1259" i="1"/>
  <c r="AJ1259" i="1"/>
  <c r="AX1259" i="1"/>
  <c r="BQ1259" i="1"/>
  <c r="BR1259" i="1"/>
  <c r="CC1259" i="1"/>
  <c r="CW1259" i="1"/>
  <c r="G2383" i="1"/>
  <c r="V2383" i="1"/>
  <c r="AJ2383" i="1"/>
  <c r="AX2383" i="1"/>
  <c r="BQ2383" i="1"/>
  <c r="BR2383" i="1"/>
  <c r="CC2383" i="1"/>
  <c r="CW2383" i="1"/>
  <c r="G2044" i="1"/>
  <c r="V2044" i="1"/>
  <c r="AJ2044" i="1"/>
  <c r="AX2044" i="1"/>
  <c r="BQ2044" i="1"/>
  <c r="BR2044" i="1"/>
  <c r="CC2044" i="1"/>
  <c r="CW2044" i="1"/>
  <c r="G1101" i="1"/>
  <c r="V1101" i="1"/>
  <c r="AJ1101" i="1"/>
  <c r="AX1101" i="1"/>
  <c r="BQ1101" i="1"/>
  <c r="BR1101" i="1"/>
  <c r="CC1101" i="1"/>
  <c r="CW1101" i="1"/>
  <c r="G2052" i="1"/>
  <c r="V2052" i="1"/>
  <c r="AJ2052" i="1"/>
  <c r="AX2052" i="1"/>
  <c r="BQ2052" i="1"/>
  <c r="BR2052" i="1"/>
  <c r="CC2052" i="1"/>
  <c r="CW2052" i="1"/>
  <c r="G885" i="1"/>
  <c r="V885" i="1"/>
  <c r="AJ885" i="1"/>
  <c r="AX885" i="1"/>
  <c r="BQ885" i="1"/>
  <c r="BR885" i="1"/>
  <c r="CC885" i="1"/>
  <c r="CW885" i="1"/>
  <c r="G2077" i="1"/>
  <c r="V2077" i="1"/>
  <c r="AJ2077" i="1"/>
  <c r="AX2077" i="1"/>
  <c r="BQ2077" i="1"/>
  <c r="BR2077" i="1"/>
  <c r="CC2077" i="1"/>
  <c r="CW2077" i="1"/>
  <c r="G2194" i="1"/>
  <c r="V2194" i="1"/>
  <c r="AJ2194" i="1"/>
  <c r="AX2194" i="1"/>
  <c r="BQ2194" i="1"/>
  <c r="BR2194" i="1"/>
  <c r="CC2194" i="1"/>
  <c r="CW2194" i="1"/>
  <c r="G840" i="1"/>
  <c r="V840" i="1"/>
  <c r="AJ840" i="1"/>
  <c r="AX840" i="1"/>
  <c r="BQ840" i="1"/>
  <c r="BR840" i="1"/>
  <c r="CC840" i="1"/>
  <c r="CW840" i="1"/>
  <c r="G1104" i="1"/>
  <c r="V1104" i="1"/>
  <c r="AJ1104" i="1"/>
  <c r="AX1104" i="1"/>
  <c r="BQ1104" i="1"/>
  <c r="BR1104" i="1"/>
  <c r="CC1104" i="1"/>
  <c r="CW1104" i="1"/>
  <c r="G980" i="1"/>
  <c r="V980" i="1"/>
  <c r="AJ980" i="1"/>
  <c r="AX980" i="1"/>
  <c r="BQ980" i="1"/>
  <c r="BR980" i="1"/>
  <c r="CC980" i="1"/>
  <c r="CW980" i="1"/>
  <c r="G1070" i="1"/>
  <c r="V1070" i="1"/>
  <c r="AJ1070" i="1"/>
  <c r="AX1070" i="1"/>
  <c r="BQ1070" i="1"/>
  <c r="BR1070" i="1"/>
  <c r="CC1070" i="1"/>
  <c r="CW1070" i="1"/>
  <c r="G2071" i="1"/>
  <c r="V2071" i="1"/>
  <c r="AJ2071" i="1"/>
  <c r="AX2071" i="1"/>
  <c r="BQ2071" i="1"/>
  <c r="BR2071" i="1"/>
  <c r="CC2071" i="1"/>
  <c r="CW2071" i="1"/>
  <c r="G2373" i="1"/>
  <c r="V2373" i="1"/>
  <c r="AJ2373" i="1"/>
  <c r="AX2373" i="1"/>
  <c r="BQ2373" i="1"/>
  <c r="BR2373" i="1"/>
  <c r="CC2373" i="1"/>
  <c r="CW2373" i="1"/>
  <c r="G1001" i="1"/>
  <c r="V1001" i="1"/>
  <c r="AJ1001" i="1"/>
  <c r="AX1001" i="1"/>
  <c r="BQ1001" i="1"/>
  <c r="BR1001" i="1"/>
  <c r="CC1001" i="1"/>
  <c r="CW1001" i="1"/>
  <c r="G867" i="1"/>
  <c r="V867" i="1"/>
  <c r="AJ867" i="1"/>
  <c r="AX867" i="1"/>
  <c r="BQ867" i="1"/>
  <c r="BR867" i="1"/>
  <c r="CC867" i="1"/>
  <c r="CW867" i="1"/>
  <c r="G1689" i="1"/>
  <c r="V1689" i="1"/>
  <c r="AJ1689" i="1"/>
  <c r="AX1689" i="1"/>
  <c r="BQ1689" i="1"/>
  <c r="BR1689" i="1"/>
  <c r="CC1689" i="1"/>
  <c r="CW1689" i="1"/>
  <c r="G1759" i="1"/>
  <c r="V1759" i="1"/>
  <c r="AJ1759" i="1"/>
  <c r="AX1759" i="1"/>
  <c r="BQ1759" i="1"/>
  <c r="BR1759" i="1"/>
  <c r="CC1759" i="1"/>
  <c r="CW1759" i="1"/>
  <c r="G2264" i="1"/>
  <c r="V2264" i="1"/>
  <c r="AJ2264" i="1"/>
  <c r="AX2264" i="1"/>
  <c r="BQ2264" i="1"/>
  <c r="BR2264" i="1"/>
  <c r="CC2264" i="1"/>
  <c r="CW2264" i="1"/>
  <c r="G2065" i="1"/>
  <c r="V2065" i="1"/>
  <c r="AJ2065" i="1"/>
  <c r="AX2065" i="1"/>
  <c r="BQ2065" i="1"/>
  <c r="BR2065" i="1"/>
  <c r="CC2065" i="1"/>
  <c r="CW2065" i="1"/>
  <c r="G2037" i="1"/>
  <c r="V2037" i="1"/>
  <c r="AJ2037" i="1"/>
  <c r="AX2037" i="1"/>
  <c r="BQ2037" i="1"/>
  <c r="BR2037" i="1"/>
  <c r="CC2037" i="1"/>
  <c r="CW2037" i="1"/>
  <c r="G2252" i="1"/>
  <c r="V2252" i="1"/>
  <c r="AJ2252" i="1"/>
  <c r="AX2252" i="1"/>
  <c r="BQ2252" i="1"/>
  <c r="BR2252" i="1"/>
  <c r="CC2252" i="1"/>
  <c r="CW2252" i="1"/>
  <c r="G2387" i="1"/>
  <c r="V2387" i="1"/>
  <c r="AJ2387" i="1"/>
  <c r="AX2387" i="1"/>
  <c r="BQ2387" i="1"/>
  <c r="BR2387" i="1"/>
  <c r="CC2387" i="1"/>
  <c r="CW2387" i="1"/>
  <c r="G2392" i="1"/>
  <c r="V2392" i="1"/>
  <c r="AJ2392" i="1"/>
  <c r="AX2392" i="1"/>
  <c r="BQ2392" i="1"/>
  <c r="BR2392" i="1"/>
  <c r="CC2392" i="1"/>
  <c r="CW2392" i="1"/>
  <c r="G883" i="1"/>
  <c r="V883" i="1"/>
  <c r="AJ883" i="1"/>
  <c r="AX883" i="1"/>
  <c r="BQ883" i="1"/>
  <c r="BR883" i="1"/>
  <c r="CC883" i="1"/>
  <c r="CW883" i="1"/>
  <c r="G1170" i="1"/>
  <c r="V1170" i="1"/>
  <c r="AJ1170" i="1"/>
  <c r="AX1170" i="1"/>
  <c r="BQ1170" i="1"/>
  <c r="BR1170" i="1"/>
  <c r="CC1170" i="1"/>
  <c r="CW1170" i="1"/>
  <c r="G1911" i="1"/>
  <c r="V1911" i="1"/>
  <c r="AJ1911" i="1"/>
  <c r="AX1911" i="1"/>
  <c r="BQ1911" i="1"/>
  <c r="BR1911" i="1"/>
  <c r="CC1911" i="1"/>
  <c r="CW1911" i="1"/>
  <c r="G955" i="1"/>
  <c r="V955" i="1"/>
  <c r="AJ955" i="1"/>
  <c r="AX955" i="1"/>
  <c r="BQ955" i="1"/>
  <c r="BR955" i="1"/>
  <c r="CC955" i="1"/>
  <c r="CW955" i="1"/>
  <c r="G1014" i="1"/>
  <c r="V1014" i="1"/>
  <c r="AJ1014" i="1"/>
  <c r="AX1014" i="1"/>
  <c r="BQ1014" i="1"/>
  <c r="BR1014" i="1"/>
  <c r="CC1014" i="1"/>
  <c r="CW1014" i="1"/>
  <c r="G1493" i="1"/>
  <c r="V1493" i="1"/>
  <c r="AJ1493" i="1"/>
  <c r="AX1493" i="1"/>
  <c r="BQ1493" i="1"/>
  <c r="BR1493" i="1"/>
  <c r="CC1493" i="1"/>
  <c r="CW1493" i="1"/>
  <c r="G1617" i="1"/>
  <c r="V1617" i="1"/>
  <c r="AJ1617" i="1"/>
  <c r="AX1617" i="1"/>
  <c r="BQ1617" i="1"/>
  <c r="BR1617" i="1"/>
  <c r="CC1617" i="1"/>
  <c r="CW1617" i="1"/>
  <c r="G1706" i="1"/>
  <c r="V1706" i="1"/>
  <c r="AJ1706" i="1"/>
  <c r="AX1706" i="1"/>
  <c r="BQ1706" i="1"/>
  <c r="BR1706" i="1"/>
  <c r="CC1706" i="1"/>
  <c r="CW1706" i="1"/>
  <c r="G2125" i="1"/>
  <c r="V2125" i="1"/>
  <c r="AJ2125" i="1"/>
  <c r="AX2125" i="1"/>
  <c r="BQ2125" i="1"/>
  <c r="BR2125" i="1"/>
  <c r="CC2125" i="1"/>
  <c r="CW2125" i="1"/>
  <c r="G1679" i="1"/>
  <c r="V1679" i="1"/>
  <c r="AJ1679" i="1"/>
  <c r="AX1679" i="1"/>
  <c r="BQ1679" i="1"/>
  <c r="BR1679" i="1"/>
  <c r="CC1679" i="1"/>
  <c r="CW1679" i="1"/>
  <c r="G897" i="1"/>
  <c r="V897" i="1"/>
  <c r="AJ897" i="1"/>
  <c r="AX897" i="1"/>
  <c r="BQ897" i="1"/>
  <c r="BR897" i="1"/>
  <c r="CC897" i="1"/>
  <c r="CW897" i="1"/>
  <c r="G1011" i="1"/>
  <c r="V1011" i="1"/>
  <c r="AJ1011" i="1"/>
  <c r="AX1011" i="1"/>
  <c r="BQ1011" i="1"/>
  <c r="BR1011" i="1"/>
  <c r="CC1011" i="1"/>
  <c r="CW1011" i="1"/>
  <c r="G2046" i="1"/>
  <c r="V2046" i="1"/>
  <c r="AJ2046" i="1"/>
  <c r="AX2046" i="1"/>
  <c r="BQ2046" i="1"/>
  <c r="BR2046" i="1"/>
  <c r="CC2046" i="1"/>
  <c r="CW2046" i="1"/>
  <c r="G1462" i="1"/>
  <c r="V1462" i="1"/>
  <c r="AJ1462" i="1"/>
  <c r="AX1462" i="1"/>
  <c r="BQ1462" i="1"/>
  <c r="BR1462" i="1"/>
  <c r="CC1462" i="1"/>
  <c r="CW1462" i="1"/>
  <c r="G2090" i="1"/>
  <c r="V2090" i="1"/>
  <c r="AJ2090" i="1"/>
  <c r="AX2090" i="1"/>
  <c r="BQ2090" i="1"/>
  <c r="BR2090" i="1"/>
  <c r="CC2090" i="1"/>
  <c r="CW2090" i="1"/>
  <c r="G887" i="1"/>
  <c r="V887" i="1"/>
  <c r="AJ887" i="1"/>
  <c r="AX887" i="1"/>
  <c r="BQ887" i="1"/>
  <c r="BR887" i="1"/>
  <c r="CC887" i="1"/>
  <c r="CW887" i="1"/>
  <c r="G1890" i="1"/>
  <c r="V1890" i="1"/>
  <c r="AJ1890" i="1"/>
  <c r="AX1890" i="1"/>
  <c r="BQ1890" i="1"/>
  <c r="BR1890" i="1"/>
  <c r="CC1890" i="1"/>
  <c r="CW1890" i="1"/>
  <c r="G1065" i="1"/>
  <c r="V1065" i="1"/>
  <c r="AJ1065" i="1"/>
  <c r="AX1065" i="1"/>
  <c r="BQ1065" i="1"/>
  <c r="BR1065" i="1"/>
  <c r="CC1065" i="1"/>
  <c r="CW1065" i="1"/>
  <c r="G1355" i="1"/>
  <c r="V1355" i="1"/>
  <c r="AJ1355" i="1"/>
  <c r="AX1355" i="1"/>
  <c r="BQ1355" i="1"/>
  <c r="BR1355" i="1"/>
  <c r="CC1355" i="1"/>
  <c r="CW1355" i="1"/>
  <c r="G1977" i="1"/>
  <c r="V1977" i="1"/>
  <c r="AJ1977" i="1"/>
  <c r="AX1977" i="1"/>
  <c r="BQ1977" i="1"/>
  <c r="BR1977" i="1"/>
  <c r="CC1977" i="1"/>
  <c r="CW1977" i="1"/>
  <c r="G1288" i="1"/>
  <c r="V1288" i="1"/>
  <c r="AJ1288" i="1"/>
  <c r="AX1288" i="1"/>
  <c r="BQ1288" i="1"/>
  <c r="BR1288" i="1"/>
  <c r="CC1288" i="1"/>
  <c r="CW1288" i="1"/>
  <c r="G1534" i="1"/>
  <c r="V1534" i="1"/>
  <c r="AJ1534" i="1"/>
  <c r="AX1534" i="1"/>
  <c r="BQ1534" i="1"/>
  <c r="BR1534" i="1"/>
  <c r="CC1534" i="1"/>
  <c r="CW1534" i="1"/>
  <c r="G1577" i="1"/>
  <c r="V1577" i="1"/>
  <c r="AJ1577" i="1"/>
  <c r="AX1577" i="1"/>
  <c r="BQ1577" i="1"/>
  <c r="BR1577" i="1"/>
  <c r="CC1577" i="1"/>
  <c r="CW1577" i="1"/>
  <c r="G1793" i="1"/>
  <c r="V1793" i="1"/>
  <c r="AJ1793" i="1"/>
  <c r="AX1793" i="1"/>
  <c r="BQ1793" i="1"/>
  <c r="BR1793" i="1"/>
  <c r="CC1793" i="1"/>
  <c r="CW1793" i="1"/>
  <c r="G859" i="1"/>
  <c r="V859" i="1"/>
  <c r="AJ859" i="1"/>
  <c r="AX859" i="1"/>
  <c r="BQ859" i="1"/>
  <c r="BR859" i="1"/>
  <c r="CC859" i="1"/>
  <c r="CW859" i="1"/>
  <c r="G1115" i="1"/>
  <c r="V1115" i="1"/>
  <c r="AJ1115" i="1"/>
  <c r="AX1115" i="1"/>
  <c r="BQ1115" i="1"/>
  <c r="BR1115" i="1"/>
  <c r="CC1115" i="1"/>
  <c r="CW1115" i="1"/>
  <c r="G1639" i="1"/>
  <c r="V1639" i="1"/>
  <c r="AJ1639" i="1"/>
  <c r="AX1639" i="1"/>
  <c r="BQ1639" i="1"/>
  <c r="BR1639" i="1"/>
  <c r="CC1639" i="1"/>
  <c r="CW1639" i="1"/>
  <c r="G1898" i="1"/>
  <c r="V1898" i="1"/>
  <c r="AJ1898" i="1"/>
  <c r="AX1898" i="1"/>
  <c r="BQ1898" i="1"/>
  <c r="BR1898" i="1"/>
  <c r="CC1898" i="1"/>
  <c r="CW1898" i="1"/>
  <c r="G1365" i="1"/>
  <c r="V1365" i="1"/>
  <c r="AJ1365" i="1"/>
  <c r="AX1365" i="1"/>
  <c r="BQ1365" i="1"/>
  <c r="BR1365" i="1"/>
  <c r="CC1365" i="1"/>
  <c r="CW1365" i="1"/>
  <c r="G2168" i="1"/>
  <c r="V2168" i="1"/>
  <c r="AJ2168" i="1"/>
  <c r="AX2168" i="1"/>
  <c r="BQ2168" i="1"/>
  <c r="BR2168" i="1"/>
  <c r="CC2168" i="1"/>
  <c r="CW2168" i="1"/>
  <c r="G1161" i="1"/>
  <c r="V1161" i="1"/>
  <c r="AJ1161" i="1"/>
  <c r="AX1161" i="1"/>
  <c r="BQ1161" i="1"/>
  <c r="BR1161" i="1"/>
  <c r="CC1161" i="1"/>
  <c r="CW1161" i="1"/>
  <c r="G1638" i="1"/>
  <c r="V1638" i="1"/>
  <c r="AJ1638" i="1"/>
  <c r="AX1638" i="1"/>
  <c r="BQ1638" i="1"/>
  <c r="BR1638" i="1"/>
  <c r="CC1638" i="1"/>
  <c r="CW1638" i="1"/>
  <c r="G954" i="1"/>
  <c r="V954" i="1"/>
  <c r="AJ954" i="1"/>
  <c r="AX954" i="1"/>
  <c r="BQ954" i="1"/>
  <c r="BR954" i="1"/>
  <c r="CC954" i="1"/>
  <c r="CW954" i="1"/>
  <c r="G1281" i="1"/>
  <c r="V1281" i="1"/>
  <c r="AJ1281" i="1"/>
  <c r="AX1281" i="1"/>
  <c r="BQ1281" i="1"/>
  <c r="BR1281" i="1"/>
  <c r="CC1281" i="1"/>
  <c r="CW1281" i="1"/>
  <c r="G958" i="1"/>
  <c r="V958" i="1"/>
  <c r="AJ958" i="1"/>
  <c r="AX958" i="1"/>
  <c r="BQ958" i="1"/>
  <c r="BR958" i="1"/>
  <c r="CC958" i="1"/>
  <c r="CW958" i="1"/>
  <c r="G455" i="1"/>
  <c r="V455" i="1"/>
  <c r="AJ455" i="1"/>
  <c r="AX455" i="1"/>
  <c r="BQ455" i="1"/>
  <c r="BR455" i="1"/>
  <c r="CC455" i="1"/>
  <c r="CW455" i="1"/>
  <c r="G156" i="1"/>
  <c r="V156" i="1"/>
  <c r="AJ156" i="1"/>
  <c r="AX156" i="1"/>
  <c r="BQ156" i="1"/>
  <c r="BR156" i="1"/>
  <c r="CC156" i="1"/>
  <c r="CW156" i="1"/>
  <c r="G749" i="1"/>
  <c r="V749" i="1"/>
  <c r="AJ749" i="1"/>
  <c r="AX749" i="1"/>
  <c r="BQ749" i="1"/>
  <c r="BR749" i="1"/>
  <c r="CC749" i="1"/>
  <c r="CW749" i="1"/>
  <c r="G584" i="1"/>
  <c r="V584" i="1"/>
  <c r="AJ584" i="1"/>
  <c r="AX584" i="1"/>
  <c r="BQ584" i="1"/>
  <c r="BR584" i="1"/>
  <c r="CC584" i="1"/>
  <c r="CW584" i="1"/>
  <c r="G89" i="1"/>
  <c r="V89" i="1"/>
  <c r="AJ89" i="1"/>
  <c r="AX89" i="1"/>
  <c r="BQ89" i="1"/>
  <c r="BR89" i="1"/>
  <c r="CC89" i="1"/>
  <c r="CW89" i="1"/>
  <c r="G282" i="1"/>
  <c r="V282" i="1"/>
  <c r="AJ282" i="1"/>
  <c r="AX282" i="1"/>
  <c r="BQ282" i="1"/>
  <c r="BR282" i="1"/>
  <c r="CC282" i="1"/>
  <c r="CW282" i="1"/>
  <c r="G540" i="1"/>
  <c r="V540" i="1"/>
  <c r="AJ540" i="1"/>
  <c r="AX540" i="1"/>
  <c r="BQ540" i="1"/>
  <c r="BR540" i="1"/>
  <c r="CC540" i="1"/>
  <c r="CW540" i="1"/>
  <c r="G344" i="1"/>
  <c r="V344" i="1"/>
  <c r="AJ344" i="1"/>
  <c r="AX344" i="1"/>
  <c r="BQ344" i="1"/>
  <c r="BR344" i="1"/>
  <c r="CC344" i="1"/>
  <c r="CW344" i="1"/>
  <c r="G480" i="1"/>
  <c r="V480" i="1"/>
  <c r="AJ480" i="1"/>
  <c r="AX480" i="1"/>
  <c r="BQ480" i="1"/>
  <c r="BR480" i="1"/>
  <c r="CC480" i="1"/>
  <c r="CW480" i="1"/>
  <c r="G685" i="1"/>
  <c r="V685" i="1"/>
  <c r="AJ685" i="1"/>
  <c r="AX685" i="1"/>
  <c r="BQ685" i="1"/>
  <c r="BR685" i="1"/>
  <c r="CC685" i="1"/>
  <c r="CW685" i="1"/>
  <c r="G71" i="1"/>
  <c r="V71" i="1"/>
  <c r="AJ71" i="1"/>
  <c r="AX71" i="1"/>
  <c r="BQ71" i="1"/>
  <c r="BR71" i="1"/>
  <c r="CC71" i="1"/>
  <c r="CW71" i="1"/>
  <c r="G94" i="1"/>
  <c r="V94" i="1"/>
  <c r="AJ94" i="1"/>
  <c r="AX94" i="1"/>
  <c r="BQ94" i="1"/>
  <c r="BR94" i="1"/>
  <c r="CC94" i="1"/>
  <c r="CW94" i="1"/>
  <c r="G658" i="1"/>
  <c r="V658" i="1"/>
  <c r="AJ658" i="1"/>
  <c r="AX658" i="1"/>
  <c r="BQ658" i="1"/>
  <c r="BR658" i="1"/>
  <c r="CC658" i="1"/>
  <c r="CW658" i="1"/>
  <c r="G2317" i="1"/>
  <c r="V2317" i="1"/>
  <c r="AJ2317" i="1"/>
  <c r="AX2317" i="1"/>
  <c r="BQ2317" i="1"/>
  <c r="BR2317" i="1"/>
  <c r="CC2317" i="1"/>
  <c r="CW2317" i="1"/>
  <c r="G368" i="1"/>
  <c r="V368" i="1"/>
  <c r="AJ368" i="1"/>
  <c r="AX368" i="1"/>
  <c r="BQ368" i="1"/>
  <c r="BR368" i="1"/>
  <c r="CC368" i="1"/>
  <c r="CW368" i="1"/>
  <c r="G525" i="1"/>
  <c r="V525" i="1"/>
  <c r="AJ525" i="1"/>
  <c r="AX525" i="1"/>
  <c r="BQ525" i="1"/>
  <c r="BR525" i="1"/>
  <c r="CC525" i="1"/>
  <c r="CW525" i="1"/>
  <c r="G2329" i="1"/>
  <c r="V2329" i="1"/>
  <c r="AJ2329" i="1"/>
  <c r="AX2329" i="1"/>
  <c r="BQ2329" i="1"/>
  <c r="BR2329" i="1"/>
  <c r="CC2329" i="1"/>
  <c r="CW2329" i="1"/>
  <c r="G809" i="1"/>
  <c r="V809" i="1"/>
  <c r="AJ809" i="1"/>
  <c r="AX809" i="1"/>
  <c r="BQ809" i="1"/>
  <c r="BR809" i="1"/>
  <c r="CC809" i="1"/>
  <c r="CW809" i="1"/>
  <c r="G166" i="1"/>
  <c r="V166" i="1"/>
  <c r="AJ166" i="1"/>
  <c r="AX166" i="1"/>
  <c r="BQ166" i="1"/>
  <c r="BR166" i="1"/>
  <c r="CC166" i="1"/>
  <c r="CW166" i="1"/>
  <c r="G54" i="1"/>
  <c r="V54" i="1"/>
  <c r="AJ54" i="1"/>
  <c r="AX54" i="1"/>
  <c r="BQ54" i="1"/>
  <c r="BR54" i="1"/>
  <c r="CC54" i="1"/>
  <c r="CW54" i="1"/>
  <c r="G824" i="1"/>
  <c r="V824" i="1"/>
  <c r="AJ824" i="1"/>
  <c r="AX824" i="1"/>
  <c r="BQ824" i="1"/>
  <c r="BR824" i="1"/>
  <c r="CC824" i="1"/>
  <c r="CW824" i="1"/>
  <c r="G126" i="1"/>
  <c r="V126" i="1"/>
  <c r="AJ126" i="1"/>
  <c r="AX126" i="1"/>
  <c r="BQ126" i="1"/>
  <c r="BR126" i="1"/>
  <c r="CC126" i="1"/>
  <c r="CW126" i="1"/>
  <c r="G69" i="1"/>
  <c r="V69" i="1"/>
  <c r="AJ69" i="1"/>
  <c r="AX69" i="1"/>
  <c r="BQ69" i="1"/>
  <c r="BR69" i="1"/>
  <c r="CC69" i="1"/>
  <c r="CW69" i="1"/>
  <c r="G535" i="1"/>
  <c r="V535" i="1"/>
  <c r="AJ535" i="1"/>
  <c r="AX535" i="1"/>
  <c r="BQ535" i="1"/>
  <c r="BR535" i="1"/>
  <c r="CC535" i="1"/>
  <c r="CW535" i="1"/>
  <c r="G520" i="1"/>
  <c r="V520" i="1"/>
  <c r="AJ520" i="1"/>
  <c r="AX520" i="1"/>
  <c r="BQ520" i="1"/>
  <c r="BR520" i="1"/>
  <c r="CC520" i="1"/>
  <c r="CW520" i="1"/>
  <c r="G241" i="1"/>
  <c r="V241" i="1"/>
  <c r="AJ241" i="1"/>
  <c r="AX241" i="1"/>
  <c r="BQ241" i="1"/>
  <c r="BR241" i="1"/>
  <c r="CC241" i="1"/>
  <c r="CW241" i="1"/>
  <c r="G293" i="1"/>
  <c r="V293" i="1"/>
  <c r="AJ293" i="1"/>
  <c r="AX293" i="1"/>
  <c r="BQ293" i="1"/>
  <c r="BR293" i="1"/>
  <c r="CC293" i="1"/>
  <c r="CW293" i="1"/>
  <c r="G513" i="1"/>
  <c r="V513" i="1"/>
  <c r="AJ513" i="1"/>
  <c r="AX513" i="1"/>
  <c r="BQ513" i="1"/>
  <c r="BR513" i="1"/>
  <c r="CC513" i="1"/>
  <c r="CW513" i="1"/>
  <c r="G325" i="1"/>
  <c r="V325" i="1"/>
  <c r="AJ325" i="1"/>
  <c r="AX325" i="1"/>
  <c r="BQ325" i="1"/>
  <c r="BR325" i="1"/>
  <c r="CC325" i="1"/>
  <c r="CW325" i="1"/>
  <c r="G60" i="1"/>
  <c r="V60" i="1"/>
  <c r="AJ60" i="1"/>
  <c r="AX60" i="1"/>
  <c r="BQ60" i="1"/>
  <c r="BR60" i="1"/>
  <c r="CC60" i="1"/>
  <c r="CW60" i="1"/>
  <c r="G78" i="1"/>
  <c r="V78" i="1"/>
  <c r="AJ78" i="1"/>
  <c r="AX78" i="1"/>
  <c r="BQ78" i="1"/>
  <c r="BR78" i="1"/>
  <c r="CC78" i="1"/>
  <c r="CW78" i="1"/>
  <c r="G313" i="1"/>
  <c r="V313" i="1"/>
  <c r="AJ313" i="1"/>
  <c r="AX313" i="1"/>
  <c r="BQ313" i="1"/>
  <c r="BR313" i="1"/>
  <c r="CC313" i="1"/>
  <c r="CW313" i="1"/>
  <c r="G769" i="1"/>
  <c r="V769" i="1"/>
  <c r="AJ769" i="1"/>
  <c r="AX769" i="1"/>
  <c r="BQ769" i="1"/>
  <c r="BR769" i="1"/>
  <c r="CC769" i="1"/>
  <c r="CW769" i="1"/>
  <c r="G801" i="1"/>
  <c r="V801" i="1"/>
  <c r="AJ801" i="1"/>
  <c r="AX801" i="1"/>
  <c r="BQ801" i="1"/>
  <c r="BR801" i="1"/>
  <c r="CC801" i="1"/>
  <c r="CW801" i="1"/>
  <c r="G491" i="1"/>
  <c r="V491" i="1"/>
  <c r="AJ491" i="1"/>
  <c r="AX491" i="1"/>
  <c r="BQ491" i="1"/>
  <c r="BR491" i="1"/>
  <c r="CC491" i="1"/>
  <c r="CW491" i="1"/>
  <c r="G29" i="1"/>
  <c r="V29" i="1"/>
  <c r="AJ29" i="1"/>
  <c r="AX29" i="1"/>
  <c r="BQ29" i="1"/>
  <c r="BR29" i="1"/>
  <c r="CC29" i="1"/>
  <c r="CW29" i="1"/>
  <c r="G462" i="1"/>
  <c r="V462" i="1"/>
  <c r="AJ462" i="1"/>
  <c r="AX462" i="1"/>
  <c r="BQ462" i="1"/>
  <c r="BR462" i="1"/>
  <c r="CC462" i="1"/>
  <c r="CW462" i="1"/>
  <c r="G716" i="1"/>
  <c r="V716" i="1"/>
  <c r="AJ716" i="1"/>
  <c r="AX716" i="1"/>
  <c r="BQ716" i="1"/>
  <c r="BR716" i="1"/>
  <c r="CC716" i="1"/>
  <c r="CW716" i="1"/>
  <c r="G2218" i="1"/>
  <c r="V2218" i="1"/>
  <c r="AJ2218" i="1"/>
  <c r="AX2218" i="1"/>
  <c r="BQ2218" i="1"/>
  <c r="BR2218" i="1"/>
  <c r="CC2218" i="1"/>
  <c r="CW2218" i="1"/>
  <c r="G18" i="1"/>
  <c r="V18" i="1"/>
  <c r="AJ18" i="1"/>
  <c r="AX18" i="1"/>
  <c r="BQ18" i="1"/>
  <c r="BR18" i="1"/>
  <c r="CC18" i="1"/>
  <c r="CW18" i="1"/>
  <c r="G240" i="1"/>
  <c r="V240" i="1"/>
  <c r="AJ240" i="1"/>
  <c r="AX240" i="1"/>
  <c r="BQ240" i="1"/>
  <c r="BR240" i="1"/>
  <c r="CC240" i="1"/>
  <c r="CW240" i="1"/>
  <c r="G439" i="1"/>
  <c r="V439" i="1"/>
  <c r="AJ439" i="1"/>
  <c r="AX439" i="1"/>
  <c r="BQ439" i="1"/>
  <c r="BR439" i="1"/>
  <c r="CC439" i="1"/>
  <c r="CW439" i="1"/>
  <c r="G337" i="1"/>
  <c r="V337" i="1"/>
  <c r="AJ337" i="1"/>
  <c r="AX337" i="1"/>
  <c r="BQ337" i="1"/>
  <c r="BR337" i="1"/>
  <c r="CC337" i="1"/>
  <c r="CW337" i="1"/>
  <c r="G550" i="1"/>
  <c r="V550" i="1"/>
  <c r="AJ550" i="1"/>
  <c r="AX550" i="1"/>
  <c r="BQ550" i="1"/>
  <c r="BR550" i="1"/>
  <c r="CC550" i="1"/>
  <c r="CW550" i="1"/>
  <c r="G95" i="1"/>
  <c r="V95" i="1"/>
  <c r="AJ95" i="1"/>
  <c r="AX95" i="1"/>
  <c r="BQ95" i="1"/>
  <c r="BR95" i="1"/>
  <c r="CC95" i="1"/>
  <c r="CW95" i="1"/>
  <c r="G382" i="1"/>
  <c r="V382" i="1"/>
  <c r="AJ382" i="1"/>
  <c r="AX382" i="1"/>
  <c r="BQ382" i="1"/>
  <c r="BR382" i="1"/>
  <c r="CC382" i="1"/>
  <c r="CW382" i="1"/>
  <c r="G586" i="1"/>
  <c r="V586" i="1"/>
  <c r="AJ586" i="1"/>
  <c r="AX586" i="1"/>
  <c r="BQ586" i="1"/>
  <c r="BR586" i="1"/>
  <c r="CC586" i="1"/>
  <c r="CW586" i="1"/>
  <c r="G49" i="1"/>
  <c r="V49" i="1"/>
  <c r="AJ49" i="1"/>
  <c r="AX49" i="1"/>
  <c r="BQ49" i="1"/>
  <c r="BR49" i="1"/>
  <c r="CC49" i="1"/>
  <c r="CW49" i="1"/>
  <c r="G19" i="1"/>
  <c r="V19" i="1"/>
  <c r="AJ19" i="1"/>
  <c r="AX19" i="1"/>
  <c r="BQ19" i="1"/>
  <c r="BR19" i="1"/>
  <c r="CC19" i="1"/>
  <c r="CW19" i="1"/>
  <c r="G511" i="1"/>
  <c r="V511" i="1"/>
  <c r="AJ511" i="1"/>
  <c r="AX511" i="1"/>
  <c r="BQ511" i="1"/>
  <c r="BR511" i="1"/>
  <c r="CC511" i="1"/>
  <c r="CW511" i="1"/>
  <c r="G577" i="1"/>
  <c r="V577" i="1"/>
  <c r="AJ577" i="1"/>
  <c r="AX577" i="1"/>
  <c r="BQ577" i="1"/>
  <c r="BR577" i="1"/>
  <c r="CC577" i="1"/>
  <c r="CW577" i="1"/>
  <c r="G2291" i="1"/>
  <c r="V2291" i="1"/>
  <c r="AJ2291" i="1"/>
  <c r="AX2291" i="1"/>
  <c r="BQ2291" i="1"/>
  <c r="BR2291" i="1"/>
  <c r="CC2291" i="1"/>
  <c r="CW2291" i="1"/>
  <c r="G320" i="1"/>
  <c r="V320" i="1"/>
  <c r="AJ320" i="1"/>
  <c r="AX320" i="1"/>
  <c r="BQ320" i="1"/>
  <c r="BR320" i="1"/>
  <c r="CC320" i="1"/>
  <c r="CW320" i="1"/>
  <c r="G689" i="1"/>
  <c r="V689" i="1"/>
  <c r="AJ689" i="1"/>
  <c r="AX689" i="1"/>
  <c r="BQ689" i="1"/>
  <c r="BR689" i="1"/>
  <c r="CC689" i="1"/>
  <c r="CW689" i="1"/>
  <c r="G1417" i="1"/>
  <c r="V1417" i="1"/>
  <c r="AJ1417" i="1"/>
  <c r="AX1417" i="1"/>
  <c r="BQ1417" i="1"/>
  <c r="BR1417" i="1"/>
  <c r="CC1417" i="1"/>
  <c r="CW1417" i="1"/>
  <c r="G1408" i="1"/>
  <c r="V1408" i="1"/>
  <c r="AJ1408" i="1"/>
  <c r="AX1408" i="1"/>
  <c r="BQ1408" i="1"/>
  <c r="BR1408" i="1"/>
  <c r="CC1408" i="1"/>
  <c r="CW1408" i="1"/>
  <c r="G246" i="1"/>
  <c r="V246" i="1"/>
  <c r="AJ246" i="1"/>
  <c r="AX246" i="1"/>
  <c r="BQ246" i="1"/>
  <c r="BR246" i="1"/>
  <c r="CC246" i="1"/>
  <c r="CW246" i="1"/>
  <c r="G478" i="1"/>
  <c r="V478" i="1"/>
  <c r="AJ478" i="1"/>
  <c r="AX478" i="1"/>
  <c r="BQ478" i="1"/>
  <c r="BR478" i="1"/>
  <c r="CC478" i="1"/>
  <c r="CW478" i="1"/>
  <c r="G157" i="1"/>
  <c r="V157" i="1"/>
  <c r="AJ157" i="1"/>
  <c r="AX157" i="1"/>
  <c r="BQ157" i="1"/>
  <c r="BR157" i="1"/>
  <c r="CC157" i="1"/>
  <c r="CW157" i="1"/>
  <c r="G1791" i="1"/>
  <c r="V1791" i="1"/>
  <c r="AJ1791" i="1"/>
  <c r="AX1791" i="1"/>
  <c r="BQ1791" i="1"/>
  <c r="BR1791" i="1"/>
  <c r="CC1791" i="1"/>
  <c r="CW1791" i="1"/>
  <c r="G2026" i="1"/>
  <c r="V2026" i="1"/>
  <c r="AJ2026" i="1"/>
  <c r="AX2026" i="1"/>
  <c r="BQ2026" i="1"/>
  <c r="BR2026" i="1"/>
  <c r="CC2026" i="1"/>
  <c r="CW2026" i="1"/>
  <c r="G842" i="1"/>
  <c r="V842" i="1"/>
  <c r="AJ842" i="1"/>
  <c r="AX842" i="1"/>
  <c r="BQ842" i="1"/>
  <c r="BR842" i="1"/>
  <c r="CC842" i="1"/>
  <c r="CW842" i="1"/>
  <c r="G1573" i="1"/>
  <c r="V1573" i="1"/>
  <c r="AJ1573" i="1"/>
  <c r="AX1573" i="1"/>
  <c r="BQ1573" i="1"/>
  <c r="BR1573" i="1"/>
  <c r="CC1573" i="1"/>
  <c r="CW1573" i="1"/>
  <c r="G1555" i="1"/>
  <c r="V1555" i="1"/>
  <c r="AJ1555" i="1"/>
  <c r="AX1555" i="1"/>
  <c r="BQ1555" i="1"/>
  <c r="BR1555" i="1"/>
  <c r="CC1555" i="1"/>
  <c r="CW1555" i="1"/>
  <c r="G2038" i="1"/>
  <c r="V2038" i="1"/>
  <c r="AJ2038" i="1"/>
  <c r="AX2038" i="1"/>
  <c r="BQ2038" i="1"/>
  <c r="BR2038" i="1"/>
  <c r="CC2038" i="1"/>
  <c r="CW2038" i="1"/>
  <c r="G2380" i="1"/>
  <c r="V2380" i="1"/>
  <c r="AJ2380" i="1"/>
  <c r="AX2380" i="1"/>
  <c r="BQ2380" i="1"/>
  <c r="BR2380" i="1"/>
  <c r="CC2380" i="1"/>
  <c r="CW2380" i="1"/>
  <c r="G2271" i="1"/>
  <c r="V2271" i="1"/>
  <c r="AJ2271" i="1"/>
  <c r="AX2271" i="1"/>
  <c r="BQ2271" i="1"/>
  <c r="BR2271" i="1"/>
  <c r="CC2271" i="1"/>
  <c r="CW2271" i="1"/>
  <c r="G1294" i="1"/>
  <c r="V1294" i="1"/>
  <c r="AJ1294" i="1"/>
  <c r="AX1294" i="1"/>
  <c r="BQ1294" i="1"/>
  <c r="BR1294" i="1"/>
  <c r="CC1294" i="1"/>
  <c r="CW1294" i="1"/>
  <c r="G2203" i="1"/>
  <c r="V2203" i="1"/>
  <c r="AJ2203" i="1"/>
  <c r="AX2203" i="1"/>
  <c r="BQ2203" i="1"/>
  <c r="BR2203" i="1"/>
  <c r="CC2203" i="1"/>
  <c r="CW2203" i="1"/>
  <c r="G1917" i="1"/>
  <c r="V1917" i="1"/>
  <c r="AJ1917" i="1"/>
  <c r="AX1917" i="1"/>
  <c r="BQ1917" i="1"/>
  <c r="BR1917" i="1"/>
  <c r="CC1917" i="1"/>
  <c r="CW1917" i="1"/>
  <c r="G1160" i="1"/>
  <c r="V1160" i="1"/>
  <c r="AJ1160" i="1"/>
  <c r="AX1160" i="1"/>
  <c r="BQ1160" i="1"/>
  <c r="BR1160" i="1"/>
  <c r="CC1160" i="1"/>
  <c r="CW1160" i="1"/>
  <c r="G1092" i="1"/>
  <c r="V1092" i="1"/>
  <c r="AJ1092" i="1"/>
  <c r="AX1092" i="1"/>
  <c r="BQ1092" i="1"/>
  <c r="BR1092" i="1"/>
  <c r="CC1092" i="1"/>
  <c r="CW1092" i="1"/>
  <c r="G1918" i="1"/>
  <c r="V1918" i="1"/>
  <c r="AJ1918" i="1"/>
  <c r="AX1918" i="1"/>
  <c r="BQ1918" i="1"/>
  <c r="BR1918" i="1"/>
  <c r="CC1918" i="1"/>
  <c r="CW1918" i="1"/>
  <c r="G1718" i="1"/>
  <c r="V1718" i="1"/>
  <c r="AJ1718" i="1"/>
  <c r="AX1718" i="1"/>
  <c r="BQ1718" i="1"/>
  <c r="BR1718" i="1"/>
  <c r="CC1718" i="1"/>
  <c r="CW1718" i="1"/>
  <c r="G2174" i="1"/>
  <c r="V2174" i="1"/>
  <c r="AJ2174" i="1"/>
  <c r="AX2174" i="1"/>
  <c r="BQ2174" i="1"/>
  <c r="BR2174" i="1"/>
  <c r="CC2174" i="1"/>
  <c r="CW2174" i="1"/>
  <c r="G2172" i="1"/>
  <c r="V2172" i="1"/>
  <c r="AJ2172" i="1"/>
  <c r="AX2172" i="1"/>
  <c r="BQ2172" i="1"/>
  <c r="BR2172" i="1"/>
  <c r="CC2172" i="1"/>
  <c r="CW2172" i="1"/>
  <c r="G1509" i="1"/>
  <c r="V1509" i="1"/>
  <c r="AJ1509" i="1"/>
  <c r="AX1509" i="1"/>
  <c r="BQ1509" i="1"/>
  <c r="BR1509" i="1"/>
  <c r="CC1509" i="1"/>
  <c r="CW1509" i="1"/>
  <c r="G1271" i="1"/>
  <c r="V1271" i="1"/>
  <c r="AJ1271" i="1"/>
  <c r="AX1271" i="1"/>
  <c r="BQ1271" i="1"/>
  <c r="BR1271" i="1"/>
  <c r="CC1271" i="1"/>
  <c r="CW1271" i="1"/>
  <c r="G1224" i="1"/>
  <c r="V1224" i="1"/>
  <c r="AJ1224" i="1"/>
  <c r="AX1224" i="1"/>
  <c r="BQ1224" i="1"/>
  <c r="BR1224" i="1"/>
  <c r="CC1224" i="1"/>
  <c r="CW1224" i="1"/>
  <c r="G1113" i="1"/>
  <c r="V1113" i="1"/>
  <c r="AJ1113" i="1"/>
  <c r="AX1113" i="1"/>
  <c r="BQ1113" i="1"/>
  <c r="BR1113" i="1"/>
  <c r="CC1113" i="1"/>
  <c r="CW1113" i="1"/>
  <c r="G865" i="1"/>
  <c r="V865" i="1"/>
  <c r="AJ865" i="1"/>
  <c r="AX865" i="1"/>
  <c r="BQ865" i="1"/>
  <c r="BR865" i="1"/>
  <c r="CC865" i="1"/>
  <c r="CW865" i="1"/>
  <c r="G964" i="1"/>
  <c r="V964" i="1"/>
  <c r="AJ964" i="1"/>
  <c r="AX964" i="1"/>
  <c r="BQ964" i="1"/>
  <c r="BR964" i="1"/>
  <c r="CC964" i="1"/>
  <c r="CW964" i="1"/>
  <c r="G1906" i="1"/>
  <c r="V1906" i="1"/>
  <c r="AJ1906" i="1"/>
  <c r="AX1906" i="1"/>
  <c r="BQ1906" i="1"/>
  <c r="BR1906" i="1"/>
  <c r="CC1906" i="1"/>
  <c r="CW1906" i="1"/>
  <c r="G2045" i="1"/>
  <c r="V2045" i="1"/>
  <c r="AJ2045" i="1"/>
  <c r="AX2045" i="1"/>
  <c r="BQ2045" i="1"/>
  <c r="BR2045" i="1"/>
  <c r="CC2045" i="1"/>
  <c r="CW2045" i="1"/>
  <c r="G1129" i="1"/>
  <c r="V1129" i="1"/>
  <c r="AJ1129" i="1"/>
  <c r="AX1129" i="1"/>
  <c r="BQ1129" i="1"/>
  <c r="BR1129" i="1"/>
  <c r="CC1129" i="1"/>
  <c r="CW1129" i="1"/>
  <c r="G1244" i="1"/>
  <c r="V1244" i="1"/>
  <c r="AJ1244" i="1"/>
  <c r="AX1244" i="1"/>
  <c r="BQ1244" i="1"/>
  <c r="BR1244" i="1"/>
  <c r="CC1244" i="1"/>
  <c r="CW1244" i="1"/>
  <c r="G2345" i="1"/>
  <c r="V2345" i="1"/>
  <c r="AJ2345" i="1"/>
  <c r="AX2345" i="1"/>
  <c r="BQ2345" i="1"/>
  <c r="BR2345" i="1"/>
  <c r="CC2345" i="1"/>
  <c r="CW2345" i="1"/>
  <c r="G874" i="1"/>
  <c r="V874" i="1"/>
  <c r="AJ874" i="1"/>
  <c r="AX874" i="1"/>
  <c r="BQ874" i="1"/>
  <c r="BR874" i="1"/>
  <c r="CC874" i="1"/>
  <c r="CW874" i="1"/>
  <c r="G1613" i="1"/>
  <c r="V1613" i="1"/>
  <c r="AJ1613" i="1"/>
  <c r="AX1613" i="1"/>
  <c r="BQ1613" i="1"/>
  <c r="BR1613" i="1"/>
  <c r="CC1613" i="1"/>
  <c r="CW1613" i="1"/>
  <c r="G1214" i="1"/>
  <c r="V1214" i="1"/>
  <c r="AJ1214" i="1"/>
  <c r="AX1214" i="1"/>
  <c r="BQ1214" i="1"/>
  <c r="BR1214" i="1"/>
  <c r="CC1214" i="1"/>
  <c r="CW1214" i="1"/>
  <c r="G1486" i="1"/>
  <c r="V1486" i="1"/>
  <c r="AJ1486" i="1"/>
  <c r="AX1486" i="1"/>
  <c r="BQ1486" i="1"/>
  <c r="BR1486" i="1"/>
  <c r="CC1486" i="1"/>
  <c r="CW1486" i="1"/>
  <c r="G1196" i="1"/>
  <c r="V1196" i="1"/>
  <c r="AJ1196" i="1"/>
  <c r="AX1196" i="1"/>
  <c r="BQ1196" i="1"/>
  <c r="BR1196" i="1"/>
  <c r="CC1196" i="1"/>
  <c r="CW1196" i="1"/>
  <c r="G1871" i="1"/>
  <c r="V1871" i="1"/>
  <c r="AJ1871" i="1"/>
  <c r="AX1871" i="1"/>
  <c r="BQ1871" i="1"/>
  <c r="BR1871" i="1"/>
  <c r="CC1871" i="1"/>
  <c r="CW1871" i="1"/>
  <c r="G1363" i="1"/>
  <c r="V1363" i="1"/>
  <c r="AJ1363" i="1"/>
  <c r="AX1363" i="1"/>
  <c r="BQ1363" i="1"/>
  <c r="BR1363" i="1"/>
  <c r="CC1363" i="1"/>
  <c r="CW1363" i="1"/>
  <c r="G1413" i="1"/>
  <c r="V1413" i="1"/>
  <c r="AJ1413" i="1"/>
  <c r="AX1413" i="1"/>
  <c r="BQ1413" i="1"/>
  <c r="BR1413" i="1"/>
  <c r="CC1413" i="1"/>
  <c r="CW1413" i="1"/>
  <c r="G1431" i="1"/>
  <c r="V1431" i="1"/>
  <c r="AJ1431" i="1"/>
  <c r="AX1431" i="1"/>
  <c r="BQ1431" i="1"/>
  <c r="BR1431" i="1"/>
  <c r="CC1431" i="1"/>
  <c r="CW1431" i="1"/>
  <c r="G2055" i="1"/>
  <c r="V2055" i="1"/>
  <c r="AJ2055" i="1"/>
  <c r="AX2055" i="1"/>
  <c r="BQ2055" i="1"/>
  <c r="BR2055" i="1"/>
  <c r="CC2055" i="1"/>
  <c r="CW2055" i="1"/>
  <c r="G1971" i="1"/>
  <c r="V1971" i="1"/>
  <c r="AJ1971" i="1"/>
  <c r="AX1971" i="1"/>
  <c r="BQ1971" i="1"/>
  <c r="BR1971" i="1"/>
  <c r="CC1971" i="1"/>
  <c r="CW1971" i="1"/>
  <c r="G1086" i="1"/>
  <c r="V1086" i="1"/>
  <c r="AJ1086" i="1"/>
  <c r="AX1086" i="1"/>
  <c r="BQ1086" i="1"/>
  <c r="BR1086" i="1"/>
  <c r="CC1086" i="1"/>
  <c r="CW1086" i="1"/>
  <c r="G2154" i="1"/>
  <c r="V2154" i="1"/>
  <c r="AJ2154" i="1"/>
  <c r="AX2154" i="1"/>
  <c r="BQ2154" i="1"/>
  <c r="BR2154" i="1"/>
  <c r="CC2154" i="1"/>
  <c r="CW2154" i="1"/>
  <c r="G1164" i="1"/>
  <c r="V1164" i="1"/>
  <c r="AJ1164" i="1"/>
  <c r="AX1164" i="1"/>
  <c r="BQ1164" i="1"/>
  <c r="BR1164" i="1"/>
  <c r="CC1164" i="1"/>
  <c r="CW1164" i="1"/>
  <c r="G1369" i="1"/>
  <c r="V1369" i="1"/>
  <c r="AJ1369" i="1"/>
  <c r="AX1369" i="1"/>
  <c r="BQ1369" i="1"/>
  <c r="BR1369" i="1"/>
  <c r="CC1369" i="1"/>
  <c r="CW1369" i="1"/>
  <c r="G1760" i="1"/>
  <c r="V1760" i="1"/>
  <c r="AJ1760" i="1"/>
  <c r="AX1760" i="1"/>
  <c r="BQ1760" i="1"/>
  <c r="BR1760" i="1"/>
  <c r="CC1760" i="1"/>
  <c r="CW1760" i="1"/>
  <c r="G2361" i="1"/>
  <c r="V2361" i="1"/>
  <c r="AJ2361" i="1"/>
  <c r="AX2361" i="1"/>
  <c r="BQ2361" i="1"/>
  <c r="BR2361" i="1"/>
  <c r="CC2361" i="1"/>
  <c r="CW2361" i="1"/>
  <c r="G1460" i="1"/>
  <c r="V1460" i="1"/>
  <c r="AJ1460" i="1"/>
  <c r="AX1460" i="1"/>
  <c r="BQ1460" i="1"/>
  <c r="BR1460" i="1"/>
  <c r="CC1460" i="1"/>
  <c r="CW1460" i="1"/>
  <c r="G1185" i="1"/>
  <c r="V1185" i="1"/>
  <c r="AJ1185" i="1"/>
  <c r="AX1185" i="1"/>
  <c r="BQ1185" i="1"/>
  <c r="BR1185" i="1"/>
  <c r="CC1185" i="1"/>
  <c r="CW1185" i="1"/>
  <c r="G1703" i="1"/>
  <c r="V1703" i="1"/>
  <c r="AJ1703" i="1"/>
  <c r="AX1703" i="1"/>
  <c r="BQ1703" i="1"/>
  <c r="BR1703" i="1"/>
  <c r="CC1703" i="1"/>
  <c r="CW1703" i="1"/>
  <c r="G1599" i="1"/>
  <c r="V1599" i="1"/>
  <c r="AJ1599" i="1"/>
  <c r="AX1599" i="1"/>
  <c r="BQ1599" i="1"/>
  <c r="BR1599" i="1"/>
  <c r="CC1599" i="1"/>
  <c r="CW1599" i="1"/>
  <c r="G1765" i="1"/>
  <c r="V1765" i="1"/>
  <c r="AJ1765" i="1"/>
  <c r="AX1765" i="1"/>
  <c r="BQ1765" i="1"/>
  <c r="BR1765" i="1"/>
  <c r="CC1765" i="1"/>
  <c r="CW1765" i="1"/>
  <c r="G2369" i="1"/>
  <c r="V2369" i="1"/>
  <c r="AJ2369" i="1"/>
  <c r="AX2369" i="1"/>
  <c r="BQ2369" i="1"/>
  <c r="BR2369" i="1"/>
  <c r="CC2369" i="1"/>
  <c r="CW2369" i="1"/>
  <c r="G1909" i="1"/>
  <c r="V1909" i="1"/>
  <c r="AJ1909" i="1"/>
  <c r="AX1909" i="1"/>
  <c r="BQ1909" i="1"/>
  <c r="BR1909" i="1"/>
  <c r="CC1909" i="1"/>
  <c r="CW1909" i="1"/>
  <c r="G1695" i="1"/>
  <c r="V1695" i="1"/>
  <c r="AJ1695" i="1"/>
  <c r="AX1695" i="1"/>
  <c r="BQ1695" i="1"/>
  <c r="BR1695" i="1"/>
  <c r="CC1695" i="1"/>
  <c r="CW1695" i="1"/>
  <c r="G1608" i="1"/>
  <c r="V1608" i="1"/>
  <c r="AJ1608" i="1"/>
  <c r="AX1608" i="1"/>
  <c r="BQ1608" i="1"/>
  <c r="BR1608" i="1"/>
  <c r="CC1608" i="1"/>
  <c r="CW1608" i="1"/>
  <c r="G2063" i="1"/>
  <c r="V2063" i="1"/>
  <c r="AJ2063" i="1"/>
  <c r="AX2063" i="1"/>
  <c r="BQ2063" i="1"/>
  <c r="BR2063" i="1"/>
  <c r="CC2063" i="1"/>
  <c r="CW2063" i="1"/>
  <c r="G1199" i="1"/>
  <c r="V1199" i="1"/>
  <c r="AJ1199" i="1"/>
  <c r="AX1199" i="1"/>
  <c r="BQ1199" i="1"/>
  <c r="BR1199" i="1"/>
  <c r="CC1199" i="1"/>
  <c r="CW1199" i="1"/>
  <c r="G951" i="1"/>
  <c r="V951" i="1"/>
  <c r="AJ951" i="1"/>
  <c r="AX951" i="1"/>
  <c r="BQ951" i="1"/>
  <c r="BR951" i="1"/>
  <c r="CC951" i="1"/>
  <c r="CW951" i="1"/>
  <c r="G941" i="1"/>
  <c r="V941" i="1"/>
  <c r="AJ941" i="1"/>
  <c r="AX941" i="1"/>
  <c r="BQ941" i="1"/>
  <c r="BR941" i="1"/>
  <c r="CC941" i="1"/>
  <c r="CW941" i="1"/>
  <c r="G1019" i="1"/>
  <c r="V1019" i="1"/>
  <c r="AJ1019" i="1"/>
  <c r="AX1019" i="1"/>
  <c r="BQ1019" i="1"/>
  <c r="BR1019" i="1"/>
  <c r="CC1019" i="1"/>
  <c r="CW1019" i="1"/>
  <c r="G1243" i="1"/>
  <c r="V1243" i="1"/>
  <c r="AJ1243" i="1"/>
  <c r="AX1243" i="1"/>
  <c r="BQ1243" i="1"/>
  <c r="BR1243" i="1"/>
  <c r="CC1243" i="1"/>
  <c r="CW1243" i="1"/>
  <c r="G1531" i="1"/>
  <c r="V1531" i="1"/>
  <c r="AJ1531" i="1"/>
  <c r="AX1531" i="1"/>
  <c r="BQ1531" i="1"/>
  <c r="BR1531" i="1"/>
  <c r="CC1531" i="1"/>
  <c r="CW1531" i="1"/>
  <c r="G1427" i="1"/>
  <c r="V1427" i="1"/>
  <c r="AJ1427" i="1"/>
  <c r="AX1427" i="1"/>
  <c r="BQ1427" i="1"/>
  <c r="BR1427" i="1"/>
  <c r="CC1427" i="1"/>
  <c r="CW1427" i="1"/>
  <c r="G2020" i="1"/>
  <c r="V2020" i="1"/>
  <c r="AJ2020" i="1"/>
  <c r="AX2020" i="1"/>
  <c r="BQ2020" i="1"/>
  <c r="BR2020" i="1"/>
  <c r="CC2020" i="1"/>
  <c r="CW2020" i="1"/>
  <c r="G1503" i="1"/>
  <c r="V1503" i="1"/>
  <c r="AJ1503" i="1"/>
  <c r="AX1503" i="1"/>
  <c r="BQ1503" i="1"/>
  <c r="BR1503" i="1"/>
  <c r="CC1503" i="1"/>
  <c r="CW1503" i="1"/>
  <c r="G997" i="1"/>
  <c r="V997" i="1"/>
  <c r="AJ997" i="1"/>
  <c r="AX997" i="1"/>
  <c r="BQ997" i="1"/>
  <c r="BR997" i="1"/>
  <c r="CC997" i="1"/>
  <c r="CW997" i="1"/>
  <c r="G1230" i="1"/>
  <c r="V1230" i="1"/>
  <c r="AJ1230" i="1"/>
  <c r="AX1230" i="1"/>
  <c r="BQ1230" i="1"/>
  <c r="BR1230" i="1"/>
  <c r="CC1230" i="1"/>
  <c r="CW1230" i="1"/>
  <c r="G1795" i="1"/>
  <c r="V1795" i="1"/>
  <c r="AJ1795" i="1"/>
  <c r="AX1795" i="1"/>
  <c r="BQ1795" i="1"/>
  <c r="BR1795" i="1"/>
  <c r="CC1795" i="1"/>
  <c r="CW1795" i="1"/>
  <c r="G1874" i="1"/>
  <c r="V1874" i="1"/>
  <c r="AJ1874" i="1"/>
  <c r="AX1874" i="1"/>
  <c r="BQ1874" i="1"/>
  <c r="BR1874" i="1"/>
  <c r="CC1874" i="1"/>
  <c r="CW1874" i="1"/>
  <c r="G1229" i="1"/>
  <c r="V1229" i="1"/>
  <c r="AJ1229" i="1"/>
  <c r="AX1229" i="1"/>
  <c r="BQ1229" i="1"/>
  <c r="BR1229" i="1"/>
  <c r="CC1229" i="1"/>
  <c r="CW1229" i="1"/>
  <c r="G988" i="1"/>
  <c r="V988" i="1"/>
  <c r="AJ988" i="1"/>
  <c r="AX988" i="1"/>
  <c r="BQ988" i="1"/>
  <c r="BR988" i="1"/>
  <c r="CC988" i="1"/>
  <c r="CW988" i="1"/>
  <c r="G2261" i="1"/>
  <c r="V2261" i="1"/>
  <c r="AJ2261" i="1"/>
  <c r="AX2261" i="1"/>
  <c r="BQ2261" i="1"/>
  <c r="BR2261" i="1"/>
  <c r="CC2261" i="1"/>
  <c r="CW2261" i="1"/>
  <c r="G1635" i="1"/>
  <c r="V1635" i="1"/>
  <c r="AJ1635" i="1"/>
  <c r="AX1635" i="1"/>
  <c r="BQ1635" i="1"/>
  <c r="BR1635" i="1"/>
  <c r="CC1635" i="1"/>
  <c r="CW1635" i="1"/>
  <c r="G1520" i="1"/>
  <c r="V1520" i="1"/>
  <c r="AJ1520" i="1"/>
  <c r="AX1520" i="1"/>
  <c r="BQ1520" i="1"/>
  <c r="BR1520" i="1"/>
  <c r="CC1520" i="1"/>
  <c r="CW1520" i="1"/>
  <c r="G1877" i="1"/>
  <c r="V1877" i="1"/>
  <c r="AJ1877" i="1"/>
  <c r="AX1877" i="1"/>
  <c r="BQ1877" i="1"/>
  <c r="BR1877" i="1"/>
  <c r="CC1877" i="1"/>
  <c r="CW1877" i="1"/>
  <c r="G942" i="1"/>
  <c r="V942" i="1"/>
  <c r="AJ942" i="1"/>
  <c r="AX942" i="1"/>
  <c r="BQ942" i="1"/>
  <c r="BR942" i="1"/>
  <c r="CC942" i="1"/>
  <c r="CW942" i="1"/>
  <c r="G1591" i="1"/>
  <c r="V1591" i="1"/>
  <c r="AJ1591" i="1"/>
  <c r="AX1591" i="1"/>
  <c r="BQ1591" i="1"/>
  <c r="BR1591" i="1"/>
  <c r="CC1591" i="1"/>
  <c r="CW1591" i="1"/>
  <c r="G2227" i="1"/>
  <c r="V2227" i="1"/>
  <c r="AJ2227" i="1"/>
  <c r="AX2227" i="1"/>
  <c r="BQ2227" i="1"/>
  <c r="BR2227" i="1"/>
  <c r="CC2227" i="1"/>
  <c r="CW2227" i="1"/>
  <c r="G1886" i="1"/>
  <c r="V1886" i="1"/>
  <c r="AJ1886" i="1"/>
  <c r="AX1886" i="1"/>
  <c r="BQ1886" i="1"/>
  <c r="BR1886" i="1"/>
  <c r="CC1886" i="1"/>
  <c r="CW1886" i="1"/>
  <c r="G1967" i="1"/>
  <c r="V1967" i="1"/>
  <c r="AJ1967" i="1"/>
  <c r="AX1967" i="1"/>
  <c r="BQ1967" i="1"/>
  <c r="BR1967" i="1"/>
  <c r="CC1967" i="1"/>
  <c r="CW1967" i="1"/>
  <c r="G1068" i="1"/>
  <c r="V1068" i="1"/>
  <c r="AJ1068" i="1"/>
  <c r="AX1068" i="1"/>
  <c r="BQ1068" i="1"/>
  <c r="BR1068" i="1"/>
  <c r="CC1068" i="1"/>
  <c r="CW1068" i="1"/>
  <c r="G1404" i="1"/>
  <c r="V1404" i="1"/>
  <c r="AJ1404" i="1"/>
  <c r="AX1404" i="1"/>
  <c r="BQ1404" i="1"/>
  <c r="BR1404" i="1"/>
  <c r="CC1404" i="1"/>
  <c r="CW1404" i="1"/>
  <c r="G1332" i="1"/>
  <c r="V1332" i="1"/>
  <c r="AJ1332" i="1"/>
  <c r="AX1332" i="1"/>
  <c r="BQ1332" i="1"/>
  <c r="BR1332" i="1"/>
  <c r="CC1332" i="1"/>
  <c r="CW1332" i="1"/>
  <c r="G1961" i="1"/>
  <c r="V1961" i="1"/>
  <c r="AJ1961" i="1"/>
  <c r="AX1961" i="1"/>
  <c r="BQ1961" i="1"/>
  <c r="BR1961" i="1"/>
  <c r="CC1961" i="1"/>
  <c r="CW1961" i="1"/>
  <c r="G1451" i="1"/>
  <c r="V1451" i="1"/>
  <c r="AJ1451" i="1"/>
  <c r="AX1451" i="1"/>
  <c r="BQ1451" i="1"/>
  <c r="BR1451" i="1"/>
  <c r="CC1451" i="1"/>
  <c r="CW1451" i="1"/>
  <c r="G1395" i="1"/>
  <c r="V1395" i="1"/>
  <c r="AJ1395" i="1"/>
  <c r="AX1395" i="1"/>
  <c r="BQ1395" i="1"/>
  <c r="BR1395" i="1"/>
  <c r="CC1395" i="1"/>
  <c r="CW1395" i="1"/>
  <c r="G1664" i="1"/>
  <c r="V1664" i="1"/>
  <c r="AJ1664" i="1"/>
  <c r="AX1664" i="1"/>
  <c r="BQ1664" i="1"/>
  <c r="BR1664" i="1"/>
  <c r="CC1664" i="1"/>
  <c r="CW1664" i="1"/>
  <c r="G2349" i="1"/>
  <c r="V2349" i="1"/>
  <c r="AJ2349" i="1"/>
  <c r="AX2349" i="1"/>
  <c r="BQ2349" i="1"/>
  <c r="BR2349" i="1"/>
  <c r="CC2349" i="1"/>
  <c r="CW2349" i="1"/>
  <c r="G1438" i="1"/>
  <c r="V1438" i="1"/>
  <c r="AJ1438" i="1"/>
  <c r="AX1438" i="1"/>
  <c r="BQ1438" i="1"/>
  <c r="BR1438" i="1"/>
  <c r="CC1438" i="1"/>
  <c r="CW1438" i="1"/>
  <c r="G2099" i="1"/>
  <c r="V2099" i="1"/>
  <c r="AJ2099" i="1"/>
  <c r="AX2099" i="1"/>
  <c r="BQ2099" i="1"/>
  <c r="BR2099" i="1"/>
  <c r="CC2099" i="1"/>
  <c r="CW2099" i="1"/>
  <c r="G1045" i="1"/>
  <c r="V1045" i="1"/>
  <c r="AJ1045" i="1"/>
  <c r="AX1045" i="1"/>
  <c r="BQ1045" i="1"/>
  <c r="BR1045" i="1"/>
  <c r="CC1045" i="1"/>
  <c r="CW1045" i="1"/>
  <c r="G1325" i="1"/>
  <c r="V1325" i="1"/>
  <c r="AJ1325" i="1"/>
  <c r="AX1325" i="1"/>
  <c r="BQ1325" i="1"/>
  <c r="BR1325" i="1"/>
  <c r="CC1325" i="1"/>
  <c r="CW1325" i="1"/>
  <c r="G2225" i="1"/>
  <c r="V2225" i="1"/>
  <c r="AJ2225" i="1"/>
  <c r="AX2225" i="1"/>
  <c r="BQ2225" i="1"/>
  <c r="BR2225" i="1"/>
  <c r="CC2225" i="1"/>
  <c r="CW2225" i="1"/>
  <c r="G2118" i="1"/>
  <c r="V2118" i="1"/>
  <c r="AJ2118" i="1"/>
  <c r="AX2118" i="1"/>
  <c r="BQ2118" i="1"/>
  <c r="BR2118" i="1"/>
  <c r="CC2118" i="1"/>
  <c r="CW2118" i="1"/>
  <c r="G528" i="1"/>
  <c r="V528" i="1"/>
  <c r="AJ528" i="1"/>
  <c r="AX528" i="1"/>
  <c r="BQ528" i="1"/>
  <c r="BR528" i="1"/>
  <c r="CC528" i="1"/>
  <c r="CW528" i="1"/>
  <c r="G1867" i="1"/>
  <c r="V1867" i="1"/>
  <c r="AJ1867" i="1"/>
  <c r="AX1867" i="1"/>
  <c r="BQ1867" i="1"/>
  <c r="BR1867" i="1"/>
  <c r="CC1867" i="1"/>
  <c r="CW1867" i="1"/>
  <c r="G422" i="1"/>
  <c r="V422" i="1"/>
  <c r="AJ422" i="1"/>
  <c r="AX422" i="1"/>
  <c r="BQ422" i="1"/>
  <c r="BR422" i="1"/>
  <c r="CC422" i="1"/>
  <c r="CW422" i="1"/>
  <c r="G779" i="1"/>
  <c r="V779" i="1"/>
  <c r="AJ779" i="1"/>
  <c r="AX779" i="1"/>
  <c r="BQ779" i="1"/>
  <c r="BR779" i="1"/>
  <c r="CC779" i="1"/>
  <c r="CW779" i="1"/>
  <c r="G438" i="1"/>
  <c r="V438" i="1"/>
  <c r="AJ438" i="1"/>
  <c r="AX438" i="1"/>
  <c r="BQ438" i="1"/>
  <c r="BR438" i="1"/>
  <c r="CC438" i="1"/>
  <c r="CW438" i="1"/>
  <c r="G574" i="1"/>
  <c r="V574" i="1"/>
  <c r="AJ574" i="1"/>
  <c r="AX574" i="1"/>
  <c r="BQ574" i="1"/>
  <c r="BR574" i="1"/>
  <c r="CC574" i="1"/>
  <c r="CW574" i="1"/>
  <c r="G671" i="1"/>
  <c r="V671" i="1"/>
  <c r="AJ671" i="1"/>
  <c r="AX671" i="1"/>
  <c r="BQ671" i="1"/>
  <c r="BR671" i="1"/>
  <c r="CC671" i="1"/>
  <c r="CW671" i="1"/>
  <c r="G536" i="1"/>
  <c r="V536" i="1"/>
  <c r="AJ536" i="1"/>
  <c r="AX536" i="1"/>
  <c r="BQ536" i="1"/>
  <c r="BR536" i="1"/>
  <c r="CC536" i="1"/>
  <c r="CW536" i="1"/>
  <c r="G502" i="1"/>
  <c r="V502" i="1"/>
  <c r="AJ502" i="1"/>
  <c r="AX502" i="1"/>
  <c r="BQ502" i="1"/>
  <c r="BR502" i="1"/>
  <c r="CC502" i="1"/>
  <c r="CW502" i="1"/>
  <c r="G578" i="1"/>
  <c r="V578" i="1"/>
  <c r="AJ578" i="1"/>
  <c r="AX578" i="1"/>
  <c r="BQ578" i="1"/>
  <c r="BR578" i="1"/>
  <c r="CC578" i="1"/>
  <c r="CW578" i="1"/>
  <c r="G642" i="1"/>
  <c r="V642" i="1"/>
  <c r="AJ642" i="1"/>
  <c r="AX642" i="1"/>
  <c r="BQ642" i="1"/>
  <c r="BR642" i="1"/>
  <c r="CC642" i="1"/>
  <c r="CW642" i="1"/>
  <c r="G707" i="1"/>
  <c r="V707" i="1"/>
  <c r="AJ707" i="1"/>
  <c r="AX707" i="1"/>
  <c r="BQ707" i="1"/>
  <c r="BR707" i="1"/>
  <c r="CC707" i="1"/>
  <c r="CW707" i="1"/>
  <c r="G682" i="1"/>
  <c r="V682" i="1"/>
  <c r="AJ682" i="1"/>
  <c r="AX682" i="1"/>
  <c r="BQ682" i="1"/>
  <c r="BR682" i="1"/>
  <c r="CC682" i="1"/>
  <c r="CW682" i="1"/>
  <c r="G1809" i="1"/>
  <c r="V1809" i="1"/>
  <c r="AJ1809" i="1"/>
  <c r="AX1809" i="1"/>
  <c r="BQ1809" i="1"/>
  <c r="BR1809" i="1"/>
  <c r="CC1809" i="1"/>
  <c r="CW1809" i="1"/>
  <c r="G604" i="1"/>
  <c r="V604" i="1"/>
  <c r="AJ604" i="1"/>
  <c r="AX604" i="1"/>
  <c r="BQ604" i="1"/>
  <c r="BR604" i="1"/>
  <c r="CC604" i="1"/>
  <c r="CW604" i="1"/>
  <c r="G467" i="1"/>
  <c r="V467" i="1"/>
  <c r="AJ467" i="1"/>
  <c r="AX467" i="1"/>
  <c r="BQ467" i="1"/>
  <c r="BR467" i="1"/>
  <c r="CC467" i="1"/>
  <c r="CW467" i="1"/>
  <c r="G630" i="1"/>
  <c r="V630" i="1"/>
  <c r="AJ630" i="1"/>
  <c r="AX630" i="1"/>
  <c r="BQ630" i="1"/>
  <c r="BR630" i="1"/>
  <c r="CC630" i="1"/>
  <c r="CW630" i="1"/>
  <c r="G17" i="1"/>
  <c r="V17" i="1"/>
  <c r="AJ17" i="1"/>
  <c r="AX17" i="1"/>
  <c r="BQ17" i="1"/>
  <c r="BR17" i="1"/>
  <c r="CC17" i="1"/>
  <c r="CW17" i="1"/>
  <c r="G58" i="1"/>
  <c r="V58" i="1"/>
  <c r="AJ58" i="1"/>
  <c r="AX58" i="1"/>
  <c r="BQ58" i="1"/>
  <c r="BR58" i="1"/>
  <c r="CC58" i="1"/>
  <c r="CW58" i="1"/>
  <c r="G248" i="1"/>
  <c r="V248" i="1"/>
  <c r="AJ248" i="1"/>
  <c r="AX248" i="1"/>
  <c r="BQ248" i="1"/>
  <c r="BR248" i="1"/>
  <c r="CC248" i="1"/>
  <c r="CW248" i="1"/>
  <c r="G80" i="1"/>
  <c r="V80" i="1"/>
  <c r="AJ80" i="1"/>
  <c r="AX80" i="1"/>
  <c r="BQ80" i="1"/>
  <c r="BR80" i="1"/>
  <c r="CC80" i="1"/>
  <c r="CW80" i="1"/>
  <c r="G794" i="1"/>
  <c r="V794" i="1"/>
  <c r="AJ794" i="1"/>
  <c r="AX794" i="1"/>
  <c r="BQ794" i="1"/>
  <c r="BR794" i="1"/>
  <c r="CC794" i="1"/>
  <c r="CW794" i="1"/>
  <c r="G87" i="1"/>
  <c r="V87" i="1"/>
  <c r="AJ87" i="1"/>
  <c r="AX87" i="1"/>
  <c r="BQ87" i="1"/>
  <c r="BR87" i="1"/>
  <c r="CC87" i="1"/>
  <c r="CW87" i="1"/>
  <c r="G222" i="1"/>
  <c r="V222" i="1"/>
  <c r="AJ222" i="1"/>
  <c r="AX222" i="1"/>
  <c r="BQ222" i="1"/>
  <c r="BR222" i="1"/>
  <c r="CC222" i="1"/>
  <c r="CW222" i="1"/>
  <c r="G521" i="1"/>
  <c r="V521" i="1"/>
  <c r="AJ521" i="1"/>
  <c r="AX521" i="1"/>
  <c r="BQ521" i="1"/>
  <c r="BR521" i="1"/>
  <c r="CC521" i="1"/>
  <c r="CW521" i="1"/>
  <c r="G151" i="1"/>
  <c r="V151" i="1"/>
  <c r="AJ151" i="1"/>
  <c r="AX151" i="1"/>
  <c r="BQ151" i="1"/>
  <c r="BR151" i="1"/>
  <c r="CC151" i="1"/>
  <c r="CW151" i="1"/>
  <c r="G400" i="1"/>
  <c r="V400" i="1"/>
  <c r="AJ400" i="1"/>
  <c r="AX400" i="1"/>
  <c r="BQ400" i="1"/>
  <c r="BR400" i="1"/>
  <c r="CC400" i="1"/>
  <c r="CW400" i="1"/>
  <c r="G1832" i="1"/>
  <c r="V1832" i="1"/>
  <c r="AJ1832" i="1"/>
  <c r="AX1832" i="1"/>
  <c r="BQ1832" i="1"/>
  <c r="BR1832" i="1"/>
  <c r="CC1832" i="1"/>
  <c r="CW1832" i="1"/>
  <c r="G2301" i="1"/>
  <c r="V2301" i="1"/>
  <c r="AJ2301" i="1"/>
  <c r="AX2301" i="1"/>
  <c r="BQ2301" i="1"/>
  <c r="BR2301" i="1"/>
  <c r="CC2301" i="1"/>
  <c r="CW2301" i="1"/>
  <c r="G787" i="1"/>
  <c r="V787" i="1"/>
  <c r="AJ787" i="1"/>
  <c r="AX787" i="1"/>
  <c r="BQ787" i="1"/>
  <c r="BR787" i="1"/>
  <c r="CC787" i="1"/>
  <c r="CW787" i="1"/>
  <c r="G459" i="1"/>
  <c r="V459" i="1"/>
  <c r="AJ459" i="1"/>
  <c r="AX459" i="1"/>
  <c r="BQ459" i="1"/>
  <c r="BR459" i="1"/>
  <c r="CC459" i="1"/>
  <c r="CW459" i="1"/>
  <c r="G656" i="1"/>
  <c r="V656" i="1"/>
  <c r="AJ656" i="1"/>
  <c r="AX656" i="1"/>
  <c r="BQ656" i="1"/>
  <c r="BR656" i="1"/>
  <c r="CC656" i="1"/>
  <c r="CW656" i="1"/>
  <c r="G640" i="1"/>
  <c r="V640" i="1"/>
  <c r="AJ640" i="1"/>
  <c r="AX640" i="1"/>
  <c r="BQ640" i="1"/>
  <c r="BR640" i="1"/>
  <c r="CC640" i="1"/>
  <c r="CW640" i="1"/>
  <c r="G633" i="1"/>
  <c r="V633" i="1"/>
  <c r="AJ633" i="1"/>
  <c r="AX633" i="1"/>
  <c r="BQ633" i="1"/>
  <c r="BR633" i="1"/>
  <c r="CC633" i="1"/>
  <c r="CW633" i="1"/>
  <c r="G608" i="1"/>
  <c r="V608" i="1"/>
  <c r="AJ608" i="1"/>
  <c r="AX608" i="1"/>
  <c r="BQ608" i="1"/>
  <c r="BR608" i="1"/>
  <c r="CC608" i="1"/>
  <c r="CW608" i="1"/>
  <c r="G6" i="1"/>
  <c r="V6" i="1"/>
  <c r="AJ6" i="1"/>
  <c r="AX6" i="1"/>
  <c r="BQ6" i="1"/>
  <c r="BR6" i="1"/>
  <c r="CC6" i="1"/>
  <c r="CW6" i="1"/>
  <c r="G132" i="1"/>
  <c r="V132" i="1"/>
  <c r="AJ132" i="1"/>
  <c r="AX132" i="1"/>
  <c r="BQ132" i="1"/>
  <c r="BR132" i="1"/>
  <c r="CC132" i="1"/>
  <c r="CW132" i="1"/>
  <c r="G837" i="1"/>
  <c r="V837" i="1"/>
  <c r="AJ837" i="1"/>
  <c r="AX837" i="1"/>
  <c r="BQ837" i="1"/>
  <c r="BR837" i="1"/>
  <c r="CC837" i="1"/>
  <c r="CW837" i="1"/>
  <c r="G1866" i="1"/>
  <c r="V1866" i="1"/>
  <c r="AJ1866" i="1"/>
  <c r="AX1866" i="1"/>
  <c r="BQ1866" i="1"/>
  <c r="BR1866" i="1"/>
  <c r="CC1866" i="1"/>
  <c r="CW1866" i="1"/>
  <c r="G311" i="1"/>
  <c r="V311" i="1"/>
  <c r="AJ311" i="1"/>
  <c r="AX311" i="1"/>
  <c r="BQ311" i="1"/>
  <c r="BR311" i="1"/>
  <c r="CC311" i="1"/>
  <c r="CW311" i="1"/>
  <c r="G661" i="1"/>
  <c r="V661" i="1"/>
  <c r="AJ661" i="1"/>
  <c r="AX661" i="1"/>
  <c r="BQ661" i="1"/>
  <c r="BR661" i="1"/>
  <c r="CC661" i="1"/>
  <c r="CW661" i="1"/>
  <c r="G594" i="1"/>
  <c r="V594" i="1"/>
  <c r="AJ594" i="1"/>
  <c r="AX594" i="1"/>
  <c r="BQ594" i="1"/>
  <c r="BR594" i="1"/>
  <c r="CC594" i="1"/>
  <c r="CW594" i="1"/>
  <c r="G703" i="1"/>
  <c r="V703" i="1"/>
  <c r="AJ703" i="1"/>
  <c r="AX703" i="1"/>
  <c r="BQ703" i="1"/>
  <c r="BR703" i="1"/>
  <c r="CC703" i="1"/>
  <c r="CW703" i="1"/>
  <c r="G2216" i="1"/>
  <c r="V2216" i="1"/>
  <c r="AJ2216" i="1"/>
  <c r="AX2216" i="1"/>
  <c r="BQ2216" i="1"/>
  <c r="BR2216" i="1"/>
  <c r="CC2216" i="1"/>
  <c r="CW2216" i="1"/>
  <c r="G82" i="1"/>
  <c r="V82" i="1"/>
  <c r="AJ82" i="1"/>
  <c r="AX82" i="1"/>
  <c r="BQ82" i="1"/>
  <c r="BR82" i="1"/>
  <c r="CC82" i="1"/>
  <c r="CW82" i="1"/>
  <c r="G371" i="1"/>
  <c r="V371" i="1"/>
  <c r="AJ371" i="1"/>
  <c r="AX371" i="1"/>
  <c r="BQ371" i="1"/>
  <c r="BR371" i="1"/>
  <c r="CC371" i="1"/>
  <c r="CW371" i="1"/>
  <c r="G785" i="1"/>
  <c r="V785" i="1"/>
  <c r="AJ785" i="1"/>
  <c r="AX785" i="1"/>
  <c r="BQ785" i="1"/>
  <c r="BR785" i="1"/>
  <c r="CC785" i="1"/>
  <c r="CW785" i="1"/>
  <c r="G309" i="1"/>
  <c r="V309" i="1"/>
  <c r="AJ309" i="1"/>
  <c r="AX309" i="1"/>
  <c r="BQ309" i="1"/>
  <c r="BR309" i="1"/>
  <c r="CC309" i="1"/>
  <c r="CW309" i="1"/>
  <c r="G184" i="1"/>
  <c r="V184" i="1"/>
  <c r="AJ184" i="1"/>
  <c r="AX184" i="1"/>
  <c r="BQ184" i="1"/>
  <c r="BR184" i="1"/>
  <c r="CC184" i="1"/>
  <c r="CW184" i="1"/>
  <c r="G1861" i="1"/>
  <c r="V1861" i="1"/>
  <c r="AJ1861" i="1"/>
  <c r="AX1861" i="1"/>
  <c r="BQ1861" i="1"/>
  <c r="BR1861" i="1"/>
  <c r="CC1861" i="1"/>
  <c r="CW1861" i="1"/>
  <c r="G381" i="1"/>
  <c r="V381" i="1"/>
  <c r="AJ381" i="1"/>
  <c r="AX381" i="1"/>
  <c r="BQ381" i="1"/>
  <c r="BR381" i="1"/>
  <c r="CC381" i="1"/>
  <c r="CW381" i="1"/>
  <c r="G530" i="1"/>
  <c r="V530" i="1"/>
  <c r="AJ530" i="1"/>
  <c r="AX530" i="1"/>
  <c r="BQ530" i="1"/>
  <c r="BR530" i="1"/>
  <c r="CC530" i="1"/>
  <c r="CW530" i="1"/>
  <c r="G91" i="1"/>
  <c r="V91" i="1"/>
  <c r="AJ91" i="1"/>
  <c r="AX91" i="1"/>
  <c r="BQ91" i="1"/>
  <c r="BR91" i="1"/>
  <c r="CC91" i="1"/>
  <c r="CW91" i="1"/>
  <c r="G45" i="1"/>
  <c r="V45" i="1"/>
  <c r="AJ45" i="1"/>
  <c r="AX45" i="1"/>
  <c r="BQ45" i="1"/>
  <c r="BR45" i="1"/>
  <c r="CC45" i="1"/>
  <c r="CW45" i="1"/>
  <c r="G146" i="1"/>
  <c r="V146" i="1"/>
  <c r="AJ146" i="1"/>
  <c r="AX146" i="1"/>
  <c r="BQ146" i="1"/>
  <c r="BR146" i="1"/>
  <c r="CC146" i="1"/>
  <c r="CW146" i="1"/>
  <c r="G788" i="1"/>
  <c r="V788" i="1"/>
  <c r="AJ788" i="1"/>
  <c r="AX788" i="1"/>
  <c r="BQ788" i="1"/>
  <c r="BR788" i="1"/>
  <c r="CC788" i="1"/>
  <c r="CW788" i="1"/>
  <c r="G717" i="1"/>
  <c r="V717" i="1"/>
  <c r="AJ717" i="1"/>
  <c r="AX717" i="1"/>
  <c r="BQ717" i="1"/>
  <c r="BR717" i="1"/>
  <c r="CC717" i="1"/>
  <c r="CW717" i="1"/>
  <c r="G2330" i="1"/>
  <c r="V2330" i="1"/>
  <c r="AJ2330" i="1"/>
  <c r="AX2330" i="1"/>
  <c r="BQ2330" i="1"/>
  <c r="BR2330" i="1"/>
  <c r="CC2330" i="1"/>
  <c r="CW2330" i="1"/>
  <c r="G42" i="1"/>
  <c r="V42" i="1"/>
  <c r="AJ42" i="1"/>
  <c r="AX42" i="1"/>
  <c r="BQ42" i="1"/>
  <c r="BR42" i="1"/>
  <c r="CC42" i="1"/>
  <c r="CW42" i="1"/>
  <c r="G2204" i="1"/>
  <c r="V2204" i="1"/>
  <c r="AJ2204" i="1"/>
  <c r="AX2204" i="1"/>
  <c r="BQ2204" i="1"/>
  <c r="BR2204" i="1"/>
  <c r="CC2204" i="1"/>
  <c r="CW2204" i="1"/>
  <c r="G1987" i="1"/>
  <c r="V1987" i="1"/>
  <c r="AJ1987" i="1"/>
  <c r="AX1987" i="1"/>
  <c r="BQ1987" i="1"/>
  <c r="BR1987" i="1"/>
  <c r="CC1987" i="1"/>
  <c r="CW1987" i="1"/>
  <c r="G1972" i="1"/>
  <c r="V1972" i="1"/>
  <c r="AJ1972" i="1"/>
  <c r="AX1972" i="1"/>
  <c r="BQ1972" i="1"/>
  <c r="BR1972" i="1"/>
  <c r="CC1972" i="1"/>
  <c r="CW1972" i="1"/>
  <c r="G1157" i="1"/>
  <c r="V1157" i="1"/>
  <c r="AJ1157" i="1"/>
  <c r="AX1157" i="1"/>
  <c r="BQ1157" i="1"/>
  <c r="BR1157" i="1"/>
  <c r="CC1157" i="1"/>
  <c r="CW1157" i="1"/>
  <c r="G258" i="1"/>
  <c r="V258" i="1"/>
  <c r="AJ258" i="1"/>
  <c r="AX258" i="1"/>
  <c r="BQ258" i="1"/>
  <c r="BR258" i="1"/>
  <c r="CC258" i="1"/>
  <c r="CW258" i="1"/>
  <c r="G102" i="1"/>
  <c r="V102" i="1"/>
  <c r="AJ102" i="1"/>
  <c r="AX102" i="1"/>
  <c r="BQ102" i="1"/>
  <c r="BR102" i="1"/>
  <c r="CC102" i="1"/>
  <c r="CW102" i="1"/>
  <c r="G174" i="1"/>
  <c r="V174" i="1"/>
  <c r="AJ174" i="1"/>
  <c r="AX174" i="1"/>
  <c r="BQ174" i="1"/>
  <c r="BR174" i="1"/>
  <c r="CC174" i="1"/>
  <c r="CW174" i="1"/>
  <c r="G1261" i="1"/>
  <c r="V1261" i="1"/>
  <c r="AJ1261" i="1"/>
  <c r="AX1261" i="1"/>
  <c r="BQ1261" i="1"/>
  <c r="BR1261" i="1"/>
  <c r="CC1261" i="1"/>
  <c r="CW1261" i="1"/>
  <c r="G1306" i="1"/>
  <c r="V1306" i="1"/>
  <c r="AJ1306" i="1"/>
  <c r="AX1306" i="1"/>
  <c r="BQ1306" i="1"/>
  <c r="BR1306" i="1"/>
  <c r="CC1306" i="1"/>
  <c r="CW1306" i="1"/>
  <c r="G568" i="1"/>
  <c r="V568" i="1"/>
  <c r="AJ568" i="1"/>
  <c r="AX568" i="1"/>
  <c r="BQ568" i="1"/>
  <c r="BR568" i="1"/>
  <c r="CC568" i="1"/>
  <c r="CW568" i="1"/>
  <c r="G1072" i="1"/>
  <c r="V1072" i="1"/>
  <c r="AJ1072" i="1"/>
  <c r="AX1072" i="1"/>
  <c r="BQ1072" i="1"/>
  <c r="BR1072" i="1"/>
  <c r="CC1072" i="1"/>
  <c r="CW1072" i="1"/>
  <c r="G2133" i="1"/>
  <c r="V2133" i="1"/>
  <c r="AJ2133" i="1"/>
  <c r="AX2133" i="1"/>
  <c r="BQ2133" i="1"/>
  <c r="BR2133" i="1"/>
  <c r="CC2133" i="1"/>
  <c r="CW2133" i="1"/>
  <c r="G2059" i="1"/>
  <c r="V2059" i="1"/>
  <c r="AJ2059" i="1"/>
  <c r="AX2059" i="1"/>
  <c r="BQ2059" i="1"/>
  <c r="BR2059" i="1"/>
  <c r="CC2059" i="1"/>
  <c r="CW2059" i="1"/>
  <c r="G2266" i="1"/>
  <c r="V2266" i="1"/>
  <c r="AJ2266" i="1"/>
  <c r="AX2266" i="1"/>
  <c r="BQ2266" i="1"/>
  <c r="BR2266" i="1"/>
  <c r="CC2266" i="1"/>
  <c r="CW2266" i="1"/>
  <c r="G1050" i="1"/>
  <c r="V1050" i="1"/>
  <c r="AJ1050" i="1"/>
  <c r="AX1050" i="1"/>
  <c r="BQ1050" i="1"/>
  <c r="BR1050" i="1"/>
  <c r="CC1050" i="1"/>
  <c r="CW1050" i="1"/>
  <c r="G1788" i="1"/>
  <c r="V1788" i="1"/>
  <c r="AJ1788" i="1"/>
  <c r="AX1788" i="1"/>
  <c r="BQ1788" i="1"/>
  <c r="BR1788" i="1"/>
  <c r="CC1788" i="1"/>
  <c r="CW1788" i="1"/>
  <c r="G1088" i="1"/>
  <c r="V1088" i="1"/>
  <c r="AJ1088" i="1"/>
  <c r="AX1088" i="1"/>
  <c r="BQ1088" i="1"/>
  <c r="BR1088" i="1"/>
  <c r="CC1088" i="1"/>
  <c r="CW1088" i="1"/>
  <c r="G2162" i="1"/>
  <c r="V2162" i="1"/>
  <c r="AJ2162" i="1"/>
  <c r="AX2162" i="1"/>
  <c r="BQ2162" i="1"/>
  <c r="BR2162" i="1"/>
  <c r="CC2162" i="1"/>
  <c r="CW2162" i="1"/>
  <c r="G1181" i="1"/>
  <c r="V1181" i="1"/>
  <c r="AJ1181" i="1"/>
  <c r="AX1181" i="1"/>
  <c r="BQ1181" i="1"/>
  <c r="BR1181" i="1"/>
  <c r="CC1181" i="1"/>
  <c r="CW1181" i="1"/>
  <c r="G1992" i="1"/>
  <c r="V1992" i="1"/>
  <c r="AJ1992" i="1"/>
  <c r="AX1992" i="1"/>
  <c r="BQ1992" i="1"/>
  <c r="BR1992" i="1"/>
  <c r="CC1992" i="1"/>
  <c r="CW1992" i="1"/>
  <c r="G1163" i="1"/>
  <c r="V1163" i="1"/>
  <c r="AJ1163" i="1"/>
  <c r="AX1163" i="1"/>
  <c r="BQ1163" i="1"/>
  <c r="BR1163" i="1"/>
  <c r="CC1163" i="1"/>
  <c r="CW1163" i="1"/>
  <c r="G1110" i="1"/>
  <c r="V1110" i="1"/>
  <c r="AJ1110" i="1"/>
  <c r="AX1110" i="1"/>
  <c r="BQ1110" i="1"/>
  <c r="BR1110" i="1"/>
  <c r="CC1110" i="1"/>
  <c r="CW1110" i="1"/>
  <c r="G1312" i="1"/>
  <c r="V1312" i="1"/>
  <c r="AJ1312" i="1"/>
  <c r="AX1312" i="1"/>
  <c r="BQ1312" i="1"/>
  <c r="BR1312" i="1"/>
  <c r="CC1312" i="1"/>
  <c r="CW1312" i="1"/>
  <c r="G1009" i="1"/>
  <c r="V1009" i="1"/>
  <c r="AJ1009" i="1"/>
  <c r="AX1009" i="1"/>
  <c r="BQ1009" i="1"/>
  <c r="BR1009" i="1"/>
  <c r="CC1009" i="1"/>
  <c r="CW1009" i="1"/>
  <c r="G1370" i="1"/>
  <c r="V1370" i="1"/>
  <c r="AJ1370" i="1"/>
  <c r="AX1370" i="1"/>
  <c r="BQ1370" i="1"/>
  <c r="BR1370" i="1"/>
  <c r="CC1370" i="1"/>
  <c r="CW1370" i="1"/>
  <c r="G1463" i="1"/>
  <c r="V1463" i="1"/>
  <c r="AJ1463" i="1"/>
  <c r="AX1463" i="1"/>
  <c r="BQ1463" i="1"/>
  <c r="BR1463" i="1"/>
  <c r="CC1463" i="1"/>
  <c r="CW1463" i="1"/>
  <c r="G1062" i="1"/>
  <c r="V1062" i="1"/>
  <c r="AJ1062" i="1"/>
  <c r="AX1062" i="1"/>
  <c r="BQ1062" i="1"/>
  <c r="BR1062" i="1"/>
  <c r="CC1062" i="1"/>
  <c r="CW1062" i="1"/>
  <c r="G1756" i="1"/>
  <c r="V1756" i="1"/>
  <c r="AJ1756" i="1"/>
  <c r="AX1756" i="1"/>
  <c r="BQ1756" i="1"/>
  <c r="BR1756" i="1"/>
  <c r="CC1756" i="1"/>
  <c r="CW1756" i="1"/>
  <c r="G1373" i="1"/>
  <c r="V1373" i="1"/>
  <c r="AJ1373" i="1"/>
  <c r="AX1373" i="1"/>
  <c r="BQ1373" i="1"/>
  <c r="BR1373" i="1"/>
  <c r="CC1373" i="1"/>
  <c r="CW1373" i="1"/>
  <c r="G2157" i="1"/>
  <c r="V2157" i="1"/>
  <c r="AJ2157" i="1"/>
  <c r="AX2157" i="1"/>
  <c r="BQ2157" i="1"/>
  <c r="BR2157" i="1"/>
  <c r="CC2157" i="1"/>
  <c r="CW2157" i="1"/>
  <c r="G1925" i="1"/>
  <c r="V1925" i="1"/>
  <c r="AJ1925" i="1"/>
  <c r="AX1925" i="1"/>
  <c r="BQ1925" i="1"/>
  <c r="BR1925" i="1"/>
  <c r="CC1925" i="1"/>
  <c r="CW1925" i="1"/>
  <c r="G1235" i="1"/>
  <c r="V1235" i="1"/>
  <c r="AJ1235" i="1"/>
  <c r="AX1235" i="1"/>
  <c r="BQ1235" i="1"/>
  <c r="BR1235" i="1"/>
  <c r="CC1235" i="1"/>
  <c r="CW1235" i="1"/>
  <c r="G934" i="1"/>
  <c r="V934" i="1"/>
  <c r="AJ934" i="1"/>
  <c r="AX934" i="1"/>
  <c r="BQ934" i="1"/>
  <c r="BR934" i="1"/>
  <c r="CC934" i="1"/>
  <c r="CW934" i="1"/>
  <c r="G1155" i="1"/>
  <c r="V1155" i="1"/>
  <c r="AJ1155" i="1"/>
  <c r="AX1155" i="1"/>
  <c r="BQ1155" i="1"/>
  <c r="BR1155" i="1"/>
  <c r="CC1155" i="1"/>
  <c r="CW1155" i="1"/>
  <c r="G1763" i="1"/>
  <c r="V1763" i="1"/>
  <c r="AJ1763" i="1"/>
  <c r="AX1763" i="1"/>
  <c r="BQ1763" i="1"/>
  <c r="BR1763" i="1"/>
  <c r="CC1763" i="1"/>
  <c r="CW1763" i="1"/>
  <c r="G2013" i="1"/>
  <c r="V2013" i="1"/>
  <c r="AJ2013" i="1"/>
  <c r="AX2013" i="1"/>
  <c r="BQ2013" i="1"/>
  <c r="BR2013" i="1"/>
  <c r="CC2013" i="1"/>
  <c r="CW2013" i="1"/>
  <c r="G2394" i="1"/>
  <c r="V2394" i="1"/>
  <c r="AJ2394" i="1"/>
  <c r="AX2394" i="1"/>
  <c r="BQ2394" i="1"/>
  <c r="BR2394" i="1"/>
  <c r="CC2394" i="1"/>
  <c r="CW2394" i="1"/>
  <c r="G2390" i="1"/>
  <c r="V2390" i="1"/>
  <c r="AJ2390" i="1"/>
  <c r="AX2390" i="1"/>
  <c r="BQ2390" i="1"/>
  <c r="BR2390" i="1"/>
  <c r="CC2390" i="1"/>
  <c r="CW2390" i="1"/>
  <c r="G1375" i="1"/>
  <c r="V1375" i="1"/>
  <c r="AJ1375" i="1"/>
  <c r="AX1375" i="1"/>
  <c r="BQ1375" i="1"/>
  <c r="BR1375" i="1"/>
  <c r="CC1375" i="1"/>
  <c r="CW1375" i="1"/>
  <c r="G1964" i="1"/>
  <c r="V1964" i="1"/>
  <c r="AJ1964" i="1"/>
  <c r="AX1964" i="1"/>
  <c r="BQ1964" i="1"/>
  <c r="BR1964" i="1"/>
  <c r="CC1964" i="1"/>
  <c r="CW1964" i="1"/>
  <c r="G1136" i="1"/>
  <c r="V1136" i="1"/>
  <c r="AJ1136" i="1"/>
  <c r="AX1136" i="1"/>
  <c r="BQ1136" i="1"/>
  <c r="BR1136" i="1"/>
  <c r="CC1136" i="1"/>
  <c r="CW1136" i="1"/>
  <c r="G1660" i="1"/>
  <c r="V1660" i="1"/>
  <c r="AJ1660" i="1"/>
  <c r="AX1660" i="1"/>
  <c r="BQ1660" i="1"/>
  <c r="BR1660" i="1"/>
  <c r="CC1660" i="1"/>
  <c r="CW1660" i="1"/>
  <c r="G937" i="1"/>
  <c r="V937" i="1"/>
  <c r="AJ937" i="1"/>
  <c r="AX937" i="1"/>
  <c r="BQ937" i="1"/>
  <c r="BR937" i="1"/>
  <c r="CC937" i="1"/>
  <c r="CW937" i="1"/>
  <c r="G2005" i="1"/>
  <c r="V2005" i="1"/>
  <c r="AJ2005" i="1"/>
  <c r="AX2005" i="1"/>
  <c r="BQ2005" i="1"/>
  <c r="BR2005" i="1"/>
  <c r="CC2005" i="1"/>
  <c r="CW2005" i="1"/>
  <c r="G2031" i="1"/>
  <c r="V2031" i="1"/>
  <c r="AJ2031" i="1"/>
  <c r="AX2031" i="1"/>
  <c r="BQ2031" i="1"/>
  <c r="BR2031" i="1"/>
  <c r="CC2031" i="1"/>
  <c r="CW2031" i="1"/>
  <c r="G855" i="1"/>
  <c r="V855" i="1"/>
  <c r="AJ855" i="1"/>
  <c r="AX855" i="1"/>
  <c r="BQ855" i="1"/>
  <c r="BR855" i="1"/>
  <c r="CC855" i="1"/>
  <c r="CW855" i="1"/>
  <c r="G903" i="1"/>
  <c r="V903" i="1"/>
  <c r="AJ903" i="1"/>
  <c r="AX903" i="1"/>
  <c r="BQ903" i="1"/>
  <c r="BR903" i="1"/>
  <c r="CC903" i="1"/>
  <c r="CW903" i="1"/>
  <c r="G2030" i="1"/>
  <c r="V2030" i="1"/>
  <c r="AJ2030" i="1"/>
  <c r="AX2030" i="1"/>
  <c r="BQ2030" i="1"/>
  <c r="BR2030" i="1"/>
  <c r="CC2030" i="1"/>
  <c r="CW2030" i="1"/>
  <c r="G1058" i="1"/>
  <c r="V1058" i="1"/>
  <c r="AJ1058" i="1"/>
  <c r="AX1058" i="1"/>
  <c r="BQ1058" i="1"/>
  <c r="BR1058" i="1"/>
  <c r="CC1058" i="1"/>
  <c r="CW1058" i="1"/>
  <c r="G1767" i="1"/>
  <c r="V1767" i="1"/>
  <c r="AJ1767" i="1"/>
  <c r="AX1767" i="1"/>
  <c r="BQ1767" i="1"/>
  <c r="BR1767" i="1"/>
  <c r="CC1767" i="1"/>
  <c r="CW1767" i="1"/>
  <c r="G918" i="1"/>
  <c r="V918" i="1"/>
  <c r="AJ918" i="1"/>
  <c r="AX918" i="1"/>
  <c r="BQ918" i="1"/>
  <c r="BR918" i="1"/>
  <c r="CC918" i="1"/>
  <c r="CW918" i="1"/>
  <c r="G2041" i="1"/>
  <c r="V2041" i="1"/>
  <c r="AJ2041" i="1"/>
  <c r="AX2041" i="1"/>
  <c r="BQ2041" i="1"/>
  <c r="BR2041" i="1"/>
  <c r="CC2041" i="1"/>
  <c r="CW2041" i="1"/>
  <c r="G2386" i="1"/>
  <c r="V2386" i="1"/>
  <c r="AJ2386" i="1"/>
  <c r="AX2386" i="1"/>
  <c r="BQ2386" i="1"/>
  <c r="BR2386" i="1"/>
  <c r="CC2386" i="1"/>
  <c r="CW2386" i="1"/>
  <c r="G2018" i="1"/>
  <c r="V2018" i="1"/>
  <c r="AJ2018" i="1"/>
  <c r="AX2018" i="1"/>
  <c r="BQ2018" i="1"/>
  <c r="BR2018" i="1"/>
  <c r="CC2018" i="1"/>
  <c r="CW2018" i="1"/>
  <c r="G1705" i="1"/>
  <c r="V1705" i="1"/>
  <c r="AJ1705" i="1"/>
  <c r="AX1705" i="1"/>
  <c r="BQ1705" i="1"/>
  <c r="BR1705" i="1"/>
  <c r="CC1705" i="1"/>
  <c r="CW1705" i="1"/>
  <c r="G1562" i="1"/>
  <c r="V1562" i="1"/>
  <c r="AJ1562" i="1"/>
  <c r="AX1562" i="1"/>
  <c r="BQ1562" i="1"/>
  <c r="BR1562" i="1"/>
  <c r="CC1562" i="1"/>
  <c r="CW1562" i="1"/>
  <c r="G923" i="1"/>
  <c r="V923" i="1"/>
  <c r="AJ923" i="1"/>
  <c r="AX923" i="1"/>
  <c r="BQ923" i="1"/>
  <c r="BR923" i="1"/>
  <c r="CC923" i="1"/>
  <c r="CW923" i="1"/>
  <c r="G2085" i="1"/>
  <c r="V2085" i="1"/>
  <c r="AJ2085" i="1"/>
  <c r="AX2085" i="1"/>
  <c r="BQ2085" i="1"/>
  <c r="BR2085" i="1"/>
  <c r="CC2085" i="1"/>
  <c r="CW2085" i="1"/>
  <c r="G1643" i="1"/>
  <c r="V1643" i="1"/>
  <c r="AJ1643" i="1"/>
  <c r="AX1643" i="1"/>
  <c r="BQ1643" i="1"/>
  <c r="BR1643" i="1"/>
  <c r="CC1643" i="1"/>
  <c r="CW1643" i="1"/>
  <c r="G1669" i="1"/>
  <c r="V1669" i="1"/>
  <c r="AJ1669" i="1"/>
  <c r="AX1669" i="1"/>
  <c r="BQ1669" i="1"/>
  <c r="BR1669" i="1"/>
  <c r="CC1669" i="1"/>
  <c r="CW1669" i="1"/>
  <c r="G1265" i="1"/>
  <c r="V1265" i="1"/>
  <c r="AJ1265" i="1"/>
  <c r="AX1265" i="1"/>
  <c r="BQ1265" i="1"/>
  <c r="BR1265" i="1"/>
  <c r="CC1265" i="1"/>
  <c r="CW1265" i="1"/>
  <c r="G1302" i="1"/>
  <c r="V1302" i="1"/>
  <c r="AJ1302" i="1"/>
  <c r="AX1302" i="1"/>
  <c r="BQ1302" i="1"/>
  <c r="BR1302" i="1"/>
  <c r="CC1302" i="1"/>
  <c r="CW1302" i="1"/>
  <c r="G1207" i="1"/>
  <c r="V1207" i="1"/>
  <c r="AJ1207" i="1"/>
  <c r="AX1207" i="1"/>
  <c r="BQ1207" i="1"/>
  <c r="BR1207" i="1"/>
  <c r="CC1207" i="1"/>
  <c r="CW1207" i="1"/>
  <c r="G1258" i="1"/>
  <c r="V1258" i="1"/>
  <c r="AJ1258" i="1"/>
  <c r="AX1258" i="1"/>
  <c r="BQ1258" i="1"/>
  <c r="BR1258" i="1"/>
  <c r="CC1258" i="1"/>
  <c r="CW1258" i="1"/>
  <c r="G1398" i="1"/>
  <c r="V1398" i="1"/>
  <c r="AJ1398" i="1"/>
  <c r="AX1398" i="1"/>
  <c r="BQ1398" i="1"/>
  <c r="BR1398" i="1"/>
  <c r="CC1398" i="1"/>
  <c r="CW1398" i="1"/>
  <c r="G1789" i="1"/>
  <c r="V1789" i="1"/>
  <c r="AJ1789" i="1"/>
  <c r="AX1789" i="1"/>
  <c r="BQ1789" i="1"/>
  <c r="BR1789" i="1"/>
  <c r="CC1789" i="1"/>
  <c r="CW1789" i="1"/>
  <c r="G1641" i="1"/>
  <c r="V1641" i="1"/>
  <c r="AJ1641" i="1"/>
  <c r="AX1641" i="1"/>
  <c r="BQ1641" i="1"/>
  <c r="BR1641" i="1"/>
  <c r="CC1641" i="1"/>
  <c r="CW1641" i="1"/>
  <c r="G1771" i="1"/>
  <c r="V1771" i="1"/>
  <c r="AJ1771" i="1"/>
  <c r="AX1771" i="1"/>
  <c r="BQ1771" i="1"/>
  <c r="BR1771" i="1"/>
  <c r="CC1771" i="1"/>
  <c r="CW1771" i="1"/>
  <c r="G1034" i="1"/>
  <c r="V1034" i="1"/>
  <c r="AJ1034" i="1"/>
  <c r="AX1034" i="1"/>
  <c r="BQ1034" i="1"/>
  <c r="BR1034" i="1"/>
  <c r="CC1034" i="1"/>
  <c r="CW1034" i="1"/>
  <c r="G1609" i="1"/>
  <c r="V1609" i="1"/>
  <c r="AJ1609" i="1"/>
  <c r="AX1609" i="1"/>
  <c r="BQ1609" i="1"/>
  <c r="BR1609" i="1"/>
  <c r="CC1609" i="1"/>
  <c r="CW1609" i="1"/>
  <c r="G1403" i="1"/>
  <c r="V1403" i="1"/>
  <c r="AJ1403" i="1"/>
  <c r="AX1403" i="1"/>
  <c r="BQ1403" i="1"/>
  <c r="BR1403" i="1"/>
  <c r="CC1403" i="1"/>
  <c r="CW1403" i="1"/>
  <c r="G890" i="1"/>
  <c r="V890" i="1"/>
  <c r="AJ890" i="1"/>
  <c r="AX890" i="1"/>
  <c r="BQ890" i="1"/>
  <c r="BR890" i="1"/>
  <c r="CC890" i="1"/>
  <c r="CW890" i="1"/>
  <c r="G2143" i="1"/>
  <c r="V2143" i="1"/>
  <c r="AJ2143" i="1"/>
  <c r="AX2143" i="1"/>
  <c r="BQ2143" i="1"/>
  <c r="BR2143" i="1"/>
  <c r="CC2143" i="1"/>
  <c r="CW2143" i="1"/>
  <c r="G881" i="1"/>
  <c r="V881" i="1"/>
  <c r="AJ881" i="1"/>
  <c r="AX881" i="1"/>
  <c r="BQ881" i="1"/>
  <c r="BR881" i="1"/>
  <c r="CC881" i="1"/>
  <c r="CW881" i="1"/>
  <c r="G956" i="1"/>
  <c r="V956" i="1"/>
  <c r="AJ956" i="1"/>
  <c r="AX956" i="1"/>
  <c r="BQ956" i="1"/>
  <c r="BR956" i="1"/>
  <c r="CC956" i="1"/>
  <c r="CW956" i="1"/>
  <c r="G2260" i="1"/>
  <c r="V2260" i="1"/>
  <c r="AJ2260" i="1"/>
  <c r="AX2260" i="1"/>
  <c r="BQ2260" i="1"/>
  <c r="BR2260" i="1"/>
  <c r="CC2260" i="1"/>
  <c r="CW2260" i="1"/>
  <c r="G2346" i="1"/>
  <c r="V2346" i="1"/>
  <c r="AJ2346" i="1"/>
  <c r="AX2346" i="1"/>
  <c r="BQ2346" i="1"/>
  <c r="BR2346" i="1"/>
  <c r="CC2346" i="1"/>
  <c r="CW2346" i="1"/>
  <c r="G2051" i="1"/>
  <c r="V2051" i="1"/>
  <c r="AJ2051" i="1"/>
  <c r="AX2051" i="1"/>
  <c r="BQ2051" i="1"/>
  <c r="BR2051" i="1"/>
  <c r="CC2051" i="1"/>
  <c r="CW2051" i="1"/>
  <c r="G2132" i="1"/>
  <c r="V2132" i="1"/>
  <c r="AJ2132" i="1"/>
  <c r="AX2132" i="1"/>
  <c r="BQ2132" i="1"/>
  <c r="BR2132" i="1"/>
  <c r="CC2132" i="1"/>
  <c r="CW2132" i="1"/>
  <c r="G1757" i="1"/>
  <c r="V1757" i="1"/>
  <c r="AJ1757" i="1"/>
  <c r="AX1757" i="1"/>
  <c r="BQ1757" i="1"/>
  <c r="BR1757" i="1"/>
  <c r="CC1757" i="1"/>
  <c r="CW1757" i="1"/>
  <c r="G2081" i="1"/>
  <c r="V2081" i="1"/>
  <c r="AJ2081" i="1"/>
  <c r="AX2081" i="1"/>
  <c r="BQ2081" i="1"/>
  <c r="BR2081" i="1"/>
  <c r="CC2081" i="1"/>
  <c r="CW2081" i="1"/>
  <c r="G1996" i="1"/>
  <c r="V1996" i="1"/>
  <c r="AJ1996" i="1"/>
  <c r="AX1996" i="1"/>
  <c r="BQ1996" i="1"/>
  <c r="BR1996" i="1"/>
  <c r="CC1996" i="1"/>
  <c r="CW1996" i="1"/>
  <c r="G1747" i="1"/>
  <c r="V1747" i="1"/>
  <c r="AJ1747" i="1"/>
  <c r="AX1747" i="1"/>
  <c r="BQ1747" i="1"/>
  <c r="BR1747" i="1"/>
  <c r="CC1747" i="1"/>
  <c r="CW1747" i="1"/>
  <c r="G1550" i="1"/>
  <c r="V1550" i="1"/>
  <c r="AJ1550" i="1"/>
  <c r="AX1550" i="1"/>
  <c r="BQ1550" i="1"/>
  <c r="BR1550" i="1"/>
  <c r="CC1550" i="1"/>
  <c r="CW1550" i="1"/>
  <c r="G1268" i="1"/>
  <c r="V1268" i="1"/>
  <c r="AJ1268" i="1"/>
  <c r="AX1268" i="1"/>
  <c r="BQ1268" i="1"/>
  <c r="BR1268" i="1"/>
  <c r="CC1268" i="1"/>
  <c r="CW1268" i="1"/>
  <c r="G2355" i="1"/>
  <c r="V2355" i="1"/>
  <c r="AJ2355" i="1"/>
  <c r="AX2355" i="1"/>
  <c r="BQ2355" i="1"/>
  <c r="BR2355" i="1"/>
  <c r="CC2355" i="1"/>
  <c r="CW2355" i="1"/>
  <c r="G2251" i="1"/>
  <c r="V2251" i="1"/>
  <c r="AJ2251" i="1"/>
  <c r="AX2251" i="1"/>
  <c r="BQ2251" i="1"/>
  <c r="BR2251" i="1"/>
  <c r="CC2251" i="1"/>
  <c r="CW2251" i="1"/>
  <c r="G2097" i="1"/>
  <c r="V2097" i="1"/>
  <c r="AJ2097" i="1"/>
  <c r="AX2097" i="1"/>
  <c r="BQ2097" i="1"/>
  <c r="BR2097" i="1"/>
  <c r="CC2097" i="1"/>
  <c r="CW2097" i="1"/>
  <c r="G1748" i="1"/>
  <c r="V1748" i="1"/>
  <c r="AJ1748" i="1"/>
  <c r="AX1748" i="1"/>
  <c r="BQ1748" i="1"/>
  <c r="BR1748" i="1"/>
  <c r="CC1748" i="1"/>
  <c r="CW1748" i="1"/>
  <c r="G1584" i="1"/>
  <c r="V1584" i="1"/>
  <c r="AJ1584" i="1"/>
  <c r="AX1584" i="1"/>
  <c r="BQ1584" i="1"/>
  <c r="BR1584" i="1"/>
  <c r="CC1584" i="1"/>
  <c r="CW1584" i="1"/>
  <c r="G2107" i="1"/>
  <c r="V2107" i="1"/>
  <c r="AJ2107" i="1"/>
  <c r="AX2107" i="1"/>
  <c r="BQ2107" i="1"/>
  <c r="BR2107" i="1"/>
  <c r="CC2107" i="1"/>
  <c r="CW2107" i="1"/>
  <c r="G105" i="1"/>
  <c r="V105" i="1"/>
  <c r="AJ105" i="1"/>
  <c r="AX105" i="1"/>
  <c r="BQ105" i="1"/>
  <c r="BR105" i="1"/>
  <c r="CC105" i="1"/>
  <c r="CW105" i="1"/>
  <c r="G460" i="1"/>
  <c r="V460" i="1"/>
  <c r="AJ460" i="1"/>
  <c r="AX460" i="1"/>
  <c r="BQ460" i="1"/>
  <c r="BR460" i="1"/>
  <c r="CC460" i="1"/>
  <c r="CW460" i="1"/>
  <c r="G1831" i="1"/>
  <c r="V1831" i="1"/>
  <c r="AJ1831" i="1"/>
  <c r="AX1831" i="1"/>
  <c r="BQ1831" i="1"/>
  <c r="BR1831" i="1"/>
  <c r="CC1831" i="1"/>
  <c r="CW1831" i="1"/>
  <c r="G751" i="1"/>
  <c r="V751" i="1"/>
  <c r="AJ751" i="1"/>
  <c r="AX751" i="1"/>
  <c r="BQ751" i="1"/>
  <c r="BR751" i="1"/>
  <c r="CC751" i="1"/>
  <c r="CW751" i="1"/>
  <c r="G328" i="1"/>
  <c r="V328" i="1"/>
  <c r="AJ328" i="1"/>
  <c r="AX328" i="1"/>
  <c r="BQ328" i="1"/>
  <c r="BR328" i="1"/>
  <c r="CC328" i="1"/>
  <c r="CW328" i="1"/>
  <c r="G173" i="1"/>
  <c r="V173" i="1"/>
  <c r="AJ173" i="1"/>
  <c r="AX173" i="1"/>
  <c r="BQ173" i="1"/>
  <c r="BR173" i="1"/>
  <c r="CC173" i="1"/>
  <c r="CW173" i="1"/>
  <c r="G168" i="1"/>
  <c r="V168" i="1"/>
  <c r="AJ168" i="1"/>
  <c r="AX168" i="1"/>
  <c r="BQ168" i="1"/>
  <c r="BR168" i="1"/>
  <c r="CC168" i="1"/>
  <c r="CW168" i="1"/>
  <c r="G805" i="1"/>
  <c r="V805" i="1"/>
  <c r="AJ805" i="1"/>
  <c r="AX805" i="1"/>
  <c r="BQ805" i="1"/>
  <c r="BR805" i="1"/>
  <c r="CC805" i="1"/>
  <c r="CW805" i="1"/>
  <c r="G626" i="1"/>
  <c r="V626" i="1"/>
  <c r="AJ626" i="1"/>
  <c r="AX626" i="1"/>
  <c r="BQ626" i="1"/>
  <c r="BR626" i="1"/>
  <c r="CC626" i="1"/>
  <c r="CW626" i="1"/>
  <c r="G273" i="1"/>
  <c r="V273" i="1"/>
  <c r="AJ273" i="1"/>
  <c r="AX273" i="1"/>
  <c r="BQ273" i="1"/>
  <c r="BR273" i="1"/>
  <c r="CC273" i="1"/>
  <c r="CW273" i="1"/>
  <c r="G484" i="1"/>
  <c r="V484" i="1"/>
  <c r="AJ484" i="1"/>
  <c r="AX484" i="1"/>
  <c r="BQ484" i="1"/>
  <c r="BR484" i="1"/>
  <c r="CC484" i="1"/>
  <c r="CW484" i="1"/>
  <c r="G468" i="1"/>
  <c r="V468" i="1"/>
  <c r="AJ468" i="1"/>
  <c r="AX468" i="1"/>
  <c r="BQ468" i="1"/>
  <c r="BR468" i="1"/>
  <c r="CC468" i="1"/>
  <c r="CW468" i="1"/>
  <c r="G350" i="1"/>
  <c r="V350" i="1"/>
  <c r="AJ350" i="1"/>
  <c r="AX350" i="1"/>
  <c r="BQ350" i="1"/>
  <c r="BR350" i="1"/>
  <c r="CC350" i="1"/>
  <c r="CW350" i="1"/>
  <c r="G532" i="1"/>
  <c r="V532" i="1"/>
  <c r="AJ532" i="1"/>
  <c r="AX532" i="1"/>
  <c r="BQ532" i="1"/>
  <c r="BR532" i="1"/>
  <c r="CC532" i="1"/>
  <c r="CW532" i="1"/>
  <c r="G144" i="1"/>
  <c r="V144" i="1"/>
  <c r="AJ144" i="1"/>
  <c r="AX144" i="1"/>
  <c r="BQ144" i="1"/>
  <c r="BR144" i="1"/>
  <c r="CC144" i="1"/>
  <c r="CW144" i="1"/>
  <c r="G355" i="1"/>
  <c r="V355" i="1"/>
  <c r="AJ355" i="1"/>
  <c r="AX355" i="1"/>
  <c r="BQ355" i="1"/>
  <c r="BR355" i="1"/>
  <c r="CC355" i="1"/>
  <c r="CW355" i="1"/>
  <c r="G1803" i="1"/>
  <c r="V1803" i="1"/>
  <c r="AJ1803" i="1"/>
  <c r="AX1803" i="1"/>
  <c r="BQ1803" i="1"/>
  <c r="BR1803" i="1"/>
  <c r="CC1803" i="1"/>
  <c r="CW1803" i="1"/>
  <c r="G109" i="1"/>
  <c r="V109" i="1"/>
  <c r="AJ109" i="1"/>
  <c r="AX109" i="1"/>
  <c r="BQ109" i="1"/>
  <c r="BR109" i="1"/>
  <c r="CC109" i="1"/>
  <c r="CW109" i="1"/>
  <c r="G797" i="1"/>
  <c r="V797" i="1"/>
  <c r="AJ797" i="1"/>
  <c r="AX797" i="1"/>
  <c r="BQ797" i="1"/>
  <c r="BR797" i="1"/>
  <c r="CC797" i="1"/>
  <c r="CW797" i="1"/>
  <c r="G243" i="1"/>
  <c r="V243" i="1"/>
  <c r="AJ243" i="1"/>
  <c r="AX243" i="1"/>
  <c r="BQ243" i="1"/>
  <c r="BR243" i="1"/>
  <c r="CC243" i="1"/>
  <c r="CW243" i="1"/>
  <c r="G180" i="1"/>
  <c r="V180" i="1"/>
  <c r="AJ180" i="1"/>
  <c r="AX180" i="1"/>
  <c r="BQ180" i="1"/>
  <c r="BR180" i="1"/>
  <c r="CC180" i="1"/>
  <c r="CW180" i="1"/>
  <c r="G2312" i="1"/>
  <c r="V2312" i="1"/>
  <c r="AJ2312" i="1"/>
  <c r="AX2312" i="1"/>
  <c r="BQ2312" i="1"/>
  <c r="BR2312" i="1"/>
  <c r="CC2312" i="1"/>
  <c r="CW2312" i="1"/>
  <c r="G370" i="1"/>
  <c r="V370" i="1"/>
  <c r="AJ370" i="1"/>
  <c r="AX370" i="1"/>
  <c r="BQ370" i="1"/>
  <c r="BR370" i="1"/>
  <c r="CC370" i="1"/>
  <c r="CW370" i="1"/>
  <c r="G564" i="1"/>
  <c r="V564" i="1"/>
  <c r="AJ564" i="1"/>
  <c r="AX564" i="1"/>
  <c r="BQ564" i="1"/>
  <c r="BR564" i="1"/>
  <c r="CC564" i="1"/>
  <c r="CW564" i="1"/>
  <c r="G767" i="1"/>
  <c r="V767" i="1"/>
  <c r="AJ767" i="1"/>
  <c r="AX767" i="1"/>
  <c r="BQ767" i="1"/>
  <c r="BR767" i="1"/>
  <c r="CC767" i="1"/>
  <c r="CW767" i="1"/>
  <c r="G798" i="1"/>
  <c r="V798" i="1"/>
  <c r="AJ798" i="1"/>
  <c r="AX798" i="1"/>
  <c r="BQ798" i="1"/>
  <c r="BR798" i="1"/>
  <c r="CC798" i="1"/>
  <c r="CW798" i="1"/>
  <c r="G812" i="1"/>
  <c r="V812" i="1"/>
  <c r="AJ812" i="1"/>
  <c r="AX812" i="1"/>
  <c r="BQ812" i="1"/>
  <c r="BR812" i="1"/>
  <c r="CC812" i="1"/>
  <c r="CW812" i="1"/>
  <c r="G731" i="1"/>
  <c r="V731" i="1"/>
  <c r="AJ731" i="1"/>
  <c r="AX731" i="1"/>
  <c r="BQ731" i="1"/>
  <c r="BR731" i="1"/>
  <c r="CC731" i="1"/>
  <c r="CW731" i="1"/>
  <c r="G772" i="1"/>
  <c r="V772" i="1"/>
  <c r="AJ772" i="1"/>
  <c r="AX772" i="1"/>
  <c r="BQ772" i="1"/>
  <c r="BR772" i="1"/>
  <c r="CC772" i="1"/>
  <c r="CW772" i="1"/>
  <c r="G227" i="1"/>
  <c r="V227" i="1"/>
  <c r="AJ227" i="1"/>
  <c r="AX227" i="1"/>
  <c r="BQ227" i="1"/>
  <c r="BR227" i="1"/>
  <c r="CC227" i="1"/>
  <c r="CW227" i="1"/>
  <c r="G220" i="1"/>
  <c r="V220" i="1"/>
  <c r="AJ220" i="1"/>
  <c r="AX220" i="1"/>
  <c r="BQ220" i="1"/>
  <c r="BR220" i="1"/>
  <c r="CC220" i="1"/>
  <c r="CW220" i="1"/>
  <c r="G224" i="1"/>
  <c r="V224" i="1"/>
  <c r="AJ224" i="1"/>
  <c r="AX224" i="1"/>
  <c r="BQ224" i="1"/>
  <c r="BR224" i="1"/>
  <c r="CC224" i="1"/>
  <c r="CW224" i="1"/>
  <c r="G636" i="1"/>
  <c r="V636" i="1"/>
  <c r="AJ636" i="1"/>
  <c r="AX636" i="1"/>
  <c r="BQ636" i="1"/>
  <c r="BR636" i="1"/>
  <c r="CC636" i="1"/>
  <c r="CW636" i="1"/>
  <c r="G181" i="1"/>
  <c r="V181" i="1"/>
  <c r="AJ181" i="1"/>
  <c r="AX181" i="1"/>
  <c r="BQ181" i="1"/>
  <c r="BR181" i="1"/>
  <c r="CC181" i="1"/>
  <c r="CW181" i="1"/>
  <c r="G702" i="1"/>
  <c r="V702" i="1"/>
  <c r="AJ702" i="1"/>
  <c r="AX702" i="1"/>
  <c r="BQ702" i="1"/>
  <c r="BR702" i="1"/>
  <c r="CC702" i="1"/>
  <c r="CW702" i="1"/>
  <c r="G406" i="1"/>
  <c r="V406" i="1"/>
  <c r="AJ406" i="1"/>
  <c r="AX406" i="1"/>
  <c r="BQ406" i="1"/>
  <c r="BR406" i="1"/>
  <c r="CC406" i="1"/>
  <c r="CW406" i="1"/>
  <c r="G4" i="1"/>
  <c r="V4" i="1"/>
  <c r="AJ4" i="1"/>
  <c r="AX4" i="1"/>
  <c r="BQ4" i="1"/>
  <c r="BR4" i="1"/>
  <c r="CC4" i="1"/>
  <c r="CW4" i="1"/>
  <c r="G405" i="1"/>
  <c r="V405" i="1"/>
  <c r="AJ405" i="1"/>
  <c r="AX405" i="1"/>
  <c r="BQ405" i="1"/>
  <c r="BR405" i="1"/>
  <c r="CC405" i="1"/>
  <c r="CW405" i="1"/>
  <c r="G664" i="1"/>
  <c r="V664" i="1"/>
  <c r="AJ664" i="1"/>
  <c r="AX664" i="1"/>
  <c r="BQ664" i="1"/>
  <c r="BR664" i="1"/>
  <c r="CC664" i="1"/>
  <c r="CW664" i="1"/>
  <c r="G477" i="1"/>
  <c r="V477" i="1"/>
  <c r="AJ477" i="1"/>
  <c r="AX477" i="1"/>
  <c r="BQ477" i="1"/>
  <c r="BR477" i="1"/>
  <c r="CC477" i="1"/>
  <c r="CW477" i="1"/>
  <c r="G587" i="1"/>
  <c r="V587" i="1"/>
  <c r="AJ587" i="1"/>
  <c r="AX587" i="1"/>
  <c r="BQ587" i="1"/>
  <c r="BR587" i="1"/>
  <c r="CC587" i="1"/>
  <c r="CW587" i="1"/>
  <c r="G428" i="1"/>
  <c r="V428" i="1"/>
  <c r="AJ428" i="1"/>
  <c r="AX428" i="1"/>
  <c r="BQ428" i="1"/>
  <c r="BR428" i="1"/>
  <c r="CC428" i="1"/>
  <c r="CW428" i="1"/>
  <c r="G392" i="1"/>
  <c r="V392" i="1"/>
  <c r="AJ392" i="1"/>
  <c r="AX392" i="1"/>
  <c r="BQ392" i="1"/>
  <c r="BR392" i="1"/>
  <c r="CC392" i="1"/>
  <c r="CW392" i="1"/>
  <c r="G692" i="1"/>
  <c r="V692" i="1"/>
  <c r="AJ692" i="1"/>
  <c r="AX692" i="1"/>
  <c r="BQ692" i="1"/>
  <c r="BR692" i="1"/>
  <c r="CC692" i="1"/>
  <c r="CW692" i="1"/>
  <c r="G115" i="1"/>
  <c r="V115" i="1"/>
  <c r="AJ115" i="1"/>
  <c r="AX115" i="1"/>
  <c r="BQ115" i="1"/>
  <c r="BR115" i="1"/>
  <c r="CC115" i="1"/>
  <c r="CW115" i="1"/>
  <c r="G551" i="1"/>
  <c r="V551" i="1"/>
  <c r="AJ551" i="1"/>
  <c r="AX551" i="1"/>
  <c r="BQ551" i="1"/>
  <c r="BR551" i="1"/>
  <c r="CC551" i="1"/>
  <c r="CW551" i="1"/>
  <c r="G670" i="1"/>
  <c r="V670" i="1"/>
  <c r="AJ670" i="1"/>
  <c r="AX670" i="1"/>
  <c r="BQ670" i="1"/>
  <c r="BR670" i="1"/>
  <c r="CC670" i="1"/>
  <c r="CW670" i="1"/>
  <c r="G836" i="1"/>
  <c r="V836" i="1"/>
  <c r="AJ836" i="1"/>
  <c r="AX836" i="1"/>
  <c r="BQ836" i="1"/>
  <c r="BR836" i="1"/>
  <c r="CC836" i="1"/>
  <c r="CW836" i="1"/>
  <c r="G1808" i="1"/>
  <c r="V1808" i="1"/>
  <c r="AJ1808" i="1"/>
  <c r="AX1808" i="1"/>
  <c r="BQ1808" i="1"/>
  <c r="BR1808" i="1"/>
  <c r="CC1808" i="1"/>
  <c r="CW1808" i="1"/>
  <c r="G504" i="1"/>
  <c r="V504" i="1"/>
  <c r="AJ504" i="1"/>
  <c r="AX504" i="1"/>
  <c r="BQ504" i="1"/>
  <c r="BR504" i="1"/>
  <c r="CC504" i="1"/>
  <c r="CW504" i="1"/>
  <c r="G1777" i="1"/>
  <c r="V1777" i="1"/>
  <c r="AJ1777" i="1"/>
  <c r="AX1777" i="1"/>
  <c r="BQ1777" i="1"/>
  <c r="BR1777" i="1"/>
  <c r="CC1777" i="1"/>
  <c r="CW1777" i="1"/>
  <c r="G1652" i="1"/>
  <c r="V1652" i="1"/>
  <c r="AJ1652" i="1"/>
  <c r="AX1652" i="1"/>
  <c r="BQ1652" i="1"/>
  <c r="BR1652" i="1"/>
  <c r="CC1652" i="1"/>
  <c r="CW1652" i="1"/>
  <c r="G1715" i="1"/>
  <c r="V1715" i="1"/>
  <c r="AJ1715" i="1"/>
  <c r="AX1715" i="1"/>
  <c r="BQ1715" i="1"/>
  <c r="BR1715" i="1"/>
  <c r="CC1715" i="1"/>
  <c r="CW1715" i="1"/>
  <c r="G1672" i="1"/>
  <c r="V1672" i="1"/>
  <c r="AJ1672" i="1"/>
  <c r="AX1672" i="1"/>
  <c r="BQ1672" i="1"/>
  <c r="BR1672" i="1"/>
  <c r="CC1672" i="1"/>
  <c r="CW1672" i="1"/>
  <c r="G2288" i="1"/>
  <c r="V2288" i="1"/>
  <c r="AJ2288" i="1"/>
  <c r="AX2288" i="1"/>
  <c r="BQ2288" i="1"/>
  <c r="BR2288" i="1"/>
  <c r="CC2288" i="1"/>
  <c r="CW2288" i="1"/>
  <c r="G1226" i="1"/>
  <c r="V1226" i="1"/>
  <c r="AJ1226" i="1"/>
  <c r="AX1226" i="1"/>
  <c r="BQ1226" i="1"/>
  <c r="BR1226" i="1"/>
  <c r="CC1226" i="1"/>
  <c r="CW1226" i="1"/>
  <c r="G1726" i="1"/>
  <c r="V1726" i="1"/>
  <c r="AJ1726" i="1"/>
  <c r="AX1726" i="1"/>
  <c r="BQ1726" i="1"/>
  <c r="BR1726" i="1"/>
  <c r="CC1726" i="1"/>
  <c r="CW1726" i="1"/>
  <c r="G1671" i="1"/>
  <c r="V1671" i="1"/>
  <c r="AJ1671" i="1"/>
  <c r="AX1671" i="1"/>
  <c r="BQ1671" i="1"/>
  <c r="BR1671" i="1"/>
  <c r="CC1671" i="1"/>
  <c r="CW1671" i="1"/>
  <c r="G2116" i="1"/>
  <c r="V2116" i="1"/>
  <c r="AJ2116" i="1"/>
  <c r="AX2116" i="1"/>
  <c r="BQ2116" i="1"/>
  <c r="BR2116" i="1"/>
  <c r="CC2116" i="1"/>
  <c r="CW2116" i="1"/>
  <c r="G391" i="1"/>
  <c r="V391" i="1"/>
  <c r="AJ391" i="1"/>
  <c r="AX391" i="1"/>
  <c r="BQ391" i="1"/>
  <c r="BR391" i="1"/>
  <c r="CC391" i="1"/>
  <c r="CW391" i="1"/>
  <c r="G1348" i="1"/>
  <c r="V1348" i="1"/>
  <c r="AJ1348" i="1"/>
  <c r="AX1348" i="1"/>
  <c r="BQ1348" i="1"/>
  <c r="BR1348" i="1"/>
  <c r="CC1348" i="1"/>
  <c r="CW1348" i="1"/>
  <c r="G2400" i="1"/>
  <c r="V2400" i="1"/>
  <c r="AJ2400" i="1"/>
  <c r="AX2400" i="1"/>
  <c r="BQ2400" i="1"/>
  <c r="BR2400" i="1"/>
  <c r="CC2400" i="1"/>
  <c r="CW2400" i="1"/>
  <c r="G978" i="1"/>
  <c r="V978" i="1"/>
  <c r="AJ978" i="1"/>
  <c r="AX978" i="1"/>
  <c r="BQ978" i="1"/>
  <c r="BR978" i="1"/>
  <c r="CC978" i="1"/>
  <c r="CW978" i="1"/>
  <c r="G1471" i="1"/>
  <c r="V1471" i="1"/>
  <c r="AJ1471" i="1"/>
  <c r="AX1471" i="1"/>
  <c r="BQ1471" i="1"/>
  <c r="BR1471" i="1"/>
  <c r="CC1471" i="1"/>
  <c r="CW1471" i="1"/>
  <c r="G1093" i="1"/>
  <c r="V1093" i="1"/>
  <c r="AJ1093" i="1"/>
  <c r="AX1093" i="1"/>
  <c r="BQ1093" i="1"/>
  <c r="BR1093" i="1"/>
  <c r="CC1093" i="1"/>
  <c r="CW1093" i="1"/>
  <c r="G876" i="1"/>
  <c r="V876" i="1"/>
  <c r="AJ876" i="1"/>
  <c r="AX876" i="1"/>
  <c r="BQ876" i="1"/>
  <c r="BR876" i="1"/>
  <c r="CC876" i="1"/>
  <c r="CW876" i="1"/>
  <c r="G1665" i="1"/>
  <c r="V1665" i="1"/>
  <c r="AJ1665" i="1"/>
  <c r="AX1665" i="1"/>
  <c r="BQ1665" i="1"/>
  <c r="BR1665" i="1"/>
  <c r="CC1665" i="1"/>
  <c r="CW1665" i="1"/>
  <c r="G2021" i="1"/>
  <c r="V2021" i="1"/>
  <c r="AJ2021" i="1"/>
  <c r="AX2021" i="1"/>
  <c r="BQ2021" i="1"/>
  <c r="BR2021" i="1"/>
  <c r="CC2021" i="1"/>
  <c r="CW2021" i="1"/>
  <c r="G1352" i="1"/>
  <c r="V1352" i="1"/>
  <c r="AJ1352" i="1"/>
  <c r="AX1352" i="1"/>
  <c r="BQ1352" i="1"/>
  <c r="BR1352" i="1"/>
  <c r="CC1352" i="1"/>
  <c r="CW1352" i="1"/>
  <c r="G1589" i="1"/>
  <c r="V1589" i="1"/>
  <c r="AJ1589" i="1"/>
  <c r="AX1589" i="1"/>
  <c r="BQ1589" i="1"/>
  <c r="BR1589" i="1"/>
  <c r="CC1589" i="1"/>
  <c r="CW1589" i="1"/>
  <c r="G1770" i="1"/>
  <c r="V1770" i="1"/>
  <c r="AJ1770" i="1"/>
  <c r="AX1770" i="1"/>
  <c r="BQ1770" i="1"/>
  <c r="BR1770" i="1"/>
  <c r="CC1770" i="1"/>
  <c r="CW1770" i="1"/>
  <c r="G1512" i="1"/>
  <c r="V1512" i="1"/>
  <c r="AJ1512" i="1"/>
  <c r="AX1512" i="1"/>
  <c r="BQ1512" i="1"/>
  <c r="BR1512" i="1"/>
  <c r="CC1512" i="1"/>
  <c r="CW1512" i="1"/>
  <c r="G2095" i="1"/>
  <c r="V2095" i="1"/>
  <c r="AJ2095" i="1"/>
  <c r="AX2095" i="1"/>
  <c r="BQ2095" i="1"/>
  <c r="BR2095" i="1"/>
  <c r="CC2095" i="1"/>
  <c r="CW2095" i="1"/>
  <c r="G882" i="1"/>
  <c r="V882" i="1"/>
  <c r="AJ882" i="1"/>
  <c r="AX882" i="1"/>
  <c r="BQ882" i="1"/>
  <c r="BR882" i="1"/>
  <c r="CC882" i="1"/>
  <c r="CW882" i="1"/>
  <c r="G1469" i="1"/>
  <c r="V1469" i="1"/>
  <c r="AJ1469" i="1"/>
  <c r="AX1469" i="1"/>
  <c r="BQ1469" i="1"/>
  <c r="BR1469" i="1"/>
  <c r="CC1469" i="1"/>
  <c r="CW1469" i="1"/>
  <c r="G1947" i="1"/>
  <c r="V1947" i="1"/>
  <c r="AJ1947" i="1"/>
  <c r="AX1947" i="1"/>
  <c r="BQ1947" i="1"/>
  <c r="BR1947" i="1"/>
  <c r="CC1947" i="1"/>
  <c r="CW1947" i="1"/>
  <c r="G2035" i="1"/>
  <c r="V2035" i="1"/>
  <c r="AJ2035" i="1"/>
  <c r="AX2035" i="1"/>
  <c r="BQ2035" i="1"/>
  <c r="BR2035" i="1"/>
  <c r="CC2035" i="1"/>
  <c r="CW2035" i="1"/>
  <c r="G2250" i="1"/>
  <c r="V2250" i="1"/>
  <c r="AJ2250" i="1"/>
  <c r="AX2250" i="1"/>
  <c r="BQ2250" i="1"/>
  <c r="BR2250" i="1"/>
  <c r="CC2250" i="1"/>
  <c r="CW2250" i="1"/>
  <c r="G1680" i="1"/>
  <c r="V1680" i="1"/>
  <c r="AJ1680" i="1"/>
  <c r="AX1680" i="1"/>
  <c r="BQ1680" i="1"/>
  <c r="BR1680" i="1"/>
  <c r="CC1680" i="1"/>
  <c r="CW1680" i="1"/>
  <c r="G1197" i="1"/>
  <c r="V1197" i="1"/>
  <c r="AJ1197" i="1"/>
  <c r="AX1197" i="1"/>
  <c r="BQ1197" i="1"/>
  <c r="BR1197" i="1"/>
  <c r="CC1197" i="1"/>
  <c r="CW1197" i="1"/>
  <c r="G901" i="1"/>
  <c r="V901" i="1"/>
  <c r="AJ901" i="1"/>
  <c r="AX901" i="1"/>
  <c r="BQ901" i="1"/>
  <c r="BR901" i="1"/>
  <c r="CC901" i="1"/>
  <c r="CW901" i="1"/>
  <c r="G1730" i="1"/>
  <c r="V1730" i="1"/>
  <c r="AJ1730" i="1"/>
  <c r="AX1730" i="1"/>
  <c r="BQ1730" i="1"/>
  <c r="BR1730" i="1"/>
  <c r="CC1730" i="1"/>
  <c r="CW1730" i="1"/>
  <c r="G2096" i="1"/>
  <c r="V2096" i="1"/>
  <c r="AJ2096" i="1"/>
  <c r="AX2096" i="1"/>
  <c r="BQ2096" i="1"/>
  <c r="BR2096" i="1"/>
  <c r="CC2096" i="1"/>
  <c r="CW2096" i="1"/>
  <c r="G1323" i="1"/>
  <c r="V1323" i="1"/>
  <c r="AJ1323" i="1"/>
  <c r="AX1323" i="1"/>
  <c r="BQ1323" i="1"/>
  <c r="BR1323" i="1"/>
  <c r="CC1323" i="1"/>
  <c r="CW1323" i="1"/>
  <c r="G1484" i="1"/>
  <c r="V1484" i="1"/>
  <c r="AJ1484" i="1"/>
  <c r="AX1484" i="1"/>
  <c r="BQ1484" i="1"/>
  <c r="BR1484" i="1"/>
  <c r="CC1484" i="1"/>
  <c r="CW1484" i="1"/>
  <c r="G1950" i="1"/>
  <c r="V1950" i="1"/>
  <c r="AJ1950" i="1"/>
  <c r="AX1950" i="1"/>
  <c r="BQ1950" i="1"/>
  <c r="BR1950" i="1"/>
  <c r="CC1950" i="1"/>
  <c r="CW1950" i="1"/>
  <c r="G899" i="1"/>
  <c r="V899" i="1"/>
  <c r="AJ899" i="1"/>
  <c r="AX899" i="1"/>
  <c r="BQ899" i="1"/>
  <c r="BR899" i="1"/>
  <c r="CC899" i="1"/>
  <c r="CW899" i="1"/>
  <c r="G2155" i="1"/>
  <c r="V2155" i="1"/>
  <c r="AJ2155" i="1"/>
  <c r="AX2155" i="1"/>
  <c r="BQ2155" i="1"/>
  <c r="BR2155" i="1"/>
  <c r="CC2155" i="1"/>
  <c r="CW2155" i="1"/>
  <c r="G1690" i="1"/>
  <c r="V1690" i="1"/>
  <c r="AJ1690" i="1"/>
  <c r="AX1690" i="1"/>
  <c r="BQ1690" i="1"/>
  <c r="BR1690" i="1"/>
  <c r="CC1690" i="1"/>
  <c r="CW1690" i="1"/>
  <c r="G1043" i="1"/>
  <c r="V1043" i="1"/>
  <c r="AJ1043" i="1"/>
  <c r="AX1043" i="1"/>
  <c r="BQ1043" i="1"/>
  <c r="BR1043" i="1"/>
  <c r="CC1043" i="1"/>
  <c r="CW1043" i="1"/>
  <c r="G1648" i="1"/>
  <c r="V1648" i="1"/>
  <c r="AJ1648" i="1"/>
  <c r="AX1648" i="1"/>
  <c r="BQ1648" i="1"/>
  <c r="BR1648" i="1"/>
  <c r="CC1648" i="1"/>
  <c r="CW1648" i="1"/>
  <c r="G2136" i="1"/>
  <c r="V2136" i="1"/>
  <c r="AJ2136" i="1"/>
  <c r="AX2136" i="1"/>
  <c r="BQ2136" i="1"/>
  <c r="BR2136" i="1"/>
  <c r="CC2136" i="1"/>
  <c r="CW2136" i="1"/>
  <c r="G1646" i="1"/>
  <c r="V1646" i="1"/>
  <c r="AJ1646" i="1"/>
  <c r="AX1646" i="1"/>
  <c r="BQ1646" i="1"/>
  <c r="BR1646" i="1"/>
  <c r="CC1646" i="1"/>
  <c r="CW1646" i="1"/>
  <c r="G2262" i="1"/>
  <c r="V2262" i="1"/>
  <c r="AJ2262" i="1"/>
  <c r="AX2262" i="1"/>
  <c r="BQ2262" i="1"/>
  <c r="BR2262" i="1"/>
  <c r="CC2262" i="1"/>
  <c r="CW2262" i="1"/>
  <c r="G2069" i="1"/>
  <c r="V2069" i="1"/>
  <c r="AJ2069" i="1"/>
  <c r="AX2069" i="1"/>
  <c r="BQ2069" i="1"/>
  <c r="BR2069" i="1"/>
  <c r="CC2069" i="1"/>
  <c r="CW2069" i="1"/>
  <c r="G2067" i="1"/>
  <c r="V2067" i="1"/>
  <c r="AJ2067" i="1"/>
  <c r="AX2067" i="1"/>
  <c r="BQ2067" i="1"/>
  <c r="BR2067" i="1"/>
  <c r="CC2067" i="1"/>
  <c r="CW2067" i="1"/>
  <c r="G2163" i="1"/>
  <c r="V2163" i="1"/>
  <c r="AJ2163" i="1"/>
  <c r="AX2163" i="1"/>
  <c r="BQ2163" i="1"/>
  <c r="BR2163" i="1"/>
  <c r="CC2163" i="1"/>
  <c r="CW2163" i="1"/>
  <c r="G2098" i="1"/>
  <c r="V2098" i="1"/>
  <c r="AJ2098" i="1"/>
  <c r="AX2098" i="1"/>
  <c r="BQ2098" i="1"/>
  <c r="BR2098" i="1"/>
  <c r="CC2098" i="1"/>
  <c r="CW2098" i="1"/>
  <c r="G2086" i="1"/>
  <c r="V2086" i="1"/>
  <c r="AJ2086" i="1"/>
  <c r="AX2086" i="1"/>
  <c r="BQ2086" i="1"/>
  <c r="BR2086" i="1"/>
  <c r="CC2086" i="1"/>
  <c r="CW2086" i="1"/>
  <c r="G1147" i="1"/>
  <c r="V1147" i="1"/>
  <c r="AJ1147" i="1"/>
  <c r="AX1147" i="1"/>
  <c r="BQ1147" i="1"/>
  <c r="BR1147" i="1"/>
  <c r="CC1147" i="1"/>
  <c r="CW1147" i="1"/>
  <c r="G1954" i="1"/>
  <c r="V1954" i="1"/>
  <c r="AJ1954" i="1"/>
  <c r="AX1954" i="1"/>
  <c r="BQ1954" i="1"/>
  <c r="BR1954" i="1"/>
  <c r="CC1954" i="1"/>
  <c r="CW1954" i="1"/>
  <c r="G1869" i="1"/>
  <c r="V1869" i="1"/>
  <c r="AJ1869" i="1"/>
  <c r="AX1869" i="1"/>
  <c r="BQ1869" i="1"/>
  <c r="BR1869" i="1"/>
  <c r="CC1869" i="1"/>
  <c r="CW1869" i="1"/>
  <c r="G2353" i="1"/>
  <c r="V2353" i="1"/>
  <c r="AJ2353" i="1"/>
  <c r="AX2353" i="1"/>
  <c r="BQ2353" i="1"/>
  <c r="BR2353" i="1"/>
  <c r="CC2353" i="1"/>
  <c r="CW2353" i="1"/>
  <c r="G1453" i="1"/>
  <c r="V1453" i="1"/>
  <c r="AJ1453" i="1"/>
  <c r="AX1453" i="1"/>
  <c r="BQ1453" i="1"/>
  <c r="BR1453" i="1"/>
  <c r="CC1453" i="1"/>
  <c r="CW1453" i="1"/>
  <c r="G1167" i="1"/>
  <c r="V1167" i="1"/>
  <c r="AJ1167" i="1"/>
  <c r="AX1167" i="1"/>
  <c r="BQ1167" i="1"/>
  <c r="BR1167" i="1"/>
  <c r="CC1167" i="1"/>
  <c r="CW1167" i="1"/>
  <c r="G898" i="1"/>
  <c r="V898" i="1"/>
  <c r="AJ898" i="1"/>
  <c r="AX898" i="1"/>
  <c r="BQ898" i="1"/>
  <c r="BR898" i="1"/>
  <c r="CC898" i="1"/>
  <c r="CW898" i="1"/>
  <c r="G1666" i="1"/>
  <c r="V1666" i="1"/>
  <c r="AJ1666" i="1"/>
  <c r="AX1666" i="1"/>
  <c r="BQ1666" i="1"/>
  <c r="BR1666" i="1"/>
  <c r="CC1666" i="1"/>
  <c r="CW1666" i="1"/>
  <c r="G944" i="1"/>
  <c r="V944" i="1"/>
  <c r="AJ944" i="1"/>
  <c r="AX944" i="1"/>
  <c r="BQ944" i="1"/>
  <c r="BR944" i="1"/>
  <c r="CC944" i="1"/>
  <c r="CW944" i="1"/>
  <c r="G1685" i="1"/>
  <c r="V1685" i="1"/>
  <c r="AJ1685" i="1"/>
  <c r="AX1685" i="1"/>
  <c r="BQ1685" i="1"/>
  <c r="BR1685" i="1"/>
  <c r="CC1685" i="1"/>
  <c r="CW1685" i="1"/>
  <c r="G1270" i="1"/>
  <c r="V1270" i="1"/>
  <c r="AJ1270" i="1"/>
  <c r="AX1270" i="1"/>
  <c r="BQ1270" i="1"/>
  <c r="BR1270" i="1"/>
  <c r="CC1270" i="1"/>
  <c r="CW1270" i="1"/>
  <c r="G1254" i="1"/>
  <c r="V1254" i="1"/>
  <c r="AJ1254" i="1"/>
  <c r="AX1254" i="1"/>
  <c r="BQ1254" i="1"/>
  <c r="BR1254" i="1"/>
  <c r="CC1254" i="1"/>
  <c r="CW1254" i="1"/>
  <c r="G847" i="1"/>
  <c r="V847" i="1"/>
  <c r="AJ847" i="1"/>
  <c r="AX847" i="1"/>
  <c r="BQ847" i="1"/>
  <c r="BR847" i="1"/>
  <c r="CC847" i="1"/>
  <c r="CW847" i="1"/>
  <c r="G1071" i="1"/>
  <c r="V1071" i="1"/>
  <c r="AJ1071" i="1"/>
  <c r="AX1071" i="1"/>
  <c r="BQ1071" i="1"/>
  <c r="BR1071" i="1"/>
  <c r="CC1071" i="1"/>
  <c r="CW1071" i="1"/>
  <c r="G1566" i="1"/>
  <c r="V1566" i="1"/>
  <c r="AJ1566" i="1"/>
  <c r="AX1566" i="1"/>
  <c r="BQ1566" i="1"/>
  <c r="BR1566" i="1"/>
  <c r="CC1566" i="1"/>
  <c r="CW1566" i="1"/>
  <c r="G1439" i="1"/>
  <c r="V1439" i="1"/>
  <c r="AJ1439" i="1"/>
  <c r="AX1439" i="1"/>
  <c r="BQ1439" i="1"/>
  <c r="BR1439" i="1"/>
  <c r="CC1439" i="1"/>
  <c r="CW1439" i="1"/>
  <c r="G2140" i="1"/>
  <c r="V2140" i="1"/>
  <c r="AJ2140" i="1"/>
  <c r="AX2140" i="1"/>
  <c r="BQ2140" i="1"/>
  <c r="BR2140" i="1"/>
  <c r="CC2140" i="1"/>
  <c r="CW2140" i="1"/>
  <c r="G1574" i="1"/>
  <c r="V1574" i="1"/>
  <c r="AJ1574" i="1"/>
  <c r="AX1574" i="1"/>
  <c r="BQ1574" i="1"/>
  <c r="BR1574" i="1"/>
  <c r="CC1574" i="1"/>
  <c r="CW1574" i="1"/>
  <c r="G1135" i="1"/>
  <c r="V1135" i="1"/>
  <c r="AJ1135" i="1"/>
  <c r="AX1135" i="1"/>
  <c r="BQ1135" i="1"/>
  <c r="BR1135" i="1"/>
  <c r="CC1135" i="1"/>
  <c r="CW1135" i="1"/>
  <c r="G2161" i="1"/>
  <c r="V2161" i="1"/>
  <c r="AJ2161" i="1"/>
  <c r="AX2161" i="1"/>
  <c r="BQ2161" i="1"/>
  <c r="BR2161" i="1"/>
  <c r="CC2161" i="1"/>
  <c r="CW2161" i="1"/>
  <c r="G2153" i="1"/>
  <c r="V2153" i="1"/>
  <c r="AJ2153" i="1"/>
  <c r="AX2153" i="1"/>
  <c r="BQ2153" i="1"/>
  <c r="BR2153" i="1"/>
  <c r="CC2153" i="1"/>
  <c r="CW2153" i="1"/>
  <c r="G232" i="1"/>
  <c r="V232" i="1"/>
  <c r="AJ232" i="1"/>
  <c r="AX232" i="1"/>
  <c r="BQ232" i="1"/>
  <c r="BR232" i="1"/>
  <c r="CC232" i="1"/>
  <c r="CW232" i="1"/>
  <c r="G758" i="1"/>
  <c r="V758" i="1"/>
  <c r="AJ758" i="1"/>
  <c r="AX758" i="1"/>
  <c r="BQ758" i="1"/>
  <c r="BR758" i="1"/>
  <c r="CC758" i="1"/>
  <c r="CW758" i="1"/>
  <c r="G1836" i="1"/>
  <c r="V1836" i="1"/>
  <c r="AJ1836" i="1"/>
  <c r="AX1836" i="1"/>
  <c r="BQ1836" i="1"/>
  <c r="BR1836" i="1"/>
  <c r="CC1836" i="1"/>
  <c r="CW1836" i="1"/>
  <c r="G369" i="1"/>
  <c r="V369" i="1"/>
  <c r="AJ369" i="1"/>
  <c r="AX369" i="1"/>
  <c r="BQ369" i="1"/>
  <c r="BR369" i="1"/>
  <c r="CC369" i="1"/>
  <c r="CW369" i="1"/>
  <c r="G2277" i="1"/>
  <c r="V2277" i="1"/>
  <c r="AJ2277" i="1"/>
  <c r="AX2277" i="1"/>
  <c r="BQ2277" i="1"/>
  <c r="BR2277" i="1"/>
  <c r="CC2277" i="1"/>
  <c r="CW2277" i="1"/>
  <c r="G607" i="1"/>
  <c r="V607" i="1"/>
  <c r="AJ607" i="1"/>
  <c r="AX607" i="1"/>
  <c r="BQ607" i="1"/>
  <c r="BR607" i="1"/>
  <c r="CC607" i="1"/>
  <c r="CW607" i="1"/>
  <c r="G442" i="1"/>
  <c r="V442" i="1"/>
  <c r="AJ442" i="1"/>
  <c r="AX442" i="1"/>
  <c r="BQ442" i="1"/>
  <c r="BR442" i="1"/>
  <c r="CC442" i="1"/>
  <c r="CW442" i="1"/>
  <c r="G205" i="1"/>
  <c r="V205" i="1"/>
  <c r="AJ205" i="1"/>
  <c r="AX205" i="1"/>
  <c r="BQ205" i="1"/>
  <c r="BR205" i="1"/>
  <c r="CC205" i="1"/>
  <c r="CW205" i="1"/>
  <c r="G114" i="1"/>
  <c r="V114" i="1"/>
  <c r="AJ114" i="1"/>
  <c r="AX114" i="1"/>
  <c r="BQ114" i="1"/>
  <c r="BR114" i="1"/>
  <c r="CC114" i="1"/>
  <c r="CW114" i="1"/>
  <c r="G209" i="1"/>
  <c r="V209" i="1"/>
  <c r="AJ209" i="1"/>
  <c r="AX209" i="1"/>
  <c r="BQ209" i="1"/>
  <c r="BR209" i="1"/>
  <c r="CC209" i="1"/>
  <c r="CW209" i="1"/>
  <c r="G832" i="1"/>
  <c r="V832" i="1"/>
  <c r="AJ832" i="1"/>
  <c r="AX832" i="1"/>
  <c r="BQ832" i="1"/>
  <c r="BR832" i="1"/>
  <c r="CC832" i="1"/>
  <c r="CW832" i="1"/>
  <c r="G90" i="1"/>
  <c r="V90" i="1"/>
  <c r="AJ90" i="1"/>
  <c r="AX90" i="1"/>
  <c r="BQ90" i="1"/>
  <c r="BR90" i="1"/>
  <c r="CC90" i="1"/>
  <c r="CW90" i="1"/>
  <c r="G38" i="1"/>
  <c r="V38" i="1"/>
  <c r="AJ38" i="1"/>
  <c r="AX38" i="1"/>
  <c r="BQ38" i="1"/>
  <c r="BR38" i="1"/>
  <c r="CC38" i="1"/>
  <c r="CW38" i="1"/>
  <c r="G404" i="1"/>
  <c r="V404" i="1"/>
  <c r="AJ404" i="1"/>
  <c r="AX404" i="1"/>
  <c r="BQ404" i="1"/>
  <c r="BR404" i="1"/>
  <c r="CC404" i="1"/>
  <c r="CW404" i="1"/>
  <c r="G383" i="1"/>
  <c r="V383" i="1"/>
  <c r="AJ383" i="1"/>
  <c r="AX383" i="1"/>
  <c r="BQ383" i="1"/>
  <c r="BR383" i="1"/>
  <c r="CC383" i="1"/>
  <c r="CW383" i="1"/>
  <c r="G21" i="1"/>
  <c r="V21" i="1"/>
  <c r="AJ21" i="1"/>
  <c r="AX21" i="1"/>
  <c r="BQ21" i="1"/>
  <c r="BR21" i="1"/>
  <c r="CC21" i="1"/>
  <c r="CW21" i="1"/>
  <c r="G614" i="1"/>
  <c r="V614" i="1"/>
  <c r="AJ614" i="1"/>
  <c r="AX614" i="1"/>
  <c r="BQ614" i="1"/>
  <c r="BR614" i="1"/>
  <c r="CC614" i="1"/>
  <c r="CW614" i="1"/>
  <c r="G321" i="1"/>
  <c r="V321" i="1"/>
  <c r="AJ321" i="1"/>
  <c r="AX321" i="1"/>
  <c r="BQ321" i="1"/>
  <c r="BR321" i="1"/>
  <c r="CC321" i="1"/>
  <c r="CW321" i="1"/>
  <c r="G585" i="1"/>
  <c r="V585" i="1"/>
  <c r="AJ585" i="1"/>
  <c r="AX585" i="1"/>
  <c r="BQ585" i="1"/>
  <c r="BR585" i="1"/>
  <c r="CC585" i="1"/>
  <c r="CW585" i="1"/>
  <c r="G677" i="1"/>
  <c r="V677" i="1"/>
  <c r="AJ677" i="1"/>
  <c r="AX677" i="1"/>
  <c r="BQ677" i="1"/>
  <c r="BR677" i="1"/>
  <c r="CC677" i="1"/>
  <c r="CW677" i="1"/>
  <c r="G1802" i="1"/>
  <c r="V1802" i="1"/>
  <c r="AJ1802" i="1"/>
  <c r="AX1802" i="1"/>
  <c r="BQ1802" i="1"/>
  <c r="BR1802" i="1"/>
  <c r="CC1802" i="1"/>
  <c r="CW1802" i="1"/>
  <c r="G235" i="1"/>
  <c r="V235" i="1"/>
  <c r="AJ235" i="1"/>
  <c r="AX235" i="1"/>
  <c r="BQ235" i="1"/>
  <c r="BR235" i="1"/>
  <c r="CC235" i="1"/>
  <c r="CW235" i="1"/>
  <c r="G22" i="1"/>
  <c r="V22" i="1"/>
  <c r="AJ22" i="1"/>
  <c r="AX22" i="1"/>
  <c r="BQ22" i="1"/>
  <c r="BR22" i="1"/>
  <c r="CC22" i="1"/>
  <c r="CW22" i="1"/>
  <c r="G304" i="1"/>
  <c r="V304" i="1"/>
  <c r="AJ304" i="1"/>
  <c r="AX304" i="1"/>
  <c r="BQ304" i="1"/>
  <c r="BR304" i="1"/>
  <c r="CC304" i="1"/>
  <c r="CW304" i="1"/>
  <c r="G526" i="1"/>
  <c r="V526" i="1"/>
  <c r="AJ526" i="1"/>
  <c r="AX526" i="1"/>
  <c r="BQ526" i="1"/>
  <c r="BR526" i="1"/>
  <c r="CC526" i="1"/>
  <c r="CW526" i="1"/>
  <c r="G641" i="1"/>
  <c r="V641" i="1"/>
  <c r="AJ641" i="1"/>
  <c r="AX641" i="1"/>
  <c r="BQ641" i="1"/>
  <c r="BR641" i="1"/>
  <c r="CC641" i="1"/>
  <c r="CW641" i="1"/>
  <c r="G357" i="1"/>
  <c r="V357" i="1"/>
  <c r="AJ357" i="1"/>
  <c r="AX357" i="1"/>
  <c r="BQ357" i="1"/>
  <c r="BR357" i="1"/>
  <c r="CC357" i="1"/>
  <c r="CW357" i="1"/>
  <c r="G297" i="1"/>
  <c r="V297" i="1"/>
  <c r="AJ297" i="1"/>
  <c r="AX297" i="1"/>
  <c r="BQ297" i="1"/>
  <c r="BR297" i="1"/>
  <c r="CC297" i="1"/>
  <c r="CW297" i="1"/>
  <c r="G160" i="1"/>
  <c r="V160" i="1"/>
  <c r="AJ160" i="1"/>
  <c r="AX160" i="1"/>
  <c r="BQ160" i="1"/>
  <c r="BR160" i="1"/>
  <c r="CC160" i="1"/>
  <c r="CW160" i="1"/>
  <c r="G1845" i="1"/>
  <c r="V1845" i="1"/>
  <c r="AJ1845" i="1"/>
  <c r="AX1845" i="1"/>
  <c r="BQ1845" i="1"/>
  <c r="BR1845" i="1"/>
  <c r="CC1845" i="1"/>
  <c r="CW1845" i="1"/>
  <c r="G507" i="1"/>
  <c r="V507" i="1"/>
  <c r="AJ507" i="1"/>
  <c r="AX507" i="1"/>
  <c r="BQ507" i="1"/>
  <c r="BR507" i="1"/>
  <c r="CC507" i="1"/>
  <c r="CW507" i="1"/>
  <c r="G384" i="1"/>
  <c r="V384" i="1"/>
  <c r="AJ384" i="1"/>
  <c r="AX384" i="1"/>
  <c r="BQ384" i="1"/>
  <c r="BR384" i="1"/>
  <c r="CC384" i="1"/>
  <c r="CW384" i="1"/>
  <c r="G631" i="1"/>
  <c r="V631" i="1"/>
  <c r="AJ631" i="1"/>
  <c r="AX631" i="1"/>
  <c r="BQ631" i="1"/>
  <c r="BR631" i="1"/>
  <c r="CC631" i="1"/>
  <c r="CW631" i="1"/>
  <c r="G646" i="1"/>
  <c r="V646" i="1"/>
  <c r="AJ646" i="1"/>
  <c r="AX646" i="1"/>
  <c r="BQ646" i="1"/>
  <c r="BR646" i="1"/>
  <c r="CC646" i="1"/>
  <c r="CW646" i="1"/>
  <c r="G2308" i="1"/>
  <c r="V2308" i="1"/>
  <c r="AJ2308" i="1"/>
  <c r="AX2308" i="1"/>
  <c r="BQ2308" i="1"/>
  <c r="BR2308" i="1"/>
  <c r="CC2308" i="1"/>
  <c r="CW2308" i="1"/>
  <c r="G559" i="1"/>
  <c r="V559" i="1"/>
  <c r="AJ559" i="1"/>
  <c r="AX559" i="1"/>
  <c r="BQ559" i="1"/>
  <c r="BR559" i="1"/>
  <c r="CC559" i="1"/>
  <c r="CW559" i="1"/>
  <c r="G603" i="1"/>
  <c r="V603" i="1"/>
  <c r="AJ603" i="1"/>
  <c r="AX603" i="1"/>
  <c r="BQ603" i="1"/>
  <c r="BR603" i="1"/>
  <c r="CC603" i="1"/>
  <c r="CW603" i="1"/>
  <c r="G225" i="1"/>
  <c r="V225" i="1"/>
  <c r="AJ225" i="1"/>
  <c r="AX225" i="1"/>
  <c r="BQ225" i="1"/>
  <c r="BR225" i="1"/>
  <c r="CC225" i="1"/>
  <c r="CW225" i="1"/>
  <c r="G750" i="1"/>
  <c r="V750" i="1"/>
  <c r="AJ750" i="1"/>
  <c r="AX750" i="1"/>
  <c r="BQ750" i="1"/>
  <c r="BR750" i="1"/>
  <c r="CC750" i="1"/>
  <c r="CW750" i="1"/>
  <c r="G14" i="1"/>
  <c r="V14" i="1"/>
  <c r="AJ14" i="1"/>
  <c r="AX14" i="1"/>
  <c r="BQ14" i="1"/>
  <c r="BR14" i="1"/>
  <c r="CC14" i="1"/>
  <c r="CW14" i="1"/>
  <c r="G1811" i="1"/>
  <c r="V1811" i="1"/>
  <c r="AJ1811" i="1"/>
  <c r="AX1811" i="1"/>
  <c r="BQ1811" i="1"/>
  <c r="BR1811" i="1"/>
  <c r="CC1811" i="1"/>
  <c r="CW1811" i="1"/>
  <c r="G161" i="1"/>
  <c r="V161" i="1"/>
  <c r="AJ161" i="1"/>
  <c r="AX161" i="1"/>
  <c r="BQ161" i="1"/>
  <c r="BR161" i="1"/>
  <c r="CC161" i="1"/>
  <c r="CW161" i="1"/>
  <c r="G2283" i="1"/>
  <c r="V2283" i="1"/>
  <c r="AJ2283" i="1"/>
  <c r="AX2283" i="1"/>
  <c r="BQ2283" i="1"/>
  <c r="BR2283" i="1"/>
  <c r="CC2283" i="1"/>
  <c r="CW2283" i="1"/>
  <c r="G125" i="1"/>
  <c r="V125" i="1"/>
  <c r="AJ125" i="1"/>
  <c r="AX125" i="1"/>
  <c r="BQ125" i="1"/>
  <c r="BR125" i="1"/>
  <c r="CC125" i="1"/>
  <c r="CW125" i="1"/>
  <c r="G598" i="1"/>
  <c r="V598" i="1"/>
  <c r="AJ598" i="1"/>
  <c r="AX598" i="1"/>
  <c r="BQ598" i="1"/>
  <c r="BR598" i="1"/>
  <c r="CC598" i="1"/>
  <c r="CW598" i="1"/>
  <c r="G665" i="1"/>
  <c r="V665" i="1"/>
  <c r="AJ665" i="1"/>
  <c r="AX665" i="1"/>
  <c r="BQ665" i="1"/>
  <c r="BR665" i="1"/>
  <c r="CC665" i="1"/>
  <c r="CW665" i="1"/>
  <c r="G2289" i="1"/>
  <c r="V2289" i="1"/>
  <c r="AJ2289" i="1"/>
  <c r="AX2289" i="1"/>
  <c r="BQ2289" i="1"/>
  <c r="BR2289" i="1"/>
  <c r="CC2289" i="1"/>
  <c r="CW2289" i="1"/>
  <c r="G799" i="1"/>
  <c r="V799" i="1"/>
  <c r="AJ799" i="1"/>
  <c r="AX799" i="1"/>
  <c r="BQ799" i="1"/>
  <c r="BR799" i="1"/>
  <c r="CC799" i="1"/>
  <c r="CW799" i="1"/>
  <c r="G1825" i="1"/>
  <c r="V1825" i="1"/>
  <c r="AJ1825" i="1"/>
  <c r="AX1825" i="1"/>
  <c r="BQ1825" i="1"/>
  <c r="BR1825" i="1"/>
  <c r="CC1825" i="1"/>
  <c r="CW1825" i="1"/>
  <c r="G409" i="1"/>
  <c r="V409" i="1"/>
  <c r="AJ409" i="1"/>
  <c r="AX409" i="1"/>
  <c r="BQ409" i="1"/>
  <c r="BR409" i="1"/>
  <c r="CC409" i="1"/>
  <c r="CW409" i="1"/>
  <c r="G755" i="1"/>
  <c r="V755" i="1"/>
  <c r="AJ755" i="1"/>
  <c r="AX755" i="1"/>
  <c r="BQ755" i="1"/>
  <c r="BR755" i="1"/>
  <c r="CC755" i="1"/>
  <c r="CW755" i="1"/>
  <c r="G268" i="1"/>
  <c r="V268" i="1"/>
  <c r="AJ268" i="1"/>
  <c r="AX268" i="1"/>
  <c r="BQ268" i="1"/>
  <c r="BR268" i="1"/>
  <c r="CC268" i="1"/>
  <c r="CW268" i="1"/>
  <c r="G1923" i="1"/>
  <c r="V1923" i="1"/>
  <c r="AJ1923" i="1"/>
  <c r="AX1923" i="1"/>
  <c r="BQ1923" i="1"/>
  <c r="BR1923" i="1"/>
  <c r="CC1923" i="1"/>
  <c r="CW1923" i="1"/>
  <c r="G1150" i="1"/>
  <c r="V1150" i="1"/>
  <c r="AJ1150" i="1"/>
  <c r="AX1150" i="1"/>
  <c r="BQ1150" i="1"/>
  <c r="BR1150" i="1"/>
  <c r="CC1150" i="1"/>
  <c r="CW1150" i="1"/>
  <c r="G2339" i="1"/>
  <c r="V2339" i="1"/>
  <c r="AJ2339" i="1"/>
  <c r="AX2339" i="1"/>
  <c r="BQ2339" i="1"/>
  <c r="BR2339" i="1"/>
  <c r="CC2339" i="1"/>
  <c r="CW2339" i="1"/>
  <c r="G2167" i="1"/>
  <c r="V2167" i="1"/>
  <c r="AJ2167" i="1"/>
  <c r="AX2167" i="1"/>
  <c r="BQ2167" i="1"/>
  <c r="BR2167" i="1"/>
  <c r="CC2167" i="1"/>
  <c r="CW2167" i="1"/>
  <c r="G2182" i="1"/>
  <c r="V2182" i="1"/>
  <c r="AJ2182" i="1"/>
  <c r="AX2182" i="1"/>
  <c r="BQ2182" i="1"/>
  <c r="BR2182" i="1"/>
  <c r="CC2182" i="1"/>
  <c r="CW2182" i="1"/>
  <c r="G1524" i="1"/>
  <c r="V1524" i="1"/>
  <c r="AJ1524" i="1"/>
  <c r="AX1524" i="1"/>
  <c r="BQ1524" i="1"/>
  <c r="BR1524" i="1"/>
  <c r="CC1524" i="1"/>
  <c r="CW1524" i="1"/>
  <c r="G1208" i="1"/>
  <c r="V1208" i="1"/>
  <c r="AJ1208" i="1"/>
  <c r="AX1208" i="1"/>
  <c r="BQ1208" i="1"/>
  <c r="BR1208" i="1"/>
  <c r="CC1208" i="1"/>
  <c r="CW1208" i="1"/>
  <c r="G1920" i="1"/>
  <c r="V1920" i="1"/>
  <c r="AJ1920" i="1"/>
  <c r="AX1920" i="1"/>
  <c r="BQ1920" i="1"/>
  <c r="BR1920" i="1"/>
  <c r="CC1920" i="1"/>
  <c r="CW1920" i="1"/>
  <c r="G2000" i="1"/>
  <c r="V2000" i="1"/>
  <c r="AJ2000" i="1"/>
  <c r="AX2000" i="1"/>
  <c r="BQ2000" i="1"/>
  <c r="BR2000" i="1"/>
  <c r="CC2000" i="1"/>
  <c r="CW2000" i="1"/>
  <c r="G1544" i="1"/>
  <c r="V1544" i="1"/>
  <c r="AJ1544" i="1"/>
  <c r="AX1544" i="1"/>
  <c r="BQ1544" i="1"/>
  <c r="BR1544" i="1"/>
  <c r="CC1544" i="1"/>
  <c r="CW1544" i="1"/>
  <c r="G2129" i="1"/>
  <c r="V2129" i="1"/>
  <c r="AJ2129" i="1"/>
  <c r="AX2129" i="1"/>
  <c r="BQ2129" i="1"/>
  <c r="BR2129" i="1"/>
  <c r="CC2129" i="1"/>
  <c r="CW2129" i="1"/>
  <c r="G2079" i="1"/>
  <c r="V2079" i="1"/>
  <c r="AJ2079" i="1"/>
  <c r="AX2079" i="1"/>
  <c r="BQ2079" i="1"/>
  <c r="BR2079" i="1"/>
  <c r="CC2079" i="1"/>
  <c r="CW2079" i="1"/>
  <c r="G888" i="1"/>
  <c r="V888" i="1"/>
  <c r="AJ888" i="1"/>
  <c r="AX888" i="1"/>
  <c r="BQ888" i="1"/>
  <c r="BR888" i="1"/>
  <c r="CC888" i="1"/>
  <c r="CW888" i="1"/>
  <c r="G1216" i="1"/>
  <c r="V1216" i="1"/>
  <c r="AJ1216" i="1"/>
  <c r="AX1216" i="1"/>
  <c r="BQ1216" i="1"/>
  <c r="BR1216" i="1"/>
  <c r="CC1216" i="1"/>
  <c r="CW1216" i="1"/>
  <c r="G1738" i="1"/>
  <c r="V1738" i="1"/>
  <c r="AJ1738" i="1"/>
  <c r="AX1738" i="1"/>
  <c r="BQ1738" i="1"/>
  <c r="BR1738" i="1"/>
  <c r="CC1738" i="1"/>
  <c r="CW1738" i="1"/>
  <c r="G1735" i="1"/>
  <c r="V1735" i="1"/>
  <c r="AJ1735" i="1"/>
  <c r="AX1735" i="1"/>
  <c r="BQ1735" i="1"/>
  <c r="BR1735" i="1"/>
  <c r="CC1735" i="1"/>
  <c r="CW1735" i="1"/>
  <c r="G1329" i="1"/>
  <c r="V1329" i="1"/>
  <c r="AJ1329" i="1"/>
  <c r="AX1329" i="1"/>
  <c r="BQ1329" i="1"/>
  <c r="BR1329" i="1"/>
  <c r="CC1329" i="1"/>
  <c r="CW1329" i="1"/>
  <c r="G2198" i="1"/>
  <c r="V2198" i="1"/>
  <c r="AJ2198" i="1"/>
  <c r="AX2198" i="1"/>
  <c r="BQ2198" i="1"/>
  <c r="BR2198" i="1"/>
  <c r="CC2198" i="1"/>
  <c r="CW2198" i="1"/>
  <c r="G1401" i="1"/>
  <c r="V1401" i="1"/>
  <c r="AJ1401" i="1"/>
  <c r="AX1401" i="1"/>
  <c r="BQ1401" i="1"/>
  <c r="BR1401" i="1"/>
  <c r="CC1401" i="1"/>
  <c r="CW1401" i="1"/>
  <c r="G1119" i="1"/>
  <c r="V1119" i="1"/>
  <c r="AJ1119" i="1"/>
  <c r="AX1119" i="1"/>
  <c r="BQ1119" i="1"/>
  <c r="BR1119" i="1"/>
  <c r="CC1119" i="1"/>
  <c r="CW1119" i="1"/>
  <c r="G1414" i="1"/>
  <c r="V1414" i="1"/>
  <c r="AJ1414" i="1"/>
  <c r="AX1414" i="1"/>
  <c r="BQ1414" i="1"/>
  <c r="BR1414" i="1"/>
  <c r="CC1414" i="1"/>
  <c r="CW1414" i="1"/>
  <c r="G1345" i="1"/>
  <c r="V1345" i="1"/>
  <c r="AJ1345" i="1"/>
  <c r="AX1345" i="1"/>
  <c r="BQ1345" i="1"/>
  <c r="BR1345" i="1"/>
  <c r="CC1345" i="1"/>
  <c r="CW1345" i="1"/>
  <c r="G2008" i="1"/>
  <c r="V2008" i="1"/>
  <c r="AJ2008" i="1"/>
  <c r="AX2008" i="1"/>
  <c r="BQ2008" i="1"/>
  <c r="BR2008" i="1"/>
  <c r="CC2008" i="1"/>
  <c r="CW2008" i="1"/>
  <c r="G1095" i="1"/>
  <c r="V1095" i="1"/>
  <c r="AJ1095" i="1"/>
  <c r="AX1095" i="1"/>
  <c r="BQ1095" i="1"/>
  <c r="BR1095" i="1"/>
  <c r="CC1095" i="1"/>
  <c r="CW1095" i="1"/>
  <c r="G1402" i="1"/>
  <c r="V1402" i="1"/>
  <c r="AJ1402" i="1"/>
  <c r="AX1402" i="1"/>
  <c r="BQ1402" i="1"/>
  <c r="BR1402" i="1"/>
  <c r="CC1402" i="1"/>
  <c r="CW1402" i="1"/>
  <c r="G1653" i="1"/>
  <c r="V1653" i="1"/>
  <c r="AJ1653" i="1"/>
  <c r="AX1653" i="1"/>
  <c r="BQ1653" i="1"/>
  <c r="BR1653" i="1"/>
  <c r="CC1653" i="1"/>
  <c r="CW1653" i="1"/>
  <c r="G1549" i="1"/>
  <c r="V1549" i="1"/>
  <c r="AJ1549" i="1"/>
  <c r="AX1549" i="1"/>
  <c r="BQ1549" i="1"/>
  <c r="BR1549" i="1"/>
  <c r="CC1549" i="1"/>
  <c r="CW1549" i="1"/>
  <c r="G2010" i="1"/>
  <c r="V2010" i="1"/>
  <c r="AJ2010" i="1"/>
  <c r="AX2010" i="1"/>
  <c r="BQ2010" i="1"/>
  <c r="BR2010" i="1"/>
  <c r="CC2010" i="1"/>
  <c r="CW2010" i="1"/>
  <c r="G2137" i="1"/>
  <c r="V2137" i="1"/>
  <c r="AJ2137" i="1"/>
  <c r="AX2137" i="1"/>
  <c r="BQ2137" i="1"/>
  <c r="BR2137" i="1"/>
  <c r="CC2137" i="1"/>
  <c r="CW2137" i="1"/>
  <c r="G1149" i="1"/>
  <c r="V1149" i="1"/>
  <c r="AJ1149" i="1"/>
  <c r="AX1149" i="1"/>
  <c r="BQ1149" i="1"/>
  <c r="BR1149" i="1"/>
  <c r="CC1149" i="1"/>
  <c r="CW1149" i="1"/>
  <c r="G1548" i="1"/>
  <c r="V1548" i="1"/>
  <c r="AJ1548" i="1"/>
  <c r="AX1548" i="1"/>
  <c r="BQ1548" i="1"/>
  <c r="BR1548" i="1"/>
  <c r="CC1548" i="1"/>
  <c r="CW1548" i="1"/>
  <c r="G1698" i="1"/>
  <c r="V1698" i="1"/>
  <c r="AJ1698" i="1"/>
  <c r="AX1698" i="1"/>
  <c r="BQ1698" i="1"/>
  <c r="BR1698" i="1"/>
  <c r="CC1698" i="1"/>
  <c r="CW1698" i="1"/>
  <c r="G2126" i="1"/>
  <c r="V2126" i="1"/>
  <c r="AJ2126" i="1"/>
  <c r="AX2126" i="1"/>
  <c r="BQ2126" i="1"/>
  <c r="BR2126" i="1"/>
  <c r="CC2126" i="1"/>
  <c r="CW2126" i="1"/>
  <c r="G1571" i="1"/>
  <c r="V1571" i="1"/>
  <c r="AJ1571" i="1"/>
  <c r="AX1571" i="1"/>
  <c r="BQ1571" i="1"/>
  <c r="BR1571" i="1"/>
  <c r="CC1571" i="1"/>
  <c r="CW1571" i="1"/>
  <c r="G1165" i="1"/>
  <c r="V1165" i="1"/>
  <c r="AJ1165" i="1"/>
  <c r="AX1165" i="1"/>
  <c r="BQ1165" i="1"/>
  <c r="BR1165" i="1"/>
  <c r="CC1165" i="1"/>
  <c r="CW1165" i="1"/>
  <c r="G1020" i="1"/>
  <c r="V1020" i="1"/>
  <c r="AJ1020" i="1"/>
  <c r="AX1020" i="1"/>
  <c r="BQ1020" i="1"/>
  <c r="BR1020" i="1"/>
  <c r="CC1020" i="1"/>
  <c r="CW1020" i="1"/>
  <c r="G960" i="1"/>
  <c r="V960" i="1"/>
  <c r="AJ960" i="1"/>
  <c r="AX960" i="1"/>
  <c r="BQ960" i="1"/>
  <c r="BR960" i="1"/>
  <c r="CC960" i="1"/>
  <c r="CW960" i="1"/>
  <c r="G1368" i="1"/>
  <c r="V1368" i="1"/>
  <c r="AJ1368" i="1"/>
  <c r="AX1368" i="1"/>
  <c r="BQ1368" i="1"/>
  <c r="BR1368" i="1"/>
  <c r="CC1368" i="1"/>
  <c r="CW1368" i="1"/>
  <c r="G849" i="1"/>
  <c r="V849" i="1"/>
  <c r="AJ849" i="1"/>
  <c r="AX849" i="1"/>
  <c r="BQ849" i="1"/>
  <c r="BR849" i="1"/>
  <c r="CC849" i="1"/>
  <c r="CW849" i="1"/>
  <c r="G2036" i="1"/>
  <c r="V2036" i="1"/>
  <c r="AJ2036" i="1"/>
  <c r="AX2036" i="1"/>
  <c r="BQ2036" i="1"/>
  <c r="BR2036" i="1"/>
  <c r="CC2036" i="1"/>
  <c r="CW2036" i="1"/>
  <c r="G1723" i="1"/>
  <c r="V1723" i="1"/>
  <c r="AJ1723" i="1"/>
  <c r="AX1723" i="1"/>
  <c r="BQ1723" i="1"/>
  <c r="BR1723" i="1"/>
  <c r="CC1723" i="1"/>
  <c r="CW1723" i="1"/>
  <c r="G1287" i="1"/>
  <c r="V1287" i="1"/>
  <c r="AJ1287" i="1"/>
  <c r="AX1287" i="1"/>
  <c r="BQ1287" i="1"/>
  <c r="BR1287" i="1"/>
  <c r="CC1287" i="1"/>
  <c r="CW1287" i="1"/>
  <c r="G2356" i="1"/>
  <c r="V2356" i="1"/>
  <c r="AJ2356" i="1"/>
  <c r="AX2356" i="1"/>
  <c r="BQ2356" i="1"/>
  <c r="BR2356" i="1"/>
  <c r="CC2356" i="1"/>
  <c r="CW2356" i="1"/>
  <c r="G2186" i="1"/>
  <c r="V2186" i="1"/>
  <c r="AJ2186" i="1"/>
  <c r="AX2186" i="1"/>
  <c r="BQ2186" i="1"/>
  <c r="BR2186" i="1"/>
  <c r="CC2186" i="1"/>
  <c r="CW2186" i="1"/>
  <c r="G1201" i="1"/>
  <c r="V1201" i="1"/>
  <c r="AJ1201" i="1"/>
  <c r="AX1201" i="1"/>
  <c r="BQ1201" i="1"/>
  <c r="BR1201" i="1"/>
  <c r="CC1201" i="1"/>
  <c r="CW1201" i="1"/>
  <c r="G1754" i="1"/>
  <c r="V1754" i="1"/>
  <c r="AJ1754" i="1"/>
  <c r="AX1754" i="1"/>
  <c r="BQ1754" i="1"/>
  <c r="BR1754" i="1"/>
  <c r="CC1754" i="1"/>
  <c r="CW1754" i="1"/>
  <c r="G1601" i="1"/>
  <c r="V1601" i="1"/>
  <c r="AJ1601" i="1"/>
  <c r="AX1601" i="1"/>
  <c r="BQ1601" i="1"/>
  <c r="BR1601" i="1"/>
  <c r="CC1601" i="1"/>
  <c r="CK1601" i="1"/>
  <c r="CW1601" i="1"/>
  <c r="G1559" i="1"/>
  <c r="V1559" i="1"/>
  <c r="AJ1559" i="1"/>
  <c r="AX1559" i="1"/>
  <c r="BQ1559" i="1"/>
  <c r="BR1559" i="1"/>
  <c r="CC1559" i="1"/>
  <c r="CW1559" i="1"/>
  <c r="G1455" i="1"/>
  <c r="V1455" i="1"/>
  <c r="AJ1455" i="1"/>
  <c r="AX1455" i="1"/>
  <c r="BQ1455" i="1"/>
  <c r="BR1455" i="1"/>
  <c r="CC1455" i="1"/>
  <c r="CW1455" i="1"/>
  <c r="G1456" i="1"/>
  <c r="V1456" i="1"/>
  <c r="AJ1456" i="1"/>
  <c r="AX1456" i="1"/>
  <c r="BQ1456" i="1"/>
  <c r="BR1456" i="1"/>
  <c r="CC1456" i="1"/>
  <c r="CW1456" i="1"/>
  <c r="G1966" i="1"/>
  <c r="V1966" i="1"/>
  <c r="AJ1966" i="1"/>
  <c r="AX1966" i="1"/>
  <c r="BQ1966" i="1"/>
  <c r="BR1966" i="1"/>
  <c r="CC1966" i="1"/>
  <c r="CW1966" i="1"/>
  <c r="G1694" i="1"/>
  <c r="V1694" i="1"/>
  <c r="AJ1694" i="1"/>
  <c r="AX1694" i="1"/>
  <c r="BQ1694" i="1"/>
  <c r="BR1694" i="1"/>
  <c r="CC1694" i="1"/>
  <c r="CW1694" i="1"/>
  <c r="G1132" i="1"/>
  <c r="V1132" i="1"/>
  <c r="AJ1132" i="1"/>
  <c r="AX1132" i="1"/>
  <c r="BQ1132" i="1"/>
  <c r="BR1132" i="1"/>
  <c r="CC1132" i="1"/>
  <c r="CW1132" i="1"/>
  <c r="G2149" i="1"/>
  <c r="V2149" i="1"/>
  <c r="AJ2149" i="1"/>
  <c r="AX2149" i="1"/>
  <c r="BQ2149" i="1"/>
  <c r="BR2149" i="1"/>
  <c r="CC2149" i="1"/>
  <c r="CW2149" i="1"/>
  <c r="G1943" i="1"/>
  <c r="V1943" i="1"/>
  <c r="AJ1943" i="1"/>
  <c r="AX1943" i="1"/>
  <c r="BQ1943" i="1"/>
  <c r="BR1943" i="1"/>
  <c r="CC1943" i="1"/>
  <c r="CW1943" i="1"/>
  <c r="G1576" i="1"/>
  <c r="V1576" i="1"/>
  <c r="AJ1576" i="1"/>
  <c r="AX1576" i="1"/>
  <c r="BQ1576" i="1"/>
  <c r="BR1576" i="1"/>
  <c r="CC1576" i="1"/>
  <c r="CW1576" i="1"/>
  <c r="G1526" i="1"/>
  <c r="V1526" i="1"/>
  <c r="AJ1526" i="1"/>
  <c r="AX1526" i="1"/>
  <c r="BQ1526" i="1"/>
  <c r="BR1526" i="1"/>
  <c r="CC1526" i="1"/>
  <c r="CW1526" i="1"/>
  <c r="G1779" i="1"/>
  <c r="V1779" i="1"/>
  <c r="AJ1779" i="1"/>
  <c r="AX1779" i="1"/>
  <c r="BQ1779" i="1"/>
  <c r="BR1779" i="1"/>
  <c r="CC1779" i="1"/>
  <c r="CW1779" i="1"/>
  <c r="G2274" i="1"/>
  <c r="V2274" i="1"/>
  <c r="AJ2274" i="1"/>
  <c r="AX2274" i="1"/>
  <c r="BQ2274" i="1"/>
  <c r="BR2274" i="1"/>
  <c r="CC2274" i="1"/>
  <c r="CW2274" i="1"/>
  <c r="G1159" i="1"/>
  <c r="V1159" i="1"/>
  <c r="AJ1159" i="1"/>
  <c r="AX1159" i="1"/>
  <c r="BQ1159" i="1"/>
  <c r="BR1159" i="1"/>
  <c r="CC1159" i="1"/>
  <c r="CW1159" i="1"/>
  <c r="G1267" i="1"/>
  <c r="V1267" i="1"/>
  <c r="AJ1267" i="1"/>
  <c r="AX1267" i="1"/>
  <c r="BQ1267" i="1"/>
  <c r="BR1267" i="1"/>
  <c r="CC1267" i="1"/>
  <c r="CW1267" i="1"/>
  <c r="G1040" i="1"/>
  <c r="V1040" i="1"/>
  <c r="AJ1040" i="1"/>
  <c r="AX1040" i="1"/>
  <c r="BQ1040" i="1"/>
  <c r="BR1040" i="1"/>
  <c r="CC1040" i="1"/>
  <c r="CW1040" i="1"/>
  <c r="G868" i="1"/>
  <c r="V868" i="1"/>
  <c r="AJ868" i="1"/>
  <c r="AX868" i="1"/>
  <c r="BQ868" i="1"/>
  <c r="BR868" i="1"/>
  <c r="CC868" i="1"/>
  <c r="CW868" i="1"/>
  <c r="G2228" i="1"/>
  <c r="V2228" i="1"/>
  <c r="AJ2228" i="1"/>
  <c r="AX2228" i="1"/>
  <c r="BQ2228" i="1"/>
  <c r="BR2228" i="1"/>
  <c r="CC2228" i="1"/>
  <c r="CW2228" i="1"/>
  <c r="G1527" i="1"/>
  <c r="V1527" i="1"/>
  <c r="AJ1527" i="1"/>
  <c r="AX1527" i="1"/>
  <c r="BQ1527" i="1"/>
  <c r="BR1527" i="1"/>
  <c r="CC1527" i="1"/>
  <c r="CW1527" i="1"/>
  <c r="G2196" i="1"/>
  <c r="V2196" i="1"/>
  <c r="AJ2196" i="1"/>
  <c r="AX2196" i="1"/>
  <c r="BQ2196" i="1"/>
  <c r="BR2196" i="1"/>
  <c r="CC2196" i="1"/>
  <c r="CW2196" i="1"/>
  <c r="G2004" i="1"/>
  <c r="V2004" i="1"/>
  <c r="AJ2004" i="1"/>
  <c r="AX2004" i="1"/>
  <c r="BQ2004" i="1"/>
  <c r="BR2004" i="1"/>
  <c r="CC2004" i="1"/>
  <c r="CW2004" i="1"/>
  <c r="G2382" i="1"/>
  <c r="V2382" i="1"/>
  <c r="AJ2382" i="1"/>
  <c r="AX2382" i="1"/>
  <c r="BQ2382" i="1"/>
  <c r="BR2382" i="1"/>
  <c r="CC2382" i="1"/>
  <c r="CW2382" i="1"/>
  <c r="G1051" i="1"/>
  <c r="V1051" i="1"/>
  <c r="AJ1051" i="1"/>
  <c r="AX1051" i="1"/>
  <c r="BQ1051" i="1"/>
  <c r="BR1051" i="1"/>
  <c r="CC1051" i="1"/>
  <c r="CW1051" i="1"/>
  <c r="G2110" i="1"/>
  <c r="V2110" i="1"/>
  <c r="AJ2110" i="1"/>
  <c r="AX2110" i="1"/>
  <c r="BQ2110" i="1"/>
  <c r="BR2110" i="1"/>
  <c r="CC2110" i="1"/>
  <c r="CW2110" i="1"/>
  <c r="G1349" i="1"/>
  <c r="V1349" i="1"/>
  <c r="AJ1349" i="1"/>
  <c r="AX1349" i="1"/>
  <c r="BQ1349" i="1"/>
  <c r="BR1349" i="1"/>
  <c r="CC1349" i="1"/>
  <c r="CW1349" i="1"/>
  <c r="G1900" i="1"/>
  <c r="V1900" i="1"/>
  <c r="AJ1900" i="1"/>
  <c r="AX1900" i="1"/>
  <c r="BQ1900" i="1"/>
  <c r="BR1900" i="1"/>
  <c r="CC1900" i="1"/>
  <c r="CW1900" i="1"/>
  <c r="G1511" i="1"/>
  <c r="V1511" i="1"/>
  <c r="AJ1511" i="1"/>
  <c r="AX1511" i="1"/>
  <c r="BQ1511" i="1"/>
  <c r="BR1511" i="1"/>
  <c r="CC1511" i="1"/>
  <c r="CW1511" i="1"/>
  <c r="G1508" i="1"/>
  <c r="V1508" i="1"/>
  <c r="AJ1508" i="1"/>
  <c r="AX1508" i="1"/>
  <c r="BQ1508" i="1"/>
  <c r="BR1508" i="1"/>
  <c r="CC1508" i="1"/>
  <c r="CW1508" i="1"/>
  <c r="G1021" i="1"/>
  <c r="V1021" i="1"/>
  <c r="AJ1021" i="1"/>
  <c r="AX1021" i="1"/>
  <c r="BQ1021" i="1"/>
  <c r="BR1021" i="1"/>
  <c r="CC1021" i="1"/>
  <c r="CW1021" i="1"/>
  <c r="G1420" i="1"/>
  <c r="V1420" i="1"/>
  <c r="AJ1420" i="1"/>
  <c r="AX1420" i="1"/>
  <c r="BQ1420" i="1"/>
  <c r="BR1420" i="1"/>
  <c r="CC1420" i="1"/>
  <c r="CW1420" i="1"/>
  <c r="G1222" i="1"/>
  <c r="V1222" i="1"/>
  <c r="AJ1222" i="1"/>
  <c r="AX1222" i="1"/>
  <c r="BQ1222" i="1"/>
  <c r="BR1222" i="1"/>
  <c r="CC1222" i="1"/>
  <c r="CW1222" i="1"/>
  <c r="G2357" i="1"/>
  <c r="V2357" i="1"/>
  <c r="AJ2357" i="1"/>
  <c r="AX2357" i="1"/>
  <c r="BQ2357" i="1"/>
  <c r="BR2357" i="1"/>
  <c r="CC2357" i="1"/>
  <c r="CW2357" i="1"/>
  <c r="G2238" i="1"/>
  <c r="V2238" i="1"/>
  <c r="AJ2238" i="1"/>
  <c r="AX2238" i="1"/>
  <c r="BQ2238" i="1"/>
  <c r="BR2238" i="1"/>
  <c r="CC2238" i="1"/>
  <c r="CW2238" i="1"/>
  <c r="G962" i="1"/>
  <c r="V962" i="1"/>
  <c r="AJ962" i="1"/>
  <c r="AX962" i="1"/>
  <c r="BQ962" i="1"/>
  <c r="BR962" i="1"/>
  <c r="CC962" i="1"/>
  <c r="CW962" i="1"/>
  <c r="G1442" i="1"/>
  <c r="V1442" i="1"/>
  <c r="AJ1442" i="1"/>
  <c r="AX1442" i="1"/>
  <c r="BQ1442" i="1"/>
  <c r="BR1442" i="1"/>
  <c r="CC1442" i="1"/>
  <c r="CW1442" i="1"/>
  <c r="G2205" i="1"/>
  <c r="V2205" i="1"/>
  <c r="AJ2205" i="1"/>
  <c r="AX2205" i="1"/>
  <c r="BQ2205" i="1"/>
  <c r="BR2205" i="1"/>
  <c r="CC2205" i="1"/>
  <c r="CW2205" i="1"/>
  <c r="G1130" i="1"/>
  <c r="V1130" i="1"/>
  <c r="AJ1130" i="1"/>
  <c r="AX1130" i="1"/>
  <c r="BQ1130" i="1"/>
  <c r="BR1130" i="1"/>
  <c r="CC1130" i="1"/>
  <c r="CW1130" i="1"/>
  <c r="G1168" i="1"/>
  <c r="V1168" i="1"/>
  <c r="AJ1168" i="1"/>
  <c r="AX1168" i="1"/>
  <c r="BQ1168" i="1"/>
  <c r="BR1168" i="1"/>
  <c r="CC1168" i="1"/>
  <c r="CW1168" i="1"/>
  <c r="G2350" i="1"/>
  <c r="V2350" i="1"/>
  <c r="AJ2350" i="1"/>
  <c r="AX2350" i="1"/>
  <c r="BQ2350" i="1"/>
  <c r="BR2350" i="1"/>
  <c r="CC2350" i="1"/>
  <c r="CW2350" i="1"/>
  <c r="G2364" i="1"/>
  <c r="V2364" i="1"/>
  <c r="AJ2364" i="1"/>
  <c r="AX2364" i="1"/>
  <c r="BQ2364" i="1"/>
  <c r="BR2364" i="1"/>
  <c r="CC2364" i="1"/>
  <c r="CW2364" i="1"/>
  <c r="G878" i="1"/>
  <c r="V878" i="1"/>
  <c r="AJ878" i="1"/>
  <c r="AX878" i="1"/>
  <c r="BQ878" i="1"/>
  <c r="BR878" i="1"/>
  <c r="CC878" i="1"/>
  <c r="CW878" i="1"/>
  <c r="G1780" i="1"/>
  <c r="V1780" i="1"/>
  <c r="AJ1780" i="1"/>
  <c r="AX1780" i="1"/>
  <c r="BQ1780" i="1"/>
  <c r="BR1780" i="1"/>
  <c r="CC1780" i="1"/>
  <c r="CW1780" i="1"/>
  <c r="G1535" i="1"/>
  <c r="V1535" i="1"/>
  <c r="AJ1535" i="1"/>
  <c r="AX1535" i="1"/>
  <c r="BQ1535" i="1"/>
  <c r="BR1535" i="1"/>
  <c r="CC1535" i="1"/>
  <c r="CW1535" i="1"/>
  <c r="G1557" i="1"/>
  <c r="V1557" i="1"/>
  <c r="AJ1557" i="1"/>
  <c r="AX1557" i="1"/>
  <c r="BQ1557" i="1"/>
  <c r="BR1557" i="1"/>
  <c r="CC1557" i="1"/>
  <c r="CW1557" i="1"/>
  <c r="G2187" i="1"/>
  <c r="V2187" i="1"/>
  <c r="AJ2187" i="1"/>
  <c r="AX2187" i="1"/>
  <c r="BQ2187" i="1"/>
  <c r="BR2187" i="1"/>
  <c r="CC2187" i="1"/>
  <c r="CW2187" i="1"/>
  <c r="G1997" i="1"/>
  <c r="V1997" i="1"/>
  <c r="AJ1997" i="1"/>
  <c r="AX1997" i="1"/>
  <c r="BQ1997" i="1"/>
  <c r="BR1997" i="1"/>
  <c r="CC1997" i="1"/>
  <c r="CW1997" i="1"/>
  <c r="G1007" i="1"/>
  <c r="V1007" i="1"/>
  <c r="AJ1007" i="1"/>
  <c r="AX1007" i="1"/>
  <c r="BQ1007" i="1"/>
  <c r="BR1007" i="1"/>
  <c r="CC1007" i="1"/>
  <c r="CW1007" i="1"/>
  <c r="G1528" i="1"/>
  <c r="V1528" i="1"/>
  <c r="AJ1528" i="1"/>
  <c r="AX1528" i="1"/>
  <c r="BQ1528" i="1"/>
  <c r="BR1528" i="1"/>
  <c r="CC1528" i="1"/>
  <c r="CW1528" i="1"/>
  <c r="G1745" i="1"/>
  <c r="V1745" i="1"/>
  <c r="AJ1745" i="1"/>
  <c r="AX1745" i="1"/>
  <c r="BQ1745" i="1"/>
  <c r="BR1745" i="1"/>
  <c r="CC1745" i="1"/>
  <c r="CW1745" i="1"/>
  <c r="G1411" i="1"/>
  <c r="V1411" i="1"/>
  <c r="AJ1411" i="1"/>
  <c r="AX1411" i="1"/>
  <c r="BQ1411" i="1"/>
  <c r="BR1411" i="1"/>
  <c r="CC1411" i="1"/>
  <c r="CW1411" i="1"/>
  <c r="G925" i="1"/>
  <c r="V925" i="1"/>
  <c r="AJ925" i="1"/>
  <c r="AX925" i="1"/>
  <c r="BQ925" i="1"/>
  <c r="BR925" i="1"/>
  <c r="CC925" i="1"/>
  <c r="CW925" i="1"/>
  <c r="G1485" i="1"/>
  <c r="V1485" i="1"/>
  <c r="AJ1485" i="1"/>
  <c r="AX1485" i="1"/>
  <c r="BQ1485" i="1"/>
  <c r="BR1485" i="1"/>
  <c r="CC1485" i="1"/>
  <c r="CW1485" i="1"/>
  <c r="G1970" i="1"/>
  <c r="V1970" i="1"/>
  <c r="AJ1970" i="1"/>
  <c r="AX1970" i="1"/>
  <c r="BQ1970" i="1"/>
  <c r="BR1970" i="1"/>
  <c r="CC1970" i="1"/>
  <c r="CW1970" i="1"/>
  <c r="G1274" i="1"/>
  <c r="V1274" i="1"/>
  <c r="AJ1274" i="1"/>
  <c r="AX1274" i="1"/>
  <c r="BQ1274" i="1"/>
  <c r="BR1274" i="1"/>
  <c r="CC1274" i="1"/>
  <c r="CW1274" i="1"/>
  <c r="G2100" i="1"/>
  <c r="V2100" i="1"/>
  <c r="AJ2100" i="1"/>
  <c r="AX2100" i="1"/>
  <c r="BQ2100" i="1"/>
  <c r="BR2100" i="1"/>
  <c r="CC2100" i="1"/>
  <c r="CW2100" i="1"/>
  <c r="G1203" i="1"/>
  <c r="V1203" i="1"/>
  <c r="AJ1203" i="1"/>
  <c r="AX1203" i="1"/>
  <c r="BQ1203" i="1"/>
  <c r="BR1203" i="1"/>
  <c r="CC1203" i="1"/>
  <c r="CW1203" i="1"/>
  <c r="G2231" i="1"/>
  <c r="V2231" i="1"/>
  <c r="AJ2231" i="1"/>
  <c r="AX2231" i="1"/>
  <c r="BQ2231" i="1"/>
  <c r="BR2231" i="1"/>
  <c r="CC2231" i="1"/>
  <c r="CW2231" i="1"/>
  <c r="G2272" i="1"/>
  <c r="V2272" i="1"/>
  <c r="AJ2272" i="1"/>
  <c r="AX2272" i="1"/>
  <c r="BQ2272" i="1"/>
  <c r="BR2272" i="1"/>
  <c r="CC2272" i="1"/>
  <c r="CW2272" i="1"/>
  <c r="G475" i="1"/>
  <c r="V475" i="1"/>
  <c r="AJ475" i="1"/>
  <c r="AX475" i="1"/>
  <c r="BQ475" i="1"/>
  <c r="BR475" i="1"/>
  <c r="CC475" i="1"/>
  <c r="CW475" i="1"/>
  <c r="G145" i="1"/>
  <c r="V145" i="1"/>
  <c r="AJ145" i="1"/>
  <c r="AX145" i="1"/>
  <c r="BQ145" i="1"/>
  <c r="BR145" i="1"/>
  <c r="CC145" i="1"/>
  <c r="CW145" i="1"/>
  <c r="G775" i="1"/>
  <c r="V775" i="1"/>
  <c r="AJ775" i="1"/>
  <c r="AX775" i="1"/>
  <c r="BQ775" i="1"/>
  <c r="BR775" i="1"/>
  <c r="CC775" i="1"/>
  <c r="CW775" i="1"/>
  <c r="G745" i="1"/>
  <c r="V745" i="1"/>
  <c r="AJ745" i="1"/>
  <c r="AX745" i="1"/>
  <c r="BQ745" i="1"/>
  <c r="BR745" i="1"/>
  <c r="CC745" i="1"/>
  <c r="CW745" i="1"/>
  <c r="G284" i="1"/>
  <c r="V284" i="1"/>
  <c r="AJ284" i="1"/>
  <c r="AX284" i="1"/>
  <c r="BQ284" i="1"/>
  <c r="BR284" i="1"/>
  <c r="CC284" i="1"/>
  <c r="CW284" i="1"/>
  <c r="G8" i="1"/>
  <c r="V8" i="1"/>
  <c r="AJ8" i="1"/>
  <c r="AX8" i="1"/>
  <c r="BQ8" i="1"/>
  <c r="BR8" i="1"/>
  <c r="CC8" i="1"/>
  <c r="CW8" i="1"/>
  <c r="G781" i="1"/>
  <c r="V781" i="1"/>
  <c r="AJ781" i="1"/>
  <c r="AX781" i="1"/>
  <c r="BQ781" i="1"/>
  <c r="BR781" i="1"/>
  <c r="CC781" i="1"/>
  <c r="CW781" i="1"/>
  <c r="G704" i="1"/>
  <c r="V704" i="1"/>
  <c r="AJ704" i="1"/>
  <c r="AX704" i="1"/>
  <c r="BQ704" i="1"/>
  <c r="BR704" i="1"/>
  <c r="CC704" i="1"/>
  <c r="CW704" i="1"/>
  <c r="G349" i="1"/>
  <c r="V349" i="1"/>
  <c r="AJ349" i="1"/>
  <c r="AX349" i="1"/>
  <c r="BQ349" i="1"/>
  <c r="BR349" i="1"/>
  <c r="CC349" i="1"/>
  <c r="CW349" i="1"/>
  <c r="G296" i="1"/>
  <c r="V296" i="1"/>
  <c r="AJ296" i="1"/>
  <c r="AX296" i="1"/>
  <c r="BQ296" i="1"/>
  <c r="BR296" i="1"/>
  <c r="CC296" i="1"/>
  <c r="CW296" i="1"/>
  <c r="G395" i="1"/>
  <c r="V395" i="1"/>
  <c r="AJ395" i="1"/>
  <c r="AX395" i="1"/>
  <c r="BQ395" i="1"/>
  <c r="BR395" i="1"/>
  <c r="CC395" i="1"/>
  <c r="CW395" i="1"/>
  <c r="G645" i="1"/>
  <c r="V645" i="1"/>
  <c r="AJ645" i="1"/>
  <c r="AX645" i="1"/>
  <c r="BQ645" i="1"/>
  <c r="BR645" i="1"/>
  <c r="CC645" i="1"/>
  <c r="CW645" i="1"/>
  <c r="G2334" i="1"/>
  <c r="V2334" i="1"/>
  <c r="AJ2334" i="1"/>
  <c r="AX2334" i="1"/>
  <c r="BQ2334" i="1"/>
  <c r="BR2334" i="1"/>
  <c r="CC2334" i="1"/>
  <c r="CW2334" i="1"/>
  <c r="G1846" i="1"/>
  <c r="V1846" i="1"/>
  <c r="AJ1846" i="1"/>
  <c r="AX1846" i="1"/>
  <c r="BQ1846" i="1"/>
  <c r="BR1846" i="1"/>
  <c r="CC1846" i="1"/>
  <c r="CW1846" i="1"/>
  <c r="G2307" i="1"/>
  <c r="V2307" i="1"/>
  <c r="AJ2307" i="1"/>
  <c r="AX2307" i="1"/>
  <c r="BQ2307" i="1"/>
  <c r="BR2307" i="1"/>
  <c r="CC2307" i="1"/>
  <c r="CW2307" i="1"/>
  <c r="G375" i="1"/>
  <c r="V375" i="1"/>
  <c r="AJ375" i="1"/>
  <c r="AX375" i="1"/>
  <c r="BQ375" i="1"/>
  <c r="BR375" i="1"/>
  <c r="CC375" i="1"/>
  <c r="CW375" i="1"/>
  <c r="G208" i="1"/>
  <c r="V208" i="1"/>
  <c r="AJ208" i="1"/>
  <c r="AX208" i="1"/>
  <c r="BQ208" i="1"/>
  <c r="BR208" i="1"/>
  <c r="CC208" i="1"/>
  <c r="CW208" i="1"/>
  <c r="G753" i="1"/>
  <c r="V753" i="1"/>
  <c r="AJ753" i="1"/>
  <c r="AX753" i="1"/>
  <c r="BQ753" i="1"/>
  <c r="BR753" i="1"/>
  <c r="CC753" i="1"/>
  <c r="CW753" i="1"/>
  <c r="G236" i="1"/>
  <c r="V236" i="1"/>
  <c r="AJ236" i="1"/>
  <c r="AX236" i="1"/>
  <c r="BQ236" i="1"/>
  <c r="BR236" i="1"/>
  <c r="CC236" i="1"/>
  <c r="CW236" i="1"/>
  <c r="G37" i="1"/>
  <c r="V37" i="1"/>
  <c r="AJ37" i="1"/>
  <c r="AX37" i="1"/>
  <c r="BQ37" i="1"/>
  <c r="BR37" i="1"/>
  <c r="CC37" i="1"/>
  <c r="CW37" i="1"/>
  <c r="G444" i="1"/>
  <c r="V444" i="1"/>
  <c r="AJ444" i="1"/>
  <c r="AX444" i="1"/>
  <c r="BQ444" i="1"/>
  <c r="BR444" i="1"/>
  <c r="CC444" i="1"/>
  <c r="CW444" i="1"/>
  <c r="G2253" i="1"/>
  <c r="V2253" i="1"/>
  <c r="AJ2253" i="1"/>
  <c r="AX2253" i="1"/>
  <c r="BQ2253" i="1"/>
  <c r="BR2253" i="1"/>
  <c r="CC2253" i="1"/>
  <c r="CW2253" i="1"/>
  <c r="G26" i="1"/>
  <c r="V26" i="1"/>
  <c r="AJ26" i="1"/>
  <c r="AX26" i="1"/>
  <c r="BQ26" i="1"/>
  <c r="BR26" i="1"/>
  <c r="CC26" i="1"/>
  <c r="CW26" i="1"/>
  <c r="G1834" i="1"/>
  <c r="V1834" i="1"/>
  <c r="AJ1834" i="1"/>
  <c r="AX1834" i="1"/>
  <c r="BQ1834" i="1"/>
  <c r="BR1834" i="1"/>
  <c r="CC1834" i="1"/>
  <c r="CW1834" i="1"/>
  <c r="G573" i="1"/>
  <c r="V573" i="1"/>
  <c r="AJ573" i="1"/>
  <c r="AX573" i="1"/>
  <c r="BQ573" i="1"/>
  <c r="BR573" i="1"/>
  <c r="CC573" i="1"/>
  <c r="CW573" i="1"/>
  <c r="G374" i="1"/>
  <c r="V374" i="1"/>
  <c r="AJ374" i="1"/>
  <c r="AX374" i="1"/>
  <c r="BQ374" i="1"/>
  <c r="BR374" i="1"/>
  <c r="CC374" i="1"/>
  <c r="CW374" i="1"/>
  <c r="G708" i="1"/>
  <c r="V708" i="1"/>
  <c r="AJ708" i="1"/>
  <c r="AX708" i="1"/>
  <c r="BQ708" i="1"/>
  <c r="BR708" i="1"/>
  <c r="CC708" i="1"/>
  <c r="CW708" i="1"/>
  <c r="G83" i="1"/>
  <c r="V83" i="1"/>
  <c r="AJ83" i="1"/>
  <c r="AX83" i="1"/>
  <c r="BQ83" i="1"/>
  <c r="BR83" i="1"/>
  <c r="CC83" i="1"/>
  <c r="CW83" i="1"/>
  <c r="G542" i="1"/>
  <c r="V542" i="1"/>
  <c r="AJ542" i="1"/>
  <c r="AX542" i="1"/>
  <c r="BQ542" i="1"/>
  <c r="BR542" i="1"/>
  <c r="CC542" i="1"/>
  <c r="CW542" i="1"/>
  <c r="G322" i="1"/>
  <c r="V322" i="1"/>
  <c r="AJ322" i="1"/>
  <c r="AX322" i="1"/>
  <c r="BQ322" i="1"/>
  <c r="BR322" i="1"/>
  <c r="CC322" i="1"/>
  <c r="CW322" i="1"/>
  <c r="G312" i="1"/>
  <c r="V312" i="1"/>
  <c r="AJ312" i="1"/>
  <c r="AX312" i="1"/>
  <c r="BQ312" i="1"/>
  <c r="BR312" i="1"/>
  <c r="CC312" i="1"/>
  <c r="CW312" i="1"/>
  <c r="G333" i="1"/>
  <c r="V333" i="1"/>
  <c r="AJ333" i="1"/>
  <c r="AX333" i="1"/>
  <c r="BQ333" i="1"/>
  <c r="BR333" i="1"/>
  <c r="CC333" i="1"/>
  <c r="CW333" i="1"/>
  <c r="G270" i="1"/>
  <c r="V270" i="1"/>
  <c r="AJ270" i="1"/>
  <c r="AX270" i="1"/>
  <c r="BQ270" i="1"/>
  <c r="BR270" i="1"/>
  <c r="CC270" i="1"/>
  <c r="CW270" i="1"/>
  <c r="G12" i="1"/>
  <c r="V12" i="1"/>
  <c r="AJ12" i="1"/>
  <c r="AX12" i="1"/>
  <c r="BQ12" i="1"/>
  <c r="BR12" i="1"/>
  <c r="CC12" i="1"/>
  <c r="CW12" i="1"/>
  <c r="G203" i="1"/>
  <c r="V203" i="1"/>
  <c r="AJ203" i="1"/>
  <c r="AX203" i="1"/>
  <c r="BQ203" i="1"/>
  <c r="BR203" i="1"/>
  <c r="CC203" i="1"/>
  <c r="CW203" i="1"/>
  <c r="G492" i="1"/>
  <c r="V492" i="1"/>
  <c r="AJ492" i="1"/>
  <c r="AX492" i="1"/>
  <c r="BQ492" i="1"/>
  <c r="BR492" i="1"/>
  <c r="CC492" i="1"/>
  <c r="CW492" i="1"/>
  <c r="G522" i="1"/>
  <c r="V522" i="1"/>
  <c r="AJ522" i="1"/>
  <c r="AX522" i="1"/>
  <c r="BQ522" i="1"/>
  <c r="BR522" i="1"/>
  <c r="CC522" i="1"/>
  <c r="CW522" i="1"/>
  <c r="G207" i="1"/>
  <c r="V207" i="1"/>
  <c r="AJ207" i="1"/>
  <c r="AX207" i="1"/>
  <c r="BQ207" i="1"/>
  <c r="BR207" i="1"/>
  <c r="CC207" i="1"/>
  <c r="CW207" i="1"/>
  <c r="G1838" i="1"/>
  <c r="V1838" i="1"/>
  <c r="AJ1838" i="1"/>
  <c r="AX1838" i="1"/>
  <c r="BQ1838" i="1"/>
  <c r="BR1838" i="1"/>
  <c r="BX1838" i="1"/>
  <c r="CC1838" i="1"/>
  <c r="CW1838" i="1"/>
  <c r="G2" i="1"/>
  <c r="V2" i="1"/>
  <c r="AJ2" i="1"/>
  <c r="AX2" i="1"/>
  <c r="BQ2" i="1"/>
  <c r="BR2" i="1"/>
  <c r="CC2" i="1"/>
  <c r="CW2" i="1"/>
  <c r="G1829" i="1"/>
  <c r="V1829" i="1"/>
  <c r="AJ1829" i="1"/>
  <c r="AX1829" i="1"/>
  <c r="BQ1829" i="1"/>
  <c r="BR1829" i="1"/>
  <c r="CC1829" i="1"/>
  <c r="CW1829" i="1"/>
  <c r="G783" i="1"/>
  <c r="V783" i="1"/>
  <c r="AJ783" i="1"/>
  <c r="AX783" i="1"/>
  <c r="BQ783" i="1"/>
  <c r="BR783" i="1"/>
  <c r="CC783" i="1"/>
  <c r="CW783" i="1"/>
  <c r="G1820" i="1"/>
  <c r="V1820" i="1"/>
  <c r="AJ1820" i="1"/>
  <c r="AX1820" i="1"/>
  <c r="BQ1820" i="1"/>
  <c r="BR1820" i="1"/>
  <c r="CC1820" i="1"/>
  <c r="CW1820" i="1"/>
  <c r="G2319" i="1"/>
  <c r="V2319" i="1"/>
  <c r="AJ2319" i="1"/>
  <c r="AX2319" i="1"/>
  <c r="BQ2319" i="1"/>
  <c r="BR2319" i="1"/>
  <c r="CC2319" i="1"/>
  <c r="CW2319" i="1"/>
  <c r="G810" i="1"/>
  <c r="V810" i="1"/>
  <c r="AJ810" i="1"/>
  <c r="AX810" i="1"/>
  <c r="BQ810" i="1"/>
  <c r="BR810" i="1"/>
  <c r="CC810" i="1"/>
  <c r="CW810" i="1"/>
  <c r="G314" i="1"/>
  <c r="V314" i="1"/>
  <c r="AJ314" i="1"/>
  <c r="AX314" i="1"/>
  <c r="BQ314" i="1"/>
  <c r="BR314" i="1"/>
  <c r="CC314" i="1"/>
  <c r="CW314" i="1"/>
  <c r="G421" i="1"/>
  <c r="V421" i="1"/>
  <c r="AJ421" i="1"/>
  <c r="AX421" i="1"/>
  <c r="BQ421" i="1"/>
  <c r="BR421" i="1"/>
  <c r="CC421" i="1"/>
  <c r="CW421" i="1"/>
  <c r="G40" i="1"/>
  <c r="V40" i="1"/>
  <c r="AJ40" i="1"/>
  <c r="AX40" i="1"/>
  <c r="BQ40" i="1"/>
  <c r="BR40" i="1"/>
  <c r="CC40" i="1"/>
  <c r="CW40" i="1"/>
  <c r="G792" i="1"/>
  <c r="V792" i="1"/>
  <c r="AJ792" i="1"/>
  <c r="AX792" i="1"/>
  <c r="BQ792" i="1"/>
  <c r="BR792" i="1"/>
  <c r="CC792" i="1"/>
  <c r="CW792" i="1"/>
  <c r="G2321" i="1"/>
  <c r="V2321" i="1"/>
  <c r="AJ2321" i="1"/>
  <c r="AX2321" i="1"/>
  <c r="BQ2321" i="1"/>
  <c r="BR2321" i="1"/>
  <c r="CC2321" i="1"/>
  <c r="CW2321" i="1"/>
  <c r="G1640" i="1"/>
  <c r="V1640" i="1"/>
  <c r="AJ1640" i="1"/>
  <c r="AX1640" i="1"/>
  <c r="BQ1640" i="1"/>
  <c r="BR1640" i="1"/>
  <c r="CC1640" i="1"/>
  <c r="CW1640" i="1"/>
  <c r="G1662" i="1"/>
  <c r="V1662" i="1"/>
  <c r="AJ1662" i="1"/>
  <c r="AX1662" i="1"/>
  <c r="BQ1662" i="1"/>
  <c r="BR1662" i="1"/>
  <c r="CC1662" i="1"/>
  <c r="CW1662" i="1"/>
  <c r="G287" i="1"/>
  <c r="V287" i="1"/>
  <c r="AJ287" i="1"/>
  <c r="AX287" i="1"/>
  <c r="BQ287" i="1"/>
  <c r="BR287" i="1"/>
  <c r="CC287" i="1"/>
  <c r="CW287" i="1"/>
  <c r="G1774" i="1"/>
  <c r="V1774" i="1"/>
  <c r="AJ1774" i="1"/>
  <c r="AX1774" i="1"/>
  <c r="BQ1774" i="1"/>
  <c r="BR1774" i="1"/>
  <c r="CC1774" i="1"/>
  <c r="CW1774" i="1"/>
  <c r="G303" i="1"/>
  <c r="V303" i="1"/>
  <c r="AJ303" i="1"/>
  <c r="AX303" i="1"/>
  <c r="BQ303" i="1"/>
  <c r="BR303" i="1"/>
  <c r="CC303" i="1"/>
  <c r="CW303" i="1"/>
  <c r="G1604" i="1"/>
  <c r="V1604" i="1"/>
  <c r="AJ1604" i="1"/>
  <c r="AX1604" i="1"/>
  <c r="BQ1604" i="1"/>
  <c r="BR1604" i="1"/>
  <c r="CC1604" i="1"/>
  <c r="CK1604" i="1"/>
  <c r="CW1604" i="1"/>
  <c r="G2363" i="1"/>
  <c r="V2363" i="1"/>
  <c r="AJ2363" i="1"/>
  <c r="AX2363" i="1"/>
  <c r="BQ2363" i="1"/>
  <c r="BR2363" i="1"/>
  <c r="CC2363" i="1"/>
  <c r="CW2363" i="1"/>
  <c r="G190" i="1"/>
  <c r="V190" i="1"/>
  <c r="AJ190" i="1"/>
  <c r="AX190" i="1"/>
  <c r="BQ190" i="1"/>
  <c r="BR190" i="1"/>
  <c r="CC190" i="1"/>
  <c r="CW190" i="1"/>
</calcChain>
</file>

<file path=xl/sharedStrings.xml><?xml version="1.0" encoding="utf-8"?>
<sst xmlns="http://schemas.openxmlformats.org/spreadsheetml/2006/main" count="139494" uniqueCount="24224">
  <si>
    <t>CASE_NUMBER</t>
  </si>
  <si>
    <t>CASE_STATUS</t>
  </si>
  <si>
    <t>RECEIVED_DATE</t>
  </si>
  <si>
    <t>DECISION_DATE</t>
  </si>
  <si>
    <t>CAP_EXEMPT</t>
  </si>
  <si>
    <t>JOB_TITLE</t>
  </si>
  <si>
    <t>SOC_CODE</t>
  </si>
  <si>
    <t>SOC_TITLE</t>
  </si>
  <si>
    <t>TOTAL_WORKERS_REQUESTED</t>
  </si>
  <si>
    <t>TOTAL_WORKERS_CERTIFIED</t>
  </si>
  <si>
    <t>REQUESTED_BEGIN_DATE</t>
  </si>
  <si>
    <t>REQUESTED_END_DATE</t>
  </si>
  <si>
    <t>EMPLOYMENT_BEGIN_DATE</t>
  </si>
  <si>
    <t>EMPLOYMENT_END_DATE</t>
  </si>
  <si>
    <t>NATURE_OF_TEMPORARY_NEED</t>
  </si>
  <si>
    <t>EMPLOYER_NAME</t>
  </si>
  <si>
    <t>TRADE_NAME_DBA</t>
  </si>
  <si>
    <t>EMPLOYER_ADDRESS1</t>
  </si>
  <si>
    <t>EMPLOYER_ADDRESS2</t>
  </si>
  <si>
    <t>EMPLOYER_CITY</t>
  </si>
  <si>
    <t>EMPLOYER_STATE</t>
  </si>
  <si>
    <t>EMPLOYER_POSTAL_CODE</t>
  </si>
  <si>
    <t>EMPLOYER_COUNTRY</t>
  </si>
  <si>
    <t>EMPLOYER_PROVINCE</t>
  </si>
  <si>
    <t>EMPLOYER_PHONE</t>
  </si>
  <si>
    <t>EMPLOYER_PHONE_EXT</t>
  </si>
  <si>
    <t>NAICS_CODE</t>
  </si>
  <si>
    <t>EMPLOYER_POC_LAST_NAME</t>
  </si>
  <si>
    <t>EMPLOYER_POC_FIRST_NAME</t>
  </si>
  <si>
    <t>EMPLOYER_POC_MIDDLE_NAME</t>
  </si>
  <si>
    <t>EMPLOYER_POC_JOB_TITLE</t>
  </si>
  <si>
    <t>EMPLOYER_POC_ADDRESS1</t>
  </si>
  <si>
    <t>EMPLOYER_POC_ADDRESS2</t>
  </si>
  <si>
    <t>EMPLOYER_POC_CITY</t>
  </si>
  <si>
    <t>EMPLOYER_POC_STATE</t>
  </si>
  <si>
    <t>EMPLOYER_POC_POSTAL_CODE</t>
  </si>
  <si>
    <t>EMPLOYER_POC_COUNTRY</t>
  </si>
  <si>
    <t>EMPLOYER_POC_PROVINCE</t>
  </si>
  <si>
    <t>EMPLOYER_POC_PHONE</t>
  </si>
  <si>
    <t>EMPLOYER_POC_PHONE_EXT</t>
  </si>
  <si>
    <t>EMPLOYER_POC_EMAIL</t>
  </si>
  <si>
    <t>TYPE_OF_REPRESENTATION</t>
  </si>
  <si>
    <t>ATTORNEY_AGENT_LAST_NAME</t>
  </si>
  <si>
    <t>ATTORNEY_AGENT_FIRST_NAME</t>
  </si>
  <si>
    <t>ATTORNEY_AGENT_MIDDLE_NAME</t>
  </si>
  <si>
    <t>ATTORNEY_AGENT_ADDRESS1</t>
  </si>
  <si>
    <t>ATTORNEY_AGENT_ADDRESS2</t>
  </si>
  <si>
    <t>ATTORNEY_AGENT_CITY</t>
  </si>
  <si>
    <t>ATTORNEY_AGENT_STATE</t>
  </si>
  <si>
    <t>ATTORNEY_AGENT_POSTAL_CODE</t>
  </si>
  <si>
    <t>ATTORNEY_AGENT_COUNTRY</t>
  </si>
  <si>
    <t>ATTORNEY_AGENT_PROVINCE</t>
  </si>
  <si>
    <t>ATTORNEY_AGENT_PHONE</t>
  </si>
  <si>
    <t>ATTORNEY_AGENT_PHONE_EXT</t>
  </si>
  <si>
    <t>ATTORNEY_AGENT_EMAIL_ADDRESS</t>
  </si>
  <si>
    <t>LAWFIRM_NAME_BUSINESS_NAME</t>
  </si>
  <si>
    <t>STATE_OF_HIGHEST_COURT</t>
  </si>
  <si>
    <t>NAME_OF_HIGHEST_STATE_COURT</t>
  </si>
  <si>
    <t>SWA_STATE</t>
  </si>
  <si>
    <t>JOB_ORDER_SUBMIT_DATE</t>
  </si>
  <si>
    <t>ANTICIPATED_NUMBER_OF_HOURS</t>
  </si>
  <si>
    <t>SUNDAY_HOURS</t>
  </si>
  <si>
    <t>MONDAY_HOURS</t>
  </si>
  <si>
    <t>TUESDAY_HOURS</t>
  </si>
  <si>
    <t>WEDNESDAY_HOURS</t>
  </si>
  <si>
    <t>THURSDAY_HOURS</t>
  </si>
  <si>
    <t>FRIDAY_HOURS</t>
  </si>
  <si>
    <t>SATURDAY_HOURS</t>
  </si>
  <si>
    <t>HOURLY_SCHEDULE_BEGIN</t>
  </si>
  <si>
    <t>HOURLY_SCHEDULE_END</t>
  </si>
  <si>
    <t>EDUCATION_LEVEL</t>
  </si>
  <si>
    <t>TRAINING_MONTHS</t>
  </si>
  <si>
    <t>WORK_EXPERIENCE_MONTHS</t>
  </si>
  <si>
    <t>SUPERVISE_OTHER_EMP</t>
  </si>
  <si>
    <t>SUPERVISE_HOW_MANY</t>
  </si>
  <si>
    <t>SPECIAL_REQUIREMENTS</t>
  </si>
  <si>
    <t>WORKSITE_ADDRESS1</t>
  </si>
  <si>
    <t>WORKSITE_ADDRESS2</t>
  </si>
  <si>
    <t>WORKSITE_CITY</t>
  </si>
  <si>
    <t>WORKSITE_STATE</t>
  </si>
  <si>
    <t>WORKSITE_POSTAL_CODE</t>
  </si>
  <si>
    <t>WORKSITE_COUNTY</t>
  </si>
  <si>
    <t>MSA_NAME_OES_AREA_TITLE</t>
  </si>
  <si>
    <t>BASIC_WAGE_RATE_FROM</t>
  </si>
  <si>
    <t>BASIC_WAGE_RATE_TO</t>
  </si>
  <si>
    <t>OVERTIME_RATE_FROM</t>
  </si>
  <si>
    <t>OVERTIME_RATE_TO</t>
  </si>
  <si>
    <t>PER</t>
  </si>
  <si>
    <t>ADDITIONAL_WAGE_CONDITIONS</t>
  </si>
  <si>
    <t>1st_PWD_CASE_NUMBER</t>
  </si>
  <si>
    <t>2nd_PWD_CASE_NUMBER</t>
  </si>
  <si>
    <t>3rd_PWD_CASE_NUMBER</t>
  </si>
  <si>
    <t>EMERGENCY_FILING_PWD_ATTACHED</t>
  </si>
  <si>
    <t>OTHER_WORKSITE_LOCATION</t>
  </si>
  <si>
    <t>DAILY_TRANSPORTATION</t>
  </si>
  <si>
    <t>OVERTIME_AVAILABLE</t>
  </si>
  <si>
    <t>ON_THE_JOB_TRAINING_AVAILABLE</t>
  </si>
  <si>
    <t>EMP_PROVIDED_TOOLS_EQUIPMENT</t>
  </si>
  <si>
    <t>BOARD_LODGING_OTHER_FACILITIES</t>
  </si>
  <si>
    <t>DEDUCTIONS_FROM_PAY</t>
  </si>
  <si>
    <t>PHONE_TO_APPLY</t>
  </si>
  <si>
    <t>EMAIL_TO_APPLY</t>
  </si>
  <si>
    <t>WEBSITE_TO_APPLY</t>
  </si>
  <si>
    <t>TYPE_OF_EMPLOYER</t>
  </si>
  <si>
    <t>APPENDIX_D_COMPLETED</t>
  </si>
  <si>
    <t>FOREIGN_LABOR_RECRUITER</t>
  </si>
  <si>
    <t>EMPLOYER_APPENDIX_B_ATTACHED</t>
  </si>
  <si>
    <t>EMP_CLIENT_APPENDIX_B_ATTACHED</t>
  </si>
  <si>
    <t>PREPARER_LAST_NAME</t>
  </si>
  <si>
    <t>PREPARER_FIRST_NAME</t>
  </si>
  <si>
    <t>PREPARER_MIDDLE_NAME</t>
  </si>
  <si>
    <t>PREPARER_BUSINESS_NAME</t>
  </si>
  <si>
    <t>PREPARER_EMAIL</t>
  </si>
  <si>
    <t>Determination Issued - Denied</t>
  </si>
  <si>
    <t>N</t>
  </si>
  <si>
    <t>Carpenters</t>
  </si>
  <si>
    <t>Peakload</t>
  </si>
  <si>
    <t>IL</t>
  </si>
  <si>
    <t>UNITED STATES OF AMERICA</t>
  </si>
  <si>
    <t>Maria</t>
  </si>
  <si>
    <t>Manager</t>
  </si>
  <si>
    <t>Attorney</t>
  </si>
  <si>
    <t>Castro</t>
  </si>
  <si>
    <t>Juan</t>
  </si>
  <si>
    <t>Ramon</t>
  </si>
  <si>
    <t>PO Box 780611</t>
  </si>
  <si>
    <t>San Antonio</t>
  </si>
  <si>
    <t>TX</t>
  </si>
  <si>
    <t>info@attorneycastro.com</t>
  </si>
  <si>
    <t>Castro Law PLLC</t>
  </si>
  <si>
    <t xml:space="preserve">Texas Supreme Court </t>
  </si>
  <si>
    <t>None</t>
  </si>
  <si>
    <t>N/A</t>
  </si>
  <si>
    <t>WILL</t>
  </si>
  <si>
    <t>Chicago-Naperville-Elgin, IL-IN-WI</t>
  </si>
  <si>
    <t>Hour</t>
  </si>
  <si>
    <t>Y</t>
  </si>
  <si>
    <t>Individual Employer</t>
  </si>
  <si>
    <t>Cooks, Fast Food</t>
  </si>
  <si>
    <t>MIAMI</t>
  </si>
  <si>
    <t>FL</t>
  </si>
  <si>
    <t>T</t>
  </si>
  <si>
    <t>Miami</t>
  </si>
  <si>
    <t>Sanchez</t>
  </si>
  <si>
    <t>William</t>
  </si>
  <si>
    <t>Jose</t>
  </si>
  <si>
    <t>Supreme Court of Florida</t>
  </si>
  <si>
    <t>High School/GED</t>
  </si>
  <si>
    <t>MIAMI-DADE</t>
  </si>
  <si>
    <t>Miami-Fort Lauderdale-West Palm Beach, FL</t>
  </si>
  <si>
    <t>J</t>
  </si>
  <si>
    <t>H-400-23251-331963</t>
  </si>
  <si>
    <t>Determination Issued - Certification</t>
  </si>
  <si>
    <t>Line Cook</t>
  </si>
  <si>
    <t>Cooks, Restaurant</t>
  </si>
  <si>
    <t>Boyne Mountain Resort</t>
  </si>
  <si>
    <t>1 Boyne Mountain Road</t>
  </si>
  <si>
    <t>Boyne Falls</t>
  </si>
  <si>
    <t>MI</t>
  </si>
  <si>
    <t>Van Huis</t>
  </si>
  <si>
    <t>Scott</t>
  </si>
  <si>
    <t>Human Resources Director</t>
  </si>
  <si>
    <t>svanhuis@boynemountain.com</t>
  </si>
  <si>
    <t>Huynh</t>
  </si>
  <si>
    <t>Loan</t>
  </si>
  <si>
    <t>Thi</t>
  </si>
  <si>
    <t>60 South Sixth Street</t>
  </si>
  <si>
    <t>Suite 1500</t>
  </si>
  <si>
    <t>Minneapolis</t>
  </si>
  <si>
    <t>MN</t>
  </si>
  <si>
    <t>lhuynh@fredlaw.com</t>
  </si>
  <si>
    <t>Fredrikson &amp; Byron, P.A.</t>
  </si>
  <si>
    <t>Supreme Court</t>
  </si>
  <si>
    <t>No formal education, training or experience required.  On-the-job training will be provided.
Pre-employment criminal background check.
Must possess knife handling skills.  Must understand safety, sanitation and food handling procedures.</t>
  </si>
  <si>
    <t>CHARLEVOIX</t>
  </si>
  <si>
    <t>Northwest Lower Peninsula of Michigan nonmetropolitan area</t>
  </si>
  <si>
    <t>Workers will be paid no less than the wage listed.  Continued on Part F.a.4.</t>
  </si>
  <si>
    <t>P-400-23139-039618</t>
  </si>
  <si>
    <t>Workers have the option of employer-provided housing for $250 per month and a $300 security deposit, which will be returned if room is in good condition at the end of employment, and if elected, employer will deduct costs from worker’s paycheck.  Workers also have the option of securing their own lodging.
Employer will make all deductions from the worker’s paycheck required by law and any non-legally required payroll deductions permitted under the law and requested by Employee.</t>
  </si>
  <si>
    <t>jobs@boynemountain.com</t>
  </si>
  <si>
    <t>https://www.boynemountain.com/employment</t>
  </si>
  <si>
    <t>H-400-23226-261242</t>
  </si>
  <si>
    <t>Live-In Nanny</t>
  </si>
  <si>
    <t>Childcare Workers</t>
  </si>
  <si>
    <t>One-Time Occurrence</t>
  </si>
  <si>
    <t>WHOareWHOareWHOarewe?</t>
  </si>
  <si>
    <t>753 S. Logan Street</t>
  </si>
  <si>
    <t>Denver</t>
  </si>
  <si>
    <t>CO</t>
  </si>
  <si>
    <t>Wood</t>
  </si>
  <si>
    <t>Shane</t>
  </si>
  <si>
    <t>senior manager supply chain</t>
  </si>
  <si>
    <t>shanewood10@msn.com</t>
  </si>
  <si>
    <t xml:space="preserve">Spanish (native)
Valid Colorado Driver's License
High Proficiency Swimming
</t>
  </si>
  <si>
    <t>DENVER</t>
  </si>
  <si>
    <t>Denver-Aurora-Lakewood, CO</t>
  </si>
  <si>
    <t>P-400-23171-129601</t>
  </si>
  <si>
    <t xml:space="preserve">If applicable, based on job applicant:
room and board - cost of rent and meals. </t>
  </si>
  <si>
    <t>https://www.connectingcolorado.com/</t>
  </si>
  <si>
    <t>wood</t>
  </si>
  <si>
    <t>shane</t>
  </si>
  <si>
    <t>WHoareWHOareWHOarewe?</t>
  </si>
  <si>
    <t>stephanie.m.wood@stantec.com</t>
  </si>
  <si>
    <t>H-400-23229-273435</t>
  </si>
  <si>
    <t>Room Attendants</t>
  </si>
  <si>
    <t>Maids and Housekeeping Cleaners</t>
  </si>
  <si>
    <t>Stein Eriksen Lodge Management Corp</t>
  </si>
  <si>
    <t>Stein Collection</t>
  </si>
  <si>
    <t>7700 Stein Way</t>
  </si>
  <si>
    <t>PO BOX 3177</t>
  </si>
  <si>
    <t>Park City</t>
  </si>
  <si>
    <t>UT</t>
  </si>
  <si>
    <t>Adragna</t>
  </si>
  <si>
    <t>Jackie</t>
  </si>
  <si>
    <t>VP Human Resources</t>
  </si>
  <si>
    <t>PO Box 3177</t>
  </si>
  <si>
    <t>jadragna@steinlodge.com</t>
  </si>
  <si>
    <t>Lee</t>
  </si>
  <si>
    <t>Matthew</t>
  </si>
  <si>
    <t>1600 Falmouth Road</t>
  </si>
  <si>
    <t>Suite 35</t>
  </si>
  <si>
    <t>Centerville</t>
  </si>
  <si>
    <t>MA</t>
  </si>
  <si>
    <t>info@toccilee.com</t>
  </si>
  <si>
    <t>Tocci &amp; Lee, LLC</t>
  </si>
  <si>
    <t>Massachusetts Supreme Judicial Court</t>
  </si>
  <si>
    <t xml:space="preserve">Must be able to stand for extended periods of time, and able to lift and carry 50 lbs. See Job Duties F.a.4.
</t>
  </si>
  <si>
    <t>Stein Eriksen Lodge Management</t>
  </si>
  <si>
    <t>SUMMIT</t>
  </si>
  <si>
    <t>Eastern Utah nonmetropolitan area</t>
  </si>
  <si>
    <t>Please see job duties F.a.4</t>
  </si>
  <si>
    <t>P-400-23157-082486</t>
  </si>
  <si>
    <t xml:space="preserve"> No involuntary deductions will be made from worker’s pay. Optional employee shared housing is available at approximately $150-$250 per person per week, depending on location. Housing cost includes utilities/services. Optional housing requires a $600 deposit, of which $525 is refundable at the end of contract and $75 is non-refundable for cleaning fee after departure. Cost of housing and deposit payroll deducted if worker elects. The employer will make deductions from worker’s paycheck required by law. The employer may also make the following deductions: recovery of any loss to the employer due to the worker's damage (beyond normal wear and tear) or loss of equipment or uniform where it is shown that the worker is responsible, and any other reasonable deductions expressly authorized by the worker in writing. No deduction not required by law will be made that brings the worker’s hourly earnings below the FLSA Federal statutory minimum wage.</t>
  </si>
  <si>
    <t>recruiting@steinlodge.com</t>
  </si>
  <si>
    <t>www.steinlodge.com/careers</t>
  </si>
  <si>
    <t>H-400-23276-406464</t>
  </si>
  <si>
    <t>Amusement &amp; Recreation Attendant – Traveling Carnival</t>
  </si>
  <si>
    <t>Amusement and Recreation Attendants</t>
  </si>
  <si>
    <t>Seasonal</t>
  </si>
  <si>
    <t>M&amp;C Attractions, LLC</t>
  </si>
  <si>
    <t>1320 County Road  2018</t>
  </si>
  <si>
    <t>(Mail to: P.O. Box 2639, Glen Rose, TX 76043)</t>
  </si>
  <si>
    <t>Glen Rose</t>
  </si>
  <si>
    <t>Sims</t>
  </si>
  <si>
    <t>Meagan</t>
  </si>
  <si>
    <t xml:space="preserve">Management </t>
  </si>
  <si>
    <t>1320 County Road 2018</t>
  </si>
  <si>
    <t>mmsims89@gmail.com</t>
  </si>
  <si>
    <t>Agent</t>
  </si>
  <si>
    <t>Judkins</t>
  </si>
  <si>
    <t>James</t>
  </si>
  <si>
    <t>Kendrick</t>
  </si>
  <si>
    <t>806 Morgan Boulevard</t>
  </si>
  <si>
    <t>Suite J</t>
  </si>
  <si>
    <t>Harlingen</t>
  </si>
  <si>
    <t>Not applicable</t>
  </si>
  <si>
    <t>000</t>
  </si>
  <si>
    <t>cathy.jkjworkforce@yahoo.com</t>
  </si>
  <si>
    <t>JKJ Workforce Agency, Inc.</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</si>
  <si>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t>
  </si>
  <si>
    <t>3400 Burnett-Tandy Drive</t>
  </si>
  <si>
    <t>Fort Worth</t>
  </si>
  <si>
    <t>TARRANT</t>
  </si>
  <si>
    <t>Dallas-Fort Worth-Arlington, TX</t>
  </si>
  <si>
    <t>No overtime expected. Overtime, if any, calculated and paid as per applicable regulations.</t>
  </si>
  <si>
    <t>P-400-23194-188225</t>
  </si>
  <si>
    <t xml:space="preserve">Employer will make all deductions from the worker’s paycheck required by law.  In addition, the employer intends to make the following deductions from the worker’s paycheck which are not required by law:   NONE Optional mobile housing (valued at $125.00 per week) and local convenience travel (valued at $25.00 per week) are available at no cost to the worker.  </t>
  </si>
  <si>
    <t>H-400-23230-277628</t>
  </si>
  <si>
    <t>Line Cook/Prep Cook</t>
  </si>
  <si>
    <t>MVHF, LLC</t>
  </si>
  <si>
    <t>Margaritaville Hollywood Beach Resort</t>
  </si>
  <si>
    <t>1111 North Ocean Drive</t>
  </si>
  <si>
    <t>Hollywood</t>
  </si>
  <si>
    <t>Arevalo</t>
  </si>
  <si>
    <t>Alfonso</t>
  </si>
  <si>
    <t>aarevalo@mhbr.com</t>
  </si>
  <si>
    <t>Pabian</t>
  </si>
  <si>
    <t>Keith</t>
  </si>
  <si>
    <t>Andrew</t>
  </si>
  <si>
    <t>40 Speen Street</t>
  </si>
  <si>
    <t>4th Floor</t>
  </si>
  <si>
    <t>Framingham</t>
  </si>
  <si>
    <t>keith.pabian@pabianlaw.com</t>
  </si>
  <si>
    <t xml:space="preserve">Pabian Law, LLC </t>
  </si>
  <si>
    <t>Supreme Judicial Court</t>
  </si>
  <si>
    <t xml:space="preserve">The Petitioner will consider for employment any person who possesses at least six (6) months of culinary experience in a fine-dining or high-volume environment at a high-end restaurant, resort, or private club.  Applicant must hold "Servesafe" Certification. Not mandatory upon hire, but preferred, will help obtain.  Applicant must complete pre-employment drug screening.  
</t>
  </si>
  <si>
    <t xml:space="preserve">Hollywood </t>
  </si>
  <si>
    <t>BROWARD</t>
  </si>
  <si>
    <t>Wage: $19.00 per hour, paid bi-weekly. Please see job description for additional information.</t>
  </si>
  <si>
    <t>P-400-23181-159015</t>
  </si>
  <si>
    <t>Housing is offered and optional. Optional housing is offered on a first-come, first-serve basis. Cost of housing, if accepted, is $700.00 per month. If used, total cost of housing will be deducted from paycheck. A $350.00 refundable security deposit is required, to be deducted from the first paycheck. 
Additional, optional benefits may be offered to worker, for worker's sole benefit, including but not limited to Medical, Dental, Vision, 401K, STD, LTD, Life Insurance, Critical Illness, Accident Insurance, Hospital Indemnity, FSA, HSA, Legal Insurance, Automobile and Home Insurance, and Pet Insurance. If voluntarily elected by worker, employee costs/contributions for benefits will be deducted from paycheck. All health benefits will be effective on the 1st day of the month following from 60 days of employment.  After completing 90 days of employment, full-time employees will receive 3 days (24 hours) paid sick time.</t>
  </si>
  <si>
    <t>aargoitia@mhbr.com</t>
  </si>
  <si>
    <t>H-400-23215-235868</t>
  </si>
  <si>
    <t>Housekeeper</t>
  </si>
  <si>
    <t>Ocean Reef Club, Inc.</t>
  </si>
  <si>
    <t>35 Ocean Reef Drive</t>
  </si>
  <si>
    <t>Suite 200</t>
  </si>
  <si>
    <t>Key Largo</t>
  </si>
  <si>
    <t>Ciampa</t>
  </si>
  <si>
    <t>Laura</t>
  </si>
  <si>
    <t>Vice President of HR &amp; Training</t>
  </si>
  <si>
    <t>lciampa@oceanreef.com</t>
  </si>
  <si>
    <t xml:space="preserve">The Petitioner will consider for employment any person who possesses at least three (3) months of housekeeping experience in a high-end hotel, resort, or private club. Applicant must complete pre-employment background check and drug screening.
</t>
  </si>
  <si>
    <t>MONROE</t>
  </si>
  <si>
    <t>South Florida nonmetropolitan area</t>
  </si>
  <si>
    <t>Piece Rate</t>
  </si>
  <si>
    <t>Wage: Piece-rate position paid on a basis of rooms cleaned.  See job description.</t>
  </si>
  <si>
    <t>P-400-23124-993127</t>
  </si>
  <si>
    <t>Optional housing is offered on a first-come, first-serve basis for workers who are relocating to begin employment.  Cost of housing, if accepted, is $75-$150 per week, plus refundable security deposit of $300 ($50 initial deposit to hold room, subsequent balance is payroll deducted in $50 increments).  If used, total cost of housing will be deducted from paycheck.  Additional, optional benefits may be offered to worker, for worker’s sole benefit, including, but not limited to, meals, dry-cleaning, bus pass, and/or medical center access.  If voluntarily elected by worker, costs/contributions will be deducted from paycheck.</t>
  </si>
  <si>
    <t>H-400-23213-229379</t>
  </si>
  <si>
    <t>Field Worker</t>
  </si>
  <si>
    <t>Stonemasons</t>
  </si>
  <si>
    <t>D'LOERA CONSTRUCTION SERVICES LLC</t>
  </si>
  <si>
    <t>1015 SKYLARK HILL LN</t>
  </si>
  <si>
    <t>PFLUGERVILLE</t>
  </si>
  <si>
    <t>DE LOERA RUIZ</t>
  </si>
  <si>
    <t>FEDERICO</t>
  </si>
  <si>
    <t>MASONRY</t>
  </si>
  <si>
    <t>4315 S 1ST STREET</t>
  </si>
  <si>
    <t>STE L</t>
  </si>
  <si>
    <t>AUSTIN</t>
  </si>
  <si>
    <t>referrals@linkmelabor.com</t>
  </si>
  <si>
    <t>Special Requirements</t>
  </si>
  <si>
    <t>TRAVIS</t>
  </si>
  <si>
    <t>Austin-Round Rock, TX</t>
  </si>
  <si>
    <t>P-400-23158-087095</t>
  </si>
  <si>
    <t>dloera@linkmelabor.com</t>
  </si>
  <si>
    <t>H-400-23289-434635</t>
  </si>
  <si>
    <t>Amusement &amp; Recreation Attendant – Rides &amp; Food Concessions</t>
  </si>
  <si>
    <t>Greg's Crescent City Amusements, LLC</t>
  </si>
  <si>
    <t>423 NAPLES COURT BLDG</t>
  </si>
  <si>
    <t>[MAIL ADDRESS: 1527 GAUSE BLVD. 300 SLIDELL, LA 70458]</t>
  </si>
  <si>
    <t>SLIDELL</t>
  </si>
  <si>
    <t>LA</t>
  </si>
  <si>
    <t>Brooks</t>
  </si>
  <si>
    <t>Greg</t>
  </si>
  <si>
    <t>Member Manager</t>
  </si>
  <si>
    <t>crescentcitya@yahoo.com</t>
  </si>
  <si>
    <t>immigration@JKJWorkforce.com</t>
  </si>
  <si>
    <t xml:space="preserve">Other Special Skills or Requirements: Post-employment random drug testing and background checks may be required, at no cost to the worker. The job requires the applicant to be qualified, ready, willing, able, and available to perform during the entire employment at the designated worksites; and to follow workplace rules.
</t>
  </si>
  <si>
    <t>ST TAMMANY</t>
  </si>
  <si>
    <t>New Orleans-Metairie, LA</t>
  </si>
  <si>
    <t>Merit increases and/or bonuses may be awarded at employer discretion.</t>
  </si>
  <si>
    <t>P-400-23243-313888</t>
  </si>
  <si>
    <t xml:space="preserve">Employer will make all deductions from the worker’s paycheck required by law.  Optional housing (valued at $125.00 per week) and local convenience travel (valued at $25.00 per week) are available at no cost to the worker. </t>
  </si>
  <si>
    <t>H-400-23186-168808</t>
  </si>
  <si>
    <t>SERVERS</t>
  </si>
  <si>
    <t>Waiters and Waitresses</t>
  </si>
  <si>
    <t>Spring Run Golf Club</t>
  </si>
  <si>
    <t xml:space="preserve">9501 Spring Run Boulevard </t>
  </si>
  <si>
    <t>Estero</t>
  </si>
  <si>
    <t>ZIGLER</t>
  </si>
  <si>
    <t>BREANNA</t>
  </si>
  <si>
    <t>FOOD AND BEVERAGE MANAGER</t>
  </si>
  <si>
    <t>GISMONDI</t>
  </si>
  <si>
    <t>JOHN</t>
  </si>
  <si>
    <t>888 BALDWIN DRIVE</t>
  </si>
  <si>
    <t>WESTBURY</t>
  </si>
  <si>
    <t>NY</t>
  </si>
  <si>
    <t>USAMERICANS@AOL.COM</t>
  </si>
  <si>
    <t>US AMERICANS INC</t>
  </si>
  <si>
    <t>9501 Spring Run Boulevard</t>
  </si>
  <si>
    <t>LEE</t>
  </si>
  <si>
    <t>Cape Coral-Fort Myers, FL</t>
  </si>
  <si>
    <t>P-400-23082-873453</t>
  </si>
  <si>
    <t>HOUSING OPTIONAL AND AVAILABLE FOR $28/DAY WITH A $250 REFUNDABLE DEPOSIT</t>
  </si>
  <si>
    <t>bderiso@springrun.com</t>
  </si>
  <si>
    <t>H-400-23242-307157</t>
  </si>
  <si>
    <t>Withdrawn</t>
  </si>
  <si>
    <t>General Laborer - Roofing</t>
  </si>
  <si>
    <t>Helpers--Roofers</t>
  </si>
  <si>
    <t xml:space="preserve">The Hamlin Companies </t>
  </si>
  <si>
    <t>Hamlin Roofing</t>
  </si>
  <si>
    <t>1411 West Garner Rd</t>
  </si>
  <si>
    <t>Garner</t>
  </si>
  <si>
    <t>NC</t>
  </si>
  <si>
    <t>Hamlin</t>
  </si>
  <si>
    <t>Katherine Anne</t>
  </si>
  <si>
    <t>Vice President</t>
  </si>
  <si>
    <t>kahamlin@hamlincos.com</t>
  </si>
  <si>
    <t>Williams</t>
  </si>
  <si>
    <t>Trent</t>
  </si>
  <si>
    <t>Wesley</t>
  </si>
  <si>
    <t>401 S Mt Juliet Rd</t>
  </si>
  <si>
    <t>Ste 235-136</t>
  </si>
  <si>
    <t>Mt Juliet</t>
  </si>
  <si>
    <t>TN</t>
  </si>
  <si>
    <t>Trent@Trentwilliamslaw.com</t>
  </si>
  <si>
    <t>Williams Law PLLC</t>
  </si>
  <si>
    <t>Supreme Court of Tennessee</t>
  </si>
  <si>
    <t xml:space="preserve">Laborers must not have a fear of heights that hinders their ability to perform the duties of the job. 
</t>
  </si>
  <si>
    <t>WAKE</t>
  </si>
  <si>
    <t>Raleigh, NC</t>
  </si>
  <si>
    <t>P-400-23200-200199</t>
  </si>
  <si>
    <t xml:space="preserve">Employer intends to only deduct what is required by law. </t>
  </si>
  <si>
    <t>https://www.hamlincos.com</t>
  </si>
  <si>
    <t>H-400-23185-165570</t>
  </si>
  <si>
    <t>Roofer</t>
  </si>
  <si>
    <t>Roofers</t>
  </si>
  <si>
    <t>R Q Construction LLC</t>
  </si>
  <si>
    <t>1620 Faraday Avenue</t>
  </si>
  <si>
    <t>Carlsbad</t>
  </si>
  <si>
    <t>CA</t>
  </si>
  <si>
    <t>Wokas</t>
  </si>
  <si>
    <t>Kathryn</t>
  </si>
  <si>
    <t>Human Resources Manager</t>
  </si>
  <si>
    <t>kwokas@rqconstruction.com</t>
  </si>
  <si>
    <t>Chesnut</t>
  </si>
  <si>
    <t>Gunther</t>
  </si>
  <si>
    <t>Chappe</t>
  </si>
  <si>
    <t>360 Post Street</t>
  </si>
  <si>
    <t>Suite 800</t>
  </si>
  <si>
    <t>San Francisco</t>
  </si>
  <si>
    <t>gche@vblaw.com</t>
  </si>
  <si>
    <t>Van Der Hout LLP</t>
  </si>
  <si>
    <t>PR</t>
  </si>
  <si>
    <t xml:space="preserve">	Post-employment drug tests required after incidents or on reasonable suspicion paid by employer. Background check required.
	Must be capable of performing strenuous activity relative to tear-off, carrying, and disposing of roofing material.
</t>
  </si>
  <si>
    <t>USCG Base Detachment Borinquen</t>
  </si>
  <si>
    <t>Aguadilla</t>
  </si>
  <si>
    <t>AGUADILLA</t>
  </si>
  <si>
    <t>Aguadilla-Isabela, PR</t>
  </si>
  <si>
    <t>P-400-23093-900113</t>
  </si>
  <si>
    <t>https://www.rqconstruction.applicantpro.com/job</t>
  </si>
  <si>
    <t>Perez</t>
  </si>
  <si>
    <t>Noemi</t>
  </si>
  <si>
    <t>C</t>
  </si>
  <si>
    <t>nper@vblaw.com</t>
  </si>
  <si>
    <t>H-400-23265-371199</t>
  </si>
  <si>
    <t>SNOW REMOVAL LABORER</t>
  </si>
  <si>
    <t>Landscaping and Groundskeeping Workers</t>
  </si>
  <si>
    <t>MJC LABOR SOLUTIONS LLC</t>
  </si>
  <si>
    <t xml:space="preserve">1720 S. STATE ROAD </t>
  </si>
  <si>
    <t>REAR LOT # 201</t>
  </si>
  <si>
    <t>UPPER DARBY</t>
  </si>
  <si>
    <t>PA</t>
  </si>
  <si>
    <t>HEMPHILL</t>
  </si>
  <si>
    <t>CARL</t>
  </si>
  <si>
    <t>ALEXANDER</t>
  </si>
  <si>
    <t>PRESIDENT</t>
  </si>
  <si>
    <t>1720 SOUTH STATE ROAD</t>
  </si>
  <si>
    <t>carlhemphillmjc@yahoo.com</t>
  </si>
  <si>
    <t xml:space="preserve">MUST VERIFY PRIOR EMPLOYMENT. EMPLOYER PAID CRIMINAL BACKGROUND AND DRUG TEST PRIOR TO EMPLOYMENT. 
</t>
  </si>
  <si>
    <t>DELAWARE</t>
  </si>
  <si>
    <t>Philadelphia-Camden-Wilmington, PA-NJ-DE-MD</t>
  </si>
  <si>
    <t>Merit pay raises may be available at the employer’s discretion</t>
  </si>
  <si>
    <t>P-400-23216-238946</t>
  </si>
  <si>
    <t>Advances and/or loans made to workers, if any, may be repaid by authorized payroll deductions. Housing available, if used rent to be deducted from paycheck $300.00 monthly. Truck rental available from home to jobsite, if used rental to be deducted $45.00/week from paycheck.</t>
  </si>
  <si>
    <t xml:space="preserve"> https://www.pacareerlink.pa.gov</t>
  </si>
  <si>
    <t>H-400-23215-234864</t>
  </si>
  <si>
    <t>HOUSEKEEPER</t>
  </si>
  <si>
    <t>CHINLE DEVELOPMENT INC</t>
  </si>
  <si>
    <t>OPAL SANDS RESORT</t>
  </si>
  <si>
    <t>430 SOUTH GULFVIEW BLVD</t>
  </si>
  <si>
    <t>CLEARWATER BEACH</t>
  </si>
  <si>
    <t>PAAR</t>
  </si>
  <si>
    <t>CARINE</t>
  </si>
  <si>
    <t>HUMAN RESOURCES</t>
  </si>
  <si>
    <t>carine.paar@opalsands.com</t>
  </si>
  <si>
    <t>SEHEULT</t>
  </si>
  <si>
    <t>MALCOLM</t>
  </si>
  <si>
    <t>7601 EAST TREASURE DR</t>
  </si>
  <si>
    <t>Ph220</t>
  </si>
  <si>
    <t>N.BAY VILLAGE</t>
  </si>
  <si>
    <t>ges-america@outlook.com</t>
  </si>
  <si>
    <t>GLOBAL EMPLOYMENT SERVICES</t>
  </si>
  <si>
    <t>Must be able to work weekends and holidays.</t>
  </si>
  <si>
    <t>PINELLAS</t>
  </si>
  <si>
    <t>Tampa-St. Petersburg-Clearwater, FL</t>
  </si>
  <si>
    <t>P-400-23137-029714</t>
  </si>
  <si>
    <t xml:space="preserve">•	Deductions required by law will be payroll deducted. 
•	Employee housing is not provided however optional 3rd party housing may be available at $150/wk-$200/wk depending on location and may be voluntarily payroll deducted biweekly. Housing deposits and/or a $150-$200 nonrefundable admin/cleaning fee may be required if you choose the optional housing option. 
</t>
  </si>
  <si>
    <t>http://www.op-careers.com</t>
  </si>
  <si>
    <t>H-400-23184-162520</t>
  </si>
  <si>
    <t>LOGGING EQUIPMENT OPERATOR</t>
  </si>
  <si>
    <t>Logging Equipment Operators</t>
  </si>
  <si>
    <t>MILLER TIMBER SERVICES, INC</t>
  </si>
  <si>
    <t>NA</t>
  </si>
  <si>
    <t>24745 ALSEA HWY</t>
  </si>
  <si>
    <t>MAILING:  PO BOX 638</t>
  </si>
  <si>
    <t>PHILOMATH</t>
  </si>
  <si>
    <t>OR</t>
  </si>
  <si>
    <t>MILLER</t>
  </si>
  <si>
    <t>EDWIN</t>
  </si>
  <si>
    <t>OWNER/PRESIDENT</t>
  </si>
  <si>
    <t>MAILING: PO BOX 638</t>
  </si>
  <si>
    <t>LEE@MILLERTIMBER.COM</t>
  </si>
  <si>
    <t>Hatton</t>
  </si>
  <si>
    <t>Ryan</t>
  </si>
  <si>
    <t>Jay</t>
  </si>
  <si>
    <t>441 Bucher Ave.</t>
  </si>
  <si>
    <t>Saint Paul</t>
  </si>
  <si>
    <t>R.HATTON@AFFIRMLEGALSERVICES.COM</t>
  </si>
  <si>
    <t>Affirm Legal Services, PLLC</t>
  </si>
  <si>
    <t xml:space="preserve">HAVE TAKEN BASIS CLASSES IN FORESTRY AND EQUIPMENT OPEREATOR, NO SPECIFIC DEGREE OR CERTIFICATION REQUIRED.  ATTEND A ONE (1) MONTH TRAINING CLASS GIVEN BY MILLER TIMBER SERVICES.  THE TRAINING CONDUCTED BY THE EMPLOYER WILL CONSIST OF THE FOLLOWING AREAS:
IDENTIFY CUT-TO-LENGTH MACHINE COMPONENTS AND TERMINOLOGY	
VERIFY ZERO ENERGY STATE	
CONDUCT CIRCLE CHECK	
PLAN AND ORGANIZE CUT PATTERN	
OBSERVE CUT BOUNDARIES	
VERIFY TREE SPECIES	
RECOGNIZE GROUND CONDITIONS	
PREPARE MACHINE FOR TRAVEL	
OBSERVE DANGER ZONE	
OBSERVE MACHINE LIMITATIONS	
FELL TREES	
DELIMB TREES	
BUCK TREES	
SORT AND POSITION PRODUCT	
IDENTIFY TREE DEFECTS	
CONFIRM LOG LENGTH	
SHUT DOWN AND IMMOBILIZE CUT-TO-LENGTH MACHINE	
REFUEL CUT-TO-LENGTH MACHINE	
PERFORM MINOR MAINTENANCE AND ADJUSTMENTS	
</t>
  </si>
  <si>
    <t>BENTON</t>
  </si>
  <si>
    <t>Corvallis, OR</t>
  </si>
  <si>
    <t>Wage rate depends on which county the work is performed</t>
  </si>
  <si>
    <t>P-400-23079-860786</t>
  </si>
  <si>
    <t>The company will make all deductions from the worker's paycheck required by law. The company will assist the employee in locating housing, which is paid for by the employee, if the employee has to relocate to the Benton county area. When required, hotel accommodations are provided by the company at no cost to the employee if work is conducted out of the Benton county area.</t>
  </si>
  <si>
    <t>kathy@millertimber.com</t>
  </si>
  <si>
    <t>H-400-23234-285237</t>
  </si>
  <si>
    <t>Dishwasher/Steward</t>
  </si>
  <si>
    <t>Dishwashers</t>
  </si>
  <si>
    <t>Mount Snow Limited</t>
  </si>
  <si>
    <t>Mount Snow Resort</t>
  </si>
  <si>
    <t>89 Grand Summit Way</t>
  </si>
  <si>
    <t>West Dover</t>
  </si>
  <si>
    <t>VT</t>
  </si>
  <si>
    <t>Nowacki</t>
  </si>
  <si>
    <t>Matt</t>
  </si>
  <si>
    <t xml:space="preserve">International Programs Manager - Talent Acquisition </t>
  </si>
  <si>
    <t>390 Interlocken Crescent</t>
  </si>
  <si>
    <t>Broomfield</t>
  </si>
  <si>
    <t>mnowacki@vailresorts.com</t>
  </si>
  <si>
    <t>Blocker</t>
  </si>
  <si>
    <t>Chad</t>
  </si>
  <si>
    <t>C.</t>
  </si>
  <si>
    <t>444 South Flower Street</t>
  </si>
  <si>
    <t>Suite 500</t>
  </si>
  <si>
    <t>Los Angeles</t>
  </si>
  <si>
    <t>cblocker@fragomen.com</t>
  </si>
  <si>
    <t>Fragomen, Del Rey, Bernsen &amp; Loewy, LLP</t>
  </si>
  <si>
    <t xml:space="preserve">Must be able to stand for extended periods of time.  Must be able to lift up to 40 pounds.
</t>
  </si>
  <si>
    <t>WINDHAM</t>
  </si>
  <si>
    <t>Southern Vermont nonmetropolitan area</t>
  </si>
  <si>
    <t>CONTINUED UNDER ITEM F.a.4</t>
  </si>
  <si>
    <t>P-400-23114-959150</t>
  </si>
  <si>
    <t xml:space="preserve">Optional subsidized employee housing is available but limited. Biweekly cost is $260.00 to $285.00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</si>
  <si>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Song</t>
  </si>
  <si>
    <t>Deok</t>
  </si>
  <si>
    <t>dsong@fragomen.com</t>
  </si>
  <si>
    <t>H-400-23228-269806</t>
  </si>
  <si>
    <t>Pipefitters</t>
  </si>
  <si>
    <t>Plumbers, Pipefitters, and Steamfitters</t>
  </si>
  <si>
    <t>JOONGWON AMERICA INC</t>
  </si>
  <si>
    <t>4115 CENTENNIAL BUSINESS PARK, SUITE 100, MALLORY LANE</t>
  </si>
  <si>
    <t>FRANKLIN</t>
  </si>
  <si>
    <t>JUNGKON</t>
  </si>
  <si>
    <t>CFO</t>
  </si>
  <si>
    <t>jk.lee@joongwonengineering.com</t>
  </si>
  <si>
    <t>CHOI</t>
  </si>
  <si>
    <t>JEONGGU</t>
  </si>
  <si>
    <t>314 Sagebrush Dr</t>
  </si>
  <si>
    <t>Clayton</t>
  </si>
  <si>
    <t>OH</t>
  </si>
  <si>
    <t>info@choislawfirm.com</t>
  </si>
  <si>
    <t>C &amp; J Law Group LLC</t>
  </si>
  <si>
    <t>Supreme Court Appellate Division</t>
  </si>
  <si>
    <t xml:space="preserve">The applicant should have at least one year work experience of fitting and installing industrial pipes enduring high temperature (300 or 572) and high pressure (300 psi).
</t>
  </si>
  <si>
    <t>US Highway 411</t>
  </si>
  <si>
    <t>Cartersville</t>
  </si>
  <si>
    <t>GA</t>
  </si>
  <si>
    <t>BARTOW</t>
  </si>
  <si>
    <t>Atlanta-Sandy Springs-Roswell, GA</t>
  </si>
  <si>
    <t>P-400-23145-052628</t>
  </si>
  <si>
    <t>H-400-23276-406477</t>
  </si>
  <si>
    <t>Kastl Amusements</t>
  </si>
  <si>
    <t>2820 N. Pinal Ave. Ste 12 #305</t>
  </si>
  <si>
    <t>Casa Grande</t>
  </si>
  <si>
    <t>AZ</t>
  </si>
  <si>
    <t>Kastl</t>
  </si>
  <si>
    <t>Frank</t>
  </si>
  <si>
    <t>Owner</t>
  </si>
  <si>
    <t>kastlamusements@yahoo.com</t>
  </si>
  <si>
    <t>2820 N. Pinal Ave., Ste. 12 #305</t>
  </si>
  <si>
    <t>PINAL</t>
  </si>
  <si>
    <t>Phoenix-Mesa-Scottsdale, AZ</t>
  </si>
  <si>
    <t>P-400-23212-225761</t>
  </si>
  <si>
    <t xml:space="preserve">Employer will make all deductions from the worker’s paycheck required by law.  In addition, the employer intends to make the following deductions from the worker’s paycheck which are not required by law:   NONE Optional mobile housing (valued at $125.00 per week) and local convenience travel (valued at $15.00 per week) are available at no cost to the worker.  </t>
  </si>
  <si>
    <t>H-400-23212-225847</t>
  </si>
  <si>
    <t>Construction Laborer</t>
  </si>
  <si>
    <t>Construction Laborers</t>
  </si>
  <si>
    <t>Pinnacle Construction and Development</t>
  </si>
  <si>
    <t>3060 Peachtree Rd. NW Suite 1080</t>
  </si>
  <si>
    <t>Atlanta</t>
  </si>
  <si>
    <t>Cable</t>
  </si>
  <si>
    <t>Brandon</t>
  </si>
  <si>
    <t>Foreman</t>
  </si>
  <si>
    <t>Strong</t>
  </si>
  <si>
    <t>Tristan</t>
  </si>
  <si>
    <t>400 Preston Ave, Suite 300</t>
  </si>
  <si>
    <t>Charlottesville</t>
  </si>
  <si>
    <t>VA</t>
  </si>
  <si>
    <t>clarke1165@maslabor.com</t>
  </si>
  <si>
    <t>MAS Labor H2B, LLC</t>
  </si>
  <si>
    <t>WY</t>
  </si>
  <si>
    <t xml:space="preserve">Must lift/carry 50 lbs., when necessary.  Saturday and Sunday work required, when necessary. Employer may offer more than the stated work hours depending on weather, business needs, and other conditions. Extreme heat, cold, rain, or drought may affect exact working hours.
</t>
  </si>
  <si>
    <t>14195 Weiskopf Way</t>
  </si>
  <si>
    <t>Jackson</t>
  </si>
  <si>
    <t>TETON</t>
  </si>
  <si>
    <t>Western Wyoming nonmetropolitan area</t>
  </si>
  <si>
    <t>Raises and/or bonuses may be offered based on individual factors including work performance, skill, and tenure.</t>
  </si>
  <si>
    <t>P-400-23151-064515</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</si>
  <si>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offers free daily transportation to/from worksite from designated pick-up location. Use of transportation is voluntary. Employer provides incidental transportation between worksites as necessary.</t>
  </si>
  <si>
    <t>bdc5057@gmail.com</t>
  </si>
  <si>
    <t>www.wyomingatwork.com/</t>
  </si>
  <si>
    <t>Clarke</t>
  </si>
  <si>
    <t>Kelsey</t>
  </si>
  <si>
    <t>H-400-23201-202749</t>
  </si>
  <si>
    <t>Manager/Innkeeper</t>
  </si>
  <si>
    <t>Property, Real Estate, and Community Association Managers</t>
  </si>
  <si>
    <t>Santana 2 LLC</t>
  </si>
  <si>
    <t>114 W 7th Street</t>
  </si>
  <si>
    <t>Ste 1400</t>
  </si>
  <si>
    <t>Austin</t>
  </si>
  <si>
    <t>Wahl</t>
  </si>
  <si>
    <t>Willyn</t>
  </si>
  <si>
    <t>3800 N Lamar Boulevard</t>
  </si>
  <si>
    <t>wwahl@lbjadvisors.com</t>
  </si>
  <si>
    <t>Mitchell</t>
  </si>
  <si>
    <t>Dorothee</t>
  </si>
  <si>
    <t>Brigitte</t>
  </si>
  <si>
    <t>912 S Capital of Texas Hwy</t>
  </si>
  <si>
    <t>Suite 450</t>
  </si>
  <si>
    <t>dmitchell@fosterglobal.com</t>
  </si>
  <si>
    <t>Foster LLP</t>
  </si>
  <si>
    <t xml:space="preserve">1 year of experience with maintenance and repair of electrical, plumbing, irrigation, and mechanical systems and the necessary skills to conduct the maintenance and repairs and with the operation of light trucks, trailers, mowing and trimming equipment, clearing equipment, road working equipment and other equipment.  Must be able to work in a standing, walking and stooping position and lift and carry 50 lbs 75 yards.  
</t>
  </si>
  <si>
    <t xml:space="preserve">3608 RR2233 </t>
  </si>
  <si>
    <t>Sunrise Beach</t>
  </si>
  <si>
    <t>LLANO</t>
  </si>
  <si>
    <t>Hill Country Region of Texas nonmetropolitan area</t>
  </si>
  <si>
    <t>P-400-23151-065549</t>
  </si>
  <si>
    <t>Standard deductions as required by law</t>
  </si>
  <si>
    <t>H-400-23241-303781</t>
  </si>
  <si>
    <t>Landscaping &amp; Groundskeeping Workers</t>
  </si>
  <si>
    <t>GREEN-TEE GOLF, INC.</t>
  </si>
  <si>
    <t>2502 Reynolds Industrial Road</t>
  </si>
  <si>
    <t>Augusta</t>
  </si>
  <si>
    <t>Sanders</t>
  </si>
  <si>
    <t>E</t>
  </si>
  <si>
    <t>President</t>
  </si>
  <si>
    <t>greenteegolfinc@aol.com</t>
  </si>
  <si>
    <t>M</t>
  </si>
  <si>
    <t>407 College Street</t>
  </si>
  <si>
    <t>PO Box 27</t>
  </si>
  <si>
    <t>Clinton</t>
  </si>
  <si>
    <t>andy@andrewjacksonlaw.com</t>
  </si>
  <si>
    <t>Andrew Jackson Law P.C.</t>
  </si>
  <si>
    <t xml:space="preserve">ALL WORK IS PERFORMED OUTDOORS DURING ALL TYPES OF WEATHER CONDITIONS.
WORKERS MAY BE REQUESTED TO SUBMIT TO RANDOM DRUG AND ALCOHOL TESTS AT NO COST TO THE WORKER.
FAILURE TO COMPLY WITH THE REQUEST OR TESTING POSITIVE MAY RESULT IN IMMEDIATE TERMINATION.
NEGATIVE RESULT MAY BE REQUIRED POST-HIRE AND BEFORE COMMENCING WORK.
MUST BE ABLE TO LIFT AND CARRY 75 LBS.
MUST BE ABLE TO LIFT 75 LBS. TO SHOULDER HEIGHT.
REQUIRES MINIMUM 3 MONTHS VERIFIABLE WORK EXPERIENCE AS A LANDSCAPING &amp; GROUNDSKEEPING WORKER I.
</t>
  </si>
  <si>
    <t>34 Dobbins Rd</t>
  </si>
  <si>
    <t>Banner Elk</t>
  </si>
  <si>
    <t>AVERY</t>
  </si>
  <si>
    <t>Mountain North Carolina nonmetropolitan area</t>
  </si>
  <si>
    <t>Raises, bonuses, and/or incentive pay may be offered at the employer’s sole discretion</t>
  </si>
  <si>
    <t>P-400-23130-009544</t>
  </si>
  <si>
    <t>FICA, Medicare and income taxes as required by law.  The employer may make authorized deductions required by law; made under a court order; that are for the reasonable cost or fair value of board, lodging, and facilities furnished that primarily benefit the employee (if applicable) (board, lodging or other facilities are optional to the workers); that are amounts paid to third parties authorized by the employee or a collective bargaining agreement; repayment of cash advances or loans; repayment of overpayment of wages to the worker; payment for articles which the worker has voluntarily purchased from the employer; recovery of any loss to the employer due to the worker’s damage, beyond normal wear and tear, or loss of equipment where it is shown that the worker is responsible.</t>
  </si>
  <si>
    <t>https://seasonaljobs.dol.gov/</t>
  </si>
  <si>
    <t>H-400-23210-224759</t>
  </si>
  <si>
    <t>EXECUTIVE VICE PRESIDENTE</t>
  </si>
  <si>
    <t>Construction Managers</t>
  </si>
  <si>
    <t>ZARATE HOME DESIGN</t>
  </si>
  <si>
    <t>1992 DATE PALM DRIVE MERCEDES</t>
  </si>
  <si>
    <t>TEXAS</t>
  </si>
  <si>
    <t xml:space="preserve">zarate </t>
  </si>
  <si>
    <t>OSCAR</t>
  </si>
  <si>
    <t>OWNER</t>
  </si>
  <si>
    <t>1992 date palm drive mercedes</t>
  </si>
  <si>
    <t>texas</t>
  </si>
  <si>
    <t>oscar@zaratehomedesigns.com</t>
  </si>
  <si>
    <t xml:space="preserve">  Considering the relative costs and benefits of potential actions to choose the most appropriate one.
Related occupations
Complex Problem Solving  Identifying complex problems and reviewing related information to develop and evaluate options and implement solutions.
Related occupations
Critical Thinking  Using logic and reasoning to identify the strengths and weaknesses of alternative solutions, conclusions, or approaches to problems.
Related occupations
Speaking  Talking to others to convey information effectively.
Related occupations
Coordination  Adjusting actions in relation to others' actions.
Related occupations
Management of Personnel Resources  Motivating, developing, and directing people as they work, identifying the best people for the job.
Related occupations
Social Perceptiveness  Being aware of others' reactions and understanding why they react as they do.
Related occupations
Active Listening  Giving full attention to what other people are saying, taking time to understand the points being made, asking questions as appropriate, and not interrupting at inappropriate times.
Related occupations
Management of Financial Resources  Determining how money will be spent to get the work done, and accounting for these expenditures.
Related occupations
Monitoring  Monitoring/Assessing performance of yourself, other individuals, or organizations to make improvements or take corrective action.
Related occupations
Negotiation  Bringing others together and trying to reconcile differences.
Related occupations
Persuasion  Persuading others to change their minds or behavior.
Related occupations
Reading Comprehension  Understanding written sentences and paragraphs in work-related documents.
Related occupations
Systems Analysis  Determining how a system should work and how changes in conditions, operations, and the environment will affect outcomes.
Related occupations
Systems Evaluation  Identifying measures or indicators of system performance and the actions needed to improve or correct performance, relative to the goals of the system.
Related occupations
Active Learning  Understanding the implications of new information for both current and future problem-solving and decision-making.
Related occupations
Time Management  Managing one's own time and the time of others.
Related occupations
Writing  Communicating effectively in writing as appropriate for the needs of the audience.
Related occupations
Management of Material Resources  Obtaining and seeing to the appropriate use of equipment, facilities, and materials needed to do certain work.
Related occupations
Mathematics  Using mathematics to solve problems.
Related occupations
Instructing  Teaching others how to do something.
Related occupations
Learning Strategies  Selecting and using training/instructional methods and procedures appropriate for the situation when learning or teaching new things.
Related occupations
Operations Analysis  Analyzing needs and product requirements to create a design.
Related occupations
Service Orientation  Actively looking for ways to help people.
Related occupations
back to top
</t>
  </si>
  <si>
    <t>PARMER</t>
  </si>
  <si>
    <t>West Texas Region of Texas nonmetropolitan area</t>
  </si>
  <si>
    <t>P-400-23102-925364</t>
  </si>
  <si>
    <t>ninguna</t>
  </si>
  <si>
    <t>oscar@zaratehomedesingns.com</t>
  </si>
  <si>
    <t>H-400-23279-414449</t>
  </si>
  <si>
    <t>Tree Trimmers / Climbers</t>
  </si>
  <si>
    <t>Tree Trimmers and Pruners</t>
  </si>
  <si>
    <t>ABC Professional Tree Services, Inc - Metairie</t>
  </si>
  <si>
    <t>201 Flint Ridge Rd., Ste 201</t>
  </si>
  <si>
    <t>Webster</t>
  </si>
  <si>
    <t>Cerda</t>
  </si>
  <si>
    <t>Angie</t>
  </si>
  <si>
    <t>acerda@abctree.com</t>
  </si>
  <si>
    <t>Corea</t>
  </si>
  <si>
    <t>Kirsten</t>
  </si>
  <si>
    <t>corea1131@maslabor.com</t>
  </si>
  <si>
    <t xml:space="preserve">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Incidental limited travel and double time pay may be available under certain emergent conditions and holidays. Employer may offer more than the stated work hours depending on weather, business needs, and other conditions. Extreme heat, cold, rain, or drought may affect exact working hours.
</t>
  </si>
  <si>
    <t>5098 Pontchartrain Rd,</t>
  </si>
  <si>
    <t>Jefferson</t>
  </si>
  <si>
    <t>ORLEANS</t>
  </si>
  <si>
    <t>P-400-23183-162068</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</si>
  <si>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may deduct retirement/savings plan contributions and/or health insurance premiums for workers voluntarily participating in plan(s). No daily transportation to/from workers' home and primary worksite. Employer provides incidental transportation between multiple worksites as necessary. Such transportation complies with all applicable Federal, State, and local laws/regulations.</t>
  </si>
  <si>
    <t>H2Bprogram@abctree.com</t>
  </si>
  <si>
    <t>louisianaworks.net/hire/vosnet/Default.aspx</t>
  </si>
  <si>
    <t>H-400-23284-425571</t>
  </si>
  <si>
    <t>Amusement &amp; Recreation Attendant – Food Concessions</t>
  </si>
  <si>
    <t>Pugh's Concessions, Inc.</t>
  </si>
  <si>
    <t>1645 SW MAPP RD</t>
  </si>
  <si>
    <t>PALM CITY</t>
  </si>
  <si>
    <t>Pugh</t>
  </si>
  <si>
    <t>Beau</t>
  </si>
  <si>
    <t>beaupugh@gmail.com</t>
  </si>
  <si>
    <t>Not Applicable</t>
  </si>
  <si>
    <t>1645 SW Mapp Rd.</t>
  </si>
  <si>
    <t>Palm City</t>
  </si>
  <si>
    <t>MARTIN</t>
  </si>
  <si>
    <t>Port St. Lucie, FL</t>
  </si>
  <si>
    <t>P-400-23248-321727</t>
  </si>
  <si>
    <t xml:space="preserve">The employer will make all deductions from the worker’s paycheck required by law. Optional housing (valued at $125.00 per week) and local convenience travel (valued at $25.00 per week) are available at no cost to the worker. </t>
  </si>
  <si>
    <t>H-400-23223-259710</t>
  </si>
  <si>
    <t>Laborer</t>
  </si>
  <si>
    <t>Light &amp; Foliage Supply LLC</t>
  </si>
  <si>
    <t>4220 Emory Rd</t>
  </si>
  <si>
    <t>El Paso</t>
  </si>
  <si>
    <t>Cano</t>
  </si>
  <si>
    <t>Kimberly</t>
  </si>
  <si>
    <t>servicemanagement@lightandfoliage.com</t>
  </si>
  <si>
    <t>Kershaw</t>
  </si>
  <si>
    <t>Robert</t>
  </si>
  <si>
    <t>Davidson</t>
  </si>
  <si>
    <t>3355 Bee Caves Rd</t>
  </si>
  <si>
    <t>Robert.Kershaw@kershawlaw.com</t>
  </si>
  <si>
    <t>The Kershaw Law Firm, PC</t>
  </si>
  <si>
    <t>Supreme Court of Texas</t>
  </si>
  <si>
    <t>EL PASO</t>
  </si>
  <si>
    <t>El Paso, TX</t>
  </si>
  <si>
    <t xml:space="preserve">1 hr. for lunch. Some O.T. may be available but not guaranteed. </t>
  </si>
  <si>
    <t>P-400-23184-164806</t>
  </si>
  <si>
    <t>H-400-23213-229049</t>
  </si>
  <si>
    <t>Ski Instructor, Level III</t>
  </si>
  <si>
    <t>Self-Enrichment Teachers</t>
  </si>
  <si>
    <t>Heavenly Valley, Limited Partnership</t>
  </si>
  <si>
    <t>Heavenly Mountain Resort</t>
  </si>
  <si>
    <t>3860 Saddle Road</t>
  </si>
  <si>
    <t>South Lake Tahoe</t>
  </si>
  <si>
    <t>International Programs Manager - Talent Acquisition</t>
  </si>
  <si>
    <t xml:space="preserve">Must have current Level III certification with Professional Ski Instructors of America (PSIA), International Ski Instructors Association (ISIA), or equivalent organization.
Must be able to work the full period of employment.
</t>
  </si>
  <si>
    <t>EL DORADO</t>
  </si>
  <si>
    <t>Sacramento--Roseville--Arden-Arcade, CA</t>
  </si>
  <si>
    <t>Continued under item F.a.4</t>
  </si>
  <si>
    <t>P-400-23115-964517</t>
  </si>
  <si>
    <t xml:space="preserve">Optional subsidized employee housing is available but very limited.  Space may not be available for all employees.  Biweekly cost is $215.00 to $300.00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</si>
  <si>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Y.</t>
  </si>
  <si>
    <t>Fragomen, Del Rey, Bernsen &amp; Loewy,LLP</t>
  </si>
  <si>
    <t>H-400-23184-164672</t>
  </si>
  <si>
    <t>Dump Truck Driver</t>
  </si>
  <si>
    <t>Heavy and Tractor-Trailer Truck Drivers</t>
  </si>
  <si>
    <t>G&amp;R Trucking, LLC</t>
  </si>
  <si>
    <t>2611 Burton Avenue</t>
  </si>
  <si>
    <t>Waterloo</t>
  </si>
  <si>
    <t>IA</t>
  </si>
  <si>
    <t>Rodriguez de Galvez</t>
  </si>
  <si>
    <t>Roxanne</t>
  </si>
  <si>
    <t>Member</t>
  </si>
  <si>
    <t>grtruckingwaterlooiowa@gmail.com</t>
  </si>
  <si>
    <t>Farmer</t>
  </si>
  <si>
    <t>Kyle</t>
  </si>
  <si>
    <t>14949 FM 1826</t>
  </si>
  <si>
    <t>visas@farmerlawpc.com</t>
  </si>
  <si>
    <t>Farmer Law PC</t>
  </si>
  <si>
    <t>Texas Supreme Court</t>
  </si>
  <si>
    <t xml:space="preserve">Must have class B commercial driver's license or its foreign/international equivalent. Must have one year of CDL driving experience with dump trucks. Must follow all traffic laws and regulations while driving the truck, as well as wear appropriate safety gear when required. Must pass employer- paid pre-employment and random drug testing. Must be able to lift to fifty (50) lbs. throughout the day. Training will be provided on the job.
</t>
  </si>
  <si>
    <t>BLACK HAWK</t>
  </si>
  <si>
    <t>Waterloo-Cedar Falls, IA</t>
  </si>
  <si>
    <t>We are removing Benton, Linn, Jones, and Johnson counties that were initially included on form ETA-9141.</t>
  </si>
  <si>
    <t>P-400-23110-953221</t>
  </si>
  <si>
    <t xml:space="preserve">Employer will provide housing at a cost of $125 per week payroll deduction. This housing is optional and at the discretion of the employee. Employer will make any deductions required by law.
</t>
  </si>
  <si>
    <t>H-400-23215-234870</t>
  </si>
  <si>
    <t>Chinle Development Inc</t>
  </si>
  <si>
    <t>Opal Grand</t>
  </si>
  <si>
    <t>10 North Ocean Blvd</t>
  </si>
  <si>
    <t>Delray Beach</t>
  </si>
  <si>
    <t>Pantuso</t>
  </si>
  <si>
    <t>Dawn</t>
  </si>
  <si>
    <t>Human Resources</t>
  </si>
  <si>
    <t>dawn.pantuso@opalgrand.com</t>
  </si>
  <si>
    <t>North Bay Village</t>
  </si>
  <si>
    <t>PALM BEACH</t>
  </si>
  <si>
    <t>P-400-23137-029756</t>
  </si>
  <si>
    <t xml:space="preserve">•	Deductions required by law will be payroll deducted. 
•	Employee housing is not provided however optional 3rd party housing may be available at $150/wk-$200/wk depending on location and may be voluntarily payroll deducted biweekly Housing deposits and/or a $150-$200 nonrefundable admin/cleaning fee may be required if you choose the optional housing option. 
</t>
  </si>
  <si>
    <t>H-400-23243-314157</t>
  </si>
  <si>
    <t>Merion Landscape Services, LLC</t>
  </si>
  <si>
    <t>2708 E. Louisiana Ave.</t>
  </si>
  <si>
    <t>Tampa</t>
  </si>
  <si>
    <t>Simms</t>
  </si>
  <si>
    <t>Brawnell</t>
  </si>
  <si>
    <t>President/Owner</t>
  </si>
  <si>
    <t xml:space="preserve">2708 E. Louisiana Ave. </t>
  </si>
  <si>
    <t>bsimms@merionls.com</t>
  </si>
  <si>
    <t>Post-employment random drug testing and background checks may be required, at no cost to the worker.  The job requires the applicant to be qualified, ready, willing, able, and available to perform during the entire employment at all the designated worksites; and to follow workplace rules.</t>
  </si>
  <si>
    <t>2708 E. Louisiana Ave</t>
  </si>
  <si>
    <t>HILLSBOROUGH</t>
  </si>
  <si>
    <t>See addendum</t>
  </si>
  <si>
    <t>P-400-23151-066896</t>
  </si>
  <si>
    <t xml:space="preserve">Employer will make all deductions from the worker’s paycheck required by law.  Uniform shirts are provided at no cost to the worker. On an optional basis, employer will assist those employees who opt in, in securing housing. Payment for this housing and any included utilities will be deducted from the workers’ pay. This deduction is estimated to be $100.00 per week. 
</t>
  </si>
  <si>
    <t>H-400-23186-168859</t>
  </si>
  <si>
    <t>Decorative Greens Cutter/ Arranger</t>
  </si>
  <si>
    <t>Floral Designers</t>
  </si>
  <si>
    <t>Continental Floral LLC</t>
  </si>
  <si>
    <t>Continental Floral Greens</t>
  </si>
  <si>
    <t>25491 NE State hwy 3</t>
  </si>
  <si>
    <t xml:space="preserve"> Belfair</t>
  </si>
  <si>
    <t>WA</t>
  </si>
  <si>
    <t>Schauer</t>
  </si>
  <si>
    <t>Operations Manager</t>
  </si>
  <si>
    <t>Belfair</t>
  </si>
  <si>
    <t>n/a</t>
  </si>
  <si>
    <t>Ogburn</t>
  </si>
  <si>
    <t>975 Carpenter Rd</t>
  </si>
  <si>
    <t>Suite 201</t>
  </si>
  <si>
    <t>Lacey</t>
  </si>
  <si>
    <t>h2b.northwestlabor@gmail.com</t>
  </si>
  <si>
    <t xml:space="preserve">Northwest Labor LLC </t>
  </si>
  <si>
    <t>Section F.b.5.a(iv): Special Skills, Other Special Skills or Requirements
ADDENDUM FOR SECTION F.B.5.A(IV): SPECIAL SKILLS, OTHER SPECIAL SKILLS OR REQUIREMENTS
1.MUST BE ABLE TO PERFORM ALL DUTIES WITHIN THIS JOB DESCRIPTION IN WHAT CAN BE CONSIDERED A SAFE MANNER ADHERING TO ALL ESTABLISHED SAFETY
GUIDELINES, PRACTICES AND PROCEDURES.
2.MUST WEAR ALL REQUIRED AND ASSIGNED PERSONAL PROTECTIVE EQUIPMENT AT ALL TIMES WHEN REQUIRED TO DO SO. EMPLOYEE MUST WEAR PROPER
CLOTHING AND FOOTWEAR. ALL FOOTWEAR MUST BE CLOSED-TOE DUE TO SAFETY PRECAUTIONS.
3.THE EMPLOYER OR DESIGNATED EMPLOYEE WILL PROVIDE INSTRUCTIONS AND GENERAL SUPERVISION. EMPLOYEES WILL BE EXPECTED TO CONFORM TO THE
SPECIFIC INSTRUCTIONS GIVEN FOR EACH DAYS WORK.
4.EMPLOYEES WILL BE REQUIRED TO ATTEND AN ORIENTATION ON WORKPLACE RULES, POLICIES AND SAFETY INFORMATION.
5.ALL WORK SITES COVERED BY THIS CLEARANCE ORDER AND ALL FACILITIES OF THE EMPLOYER ARE DRUG FREE WORK PLACES. EMPLOYEES MUST NOT REPORT
FOR WORK, ENTER EMPLOYERS PROPERTY, OR PERFORM SERVICE WHILE UNDER THE INFLUENCE OF OR HAVING USED ILLEGAL CONTROLLED SUBSTANCES.
EMPLOYEES MUST NOT REPORT FOR WORK OR PERFORM SERVICE WHILE UNDER THE INFLUENCE OF OR IMPAIRED BY PRESCRIPTION DRUGS, MEDICATIONS,
ALCOHOL OR OTHER SUBSTANCES THAT MAY, IN ANY WAY, ADVERSELY AFFECT THEIR ALERTNESS, COORDINATION, REACTION RESPONSE OR SAFETY.
6.NO NON-EMPLOYEES WILL BE PERMITTED IN OR ADJACENT TO THE WORK SITE. IN PARTICULAR, NO NON-WORKING CHILDREN MAY BE PRESENT AT OR ADJACENT TO
WORK SITES OR LEFT IN VEHICLES DURING THE WORKDAY. EMPLOYEES ARRIVING AT WORK WITH NON-WORKING CHILDREN OR OTHER NON-EMPLOYEES WILL BE
SENT HOME.
7.EMPLOYEES MUST HAVE TRANSPORTATION TO THE WORK SITE.
8. ABILITY TO LIFT UP TO 40 LBS UP TO 30 TIMES IN AN EIGHT HOUR SHIFT AND FOR THE DURATION OF THE SHIFT.
Worker must have one month wreathmaking experience.</t>
  </si>
  <si>
    <t>1804 NW Martin Road</t>
  </si>
  <si>
    <t>Forest Grove</t>
  </si>
  <si>
    <t>WASHINGTON</t>
  </si>
  <si>
    <t>Portland-Vancouver-Hillsboro, OR-WA</t>
  </si>
  <si>
    <t>Potential bonuses based on performance. Employer will facilitate workers to find housing arrangements.</t>
  </si>
  <si>
    <t>P-400-23118-975723</t>
  </si>
  <si>
    <t>The employer will make the following deduction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and any other deductions expressly authorized by the worker in writing.</t>
  </si>
  <si>
    <t>h2info@cfgreens.com</t>
  </si>
  <si>
    <t>https://seeker.worksourcewa.com/</t>
  </si>
  <si>
    <t>H-400-23191-177271</t>
  </si>
  <si>
    <t>Temporary Welder</t>
  </si>
  <si>
    <t>Welders, Cutters, Solderers, and Brazers</t>
  </si>
  <si>
    <t>Lippert Components, Inc.</t>
  </si>
  <si>
    <t>3501 County Road 6 East</t>
  </si>
  <si>
    <t>Elkhart</t>
  </si>
  <si>
    <t>IN</t>
  </si>
  <si>
    <t>Pruitt</t>
  </si>
  <si>
    <t>Eileen</t>
  </si>
  <si>
    <t>Deputy CHRO, Sr. Legal Counsel</t>
  </si>
  <si>
    <t>epruitt@lci1.com</t>
  </si>
  <si>
    <t>Long</t>
  </si>
  <si>
    <t>Sari</t>
  </si>
  <si>
    <t>Michelle</t>
  </si>
  <si>
    <t>1144 15th St</t>
  </si>
  <si>
    <t>Suite 3400</t>
  </si>
  <si>
    <t>sari.long@faegredrinker.com</t>
  </si>
  <si>
    <t>Faegre Drinker Biddle &amp; Reath LLP</t>
  </si>
  <si>
    <t>Colorado Supreme Court</t>
  </si>
  <si>
    <t xml:space="preserve">Must be able to stand, walk, bend, kneel, stoop, crouch, crawl, and climb. Must be able to lift a minimum of 25 pounds. Must have demonstrated ability performing manual labor using hand tools (e.g., hammer, saw, screwdriver, drill). Must be able to read a tape measure, read a blueprint, and perform basic math (addition, subtraction, division). Must have demonstrated ability performing multiple tasks in a fast-paced environment. Must be able to read and follow documented procedures and standards in English or Spanish.
</t>
  </si>
  <si>
    <t>3152 Skyview Rd.</t>
  </si>
  <si>
    <t>Goshen</t>
  </si>
  <si>
    <t>ELKHART</t>
  </si>
  <si>
    <t>Elkhart-Goshen, IN</t>
  </si>
  <si>
    <t>P-400-23130-008827</t>
  </si>
  <si>
    <t>jriewe@lci1.com</t>
  </si>
  <si>
    <t>www.lci1.com</t>
  </si>
  <si>
    <t>H-400-23278-412476</t>
  </si>
  <si>
    <t>Forest and Conservation Worker</t>
  </si>
  <si>
    <t>Forest and Conservation Workers</t>
  </si>
  <si>
    <t>Sprout Forestry Inc</t>
  </si>
  <si>
    <t>576 Maverick St</t>
  </si>
  <si>
    <t>Central Point</t>
  </si>
  <si>
    <t>Gonzalez</t>
  </si>
  <si>
    <t>Alvaro</t>
  </si>
  <si>
    <t>sproutforestry16@gmail.com</t>
  </si>
  <si>
    <t>Sphuler</t>
  </si>
  <si>
    <t>Stacey</t>
  </si>
  <si>
    <t>1831 N. Lakewood Dr.</t>
  </si>
  <si>
    <t>Suite B</t>
  </si>
  <si>
    <t>Coeur d'Alene</t>
  </si>
  <si>
    <t>ID</t>
  </si>
  <si>
    <t>stacey@laborci.com</t>
  </si>
  <si>
    <t>Labor Consultants International</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</si>
  <si>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and qualified to perform work described and must be available for the entire period specified and work throughout all areas of intended employment.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
</t>
  </si>
  <si>
    <t>576 Maverick St (Report to Work)</t>
  </si>
  <si>
    <t>JACKSON</t>
  </si>
  <si>
    <t>Medford, OR</t>
  </si>
  <si>
    <t xml:space="preserve">H&amp;W Benefits may apply. Wage may vary based on Experience and/or location worked. </t>
  </si>
  <si>
    <t>P-400-23181-160756</t>
  </si>
  <si>
    <t>At Employer’s sole discretion: possible cash advances (if applicable/requested by worker, potential deduction from worker’s paycheck).
Optional housing is available at no cost to the workers.</t>
  </si>
  <si>
    <t>H-400-23271-390879</t>
  </si>
  <si>
    <t>Qualified Landscape Laborer</t>
  </si>
  <si>
    <t>LNW Landscaping, LLC</t>
  </si>
  <si>
    <t>3803 Black Oak Lane</t>
  </si>
  <si>
    <t>Montgomery</t>
  </si>
  <si>
    <t>Galvan</t>
  </si>
  <si>
    <t>Lydia</t>
  </si>
  <si>
    <t>Accountant</t>
  </si>
  <si>
    <t>lydia@perfectfinishlandscaping.com</t>
  </si>
  <si>
    <t>3355 Bee Caves Rd.</t>
  </si>
  <si>
    <t>Suite 307</t>
  </si>
  <si>
    <t>kershaw.robert@kershawlaw.com</t>
  </si>
  <si>
    <t>The Kershaw Law Firm, PC.</t>
  </si>
  <si>
    <t xml:space="preserve">Employer Paid Pre-hire drug testing and Pre-hire criminal background check
</t>
  </si>
  <si>
    <t>MONTGOMERY</t>
  </si>
  <si>
    <t>Houston-The Woodlands-Sugar Land, TX</t>
  </si>
  <si>
    <t>1 hr. for lunch. Some OT may be available but not guaranteed. Wage w/in wage range based on experience &amp; performance</t>
  </si>
  <si>
    <t>P-400-23215-235819</t>
  </si>
  <si>
    <t>Additional deductions include:  If optional pay advances to secure housing – weekly payments of $100.00 until paid in full; If optional insurance selected for employee only – weekly payments of $10.00.</t>
  </si>
  <si>
    <t>blake@perfectfinishlandscaping.com</t>
  </si>
  <si>
    <t>H-400-23220-247913</t>
  </si>
  <si>
    <t>Determination Issued - Partial Certification</t>
  </si>
  <si>
    <t>Line Cook II</t>
  </si>
  <si>
    <t>Boyne USA, Inc.</t>
  </si>
  <si>
    <t>Big Sky Resort</t>
  </si>
  <si>
    <t>50 Big Sky Resort Road</t>
  </si>
  <si>
    <t>P.O. Box 160001</t>
  </si>
  <si>
    <t>Big Sky</t>
  </si>
  <si>
    <t>MT</t>
  </si>
  <si>
    <t>Berry</t>
  </si>
  <si>
    <t>Brian</t>
  </si>
  <si>
    <t>Vice President of Human Resources</t>
  </si>
  <si>
    <t>Big City</t>
  </si>
  <si>
    <t>bberry@bigskyresort.com</t>
  </si>
  <si>
    <t>Baron</t>
  </si>
  <si>
    <t xml:space="preserve">Mariana </t>
  </si>
  <si>
    <t>One City Center</t>
  </si>
  <si>
    <t>Penthouse Floor</t>
  </si>
  <si>
    <t>Portland</t>
  </si>
  <si>
    <t>ME</t>
  </si>
  <si>
    <t>mbaron@preti.com</t>
  </si>
  <si>
    <t>Preti Flaherty LLP</t>
  </si>
  <si>
    <t>Maine Supreme Judicial Court</t>
  </si>
  <si>
    <t xml:space="preserve">Schedule: 35 hours per week. Monday through Sunday (schedule varies). Work schedule can include evening, weekend, and holiday hours. Shift examples: 6:00am  1:00pm, 11:00am  6:00pm, or 2:00pm  9:00pm (shift hours may vary). Three (3) months of prior work experience required. 
</t>
  </si>
  <si>
    <t>MADISON</t>
  </si>
  <si>
    <t>Southwest Montana nonmetropolitan area</t>
  </si>
  <si>
    <t>Eligible for tips and service charge, service bonus, optional housing. See job description</t>
  </si>
  <si>
    <t>P-400-23138-033574</t>
  </si>
  <si>
    <t xml:space="preserve">Optional housing is offered for workers who are relocating to begin employment on a first come, first serve basis. Cost of housing, if elected, is $91-$140.00 per week, to be deducted from paycheck if housing is elected. A one time, partially refundable $150.00 security deposit is required to be paid directly to employer upon acceptance of housing. A $50 non-refundable cleaning fee is included in the security deposit. 
Additional, optional benefits may be offered to worker, for worker’s sole benefit, including but not limited to 401k. If voluntarily elected by worker, employee costs/contributions for benefits will be deducted from paycheck.
Employer will make all deductions from the worker’s paycheck required by law.
</t>
  </si>
  <si>
    <t>hdamberg@bigskyresort.com</t>
  </si>
  <si>
    <t>H-400-23215-235875</t>
  </si>
  <si>
    <t>Host</t>
  </si>
  <si>
    <t>Hosts and Hostesses, Restaurant, Lounge, and Coffee Shop</t>
  </si>
  <si>
    <t xml:space="preserve">The Petitioner will consider for employment any person who possesses at least one (1) year of guest-service experience in a fine-dining or high-volume environment at a high-end restaurant, resort, or private club.
Applicant must complete pre-employment background check and drug screening.  
</t>
  </si>
  <si>
    <t>Tipped position with guaranteed wage of $12.43 per hour, paid bi-weekly.  See job description.</t>
  </si>
  <si>
    <t>P-400-23124-993123</t>
  </si>
  <si>
    <t>Optional housing is offered on a first-come, first-serve basis for workers who are relocating to begin employment.  Cost of housing, if accepted, is $75-$105 per week, plus refundable security deposit of $300 ($50 initial deposit to hold room, subsequent balance is payroll deducted in $50 increments).  If used, total cost of housing will be deducted from paycheck.  Additional, optional benefits may be offered to worker, for worker’s sole benefit, including, but not limited to, meals, dry-cleaning, bus pass, and/or medical center access.  If voluntarily elected by worker, costs/contributions will be deducted from paycheck.</t>
  </si>
  <si>
    <t>H-400-23214-233867</t>
  </si>
  <si>
    <t>Semi-Truck Drivers</t>
  </si>
  <si>
    <t>Boll Farms Inc.</t>
  </si>
  <si>
    <t>25843 185th Avenue SW</t>
  </si>
  <si>
    <t>Crookston</t>
  </si>
  <si>
    <t>Boll</t>
  </si>
  <si>
    <t>Bryan</t>
  </si>
  <si>
    <t>bboll@rrv.net</t>
  </si>
  <si>
    <t>Bernard</t>
  </si>
  <si>
    <t>Aaron</t>
  </si>
  <si>
    <t>David</t>
  </si>
  <si>
    <t>226 South 3rd Street</t>
  </si>
  <si>
    <t>Ames</t>
  </si>
  <si>
    <t>attorney@bernardfirm.com</t>
  </si>
  <si>
    <t>The Bernard Firm PLC</t>
  </si>
  <si>
    <t xml:space="preserve">CDL Class A experience.
MUST HAVE CDL CLASS A EXPERIENCE WITH AIR BRAKES AND COMBINATION ENDORSEMENTS. MUST BE ABLE TO LIFT AND CARRY 75 LBS. 75 YDS. MUST BE ABLE TO HANDLE TEMPERATURE EXTREMES. WORK HOURS VARY ACCORDING TO ROUTES AND CUSTOMER NEEDS, ROUGH WINDOW 5AM - 7 PM. 12 months of Truck/Trailer experience.
</t>
  </si>
  <si>
    <t xml:space="preserve">1201 HWY 2 </t>
  </si>
  <si>
    <t>POLK</t>
  </si>
  <si>
    <t>Grand Forks, ND-MN</t>
  </si>
  <si>
    <t>Wage rate may vary based on experience and/or merit. Up to 10 hours of overtime available.</t>
  </si>
  <si>
    <t>P-400-23153-074417</t>
  </si>
  <si>
    <t>Employers will provide optional housing to the employees. Employees who elect to live in the housing will have an additional $150 deducted bi-weekly paycheck for rent and utilities. Any advances will be deducted with the consent of the employee.</t>
  </si>
  <si>
    <t>H-400-23226-261903</t>
  </si>
  <si>
    <t>Helpers-Maintenance</t>
  </si>
  <si>
    <t>Helpers--Installation, Maintenance, and Repair Workers</t>
  </si>
  <si>
    <t>Post-employment random drug testing and background checks may be required, at no cost to the worker. The job requires the applicant to be qualified, ready, willing, able, and available to perform during the entire employment at the designated worksites; and to follow workplace rules.</t>
  </si>
  <si>
    <t>1645 SW Mapp Rd</t>
  </si>
  <si>
    <t>P-400-23132-015922</t>
  </si>
  <si>
    <t>The employer will make all deductions from the worker’s paycheck required by law.  Optional housing (valued at $125.00 per week) and local convenience travel (valued at $25.00 per week) are available at no cost to the worker.</t>
  </si>
  <si>
    <t>H-400-23224-260230</t>
  </si>
  <si>
    <t>Front Desk Clerk</t>
  </si>
  <si>
    <t>Hotel, Motel, and Resort Desk Clerks</t>
  </si>
  <si>
    <t xml:space="preserve">Holiday Inn Club Vacations Incorporated </t>
  </si>
  <si>
    <t>9271 S John Young Parkway</t>
  </si>
  <si>
    <t>Orlando</t>
  </si>
  <si>
    <t>Coyne</t>
  </si>
  <si>
    <t>Heather</t>
  </si>
  <si>
    <t xml:space="preserve">Talent Acquisition Director </t>
  </si>
  <si>
    <t>CIRecruitment@holidayinnclub.com</t>
  </si>
  <si>
    <t>Birkenstock</t>
  </si>
  <si>
    <t>Veronica</t>
  </si>
  <si>
    <t>T.</t>
  </si>
  <si>
    <t>7776 Main Street</t>
  </si>
  <si>
    <t>Frisco</t>
  </si>
  <si>
    <t>bobbi@pesusa.com</t>
  </si>
  <si>
    <t>Practical Employee Solutions</t>
  </si>
  <si>
    <t>NV</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</si>
  <si>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Must be able to work in a non-climate-controlled environment. 
Must be able work in severe inclement weather and varying degrees of extreme temperature. 
Must be able to be exposed to various industrial chemicals, cleaning agents, etc. 
Must be able to be exposed to strong odors, and loud noise levels.
Employer will provide on-the-job training.
A single workweek will be used in computing wages due. Workers will be paid weekly. 
Public transportation within 5 miles of worksite. Employee responsible for their own transportation to and from the worksite.  
The employer will provide worker at no charge all tools, supplies, and equipment required to perform job. Uniform pieces provided at no cost to employee. 
</t>
  </si>
  <si>
    <t>400 Ridge Club Drive</t>
  </si>
  <si>
    <t>Stateline</t>
  </si>
  <si>
    <t>DOUGLAS</t>
  </si>
  <si>
    <t>Nevada nonmetropolitan area</t>
  </si>
  <si>
    <t>Employer may increase wage based on experience, changes in market conditions, and/or provide additional pay for performa</t>
  </si>
  <si>
    <t>P-400-23158-089268</t>
  </si>
  <si>
    <t xml:space="preserve">
Employer will make all deductions from the worker's paycheck required by law and deduct approved cost of housing if worker elects. Optional employee only shared housing, utilities, Wifi, cable included, approx. $110-$130/wk. </t>
  </si>
  <si>
    <t xml:space="preserve">https://www.employnv.gov/  </t>
  </si>
  <si>
    <t>H-400-23184-163215</t>
  </si>
  <si>
    <t>Crew Member</t>
  </si>
  <si>
    <t>Helpers--Carpenters</t>
  </si>
  <si>
    <t>Edge Powder Coating LLC</t>
  </si>
  <si>
    <t>Edge, Rail, &amp; Screen</t>
  </si>
  <si>
    <t>79 Gensert Rd</t>
  </si>
  <si>
    <t>Eldon</t>
  </si>
  <si>
    <t>MO</t>
  </si>
  <si>
    <t>Allen</t>
  </si>
  <si>
    <t>Nicholas</t>
  </si>
  <si>
    <t>Managing Member</t>
  </si>
  <si>
    <t>nallen@edgerailandscreen.com</t>
  </si>
  <si>
    <t>Kirchner</t>
  </si>
  <si>
    <t>Ashley</t>
  </si>
  <si>
    <t>2600 Beaumont Street</t>
  </si>
  <si>
    <t>Green Bay</t>
  </si>
  <si>
    <t>WI</t>
  </si>
  <si>
    <t>meagan@wyngaardlaw.com</t>
  </si>
  <si>
    <t>Wyngaard Law Firm LLC</t>
  </si>
  <si>
    <t>Virginia Supreme Court</t>
  </si>
  <si>
    <t xml:space="preserve">Must be 18 years of age or older. Must lift/carry up to 75 lbs., when necessary. Saturday and Sunday work required, when necessary. Employer-paid drug testing required of foreign and domestic workers prior to commencing work and post-hire upon suspicion of use and post-accident. Employer-paid pre-hire background check required of foreign and domestic workers.
</t>
  </si>
  <si>
    <t>Central Missouri nonmetropolitan area</t>
  </si>
  <si>
    <t xml:space="preserve">Raises and/or bonuses may be offered based on individual factors including work performance, skill, and tenure. </t>
  </si>
  <si>
    <t>P-400-23136-027358</t>
  </si>
  <si>
    <t xml:space="preserve">Employer will make all deductions required by law and no others without written consent from worker. The employer does not envision other workforce-wide payroll deductions. Potential elective deductions to be pre-authorized in writing if applicable are as follows: Employer will deduct for the reasonable fair market value cost of rent and utilities based on number of occupants for workers who voluntarily elect to live in employer-offered housing, approximately $100 per week. Employer provides company t-shirt and sweatshirt at no cost to employee.  </t>
  </si>
  <si>
    <t>H-400-23184-165222</t>
  </si>
  <si>
    <t>Whiz Knife Operator (Ham Bone)</t>
  </si>
  <si>
    <t>Meat, Poultry, and Fish Cutters and Trimmers</t>
  </si>
  <si>
    <t>Smithfield Fresh Meats Corporation</t>
  </si>
  <si>
    <t>200 Commerce St</t>
  </si>
  <si>
    <t>Smithfield</t>
  </si>
  <si>
    <t>Calem</t>
  </si>
  <si>
    <t>Andrea</t>
  </si>
  <si>
    <t>General Counsel</t>
  </si>
  <si>
    <t>acalem@smithfield.com</t>
  </si>
  <si>
    <t>trent@trentwilliamslaw.com</t>
  </si>
  <si>
    <t>Williams Law Pllc</t>
  </si>
  <si>
    <t>Up to 1 month of PPE, machinery and general safety and sanitation training may be required depending on experience.
Workers will either work from 6:15am - 2:30pm OR 3:00pm - 11:30pm</t>
  </si>
  <si>
    <t>1220 6th Street</t>
  </si>
  <si>
    <t>Monmouth</t>
  </si>
  <si>
    <t>WARREN</t>
  </si>
  <si>
    <t>West Central Illinois nonmetropolitan area</t>
  </si>
  <si>
    <t xml:space="preserve">Exact wage determined by internal metrics. Workers may be eligible for plant-wide incentive program. </t>
  </si>
  <si>
    <t>P-400-23121-980150</t>
  </si>
  <si>
    <t xml:space="preserve">The Employer intends to make all deductions that are standard for "Employees" such as health, dental, etc. Other deductions may be taken at the instruction of the Worker, such as meat purchased at an employee meat sale, replacement for lost safety equipment, or voluntary items such as this. 
AN INITIAL LUMP SUM ALLOWANCE OF $300.00 WILL BE PROVIDED IN THE FORM OF AN ACTUAL PURCHASE CREDIT CARD, WHICH IS TO BE USED FOR THE FOLLOWING:
GAS TOWARDS NEW LOCATION (NO RECEIPTS ARE REQUIRED) AND MISCELLANEOUS EXPENSES ASSOCIATED WITH THE MOVE. THE TOTAL AMOUNT H-2B WORKERS ARE ELIGIBLE TO RECEIVE IS CAPPED AT $2,500.00. THESE DOLLARS WILL BE USED TO MAKE DIRECT PAYMENTS FOR LODGING WHILE ON ASSIGNMENT. AT THE END OF THE H-2B WORKERS TEMPORARY RELOCATION, IF THERE ARE ANY REMAINING FUNDS LEFT FROM THE INITIAL $2,500.00, THE MONEY NOT SPENT WILL BE THE H-2B WORKERS TO USE TOWARDS RELOCATION. AMOUNTS MAY BE SUBJECT TO APPLICABLE TAXES. </t>
  </si>
  <si>
    <t>kgraves@smithfield.com</t>
  </si>
  <si>
    <t>H-400-23192-178923</t>
  </si>
  <si>
    <t>Sweeping Change LLC</t>
  </si>
  <si>
    <t>44 Allen Circle</t>
  </si>
  <si>
    <t>Edwards</t>
  </si>
  <si>
    <t>Kelley</t>
  </si>
  <si>
    <t>Elisse</t>
  </si>
  <si>
    <t>elisse@sweepingchangevail.com</t>
  </si>
  <si>
    <t>Beaugrand</t>
  </si>
  <si>
    <t>Katelyn</t>
  </si>
  <si>
    <t>1831 N Lakewood Drive</t>
  </si>
  <si>
    <t>Coeur d' Alene</t>
  </si>
  <si>
    <t>Katelyn@laborci.com</t>
  </si>
  <si>
    <t xml:space="preserve">Must be 18 due to state labor laws.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and qualified to perform work described and must be available for the entire period specified and work throughout all areas of intended employment.  Hours may fluctuate based on tourism peaks and valleys throughout the season (+/-), possible downtime and/or overtime. 
</t>
  </si>
  <si>
    <t>44 Allen Circle (Report to Work)</t>
  </si>
  <si>
    <t>EAGLE</t>
  </si>
  <si>
    <t>Northwest Colorado nonmetropolitan area</t>
  </si>
  <si>
    <t>P-400-23135-023686</t>
  </si>
  <si>
    <t>At Employer’s sole discretion: possible cash advances (if applicable/requested by worker, potential deduction from worker’s paycheck).</t>
  </si>
  <si>
    <t>H-400-23247-318832</t>
  </si>
  <si>
    <t>Italian, Mediterranean and Persian Chef</t>
  </si>
  <si>
    <t>Chefs and Head Cooks</t>
  </si>
  <si>
    <t xml:space="preserve">Marciano Restaurant </t>
  </si>
  <si>
    <t>780 E Brookheaven Cir</t>
  </si>
  <si>
    <t>Memphis</t>
  </si>
  <si>
    <t>gerani</t>
  </si>
  <si>
    <t>Morteza</t>
  </si>
  <si>
    <t xml:space="preserve">The owner and chef of the Marciano restaurant </t>
  </si>
  <si>
    <t>780 E Brookhaven Cir</t>
  </si>
  <si>
    <t xml:space="preserve">Marciano restaurant </t>
  </si>
  <si>
    <t>marcianogerani@yahoo.com</t>
  </si>
  <si>
    <t xml:space="preserve">Qualifications:
- Culinary Expertise: Proven at least 8 years of experience as a Chef with specialization in Mediterranean, Italian, and Persian cuisines. Formal culinary education is a plus.
- Technique Mastery: Demonstrated proficiency in salad preparation, sauce and dressing creation, knife skills, meat preparation, pasta crafting, bread baking, and dessert making.
- Creative Flair: Ability to present dishes in an artistic and appealing manner while adhering to traditional flavors and methods.
- Hygiene and Safety: Strong understanding of food safety and sanitation practices, ensuring the highest standards are maintained at all times.
- Leadership Skills: Effective leadership skills, fostering teamwork and camaraderie among kitchen staff, while managing tasks efficiently.
- Adaptability: Able to swiftly adapt to different culinary demands, from meticulous preparation to dynamic cooking during service hours.
</t>
  </si>
  <si>
    <t>SHELBY</t>
  </si>
  <si>
    <t>Memphis, TN-MS-AR</t>
  </si>
  <si>
    <t>P-400-23149-060314</t>
  </si>
  <si>
    <t>https://www.marcianorestaurantmemphis.com</t>
  </si>
  <si>
    <t>H-400-23200-198784</t>
  </si>
  <si>
    <t>Cook</t>
  </si>
  <si>
    <t>HHC/RHD Holdings, LLC</t>
  </si>
  <si>
    <t>Seagate Hotel &amp; Spa, Seagate Beach Club &amp; Seagate Country Club</t>
  </si>
  <si>
    <t>3600 Hamlet Drive</t>
  </si>
  <si>
    <t xml:space="preserve">Hedrick </t>
  </si>
  <si>
    <t xml:space="preserve">Heather </t>
  </si>
  <si>
    <t xml:space="preserve">Human Resources Director </t>
  </si>
  <si>
    <t xml:space="preserve">3600 Hamlet Drive </t>
  </si>
  <si>
    <t xml:space="preserve">Delray Beach </t>
  </si>
  <si>
    <t>hhedrick@seagatedelray.com</t>
  </si>
  <si>
    <t>Jessica</t>
  </si>
  <si>
    <t>1230 Peachtree Street, NE</t>
  </si>
  <si>
    <t>Suite 3300</t>
  </si>
  <si>
    <t>jcook@fisherphillips.com</t>
  </si>
  <si>
    <t>Fisher &amp; Phillips LLP</t>
  </si>
  <si>
    <t>SUPREME</t>
  </si>
  <si>
    <t>Drug testing required upon suspicion during employment.</t>
  </si>
  <si>
    <t>P-400-23163-098767</t>
  </si>
  <si>
    <t>EMPLOYER WILL MAKE ALL DEDUCTIONS FROM THE WORKER'S PAYCHECK AS REQUIRED BY LAW. WORKERS HAVE THE OPTION TO LIVE IN EMPLOYER PROVIDED HOUSING AT $170 WEEKLY. TRANSPORTATION TO AND FROM WORK IS AVAILABLE IS AVAILABLE AT NO CHARGE. HOUSING COSTS WILL BE PAYROLL DEDUCTED IF EMPLOYEE ELECTS TO MAKE USE OF THEM.</t>
  </si>
  <si>
    <t>hr@seagatedelray.com</t>
  </si>
  <si>
    <t>www.seagatedelray.com</t>
  </si>
  <si>
    <t>H-400-23224-260196</t>
  </si>
  <si>
    <t>Vail Corporation</t>
  </si>
  <si>
    <t xml:space="preserve">Must be able to lift up to 50 lbs.
</t>
  </si>
  <si>
    <t>1000 S. Frontage Rd West</t>
  </si>
  <si>
    <t>Vail</t>
  </si>
  <si>
    <t>P-400-23113-957866</t>
  </si>
  <si>
    <t>Optional subsidized employee housing is available but limited.  Biweekly cost is $185.00 to $310.00 depending on unit type (i.e. number of beds in unit and number of people living in unit). Employee is responsible for paying housing cost biweekly. A license deposit of $250 is due prior to check-in. With employee's voluntary consent, housing cost will be deducted from paycheck.</t>
  </si>
  <si>
    <t>H-400-23215-235898</t>
  </si>
  <si>
    <t>Janitor</t>
  </si>
  <si>
    <t>Janitors and Cleaners, Except Maids and Housekeeping Cleaners</t>
  </si>
  <si>
    <t>FRAGOMEN, DEL REY, BERNSEN &amp; LOEWY, LLP</t>
  </si>
  <si>
    <t xml:space="preserve">Must be able to stand for extended periods of time. Must be able to lift and carry up to 75 pounds.
</t>
  </si>
  <si>
    <t>219 River Run Road</t>
  </si>
  <si>
    <t>Keystone</t>
  </si>
  <si>
    <t>CONTINUED UNDER ITEM F.a.4.</t>
  </si>
  <si>
    <t>P-400-23113-957887</t>
  </si>
  <si>
    <t xml:space="preserve">Optional subsidized employee housing is available but limited.  Biweekly cost is $135.00 to $440.00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</si>
  <si>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H-400-23229-273737</t>
  </si>
  <si>
    <t xml:space="preserve">Front Desk Agent </t>
  </si>
  <si>
    <t>Jay Peak Pacific LLC</t>
  </si>
  <si>
    <t>Jay Peak</t>
  </si>
  <si>
    <t>830 Jay Peak Road</t>
  </si>
  <si>
    <t>Tremblay</t>
  </si>
  <si>
    <t>Katie</t>
  </si>
  <si>
    <t>Director of Human Resources</t>
  </si>
  <si>
    <t>ktremblay@jaypeakresort.com</t>
  </si>
  <si>
    <t xml:space="preserve">The Petitioner will consider for employment any person who possesses at least three (3) months of guest service experience at a high-end hotel, resort, or private club.  Applicant must complete pre-employment background check.
</t>
  </si>
  <si>
    <t>JAY</t>
  </si>
  <si>
    <t>Northern Vermont nonmetropolitan area</t>
  </si>
  <si>
    <t>Wage: $17.17 – $17.69 per hour, paid bi-weekly.  See job description.</t>
  </si>
  <si>
    <t>P-400-23178-147798</t>
  </si>
  <si>
    <t xml:space="preserve">Optional housing is offered on a first-come, first-serve basis for workers who are relocating to begin employment.  Cost of housing including utilities, Wi-Fi, and cable, if accepted, is $450.00-$550.00 per month.  If used, total cost of housing including utilities, Wi-Fi, and cable will be paid directly to employer by employee.  A $450.00-$550.00 security deposit is required, to be paid directly to employer upon acceptance of housing.  Employee may receive full security deposit back if the housing is in acceptable condition upon departure.
Additional, optional benefits may be offered to worker, for worker’s sole benefit, including but not limited to a 401k plan.  If voluntarily elected by worker, employee costs/contributions for benefits will be deducted from paycheck.
</t>
  </si>
  <si>
    <t>H-400-23248-319384</t>
  </si>
  <si>
    <t>Landscaping and Groundskeeping Worker</t>
  </si>
  <si>
    <t>THREE FORKS RANCH CORP</t>
  </si>
  <si>
    <t>1445 CARBON COUNTY RD 710</t>
  </si>
  <si>
    <t>SAVERY</t>
  </si>
  <si>
    <t>CLEMENTS</t>
  </si>
  <si>
    <t>JENNIFER</t>
  </si>
  <si>
    <t>GENERAL MANAGER</t>
  </si>
  <si>
    <t>1445 CARBON COUNTY ROAD 710</t>
  </si>
  <si>
    <t>jenn.clements@threeforksranch.com</t>
  </si>
  <si>
    <t>MARTINEZ</t>
  </si>
  <si>
    <t>EMILIO</t>
  </si>
  <si>
    <t>FERNANDO</t>
  </si>
  <si>
    <t>12940 SW 128 ST</t>
  </si>
  <si>
    <t>SUITE 201</t>
  </si>
  <si>
    <t>emilio@martinezsordolaw.com</t>
  </si>
  <si>
    <t>MARTINEZ &amp; SORDO, P.A.</t>
  </si>
  <si>
    <t>SUPREME COURT</t>
  </si>
  <si>
    <t xml:space="preserve">Must carry 50lbs, when necessary. Must be willing to work all shifts including weekends and holidays.
</t>
  </si>
  <si>
    <t>1445 Carbon County Road 710</t>
  </si>
  <si>
    <t>Savery</t>
  </si>
  <si>
    <t>CARBON</t>
  </si>
  <si>
    <t>Eastern Wyoming nonmetropolitan area</t>
  </si>
  <si>
    <t>P-400-23179-152241</t>
  </si>
  <si>
    <t>Deductions: Employer will make all deductions from workers paycheck required by law. Potential elective deductions to be preauthorized in writing if applicable are as follows: Voluntary advances and/or loans made to workers, if any, may be repaid by pre-authorized payroll deductions. Housing: Optional onsite employee housing is provided at no additional cost. Daily Transportation: Transportation is only provided to employees who elect to live in onsite employee house, at no additional cost.</t>
  </si>
  <si>
    <t>H-400-23243-313293</t>
  </si>
  <si>
    <t>EPIC Hotel, LLC</t>
  </si>
  <si>
    <t>270 Biscayne Boulevard Way</t>
  </si>
  <si>
    <t>Miller</t>
  </si>
  <si>
    <t>Mireille</t>
  </si>
  <si>
    <t>People &amp; Culture Manager</t>
  </si>
  <si>
    <t>Mireille.Miller@epichotel.com</t>
  </si>
  <si>
    <t xml:space="preserve">The Petitioner will consider for employment any person who possesses at least one (1) year of culinary experience in a fine-dining or high-volume environment at a high-end restaurant, hotel, or resort.  
Applicant must complete pre-employment background check.  
</t>
  </si>
  <si>
    <t xml:space="preserve">Wage: $17.50 - $18.50 per hour, paid semi-monthly.  Overtime is available at $26.25 - $27.75 per hour. </t>
  </si>
  <si>
    <t>P-400-23201-203450</t>
  </si>
  <si>
    <t xml:space="preserve">All deductions from paycheck required by law will be made.  </t>
  </si>
  <si>
    <t>mireille.miller@epichotel.com</t>
  </si>
  <si>
    <t>H-400-23256-341385</t>
  </si>
  <si>
    <t>BOYD BILOXI, LLC</t>
  </si>
  <si>
    <t>IP CASINO RESORT SPA</t>
  </si>
  <si>
    <t>850 BAYVIEW AVENUE</t>
  </si>
  <si>
    <t>BILOXI</t>
  </si>
  <si>
    <t>MS</t>
  </si>
  <si>
    <t>Schwartz</t>
  </si>
  <si>
    <t xml:space="preserve"> Vincent</t>
  </si>
  <si>
    <t>Senior Vice President and General Manager</t>
  </si>
  <si>
    <t>vincentschwartz@boydgaming.com</t>
  </si>
  <si>
    <t xml:space="preserve">Must be able to stand and walk for majority of shift. Must be able to push/pull/maneuver supply cart weighing approximately 200 pounds. Must be able to lift up to 30 pounds. Must pass a pre-employment drug test and criminal background check. IP Casino screens all applicants through drug tests and background checks, including domestic and H-2B visa employees. This includes seasonal and full-time annual positions and is applied to all applicants regardless of their national origin, race, or gender.
</t>
  </si>
  <si>
    <t>HARRISON</t>
  </si>
  <si>
    <t>Gulfport-Biloxi-Pascagoula, MS</t>
  </si>
  <si>
    <t>P-400-23181-157828</t>
  </si>
  <si>
    <t>The employer will make all deductions from the worker’s paycheck required by law. Additional deductions included optional employee housing. Housing: Optional furnished employee housing with utilities is offered. Cost of housing is $475 per month and paid bi-weekly through payroll deductions. A one-time non-refundable incidental fee of $150 is also required.</t>
  </si>
  <si>
    <t>AlfredSexton@boydgaming.com</t>
  </si>
  <si>
    <t>H-400-23215-235903</t>
  </si>
  <si>
    <t>Dyna-Mist Construction</t>
  </si>
  <si>
    <t>2808 Capital Street</t>
  </si>
  <si>
    <t>Wylie</t>
  </si>
  <si>
    <t>Lawson</t>
  </si>
  <si>
    <t>Kay</t>
  </si>
  <si>
    <t>Office Capital Street</t>
  </si>
  <si>
    <t>Lashus</t>
  </si>
  <si>
    <t>Kevin</t>
  </si>
  <si>
    <t>3303 Harris Park Ave</t>
  </si>
  <si>
    <t>immigration@kjpartners.law</t>
  </si>
  <si>
    <t>KJ PARTNERS, LLP</t>
  </si>
  <si>
    <t>COLLIN</t>
  </si>
  <si>
    <t xml:space="preserve">40hr/wk 8hrs shifts b/w 7am–5pm, M-Sat., as scheduled and some O.T. may be available. </t>
  </si>
  <si>
    <t>P-400-23136-027527</t>
  </si>
  <si>
    <t>Employer will advance against pay up to $75/day at the end of each work day for room and board at no interest for the first 2 weeks if needed and requested.</t>
  </si>
  <si>
    <t>kay@dyna-mist.com</t>
  </si>
  <si>
    <t>H-400-23275-404638</t>
  </si>
  <si>
    <t>Temporry Guest Room Attendant</t>
  </si>
  <si>
    <t>PREMIER ENTERTAINMENT LLC</t>
  </si>
  <si>
    <t>HARD ROCK BILOXI</t>
  </si>
  <si>
    <t>777 BEACH BLVD</t>
  </si>
  <si>
    <t>JONES</t>
  </si>
  <si>
    <t>PAM</t>
  </si>
  <si>
    <t>DIRECTOR OF HUMAN RESOURCES</t>
  </si>
  <si>
    <t xml:space="preserve">BILOXI </t>
  </si>
  <si>
    <t>PAM.JONES@HRHCBILOXI.COM</t>
  </si>
  <si>
    <t>Ward</t>
  </si>
  <si>
    <t>Angela</t>
  </si>
  <si>
    <t>Lorraine</t>
  </si>
  <si>
    <t>717 SE 12th Court</t>
  </si>
  <si>
    <t>Suite 6</t>
  </si>
  <si>
    <t>Ft. Lauderdale</t>
  </si>
  <si>
    <t>award@angelawardlaw.com</t>
  </si>
  <si>
    <t>L'Avant Business Solutions</t>
  </si>
  <si>
    <t>CALIFORNIA SUPREME COURT</t>
  </si>
  <si>
    <t>Three (3) months prior housekeeping experience at a hotel, resort, or country club or other commercial cleaning experience.   Basic verbal English required</t>
  </si>
  <si>
    <t>P-400-23197-191971</t>
  </si>
  <si>
    <t xml:space="preserve">All deductions from paycheck will be made in accordance with and as required by law including but not limited proper deduction to ensure wages do not improperly fall below prevailing wage.  
Cost of housing, if accepted, is no less than  $125 and $175  per week payable to third party housing provider.  If housing is utilized, an agreement for housing will be required with the third-party provider. A security deposit of up to $250 may be required which may have the ability to be paid weekly via payroll deduction (if allowed by law). </t>
  </si>
  <si>
    <t>humanresources@hrhcbiloxi.com</t>
  </si>
  <si>
    <t>H-400-23304-468055</t>
  </si>
  <si>
    <t xml:space="preserve">TLPB Associates LLC
</t>
  </si>
  <si>
    <t xml:space="preserve">Tideline Ocean Resort &amp; Spa
</t>
  </si>
  <si>
    <t>2842 S. Ocean Blvd</t>
  </si>
  <si>
    <t>Palm Beach</t>
  </si>
  <si>
    <t>561-540-6700</t>
  </si>
  <si>
    <t>Greene</t>
  </si>
  <si>
    <t>Jeffrey</t>
  </si>
  <si>
    <t>Authorized Representative</t>
  </si>
  <si>
    <t>jeff@jeffgreene.com</t>
  </si>
  <si>
    <t>Snyder</t>
  </si>
  <si>
    <t>Benjamin</t>
  </si>
  <si>
    <t>A.</t>
  </si>
  <si>
    <t xml:space="preserve">11 Times Square
</t>
  </si>
  <si>
    <t>Floor 34</t>
  </si>
  <si>
    <t>New York</t>
  </si>
  <si>
    <t>h2blaborfilings@csglaw.com</t>
  </si>
  <si>
    <t>Chiesa Shahinian &amp; Giantomasi PC</t>
  </si>
  <si>
    <t>Supreme Court of North Carolina</t>
  </si>
  <si>
    <t>Must have at least six (6) months of prior full-time experience as a restaurant cook preparing foods from scratch. Experience must be verifiable. Must have or be eligible to obtain a valid driver's license. Must pass a pre-hire background check, carried out equally between U.S. workers and H-28 workers. Must be available to work split-shifts, nights, weekends &amp; holidays as needed. Must be able to lift, pull, push or carry up to 25 lbs or more, and walk or stand for long periods of time. Must maintain a professional appearance and be able to communicate in English.</t>
  </si>
  <si>
    <t>Raises and/or bonuses may be offered to any worker in the specified occupation at the employer's sole discretion based o</t>
  </si>
  <si>
    <t>P-400-23148-059558</t>
  </si>
  <si>
    <t>$160 deduction per week for workers who elect to use employer-provided housing. Employer will make all deductions requires by law.</t>
  </si>
  <si>
    <t>kylie@pbifunds.com</t>
  </si>
  <si>
    <t>H-400-23199-198452</t>
  </si>
  <si>
    <t>Roofer Helper</t>
  </si>
  <si>
    <t>Sterling Construction Contractors, LLC</t>
  </si>
  <si>
    <t>6835 Forsythe Dr.</t>
  </si>
  <si>
    <t>Panama City</t>
  </si>
  <si>
    <t>Oxentenko</t>
  </si>
  <si>
    <t>Ron</t>
  </si>
  <si>
    <t>ron@sterlingroofs.com</t>
  </si>
  <si>
    <t>Forrester</t>
  </si>
  <si>
    <t>Dawn@laborci.com</t>
  </si>
  <si>
    <t xml:space="preserve">Must be 18 due to hazardous materials.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120lbs (possible 2-person).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
</t>
  </si>
  <si>
    <t>7117 Baltzell Ave, Bldg 7 (Report to Work)</t>
  </si>
  <si>
    <t>Fort Moore</t>
  </si>
  <si>
    <t>MUSCOGEE</t>
  </si>
  <si>
    <t>Columbus, GA-AL</t>
  </si>
  <si>
    <t xml:space="preserve">H&amp;W Benefits may apply. Wage may vary based on Experience. </t>
  </si>
  <si>
    <t>P-400-23152-071759</t>
  </si>
  <si>
    <t>H-400-23276-408276</t>
  </si>
  <si>
    <t>Forestry Worker</t>
  </si>
  <si>
    <t>F &amp; F Farm and Reforestation LLC</t>
  </si>
  <si>
    <t>6561 Brush Creek Dr NE</t>
  </si>
  <si>
    <t>Silverton</t>
  </si>
  <si>
    <t>Franco</t>
  </si>
  <si>
    <t>FForestry@outlook.com</t>
  </si>
  <si>
    <t>1831 N Lakewood Dr.</t>
  </si>
  <si>
    <t>dawn@laborci.com</t>
  </si>
  <si>
    <t>Must be 18 due to travel.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t>
  </si>
  <si>
    <t>6561 Brush Creek Dr. NE (Report to Work)</t>
  </si>
  <si>
    <t>MARION</t>
  </si>
  <si>
    <t>Salem, OR</t>
  </si>
  <si>
    <t>P-400-23208-221496</t>
  </si>
  <si>
    <t>H-400-23221-249228</t>
  </si>
  <si>
    <t>Carpenter Helpers</t>
  </si>
  <si>
    <t>Tempus Builders, Inc</t>
  </si>
  <si>
    <t xml:space="preserve">4331 Valley Ridge Road </t>
  </si>
  <si>
    <t>Dallas</t>
  </si>
  <si>
    <t>Cooper</t>
  </si>
  <si>
    <t>4331 Valley Ridge Road</t>
  </si>
  <si>
    <t>scott@tempusbuilders.com</t>
  </si>
  <si>
    <t xml:space="preserve">Must be able to lift and carry 80 lbs, 20 yds. Proper and accurate use of tape measure required. Will be exposed to heights, temperature extremes, strenuous physical activity, and repetitive motions. No prior education is required. Must have 3 months of experience in general construction. 
</t>
  </si>
  <si>
    <t>County Road 87W</t>
  </si>
  <si>
    <t>Lewis</t>
  </si>
  <si>
    <t>CLAY</t>
  </si>
  <si>
    <t>Terre Haute, IN</t>
  </si>
  <si>
    <t>Wage rate may vary based on experience and/or merit. Up to 5 to 15 hours overtime may be available but not guaranteed.</t>
  </si>
  <si>
    <t>P-400-23185-166010</t>
  </si>
  <si>
    <t>Any advances will be deducted with the consent of the employee. The employer will provide housing as an option to employees living outside the regular commuting distance. Employees who elect to live in the housing will have an additional $150.00 deducted per bi-weekly paycheck for rent and utilities. Optional daily transportation will be provided from and to worksite and the employer will deduct $50.00 bi-weekly.</t>
  </si>
  <si>
    <t>H-400-23290-435860</t>
  </si>
  <si>
    <t>All State 38, Inc</t>
  </si>
  <si>
    <t>1903 Wald Road</t>
  </si>
  <si>
    <t xml:space="preserve">(Mail to: 512 W MLK Jr Blvd, Unit 313, Austin TX 78701) </t>
  </si>
  <si>
    <t>New Braunfels</t>
  </si>
  <si>
    <t xml:space="preserve">West </t>
  </si>
  <si>
    <t>Adam</t>
  </si>
  <si>
    <t xml:space="preserve">President </t>
  </si>
  <si>
    <t>(Mail to: 512 W MLK Jr Blvd, Unit 313, Austin TX 78701)</t>
  </si>
  <si>
    <t>allstate38inc@hotmail.com</t>
  </si>
  <si>
    <t>COMAL</t>
  </si>
  <si>
    <t>San Antonio-New Braunfels, TX</t>
  </si>
  <si>
    <t>P-400-23195-190335</t>
  </si>
  <si>
    <t>H-400-23184-164400</t>
  </si>
  <si>
    <t>Concrete Finisher</t>
  </si>
  <si>
    <t>Cement Masons and Concrete Finishers</t>
  </si>
  <si>
    <t>TCK Concrete, LLC</t>
  </si>
  <si>
    <t>11001 Zaiser Drive</t>
  </si>
  <si>
    <t>West Burlington</t>
  </si>
  <si>
    <t>Kelly</t>
  </si>
  <si>
    <t>Trail</t>
  </si>
  <si>
    <t>trail@tckconcrete.net</t>
  </si>
  <si>
    <t>TEXAS SUPREME COURT</t>
  </si>
  <si>
    <t xml:space="preserve">Must be able to lift and carry 75 Ibs. for 75 yards. 
</t>
  </si>
  <si>
    <t>DES MOINES</t>
  </si>
  <si>
    <t>Southeast Iowa nonmetropolitan area</t>
  </si>
  <si>
    <t>P-400-23121-981701</t>
  </si>
  <si>
    <t>Housing will be provided at no cost. Housing is optional for workers. Will make all deductions required by law.</t>
  </si>
  <si>
    <t>H-400-23215-236818</t>
  </si>
  <si>
    <t>Cook III</t>
  </si>
  <si>
    <t>MB Redevelopment, LLC</t>
  </si>
  <si>
    <t>Loews Miami Beach Hotel</t>
  </si>
  <si>
    <t>1601 Collins Avenue</t>
  </si>
  <si>
    <t>Miami Beach</t>
  </si>
  <si>
    <t>Fernandez</t>
  </si>
  <si>
    <t>Susana</t>
  </si>
  <si>
    <t>sfernandez@loewshotels.com</t>
  </si>
  <si>
    <t xml:space="preserve">The Petitioner will consider for employment any person who possesses at least one (1) year of culinary experience in a fine-dining or high-volume environment at a high-end restaurant, resort, or private club. Applicant must complete pre-employment drug screening.  Applicant who has been previously employed in the U.S. must complete pre-employment background check.
</t>
  </si>
  <si>
    <t>Wage: $18.85 - $19.80 per hour, paid bi-weekly.  See job description for details.</t>
  </si>
  <si>
    <t>P-400-23167-120068</t>
  </si>
  <si>
    <t xml:space="preserve">Housing is not offered. 
Additional, optional benefits may be offered to worker, for worker’s sole benefit, including but not limited to health insurance upon completion of two (2) month introductory period.  If voluntarily elected by worker, employee costs/contributions for benefits will be deducted from paycheck.
</t>
  </si>
  <si>
    <t>H-400-23228-267472</t>
  </si>
  <si>
    <t>Recreation Attendant</t>
  </si>
  <si>
    <t>Northwood Hospitality, LLC</t>
  </si>
  <si>
    <t>d/b/a Cheeca Lodge &amp; Spa</t>
  </si>
  <si>
    <t>1819 Wazee Street</t>
  </si>
  <si>
    <t>Salas</t>
  </si>
  <si>
    <t>Pamela</t>
  </si>
  <si>
    <t>81801 Overseas Highway</t>
  </si>
  <si>
    <t>Islamorada</t>
  </si>
  <si>
    <t>psalas@cheeca.com</t>
  </si>
  <si>
    <t>Estrella</t>
  </si>
  <si>
    <t>Jennifer</t>
  </si>
  <si>
    <t>Holt</t>
  </si>
  <si>
    <t>800 NW 62nd Avenue</t>
  </si>
  <si>
    <t>Suite 590</t>
  </si>
  <si>
    <t>jestrella@fragomen.com</t>
  </si>
  <si>
    <t>Fragomen Del Rey Bernsen &amp; Loewy LLP</t>
  </si>
  <si>
    <t>Requirements:  Three (3) months of service experience in a high-end hotel, resort, or private club required. On-the-job training is provided.    Applicant must provide Pre-employment Criminal Background Check and Pre-employment Drug Test is required.
Shifts: Work schedule can vary and can include evening, weekend, and holiday hours. Work may be performed on any day of the week from Monday through Sunday. Example shifts: 8:00am to 4:00pm, 11:00am to 7:00pm. Shift hours may vary.</t>
  </si>
  <si>
    <t>Additional, optional benefits may be offered to worker, for worker’s sole benefit, including but not limited to medical, dental and vision insurance, short-term disability, long-term disability,  401k,  and  life  insurance.  If  voluntarily  elected  by  worker,  employee
costs/contributions for benefits will be deducted from paycheck</t>
  </si>
  <si>
    <t>P-400-23184-165328</t>
  </si>
  <si>
    <t xml:space="preserve">Optional housing is offered on a first-come, first-serve basis for workers who are relocating to begin employment. Cost of housing, if accepted, is $300.00 per month. If used, total cost of housing will be deducted from paycheck. A $150.00 refundable security deposit is required, to be deducted from paycheck in equal $50.00 installments from employee’s first three (3) paychecks.  All deductions from worker’s paycheck required by law will be made. </t>
  </si>
  <si>
    <t>H-400-23185-165564</t>
  </si>
  <si>
    <t>Electrician</t>
  </si>
  <si>
    <t>Electricians</t>
  </si>
  <si>
    <t xml:space="preserve">	Post-employment drug tests required after incidents or on reasonable suspicion paid by employer. Background check required.
	Proficient with standard industry tools and techniques
	Able to read blueprints and schematic drawings
</t>
  </si>
  <si>
    <t>P-400-23093-900142</t>
  </si>
  <si>
    <t>H-400-23193-184741</t>
  </si>
  <si>
    <t>Rush Creek Lodge LLC</t>
  </si>
  <si>
    <t>34001 HWY 120</t>
  </si>
  <si>
    <t>Groveland</t>
  </si>
  <si>
    <t>Juszkiewicz</t>
  </si>
  <si>
    <t>Joe</t>
  </si>
  <si>
    <t>General Manager</t>
  </si>
  <si>
    <t>400 Front Street</t>
  </si>
  <si>
    <t>P.O. Box 507</t>
  </si>
  <si>
    <t>Lovingston</t>
  </si>
  <si>
    <t>Sporn1121@maslabor.com</t>
  </si>
  <si>
    <t xml:space="preserve">Must lift/carry 50 lbs. when necessary and frequently work on hands and knees. Must be able to work a variety of shifts. Saturday, and Sunday work required, when necessary.  Post-hire upon suspicion of use and post-accident drug testing required of foreign and domestic workers. Employer may offer more than the stated work hours depending on weather, business needs, and other conditions. Extreme heat, cold, rain, or drought may affect exact working hours.
</t>
  </si>
  <si>
    <t>TUOLUMNE</t>
  </si>
  <si>
    <t>Eastern Sierra-Mother Lode Region of California nonmetropolitan area</t>
  </si>
  <si>
    <t>P-400-23158-087220</t>
  </si>
  <si>
    <t xml:space="preserve">Employer makes all payroll deductions required by law. Employer does not envision other workforce-wide payroll deductions. Optional lodging and board available to all non-local workers. Employer deducts reasonable fair market value cost of lodging and board based on number of occupants for workers electing to reside in employer-offered housing (cost TBD). </t>
  </si>
  <si>
    <t>karenc@rushcreeklodge.com</t>
  </si>
  <si>
    <t>https://www.caljobs.ca.gov</t>
  </si>
  <si>
    <t>Sporn</t>
  </si>
  <si>
    <t>Emily</t>
  </si>
  <si>
    <t>H-400-23215-234983</t>
  </si>
  <si>
    <t>Dining Room Attendant</t>
  </si>
  <si>
    <t>Fast Food and Counter Workers</t>
  </si>
  <si>
    <t>BEAVER RUN RENTAL HOLDINGS</t>
  </si>
  <si>
    <t>BEAVER RUN RESORT</t>
  </si>
  <si>
    <t>620 VILLAGE RD</t>
  </si>
  <si>
    <t>BRECKENRIDGE</t>
  </si>
  <si>
    <t>HENLEY</t>
  </si>
  <si>
    <t>MARIETTA</t>
  </si>
  <si>
    <t>HR GENERALIST</t>
  </si>
  <si>
    <t>mhenley@beaverrun.com</t>
  </si>
  <si>
    <t>PH220</t>
  </si>
  <si>
    <t>NORTH BAY VILLAGE</t>
  </si>
  <si>
    <t>Must ne able to work weekends and holidays.</t>
  </si>
  <si>
    <t>P-400-23177-143162</t>
  </si>
  <si>
    <t xml:space="preserve">Optional housing is available $150/wk. per person and will be deducted biweekly plus all deductions required by law. $300 security deposit is required upon arrival. </t>
  </si>
  <si>
    <t>hr@beaverrun.com</t>
  </si>
  <si>
    <t>H-400-23280-416952</t>
  </si>
  <si>
    <t xml:space="preserve">Carnival Worker </t>
  </si>
  <si>
    <t xml:space="preserve">J &amp; A Foods, LLC </t>
  </si>
  <si>
    <t xml:space="preserve">3502 E. Equestrian Trail </t>
  </si>
  <si>
    <t xml:space="preserve">Phoenix </t>
  </si>
  <si>
    <t xml:space="preserve">Annamarie </t>
  </si>
  <si>
    <t xml:space="preserve">Owner </t>
  </si>
  <si>
    <t>annie@rcsfun.com</t>
  </si>
  <si>
    <t>gloria@pesusa.com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</si>
  <si>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criminal background check and post-employment / post-injury or incident and reasonable suspicion drug test required, cost paid by employer and applied equally to all workers, US and foreign/H2B. Applicants must cooperate with and complete job application and interview truthfully.
This job order, including its wage and working terms and conditions, is intended contingent upon prevailing U.S. immigration law, including Department of Labor and Department of Homeland Security regulations. If any such prevailing law is enjoined, invalidated, rescinded, superseded, vacated, or substantially modified, then the parties will re-negotiate in good faith any affected term.
</t>
  </si>
  <si>
    <t>1826 W. McDowell Rd</t>
  </si>
  <si>
    <t>MARICOPA</t>
  </si>
  <si>
    <t>Employer reserves the option to provide additional compensation for performance/tenure or may increase wages based on ch</t>
  </si>
  <si>
    <t>P-400-23172-133555</t>
  </si>
  <si>
    <t>Employer will make all deductions from worker’s paycheck required by law. Employer’s optional shared housing is provided at no cost to the worker valued at ($120/wk.) and local convenience travel valued at ($20/wk.).
Employer will provide workers at no charge all tools, supplies and equipment required to perform job. On the job training provided.</t>
  </si>
  <si>
    <t>www.azjobconnection.gov</t>
  </si>
  <si>
    <t>H-400-23199-195446</t>
  </si>
  <si>
    <t>Nanny</t>
  </si>
  <si>
    <t>E.T. Computer Consulting LLC</t>
  </si>
  <si>
    <t>Erald Troja</t>
  </si>
  <si>
    <t>240 Garth Rd</t>
  </si>
  <si>
    <t>APT 7E2</t>
  </si>
  <si>
    <t>SCARSDALE</t>
  </si>
  <si>
    <t>Troja</t>
  </si>
  <si>
    <t>Erald</t>
  </si>
  <si>
    <t>Employer/Parent</t>
  </si>
  <si>
    <t>240 GARTH RD</t>
  </si>
  <si>
    <t>eraldtroja@gmail.com</t>
  </si>
  <si>
    <t>Floyd Nielsen</t>
  </si>
  <si>
    <t>Trisha</t>
  </si>
  <si>
    <t>Ann</t>
  </si>
  <si>
    <t>36 Richmond Terrace</t>
  </si>
  <si>
    <t>Staten Island</t>
  </si>
  <si>
    <t>tfloyd@migrationusa.org</t>
  </si>
  <si>
    <t>Migration Resource Center</t>
  </si>
  <si>
    <t xml:space="preserve">Italian and Albanian
</t>
  </si>
  <si>
    <t>Apt. 7E2</t>
  </si>
  <si>
    <t>WESTCHESTER</t>
  </si>
  <si>
    <t>New York-Newark-Jersey City, NY-NJ-PA</t>
  </si>
  <si>
    <t>P-400-23114-958380</t>
  </si>
  <si>
    <t>H-400-23195-188632</t>
  </si>
  <si>
    <t>Machine Vision Inspection Technician</t>
  </si>
  <si>
    <t>Industrial Engineering Technologists and Technicians</t>
  </si>
  <si>
    <t>PIE USA Corp.</t>
  </si>
  <si>
    <t>1221 College Park Dr.</t>
  </si>
  <si>
    <t>Ste. 116</t>
  </si>
  <si>
    <t>Dover</t>
  </si>
  <si>
    <t>DE</t>
  </si>
  <si>
    <t>Kim</t>
  </si>
  <si>
    <t>Yang Hoon</t>
  </si>
  <si>
    <t>CEO/Director</t>
  </si>
  <si>
    <t>tchung@ciginter.com</t>
  </si>
  <si>
    <t xml:space="preserve">A. </t>
  </si>
  <si>
    <t>11 Times Square</t>
  </si>
  <si>
    <t>KY</t>
  </si>
  <si>
    <t xml:space="preserve">Must be able to lift/carry 25lbs. 
</t>
  </si>
  <si>
    <t>2022 Battery Park Drive</t>
  </si>
  <si>
    <t>Glendale</t>
  </si>
  <si>
    <t>HARDIN</t>
  </si>
  <si>
    <t>Elizabethtown-Fort Knox, KY</t>
  </si>
  <si>
    <t>Overtime hours may be available and will be paid at the overtime wage rate of $40.65 per hour.</t>
  </si>
  <si>
    <t>P-400-23130-009116</t>
  </si>
  <si>
    <t>Employer will make all deductions from the worker's paycheck as required by law. Employer will not make deductions for housing as employer will only assist with finding housing and will not provide housing.</t>
  </si>
  <si>
    <t>H-400-23191-177064</t>
  </si>
  <si>
    <t>Temporary Sewing Operator</t>
  </si>
  <si>
    <t>Sewing Machine Operators</t>
  </si>
  <si>
    <t xml:space="preserve">Must be able to sit, stand, bend, climb, lift, or walk for extended periods of time. Must be able to lift and stack products between 5 and 65 pounds. Must be able to see with close vision, distance vision, color vision, peripheral vision, depth perception, and ability to adjust focus. Must have high hand dexterity to operate sewing machines and ability to sort and cut textile parts for joining. Must be able to read and follow documented procedures and standards in English or Spanish.
</t>
  </si>
  <si>
    <t>1323 11th Ave N</t>
  </si>
  <si>
    <t>Nampa</t>
  </si>
  <si>
    <t>CANYON</t>
  </si>
  <si>
    <t>Boise City, ID</t>
  </si>
  <si>
    <t>P-400-23130-008785</t>
  </si>
  <si>
    <t>H-400-23215-237098</t>
  </si>
  <si>
    <t>Housekeeping Attendant</t>
  </si>
  <si>
    <t>Grand Performer Inc.</t>
  </si>
  <si>
    <t>Beaver Creek Lodge, a Kessler Collection resort</t>
  </si>
  <si>
    <t>26 Avondale Lane</t>
  </si>
  <si>
    <t>Avon</t>
  </si>
  <si>
    <t>Roseberry-Duffy</t>
  </si>
  <si>
    <t>Kathy</t>
  </si>
  <si>
    <t>Kathy.Roseberry-Duffy@kesslercollection.com</t>
  </si>
  <si>
    <t xml:space="preserve">Must have a minimum of one year of housekeeping experience.  Must be able to lift 50 lbs.  
</t>
  </si>
  <si>
    <t>P-400-23113-957750</t>
  </si>
  <si>
    <t xml:space="preserve"> Limited subsidized housing is available at a monthly cost of $500-650 per person. 
Employer will also assist with housing referrals/leads.</t>
  </si>
  <si>
    <t>Fragomen, Del Rey Bernsen &amp; Loewy, LLP</t>
  </si>
  <si>
    <t>H-400-23198-194709</t>
  </si>
  <si>
    <t>Framing Carpenter</t>
  </si>
  <si>
    <t>FA FRAMERS CONSTRUCTION</t>
  </si>
  <si>
    <t>2656 W 3600 S</t>
  </si>
  <si>
    <t>WEST HAVEN</t>
  </si>
  <si>
    <t>AVILA-SANTANA</t>
  </si>
  <si>
    <t>SUPERVISOR</t>
  </si>
  <si>
    <t>neogodinez@gmail.com</t>
  </si>
  <si>
    <t>LOPEZ</t>
  </si>
  <si>
    <t>VICTOR</t>
  </si>
  <si>
    <t>MANUEL</t>
  </si>
  <si>
    <t>2751 WASHINGTON BLVD.</t>
  </si>
  <si>
    <t>OGDEN</t>
  </si>
  <si>
    <t>hispanicservicecenter@hotmail.com</t>
  </si>
  <si>
    <t>CENTRO DE SERVICIOS HISPANOS</t>
  </si>
  <si>
    <t>NONE</t>
  </si>
  <si>
    <t>WEBER</t>
  </si>
  <si>
    <t>Ogden-Clearfield, UT</t>
  </si>
  <si>
    <t>P-400-23138-035646</t>
  </si>
  <si>
    <t>NEOGODINEZ@GMAIL.COM</t>
  </si>
  <si>
    <t>HISPANICSERVICECENTER@HOTMAIL.COM</t>
  </si>
  <si>
    <t>H-400-23249-323559</t>
  </si>
  <si>
    <t>Nanny/tutor</t>
  </si>
  <si>
    <t>Nannies</t>
  </si>
  <si>
    <t>Claire Cutting</t>
  </si>
  <si>
    <t xml:space="preserve">811 Lexington Avenue </t>
  </si>
  <si>
    <t>Apt. 3</t>
  </si>
  <si>
    <t xml:space="preserve">New York </t>
  </si>
  <si>
    <t>Cutting</t>
  </si>
  <si>
    <t>Claire</t>
  </si>
  <si>
    <t>Parent</t>
  </si>
  <si>
    <t>811 Lexington Avenue</t>
  </si>
  <si>
    <t>NEW YORK</t>
  </si>
  <si>
    <t>cekc45@yahoo.com</t>
  </si>
  <si>
    <t>O'DWYER</t>
  </si>
  <si>
    <t>PAUL</t>
  </si>
  <si>
    <t>11 Broadway</t>
  </si>
  <si>
    <t>Suite 715</t>
  </si>
  <si>
    <t>paul.odwyer@paulodwyerlaw.com</t>
  </si>
  <si>
    <t>LAW OFFICE OF PAUL O'DWYER PC</t>
  </si>
  <si>
    <t>New York State Supreme Court Appellate Division</t>
  </si>
  <si>
    <t>Associate's</t>
  </si>
  <si>
    <t xml:space="preserve">Ability to lift 30 pounds.
</t>
  </si>
  <si>
    <t>P-400-23181-160432</t>
  </si>
  <si>
    <t>CKJK811@gmail.com</t>
  </si>
  <si>
    <t>H-400-23261-355637</t>
  </si>
  <si>
    <t>Dishwasher / Busser</t>
  </si>
  <si>
    <t>Dining Room and Cafeteria Attendants and Bartender Helpers</t>
  </si>
  <si>
    <t>Vail Chop LLC</t>
  </si>
  <si>
    <t>Vail Chophouse</t>
  </si>
  <si>
    <t>675 Lionshead pl. (physical)</t>
  </si>
  <si>
    <t>PO Box 4022  Avon, Co. 81620 (mailing)</t>
  </si>
  <si>
    <t>Garrett</t>
  </si>
  <si>
    <t>Tami</t>
  </si>
  <si>
    <t>Operations</t>
  </si>
  <si>
    <t>675 Lionshead Pl., Vail, CO 81657 (physical)</t>
  </si>
  <si>
    <t>PO Box 4022, Avon, CO 81620 (mailing)</t>
  </si>
  <si>
    <t>tami@vailchophouse.com</t>
  </si>
  <si>
    <t>Novak</t>
  </si>
  <si>
    <t>Amy</t>
  </si>
  <si>
    <t>Jill</t>
  </si>
  <si>
    <t>2077 North Frontage Road West, St 111 (physical)</t>
  </si>
  <si>
    <t>PO Box 3487, Vail, CO, 81658 (mailing)</t>
  </si>
  <si>
    <t>amy@novaklawoffice.com</t>
  </si>
  <si>
    <t>Novak Law Firm</t>
  </si>
  <si>
    <t>Supreme Court of Colorado</t>
  </si>
  <si>
    <t>F.a.5 A-H. (continued)
Work may be performed on any day of the week from Monday through Sunday, including holidays. Days off vary. Shifts include:
8am - 4pm OR 3pm-11pm. Will require alternate workdays &amp; shifts.</t>
  </si>
  <si>
    <t>675 Lionshead Place</t>
  </si>
  <si>
    <t>P-400-23164-104711</t>
  </si>
  <si>
    <t xml:space="preserve">All deductions required by law will be made. </t>
  </si>
  <si>
    <t>H-400-23243-312435</t>
  </si>
  <si>
    <t xml:space="preserve">Room Attendant </t>
  </si>
  <si>
    <t>Chisholm Properties South Beach, Inc.</t>
  </si>
  <si>
    <t>Kimpton Surfcomber Hotel</t>
  </si>
  <si>
    <t>1717 Collins Avenue</t>
  </si>
  <si>
    <t>Privert</t>
  </si>
  <si>
    <t>Ketura</t>
  </si>
  <si>
    <t xml:space="preserve">People &amp; Culture Manager </t>
  </si>
  <si>
    <t>ketura.privert@surfcomber.com</t>
  </si>
  <si>
    <t xml:space="preserve">
The Petitioner will consider for employment any person who possesses at least three (3) months of experience at a high-end hotel, resort, or private club.   Applicant must complete pre-employment background check.
</t>
  </si>
  <si>
    <t xml:space="preserve">Wage: $14.50 per hour, paid semi-monthly.  Overtime is available at $21.75 per hour.  </t>
  </si>
  <si>
    <t>P-400-23202-206813</t>
  </si>
  <si>
    <t xml:space="preserve">Housing is not offered.  
Additional, optional benefits may be offered to worker, for worker’s sole benefit, including but not limited to Medical, Dental, Vision, and 401K.  If voluntarily elected by worker, employee costs/contributions for benefits will be deducted from paycheck.
</t>
  </si>
  <si>
    <t>Ketura.Privert@kimptonhotels.com</t>
  </si>
  <si>
    <t>H-400-23184-163403</t>
  </si>
  <si>
    <t>Welder</t>
  </si>
  <si>
    <t>SME Steel Contractors, Inc.</t>
  </si>
  <si>
    <t>5801 W. Wells Park Road</t>
  </si>
  <si>
    <t>West Jordan</t>
  </si>
  <si>
    <t>Barlow</t>
  </si>
  <si>
    <t>John</t>
  </si>
  <si>
    <t>VP of Human Resources</t>
  </si>
  <si>
    <t>john.barlow@smeindustries.com</t>
  </si>
  <si>
    <t>Luman</t>
  </si>
  <si>
    <t>Victoria</t>
  </si>
  <si>
    <t>Rose</t>
  </si>
  <si>
    <t>101 South 200 East</t>
  </si>
  <si>
    <t>Suite 700</t>
  </si>
  <si>
    <t>Salt Lake City</t>
  </si>
  <si>
    <t>vluman@parrbrown.com</t>
  </si>
  <si>
    <t>Parr Brown Gee &amp; Loveless</t>
  </si>
  <si>
    <t>Utah Supreme Court</t>
  </si>
  <si>
    <t>SALT LAKE</t>
  </si>
  <si>
    <t>Salt Lake City, UT</t>
  </si>
  <si>
    <t>P-400-23122-983800</t>
  </si>
  <si>
    <t>None.</t>
  </si>
  <si>
    <t>careers@smesteel.com</t>
  </si>
  <si>
    <t>H-400-23215-235702</t>
  </si>
  <si>
    <t>Shellfish Shucker</t>
  </si>
  <si>
    <t>Arnold's Seafood Sales</t>
  </si>
  <si>
    <t>121 Ingram St.</t>
  </si>
  <si>
    <t>Mailing: PO Box 543, Matagorda, TX 77457</t>
  </si>
  <si>
    <t>Matagorda</t>
  </si>
  <si>
    <t>Treybig</t>
  </si>
  <si>
    <t>Regina</t>
  </si>
  <si>
    <t>Co-Owner</t>
  </si>
  <si>
    <t>gperowski@hotmail.com</t>
  </si>
  <si>
    <t>Luchak</t>
  </si>
  <si>
    <t>Theresa</t>
  </si>
  <si>
    <t>2901 Bucks Bayou Rd</t>
  </si>
  <si>
    <t>Bay City</t>
  </si>
  <si>
    <t>tluchak@fewaglobal.org</t>
  </si>
  <si>
    <t>Federation of Employers and Workers of America</t>
  </si>
  <si>
    <t>Able to lift 50lbs, Random drug testing during employment, Monday-Friday, overtime varies.
All drug testing is performed without regard to an employees citizenship or immigration status, and all testing is paid for by the company. See the additional document attached for further details about the administration of our drug testing policy.</t>
  </si>
  <si>
    <t>MATAGORDA</t>
  </si>
  <si>
    <t>Coastal Plains Region of Texas nonmetropolitan area</t>
  </si>
  <si>
    <t>Prevailing Wage Amount or $1.50/lb of oysters shucked, whichever is greater</t>
  </si>
  <si>
    <t>P-400-23124-992334</t>
  </si>
  <si>
    <t>Employer may make payroll deductions at employee's request. Employer facilitates voluntary housing arrangements along with corresponding payroll deduction of $50.00/week.</t>
  </si>
  <si>
    <t>H-400-23276-407014</t>
  </si>
  <si>
    <t>Landscape Laborer</t>
  </si>
  <si>
    <t>AlaPine Forestry, LLC</t>
  </si>
  <si>
    <t>2238 Salt Works Road</t>
  </si>
  <si>
    <t>AL</t>
  </si>
  <si>
    <t>Skipper</t>
  </si>
  <si>
    <t>alapineforestry@gmail.com</t>
  </si>
  <si>
    <t>Thode</t>
  </si>
  <si>
    <t>Monica</t>
  </si>
  <si>
    <t>monica@laborci.com</t>
  </si>
  <si>
    <t>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</si>
  <si>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2238 Salt Works Road (Report to Work)</t>
  </si>
  <si>
    <t>CLARKE</t>
  </si>
  <si>
    <t>Southwest Alabama nonmetropolitan area</t>
  </si>
  <si>
    <t xml:space="preserve">H&amp;W Benefits may apply. </t>
  </si>
  <si>
    <t>P-400-23194-186450</t>
  </si>
  <si>
    <t>H-400-23215-235759</t>
  </si>
  <si>
    <t>Naples Marina Owner, LLC</t>
  </si>
  <si>
    <t>Hamilton Harbor Yacht Club</t>
  </si>
  <si>
    <t>7065 Hamilton Avenue</t>
  </si>
  <si>
    <t>Naples</t>
  </si>
  <si>
    <t>Parsons</t>
  </si>
  <si>
    <t>Jason</t>
  </si>
  <si>
    <t>jparsons@hamiltonharboryachtclub.com</t>
  </si>
  <si>
    <t xml:space="preserve">The Petitioner will consider for employment any person who possesses at least one (1) year of recent culinary experience in a fine-dining or high-volume environment at a high-end restaurant, resort, or private club. Applicant must complete pre-employment drug screening.
</t>
  </si>
  <si>
    <t>COLLIER</t>
  </si>
  <si>
    <t>Naples-Immokalee-Marco Island, FL</t>
  </si>
  <si>
    <t>Wage: $17.22 - $22.00 per hour, paid bi-weekly.  See job description for additional detail.</t>
  </si>
  <si>
    <t>P-400-23158-088277</t>
  </si>
  <si>
    <t xml:space="preserve">Optional housing is offered on a first-come, first-serve basis for workers who are relocating to begin employment.  Cost of housing, if accepted, is up to $325.00 per bi-weekly pay period or up to $650.00 per month.  If used, total cost of housing will be deducted from paycheck. A $250.00 refundable security deposit is required, to be deducted from first paycheck. </t>
  </si>
  <si>
    <t>JParsons@hamiltonharboryachtclub.com</t>
  </si>
  <si>
    <t>H-400-23264-367513</t>
  </si>
  <si>
    <t>Food Service Worker</t>
  </si>
  <si>
    <t>Flegy Inc.</t>
  </si>
  <si>
    <t>dba 41 Diner</t>
  </si>
  <si>
    <t>19050 S. Tamiami Trail</t>
  </si>
  <si>
    <t>Fort Myers</t>
  </si>
  <si>
    <t>Heidak</t>
  </si>
  <si>
    <t>Amro</t>
  </si>
  <si>
    <t>41diner@gmail.com</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</si>
  <si>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&amp; to meet job performance standards.  Overtime expected and mandatory.
</t>
  </si>
  <si>
    <t>See Addendum</t>
  </si>
  <si>
    <t>P-400-23221-251370</t>
  </si>
  <si>
    <t>The employer will make all deductions from the worker’s paycheck required by law. On an optional basis, the employer will assist those employees who opt-in in securing housing. Payment for this housing and any included utilities will be deducted from the worker’s pay. This deduction is estimated to be $200 bi-weekly.</t>
  </si>
  <si>
    <t>H-400-23217-241475</t>
  </si>
  <si>
    <t>Snowshoe's Most Wanted</t>
  </si>
  <si>
    <t>196 Beech Hollow Road</t>
  </si>
  <si>
    <t>Slatyfork</t>
  </si>
  <si>
    <t>WV</t>
  </si>
  <si>
    <t>Carte</t>
  </si>
  <si>
    <t>Owner/Operator</t>
  </si>
  <si>
    <t>snowshoes.most.wanted@gmail.com</t>
  </si>
  <si>
    <t>75 Mountain Lodge Lane</t>
  </si>
  <si>
    <t>10 Snowshoe Drive</t>
  </si>
  <si>
    <t>Snowshoe</t>
  </si>
  <si>
    <t>POCAHONTAS</t>
  </si>
  <si>
    <t>Southern West Virginia nonmetropolitan area</t>
  </si>
  <si>
    <t>P-400-23128-002493</t>
  </si>
  <si>
    <t xml:space="preserve">If housing is secured under the name of Snowshoe's Most Wanted, rent will be deducted from bi-weekly pay based on the amount of the housing that is secured, divided by the amount of employees that can comfortably live in that housing arrangement. That amount is currently unknown but would not exceed $500/month per employee. </t>
  </si>
  <si>
    <t>H-400-23200-199734</t>
  </si>
  <si>
    <t>Housekeeping</t>
  </si>
  <si>
    <t>TG Administration, LLC</t>
  </si>
  <si>
    <t>Troon Country Club</t>
  </si>
  <si>
    <t>25000 North Windy Walk Drive</t>
  </si>
  <si>
    <t>Scottsdale</t>
  </si>
  <si>
    <t>Wallace</t>
  </si>
  <si>
    <t>General Manager/Chief Operating Officer</t>
  </si>
  <si>
    <t>gwallace@troon.com</t>
  </si>
  <si>
    <t xml:space="preserve">The Petitioner will consider for employment any person who possesses at least three (3) months of experience at a high-end hotel, resort, or private club.   
</t>
  </si>
  <si>
    <t>Wage: $15.02 - $17.02 per hour, paid semi-monthly.  See job description for details.</t>
  </si>
  <si>
    <t>P-400-23142-043037</t>
  </si>
  <si>
    <t>Optional housing is offered on a first-come, first-serve basis for workers who are relocating to begin employment.  Cost of housing, utilities, trash removal, and internet, if accepted, is $150.00 to $350.00 per week.  If used, total cost of housing will be deducted from paycheck.  If housing is damaged during the employee’s stay, $500.00 will be charged for repair/replacement/extensive cleaning and will be deducted from paycheck to cover the cost. Additional, optional benefits may be offered to worker, for worker’s sole benefit, including but not limited to a 401k plan.  If voluntarily elected by worker, employee costs/contributions for benefits will be deducted from paycheck.</t>
  </si>
  <si>
    <t>nniemann@troon.com</t>
  </si>
  <si>
    <t>H-400-23228-268477</t>
  </si>
  <si>
    <t>Steward</t>
  </si>
  <si>
    <t>DH Stowe Management LLC</t>
  </si>
  <si>
    <t>The Lodge at Spruce Peak</t>
  </si>
  <si>
    <t>7412 Mountain Road</t>
  </si>
  <si>
    <t>Stowe</t>
  </si>
  <si>
    <t>Lockard</t>
  </si>
  <si>
    <t>david.lockard@destinationhotels.com</t>
  </si>
  <si>
    <t>Trainor</t>
  </si>
  <si>
    <t>Clark</t>
  </si>
  <si>
    <t>Tulley</t>
  </si>
  <si>
    <t>2945 Townsgate Road</t>
  </si>
  <si>
    <t>Westlake Village</t>
  </si>
  <si>
    <t>clark@ailc.com</t>
  </si>
  <si>
    <t>Law Office of Clark T Trainor</t>
  </si>
  <si>
    <t>Must be able to stand/walk up to 6-8 hours per day and lift, push, and pull a minimum of 50 lbs. Pre-hire background check required.  References might be requested.
On the job training will be provided.
Following Shifts available 7 days a week including weekends and holidays. 7am-3pm, 8am-4pm, 12pm-8pm, 4pm-12am, 11pm-7am
Wage Per Hour: $13.49-$22.00
Overtime Possible Per Hour at $20.24-$33.00
Possible Wage Increase: Based on merit and experience.</t>
  </si>
  <si>
    <t>STOWE</t>
  </si>
  <si>
    <t>Based on merit and experience.</t>
  </si>
  <si>
    <t>P-400-23122-985183</t>
  </si>
  <si>
    <t>All deductions required by law will be made.
Leased housing is not provided by the company but is available from private landlords upon request.
No deductions for housing will be made from paychecks. Assistance Provided to find Third Party Housing.
Daily transportation offered from work and back only from Company leased housing.
Optional Deductions from Paycheck: 401k or any elected benefits employee signs up for.
Pre-hire background check required. References might be requested.
Benefits: Shift meals, ski/ride passes, discounted rooms, golf access, other discounts at our entities.</t>
  </si>
  <si>
    <t>H2bjobs@destinationhotels.com</t>
  </si>
  <si>
    <t>https://forms.office.com/r/Xzgppxk2wV</t>
  </si>
  <si>
    <t>Room Attendant</t>
  </si>
  <si>
    <t>Myrtle Beach</t>
  </si>
  <si>
    <t>SC</t>
  </si>
  <si>
    <t>HORRY</t>
  </si>
  <si>
    <t>Myrtle Beach-Conway-North Myrtle Beach, SC-NC</t>
  </si>
  <si>
    <t>WKB Landscape &amp; Maintenance, Inc.</t>
  </si>
  <si>
    <t>6054 W 9790 S</t>
  </si>
  <si>
    <t>Berg</t>
  </si>
  <si>
    <t>Bill</t>
  </si>
  <si>
    <t>6054 West 9790 South</t>
  </si>
  <si>
    <t>bill@wkblandscape.com</t>
  </si>
  <si>
    <t>Navarrete</t>
  </si>
  <si>
    <t>Maritza</t>
  </si>
  <si>
    <t>79 W Birds Eye Ln</t>
  </si>
  <si>
    <t>VINEYARD</t>
  </si>
  <si>
    <t>Raises and/or bonuses at employer's discretion. Opportunity for higher pay dependent upon experience.</t>
  </si>
  <si>
    <t xml:space="preserve">Employer will make all deductions required by law from each paycheck. </t>
  </si>
  <si>
    <t>H-400-23298-455747</t>
  </si>
  <si>
    <t>Amusement Attendant</t>
  </si>
  <si>
    <t>Belle City Amusements, Inc.</t>
  </si>
  <si>
    <t>1901 S.R. 419</t>
  </si>
  <si>
    <t>(Mail:  PO Box 6269, Deltona, FL  32728)</t>
  </si>
  <si>
    <t>Longwood</t>
  </si>
  <si>
    <t>Panacek, Jr.</t>
  </si>
  <si>
    <t>Charles</t>
  </si>
  <si>
    <t>G</t>
  </si>
  <si>
    <t>PO Box 6269</t>
  </si>
  <si>
    <t>Deltona</t>
  </si>
  <si>
    <t>bellecityamusements@hotmail.com</t>
  </si>
  <si>
    <t>Pierce</t>
  </si>
  <si>
    <t>W</t>
  </si>
  <si>
    <t>133 Defense Highway</t>
  </si>
  <si>
    <t>Annapolis</t>
  </si>
  <si>
    <t>MD</t>
  </si>
  <si>
    <t>obowp@adventurelaw.com</t>
  </si>
  <si>
    <t>The Pierce Law Firm, LLC</t>
  </si>
  <si>
    <t>Supreme Court of Maryland</t>
  </si>
  <si>
    <t xml:space="preserve">Hours, schedule, and days vary widely.  
Typically Wed-Sun, 4pm  11pm; Mon-Tues, 9am  5pm.  
Often 35-45 hours per week, may go up to 60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Must pass post-hire drug and background check paid by employer.  Must be able to lift 50 pounds.
</t>
  </si>
  <si>
    <t>1301 17th Street West</t>
  </si>
  <si>
    <t>Palmetto</t>
  </si>
  <si>
    <t>MANATEE</t>
  </si>
  <si>
    <t>North Port-Sarasota-Bradenton, FL</t>
  </si>
  <si>
    <t>Merit/bonus/sick/recruiting/tenure pay, savings program at employer's discretion.  Uniform provided at no charge.</t>
  </si>
  <si>
    <t>P-400-23256-342704</t>
  </si>
  <si>
    <t>Optional mobile housing (valued at $175/week)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(valued at $25/week) is available for wage credit and/or deduction, or any lesser amount to the maximum extent not prohibited by law.</t>
  </si>
  <si>
    <t>KS</t>
  </si>
  <si>
    <t>WAYNE</t>
  </si>
  <si>
    <t>Mueller</t>
  </si>
  <si>
    <t>Caroline</t>
  </si>
  <si>
    <t>A</t>
  </si>
  <si>
    <t>2226 E. Enterprise Parkway</t>
  </si>
  <si>
    <t>Twinsburg</t>
  </si>
  <si>
    <t>Carolinamueller1@gmail.com</t>
  </si>
  <si>
    <t>SINTSIRMAS &amp; MUELLER CO. L.P.A.</t>
  </si>
  <si>
    <t>Landscaper</t>
  </si>
  <si>
    <t>Southampton</t>
  </si>
  <si>
    <t>Carlos</t>
  </si>
  <si>
    <t>HILDESHEIM</t>
  </si>
  <si>
    <t>LISSETTE</t>
  </si>
  <si>
    <t>1939 NE SAN CARLOS CALLE</t>
  </si>
  <si>
    <t>JENSEN BEACH</t>
  </si>
  <si>
    <t>lissette123@comcast.net</t>
  </si>
  <si>
    <t>Immigration USA</t>
  </si>
  <si>
    <t>SUFFOLK</t>
  </si>
  <si>
    <t>LANDSCAPING AND GROUNDSKEEPING WORKER</t>
  </si>
  <si>
    <t>PRO TURF INC</t>
  </si>
  <si>
    <t>2007 BROWNS VILLAGE RD</t>
  </si>
  <si>
    <t>LOUISVILLE</t>
  </si>
  <si>
    <t>SANSBURY</t>
  </si>
  <si>
    <t>RICK</t>
  </si>
  <si>
    <t>proturfinc@aol.com</t>
  </si>
  <si>
    <t>Cervantes</t>
  </si>
  <si>
    <t>Berthina</t>
  </si>
  <si>
    <t>169 Burt Rd.</t>
  </si>
  <si>
    <t>Suite A</t>
  </si>
  <si>
    <t>Lexington</t>
  </si>
  <si>
    <t>als@abacusinc.net</t>
  </si>
  <si>
    <t>ALS, INC.</t>
  </si>
  <si>
    <t>JEFFERSON</t>
  </si>
  <si>
    <t>Louisville/Jefferson County, KY-IN</t>
  </si>
  <si>
    <t>P-400-23175-141813</t>
  </si>
  <si>
    <t>Human Resources Coordinator</t>
  </si>
  <si>
    <t>Contreras</t>
  </si>
  <si>
    <t>Michele</t>
  </si>
  <si>
    <t>1040 North Kings Highway</t>
  </si>
  <si>
    <t>Suite 302</t>
  </si>
  <si>
    <t>Cherry Hill</t>
  </si>
  <si>
    <t>NJ</t>
  </si>
  <si>
    <t>New Jersey</t>
  </si>
  <si>
    <t>office@h-2visas.com</t>
  </si>
  <si>
    <t>Law Office of Michele Contreras, LLC</t>
  </si>
  <si>
    <t>NJ Supreme Court</t>
  </si>
  <si>
    <t>CHESTER</t>
  </si>
  <si>
    <t>Raises/bonuses may be offered to worker @ company's sole discretion based on work performance, skill, tenure</t>
  </si>
  <si>
    <t>Mark</t>
  </si>
  <si>
    <t>Constable</t>
  </si>
  <si>
    <t>Shaunette</t>
  </si>
  <si>
    <t>546 Main Street</t>
  </si>
  <si>
    <t>Orwell</t>
  </si>
  <si>
    <t>info@bookendsassociates.com</t>
  </si>
  <si>
    <t>none</t>
  </si>
  <si>
    <t>COOKS</t>
  </si>
  <si>
    <t>JOSEPH</t>
  </si>
  <si>
    <t>VP</t>
  </si>
  <si>
    <t>PRINCE GEORGE'S</t>
  </si>
  <si>
    <t>Washington-Arlington-Alexandria, DC-VA-MD-WV</t>
  </si>
  <si>
    <t>PAY RATE IS BASED ON PERFORMANCE</t>
  </si>
  <si>
    <t>yturnbull@concertgolfclubs.com</t>
  </si>
  <si>
    <t>Concrete Finishers</t>
  </si>
  <si>
    <t>M.</t>
  </si>
  <si>
    <t>Office Manager</t>
  </si>
  <si>
    <t>Ahl</t>
  </si>
  <si>
    <t>Bradley</t>
  </si>
  <si>
    <t>N.</t>
  </si>
  <si>
    <t>32450 Hwy. 257</t>
  </si>
  <si>
    <t>Windsor</t>
  </si>
  <si>
    <t>office@laborsolutions-inc.com</t>
  </si>
  <si>
    <t>Labor Solutions, Inc.</t>
  </si>
  <si>
    <t>ARAPAHOE</t>
  </si>
  <si>
    <t>Rebecca</t>
  </si>
  <si>
    <t>not applicable</t>
  </si>
  <si>
    <t>Callahan</t>
  </si>
  <si>
    <t>MITCHELL</t>
  </si>
  <si>
    <t>JACKIE</t>
  </si>
  <si>
    <t>3939 Twelve Oaks Ave</t>
  </si>
  <si>
    <t>Baton Rouge</t>
  </si>
  <si>
    <t>mitchell3939@cox.net</t>
  </si>
  <si>
    <t>Foreign Labor Solutions, LLC</t>
  </si>
  <si>
    <t>VERMILION</t>
  </si>
  <si>
    <t>Lafayette, LA</t>
  </si>
  <si>
    <t>Employer reserves the right to offer a higher wage to worker depending on the experience of worker for job offered.</t>
  </si>
  <si>
    <t>Garcia</t>
  </si>
  <si>
    <t>Samuel</t>
  </si>
  <si>
    <t>RICHMOND</t>
  </si>
  <si>
    <t>Piedmont North Carolina nonmetropolitan area</t>
  </si>
  <si>
    <t>Little Rock</t>
  </si>
  <si>
    <t>AR</t>
  </si>
  <si>
    <t>Michael</t>
  </si>
  <si>
    <t>Ryman</t>
  </si>
  <si>
    <t>Vanessa</t>
  </si>
  <si>
    <t>L</t>
  </si>
  <si>
    <t>2901 Bucks Bayou Rd.</t>
  </si>
  <si>
    <t>vryman@fewaglobal.org</t>
  </si>
  <si>
    <t>PULASKI</t>
  </si>
  <si>
    <t>Little Rock-North Little Rock-Conway, AR</t>
  </si>
  <si>
    <t>Raises/bonuses at employer's discretion.</t>
  </si>
  <si>
    <t>Vince</t>
  </si>
  <si>
    <t>CEO</t>
  </si>
  <si>
    <t>david@pesusa.com</t>
  </si>
  <si>
    <t>CUYAHOGA</t>
  </si>
  <si>
    <t>Cleveland-Elyria, OH</t>
  </si>
  <si>
    <t>Employer may increase wage based on experience, performance, tenure, or market conditions.</t>
  </si>
  <si>
    <t>Richmond</t>
  </si>
  <si>
    <t>Kenefick</t>
  </si>
  <si>
    <t>Devon</t>
  </si>
  <si>
    <t>190 James River Road</t>
  </si>
  <si>
    <t>Mailing: PO Box 868 Scottsville, VA 24590</t>
  </si>
  <si>
    <t>Scottsville</t>
  </si>
  <si>
    <t>devon@vkattorneys.us</t>
  </si>
  <si>
    <t>Voors &amp; Kenefick, P.C.</t>
  </si>
  <si>
    <t>Supreme Court of Virginia</t>
  </si>
  <si>
    <t>Richmond, VA</t>
  </si>
  <si>
    <t>Palacios</t>
  </si>
  <si>
    <t>Edward</t>
  </si>
  <si>
    <t>www.workintexas.com</t>
  </si>
  <si>
    <t>O'Fallon</t>
  </si>
  <si>
    <t>ST CHARLES</t>
  </si>
  <si>
    <t>St. Louis, MO-IL</t>
  </si>
  <si>
    <t>https://app-jobs.mo.gov/vosnet/Default.aspx</t>
  </si>
  <si>
    <t>Katherine</t>
  </si>
  <si>
    <t>Awendaw</t>
  </si>
  <si>
    <t>Wright</t>
  </si>
  <si>
    <t>Evelyn</t>
  </si>
  <si>
    <t>Amanda</t>
  </si>
  <si>
    <t>114 Lexington Turnpike, Suite 200</t>
  </si>
  <si>
    <t>P. O. Box 1226</t>
  </si>
  <si>
    <t>Amherst</t>
  </si>
  <si>
    <t>amanda@phoenixlabor.us</t>
  </si>
  <si>
    <t>Phoenix Labor Consultants LLC</t>
  </si>
  <si>
    <t>CHARLESTON</t>
  </si>
  <si>
    <t>Charleston-North Charleston, SC</t>
  </si>
  <si>
    <t>Character limit:  overtime is not guaranteed but if worked rate is paid at time and a half per hour above 40...</t>
  </si>
  <si>
    <t>Haddad</t>
  </si>
  <si>
    <t>Lisa</t>
  </si>
  <si>
    <t>Hufman</t>
  </si>
  <si>
    <t>Flevarakis1169@maslabor.com</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</si>
  <si>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 Employer provides incidental transportation between worksites as necessary.</t>
  </si>
  <si>
    <t>www.employflorida.com</t>
  </si>
  <si>
    <t>Flevarakis</t>
  </si>
  <si>
    <t>H-400-23336-538972</t>
  </si>
  <si>
    <t>HOUSEKEEPERS</t>
  </si>
  <si>
    <t>OAKMONT COUNTRY CLUB</t>
  </si>
  <si>
    <t>1233 HULTON ROAD</t>
  </si>
  <si>
    <t>OAKMONT</t>
  </si>
  <si>
    <t>DAVERSA</t>
  </si>
  <si>
    <t>VINCENT</t>
  </si>
  <si>
    <t>ASSISTANT GENERAL MANAGER</t>
  </si>
  <si>
    <t>ALLEGHENY</t>
  </si>
  <si>
    <t>Pittsburgh, PA</t>
  </si>
  <si>
    <t>P-400-23198-193018</t>
  </si>
  <si>
    <t>Optional housing is available at no cost to employee. Utilities have to be paid &amp; will be deducted from paycheck as billed monthly. Emplyee will be responsiable for Utilities payable to club on a monthly basis. A 350.00 refundable deposit will be deducted from paycheck and returned upon inspection at the end of contract.</t>
  </si>
  <si>
    <t>vdaversa@oakmont-countryclub.org</t>
  </si>
  <si>
    <t>Production Worker</t>
  </si>
  <si>
    <t>Helpers--Production Workers</t>
  </si>
  <si>
    <t>Lopez</t>
  </si>
  <si>
    <t>Green</t>
  </si>
  <si>
    <t>Annika</t>
  </si>
  <si>
    <t>annika@laborci.com</t>
  </si>
  <si>
    <t>TALLAPOOSA</t>
  </si>
  <si>
    <t>Northeast Alabama nonmetropolitan area</t>
  </si>
  <si>
    <t xml:space="preserve">Wage may vary based on Experience. </t>
  </si>
  <si>
    <t>Suite 300</t>
  </si>
  <si>
    <t>Blue Bell</t>
  </si>
  <si>
    <t>D'Arrigo</t>
  </si>
  <si>
    <t>Leonard</t>
  </si>
  <si>
    <t>677 Broadway</t>
  </si>
  <si>
    <t>Suite 1101</t>
  </si>
  <si>
    <t>Albany</t>
  </si>
  <si>
    <t>Harris Beach PLLC</t>
  </si>
  <si>
    <t>New York Court of Appeals</t>
  </si>
  <si>
    <t>HENNEPIN</t>
  </si>
  <si>
    <t>Minneapolis-St. Paul-Bloomington, MN-WI</t>
  </si>
  <si>
    <t>CREW MEMBER</t>
  </si>
  <si>
    <t>Yard-Nique, Inc.</t>
  </si>
  <si>
    <t>10014 Chapel Hill Rd</t>
  </si>
  <si>
    <t>MORRISVILLE</t>
  </si>
  <si>
    <t>DUMONT</t>
  </si>
  <si>
    <t>BRIAN</t>
  </si>
  <si>
    <t>PRESIDENT/CEO</t>
  </si>
  <si>
    <t>h2b@yardnique.com</t>
  </si>
  <si>
    <t>AARON@PESUSA.COM</t>
  </si>
  <si>
    <t>Lakeland</t>
  </si>
  <si>
    <t>Lakeland-Winter Haven, FL</t>
  </si>
  <si>
    <t xml:space="preserve">A single workweek will be used in computing wages due. Workers will be paid bi-weekly. 
The employer will make all deductions from the worker's paycheck required by law. Optional employee-shared housing is available at approx. cost of $100- $250 per week, payroll deducted if employee elects. Optional medical/dental/vision insurance available at approx. cost $31.63 - $321.34 per week, payroll deducted if employee elects. Smartphone use may be required with stipend reimbursement at approx. $25 per bi-weekly paycheck. Optional daily transportation available to/from housing/worksite for approx. $5-20 per week, payroll deducted if employee elects.
Employer will provide required uniform at no cost to employee. Additional uniforms available for approx. $5-25 per bi-weekly paycheck, payroll deducted if employee elects.
</t>
  </si>
  <si>
    <t>H-400-23333-530315</t>
  </si>
  <si>
    <t>Grounds Pro, LLC</t>
  </si>
  <si>
    <t>7659 Airline Hwy</t>
  </si>
  <si>
    <t>Sommers</t>
  </si>
  <si>
    <t>ben@groundsprolandscape.com</t>
  </si>
  <si>
    <t>7659 Airline Hwy (Report to Work)</t>
  </si>
  <si>
    <t>EAST BATON ROUGE</t>
  </si>
  <si>
    <t>Baton Rouge, LA</t>
  </si>
  <si>
    <t>P-400-23181-160735</t>
  </si>
  <si>
    <t>Optional, shared furnished housing available to the worker at a weekly housing rate up to $75.00; if optional housing is agreed upon by the worker, housing rate will be deducted from worker's paycheck incrementally (weekly).At Employer’s sole discretion: possible cash advances (if applicable/requested by worker, potential deduction from worker’s paycheck).</t>
  </si>
  <si>
    <t>H-400-23321-509674</t>
  </si>
  <si>
    <t>Riverwalk Hotel and Spa Corporation</t>
  </si>
  <si>
    <t>Mokara Hotel &amp; Spa</t>
  </si>
  <si>
    <t>212 W Crockett St</t>
  </si>
  <si>
    <t>Lemus</t>
  </si>
  <si>
    <t>jlemus@omnihotels.com</t>
  </si>
  <si>
    <t>aaron@pesusa.com</t>
  </si>
  <si>
    <t xml:space="preserve">No minimum education or experience required. 
Must pass a post-employment criminal background check,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 in the first workweek for all visa, visa processing, border crossing, and other related fees, including those mandated by the government (excluding passport fees).
The employer will provide workers at no charge all tools, supplies, and equipment required to perform job. Uniform provided at no charge to worker. 
The employer guarantees to offer work for hours equal to at least three-fourths of the workdays in each 12-week period of the total employment period.
</t>
  </si>
  <si>
    <t>BEXAR</t>
  </si>
  <si>
    <t xml:space="preserve">Employer may increase wage based on experience, tenure, performance, or market conditions. </t>
  </si>
  <si>
    <t>P-400-23199-196299</t>
  </si>
  <si>
    <t>A single workweek will be used in computing wages due. Pay received bi-weekly. 
Employer will make all deductions from the worker's paycheck required by law. Employer will assist in locating housing. 
Daily transportation provided to/from worksite/housing via public bus transportation, 1 bus pass provided by the employer at no cost to the worker.</t>
  </si>
  <si>
    <t>Thomas</t>
  </si>
  <si>
    <t xml:space="preserve">The Petitioner will consider for employment any person who possesses at least six (6) months of culinary experience in a fine-dining or high-volume environment at a high-end restaurant, resort, or private club.
</t>
  </si>
  <si>
    <t>SOMERSET</t>
  </si>
  <si>
    <t>Wilmington</t>
  </si>
  <si>
    <t>www.ncworks.gov</t>
  </si>
  <si>
    <t>Housekeepers</t>
  </si>
  <si>
    <t>kathleen@pesusa.com</t>
  </si>
  <si>
    <t>Northeast Coastal North Carolina nonmetropolitan area</t>
  </si>
  <si>
    <t>Ground Person</t>
  </si>
  <si>
    <t>ncworks.gov</t>
  </si>
  <si>
    <t>Elena</t>
  </si>
  <si>
    <t>Belgrade</t>
  </si>
  <si>
    <t>GALLATIN</t>
  </si>
  <si>
    <t>DAVID</t>
  </si>
  <si>
    <t>COO</t>
  </si>
  <si>
    <t>LAKE</t>
  </si>
  <si>
    <t>LANDSCAPE LABORER</t>
  </si>
  <si>
    <t>Mealy</t>
  </si>
  <si>
    <t>Irina</t>
  </si>
  <si>
    <t>V</t>
  </si>
  <si>
    <t>2301 Stonebrook Drive</t>
  </si>
  <si>
    <t>Muscatine</t>
  </si>
  <si>
    <t>irina.engel@iworkmarket.com</t>
  </si>
  <si>
    <t>iWorkMarket</t>
  </si>
  <si>
    <t>JOHNSON</t>
  </si>
  <si>
    <t>Iowa City, IA</t>
  </si>
  <si>
    <t>MOUNTAINTOP GOLF &amp; LAKE CLUB INC</t>
  </si>
  <si>
    <t>34 HIGH MOUNTAIN DRIVE #4</t>
  </si>
  <si>
    <t>CASHIERS</t>
  </si>
  <si>
    <t>MATLAGA</t>
  </si>
  <si>
    <t>STEVE</t>
  </si>
  <si>
    <t>smatlaga@mountaintopgolfclub.com</t>
  </si>
  <si>
    <t>Pigeon Forge</t>
  </si>
  <si>
    <t>Maglin</t>
  </si>
  <si>
    <t>Sherman</t>
  </si>
  <si>
    <t>11155 Dolfield Blvd.</t>
  </si>
  <si>
    <t>Suite 216</t>
  </si>
  <si>
    <t>kmaglin@unitedworkandtravel.com</t>
  </si>
  <si>
    <t>United Work and Travel</t>
  </si>
  <si>
    <t xml:space="preserve">Appellate Div. of the Supreme Court, 1st Dept. </t>
  </si>
  <si>
    <t>SEVIER</t>
  </si>
  <si>
    <t>East Tennessee nonmetropolitan area</t>
  </si>
  <si>
    <t xml:space="preserve">All deductions required by law will be made, and no deductions not required by law will be made. </t>
  </si>
  <si>
    <t>Shaw</t>
  </si>
  <si>
    <t>Roy</t>
  </si>
  <si>
    <t>The Supreme Court of Maryland</t>
  </si>
  <si>
    <t>ANNE ARUNDEL</t>
  </si>
  <si>
    <t>Baltimore-Columbia-Towson, MD</t>
  </si>
  <si>
    <t>Landscape Maintenance Workers</t>
  </si>
  <si>
    <t>Broomall</t>
  </si>
  <si>
    <t>Donna</t>
  </si>
  <si>
    <t>Duck3127@maslabor.com</t>
  </si>
  <si>
    <t>https://www.pacareerlink.pa.gov</t>
  </si>
  <si>
    <t>Duck</t>
  </si>
  <si>
    <t>Megan</t>
  </si>
  <si>
    <t>Moore</t>
  </si>
  <si>
    <t>Karen</t>
  </si>
  <si>
    <t>F.</t>
  </si>
  <si>
    <t>Company President</t>
  </si>
  <si>
    <t>jobs.scworks.org/vosnet/Default.aspx</t>
  </si>
  <si>
    <t>Mike</t>
  </si>
  <si>
    <t>Carlson</t>
  </si>
  <si>
    <t>Farmworkers and Laborers, Crop, Nursery, and Greenhouse</t>
  </si>
  <si>
    <t>Jones</t>
  </si>
  <si>
    <t>Alan</t>
  </si>
  <si>
    <t>Reinke</t>
  </si>
  <si>
    <t>Hannah</t>
  </si>
  <si>
    <t>hannah@laborci.com</t>
  </si>
  <si>
    <t>BALTIMORE</t>
  </si>
  <si>
    <t>Laundry Attendant</t>
  </si>
  <si>
    <t>Laundry and Dry-Cleaning Workers</t>
  </si>
  <si>
    <t>VP, Human Resources</t>
  </si>
  <si>
    <t>rbilka@pesusa.com</t>
  </si>
  <si>
    <t>Please see Section F.a.4.</t>
  </si>
  <si>
    <t>www.jobs4tn.gov</t>
  </si>
  <si>
    <t>Landscape Laborers</t>
  </si>
  <si>
    <t>Hinckley</t>
  </si>
  <si>
    <t>Anthony</t>
  </si>
  <si>
    <t>Owner/Member</t>
  </si>
  <si>
    <t>MEDINA</t>
  </si>
  <si>
    <t>ohiomeansjobs.com</t>
  </si>
  <si>
    <t>Murray</t>
  </si>
  <si>
    <t>Genuine Builders Inc</t>
  </si>
  <si>
    <t xml:space="preserve">301 South Hwy 81 </t>
  </si>
  <si>
    <t>Arlington</t>
  </si>
  <si>
    <t>SD</t>
  </si>
  <si>
    <t>Bunker</t>
  </si>
  <si>
    <t>Jim</t>
  </si>
  <si>
    <t>301 S. Hwy 81</t>
  </si>
  <si>
    <t>jim@gbiconcrete.com</t>
  </si>
  <si>
    <t>Doctorate (PhD)</t>
  </si>
  <si>
    <t xml:space="preserve">Some weekend work. Must be able to handle temperature extremes. Must be able to lift and carry 75 lbs. for 50 yards.
</t>
  </si>
  <si>
    <t>Central Indiana nonmetropolitan area</t>
  </si>
  <si>
    <t>Wage rate may vary based on experience and/or merit. Up to 10 hours of overtime may be available but are not guaranteed.</t>
  </si>
  <si>
    <t>H-400-23307-478235</t>
  </si>
  <si>
    <t>Guest Engagement Associate</t>
  </si>
  <si>
    <t>Holiday Inn Club Vacations Incorporated</t>
  </si>
  <si>
    <t>8505 W Irlo Bronson Memorial Hwy</t>
  </si>
  <si>
    <t>Kissimmee</t>
  </si>
  <si>
    <t>Barragan</t>
  </si>
  <si>
    <t>Blanca</t>
  </si>
  <si>
    <t>TA Operations Manager</t>
  </si>
  <si>
    <t>David@pesusa.com</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</si>
  <si>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work in a non-climate-controlled environment.
Must be able to work in severe inclement weather and varying degrees of extreme temperature.
Must be able to be exposed to various industrial chemicals, cleaning agents, etc.
Must be able to be exposed to strong odors, and loud noise levels.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$59.00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</si>
  <si>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 xml:space="preserve">8505 W Irlo Bronson Memorial Hwy </t>
  </si>
  <si>
    <t xml:space="preserve">Kissimmee </t>
  </si>
  <si>
    <t>OSCEOLA</t>
  </si>
  <si>
    <t>Orlando-Kissimmee-Sanford, FL</t>
  </si>
  <si>
    <t>P-400-23191-177032</t>
  </si>
  <si>
    <t xml:space="preserve">A single workweek will be used in computing wages due. Workers will be paid weekly.
Employer will make all deductions from the worker's paycheck required by law. Optional employee only shared housing available onsite, including utilities, at approximately $110 per week. Housing cost payroll deducted if worker elects.
Public transportation is located in front of worksite. Employee is responsible for their own transportation to and from the worksite. 
</t>
  </si>
  <si>
    <t>Kruisman</t>
  </si>
  <si>
    <t>Arno</t>
  </si>
  <si>
    <t>J.</t>
  </si>
  <si>
    <t>2389 S Highway 33</t>
  </si>
  <si>
    <t>Driggs</t>
  </si>
  <si>
    <t>Southeast-Central Idaho nonmetropolitan area</t>
  </si>
  <si>
    <t>O'Brien</t>
  </si>
  <si>
    <t>The wage rate may vary on experience and/or merit.Up to 10 hours of overtime may be available but not guaranteed.</t>
  </si>
  <si>
    <t>H-400-23333-530327</t>
  </si>
  <si>
    <t>Southern Turf Lawn &amp; Landscape, LLC</t>
  </si>
  <si>
    <t>24069 Ferry Landing Dr.</t>
  </si>
  <si>
    <t>Denham Springs</t>
  </si>
  <si>
    <t>Netterville</t>
  </si>
  <si>
    <t>Jesse</t>
  </si>
  <si>
    <t>office@southernturfbr.com</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</si>
  <si>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
</t>
  </si>
  <si>
    <t>24069 Ferry Landing Dr. (Report to Work)</t>
  </si>
  <si>
    <t>LIVINGSTON</t>
  </si>
  <si>
    <t>P-400-23181-160742</t>
  </si>
  <si>
    <t>SHORT ORDER COOK</t>
  </si>
  <si>
    <t>Cooks, Short Order</t>
  </si>
  <si>
    <t>Massachusetts nonmetropolitan area</t>
  </si>
  <si>
    <t>General Laborers</t>
  </si>
  <si>
    <t>Laborers and Freight, Stock, and Material Movers, Hand</t>
  </si>
  <si>
    <t>Hampton Bays</t>
  </si>
  <si>
    <t>katelyn@laborci.com</t>
  </si>
  <si>
    <t>Landscape Worker</t>
  </si>
  <si>
    <t>Elliott</t>
  </si>
  <si>
    <t>Tara</t>
  </si>
  <si>
    <t>HR</t>
  </si>
  <si>
    <t>IBERVILLE</t>
  </si>
  <si>
    <t>Groundskeeper</t>
  </si>
  <si>
    <t>Greenville</t>
  </si>
  <si>
    <t>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t>
  </si>
  <si>
    <t>Greenville-Anderson-Mauldin, SC</t>
  </si>
  <si>
    <t>NE</t>
  </si>
  <si>
    <t>Jacob</t>
  </si>
  <si>
    <t>Chief Operating Officer</t>
  </si>
  <si>
    <t>Sevcik</t>
  </si>
  <si>
    <t>Jeremy</t>
  </si>
  <si>
    <t>1125 South 103rd Street</t>
  </si>
  <si>
    <t>Omaha</t>
  </si>
  <si>
    <t>ryan.sevcik@koleyjessen.com</t>
  </si>
  <si>
    <t>Koley Jessen P.C., L.L.O.</t>
  </si>
  <si>
    <t>Nebraska Supreme Court</t>
  </si>
  <si>
    <t>Omaha-Council Bluffs, NE-IA</t>
  </si>
  <si>
    <t>Anderson</t>
  </si>
  <si>
    <t>Edgar</t>
  </si>
  <si>
    <t>G.</t>
  </si>
  <si>
    <t>Hruz</t>
  </si>
  <si>
    <t>Branislav</t>
  </si>
  <si>
    <t>8352 Tyler Blvd</t>
  </si>
  <si>
    <t>Mentor</t>
  </si>
  <si>
    <t>brano11@gmail.com</t>
  </si>
  <si>
    <t>Branislav Hruz CO LPA</t>
  </si>
  <si>
    <t>The Supreme Court of Ohio</t>
  </si>
  <si>
    <t>Indianapolis-Carmel-Anderson, IN</t>
  </si>
  <si>
    <t>Possible raises, bonuses, or incentives dependent on tenure with company, experience, or job performance.</t>
  </si>
  <si>
    <t>Door-to-Door Sales Workers, News and Street Vendors, and Related Workers</t>
  </si>
  <si>
    <t>Provo</t>
  </si>
  <si>
    <t>Morris</t>
  </si>
  <si>
    <t>Whitney</t>
  </si>
  <si>
    <t>h2@harrisbeach.com</t>
  </si>
  <si>
    <t>Court of Appeals</t>
  </si>
  <si>
    <t>Louisville</t>
  </si>
  <si>
    <t>Valero</t>
  </si>
  <si>
    <t>H2@HarrisBeach.com</t>
  </si>
  <si>
    <t>First-Line Supervisors of Food Preparation and Serving Workers</t>
  </si>
  <si>
    <t>Patterson</t>
  </si>
  <si>
    <t>Butzel</t>
  </si>
  <si>
    <t>Suite 1200; 201 W. Big Beaver Rd.</t>
  </si>
  <si>
    <t>Troy</t>
  </si>
  <si>
    <t>patterson@butzel.com</t>
  </si>
  <si>
    <t>Butzel Long</t>
  </si>
  <si>
    <t>Other degree (JD, MD, etc.)</t>
  </si>
  <si>
    <t>GRAND TRAVERSE</t>
  </si>
  <si>
    <t xml:space="preserve">Raises and bonuses available based on performance or length of service with the employer. </t>
  </si>
  <si>
    <t>Ruis</t>
  </si>
  <si>
    <t>Jodi</t>
  </si>
  <si>
    <t>HAYWOOD</t>
  </si>
  <si>
    <t>Asheville, NC</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</si>
  <si>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No daily transportation to/from workers' home and primary worksite. Employer provides incidental transportation between multiple worksites as necessary. Such transportation complies with all applicable Federal, State, and local laws/regulations.</t>
  </si>
  <si>
    <t>Raleigh</t>
  </si>
  <si>
    <t>Rob</t>
  </si>
  <si>
    <t>Kyung Hee</t>
  </si>
  <si>
    <t>imin@iminusa.net</t>
  </si>
  <si>
    <t>Law Offices of Kyung Hee Lee, PC</t>
  </si>
  <si>
    <t>Washington Supreme Court</t>
  </si>
  <si>
    <t>Virginia Beach</t>
  </si>
  <si>
    <t>VIRGINIA BEACH CITY</t>
  </si>
  <si>
    <t>Virginia Beach-Norfolk-Newport News, VA-NC</t>
  </si>
  <si>
    <t>Construction laborer</t>
  </si>
  <si>
    <t>Bedell</t>
  </si>
  <si>
    <t>1303 ROBINHOOD LN N</t>
  </si>
  <si>
    <t>john@hvisasolutions.com</t>
  </si>
  <si>
    <t>LINCOLN</t>
  </si>
  <si>
    <t>Sioux Falls, SD</t>
  </si>
  <si>
    <t>Hodgson</t>
  </si>
  <si>
    <t>Amber</t>
  </si>
  <si>
    <t>amber@laborci.com</t>
  </si>
  <si>
    <t>Must be 18 due to state labor laws.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t>
  </si>
  <si>
    <t>CHRISTIAN</t>
  </si>
  <si>
    <t>Springfield, MO</t>
  </si>
  <si>
    <t>Taylor</t>
  </si>
  <si>
    <t>Director of Administration</t>
  </si>
  <si>
    <t>Jamerson1157@maslabor.com</t>
  </si>
  <si>
    <t>Corpus Christi</t>
  </si>
  <si>
    <t>NUECES</t>
  </si>
  <si>
    <t>Corpus Christi, TX</t>
  </si>
  <si>
    <t>Jamerson</t>
  </si>
  <si>
    <t>Sonora</t>
  </si>
  <si>
    <t>Seals</t>
  </si>
  <si>
    <t>Linda</t>
  </si>
  <si>
    <t>lseals@fewaglobal.org</t>
  </si>
  <si>
    <t>LYON</t>
  </si>
  <si>
    <t>Bonus at employer's discretion</t>
  </si>
  <si>
    <t>Employer may make payroll deductions at employee's request</t>
  </si>
  <si>
    <t>MIKE</t>
  </si>
  <si>
    <t>YOUNGBLOOD</t>
  </si>
  <si>
    <t>KARA</t>
  </si>
  <si>
    <t>203 E MORFORD ST</t>
  </si>
  <si>
    <t>MCMINNVILLE</t>
  </si>
  <si>
    <t>H2@YOUNGBLOODASSOCIATES.COM</t>
  </si>
  <si>
    <t>YOUNGBLOOD &amp; ASSOCIATES, PLLC</t>
  </si>
  <si>
    <t>SUPREME COURT OF TENNESSEE</t>
  </si>
  <si>
    <t>Jackson, TN</t>
  </si>
  <si>
    <t>Higher pay and/or other incentives available based on performance.</t>
  </si>
  <si>
    <t>Wells</t>
  </si>
  <si>
    <t>Director of Operations</t>
  </si>
  <si>
    <t>WELLS TOWN</t>
  </si>
  <si>
    <t>Southwest Maine nonmetropolitan area</t>
  </si>
  <si>
    <t>Martinez</t>
  </si>
  <si>
    <t>Fernando</t>
  </si>
  <si>
    <t>Richard</t>
  </si>
  <si>
    <t>Lafayette</t>
  </si>
  <si>
    <t>Louisiana Supreme Court</t>
  </si>
  <si>
    <t>RAPIDES</t>
  </si>
  <si>
    <t>Alexandria, LA</t>
  </si>
  <si>
    <t>IRRIGATION HELPER</t>
  </si>
  <si>
    <t>NH</t>
  </si>
  <si>
    <t>CHARLES</t>
  </si>
  <si>
    <t>Portsmouth, NH-ME</t>
  </si>
  <si>
    <t>PAY RATE BASED ON PERFORMANCE</t>
  </si>
  <si>
    <t>H-400-23336-539103</t>
  </si>
  <si>
    <t>Deckhand/ Header</t>
  </si>
  <si>
    <t>Shrimp Hunter 2, Inc.</t>
  </si>
  <si>
    <t>The Principal</t>
  </si>
  <si>
    <t>488 CR 413</t>
  </si>
  <si>
    <t>Selina</t>
  </si>
  <si>
    <t>kgarciatrawlers@yahoo.com</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</si>
  <si>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Delivery and availability of seafood product from fisherman may result in possible downtimes due to weather conditions. </t>
  </si>
  <si>
    <t>111 Friery Road (Report to Work)</t>
  </si>
  <si>
    <t xml:space="preserve">Palacios </t>
  </si>
  <si>
    <t>P-400-23181-160715</t>
  </si>
  <si>
    <t>Industrial Truck and Tractor Operators</t>
  </si>
  <si>
    <t>Peter</t>
  </si>
  <si>
    <t>Vukota</t>
  </si>
  <si>
    <t>Marilyn</t>
  </si>
  <si>
    <t>H</t>
  </si>
  <si>
    <t>PO Box 1270</t>
  </si>
  <si>
    <t>282 Upper Main St</t>
  </si>
  <si>
    <t>Edgartown</t>
  </si>
  <si>
    <t>mhv@edgartownlaw.com</t>
  </si>
  <si>
    <t>McCarron Murphy &amp; Vukota LLP</t>
  </si>
  <si>
    <t>Maryland nonmetropolitan area</t>
  </si>
  <si>
    <t>https://mwejobs.maryland.gov</t>
  </si>
  <si>
    <t>CAPE NEDDICK</t>
  </si>
  <si>
    <t>YORK TOWN</t>
  </si>
  <si>
    <t>Wayne</t>
  </si>
  <si>
    <t>King of Prussia</t>
  </si>
  <si>
    <t>Employer may make payroll deductions at employee's request.</t>
  </si>
  <si>
    <t>Rochester</t>
  </si>
  <si>
    <t>OAKLAND</t>
  </si>
  <si>
    <t>Detroit-Warren-Dearborn, MI</t>
  </si>
  <si>
    <t>H-400-23310-480635</t>
  </si>
  <si>
    <t>landscape laborer</t>
  </si>
  <si>
    <t>Excell Maintenance Services, Inc.</t>
  </si>
  <si>
    <t>2250 US Route 322</t>
  </si>
  <si>
    <t>Woolwich Township</t>
  </si>
  <si>
    <t>Falabella</t>
  </si>
  <si>
    <t>jen@excellmaintenance.com</t>
  </si>
  <si>
    <t>Anna</t>
  </si>
  <si>
    <t>Daniel</t>
  </si>
  <si>
    <t>George</t>
  </si>
  <si>
    <t>1771 S Taylor Drive</t>
  </si>
  <si>
    <t>anna.law@verizon.net</t>
  </si>
  <si>
    <t>ANNA &amp; ANNA, P.C.</t>
  </si>
  <si>
    <t>Pennsylvania Supreme Court</t>
  </si>
  <si>
    <t xml:space="preserve">Must be able to lift and  carry 50 pounds.
</t>
  </si>
  <si>
    <t>GLOUCESTER</t>
  </si>
  <si>
    <t>P-400-23222-254433</t>
  </si>
  <si>
    <t>Only as required by law.</t>
  </si>
  <si>
    <t>H-400-23311-483590</t>
  </si>
  <si>
    <t xml:space="preserve"> Amusement &amp; Recreation Attendant – Traveling Carnival</t>
  </si>
  <si>
    <t>Greater Midwest Shows, LLC</t>
  </si>
  <si>
    <t>717 Auburn Place NW</t>
  </si>
  <si>
    <t>(Mail to: 32451 Hwy 16, Amite, LA 70422)</t>
  </si>
  <si>
    <t>Elk River</t>
  </si>
  <si>
    <t>Tanner</t>
  </si>
  <si>
    <t>Greatermidwestshows@aol.com</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</si>
  <si>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t>
  </si>
  <si>
    <t>SHERBURNE</t>
  </si>
  <si>
    <t>P-400-23199-197022</t>
  </si>
  <si>
    <t xml:space="preserve">Employer will make all deductions from the worker’s paycheck required by law.  In addition, the employer intends to make the following deductions from the worker’s paycheck which are not required by law:   NONE Optional mobile housing (valued at $175.00 per week) and local convenience travel (valued at $25.00 per week) are available at no cost to the worker.  </t>
  </si>
  <si>
    <t>greatermidwestshows@aol.com</t>
  </si>
  <si>
    <t>Colorado Springs</t>
  </si>
  <si>
    <t>Colorado Springs, CO</t>
  </si>
  <si>
    <t>CT</t>
  </si>
  <si>
    <t>Rafael</t>
  </si>
  <si>
    <t>221 River Street, 9th Floor</t>
  </si>
  <si>
    <t>Hoboken</t>
  </si>
  <si>
    <t>info@rafaelfigueroalaw.com</t>
  </si>
  <si>
    <t>New Jersey Supreme Court</t>
  </si>
  <si>
    <t>HARTFORD CITY</t>
  </si>
  <si>
    <t>Hartford-West Hartford-East Hartford, CT</t>
  </si>
  <si>
    <t>All deductions from worker's paycheck required by law will be made.</t>
  </si>
  <si>
    <t>Kanney1069@maslabor.com</t>
  </si>
  <si>
    <t>Columbus, OH</t>
  </si>
  <si>
    <t>Kanney</t>
  </si>
  <si>
    <t>ORANGE</t>
  </si>
  <si>
    <t>South Nebraska nonmetropolitan area</t>
  </si>
  <si>
    <t>H-400-23262-356726</t>
  </si>
  <si>
    <t>Cashier</t>
  </si>
  <si>
    <t>JMD Ventures Inc</t>
  </si>
  <si>
    <t>A&amp;W</t>
  </si>
  <si>
    <t>3302 1st Street</t>
  </si>
  <si>
    <t>Emmetsburg</t>
  </si>
  <si>
    <t>Davis</t>
  </si>
  <si>
    <t>Owner/Operator/President</t>
  </si>
  <si>
    <t>jrdavis00@hotmail.com</t>
  </si>
  <si>
    <t xml:space="preserve">Great customer service, ability to count, work well with others.  </t>
  </si>
  <si>
    <t>2308 17th suite 200</t>
  </si>
  <si>
    <t>Spirit Lake</t>
  </si>
  <si>
    <t>DICKINSON</t>
  </si>
  <si>
    <t>Northwest Iowa nonmetropolitan area</t>
  </si>
  <si>
    <t>P-400-23218-241917</t>
  </si>
  <si>
    <t>R</t>
  </si>
  <si>
    <t>Hammond</t>
  </si>
  <si>
    <t>Tanya</t>
  </si>
  <si>
    <t>MOBILE</t>
  </si>
  <si>
    <t>Mobile, AL</t>
  </si>
  <si>
    <t>Hernandez</t>
  </si>
  <si>
    <t>S.</t>
  </si>
  <si>
    <t>West Chester</t>
  </si>
  <si>
    <t>Mason</t>
  </si>
  <si>
    <t>Brickmasons and Blockmasons</t>
  </si>
  <si>
    <t>DALLAS</t>
  </si>
  <si>
    <t>Des Moines-West Des Moines, IA</t>
  </si>
  <si>
    <t>Food Preparation Workers</t>
  </si>
  <si>
    <t>WARD</t>
  </si>
  <si>
    <t>ANGELA</t>
  </si>
  <si>
    <t>FORT LAUDERDALE</t>
  </si>
  <si>
    <t>Award@angelawardlaw.com</t>
  </si>
  <si>
    <t xml:space="preserve"> </t>
  </si>
  <si>
    <t>Danielle</t>
  </si>
  <si>
    <t>Cook II</t>
  </si>
  <si>
    <t>Bozeman</t>
  </si>
  <si>
    <t>Director of People and Culture</t>
  </si>
  <si>
    <t>Short Order Cook</t>
  </si>
  <si>
    <t>Central New Hampshire nonmetropolitan area</t>
  </si>
  <si>
    <t>Segmental Pavers</t>
  </si>
  <si>
    <t>Zach</t>
  </si>
  <si>
    <t>SCHENECTADY</t>
  </si>
  <si>
    <t>Albany-Schenectady-Troy, NY</t>
  </si>
  <si>
    <t>Laborers</t>
  </si>
  <si>
    <t>Sara</t>
  </si>
  <si>
    <t>00000</t>
  </si>
  <si>
    <t>Barnstable Town, MA</t>
  </si>
  <si>
    <t>H-400-23307-476263</t>
  </si>
  <si>
    <t>Fast Food and Counter Workers – Mobile Food Concessions</t>
  </si>
  <si>
    <t xml:space="preserve">Cole Concessions </t>
  </si>
  <si>
    <t>5311 Indian Draft</t>
  </si>
  <si>
    <t>Covington</t>
  </si>
  <si>
    <t>Cole</t>
  </si>
  <si>
    <t>carnivalfood.cole@gmail.com</t>
  </si>
  <si>
    <t>ALLEGHANY</t>
  </si>
  <si>
    <t>Northwest Virginia nonmetropolitan area</t>
  </si>
  <si>
    <t>P-400-23199-196733</t>
  </si>
  <si>
    <t>H-400-23297-451782</t>
  </si>
  <si>
    <t>Food Concession Worker</t>
  </si>
  <si>
    <t>Robbeloth Concessions Inc.</t>
  </si>
  <si>
    <t>12903 Waterview Way</t>
  </si>
  <si>
    <t>Riverview</t>
  </si>
  <si>
    <t>robbelothinc@gmail.com</t>
  </si>
  <si>
    <t xml:space="preserve">Hours, schedule, and days vary widely.  
Typically Wed-Sun, 4pm  11pm.  
Often 35-45 hours per week, may go up to 50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t>
  </si>
  <si>
    <t>282 NE 218th Lane Rd</t>
  </si>
  <si>
    <t>Citra</t>
  </si>
  <si>
    <t>Ocala, FL</t>
  </si>
  <si>
    <t>Merit/bonus/sick/recruiting/tenure pay, savings program at employer's discretion. Uniform provided at no charge</t>
  </si>
  <si>
    <t>P-400-23193-183550</t>
  </si>
  <si>
    <t>Optional mobile housing ($125/week)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($25/week), laundry facility (varies), food/meals (varies), and day trips (varies) are available for wage credit and/or deduction, or any lesser amount to the maximum extent not prohibited by law. Must commute from home at prior worksite to next worksite, and optional spot-to-spot transportation provided at no cost to the worker.</t>
  </si>
  <si>
    <t>GENERAL LABORER</t>
  </si>
  <si>
    <t>Elite Synthetic Surfaces Inc</t>
  </si>
  <si>
    <t>486 Willis Ave</t>
  </si>
  <si>
    <t>Williston Park</t>
  </si>
  <si>
    <t>MICHAEL</t>
  </si>
  <si>
    <t>486 Willis Avenue</t>
  </si>
  <si>
    <t>NASSAU</t>
  </si>
  <si>
    <t>SLIDING SCALE $19.40-$26.50 P/HR REG PAY &amp; $29.10-$39.75 P/HR OT BASED ON PERFORMANCE.</t>
  </si>
  <si>
    <t>P-400-23205-209125</t>
  </si>
  <si>
    <t>MIKEGIZ48@AOL.COM</t>
  </si>
  <si>
    <t>R.</t>
  </si>
  <si>
    <t>Aldrich</t>
  </si>
  <si>
    <t>39577 WOODWARD</t>
  </si>
  <si>
    <t>Ste. 300</t>
  </si>
  <si>
    <t>Bloomfield Hills</t>
  </si>
  <si>
    <t>MICHIGAN</t>
  </si>
  <si>
    <t>jaldrich@dykema.com</t>
  </si>
  <si>
    <t>Dykema Gossett PLLC</t>
  </si>
  <si>
    <t>Michigan Supreme Court</t>
  </si>
  <si>
    <t>West Central-Southwest New Hampshire nonmetropolitan area</t>
  </si>
  <si>
    <t>H-400-23336-539823</t>
  </si>
  <si>
    <t xml:space="preserve">OLCO Inc. </t>
  </si>
  <si>
    <t>24053 Vote Road</t>
  </si>
  <si>
    <t>Batesville</t>
  </si>
  <si>
    <t>Oesterling</t>
  </si>
  <si>
    <t>Beth</t>
  </si>
  <si>
    <t>Secretary</t>
  </si>
  <si>
    <t>olcoinc@ymail.com</t>
  </si>
  <si>
    <t>P-400-23242-308616</t>
  </si>
  <si>
    <t>Optional Lodging available at $75/month</t>
  </si>
  <si>
    <t>SLAUGHTERERS AND MEAT PACKERS</t>
  </si>
  <si>
    <t>Slaughterers and Meat Packers</t>
  </si>
  <si>
    <t>MOUNTAIRE FARMS, INC.</t>
  </si>
  <si>
    <t>1101 EAST THIRD STREET</t>
  </si>
  <si>
    <t>SILER CITY</t>
  </si>
  <si>
    <t>PINNINGTON</t>
  </si>
  <si>
    <t>LINDSAY</t>
  </si>
  <si>
    <t>COMPLEX HR MANAGER</t>
  </si>
  <si>
    <t>LPINNINGTON@MOUNTAIRE.COM</t>
  </si>
  <si>
    <t>CHATHAM</t>
  </si>
  <si>
    <t>Durham-Chapel Hill, NC</t>
  </si>
  <si>
    <t>P-400-23186-167909</t>
  </si>
  <si>
    <t>H-400-23284-424793</t>
  </si>
  <si>
    <t>Larry Cushing Entertainment Ltd</t>
  </si>
  <si>
    <t>Cushing Amusements</t>
  </si>
  <si>
    <t>196 Wildwood St.</t>
  </si>
  <si>
    <t>Cushing</t>
  </si>
  <si>
    <t>Marion</t>
  </si>
  <si>
    <t>V.</t>
  </si>
  <si>
    <t>peter@cushingamusement.com</t>
  </si>
  <si>
    <t xml:space="preserve">Post-employment random drug testing and background checks may be required, at no cost to the worker. The job requires the applicant to be qualified, ready, willing, able, and available to perform during the entire employment at the designated worksites; and to follow workplace rules.
</t>
  </si>
  <si>
    <t xml:space="preserve">196 Wildwood St. </t>
  </si>
  <si>
    <t>WILMINGTON</t>
  </si>
  <si>
    <t>Boston-Cambridge-Nashua, MA-NH</t>
  </si>
  <si>
    <t>P-400-23248-320060</t>
  </si>
  <si>
    <t>peter@cushingamusements.com</t>
  </si>
  <si>
    <t>Lubbock</t>
  </si>
  <si>
    <t>Villegas</t>
  </si>
  <si>
    <t>Elizabeth</t>
  </si>
  <si>
    <t>Partner</t>
  </si>
  <si>
    <t>Must be 18 due to state labor laws.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60lbs (possible 2-person).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</si>
  <si>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LUBBOCK</t>
  </si>
  <si>
    <t>Lubbock, TX</t>
  </si>
  <si>
    <t>JASPER</t>
  </si>
  <si>
    <t>Patrick</t>
  </si>
  <si>
    <t>Birmingham</t>
  </si>
  <si>
    <t>WALKER</t>
  </si>
  <si>
    <t>Birmingham-Hoover, AL</t>
  </si>
  <si>
    <t>McDowell</t>
  </si>
  <si>
    <t>Must be 18 due to insurance.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60lbs (possible 2-person).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</si>
  <si>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 xml:space="preserve">Must lift/carry 50 lbs., when necessary. Saturday and Sunday work required, when necessary. Employer may offer more than the stated work hours depending on weather, business needs, and other conditions. Extreme heat, cold, rain, or drought may affect exact working hours.
</t>
  </si>
  <si>
    <t>Temporary Housekeeping Service Attendant</t>
  </si>
  <si>
    <t>MasterCorp Inc</t>
  </si>
  <si>
    <t>3505 N. Main Street</t>
  </si>
  <si>
    <t>Crossville</t>
  </si>
  <si>
    <t>SMITH</t>
  </si>
  <si>
    <t>guestprograms@mastercorp.com</t>
  </si>
  <si>
    <t xml:space="preserve">The petitioner will consider for employment any person who possesses at least three (3) months of experience preferred but not required at a hotel, resort, private club or vacation homes; other hospitality or cleaning experience can be substituted.
</t>
  </si>
  <si>
    <t>CUMBERLAND</t>
  </si>
  <si>
    <t>North Central Tennessee nonmetropolitan area</t>
  </si>
  <si>
    <t>Cost of housing if accepted, is no more than $150 per week payable to third party housing provider via voluntary payroll deduction as allowed by law. If housing is utilized, an agreement for housing will be required with the third-party provider. A security deposit of up to $200.00 is required, of which $50.00 is nonrefundable. Employee shall pay the deposit at $10.00 per week via voluntary payroll deduction (as allowed by law) until the deposit is paid in full, and in no event shall the total deposit payment exceed $200.00. If housing is left in good condition, $150.00 will be refunded to employee in the same method as paid. All deductions from paycheck required by law will be made.</t>
  </si>
  <si>
    <t>H2B@mastercorp.com</t>
  </si>
  <si>
    <t>Lenexa</t>
  </si>
  <si>
    <t>Joel</t>
  </si>
  <si>
    <t>vgarcia@fewaglobal.org</t>
  </si>
  <si>
    <t>Kansas City, MO-KS</t>
  </si>
  <si>
    <t>Roger</t>
  </si>
  <si>
    <t>Beaumont-Port Arthur, TX</t>
  </si>
  <si>
    <t>San Diego</t>
  </si>
  <si>
    <t>SAN DIEGO</t>
  </si>
  <si>
    <t>San Diego-Carlsbad, CA</t>
  </si>
  <si>
    <t>BISHOP</t>
  </si>
  <si>
    <t>NORCROSS</t>
  </si>
  <si>
    <t>PEAK SEASON WORKFORCE</t>
  </si>
  <si>
    <t>3711 WEST STREET</t>
  </si>
  <si>
    <t>JOE@PEAKSEASONWORKFORCE.COM</t>
  </si>
  <si>
    <t>Cascade</t>
  </si>
  <si>
    <t>H-400-23307-477196</t>
  </si>
  <si>
    <t>Mover</t>
  </si>
  <si>
    <t>AEM, Inc.</t>
  </si>
  <si>
    <t>5801 Rolling Road</t>
  </si>
  <si>
    <t>Springfield</t>
  </si>
  <si>
    <t>Morrissette, Jr.</t>
  </si>
  <si>
    <t>Kenneth</t>
  </si>
  <si>
    <t>Vice President &amp; Corporate Counsel</t>
  </si>
  <si>
    <t>kmorrissettejr@invan.com</t>
  </si>
  <si>
    <t>Cowan</t>
  </si>
  <si>
    <t>Brandi</t>
  </si>
  <si>
    <t>2901 Bucks Bayou Road</t>
  </si>
  <si>
    <t>bcowan@fewaglobal.org</t>
  </si>
  <si>
    <t xml:space="preserve">M-F. Schedule varies. Weekends may be required. Overtime varies. Able to lift 75lbs. 1 month training required for proper packing, lifting, carrying. Pre-hire background check required. All background checks are performed equally as to U.S. workers and H-2B workers, and all fees are paid for by the company. See the additional document attached for further details about the administration of our background check policy. Random drug testing during employment. Pre-employment drug testing required. Drug testing during employment for cause. Post-Accident Drug Testing.  All drug testing is performed without regard to an employees citizenship or immigration status, and all testing is paid for by the company. See the additional document attached for further details about the administration of our drug testing policy.
</t>
  </si>
  <si>
    <t>FAIRFAX</t>
  </si>
  <si>
    <t>Opportunity for additional pay for those workers who are qualified &amp; certified as required up to $4/hr, $6/hr OT.</t>
  </si>
  <si>
    <t>P-400-23200-199888</t>
  </si>
  <si>
    <t>jobs@invan.com</t>
  </si>
  <si>
    <t>https://www.moveinterstate.com/careers</t>
  </si>
  <si>
    <t>Marbella Landscaping, LLC.</t>
  </si>
  <si>
    <t>1005 N 1200 W</t>
  </si>
  <si>
    <t>Orem</t>
  </si>
  <si>
    <t>Mora</t>
  </si>
  <si>
    <t>contact@marbellalandscaping.com</t>
  </si>
  <si>
    <t>Vineyard</t>
  </si>
  <si>
    <t>UTAH</t>
  </si>
  <si>
    <t>Provo-Orem, UT</t>
  </si>
  <si>
    <t>Employer will make all deductions required by law from each paycheck</t>
  </si>
  <si>
    <t>Elgin</t>
  </si>
  <si>
    <t>Castillo</t>
  </si>
  <si>
    <t xml:space="preserve">Lift/carry up to 50 pounds.
</t>
  </si>
  <si>
    <t>KANE</t>
  </si>
  <si>
    <t>Paving, Surfacing, and Tamping Equipment Operators</t>
  </si>
  <si>
    <t>Grounds/Maintenance Specialist</t>
  </si>
  <si>
    <t>Baker1135@maslabor.com</t>
  </si>
  <si>
    <t>Wheeling, WV-OH</t>
  </si>
  <si>
    <t>Baker</t>
  </si>
  <si>
    <t>H-400-23336-539205</t>
  </si>
  <si>
    <t>MONTEMARANO LANDSCAPES INC</t>
  </si>
  <si>
    <t>21415 FAIRVIEW ROAD</t>
  </si>
  <si>
    <t>GRETNA</t>
  </si>
  <si>
    <t>MONTEMARANO</t>
  </si>
  <si>
    <t>DINO</t>
  </si>
  <si>
    <t xml:space="preserve">21415 FAIRVIEW ROAD </t>
  </si>
  <si>
    <t>SARPY</t>
  </si>
  <si>
    <t>P-400-23199-195735</t>
  </si>
  <si>
    <t>LANDSCAPES@QWESTOFFICE.NET</t>
  </si>
  <si>
    <t>H-400-23285-427466</t>
  </si>
  <si>
    <t>STEWARD</t>
  </si>
  <si>
    <t>ALTITUDE HOSPITALITY LLC</t>
  </si>
  <si>
    <t xml:space="preserve">DBA Sandpiper Bay Resort </t>
  </si>
  <si>
    <t>4500 SE Pine Valley Street</t>
  </si>
  <si>
    <t>Port Saint Lucie</t>
  </si>
  <si>
    <t>Reyes</t>
  </si>
  <si>
    <t xml:space="preserve">Lisa </t>
  </si>
  <si>
    <t xml:space="preserve">HR DIRECTOR </t>
  </si>
  <si>
    <t>lreyes@sandpiperbayresort.com</t>
  </si>
  <si>
    <t>MUELLER</t>
  </si>
  <si>
    <t>CAROLINE</t>
  </si>
  <si>
    <t>131 MADEIRA AVENUE</t>
  </si>
  <si>
    <t>CORAL GABLES</t>
  </si>
  <si>
    <t>CMUELLER@KKTPLAW.COM</t>
  </si>
  <si>
    <t xml:space="preserve">Kurzban Kurzban Tetzeli and Pratt Attorneys at Law </t>
  </si>
  <si>
    <t xml:space="preserve">SUPREME COURT OF OHIO </t>
  </si>
  <si>
    <t xml:space="preserve">Be able to reach, bend, stoop and frequently lift up to 40 pounds.
 Be able to work in a standing position for long periods of time.
 Be able to work in a fast paced kitchen environment.
 Be able to work in hot, humid and loud environment for long periods of time.
OT and weekends required. Workers will work 40 hours per week.  Saturday thru  Friday .The schedule may vary but will fall between 7:00AM TO 3:30PM OR 3:30PM TO 11:30PM.  
</t>
  </si>
  <si>
    <t>ST LUCIE</t>
  </si>
  <si>
    <t>MERIT BASED RAISES AVAILABLE AT EMPLOYER DISCRETION</t>
  </si>
  <si>
    <t>P-400-23248-321873</t>
  </si>
  <si>
    <t>OPTIONAL EMPLOYER OWNED HOUSING AND MEALS/ $200.00 PER WEEK/ $400 PER PAY PERIOD .</t>
  </si>
  <si>
    <t>Server</t>
  </si>
  <si>
    <t>Charleston</t>
  </si>
  <si>
    <t>Walter</t>
  </si>
  <si>
    <t>President / CEO</t>
  </si>
  <si>
    <t>H-400-23304-466517</t>
  </si>
  <si>
    <t>Greener Turf Management, LLC</t>
  </si>
  <si>
    <t>342 W 4th Avenue</t>
  </si>
  <si>
    <t>Conshohocken</t>
  </si>
  <si>
    <t>Troyer</t>
  </si>
  <si>
    <t>Brent</t>
  </si>
  <si>
    <t>PO Box 948</t>
  </si>
  <si>
    <t>troyer@greenerturfmgt.com</t>
  </si>
  <si>
    <t xml:space="preserve">Must be able to work a 5-day workweek, weekends and holidays may be required.
Applicants must complete an employment application.
</t>
  </si>
  <si>
    <t>P-400-23179-152308</t>
  </si>
  <si>
    <t xml:space="preserve">The employer will make all deductions from the worker's paycheck required by law. Employer will assist worker to find affordable housing.
The employer will provide daily transportation from main worksite to multiple worksite locations in Philadelphia, Montgomery, Delaware, Bucks, Lehigh, Lancaster, Berks, &amp; Chester Counties, PA and Camden County, NJ
The employer will provide worker at no charge all tools, supplies, and equipment required to perform job. No uniform required. 
</t>
  </si>
  <si>
    <t>www.pacareerlink.pa.gov</t>
  </si>
  <si>
    <t>H-400-23336-539493</t>
  </si>
  <si>
    <t>Lowe's Greenhouses &amp; Gift Shop, Inc.</t>
  </si>
  <si>
    <t>16540 Chillicothe Rd.</t>
  </si>
  <si>
    <t>Chagrin Falls</t>
  </si>
  <si>
    <t xml:space="preserve">Must lift/carry 50 lbs., when necessary.  Saturday work required, when necessary. Employer may offer more than the stated work hours depending on weather, business needs, and other conditions. Extreme heat, cold, rain, or drought may affect exact working hours.
</t>
  </si>
  <si>
    <t>GEAUGA</t>
  </si>
  <si>
    <t>P-400-23192-179637</t>
  </si>
  <si>
    <t>Chad@lowesgreenhouse.com</t>
  </si>
  <si>
    <t>FORESTRY WORKER</t>
  </si>
  <si>
    <t>ALPHA SERVICES LLC</t>
  </si>
  <si>
    <t>1141 N 4TH AVE</t>
  </si>
  <si>
    <t>COEUR D ALENE</t>
  </si>
  <si>
    <t>GARCIA</t>
  </si>
  <si>
    <t>JUAN</t>
  </si>
  <si>
    <t>HRM</t>
  </si>
  <si>
    <t>1141 N 3RD AVE</t>
  </si>
  <si>
    <t>Coeur d Alene</t>
  </si>
  <si>
    <t>JUANG@ALPHASERVICES.US</t>
  </si>
  <si>
    <t>Muilenburg</t>
  </si>
  <si>
    <t>Virginia</t>
  </si>
  <si>
    <t>3043 W Dumont Dr</t>
  </si>
  <si>
    <t>GINNYM@DPL.TODAY</t>
  </si>
  <si>
    <t>DIVERSE PERSONNEL LOGISTICS LLC</t>
  </si>
  <si>
    <t>1141 N 4TH AVE (report to work)</t>
  </si>
  <si>
    <t>KOOTENAI</t>
  </si>
  <si>
    <t>Coeur d'Alene, ID</t>
  </si>
  <si>
    <t>Wage may vary per location</t>
  </si>
  <si>
    <t>P-400-23243-313905</t>
  </si>
  <si>
    <t>Deductions as required by law. Carpool contributions are optional and not a condition of employment: Car pool contributions up to $35 per wk. Company makes available company vehicle after hrs for reasonable personal use; contributions up to $35 per wk to help cover costs of personal use will be deducted based on mileage.</t>
  </si>
  <si>
    <t>jobs@alphaservices.us</t>
  </si>
  <si>
    <t>7700 West Highway 71</t>
  </si>
  <si>
    <t>Suite 350</t>
  </si>
  <si>
    <t>MESA</t>
  </si>
  <si>
    <t>Shelly</t>
  </si>
  <si>
    <t>Pacheco</t>
  </si>
  <si>
    <t>Delia</t>
  </si>
  <si>
    <t>Houston</t>
  </si>
  <si>
    <t>cases@terralabor.com</t>
  </si>
  <si>
    <t>Terra Labor Consulting Group LLC</t>
  </si>
  <si>
    <t>Welder/Fitter</t>
  </si>
  <si>
    <t>Brownsville</t>
  </si>
  <si>
    <t>Simon</t>
  </si>
  <si>
    <t>Suite 357</t>
  </si>
  <si>
    <t>2440 Kiewit Road</t>
  </si>
  <si>
    <t>SAN PATRICIO</t>
  </si>
  <si>
    <t>HANCOCK</t>
  </si>
  <si>
    <t>West Northwestern Ohio nonmetropolitan area</t>
  </si>
  <si>
    <t>H-400-23307-475861</t>
  </si>
  <si>
    <t>Triple H Services, LLC</t>
  </si>
  <si>
    <t>404 Linville St.</t>
  </si>
  <si>
    <t>Newland</t>
  </si>
  <si>
    <t>Horney</t>
  </si>
  <si>
    <t>Martin</t>
  </si>
  <si>
    <t>martin@triplehservices.biz</t>
  </si>
  <si>
    <t>384 Devant Plantation Dr. (Report to Work)</t>
  </si>
  <si>
    <t>Ridgeland</t>
  </si>
  <si>
    <t>Hilton Head Island-Bluffton-Beaufort, SC</t>
  </si>
  <si>
    <t>P-400-23198-194393</t>
  </si>
  <si>
    <t>Optional, shared furnished housing available to the worker (including: utilities) at a monthly housing rate up to $400-500; if optional housing is agreed upon by the worker, housing rate will be deducted from the worker's weekly paycheck ($100 per week). At Employer’s sole discretion: possible cash advances (if applicable/requested by worker, potential deduction from worker’s paycheck).</t>
  </si>
  <si>
    <t>H-400-23336-539166</t>
  </si>
  <si>
    <t>POOL CLEANER</t>
  </si>
  <si>
    <t>Rachel Lynch Swimming Pool Services Inc</t>
  </si>
  <si>
    <t>375 David White's Lane</t>
  </si>
  <si>
    <t>SOUTHAMPTON</t>
  </si>
  <si>
    <t>Rachel</t>
  </si>
  <si>
    <t>375 David Whites Lane</t>
  </si>
  <si>
    <t>P-400-23194-186580</t>
  </si>
  <si>
    <t>AAUBE@RACHELLYNCH.COM</t>
  </si>
  <si>
    <t>Claudia</t>
  </si>
  <si>
    <t>CARROLL</t>
  </si>
  <si>
    <t>mwejobs.maryland.gov</t>
  </si>
  <si>
    <t>Linville</t>
  </si>
  <si>
    <t>St. Peters</t>
  </si>
  <si>
    <t>Yanez</t>
  </si>
  <si>
    <t>Nancy</t>
  </si>
  <si>
    <t>McDougal</t>
  </si>
  <si>
    <t>Craig</t>
  </si>
  <si>
    <t>225 N Peters Ave</t>
  </si>
  <si>
    <t>Suite 1</t>
  </si>
  <si>
    <t>Norman</t>
  </si>
  <si>
    <t>OK</t>
  </si>
  <si>
    <t>contact@velie.us</t>
  </si>
  <si>
    <t>William Velie, Attorney at Law PLLC</t>
  </si>
  <si>
    <t>Oklahoma Supreme Court</t>
  </si>
  <si>
    <t>State and Federal Taxes</t>
  </si>
  <si>
    <t>Structural Metal Fabricators and Fitters</t>
  </si>
  <si>
    <t>Rosas</t>
  </si>
  <si>
    <t>2425 Fountain View Drive</t>
  </si>
  <si>
    <t>Terra Labor Consulting Group</t>
  </si>
  <si>
    <t>Ingleside</t>
  </si>
  <si>
    <t>H-400-23336-539226</t>
  </si>
  <si>
    <t>BROWN LEAF LANDSCAPING INC</t>
  </si>
  <si>
    <t>904 ROANOKE AVENUE</t>
  </si>
  <si>
    <t>RIVERHEAD</t>
  </si>
  <si>
    <t>BONILLA</t>
  </si>
  <si>
    <t>EIFEGO</t>
  </si>
  <si>
    <t>904 ROAKOKE AVENUE</t>
  </si>
  <si>
    <t>P-400-23187-170128</t>
  </si>
  <si>
    <t>brownleaflandscaping@gmail.com</t>
  </si>
  <si>
    <t>Rogelio</t>
  </si>
  <si>
    <t>LABORER</t>
  </si>
  <si>
    <t>MARK</t>
  </si>
  <si>
    <t>Wellington</t>
  </si>
  <si>
    <t>Tiffany</t>
  </si>
  <si>
    <t>robert.kershaw@kershawlaw.com</t>
  </si>
  <si>
    <t>H-400-23336-539579</t>
  </si>
  <si>
    <t>Danalu Inc</t>
  </si>
  <si>
    <t>Nicolai Landscaping</t>
  </si>
  <si>
    <t>1217 Butler Pike</t>
  </si>
  <si>
    <t>Mailing: 700 Penllyn-Blue Bell Pike, Blue Bell, PA 19422</t>
  </si>
  <si>
    <t>Nicolai</t>
  </si>
  <si>
    <t>Louis</t>
  </si>
  <si>
    <t>nicolailandscape@gmail.com</t>
  </si>
  <si>
    <t xml:space="preserve">Able to lift 50lbs. Monday-Friday, some Saturdays as needed, overtime varies.
</t>
  </si>
  <si>
    <t>Raise at employer's discretion.</t>
  </si>
  <si>
    <t>P-400-23233-280018</t>
  </si>
  <si>
    <t>H-400-23336-539706</t>
  </si>
  <si>
    <t>Crew Leaders</t>
  </si>
  <si>
    <t>Evercor Employment Services, Inc.</t>
  </si>
  <si>
    <t>DBA Evercor Facility Management</t>
  </si>
  <si>
    <t>902 Wyoming Ave</t>
  </si>
  <si>
    <t>Wyoming</t>
  </si>
  <si>
    <t>Ditchey</t>
  </si>
  <si>
    <t>Gabrielle</t>
  </si>
  <si>
    <t xml:space="preserve">Requires six months of previous landscape experience. Must lift/carry 50 lbs., when necessary. Standard workweek is 4 days per week. Friday, Saturday, and Sunday work required, when necessary. Maximum shifts are 12 hours per day. The actual work schedule for each day of the week is subject to change. Not every employee will work 12 hour shifts, 7 days a week. An employee may work up to 12 hours per day, but may work alternating days or may work a portion of a 12 hour shift. We will offer at least 40 hours in a typical workweek. Hours in excess of 40 will vary depending on staff and other factors to be evaluated on a daily basis. Must be able to operate zero turn mowers, weed whackers, and backpack blowers. Employer-paid drug testing required of foreign and domestic workers prior to commencing work and post-hire upon suspicion of use and post-accident. Post-hire background check and employment eligibility (e-Verify) check required of foreign and domestic workers. Driver's license required for workers who drive company vehicles. Employer may offer more than the stated work hours depending on weather, business needs, and other conditions. Extreme heat, cold, rain, or drought may affect exact working hours.
</t>
  </si>
  <si>
    <t>509 S 16th St,</t>
  </si>
  <si>
    <t>West Hempfield</t>
  </si>
  <si>
    <t>LANCASTER</t>
  </si>
  <si>
    <t>Lancaster, PA</t>
  </si>
  <si>
    <t>P-400-23264-367527</t>
  </si>
  <si>
    <t>Employer makes all payroll deductions required by law. Employer does not envision other workforce-wide payroll deductions. Optional lodging and board available to all non-local workers. Employer deducts reasonable fair market value cost of lodging and board based on number of occupants for workers electing to reside in employer-offered housing (cost TBD). Employer deducts reasonable fair market value cost of rent/utilities based on number of occupants for workers electing to reside in employer-provided housing (cost TBD). Employer may deduct retirement/savings plan contributions and/or health insurance premiums for workers voluntarily participating in plan(s). Up to 5 days of PTO can be accrued. Employer provides incidental transportation between worksites as necessary. Employer offers free daily transportation to/from worksite from designated pick-up location. Use of transportation is voluntary.</t>
  </si>
  <si>
    <t>recruiting@evercor.com</t>
  </si>
  <si>
    <t>H-400-23307-475919</t>
  </si>
  <si>
    <t>Rost Landscaping and Design, Inc.</t>
  </si>
  <si>
    <t>2450 Trails West Ave.</t>
  </si>
  <si>
    <t>Columbia</t>
  </si>
  <si>
    <t>Rost</t>
  </si>
  <si>
    <t>Toby</t>
  </si>
  <si>
    <t>toby@rostlandscaping.com</t>
  </si>
  <si>
    <t>Hawkins</t>
  </si>
  <si>
    <t>Margie</t>
  </si>
  <si>
    <t>margie@laborci.com</t>
  </si>
  <si>
    <t>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</si>
  <si>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2450 Trails West Ave. (Report to Work)</t>
  </si>
  <si>
    <t>BOONE</t>
  </si>
  <si>
    <t>Columbia, MO</t>
  </si>
  <si>
    <t>P-400-23229-273279</t>
  </si>
  <si>
    <t>Canton</t>
  </si>
  <si>
    <t>Arnold</t>
  </si>
  <si>
    <t>Jackson, MS</t>
  </si>
  <si>
    <t>mdes.ms.gov</t>
  </si>
  <si>
    <t>Chris</t>
  </si>
  <si>
    <t>https://www.indianacareerconnect.com/vosnet/default.aspx</t>
  </si>
  <si>
    <t>H-400-23336-538922</t>
  </si>
  <si>
    <t>LGR LLC</t>
  </si>
  <si>
    <t>LABAR GOLF RENOVATIONS LLC</t>
  </si>
  <si>
    <t>150 MORRISTOWN ROAD</t>
  </si>
  <si>
    <t>STE 208</t>
  </si>
  <si>
    <t>BERNARDSVILLE</t>
  </si>
  <si>
    <t>LABAR</t>
  </si>
  <si>
    <t>RICHARD</t>
  </si>
  <si>
    <t>10471 BOCA WOODS LANE</t>
  </si>
  <si>
    <t>BOCA RATON</t>
  </si>
  <si>
    <t>P-400-23258-348995</t>
  </si>
  <si>
    <t>$300.00 housing deposit, $250.00 will be refunded at end of contract &amp; housing inspection. Optional housing including utilities is available at no cost to employees</t>
  </si>
  <si>
    <t>RICH@LABARGOLF.COM</t>
  </si>
  <si>
    <t>H-400-23307-475835</t>
  </si>
  <si>
    <t>Top Tier Turf and Ornamental, LLC</t>
  </si>
  <si>
    <t>12655 S Harrells Ferry Rd</t>
  </si>
  <si>
    <t>Leak</t>
  </si>
  <si>
    <t>dleak15@hotmail.com</t>
  </si>
  <si>
    <t>Ureno</t>
  </si>
  <si>
    <t>Sarah</t>
  </si>
  <si>
    <t>sarah@laborci.com</t>
  </si>
  <si>
    <t>12655 S Harrells Ferry Rd (Report to Work)</t>
  </si>
  <si>
    <t>P-400-23199-195281</t>
  </si>
  <si>
    <t>Optional, shared furnished housing available to the worker at a monthly housing rate up to $200; if optional housing is agreed upon by the worker, monthly housing rate will be deducted from worker's paycheck incrementally (weekly).At Employer’s sole discretion: possible cash advances (if applicable/requested by worker, potential deduction from worker’s paycheck).</t>
  </si>
  <si>
    <t>Retail Salespersons</t>
  </si>
  <si>
    <t>AK</t>
  </si>
  <si>
    <t>Managing Director</t>
  </si>
  <si>
    <t>Ocasio Vazquez</t>
  </si>
  <si>
    <t>Marie</t>
  </si>
  <si>
    <t>Hato Rey</t>
  </si>
  <si>
    <t>karenocasiolaw@mail.com</t>
  </si>
  <si>
    <t>Karen M. Ocasio, Law Office</t>
  </si>
  <si>
    <t>Puerto Rico Supreme Court</t>
  </si>
  <si>
    <t>Alaska nonmetropolitan area</t>
  </si>
  <si>
    <t>Carnival Worker</t>
  </si>
  <si>
    <t>Ronald</t>
  </si>
  <si>
    <t>MULTNOMAH</t>
  </si>
  <si>
    <t>Russell</t>
  </si>
  <si>
    <t>YORK</t>
  </si>
  <si>
    <t>York-Hanover, PA</t>
  </si>
  <si>
    <t>Madison</t>
  </si>
  <si>
    <t xml:space="preserve">24 Seven Hospitality Service LLC </t>
  </si>
  <si>
    <t>455 Locksley Dr</t>
  </si>
  <si>
    <t>Panama City Beach</t>
  </si>
  <si>
    <t>Facey</t>
  </si>
  <si>
    <t xml:space="preserve">Cherich </t>
  </si>
  <si>
    <t>BAY</t>
  </si>
  <si>
    <t>Panama City, FL</t>
  </si>
  <si>
    <t>Controller</t>
  </si>
  <si>
    <t>White Plains</t>
  </si>
  <si>
    <t>Magana</t>
  </si>
  <si>
    <t>Cruz</t>
  </si>
  <si>
    <t>Anita</t>
  </si>
  <si>
    <t>anita@laborci.com</t>
  </si>
  <si>
    <t>Burlingame</t>
  </si>
  <si>
    <t>SAN MATEO</t>
  </si>
  <si>
    <t>San Francisco-Oakland-Hayward, CA</t>
  </si>
  <si>
    <t>LANDSCAPING &amp; GROUNDSKEEPING WORKERS</t>
  </si>
  <si>
    <t>Butler</t>
  </si>
  <si>
    <t>RI</t>
  </si>
  <si>
    <t>Berscheid</t>
  </si>
  <si>
    <t>Bonnie</t>
  </si>
  <si>
    <t>bonnie@laborci.com</t>
  </si>
  <si>
    <t>Landscape Labor</t>
  </si>
  <si>
    <t>Alexander</t>
  </si>
  <si>
    <t>Asheville</t>
  </si>
  <si>
    <t>BUNCOMBE</t>
  </si>
  <si>
    <t>Shreveport</t>
  </si>
  <si>
    <t>DANIEL</t>
  </si>
  <si>
    <t>CADDO</t>
  </si>
  <si>
    <t>Shreveport-Bossier City, LA</t>
  </si>
  <si>
    <t>Ocala</t>
  </si>
  <si>
    <t xml:space="preserve">A single workweek will be used in computing wages due. Workers will be paid bi-weekly. 
The employer will make all deductions from the worker's paycheck required by law. Optional employee shared housing is available at approx. cost of $100- $250 per week, payroll deducted if employee elects. Optional medical/dental/vision insurance available at approx. cost $31.63 - $321.34 per week, payroll deducted if employee elects. Smartphone use may be required with stipend reimbursement at approx. $25 per bi-weekly paycheck. Optional daily transportation available to/from housing/worksite for approx. $5-20 per week, payroll deducted if employee elects.
Employer will provide required uniform at no cost to employee. Additional uniforms available for approx. $5-25 per bi-weekly paycheck, payroll deducted if employee elects.
</t>
  </si>
  <si>
    <t>SCOTT</t>
  </si>
  <si>
    <t>INDIANA</t>
  </si>
  <si>
    <t>Schedule varies, overtime available as needed.</t>
  </si>
  <si>
    <t>STEVEN</t>
  </si>
  <si>
    <t>Weirton-Steubenville, WV-OH</t>
  </si>
  <si>
    <t>Warehouse Worker</t>
  </si>
  <si>
    <t>Leesburg</t>
  </si>
  <si>
    <t>LOUDOUN</t>
  </si>
  <si>
    <t>https://www.vawc.virginia.gov</t>
  </si>
  <si>
    <t>Stockers and Order Fillers</t>
  </si>
  <si>
    <t>Simona</t>
  </si>
  <si>
    <t>Genuine Builders Inc.</t>
  </si>
  <si>
    <t>301 South Hwy 81</t>
  </si>
  <si>
    <t>COLUMBIA</t>
  </si>
  <si>
    <t>Madison, WI</t>
  </si>
  <si>
    <t>Carpenter Helper</t>
  </si>
  <si>
    <t>Steve</t>
  </si>
  <si>
    <t>Northeast Maine nonmetropolitan area</t>
  </si>
  <si>
    <t>https://joblink.maine.gov/ada/r/</t>
  </si>
  <si>
    <t>PANAMA CITY BEACH</t>
  </si>
  <si>
    <t>usamericans@aol.com</t>
  </si>
  <si>
    <t>ND</t>
  </si>
  <si>
    <t>CASS</t>
  </si>
  <si>
    <t>Fargo, ND-MN</t>
  </si>
  <si>
    <t>H-400-23296-449508</t>
  </si>
  <si>
    <t>Concession &amp; Recreation Attendant</t>
  </si>
  <si>
    <t>LR Foods Inc.</t>
  </si>
  <si>
    <t>Carnival Treats</t>
  </si>
  <si>
    <t xml:space="preserve">4152 West Horace Allen Street </t>
  </si>
  <si>
    <t>Lecanto</t>
  </si>
  <si>
    <t>Higman</t>
  </si>
  <si>
    <t>funcarnivaltreats@gmail.com</t>
  </si>
  <si>
    <t>Rademacher</t>
  </si>
  <si>
    <t>Christopher</t>
  </si>
  <si>
    <t>scott@laborci.com</t>
  </si>
  <si>
    <t xml:space="preserve">Must be 18 due to travel.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Possible background check post hire at employer's expense. Hours may fluctuate based on tourism peaks and valleys throughout the season (+/-), possible downtime and/or overtime. </t>
  </si>
  <si>
    <t>4152 West Horace Allen Street (Report to Work)</t>
  </si>
  <si>
    <t>CITRUS</t>
  </si>
  <si>
    <t>Homosassa Springs, FL</t>
  </si>
  <si>
    <t xml:space="preserve">Wage may vary based on Experience and/or location worked. </t>
  </si>
  <si>
    <t>P-400-23256-344970</t>
  </si>
  <si>
    <t>Corey</t>
  </si>
  <si>
    <t>Walker</t>
  </si>
  <si>
    <t>H-400-23270-385146</t>
  </si>
  <si>
    <t>Forest Green LLC</t>
  </si>
  <si>
    <t>19 Southern Oaks DR</t>
  </si>
  <si>
    <t>Lazaro</t>
  </si>
  <si>
    <t>460 Spring ST</t>
  </si>
  <si>
    <t>Carrolton</t>
  </si>
  <si>
    <t>forestgreenusa@gmail.com</t>
  </si>
  <si>
    <t>MUST BE PHYSICALLY FIT TO PERFORM JOB, WORK IN
INCLEMENT WEATHER, CARRY UP TO 50 LBS. MUST BE ABLE TO PASS A
DRUG TEST, PAID FOR BY EMPLOYER, AT THE EMPLOYER'S REQUEST.
BE ATLEAST 18 YEARS OF AGE.</t>
  </si>
  <si>
    <t>PICKENS</t>
  </si>
  <si>
    <t>Tuscaloosa, AL</t>
  </si>
  <si>
    <t>P-400-23179-150190</t>
  </si>
  <si>
    <t>ALL APLICABLE SATE AND FEDERAL TAXES. NO OTHERS.</t>
  </si>
  <si>
    <t>Tempe</t>
  </si>
  <si>
    <t>flevarakis1169@maslabor.com</t>
  </si>
  <si>
    <t>Tucson</t>
  </si>
  <si>
    <t>PIMA</t>
  </si>
  <si>
    <t>Tucson, AZ</t>
  </si>
  <si>
    <t>Tulsa</t>
  </si>
  <si>
    <t>Roark</t>
  </si>
  <si>
    <t>TULSA</t>
  </si>
  <si>
    <t>Tulsa, OK</t>
  </si>
  <si>
    <t>H-400-23331-524441</t>
  </si>
  <si>
    <t>Rosehill Gardens, Inc.</t>
  </si>
  <si>
    <t>311 E 135th St</t>
  </si>
  <si>
    <t>Kansas City</t>
  </si>
  <si>
    <t>Stroud</t>
  </si>
  <si>
    <t>Curtis</t>
  </si>
  <si>
    <t>franco1120@maslabor.com</t>
  </si>
  <si>
    <t xml:space="preserve">Requires three months of previous landscape experience. Must lift/carry 50 lbs., when necessary.  Saturday work required, when necessary.  Employer-paid post-hire post-accident drug testing required of foreign and domestic workers. Post-hire employment eligibility (e-Verify) check required of foreign and domestic workers. Employer may offer more than the stated work hours depending on weather, business needs, and other conditions. Extreme heat, cold, rain, or drought may affect exact working hours.
</t>
  </si>
  <si>
    <t>15700 Prospect Avenue</t>
  </si>
  <si>
    <t>Belton</t>
  </si>
  <si>
    <t>P-400-23230-276501</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</si>
  <si>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Voluntary advances and/or loans made to workers, if any, may be repaid by pre-authorized payroll deductions.   Employer may deduct retirement/savings plan contributions and/or health insurance premiums for workers voluntarily participating in plan(s). Uniform provided at no cost. Employer may deduct cost for voluntary purchase of additional uniforms for worker's benefit.   Employer provides incidental transportation between worksites as necessary. Employer offers free daily transportation to/from worksite from designated pick-up location. Use of transportation is voluntary.</t>
  </si>
  <si>
    <t>Alexa</t>
  </si>
  <si>
    <t>Franco1120@maslabor.com</t>
  </si>
  <si>
    <t>H-400-23286-430493</t>
  </si>
  <si>
    <t>Snow Cleaner</t>
  </si>
  <si>
    <t>Emir Properties, LLC</t>
  </si>
  <si>
    <t xml:space="preserve">10421 Lorain Ave </t>
  </si>
  <si>
    <t>Cleveland</t>
  </si>
  <si>
    <t>Abeid</t>
  </si>
  <si>
    <t>Emir</t>
  </si>
  <si>
    <t>10421 Lorain Ave</t>
  </si>
  <si>
    <t>emir@ealocksmith.com</t>
  </si>
  <si>
    <t xml:space="preserve">Must be able to lift and carry 75lbs for 50 yards. Must be able to handle temperature extremes. 
</t>
  </si>
  <si>
    <t>Wage rate may vary based on experience and/or merit.</t>
  </si>
  <si>
    <t>P-400-23223-258093</t>
  </si>
  <si>
    <t>All deductions from the worker’s paycheck will be made as required by law. Any advances will be deducted with the consent of the employee.  The employer will provide housing as an option to employees living outside the regular commuting distance. Employees who elect to live in the housing will have an additional $150.00 deducted Bi-weekly paycheck for rent and utilities. Optional daily transportation will be provided from and to the worksite.</t>
  </si>
  <si>
    <t>emir@ealock.com</t>
  </si>
  <si>
    <t>Suite 2</t>
  </si>
  <si>
    <t>HARFORD</t>
  </si>
  <si>
    <t>St. Louis</t>
  </si>
  <si>
    <t>Eric</t>
  </si>
  <si>
    <t>Business Manager</t>
  </si>
  <si>
    <t>ST LOUIS</t>
  </si>
  <si>
    <t>Combined Food Prep/Service Workers</t>
  </si>
  <si>
    <t>Bohicket Hospitality, LLC</t>
  </si>
  <si>
    <t>La Tela Pizzeria</t>
  </si>
  <si>
    <t>133 Village Green Lane</t>
  </si>
  <si>
    <t>Johns Island</t>
  </si>
  <si>
    <t>Robb</t>
  </si>
  <si>
    <t>davidrobb@latelapizzeria.com</t>
  </si>
  <si>
    <t xml:space="preserve">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60lbs (possible 2-person). All applicants must be able, willing and qualified to perform work described and must be available for the entire period specified.  Hours may fluctuate based on tourism peaks and valleys throughout the season (+/-), possible downtime and/or overtime. </t>
  </si>
  <si>
    <t>P-400-23242-309084</t>
  </si>
  <si>
    <t>Optional, shared furnished housing available to the worker at a monthly housing rate up to $500.00 per month (rate of $500 includes an already factored contribution; the employer assists w/ housing by making a monthly contribution of $150 per worker); if optional housing is agreed upon by the worker, monthly housing rate will be deducted from worker's paycheck incrementally (bi-weekly).At Employer’s sole discretion: possible cash advances (if applicable/requested by worker, potential deduction from worker’s paycheck).</t>
  </si>
  <si>
    <t>info@latelapizzeria.com</t>
  </si>
  <si>
    <t>Chesterland</t>
  </si>
  <si>
    <t>Chandler</t>
  </si>
  <si>
    <t>Joshua</t>
  </si>
  <si>
    <t>Dishwasher</t>
  </si>
  <si>
    <t>FARMINGTON</t>
  </si>
  <si>
    <t>FAYETTE</t>
  </si>
  <si>
    <t>Brown</t>
  </si>
  <si>
    <t xml:space="preserve">Must be able to lift 50 lbs.
</t>
  </si>
  <si>
    <t>Kent</t>
  </si>
  <si>
    <t>Administrative Assistant</t>
  </si>
  <si>
    <t>Heilmann</t>
  </si>
  <si>
    <t>Barbara</t>
  </si>
  <si>
    <t>heilmann1139@maslabor.com</t>
  </si>
  <si>
    <t>North Texas Region of Texas nonmetropolitan area</t>
  </si>
  <si>
    <t>H-400-23307-477353</t>
  </si>
  <si>
    <t>Green Lawn Care Services</t>
  </si>
  <si>
    <t>2002 E. Tom Green Street</t>
  </si>
  <si>
    <t>Brenham</t>
  </si>
  <si>
    <t>Luedke</t>
  </si>
  <si>
    <t>Wigington</t>
  </si>
  <si>
    <t>2997 Luke Dr</t>
  </si>
  <si>
    <t>Farmersville</t>
  </si>
  <si>
    <t>michelle@h2labor.com</t>
  </si>
  <si>
    <t>H2A Labor Assistance, Inc.</t>
  </si>
  <si>
    <t xml:space="preserve"> May be required to take post hire random drug and/or alcohol tests, at no cost to the worker. Testing positive or failure to comply may result in immediate termination. 
</t>
  </si>
  <si>
    <t>Possibility of performance based raise, Saturday work and overtime.</t>
  </si>
  <si>
    <t>P-400-23188-173564</t>
  </si>
  <si>
    <t xml:space="preserve">The employer will make the following deductions as applicable: FICA, Federal/State Taxes, court ordered child support, garnishments and liens according to individual circumstances, all as required by law, repayments of cash advances or loans, &amp; repayment of over payment of wages to the worker. Any willful damage to or loss of equipment/tools will be deducted from workers found to have been responsible for such damage. Other deductions may be made if expressly authorized by the worker in writing.   </t>
  </si>
  <si>
    <t>greenlawncare1@sbcglobal.net</t>
  </si>
  <si>
    <t>Jake</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</si>
  <si>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Employer provides incidental transportation between worksites as necessary. No daily transportation to/from workers' home and primary worksite. Such transportation complies with all applicable Federal, State, and local laws/regulations.</t>
  </si>
  <si>
    <t>Horse Groom</t>
  </si>
  <si>
    <t>Animal Caretakers</t>
  </si>
  <si>
    <t>Ercilia</t>
  </si>
  <si>
    <t>Harris Beach, PLLC</t>
  </si>
  <si>
    <t>Gross</t>
  </si>
  <si>
    <t>Gary</t>
  </si>
  <si>
    <t>LAFAYETTE</t>
  </si>
  <si>
    <t>BARTENDER</t>
  </si>
  <si>
    <t>Bartenders</t>
  </si>
  <si>
    <t>NM</t>
  </si>
  <si>
    <t>THOMAS</t>
  </si>
  <si>
    <t>Eastern New Mexico nonmetropolitan area</t>
  </si>
  <si>
    <t>Medford</t>
  </si>
  <si>
    <t>Sole Member</t>
  </si>
  <si>
    <t>Clarksville</t>
  </si>
  <si>
    <t>Schladitz1144@maslabor.com</t>
  </si>
  <si>
    <t>Clarksville, TN-KY</t>
  </si>
  <si>
    <t>jobs4tn.gov</t>
  </si>
  <si>
    <t>Schladitz</t>
  </si>
  <si>
    <t>Karlo</t>
  </si>
  <si>
    <t>Jeff</t>
  </si>
  <si>
    <t xml:space="preserve">11155 Dolfield Blvd. </t>
  </si>
  <si>
    <t>Owings Mills</t>
  </si>
  <si>
    <t>Sioux Falls</t>
  </si>
  <si>
    <t>Bartow</t>
  </si>
  <si>
    <t>Shawn</t>
  </si>
  <si>
    <t>Chester</t>
  </si>
  <si>
    <t>MANCHESTER</t>
  </si>
  <si>
    <t>South Central Tennessee nonmetropolitan area</t>
  </si>
  <si>
    <t>Kalamazoo</t>
  </si>
  <si>
    <t>Patel</t>
  </si>
  <si>
    <t>Ken</t>
  </si>
  <si>
    <t>Traverse City</t>
  </si>
  <si>
    <t>West Jefferson</t>
  </si>
  <si>
    <t>Owner/President</t>
  </si>
  <si>
    <t>Character limit:overtime is not guaranteed but if worked rate is paid at time and a half per hour above 40 hou</t>
  </si>
  <si>
    <t>H-400-23320-506413</t>
  </si>
  <si>
    <t>Terra Green Landscapes, Inc.</t>
  </si>
  <si>
    <t>dba Terra Green Precision Landscapes</t>
  </si>
  <si>
    <t>4754 Poplar Tent Road</t>
  </si>
  <si>
    <t>Mailing: 1044 Lyerly Ridge Road NW, Concord, NC 28027</t>
  </si>
  <si>
    <t>Concord</t>
  </si>
  <si>
    <t>Faust</t>
  </si>
  <si>
    <t>P.J.</t>
  </si>
  <si>
    <t xml:space="preserve">Requires two months of previous landscape experience. Must lift/carry 50 lbs., when necessary.  Saturday work required, when necessary.  Post-hire random, post-accident and upon suspicion of use drug testing required of foreign and domestic workers. Employer may offer more than the stated work hours depending on weather, business needs, and other conditions. Extreme heat, cold, rain, or drought may affect exact working hours.
</t>
  </si>
  <si>
    <t>CABARRUS</t>
  </si>
  <si>
    <t>Charlotte-Concord-Gastonia, NC-SC</t>
  </si>
  <si>
    <t>P-400-23263-362060</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</si>
  <si>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provides incidental transportation between worksites as necessary. Employer offers free daily transportation to/from worksite from designated pick-up location. Use of transportation is voluntary. Such transportation complies with all applicable Federal, State, and local laws/regulations.</t>
  </si>
  <si>
    <t>hr@terragreenlandscapes.com</t>
  </si>
  <si>
    <t>Carl</t>
  </si>
  <si>
    <t>Northwest Minnesota nonmetropolitan area</t>
  </si>
  <si>
    <t>Debbie</t>
  </si>
  <si>
    <t>Paul</t>
  </si>
  <si>
    <t>Benson</t>
  </si>
  <si>
    <t>Kerns</t>
  </si>
  <si>
    <t>Zander</t>
  </si>
  <si>
    <t>zander@laborci.com</t>
  </si>
  <si>
    <t>Lowell</t>
  </si>
  <si>
    <t>Darlene</t>
  </si>
  <si>
    <t>Apex</t>
  </si>
  <si>
    <t>GUILFORD</t>
  </si>
  <si>
    <t>Greensboro-High Point, NC</t>
  </si>
  <si>
    <t>H-400-23307-475877</t>
  </si>
  <si>
    <t>JJ &amp; Sons Concessions, LLC</t>
  </si>
  <si>
    <t>3458 E. Illini Street</t>
  </si>
  <si>
    <t>Phoenix</t>
  </si>
  <si>
    <t>Sawyers</t>
  </si>
  <si>
    <t>3458 E Illini Street</t>
  </si>
  <si>
    <t>csawyers1@gmail.com</t>
  </si>
  <si>
    <t>Gloria@pesusa.com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</si>
  <si>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Applicants must cooperate with and complete job application and interview truthfully.</t>
  </si>
  <si>
    <t>1101 West McKinley Avenue</t>
  </si>
  <si>
    <t>Pomona</t>
  </si>
  <si>
    <t>LOS ANGELES</t>
  </si>
  <si>
    <t>Los Angeles-Long Beach-Anaheim, CA</t>
  </si>
  <si>
    <t>Employer reserves the option to provide additional compensation for performance and tenure. No education or experience r</t>
  </si>
  <si>
    <t>P-400-23172-132106</t>
  </si>
  <si>
    <t>Employer will make all deductions from worker’s paycheck required by law. Employer’s optional shared housing ($120/wk.) is available for wage credit and/or deduction, or any lesser amount to the maximum extent not prohibited by law. Employer will pay the cost of this housing to the extent such cost would reduce pay below the offered wage rate for the areas of intended employment. Local convenience travel valued at ($20/wk.), and food available for wage credit and/or deduction, or any lesser amount to the maximum extent not prohibited by law.</t>
  </si>
  <si>
    <t>Light Truck Drivers</t>
  </si>
  <si>
    <t>Boston</t>
  </si>
  <si>
    <t>BOSTON CITY</t>
  </si>
  <si>
    <t>Food Batchmakers</t>
  </si>
  <si>
    <t>North Pacific Seafoods, Inc.</t>
  </si>
  <si>
    <t>130 2nd Ave. S</t>
  </si>
  <si>
    <t>Edmonds</t>
  </si>
  <si>
    <t>Leauri</t>
  </si>
  <si>
    <t>Karin</t>
  </si>
  <si>
    <t>Vice President, HR and Administration</t>
  </si>
  <si>
    <t>leaurimoore@npsi.us</t>
  </si>
  <si>
    <t>Isohata</t>
  </si>
  <si>
    <t>Satoru</t>
  </si>
  <si>
    <t>6100 219th Street SW</t>
  </si>
  <si>
    <t>Suite 480</t>
  </si>
  <si>
    <t>Mountlake Terrace</t>
  </si>
  <si>
    <t>isohata@kandilawyers.com</t>
  </si>
  <si>
    <t>Kotokawa &amp; Isohata, PS</t>
  </si>
  <si>
    <t>627 Shelikof Street</t>
  </si>
  <si>
    <t>Kodiak</t>
  </si>
  <si>
    <t>KODIAK ISLAND</t>
  </si>
  <si>
    <t>On-campus dormitory-style shared housing and meals at each work location will be paid by the employer</t>
  </si>
  <si>
    <t>https://www.northpacificseafoods.com/</t>
  </si>
  <si>
    <t>Grandy</t>
  </si>
  <si>
    <t>CURRITUCK</t>
  </si>
  <si>
    <t>B</t>
  </si>
  <si>
    <t>HR DIRECTOR</t>
  </si>
  <si>
    <t>LEONEL DE CERVANTES</t>
  </si>
  <si>
    <t>SAYDE</t>
  </si>
  <si>
    <t>MARISOL</t>
  </si>
  <si>
    <t>6701 NIEDERWALD STRASSE</t>
  </si>
  <si>
    <t>KYLE</t>
  </si>
  <si>
    <t>ILS-SRANGEL@HOTMAIL.COM</t>
  </si>
  <si>
    <t>Infinity Labor Source, Inc.</t>
  </si>
  <si>
    <t>ALL DEDUCTIONS REQUIRED BY LAW.</t>
  </si>
  <si>
    <t>Duncan</t>
  </si>
  <si>
    <t>Jeanette</t>
  </si>
  <si>
    <t>jenny@laborci.com</t>
  </si>
  <si>
    <t xml:space="preserve">Operations Manager </t>
  </si>
  <si>
    <t>Newton</t>
  </si>
  <si>
    <t>Des Moines</t>
  </si>
  <si>
    <t>Helpers-Maintenance.</t>
  </si>
  <si>
    <t>Donald</t>
  </si>
  <si>
    <t>Stephen</t>
  </si>
  <si>
    <t>Watson</t>
  </si>
  <si>
    <t>Anique</t>
  </si>
  <si>
    <t>203 N Jackson Ave</t>
  </si>
  <si>
    <t>info@actionvisa.com</t>
  </si>
  <si>
    <t>Action International, Inc.</t>
  </si>
  <si>
    <t>Malvern</t>
  </si>
  <si>
    <t>Smith</t>
  </si>
  <si>
    <t xml:space="preserve">Requires three months of previous landscape experience. Must lift/carry 50 lbs., when necessary.  Saturday work required, when necessary. Employer may offer more than the stated work hours depending on weather, business needs, and other conditions. Extreme heat, cold, rain, or drought may affect exact working hours.
</t>
  </si>
  <si>
    <t>Pickering Valley Landscape, Inc.</t>
  </si>
  <si>
    <t>804 N. Manor Road</t>
  </si>
  <si>
    <t>Elverson</t>
  </si>
  <si>
    <t>O'Donnell</t>
  </si>
  <si>
    <t>Sean</t>
  </si>
  <si>
    <t>804 N. Manor Rd.,</t>
  </si>
  <si>
    <t>P-400-23268-377533</t>
  </si>
  <si>
    <t>Employer makes all payroll deductions required by law. Employer does not envision other workforce-wide payroll deductions. Employer provides incidental transportation between worksites as necessary. Employer offers free daily transportation to/from worksite from designated pick-up location. Use of transportation is voluntary.</t>
  </si>
  <si>
    <t>Anchorage</t>
  </si>
  <si>
    <t>ANCHORAGE</t>
  </si>
  <si>
    <t>Anchorage, AK</t>
  </si>
  <si>
    <t>OFALLON</t>
  </si>
  <si>
    <t>H-400-23326-519521</t>
  </si>
  <si>
    <t>San Juan Lawn Care</t>
  </si>
  <si>
    <t>9694 Victoria Ln</t>
  </si>
  <si>
    <t>Mailing: PO Box 1202, Boerne, TX 78006</t>
  </si>
  <si>
    <t>Boerne</t>
  </si>
  <si>
    <t>San Juan</t>
  </si>
  <si>
    <t>Florencio</t>
  </si>
  <si>
    <t>fsanjuan1010@hotmail.com</t>
  </si>
  <si>
    <t xml:space="preserve">Able to lift 50lbs, Monday-Friday, Schedule varies, some Saturdays may be required, overtime varies
</t>
  </si>
  <si>
    <t>P-400-23201-202549</t>
  </si>
  <si>
    <t>H-400-23332-526488</t>
  </si>
  <si>
    <t>Great Western Landscape, Inc.</t>
  </si>
  <si>
    <t>3706 West 500 South</t>
  </si>
  <si>
    <t>Gillen</t>
  </si>
  <si>
    <t>Cody</t>
  </si>
  <si>
    <t>E.</t>
  </si>
  <si>
    <t>cody@greatwesternlandscape.com</t>
  </si>
  <si>
    <t xml:space="preserve">Mon-Fri. Some Saturdays required. Overtime varies. Able to lift 50lbs. 2 months experience required in landscape services. Drug testing during employment for cause. All drug testing is performed without regard to an employees citizenship or immigration status, and all testing is paid for by the company. See the additional document attached for further details about the administration of our drug testing policy.
</t>
  </si>
  <si>
    <t>Raise at employer's discretion. Opportunity for higher pay based on experience.</t>
  </si>
  <si>
    <t>P-400-23180-153335</t>
  </si>
  <si>
    <t>Employer may make payroll deductions at employee's request. Employer facilitates corresponding deductions for available health benefits.</t>
  </si>
  <si>
    <t>hr@greatwesternlandscape.com</t>
  </si>
  <si>
    <t>Stillwater</t>
  </si>
  <si>
    <t>SARATOGA</t>
  </si>
  <si>
    <t>Bonuses/raises may be paid at employer discretion based on performance, skill, tenure.</t>
  </si>
  <si>
    <t>H2@harrisbeach.com</t>
  </si>
  <si>
    <t>Aurora</t>
  </si>
  <si>
    <t>KRIS</t>
  </si>
  <si>
    <t>Flores Construction LLC</t>
  </si>
  <si>
    <t>111 Warbler Avenue</t>
  </si>
  <si>
    <t>Ackley</t>
  </si>
  <si>
    <t>Flores</t>
  </si>
  <si>
    <t>Jesus</t>
  </si>
  <si>
    <t xml:space="preserve">Must be able to lift and carry 75 lbs 75 yds. Must be able to handle temperature extremes. Some weekend work.
</t>
  </si>
  <si>
    <t>Northeast Iowa nonmetropolitan area</t>
  </si>
  <si>
    <t>Chalfont</t>
  </si>
  <si>
    <t>BUCKS</t>
  </si>
  <si>
    <t>Canonsburg</t>
  </si>
  <si>
    <t>Cook 2</t>
  </si>
  <si>
    <t>Suite 203</t>
  </si>
  <si>
    <t>Raymond</t>
  </si>
  <si>
    <t>Portland-South Portland, ME</t>
  </si>
  <si>
    <t>Meyer</t>
  </si>
  <si>
    <t>1831 N. LAKEWOOD DR.</t>
  </si>
  <si>
    <t>SUITE B.</t>
  </si>
  <si>
    <t>COEUR D'ALENE</t>
  </si>
  <si>
    <t>H-400-23248-318957</t>
  </si>
  <si>
    <t>Jonathan Friedman</t>
  </si>
  <si>
    <t>20 Acclaim At Lionspaw</t>
  </si>
  <si>
    <t>Daytona Beach</t>
  </si>
  <si>
    <t>Friedman</t>
  </si>
  <si>
    <t>Jonathan</t>
  </si>
  <si>
    <t>yes.friedman@gmail.com</t>
  </si>
  <si>
    <t>Skills:
Proficiency in infant and toddler care, including feeding, diapering, and safety precautions.
Ability to plan and implement age-appropriate developmental activities.
Effective communication skills to provide regular updates to parents.
Basic first aid skills and knowledge of emergency procedures.
Licenses/Certifications:
Certification in Infant and Child CPR and First Aid (or willing to obtain before employment start date).
Optional: Childcare or early childhood development certification or diploma.
Field(s) of Training:
Training or experience in early childhood development or a related field.
Training or experience in child nutrition and feeding practices for infants and toddlers.
Additional Requirements:
Must pass a thorough background check.
Provide professional references, preferably from previous childcare roles.
Consent to a drug-free workplace policy, including the potential for random drug screenings.</t>
  </si>
  <si>
    <t>VOLUSIA</t>
  </si>
  <si>
    <t>Deltona-Daytona Beach-Ormond Beach, FL</t>
  </si>
  <si>
    <t>P-400-23185-165933</t>
  </si>
  <si>
    <t>Deductions will include standard federal and state income tax withholdings, Social Security (FICA), and Medicare tax. No other deductions will be made from the employee's pay beyond these statutory requirements.</t>
  </si>
  <si>
    <t>Vernon</t>
  </si>
  <si>
    <t>FULTON</t>
  </si>
  <si>
    <t>Steven</t>
  </si>
  <si>
    <t>Amusement &amp; Recreation Attendant – Carnival</t>
  </si>
  <si>
    <t>H-400-23336-539073</t>
  </si>
  <si>
    <t xml:space="preserve">GROUNDWORKS LANDSCAPING INC </t>
  </si>
  <si>
    <t>530 MONTAUK HIGHWAY</t>
  </si>
  <si>
    <t>EAST HAMPTON</t>
  </si>
  <si>
    <t>HREN</t>
  </si>
  <si>
    <t>KIMBERLY</t>
  </si>
  <si>
    <t>P-400-23201-203699</t>
  </si>
  <si>
    <t>KIM@GROUNDWORKSLANDSCAPING.COM</t>
  </si>
  <si>
    <t>Pittsburgh</t>
  </si>
  <si>
    <t>Office Clerks, General</t>
  </si>
  <si>
    <t>11155 Dolfield Blvd</t>
  </si>
  <si>
    <t>HOWARD</t>
  </si>
  <si>
    <t>ENGLEWOOD</t>
  </si>
  <si>
    <t>HEMMES</t>
  </si>
  <si>
    <t>JILL</t>
  </si>
  <si>
    <t>CHARLOTTE</t>
  </si>
  <si>
    <t>Punta Gorda, FL</t>
  </si>
  <si>
    <t xml:space="preserve">Must be able to lift 50 lbs
</t>
  </si>
  <si>
    <t>MONMOUTH</t>
  </si>
  <si>
    <t>PATEL</t>
  </si>
  <si>
    <t>BARNSTABLE CITY</t>
  </si>
  <si>
    <t>West Yellowstone</t>
  </si>
  <si>
    <t>MARSHALL</t>
  </si>
  <si>
    <t>DIVERSE PERSONNEL LOGISTICS</t>
  </si>
  <si>
    <t>Ramirez</t>
  </si>
  <si>
    <t>Wilson</t>
  </si>
  <si>
    <t>Bre</t>
  </si>
  <si>
    <t>bre@laborci.com</t>
  </si>
  <si>
    <t>Must be 18 due to insurance.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70lbs (possible 2-person).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</si>
  <si>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Clint</t>
  </si>
  <si>
    <t>Landscape Workshop, LLC</t>
  </si>
  <si>
    <t>550 Montgomery Hwy</t>
  </si>
  <si>
    <t>Vestavia Hills</t>
  </si>
  <si>
    <t>Blankenship</t>
  </si>
  <si>
    <t>Pam</t>
  </si>
  <si>
    <t>pblankenship@landscapeworkshop.com</t>
  </si>
  <si>
    <t>Must be 18 due to state labor laws.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</si>
  <si>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BEAUFORT</t>
  </si>
  <si>
    <t>Optional, shared housing available to the worker. If optional housing is agreed upon by the worker, cost of housing will be deducted from worker's wages. The exact amount of housing deduction varies by location; the deduction not to exceed $125 per weekly paycheck, but may be less depending on the housing location.At Employer’s sole discretion: possible cash advances (if applicable/requested by worker, potential deduction from worker’s paycheck).</t>
  </si>
  <si>
    <t>Packers and Packagers, Hand</t>
  </si>
  <si>
    <t>Landscape Superintendent</t>
  </si>
  <si>
    <t>First-Line Supervisors of Landscaping, Lawn Service, and Groundskeeping Workers</t>
  </si>
  <si>
    <t>Texas EcoGrow LLC    S</t>
  </si>
  <si>
    <t>1405 Brandi Lane</t>
  </si>
  <si>
    <t>Round Rock</t>
  </si>
  <si>
    <t>Gitlin</t>
  </si>
  <si>
    <t>Nathan</t>
  </si>
  <si>
    <t>nate@texasecogrow.com</t>
  </si>
  <si>
    <t>WILLIAMSON</t>
  </si>
  <si>
    <t>1 hr. for lunch.  Some O.T. may be available but not guaranteed. Wage w/in wage range based on experience &amp; performance.</t>
  </si>
  <si>
    <t>P-400-23184-164832</t>
  </si>
  <si>
    <t>H-400-23307-475910</t>
  </si>
  <si>
    <t>Epic Landscape Productions LLC</t>
  </si>
  <si>
    <t>23933 W. 175th Street</t>
  </si>
  <si>
    <t>Gardner</t>
  </si>
  <si>
    <t>Spachman</t>
  </si>
  <si>
    <t xml:space="preserve">Anne </t>
  </si>
  <si>
    <t>HR Director</t>
  </si>
  <si>
    <t>aspachman@epicland.net</t>
  </si>
  <si>
    <t>Must be 18 due to equipment use.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60lbs (possible 2-person).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</si>
  <si>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24275 W 175th Street (Report to Work)</t>
  </si>
  <si>
    <t>P-400-23223-259133</t>
  </si>
  <si>
    <t>MINNEHAHA</t>
  </si>
  <si>
    <t>Abraham</t>
  </si>
  <si>
    <t>Area Director of Human Resources</t>
  </si>
  <si>
    <t>Macon</t>
  </si>
  <si>
    <t>STORY</t>
  </si>
  <si>
    <t>Ames, IA</t>
  </si>
  <si>
    <t>H-400-23320-505558</t>
  </si>
  <si>
    <t>Landscapes Unlimited, LLC</t>
  </si>
  <si>
    <t>1201 Aries Drive</t>
  </si>
  <si>
    <t>Lincoln</t>
  </si>
  <si>
    <t>Cesar</t>
  </si>
  <si>
    <t>VP - Human Resources</t>
  </si>
  <si>
    <t>gramcke@landscapesunlimited.com</t>
  </si>
  <si>
    <t>Kan</t>
  </si>
  <si>
    <t>Grace</t>
  </si>
  <si>
    <t>Sue</t>
  </si>
  <si>
    <t>1750 Valley View Lane</t>
  </si>
  <si>
    <t>Suite 339</t>
  </si>
  <si>
    <t>Farmers Branch</t>
  </si>
  <si>
    <t>gkan@kanlaw.net</t>
  </si>
  <si>
    <t>Kan Law, PC</t>
  </si>
  <si>
    <t>Requires certification as a Certified Pipe Fuser by a recognized vendor i.e. ISCO, Ewing Irrigation, ADS Hancor. 12 months of experience in golf course construction and renovation. OT as needed.
We want to clarify the information on Item F.a.5. During the work week, which runs Sunday through Saturday, employees are scheduled to work a 40 hour work week and given OT as needed. F.a.5 does not allow us to enter such a work schedule. If we enter 8 hours each day, it would show 56 hours a week, which is not an accurate reflection of their work schedule.</t>
  </si>
  <si>
    <t>1515 Knoxville Street</t>
  </si>
  <si>
    <t>&amp; Surrounding Areas in the Same MSA</t>
  </si>
  <si>
    <t>Please see job duties and item F.d.6. for details.</t>
  </si>
  <si>
    <t>P-400-23221-252376</t>
  </si>
  <si>
    <t>We reimburse employees who travel by bus to the job site. However, those workers that choose to fly instead are paid for the bus fare by LU, and then, LU pays for the plane fare, which is then deducted from their pay. Optional company housing will be provided free of charge for employees outside of commuting distance. Employees who do not require or use company housing will receive a housing reimbursement of $231.00 per pay period.</t>
  </si>
  <si>
    <t>www.landscapesunlimited.com</t>
  </si>
  <si>
    <t>McKinney</t>
  </si>
  <si>
    <t>https://www.workintexas.com</t>
  </si>
  <si>
    <t>ADAMS</t>
  </si>
  <si>
    <t>Southwest Mississippi nonmetropolitan area</t>
  </si>
  <si>
    <t>H-400-23326-519418</t>
  </si>
  <si>
    <t>Triple T Amusements</t>
  </si>
  <si>
    <t>5310 Old Buena Vista Road</t>
  </si>
  <si>
    <t>Waxahachie</t>
  </si>
  <si>
    <t>Talley</t>
  </si>
  <si>
    <t>Tony</t>
  </si>
  <si>
    <t>tripletamusements@gmail.com</t>
  </si>
  <si>
    <t>ELLIS</t>
  </si>
  <si>
    <t>P-400-23278-411242</t>
  </si>
  <si>
    <t>tttbackoffice@gmail.com</t>
  </si>
  <si>
    <t>Tree Trimmer / Climber</t>
  </si>
  <si>
    <t>SIMPSON</t>
  </si>
  <si>
    <t>TRUMBULL</t>
  </si>
  <si>
    <t>Youngstown-Warren-Boardman, OH-PA</t>
  </si>
  <si>
    <t xml:space="preserve">Jon </t>
  </si>
  <si>
    <t>Must be 18 due to equipment use.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80lbs (possible 2-person).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</si>
  <si>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Yakima</t>
  </si>
  <si>
    <t>YAKIMA</t>
  </si>
  <si>
    <t>Yakima, WA</t>
  </si>
  <si>
    <t>H-400-23261-355151</t>
  </si>
  <si>
    <t>Bartenter</t>
  </si>
  <si>
    <t>Treasure Bay V.I., LLC</t>
  </si>
  <si>
    <t>Divi Carina Bay Casino</t>
  </si>
  <si>
    <t>5025 Turner Hole Road</t>
  </si>
  <si>
    <t>Christiansted</t>
  </si>
  <si>
    <t>VI</t>
  </si>
  <si>
    <t>Saint Croix</t>
  </si>
  <si>
    <t>Diptee</t>
  </si>
  <si>
    <t>Len</t>
  </si>
  <si>
    <t>Christianstead</t>
  </si>
  <si>
    <t>ldiptee@carinabay.com</t>
  </si>
  <si>
    <t>Alejandro</t>
  </si>
  <si>
    <t>19 South Krome Ave</t>
  </si>
  <si>
    <t>Homestead</t>
  </si>
  <si>
    <t>alex@agonzalezlaw.com</t>
  </si>
  <si>
    <t>Gonzalez, P.A.</t>
  </si>
  <si>
    <t>Florida Supreme Court</t>
  </si>
  <si>
    <t xml:space="preserve">VI Gaming License and VI Food Handler's Card
Fluent in English
Must be 21 years old and able to obtain a VI Gaming License. Must have basic knowledge of beer, wine, and spirits and be familiar with most standard drink recipes. Must possess basic math skills and have the ability to handle money.
</t>
  </si>
  <si>
    <t>ST CROIX</t>
  </si>
  <si>
    <t>U.S. Virgin Islands MSA</t>
  </si>
  <si>
    <t>P-400-23183-162028</t>
  </si>
  <si>
    <t xml:space="preserve">All deductions from the worker's paycheck required by law, including but not limited to, VI Income Tax, Social Security, Medicare. Amounts unknown as it depends on hours worked. There will be a deduction of $300 per month for housing ($150 per bi-weekly pay period). Housing is optional. </t>
  </si>
  <si>
    <t>hr@carinabay.com</t>
  </si>
  <si>
    <t>Giri Hotel Management LLC</t>
  </si>
  <si>
    <t>2300 Crown Colony Drive</t>
  </si>
  <si>
    <t>Quincy</t>
  </si>
  <si>
    <t>Howes</t>
  </si>
  <si>
    <t>HR Representative</t>
  </si>
  <si>
    <t>jhowes@girihotels.com</t>
  </si>
  <si>
    <t>Northern New Hampshire nonmetropolitan area</t>
  </si>
  <si>
    <t xml:space="preserve">Optional employee housing available at a rate of $150 per week to be deducted from paycheck if housing is elected. </t>
  </si>
  <si>
    <t>jobs@girihotels.com</t>
  </si>
  <si>
    <t>General Laborer</t>
  </si>
  <si>
    <t>Salem</t>
  </si>
  <si>
    <t>79 W Birds Eye Ln.</t>
  </si>
  <si>
    <t>Intermittent</t>
  </si>
  <si>
    <t>Timothy</t>
  </si>
  <si>
    <t>BELL</t>
  </si>
  <si>
    <t>Killeen-Temple, TX</t>
  </si>
  <si>
    <t>H-400-23331-525263</t>
  </si>
  <si>
    <t>Bowen's Landscape Services, Inc.</t>
  </si>
  <si>
    <t>520 N Cowan</t>
  </si>
  <si>
    <t>Lewisville</t>
  </si>
  <si>
    <t>Bowen</t>
  </si>
  <si>
    <t>dani@h2labor.com</t>
  </si>
  <si>
    <t xml:space="preserve">Must be able to work in hot/cold weather.  </t>
  </si>
  <si>
    <t>DENTON</t>
  </si>
  <si>
    <t>P-400-23292-442330</t>
  </si>
  <si>
    <t>bowenlandscape@gmail.com</t>
  </si>
  <si>
    <t>Midland</t>
  </si>
  <si>
    <t>MIDLAND</t>
  </si>
  <si>
    <t>Midland, TX</t>
  </si>
  <si>
    <t>Larry</t>
  </si>
  <si>
    <t>339 KELLINGS FARM RD</t>
  </si>
  <si>
    <t>EAST CARONDELET</t>
  </si>
  <si>
    <t>Parlman</t>
  </si>
  <si>
    <t>RPARLMAN@GMAIL.COM</t>
  </si>
  <si>
    <t>East Carondelet</t>
  </si>
  <si>
    <t>ST CLAIR</t>
  </si>
  <si>
    <t>Marin</t>
  </si>
  <si>
    <t>Charlotte</t>
  </si>
  <si>
    <t>Johnson</t>
  </si>
  <si>
    <t>MECKLENBURG</t>
  </si>
  <si>
    <t>Knoxville, TN</t>
  </si>
  <si>
    <t>FRESNO</t>
  </si>
  <si>
    <t>Fresno, CA</t>
  </si>
  <si>
    <t>Brad</t>
  </si>
  <si>
    <t>GALVESTON</t>
  </si>
  <si>
    <t>H-400-23335-537094</t>
  </si>
  <si>
    <t>LANDSCAPING AND GROUNDSKEEPING WORKERS</t>
  </si>
  <si>
    <t>JAMES E DEVINE (DVN124A)</t>
  </si>
  <si>
    <t>DEVINE CREATIONS LANDSCAPE MANAGEMENT, LLC</t>
  </si>
  <si>
    <t>752 MAPLE ST</t>
  </si>
  <si>
    <t>HARRODSBURG</t>
  </si>
  <si>
    <t>DEVINE</t>
  </si>
  <si>
    <t>EDDIE</t>
  </si>
  <si>
    <t>kschindler@azteclabor.com</t>
  </si>
  <si>
    <t>Schindler</t>
  </si>
  <si>
    <t>1345 Park Street</t>
  </si>
  <si>
    <t>Paso Robles</t>
  </si>
  <si>
    <t>California</t>
  </si>
  <si>
    <t>anna@azteclabor.com</t>
  </si>
  <si>
    <t>AZTEC FOREIGN LABOR, INC</t>
  </si>
  <si>
    <t xml:space="preserve">MUST BE ABLE TO TOLERATE EXTREME TEMPERATURES, LOUD NOISES; LIFT HEAVY EQUIPMENT AND EXHIBIT STAMINA. OPERATE EQUIPMENT WHILE SOBER.MAY WORK SATURDAYS.  POST-EMPLOYMENT EMPLOYER-PAID DRUG TEST MAY BE ADMINISTERED.
Work days:  M-F, May work Saturdays
Hours per week: 35
Work Schedule: 7:00am-2:00pm; workday schedule and days worked varies depending on weather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No
Overtime available?  Yes
On-the-Job Training provided?  Yes
Employer-Provided Tools and Equipment provided?  Yes
Board, Lodging or Other Facilities provided?:  Yes. Employer will secure optional housing free-of-charge. No family housing available.
Deductions: N/A
</t>
  </si>
  <si>
    <t>588 MEADOW BROOK LN.</t>
  </si>
  <si>
    <t>MERCER</t>
  </si>
  <si>
    <t>Central Kentucky nonmetropolitan area</t>
  </si>
  <si>
    <t>Employer may offer a raise or bonus depending on experience and merit.</t>
  </si>
  <si>
    <t>P-400-23269-381942</t>
  </si>
  <si>
    <t xml:space="preserve"> N/A</t>
  </si>
  <si>
    <t>ldevine@bgwifi.com</t>
  </si>
  <si>
    <t>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</si>
  <si>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Orr</t>
  </si>
  <si>
    <t>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t>
  </si>
  <si>
    <t xml:space="preserve">Flip Flopz Management Services LLC </t>
  </si>
  <si>
    <t>136 W Georgie St</t>
  </si>
  <si>
    <t>Santa Rosa Beach</t>
  </si>
  <si>
    <t>Koehler</t>
  </si>
  <si>
    <t>Tania</t>
  </si>
  <si>
    <t>tania@flipflopzcleaning.com</t>
  </si>
  <si>
    <t>WALTON</t>
  </si>
  <si>
    <t>Crestview-Fort Walton Beach-Destin, FL</t>
  </si>
  <si>
    <t>recruitment@essentialhrs.com</t>
  </si>
  <si>
    <t>JOSHUA</t>
  </si>
  <si>
    <t>Jerry</t>
  </si>
  <si>
    <t>K.</t>
  </si>
  <si>
    <t>Casey</t>
  </si>
  <si>
    <t>H-400-23271-388207</t>
  </si>
  <si>
    <t>RASKA, LLC</t>
  </si>
  <si>
    <t>5207 Milwee Street</t>
  </si>
  <si>
    <t>Arndt</t>
  </si>
  <si>
    <t>Renee</t>
  </si>
  <si>
    <t>3303 Harris Park Ave.</t>
  </si>
  <si>
    <t xml:space="preserve">Pre-hire Criminal Background Check required for all U.S. and foreign workers.
</t>
  </si>
  <si>
    <t>HARRIS</t>
  </si>
  <si>
    <t>P-400-23207-215873</t>
  </si>
  <si>
    <t>Employer will make all deductions required by law from each paycheck.
Employer will advance against pay up to $75/day at the end of each work day at no interest for the first 2 weeks, if needed.Other benefits provided to U.S. and H2B workers are the following: Optional Health Insurance.</t>
  </si>
  <si>
    <t>c.arndt@gulfcoastcorp.com</t>
  </si>
  <si>
    <t>H-400-23300-461427</t>
  </si>
  <si>
    <t>BELLMAN</t>
  </si>
  <si>
    <t>Baggage Porters and Bellhops</t>
  </si>
  <si>
    <t>TLPB Associates LLC</t>
  </si>
  <si>
    <t>TIDELINE OCEAN RESORT &amp; SPA</t>
  </si>
  <si>
    <t>2842 S. Ocean Blvd.</t>
  </si>
  <si>
    <t>GROSSMAN</t>
  </si>
  <si>
    <t>STUART</t>
  </si>
  <si>
    <t>Registered Agent</t>
  </si>
  <si>
    <t xml:space="preserve">Must have at least two (2) months prior full-time customer service experience in luxury hospitality setting. Experience must be verifiable. Must have or be eligible to obtain a valid drivers license. Must pass a pre-hire background check, carried out equally between U.S. workers and H-2B workers. Must be available to work split-shifts, nights, weekends &amp; holidays as needed. Must be able to lift, pull, push or carry up to 50 lbs or more, and walk or stand for long periods of time. Must maintain a professional appearance and be able to communicate in English.
</t>
  </si>
  <si>
    <t>Raises and/or bonuses may be offered to any worker in the specified occupation at the employer's sole discretion.</t>
  </si>
  <si>
    <t>P-400-23299-459867</t>
  </si>
  <si>
    <t xml:space="preserve">$160 deduction per week for workers who elect to use employer-provided housing. Employer will make all deductions required by law. </t>
  </si>
  <si>
    <t>ABC Professional Tree Services, Inc - Huntsville</t>
  </si>
  <si>
    <t>Huntsville</t>
  </si>
  <si>
    <t>Alvarez</t>
  </si>
  <si>
    <t xml:space="preserve">Optional employee housing available at a rate of $150 per week to be deducted from paycheck. </t>
  </si>
  <si>
    <t>Optional employee housing available at a rate of $150 per week to be deducted from paycheck, if housing is elected.</t>
  </si>
  <si>
    <t>HR MANAGER</t>
  </si>
  <si>
    <t>KNOX</t>
  </si>
  <si>
    <t>Lynn</t>
  </si>
  <si>
    <t>Black</t>
  </si>
  <si>
    <t>Holly</t>
  </si>
  <si>
    <t>109 W BAY PLZ</t>
  </si>
  <si>
    <t>PLATTSBURGH</t>
  </si>
  <si>
    <t>holly@laborquest.com</t>
  </si>
  <si>
    <t>HURDLE Group Inc. dba LaborQuest USA</t>
  </si>
  <si>
    <t>Northeastern Wisconsin nonmetropolitan area</t>
  </si>
  <si>
    <t>MIDDLESEX</t>
  </si>
  <si>
    <t>Adrian</t>
  </si>
  <si>
    <t>CAMERON</t>
  </si>
  <si>
    <t>Brownsville-Harlingen, TX</t>
  </si>
  <si>
    <t>H-400-23307-475903</t>
  </si>
  <si>
    <t>MN GOBER, LLC</t>
  </si>
  <si>
    <t>Landscape Express</t>
  </si>
  <si>
    <t>2604 Bierstadt Dr</t>
  </si>
  <si>
    <t>Highland Village</t>
  </si>
  <si>
    <t>Jordan</t>
  </si>
  <si>
    <t>Nicole</t>
  </si>
  <si>
    <t>landscapexpress99@yahoo.com</t>
  </si>
  <si>
    <t>203 N. Jackson Ave.</t>
  </si>
  <si>
    <t>production@actionvisa.com</t>
  </si>
  <si>
    <t>P-400-23226-263243</t>
  </si>
  <si>
    <t>Employer will make all deductions from the worker's paycheck required by law.  Option to reimburse advance pay via deduction from pay, at $25 per pay period. Optional deductions will not drop the overall wages below the UDSOL minimum, if the deductions are too great they will not be made.</t>
  </si>
  <si>
    <t>H-400-23336-539110</t>
  </si>
  <si>
    <t>Deckhand/ Headers</t>
  </si>
  <si>
    <t>Shrimp Hunter 5, Inc.</t>
  </si>
  <si>
    <t>Mighty Tide</t>
  </si>
  <si>
    <t xml:space="preserve">112 South 12th Street </t>
  </si>
  <si>
    <t>Medina</t>
  </si>
  <si>
    <t>Antero Azul</t>
  </si>
  <si>
    <t>P-400-23181-160718</t>
  </si>
  <si>
    <t>H-400-23321-509028</t>
  </si>
  <si>
    <t xml:space="preserve">Landscaping and Groundskeeping </t>
  </si>
  <si>
    <t>Shepherd's Landscape Maintenance LLC</t>
  </si>
  <si>
    <t>13945 Lucia Riverbend Hwy</t>
  </si>
  <si>
    <t>P. O. Box 681448, Charlotte, NC 28216</t>
  </si>
  <si>
    <t>Mt. Holly</t>
  </si>
  <si>
    <t>Garmon</t>
  </si>
  <si>
    <t>office@shepherdslandscape.com</t>
  </si>
  <si>
    <t xml:space="preserve">Lift/carry up to 50 pounds. Employer paid drug test is Pre-Employment, Random (post-employment) 
</t>
  </si>
  <si>
    <t>13945 Lucia Riverbend Hwy.</t>
  </si>
  <si>
    <t>GASTON</t>
  </si>
  <si>
    <t>Character limit: overtime is not guaranteed but if worked rate is paid at time and a half per hour above 40 ho</t>
  </si>
  <si>
    <t>P-400-23187-170608</t>
  </si>
  <si>
    <t xml:space="preserve">The employer will make the following deductions from the worker's wages: all deductions required by law,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where it is shown that the worker is responsible, and any other reasonable deductions expressly authorized by the worker in writing. No deduction not required by law will be made that brings the workers hourly earnings below the FLSA Federal statutory minimum wage.  </t>
  </si>
  <si>
    <t>H-400-23307-476512</t>
  </si>
  <si>
    <t>Diamondback Landscaping &amp; Lawncare, Inc.</t>
  </si>
  <si>
    <t>294 Hidden Farms Dr</t>
  </si>
  <si>
    <t>San Marcos</t>
  </si>
  <si>
    <t>Braun</t>
  </si>
  <si>
    <t xml:space="preserve">W </t>
  </si>
  <si>
    <t>diamondbacklandscaping@msn.com</t>
  </si>
  <si>
    <t xml:space="preserve">2901 Bucks Bayou Rd	</t>
  </si>
  <si>
    <t xml:space="preserve">Random drug testing during employment; Drug testing during employment for cause; Post-Accident Drug Testing, Monday-Friday, some Saturday's required, schedule varies,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
</t>
  </si>
  <si>
    <t>294 Hidden Farms Dr.</t>
  </si>
  <si>
    <t>GUADALUPE</t>
  </si>
  <si>
    <t>Raise/bonus at employer's discretion</t>
  </si>
  <si>
    <t>P-400-23188-174077</t>
  </si>
  <si>
    <t>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</si>
  <si>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Rodriguez</t>
  </si>
  <si>
    <t>Hector</t>
  </si>
  <si>
    <t>HILTON HEAD ISLAND</t>
  </si>
  <si>
    <t>Jenna</t>
  </si>
  <si>
    <t>Hilton Head Island</t>
  </si>
  <si>
    <t>LINE COOKS</t>
  </si>
  <si>
    <t>HOUSING OPTIONAL AND AVAILABLE FOR $500/MONTH</t>
  </si>
  <si>
    <t>gsummerlin@eglc.org</t>
  </si>
  <si>
    <t>H-400-23328-522470</t>
  </si>
  <si>
    <t>Landscape Crew Member</t>
  </si>
  <si>
    <t>Island Landscapes LLC</t>
  </si>
  <si>
    <t>YardWorks</t>
  </si>
  <si>
    <t>2335 Rifle Range Rd</t>
  </si>
  <si>
    <t>Mailing: P.O. Box 733, Sullivans Island, SC 29482</t>
  </si>
  <si>
    <t>Mt. Pleasant</t>
  </si>
  <si>
    <t>Hobson</t>
  </si>
  <si>
    <t>walker@scyardworks.com</t>
  </si>
  <si>
    <t>Svec</t>
  </si>
  <si>
    <t>Robin</t>
  </si>
  <si>
    <t>rsvec@fewaglobal.org</t>
  </si>
  <si>
    <t xml:space="preserve">Monday-Friday, some Saturdays required, schedule varies, start/end times vary, additional overtime varies. Able to lift 50lbs. Must be able to work in excessive heat. Pre-hire background check required;Random drug testing during employment.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</si>
  <si>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Potential raise/bonus at employer's discretion.</t>
  </si>
  <si>
    <t>P-400-23171-126527</t>
  </si>
  <si>
    <t xml:space="preserve">Employer may make payroll deductions at employee's request.
Employer facilitates voluntary housing arrangements. </t>
  </si>
  <si>
    <t>hiring@scyardworks.com</t>
  </si>
  <si>
    <t>GLYNN</t>
  </si>
  <si>
    <t>Brunswick, GA</t>
  </si>
  <si>
    <t>Gainesville</t>
  </si>
  <si>
    <t>Carroll</t>
  </si>
  <si>
    <t>ABC Professional Tree Services, Inc - Beaumont</t>
  </si>
  <si>
    <t>I-10 &amp; Walden,</t>
  </si>
  <si>
    <t>Beaumont</t>
  </si>
  <si>
    <t>Cincinnati, OH-KY-IN</t>
  </si>
  <si>
    <t>Clarke1165@maslabor.com</t>
  </si>
  <si>
    <t>Columbus</t>
  </si>
  <si>
    <t>Christenson</t>
  </si>
  <si>
    <t>www.okjobmatch.com</t>
  </si>
  <si>
    <t>HUMBOLDT</t>
  </si>
  <si>
    <t>Brady</t>
  </si>
  <si>
    <t>Bentley</t>
  </si>
  <si>
    <t>Ray</t>
  </si>
  <si>
    <t>MACOMB</t>
  </si>
  <si>
    <t>Ice cream vendor</t>
  </si>
  <si>
    <t>Driver/Sales Workers</t>
  </si>
  <si>
    <t>Bright</t>
  </si>
  <si>
    <t>Raises and/or bonuses may be offered based on individual factors including work performance, skill, and tenure</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</si>
  <si>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No daily transportation to/from workers' home and primary worksite. Employer provides incidental transportation between worksites as necessary. Such transportation complies with all applicable Federal, State, and local laws/regulations.</t>
  </si>
  <si>
    <t>ronbright@popsypop.net</t>
  </si>
  <si>
    <t>H-400-23325-516034</t>
  </si>
  <si>
    <t>Yellowstone Landscape - Southeast, LLC_Tampa</t>
  </si>
  <si>
    <t>30319 Commerce Drive</t>
  </si>
  <si>
    <t>Elise</t>
  </si>
  <si>
    <t>Vice President HR</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</si>
  <si>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Employment eligibility (e-Verify) check required of foreign and domestic workers.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</si>
  <si>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30319 Commerce Dr,</t>
  </si>
  <si>
    <t>PASCO</t>
  </si>
  <si>
    <t>P-400-23236-293706</t>
  </si>
  <si>
    <t xml:space="preserve">Emplr makes all payroll deductions required by law. Emplr does not envision other workforce-wide payroll deductions. If req’d, Emplr helps non-local wrkrs secure optional wrkr-paid lodging. Emplr deducts reasonable FMV cost of rent/utilities based on # of occupants for wrkrs electing to reside in Emplr-provided housing (cost TBD). Voluntary advances and/or loans made to wrkrs, if any, may be repaid by pre-authorized payroll deductions. Emplr will deduct for reasonable cost of negligent damage to lodging facilities. Emplr may deduct retirement/savings plan contrib and/or health insurance prems for wrkrs voluntarily participating in plan(s). Uniform provided free. Emplr may deduct cost for voluntary purchase of additional uniforms for wrkr's benefit.  Emplr may also deduct for voluntary boot purchase program. Emplr provides incidental transpo between worksite. Emplr offers free daily transpo to/from worksite from designated pick-up location. Use of transpo is voluntary.
</t>
  </si>
  <si>
    <t>Mechanicsville</t>
  </si>
  <si>
    <t>HANOVER</t>
  </si>
  <si>
    <t>www.vawc.virginia.gov</t>
  </si>
  <si>
    <t>H-400-23307-475876</t>
  </si>
  <si>
    <t>DiSabatino Landscaping and Tree Service, Inc.</t>
  </si>
  <si>
    <t>471 B and O Lane</t>
  </si>
  <si>
    <t>DiSabatino</t>
  </si>
  <si>
    <t>CDiSabatino@disabatinoinc.com</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</si>
  <si>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
</t>
  </si>
  <si>
    <t>471 B and O Lane (Report to Work)</t>
  </si>
  <si>
    <t>NEW CASTLE</t>
  </si>
  <si>
    <t>P-400-23202-206456</t>
  </si>
  <si>
    <t>JDoran@disabatinoinc.com</t>
  </si>
  <si>
    <t>Roach</t>
  </si>
  <si>
    <t>Lakewood</t>
  </si>
  <si>
    <t>Nolan</t>
  </si>
  <si>
    <t>Melissa</t>
  </si>
  <si>
    <t>165 N. Meramec Ave.</t>
  </si>
  <si>
    <t>Suite 110</t>
  </si>
  <si>
    <t>mnolan@pcblawfirm.com</t>
  </si>
  <si>
    <t>#2</t>
  </si>
  <si>
    <t>Barry</t>
  </si>
  <si>
    <t>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</si>
  <si>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#B</t>
  </si>
  <si>
    <t>Montgomery, AL</t>
  </si>
  <si>
    <t>Sterling</t>
  </si>
  <si>
    <t>Bus and Truck Mechanics and Diesel Engine Specialists</t>
  </si>
  <si>
    <t>Jaime</t>
  </si>
  <si>
    <t>CHESTERFIELD</t>
  </si>
  <si>
    <t>H-400-23307-475879</t>
  </si>
  <si>
    <t>Thompson Landscape Services, Inc.</t>
  </si>
  <si>
    <t>409 International Pkwy, Suite 300</t>
  </si>
  <si>
    <t>Richardson</t>
  </si>
  <si>
    <t>Autumn</t>
  </si>
  <si>
    <t>autumn@thompson-landscape.com</t>
  </si>
  <si>
    <t>409 International Pkwy, Suite 300 (Report to Work)</t>
  </si>
  <si>
    <t>P-400-23192-179128</t>
  </si>
  <si>
    <t>H-400-23304-466957</t>
  </si>
  <si>
    <t>South Star Corporation</t>
  </si>
  <si>
    <t>#1 Landscaping</t>
  </si>
  <si>
    <t>3775 Ridge Road</t>
  </si>
  <si>
    <t>Csanyi</t>
  </si>
  <si>
    <t>tcsanyi@numberonelandscaping.com</t>
  </si>
  <si>
    <t xml:space="preserve">Post-employment drug testing may occur based upon the employers reasonable suspicion drug use.
F.a.5 A-H: 
7:30 am  4pm, M-F, Sat-Sun as needed; OT hours vary.
</t>
  </si>
  <si>
    <t>1371 W. Main St</t>
  </si>
  <si>
    <t>Raises/ bonuses may be offered to worker @ company's sole discretion  based on work performance, skill, tenure</t>
  </si>
  <si>
    <t>P-400-23173-135176</t>
  </si>
  <si>
    <t>Optional housing avail at a rate of $78/week, to be deducted from pay.</t>
  </si>
  <si>
    <t>LAUNDRY ATTENDANT</t>
  </si>
  <si>
    <t>MANAGEMENT</t>
  </si>
  <si>
    <t>MANAGER</t>
  </si>
  <si>
    <t>Newark</t>
  </si>
  <si>
    <t>HHS Exceptional Hospitality, LLC</t>
  </si>
  <si>
    <t>12495 SILVER CREEK RD</t>
  </si>
  <si>
    <t>DRIPPING SPRINGS</t>
  </si>
  <si>
    <t>www.jobs.scworks.org</t>
  </si>
  <si>
    <t>Rockwall</t>
  </si>
  <si>
    <t>P</t>
  </si>
  <si>
    <t>ROCKWALL</t>
  </si>
  <si>
    <t>H-400-23307-476550</t>
  </si>
  <si>
    <t>ISOD LAWN &amp; GARDEN CARE, INC.</t>
  </si>
  <si>
    <t>3 Crescent Road</t>
  </si>
  <si>
    <t>Florham Park</t>
  </si>
  <si>
    <t>Wistuk</t>
  </si>
  <si>
    <t xml:space="preserve">No education or experience required. Requires physical stamina. Must lift and carry 50 lbs. Work outdoors, in extreme temperatures, and in adverse weather. Company t-shirts provided at no cost and are to be worn at all worksites. Employer may offer more than the stated work hours depending on weather, business needs, and other conditions. Extreme heat, cold, rain, or drought may affect exact working hours.
</t>
  </si>
  <si>
    <t>MORRIS</t>
  </si>
  <si>
    <t>P-400-23208-220181</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</si>
  <si>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Employer offers free daily transportation to/from worksite from designated pick-up location. Use of transportation is voluntary.  Employer provides incidental transportation between worksites as necessary.</t>
  </si>
  <si>
    <t>joshw@isodlandscapes.com</t>
  </si>
  <si>
    <t>Lauren</t>
  </si>
  <si>
    <t>Fletcher</t>
  </si>
  <si>
    <t>Taelor</t>
  </si>
  <si>
    <t>tfletcher@fewaglobal.org</t>
  </si>
  <si>
    <t>EDGEFIELD</t>
  </si>
  <si>
    <t>Augusta-Richmond County, GA-SC</t>
  </si>
  <si>
    <t>Seafood Processor</t>
  </si>
  <si>
    <t>Roanoke, VA</t>
  </si>
  <si>
    <t>www.mitalent.org</t>
  </si>
  <si>
    <t>Castle Rock</t>
  </si>
  <si>
    <t>Lance</t>
  </si>
  <si>
    <t>debralawton0721@gmail.com</t>
  </si>
  <si>
    <t>Van Maanen Electric Inc.</t>
  </si>
  <si>
    <t>500 Iowa Speedway Drive</t>
  </si>
  <si>
    <t>DeJong</t>
  </si>
  <si>
    <t>Tammi</t>
  </si>
  <si>
    <t>tdejong@vanmaanenelectric.com</t>
  </si>
  <si>
    <t>Wage rate may vary based on experience and/or merit. Up to 20 hours of overtime may be available but are not guaranteed.</t>
  </si>
  <si>
    <t>Fisher</t>
  </si>
  <si>
    <t>Lawrence</t>
  </si>
  <si>
    <t>Waiter/Waitress</t>
  </si>
  <si>
    <t>Hudson</t>
  </si>
  <si>
    <t>Petersen</t>
  </si>
  <si>
    <t>Secretary Treasurer</t>
  </si>
  <si>
    <t>Stephanie</t>
  </si>
  <si>
    <t>Isabelle</t>
  </si>
  <si>
    <t>No experience required.</t>
  </si>
  <si>
    <t>BAR HARBOR TOWN</t>
  </si>
  <si>
    <t>Weaver</t>
  </si>
  <si>
    <t>Todd</t>
  </si>
  <si>
    <t>3355 Bee Caves Road</t>
  </si>
  <si>
    <t>Chesterfield</t>
  </si>
  <si>
    <t>Ewell</t>
  </si>
  <si>
    <t>ewellml@yahoo.com</t>
  </si>
  <si>
    <t>Animal Trainers</t>
  </si>
  <si>
    <t>Supreme Court of California</t>
  </si>
  <si>
    <t>Central East New York nonmetropolitan area</t>
  </si>
  <si>
    <t>Yukon</t>
  </si>
  <si>
    <t>OKLAHOMA</t>
  </si>
  <si>
    <t>Oklahoma City, OK</t>
  </si>
  <si>
    <t>Greenskeeper</t>
  </si>
  <si>
    <t xml:space="preserve">Michael </t>
  </si>
  <si>
    <t>Employer may make payroll deductions at employee's request. Employer facilitates voluntary housing arrangements</t>
  </si>
  <si>
    <t>Terry</t>
  </si>
  <si>
    <t>Clinton Township</t>
  </si>
  <si>
    <t>CONSTRUCTION LABORERS</t>
  </si>
  <si>
    <t>Raise/bonus at employer's discretion.</t>
  </si>
  <si>
    <t>Leander</t>
  </si>
  <si>
    <t>Eugene</t>
  </si>
  <si>
    <t>D</t>
  </si>
  <si>
    <t>Chief Executive Officer</t>
  </si>
  <si>
    <t>Rochester, NY</t>
  </si>
  <si>
    <t>President/CEO</t>
  </si>
  <si>
    <t>Margaret</t>
  </si>
  <si>
    <t>Dayton</t>
  </si>
  <si>
    <t>Dayton, OH</t>
  </si>
  <si>
    <t>Susan</t>
  </si>
  <si>
    <t>Gypsum</t>
  </si>
  <si>
    <t>Jacksonville, FL</t>
  </si>
  <si>
    <t>Andover</t>
  </si>
  <si>
    <t>PORTLAND</t>
  </si>
  <si>
    <t>PORTLAND CITY</t>
  </si>
  <si>
    <t>Torres</t>
  </si>
  <si>
    <t>JEFF</t>
  </si>
  <si>
    <t>De Los Santos</t>
  </si>
  <si>
    <t>Joanly</t>
  </si>
  <si>
    <t xml:space="preserve">6155 Park Square Dr. </t>
  </si>
  <si>
    <t>Lorain</t>
  </si>
  <si>
    <t>joanly@navyfinancial.com</t>
  </si>
  <si>
    <t>Navy Financial</t>
  </si>
  <si>
    <t>COLUMBUS</t>
  </si>
  <si>
    <t>NICHOLAS</t>
  </si>
  <si>
    <t>WILLIAM</t>
  </si>
  <si>
    <t xml:space="preserve">Overtime hours are available as needed and vary from 1-10 hours. Saturday work may be required when necessary. </t>
  </si>
  <si>
    <t>THE EMPLOYER WILL MAKE ALL DEDUCTIONS FROM WORKER'S PAYCHECK REQUIRED BY LAW. THE EMPLOYER WILL DEDUCT FOR THE REASONABLE FAIR MARKET VALUE COST OF RENT AND/OR UTILITIES BASED ON NUMBER OF OCCUPANTS FOR THOSE EMPLOYEES WHO VOLUNTARILY ELECT TO LIVE IN EMPLOYER OFFERED HOUSING. THE EMPLOYER DOES NOT ENVISION OTHER WORKFORCE-WIDE PAYROLL DEDUCTIONS. EMPLOYER INTENDS TO ASSIST FOREIGN AND NON-LOCAL U.S. WORKERS HIRED PURSUANT TO THIS JOB ORDER TO SECURE WORKER-PAID LODGING NOT TO EXCEED REASONABLE FAIR MARKET VALUE COST BASED ON NUMBER OF OCCUPANTS.</t>
  </si>
  <si>
    <t>PENNINGTON</t>
  </si>
  <si>
    <t>Rapid City, SD</t>
  </si>
  <si>
    <t>Philadelphia</t>
  </si>
  <si>
    <t>Scranton--Wilkes-Barre--Hazleton, PA</t>
  </si>
  <si>
    <t>22512 Riverwood Dr</t>
  </si>
  <si>
    <t>Claremore</t>
  </si>
  <si>
    <t>Lowman</t>
  </si>
  <si>
    <t>3303 Harris Park</t>
  </si>
  <si>
    <t>kevin@kjpartners.law</t>
  </si>
  <si>
    <t>KJPartners, LLP</t>
  </si>
  <si>
    <t>ROGERS</t>
  </si>
  <si>
    <t>gary@activelandscapemanagement.com</t>
  </si>
  <si>
    <t>ROBERT</t>
  </si>
  <si>
    <t>Glens Falls, NY</t>
  </si>
  <si>
    <t>Young</t>
  </si>
  <si>
    <t>Shelby Township</t>
  </si>
  <si>
    <t>McKay</t>
  </si>
  <si>
    <t>info@h2expressinc.com</t>
  </si>
  <si>
    <t>All Local, State and Federal deductions required by Law</t>
  </si>
  <si>
    <t>Hayward</t>
  </si>
  <si>
    <t>ALAMEDA</t>
  </si>
  <si>
    <t>Santa Monica</t>
  </si>
  <si>
    <t xml:space="preserve">Bryan </t>
  </si>
  <si>
    <t>BRAZOS</t>
  </si>
  <si>
    <t>College Station-Bryan, TX</t>
  </si>
  <si>
    <t>Cashiers</t>
  </si>
  <si>
    <t>Director of Finance</t>
  </si>
  <si>
    <t>H-400-23321-508553</t>
  </si>
  <si>
    <t>M.S. Lawncare, Inc.</t>
  </si>
  <si>
    <t>4842 Laketon Ct.</t>
  </si>
  <si>
    <t xml:space="preserve">Spears </t>
  </si>
  <si>
    <t>mslawncareinc@hotmail.com</t>
  </si>
  <si>
    <t>149 Laredo Ave. (Report to Work)</t>
  </si>
  <si>
    <t>P-400-23225-260380</t>
  </si>
  <si>
    <t>Optional, shared housing available to the worker at a monthly housing rate up to $460.00; if optional housing is agreed upon by the worker, monthly housing rate will be deducted from worker's paycheck incrementally (bi-weekly).At Employer’s sole discretion: possible cash advances (if applicable/requested by worker, potential deduction from worker’s paycheck).</t>
  </si>
  <si>
    <t>H-400-23321-509463</t>
  </si>
  <si>
    <t>ASPM LANDSCAPES, LLC</t>
  </si>
  <si>
    <t>2501 E OMAHA AVE</t>
  </si>
  <si>
    <t>NORFOLK</t>
  </si>
  <si>
    <t>WILKE</t>
  </si>
  <si>
    <t>MATT</t>
  </si>
  <si>
    <t>matt.wilke@aspmlandscapes.com</t>
  </si>
  <si>
    <t>MUST BE ABLE TO LIFT 75 POUNDS.
Schedule varies, overtime available as needed..</t>
  </si>
  <si>
    <t>STANTON</t>
  </si>
  <si>
    <t>Northeast Nebraska nonmetropolitan area</t>
  </si>
  <si>
    <t>P-400-23184-164631</t>
  </si>
  <si>
    <t>The employer will make all payroll deductions required by law and will not make any deductions which are not required by law.</t>
  </si>
  <si>
    <t>Block Island</t>
  </si>
  <si>
    <t>Blake</t>
  </si>
  <si>
    <t>H-400-23307-477477</t>
  </si>
  <si>
    <t>Mosley Lawn Maintenance LLC</t>
  </si>
  <si>
    <t>2724 Boudwin Avenue</t>
  </si>
  <si>
    <t>Boothwyn</t>
  </si>
  <si>
    <t>Mosley</t>
  </si>
  <si>
    <t>mosleylawn@verizon.net</t>
  </si>
  <si>
    <t>P.O. Box 409</t>
  </si>
  <si>
    <t>Camden</t>
  </si>
  <si>
    <t>4848 Pennell Road</t>
  </si>
  <si>
    <t>Aston</t>
  </si>
  <si>
    <t>P-400-23222-254541</t>
  </si>
  <si>
    <t>Seattle</t>
  </si>
  <si>
    <t>Tabitha</t>
  </si>
  <si>
    <t>Sitka</t>
  </si>
  <si>
    <t>SITKA</t>
  </si>
  <si>
    <t>Lori</t>
  </si>
  <si>
    <t>H-400-23228-269766</t>
  </si>
  <si>
    <t>Welder Specialist</t>
  </si>
  <si>
    <t xml:space="preserve">Be able to use and operate TIG and ARC welding machines.
</t>
  </si>
  <si>
    <t>P-400-23145-052625</t>
  </si>
  <si>
    <t xml:space="preserve">The Petitioner will consider for employment any person who possesses at least three (3) months of culinary experience in a fine-dining or high-volume environment at a high-end restaurant, resort, or private club.
</t>
  </si>
  <si>
    <t>Vice President of Operations</t>
  </si>
  <si>
    <t>H-400-23307-478620</t>
  </si>
  <si>
    <t>Younes Hospitality, Inc.</t>
  </si>
  <si>
    <t>104 3rd Avenue</t>
  </si>
  <si>
    <t>Kearney</t>
  </si>
  <si>
    <t>Younes-Holz</t>
  </si>
  <si>
    <t>Maggie</t>
  </si>
  <si>
    <t>Hester</t>
  </si>
  <si>
    <t>7335 S Lewis Ave</t>
  </si>
  <si>
    <t>Ste 209</t>
  </si>
  <si>
    <t>Oklahoma</t>
  </si>
  <si>
    <t>taylor@southernimpact.com</t>
  </si>
  <si>
    <t>Southern Impact</t>
  </si>
  <si>
    <t xml:space="preserve">Ability to lift 30lbs
40 hrs/wk, work 5 days/wk, 9am-5pm, M-Sun, workdays/hours may vary depending on hotel capacity.
</t>
  </si>
  <si>
    <t>110 2nd Avenue</t>
  </si>
  <si>
    <t>BUFFALO</t>
  </si>
  <si>
    <t>At a minimum, both domestic and foreign workers will earn the prevailing hourly wage; however, the employer SEE ADDENDUM</t>
  </si>
  <si>
    <t>P-400-23207-217737</t>
  </si>
  <si>
    <t xml:space="preserve">Employer will provide optional housing to workers and deduct $175/paycheck for rent.
Employer may charge the worker for reasonable costs related to the worker's refusal or negligent failure to return any property furnished by the employer or due to such worker's willful damage or destruction of such property. Deductions may be taken per employee's request.
See Addendum.
</t>
  </si>
  <si>
    <t>https://younes.com/careers/</t>
  </si>
  <si>
    <t>H-400-23307-475864</t>
  </si>
  <si>
    <t>Landscape Services, Inc.</t>
  </si>
  <si>
    <t>7802 Biggs Ford Road</t>
  </si>
  <si>
    <t>Frederick</t>
  </si>
  <si>
    <t>Poole</t>
  </si>
  <si>
    <t>J. Edward</t>
  </si>
  <si>
    <t>gwallace@landscapeservicesmd.com</t>
  </si>
  <si>
    <t>7802 Biggs Ford Road (Report to Work)</t>
  </si>
  <si>
    <t>FREDERICK</t>
  </si>
  <si>
    <t>P-400-23192-179121</t>
  </si>
  <si>
    <t>Isiadmin@landscapeservicesmd.com</t>
  </si>
  <si>
    <t>Plattsburgh</t>
  </si>
  <si>
    <t>PO Box 2</t>
  </si>
  <si>
    <t>CLINTON</t>
  </si>
  <si>
    <t>Capital/Northern New York nonmetropolitan area</t>
  </si>
  <si>
    <t>ABC Professional Tree Services, Inc - Greenville</t>
  </si>
  <si>
    <t>Northwest Mississippi nonmetropolitan area</t>
  </si>
  <si>
    <t>Moorestown</t>
  </si>
  <si>
    <t>BURLINGTON</t>
  </si>
  <si>
    <t>Street</t>
  </si>
  <si>
    <t>Thompson</t>
  </si>
  <si>
    <t>8543 US 209</t>
  </si>
  <si>
    <t>Ellenville</t>
  </si>
  <si>
    <t>mcrayalan686@gmail.com</t>
  </si>
  <si>
    <t>PNK Ag Management</t>
  </si>
  <si>
    <t>none.</t>
  </si>
  <si>
    <t>Fishing and Hunting Workers</t>
  </si>
  <si>
    <t>Miguel</t>
  </si>
  <si>
    <t>Angel</t>
  </si>
  <si>
    <t>Roseville</t>
  </si>
  <si>
    <t>Lucia</t>
  </si>
  <si>
    <t>Ted</t>
  </si>
  <si>
    <t>H-400-23332-526275</t>
  </si>
  <si>
    <t>Johnson's Rides &amp; Concessions LLC</t>
  </si>
  <si>
    <t>316 North Ripley Road</t>
  </si>
  <si>
    <t>El Dorado</t>
  </si>
  <si>
    <t>kenneth@johnsonsrides.com</t>
  </si>
  <si>
    <t>UNION</t>
  </si>
  <si>
    <t>South Arkansas nonmetropolitan area</t>
  </si>
  <si>
    <t>P-400-23257-345044</t>
  </si>
  <si>
    <t>Dean</t>
  </si>
  <si>
    <t>H-400-23339-546156</t>
  </si>
  <si>
    <t xml:space="preserve">Extensive standing. Extensive pushing/pulling. Repetitive movements. Must be able to lift/carry up to 100lbs. This position can be in a wet area and cold/warm temperatures depending on the location within the facility. Abide by USDA regulations and follow Company safety and health policies. Follow all Company safety policies, S.O.P. regulations, as well as support Goal Zero mission statement. 
Schedule varies, overtime available as needed.
</t>
  </si>
  <si>
    <t>Food Preparation Worker</t>
  </si>
  <si>
    <t>Catherine</t>
  </si>
  <si>
    <t>109 West Bay Plaza</t>
  </si>
  <si>
    <t>--</t>
  </si>
  <si>
    <t>Pool Construction Laborer</t>
  </si>
  <si>
    <t>RUTHERFORD</t>
  </si>
  <si>
    <t>Nashville-Davidson--Murfreesboro--Franklin, TN</t>
  </si>
  <si>
    <t>https://www.jobs4tn.gov</t>
  </si>
  <si>
    <t>Prep Cook</t>
  </si>
  <si>
    <t>Laborer, Landscape &amp; Irrigation</t>
  </si>
  <si>
    <t>Heaven and Earth Landscaping, LLC</t>
  </si>
  <si>
    <t>3102 Sun Valley Place</t>
  </si>
  <si>
    <t>Indian Trail</t>
  </si>
  <si>
    <t>Henderson</t>
  </si>
  <si>
    <t>Sheri</t>
  </si>
  <si>
    <t>sheri.henderson@heavenandearthlandscaping.com</t>
  </si>
  <si>
    <t>Must be 18 due to state labor laws.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</si>
  <si>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Optional, shared housing available to the worker (including: utilities) at a weekly housing rate up to $80; if optional housing is agreed upon by the worker, $80 will be deducted from worker's weekly paycheck. At Employer’s sole discretion: possible cash advances (if applicable/requested by worker, potential deduction from worker’s paycheck).</t>
  </si>
  <si>
    <t>H-400-23328-522254</t>
  </si>
  <si>
    <t>Food Concessionaire</t>
  </si>
  <si>
    <t>Linville Food Service, LLC</t>
  </si>
  <si>
    <t>260 Spry Rd</t>
  </si>
  <si>
    <t>Zanesville</t>
  </si>
  <si>
    <t>katielinville@gmail.com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</si>
  <si>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Must be able to lift 50 lbs. Pre-employment criminal background check and post-injury or incident and reasonable suspicion drug test required, paid by employer and applied equally to all workers, U.S. and foreign/H-2B. Must be able to work weekends and holidays as required. Applicants must cooperate with and complete job application and interview truthfully.
</t>
  </si>
  <si>
    <t>IX Center Drive,</t>
  </si>
  <si>
    <t>Employer reserves the option to provide additional compensation for performance and tenure or may increase wages based o</t>
  </si>
  <si>
    <t>P-400-23198-192932</t>
  </si>
  <si>
    <t xml:space="preserve">Employer will make all deductions from worker’s paycheck required by law. 
Employer optional shared housing is provided at no cost to the worker ($120/wk.), local convenience travel valued at ($20/wk.) and food available for wage credit and/or deduction, or any lesser amount to the maximum extent not prohibited by law. 
</t>
  </si>
  <si>
    <t>https://jobseeker.ohiomeansjobs.monster.com</t>
  </si>
  <si>
    <t>H-400-23199-195913</t>
  </si>
  <si>
    <t>Packer</t>
  </si>
  <si>
    <t>Y-Tex Corporation</t>
  </si>
  <si>
    <t>1825 Big Horn Ave.</t>
  </si>
  <si>
    <t>Demple</t>
  </si>
  <si>
    <t>Connie</t>
  </si>
  <si>
    <t>1825 Big Horne Ave.</t>
  </si>
  <si>
    <t>cdemple@ytex.com</t>
  </si>
  <si>
    <t xml:space="preserve">Lift/ carry up to 50 pounds.  Employer paid drug test is Upon Suspicion (Post Employment)  
</t>
  </si>
  <si>
    <t>1825 Big Horn Avenue</t>
  </si>
  <si>
    <t>PARK</t>
  </si>
  <si>
    <t>CHARACTER LIMIT: Overtime is not guaranteed but if worked rate is paid at time and a half per hour above 40 hours per we</t>
  </si>
  <si>
    <t>P-400-23097-914027</t>
  </si>
  <si>
    <t xml:space="preserve">CHARACTER LIMIT: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</si>
  <si>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https://www.wyomingatwork.com</t>
  </si>
  <si>
    <t>Paris</t>
  </si>
  <si>
    <t>paris@laborci.com</t>
  </si>
  <si>
    <t>Oasis Resorts, Inc.</t>
  </si>
  <si>
    <t>12907 Front Beach Road</t>
  </si>
  <si>
    <t>Register</t>
  </si>
  <si>
    <t>Ethan</t>
  </si>
  <si>
    <t>Ethan@HIExpressPCBeach.com</t>
  </si>
  <si>
    <t>Ruby</t>
  </si>
  <si>
    <t>201 17th Street NW</t>
  </si>
  <si>
    <t>Suite 1700</t>
  </si>
  <si>
    <t>jay.ruby@nelsonmullins.com</t>
  </si>
  <si>
    <t>Nelson, Mullins, Riley &amp; Scarborough</t>
  </si>
  <si>
    <t>OasisHR@oasisresortspcb.com</t>
  </si>
  <si>
    <t>H-400-23254-336371</t>
  </si>
  <si>
    <t>DUNKIN DONUTS</t>
  </si>
  <si>
    <t>175 STATE ROUTE 137</t>
  </si>
  <si>
    <t>HARWICH</t>
  </si>
  <si>
    <t>SEQUEIRA</t>
  </si>
  <si>
    <t>JULIA</t>
  </si>
  <si>
    <t>175  STATE ROUTE 137</t>
  </si>
  <si>
    <t>Jpierce712@comcast.net</t>
  </si>
  <si>
    <t>6 ENTERPRISE ROAD</t>
  </si>
  <si>
    <t>SOUTH DENNIS</t>
  </si>
  <si>
    <t>P-400-23253-333865</t>
  </si>
  <si>
    <t>P-400-23254-334834</t>
  </si>
  <si>
    <t>federal , State local , Social Security Medicare if applicable  under the IRS code</t>
  </si>
  <si>
    <t>jpierce712@comcast.net</t>
  </si>
  <si>
    <t>WILLIAMS</t>
  </si>
  <si>
    <t>ARTHUR</t>
  </si>
  <si>
    <t>DEPENDABLE OVERSEAS SERVICES</t>
  </si>
  <si>
    <t>dependableusa@aol.com</t>
  </si>
  <si>
    <t>Reid</t>
  </si>
  <si>
    <t>Lissa</t>
  </si>
  <si>
    <t>OWNER/MANAGER</t>
  </si>
  <si>
    <t>WISCONSIN DELLS</t>
  </si>
  <si>
    <t>SAUK</t>
  </si>
  <si>
    <t>South Central Wisconsin nonmetropolitan area</t>
  </si>
  <si>
    <t>Ocean City</t>
  </si>
  <si>
    <t>Cathy.jkjworkforce@yahoo.com</t>
  </si>
  <si>
    <t>WORCESTER</t>
  </si>
  <si>
    <t>Salisbury, MD-DE</t>
  </si>
  <si>
    <t>H-400-23215-234874</t>
  </si>
  <si>
    <t>BANANA LLC</t>
  </si>
  <si>
    <t>THE CAPITANA KEY WEST</t>
  </si>
  <si>
    <t>2401 N Roosevelt Blvd</t>
  </si>
  <si>
    <t>KEY WEST</t>
  </si>
  <si>
    <t>VOSE</t>
  </si>
  <si>
    <t>Mark.vose@thelaureatekeywest.com</t>
  </si>
  <si>
    <t>P-400-23137-029292</t>
  </si>
  <si>
    <t xml:space="preserve">•	Deductions required by law will be payroll deducted biweekly. </t>
  </si>
  <si>
    <t>Mark.vose@ophotels.com</t>
  </si>
  <si>
    <t>H-400-23215-234871</t>
  </si>
  <si>
    <t>FRONT DESK CLERK</t>
  </si>
  <si>
    <t>2401 N. Roosevelt Blvd</t>
  </si>
  <si>
    <t>P-400-23137-029286</t>
  </si>
  <si>
    <t>H-400-23212-226306</t>
  </si>
  <si>
    <t>Thoroughbred Racehorse Groom</t>
  </si>
  <si>
    <t>EJC Racing LLC</t>
  </si>
  <si>
    <t>30 Thomas Ave</t>
  </si>
  <si>
    <t>Maple Shade</t>
  </si>
  <si>
    <t>Coletti</t>
  </si>
  <si>
    <t>Trainer</t>
  </si>
  <si>
    <t>edcoletti1@gmail.com</t>
  </si>
  <si>
    <t>Velie</t>
  </si>
  <si>
    <t>Place</t>
  </si>
  <si>
    <t>Must be able to lift 50 lbs</t>
  </si>
  <si>
    <t>Parx Casino and Racing</t>
  </si>
  <si>
    <t>3001 Street Road</t>
  </si>
  <si>
    <t>Bensalem</t>
  </si>
  <si>
    <t>P-400-23164-106927</t>
  </si>
  <si>
    <t>State and federal taxes. Optional employer-offered housing in the backstretch at no cost to the worker</t>
  </si>
  <si>
    <t>H-400-23222-253601</t>
  </si>
  <si>
    <t>Installation, Maintenance, and Repair Workers, All Other</t>
  </si>
  <si>
    <t>Paul's Landscape and Design</t>
  </si>
  <si>
    <t>160 Willow</t>
  </si>
  <si>
    <t>Levittown</t>
  </si>
  <si>
    <t>Astorga</t>
  </si>
  <si>
    <t>Raul</t>
  </si>
  <si>
    <t>KJPartners</t>
  </si>
  <si>
    <t>1141 Elkins</t>
  </si>
  <si>
    <t>P-400-23146-056844</t>
  </si>
  <si>
    <t>Employer will make all deductions required by law from each paycheck.  At the employee’s election (option), employer will advance against pay up to $75/day at the end of each work day for room and board at no interest for the first two weeks.</t>
  </si>
  <si>
    <t>www.paworks.com</t>
  </si>
  <si>
    <t>H-400-23285-428232</t>
  </si>
  <si>
    <t>Determination Issued - Rejected</t>
  </si>
  <si>
    <t>HR Manager</t>
  </si>
  <si>
    <t>Mariana</t>
  </si>
  <si>
    <t>Penthouse floor</t>
  </si>
  <si>
    <t>Schedule: Monday through Sunday (schedule varies). Shifts: 8am-3pm or 4pm-11pm (shift hours may vary). Five rotating days. Employer will offer at least thirty-five (35) hours per week.</t>
  </si>
  <si>
    <t>8 Beach Street</t>
  </si>
  <si>
    <t>York</t>
  </si>
  <si>
    <t>Optional employee housing available at $150/week to be deducted from paycheck if housing is elected.</t>
  </si>
  <si>
    <t>P-400-23261-355969</t>
  </si>
  <si>
    <t>https://joblink.maine.gov/usr/sign_in</t>
  </si>
  <si>
    <t>H-400-23272-394811</t>
  </si>
  <si>
    <t>Winter Maintenance Worker</t>
  </si>
  <si>
    <t>Weavertown 79 Partners, LLC</t>
  </si>
  <si>
    <t>214 Weavertown Road</t>
  </si>
  <si>
    <t>Mailing: 1920 Ellsworth Ave, Heidelberg, PA 15106</t>
  </si>
  <si>
    <t>McShane</t>
  </si>
  <si>
    <t>Mailing: 1920 Ellsworth Ave  Heidelberg, PA 15106</t>
  </si>
  <si>
    <t xml:space="preserve">Must lift/carry 50 lbs., when necessary.  Saturday and Sunday work required, when necessary.  Employer-paid drug testing required of foreign and domestic workers prior to commencing work and post-hire at random.  Must possess or be able to obtain U.S. driver's license within 30 days of hire.
</t>
  </si>
  <si>
    <t>P-400-23234-284005</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</si>
  <si>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may deduct reasonable costs for daily transportation to/from worksite from designated pick-up location. Use of employer-provided transportation is voluntary. Such transportation complies with all applicable Federal, State, and local laws/regulations.</t>
  </si>
  <si>
    <t>H-400-23184-164774</t>
  </si>
  <si>
    <t>General Production - Meat Processors</t>
  </si>
  <si>
    <t>Up to 1 month of Safety and sanitation training may be required depending on experience.
Workers will work from EITHER 6:15am - 2:30pm OR 3:00pm - 11:30pm</t>
  </si>
  <si>
    <t xml:space="preserve">Exact wage rate dependent on internal metrics. Workers may be eligible for plant-wide incentive program(s). </t>
  </si>
  <si>
    <t>P-400-23121-979704</t>
  </si>
  <si>
    <t>H-400-23248-320707</t>
  </si>
  <si>
    <t>Guest Experience Associate</t>
  </si>
  <si>
    <t>Lake Placid Bluebird Holdings LLC</t>
  </si>
  <si>
    <t>Bluebird Lake Placid</t>
  </si>
  <si>
    <t>2375 Saranac Avenue</t>
  </si>
  <si>
    <t>Lake Placid</t>
  </si>
  <si>
    <t>Blood</t>
  </si>
  <si>
    <t>909 Islington Street</t>
  </si>
  <si>
    <t>Unit #13</t>
  </si>
  <si>
    <t>Portsmouth</t>
  </si>
  <si>
    <t>leah@larkhotels.com</t>
  </si>
  <si>
    <t xml:space="preserve">The petitioner will consider for employment any person who possesses at least three (3) months of experience at a high-end hotel, resort, or private club.
</t>
  </si>
  <si>
    <t>ESSEX</t>
  </si>
  <si>
    <t>Wage: $17.21 - $19.00 per hour, paid weekly. Overtime is available at $25.82 - $28.50 per hour.</t>
  </si>
  <si>
    <t>P-400-23192-179063</t>
  </si>
  <si>
    <t>Optional housing is offered on a first-come, first-serve basis for workers who are relocating to begin employment. Cost of housing, if accepted, is $71.05 per week for a single bed in a shared room with access to kitchen and laundry. Cost includes one meal per day (breakfast). If used, total cost of housing will be deducted from paycheck.</t>
  </si>
  <si>
    <t>H-400-23242-308520</t>
  </si>
  <si>
    <t>Pollard Brook Unit Owners Association</t>
  </si>
  <si>
    <t>InnSeason Resorts at Pollard Brook</t>
  </si>
  <si>
    <t>33 Brookline Road</t>
  </si>
  <si>
    <t>Curley</t>
  </si>
  <si>
    <t>Cari</t>
  </si>
  <si>
    <t>Human Resource Manager</t>
  </si>
  <si>
    <t>ccurley@innseason.com</t>
  </si>
  <si>
    <t>GRAFTON</t>
  </si>
  <si>
    <t>P-400-23145-054332</t>
  </si>
  <si>
    <t>Boarding--$65.00/weekly</t>
  </si>
  <si>
    <t>www.innseason.com/join-our-team</t>
  </si>
  <si>
    <t>H-400-23216-241297</t>
  </si>
  <si>
    <t>Restaurant Manager</t>
  </si>
  <si>
    <t>NHG Airport LLC</t>
  </si>
  <si>
    <t>645 W 3rd Ave</t>
  </si>
  <si>
    <t>Cox</t>
  </si>
  <si>
    <t>Senior HR Director</t>
  </si>
  <si>
    <t>H2BProgramHR@nhgalaska.com</t>
  </si>
  <si>
    <t>Denoble</t>
  </si>
  <si>
    <t>Damjan</t>
  </si>
  <si>
    <t>Petar</t>
  </si>
  <si>
    <t>51 Elm Street</t>
  </si>
  <si>
    <t>Suite 408</t>
  </si>
  <si>
    <t>New Haven</t>
  </si>
  <si>
    <t>info@fronteratech.com</t>
  </si>
  <si>
    <t>Denoble Law PLLC</t>
  </si>
  <si>
    <t>North Carolina Supreme Court</t>
  </si>
  <si>
    <t>Each employees expected daily schedule will be for 9 hour shifts Monday to Friday, between the hours of 7:00 a.m. and 11:00 p.m., and then there may also be weekend shifts, Saturday and Sunday, of four hours, between the hours of 7:00 a.m. and 11:00 p.m. Shifts would be created well in advance, so all Employees have time to plan their schedule.</t>
  </si>
  <si>
    <t>5000 W. International Airport Rd</t>
  </si>
  <si>
    <t>P-400-23150-063217</t>
  </si>
  <si>
    <t>Employer will make all deductions required by law. The Employer will facilitate housing by helping workers find housing, but the workers will be responsible for paying for their own housing once that housing is found”</t>
  </si>
  <si>
    <t>H-400-23216-238598</t>
  </si>
  <si>
    <t>Produce Packer</t>
  </si>
  <si>
    <t>GF Marketing, Inc.</t>
  </si>
  <si>
    <t>Guerrette Sales</t>
  </si>
  <si>
    <t>PO BOX 1135</t>
  </si>
  <si>
    <t>3 George Watson Memorial Drive</t>
  </si>
  <si>
    <t>Caribou</t>
  </si>
  <si>
    <t>Guerrette</t>
  </si>
  <si>
    <t>Corporate Secretary/Treasurer</t>
  </si>
  <si>
    <t>guerrettesales@gmail.com</t>
  </si>
  <si>
    <t>4 George Watson Memorial Drive</t>
  </si>
  <si>
    <t>31 Carroll Street</t>
  </si>
  <si>
    <t>CARIBOU CITY</t>
  </si>
  <si>
    <t>P-400-23157-084558</t>
  </si>
  <si>
    <t xml:space="preserve">THE EMPLOYER WILL MAKE ALL DEDUCTIONS FROM WORKERS PAY CHECKS REQUIRED BY THE LAW AND ONLY THOSE ADDITIONAL AUTHORIZED AND REASONABLE DEDUCTIONS DISCLOSED IN THE JOB ORDER.  IF OPTIONAL HOUSING IS ACCEPTED BY APPLICANT THERE SHALL BE A WEEKLY DEDUCTION OF $50.00.
</t>
  </si>
  <si>
    <t>H-400-23199-198401</t>
  </si>
  <si>
    <t>Manufacturing Laborer, Line</t>
  </si>
  <si>
    <t>Upholsterers</t>
  </si>
  <si>
    <t>Ashley Furniture Industries, LLC</t>
  </si>
  <si>
    <t>333 Ashley Furniture Way</t>
  </si>
  <si>
    <t>Advance</t>
  </si>
  <si>
    <t>Bellomusto</t>
  </si>
  <si>
    <t>Sr. Director Talent Acquisition</t>
  </si>
  <si>
    <t>4000 East Scyene Rd.</t>
  </si>
  <si>
    <t>Mesquite</t>
  </si>
  <si>
    <t>GBellomusto@ashleyfurniture.com</t>
  </si>
  <si>
    <t>McEwan</t>
  </si>
  <si>
    <t>Natalie</t>
  </si>
  <si>
    <t>L.</t>
  </si>
  <si>
    <t>2000 S. Colorado Blvd.</t>
  </si>
  <si>
    <t>Tower 3, Suite 900</t>
  </si>
  <si>
    <t>DenverH2B@ogletree.com</t>
  </si>
  <si>
    <t>Ogletree Deakins</t>
  </si>
  <si>
    <t xml:space="preserve">Must be able to work weekends. Must be able to lift up to 50lbs.
</t>
  </si>
  <si>
    <t>4000 E Scyene Rd.</t>
  </si>
  <si>
    <t>Please see F.a.4., "Terms and Conditions of Employment."</t>
  </si>
  <si>
    <t>P-400-23150-063571</t>
  </si>
  <si>
    <t xml:space="preserve">Employer will make all deductions from the worker's paycheck as required by law. Employer will negotiate discounted rates with local hotels for optional employee housing on a first-come, first-serve basis. Targeted cost per employee is $175.00 - $200.00 per week (reasonable cost) paid directly to hotel/landlord. All housing costs will be the responsibility of the employee directly with the landlord. Employer will provide employees who choose the optional housing with hotel’s contact information so that each employee can contact the hotel directly to make reservations and payments. Employees may be required to pay a weekly security deposit that will be returned in part or in full depending upon the condition of the room at the end of the stay.         </t>
  </si>
  <si>
    <t>gbellomusto@ashleyfurniture.com</t>
  </si>
  <si>
    <t>ashleyfurnitureindustriesllc.com</t>
  </si>
  <si>
    <t>Solovyev</t>
  </si>
  <si>
    <t>Ekaterina</t>
  </si>
  <si>
    <t>ekaterina.solovyev@ogletree.com</t>
  </si>
  <si>
    <t>H-400-23250-329636</t>
  </si>
  <si>
    <t>Snow Removal Laborer</t>
  </si>
  <si>
    <t>Grays Ent., LLC.</t>
  </si>
  <si>
    <t>947 S 500 E #200</t>
  </si>
  <si>
    <t>American Fork</t>
  </si>
  <si>
    <t>Gray</t>
  </si>
  <si>
    <t>947 S 500 E</t>
  </si>
  <si>
    <t>graysentllc@gmail.com</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</si>
  <si>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t>
  </si>
  <si>
    <t>5141 W 6400 N</t>
  </si>
  <si>
    <t>Opportunity for higher pay dependent upon experience.  Raises and/or bonuses at employer's discretion</t>
  </si>
  <si>
    <t>P-400-23203-208458</t>
  </si>
  <si>
    <t>H-400-23194-187442</t>
  </si>
  <si>
    <t>Frisco Restaurant LLC</t>
  </si>
  <si>
    <t>Ristorante Ti Amo</t>
  </si>
  <si>
    <t>40928 South Hwy 6 (physical)</t>
  </si>
  <si>
    <t>PO Box 4342, Eagle, CO 81631 (mailing)</t>
  </si>
  <si>
    <t>Yenerich</t>
  </si>
  <si>
    <t>Randall</t>
  </si>
  <si>
    <t>winegeek68@live.com</t>
  </si>
  <si>
    <t>F.a.5 A-H (continued)
Work hours: 8AM-10PM. Work may be performed on any day of the week from Monday through Sunday.  Days off vary. Shifts: Combined Single and Split shifts. A workday will either be a split shift, working 8am  2pm and 5pm  10pm, or a single shift of 2pm  10 pm.</t>
  </si>
  <si>
    <t>40928 South Highway 6 (physical)</t>
  </si>
  <si>
    <t>PO Box 4324, Eagle, CO 81631 (mailing)</t>
  </si>
  <si>
    <t>P-400-23156-078407</t>
  </si>
  <si>
    <t>All deductions required by the law will be made.</t>
  </si>
  <si>
    <t>H-400-23198-193518</t>
  </si>
  <si>
    <t>Thoroughbred Horse Groom</t>
  </si>
  <si>
    <t>MIKE TROMBETTA RACING STABLE LLC</t>
  </si>
  <si>
    <t>13135 Fork Rd</t>
  </si>
  <si>
    <t>Baldwin</t>
  </si>
  <si>
    <t>Emerick</t>
  </si>
  <si>
    <t>Lucy</t>
  </si>
  <si>
    <t>Assistant Trainerq</t>
  </si>
  <si>
    <t>lucy@trombettastables.com</t>
  </si>
  <si>
    <t>Gulfstream Park</t>
  </si>
  <si>
    <t>901 S Federal Highway</t>
  </si>
  <si>
    <t>Hallandale</t>
  </si>
  <si>
    <t>P-400-23123-988342</t>
  </si>
  <si>
    <t>State and Federal Taxes, Optional employer-offered housing in the backstretch at no cost to the worker.</t>
  </si>
  <si>
    <t>H-400-23215-236016</t>
  </si>
  <si>
    <t>All Regions Services, Inc.</t>
  </si>
  <si>
    <t>1410 Sligo Rd</t>
  </si>
  <si>
    <t>Bossier City</t>
  </si>
  <si>
    <t>Tunek</t>
  </si>
  <si>
    <t>Lorenzo</t>
  </si>
  <si>
    <t>lorenzo@allregionsinc.com</t>
  </si>
  <si>
    <t>Jenny@laborci.com</t>
  </si>
  <si>
    <t xml:space="preserve">Must be 18 due to travel.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
</t>
  </si>
  <si>
    <t>1410 Sligo Rd (Report to Work)</t>
  </si>
  <si>
    <t>BOSSIER</t>
  </si>
  <si>
    <t xml:space="preserve">H&amp;W Benefits may apply. Wage may vary. Depends on experience and/or location worked. </t>
  </si>
  <si>
    <t>P-400-23135-023673</t>
  </si>
  <si>
    <t>H-400-23250-326158</t>
  </si>
  <si>
    <t>Popham Enterprises LLC</t>
  </si>
  <si>
    <t>Spinneys Restaurant and Lodging</t>
  </si>
  <si>
    <t>987 Popham Rd</t>
  </si>
  <si>
    <t>Phippsburg</t>
  </si>
  <si>
    <t>Bartlett</t>
  </si>
  <si>
    <t>spinneysmaine@gmail.com</t>
  </si>
  <si>
    <t>PHIPPSBURG TOWN</t>
  </si>
  <si>
    <t>P-400-23249-325886</t>
  </si>
  <si>
    <t>Lodging - $100/wk</t>
  </si>
  <si>
    <t>H-400-23184-162303</t>
  </si>
  <si>
    <t xml:space="preserve">Dispatcher, Except Police, Fire and Ambulance </t>
  </si>
  <si>
    <t>Dispatchers, Except Police, Fire, and Ambulance</t>
  </si>
  <si>
    <t>AGRI HAULING ASSOCIATES, LLC</t>
  </si>
  <si>
    <t>763 GROVE RD</t>
  </si>
  <si>
    <t>MORRISON</t>
  </si>
  <si>
    <t>KEENER</t>
  </si>
  <si>
    <t>JUSTIN</t>
  </si>
  <si>
    <t>JKKYFARMS@GMAIL.COM</t>
  </si>
  <si>
    <t>SCHEDULE VARIES, OVERTIME AVAILABLE AS NEEDED.</t>
  </si>
  <si>
    <t>P-400-23109-946467</t>
  </si>
  <si>
    <t>H-400-23226-261993</t>
  </si>
  <si>
    <t>Landscaping, Groundkeepers and Snow removal</t>
  </si>
  <si>
    <t>Warner Brothers Services</t>
  </si>
  <si>
    <t>5443 Perry Dr</t>
  </si>
  <si>
    <t>Waterford</t>
  </si>
  <si>
    <t>Warner</t>
  </si>
  <si>
    <t xml:space="preserve"> 5443 Perry Dr</t>
  </si>
  <si>
    <t xml:space="preserve"> Waterford</t>
  </si>
  <si>
    <t>office@wbser.com</t>
  </si>
  <si>
    <t>H Visa Solutions Inc</t>
  </si>
  <si>
    <t>Basic landscaping and snow removal processes and procedures</t>
  </si>
  <si>
    <t>5443 Perry Drive</t>
  </si>
  <si>
    <t>P-400-23187-171119</t>
  </si>
  <si>
    <t>H-400-23241-305013</t>
  </si>
  <si>
    <t>Janitor/Cleaner</t>
  </si>
  <si>
    <t>Rubicon Contracting LLC</t>
  </si>
  <si>
    <t>PO Box 1743</t>
  </si>
  <si>
    <t>Bountiful</t>
  </si>
  <si>
    <t>Floyd</t>
  </si>
  <si>
    <t>PO Box  1743</t>
  </si>
  <si>
    <t>11009 Alterra Parkway</t>
  </si>
  <si>
    <t>#1406</t>
  </si>
  <si>
    <t>KJ Partners LLP</t>
  </si>
  <si>
    <t>VALID DRIVER'S LICENSE OR ELIGIBLE TO OBTAIN ONE WITHIN 30 DAYS OF THE DATE OF HIRE; ABLE TO LIFT 50 POUNDS</t>
  </si>
  <si>
    <t>701 S Main</t>
  </si>
  <si>
    <t>Logan</t>
  </si>
  <si>
    <t>CACHE</t>
  </si>
  <si>
    <t>Logan, UT-ID</t>
  </si>
  <si>
    <t>P-400-23191-177621</t>
  </si>
  <si>
    <t xml:space="preserve">All deductions required by law. </t>
  </si>
  <si>
    <t>Adam.Perea@gorubicon.com</t>
  </si>
  <si>
    <t>H-400-23242-308621</t>
  </si>
  <si>
    <t>RiverWalk Unit Owners Association</t>
  </si>
  <si>
    <t>Riverwalk at Loon Mountain Resort</t>
  </si>
  <si>
    <t>22 S. Mountain Drive</t>
  </si>
  <si>
    <t>75 PERSEVERANCE WAY</t>
  </si>
  <si>
    <t>Hyannis</t>
  </si>
  <si>
    <t>22 South Mountain Drive</t>
  </si>
  <si>
    <t>P-400-23145-054323</t>
  </si>
  <si>
    <t>Boarding--$150.00/week</t>
  </si>
  <si>
    <t>https://www.riverwalkresortatloon.com/employment-</t>
  </si>
  <si>
    <t>H-400-23248-319972</t>
  </si>
  <si>
    <t>Maine Judicial Supreme Court</t>
  </si>
  <si>
    <t>21 Broad Street</t>
  </si>
  <si>
    <t>Bethel</t>
  </si>
  <si>
    <t>BETHEL TOWN</t>
  </si>
  <si>
    <t>P-400-23153-073213</t>
  </si>
  <si>
    <t>https://joblink.maine.gov/job_seeker</t>
  </si>
  <si>
    <t>H-400-23187-169060</t>
  </si>
  <si>
    <t>HouseholdHarmony LLC</t>
  </si>
  <si>
    <t>2121 Whistling Straits Dr</t>
  </si>
  <si>
    <t>Altoona</t>
  </si>
  <si>
    <t>Onade</t>
  </si>
  <si>
    <t>Kunle</t>
  </si>
  <si>
    <t>medko28@gmail.com</t>
  </si>
  <si>
    <t xml:space="preserve">The Nanny agrees that she will obtain Cardiopulmonary Resuscitation (CPR) Certification training for infants before or after arriving to the worksite. The Employer will compensate the nanny for the costs of any such certification.
</t>
  </si>
  <si>
    <t>EAU CLAIRE</t>
  </si>
  <si>
    <t>Eau Claire, WI</t>
  </si>
  <si>
    <t>P-400-23124-994236</t>
  </si>
  <si>
    <t xml:space="preserve">Employer will make all deductions required by law. Lodging will be available in employer-owned housing at no additional cost to the employee.
</t>
  </si>
  <si>
    <t>H-400-23184-163288</t>
  </si>
  <si>
    <t>Welders</t>
  </si>
  <si>
    <t>Esoteric Industries LLC</t>
  </si>
  <si>
    <t>118 Benwood Rd</t>
  </si>
  <si>
    <t>Rio Grande City</t>
  </si>
  <si>
    <t>Alanis</t>
  </si>
  <si>
    <t>Rigoberto</t>
  </si>
  <si>
    <t>esotericrigs@gmail.com</t>
  </si>
  <si>
    <t xml:space="preserve">Workers must pass a Welding test. 
</t>
  </si>
  <si>
    <t>917 Bishop Rd</t>
  </si>
  <si>
    <t>P-400-23131-012694</t>
  </si>
  <si>
    <t xml:space="preserve">The Employer does not intend to deduct anything that is not required by law. </t>
  </si>
  <si>
    <t>H-400-23307-476330</t>
  </si>
  <si>
    <t>Upscale Lawncare &amp; Property Maintenance, Inc.</t>
  </si>
  <si>
    <t>4200 North Bend Road</t>
  </si>
  <si>
    <t>Cincinnati</t>
  </si>
  <si>
    <t>GUM</t>
  </si>
  <si>
    <t>CHRIS</t>
  </si>
  <si>
    <t>Chris@upscalelawncare.com</t>
  </si>
  <si>
    <t>No minimum education or experience required.
Must be able to lift 50 lbs.
Must be able to work minimum 5-day workweek.
Must be able to work weekends and holidays as needed.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Employer will provide daily transportation from central worksite to multiple worksite locations in Hamilton &amp; Butler Co. OH, Kenton &amp; Boone Co. KY, and Dearborn Co. IN.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cost to employee. 
The employer guarantees to offer work for hours equal to at least three-fourths of the workdays in each 12-week period of the total employment period.</t>
  </si>
  <si>
    <t>HAMILTON</t>
  </si>
  <si>
    <t>Employer may increase wage based on experience, market conditions, performance, or tenure.</t>
  </si>
  <si>
    <t>P-400-23262-357740</t>
  </si>
  <si>
    <t xml:space="preserve">The employer will make all deductions from the worker’s paycheck required by law. Optional employee-only shared housing, including utilities, available at a rate of approximately $70 per week. Cost of housing payroll deducted if worker elects. Employee housing within walking distance from worksite. 
A single workweek will be used in computing wages due. Pay received bi-weekly. 
</t>
  </si>
  <si>
    <t>www.ohiomeansjobs.com</t>
  </si>
  <si>
    <t>H-400-23209-224562</t>
  </si>
  <si>
    <t>Botanico of the Ozarks</t>
  </si>
  <si>
    <t>1205 R N Farm Road 123</t>
  </si>
  <si>
    <t>Simmerman</t>
  </si>
  <si>
    <t>jim.botanico@gmail.com</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</si>
  <si>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
</t>
  </si>
  <si>
    <t>1205 R North Farm Road 123 (Report to Work)</t>
  </si>
  <si>
    <t>GREENE</t>
  </si>
  <si>
    <t>P-400-23173-138012</t>
  </si>
  <si>
    <t>Optional, shared furnished housing available to the worker (including: utilities/garbage) at a housing rate up to $150 per pay period; if optional housing is agreed upon by the worker, $150 will be deducted from worker's bi-weekly paycheck. At Employer’s sole discretion: possible cash advances (if applicable/requested by worker, potential deduction from worker’s paycheck).</t>
  </si>
  <si>
    <t>lana.botanico@gmail.com</t>
  </si>
  <si>
    <t>H-400-23184-165476</t>
  </si>
  <si>
    <t>Construction Helper</t>
  </si>
  <si>
    <t>FootHills Cabinet Company, LLC</t>
  </si>
  <si>
    <t>Foothills Cabinets</t>
  </si>
  <si>
    <t>3630 Beverly St</t>
  </si>
  <si>
    <t>Boise</t>
  </si>
  <si>
    <t>521 S Kit Ave</t>
  </si>
  <si>
    <t>Caldwell</t>
  </si>
  <si>
    <t>jose@foothillscabinetco.com</t>
  </si>
  <si>
    <t>Zavaletta</t>
  </si>
  <si>
    <t>Joseph</t>
  </si>
  <si>
    <t>9726 Darnell Ln</t>
  </si>
  <si>
    <t>P.O.Box 85</t>
  </si>
  <si>
    <t>Sweet</t>
  </si>
  <si>
    <t>joseph@issacharlaw.com</t>
  </si>
  <si>
    <t>Issachar Law</t>
  </si>
  <si>
    <t xml:space="preserve">Must be able to lift up to 50 pounds, and stand or bend for all or most of work shift.
</t>
  </si>
  <si>
    <t>P-400-23134-019908</t>
  </si>
  <si>
    <t xml:space="preserve">By mutual agreement, an OPTIONAL advance up to $500 USD/worker to purchase personal items and/or cold weather gear appropriate for this area and work period. By mutual agreement, OPTIONAL housing is available for up to $500/ month/worker deducted from employee's paychecks. Payment of advance or rent will be taken out of paychecks. </t>
  </si>
  <si>
    <t>H-400-23185-165732</t>
  </si>
  <si>
    <t>Production Helper</t>
  </si>
  <si>
    <t>Galvotec Mag and Metalworks, Inc</t>
  </si>
  <si>
    <t>6620 S 36th St</t>
  </si>
  <si>
    <t>McAllen</t>
  </si>
  <si>
    <t>Pena</t>
  </si>
  <si>
    <t>6712 S 36th St</t>
  </si>
  <si>
    <t>epena@galvotec.com</t>
  </si>
  <si>
    <t xml:space="preserve">Three months of previous experience is required as a Production helper. No travel or education required, no on-the-job training or daily transportation to work site available. Able to bend and lift heavy objects up to 50lb. For objects more than 50lb forklift and hooks provided. Post-hire drug test required paid by the employer, all us and guest workers will be screened equally.
</t>
  </si>
  <si>
    <t>HIDALGO</t>
  </si>
  <si>
    <t>McAllen-Edinburg-Mission, TX</t>
  </si>
  <si>
    <t>P-400-23135-022003</t>
  </si>
  <si>
    <t>Deductions required by the law.</t>
  </si>
  <si>
    <t>H-400-23234-286318</t>
  </si>
  <si>
    <t>Snow removal worker</t>
  </si>
  <si>
    <t>AquaWorks, Inc.</t>
  </si>
  <si>
    <t>645 North Broadway</t>
  </si>
  <si>
    <t>Luciano</t>
  </si>
  <si>
    <t>anthony_aqua_nat@yahoo.com</t>
  </si>
  <si>
    <t>BONDIKOV</t>
  </si>
  <si>
    <t>Alexandra</t>
  </si>
  <si>
    <t>225 Broadway</t>
  </si>
  <si>
    <t>3rd Floor</t>
  </si>
  <si>
    <t>adb@ppid.com</t>
  </si>
  <si>
    <t>Pollack Pollack Isaac and DeCicco LLP</t>
  </si>
  <si>
    <t xml:space="preserve">Must be able to perform the duties and willing to work on weekends
</t>
  </si>
  <si>
    <t>645 N. Broadway</t>
  </si>
  <si>
    <t>P-400-23158-087611</t>
  </si>
  <si>
    <t>H-400-23255-340379</t>
  </si>
  <si>
    <t>Bob Johnson</t>
  </si>
  <si>
    <t>18099 110th St</t>
  </si>
  <si>
    <t>Lemmon</t>
  </si>
  <si>
    <t>robertj5828@gmail.com</t>
  </si>
  <si>
    <t xml:space="preserve">Must be able to lift 50 Lbs
</t>
  </si>
  <si>
    <t>Remington Park</t>
  </si>
  <si>
    <t>One Remington Place</t>
  </si>
  <si>
    <t>Oklahoma City</t>
  </si>
  <si>
    <t>P-400-23205-211084</t>
  </si>
  <si>
    <t>H-400-23213-228440</t>
  </si>
  <si>
    <t>Maintenance Helper</t>
  </si>
  <si>
    <t>Wood Ent Co., Inc.</t>
  </si>
  <si>
    <t>111 Osiana Drive</t>
  </si>
  <si>
    <t>woodentco@aol.com</t>
  </si>
  <si>
    <t xml:space="preserve">Hours, schedule, and days vary widely.  
Typically Mon-Fri, 8:30am-5PM.  No over time expected
Often 35-40 hours per week, may go up to 60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Subject to discharge for cause.  
</t>
  </si>
  <si>
    <t>865 SE Route 1604</t>
  </si>
  <si>
    <t>Merit/bonus/sick/recruiting/tenure pay, savings program at employer's discretion. Uniform provided at no charge.</t>
  </si>
  <si>
    <t>P-400-23129-007101</t>
  </si>
  <si>
    <t xml:space="preserve">Optional shared housing ($175/wk)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($20/week) &amp; laundry facility ($20/week) is available for wage credit and/or deduction, or any lesser amount to the maximum extent not prohibited by law. Daily commuting provided. Wages calculated by single workweek, paid bi-weekly. </t>
  </si>
  <si>
    <t>H-400-23245-317962</t>
  </si>
  <si>
    <t>Helpers-production Workers</t>
  </si>
  <si>
    <t>WKW North America, LLC</t>
  </si>
  <si>
    <t>WKW Automotive</t>
  </si>
  <si>
    <t>103 Parkway East</t>
  </si>
  <si>
    <t>Pell City</t>
  </si>
  <si>
    <t>Heathcock</t>
  </si>
  <si>
    <t>Sonya</t>
  </si>
  <si>
    <t>Sonya.Heathcock@wkw-group.com</t>
  </si>
  <si>
    <t xml:space="preserve">Post-employment offer random drug testing and background checks may be required, at no cost to the worker. The job requires the applicant to be qualified, ready, willing, able, and available to perform during the entire employment at the designated worksites; and to follow workplace rules.
The specific days and hours of work will vary depending on scheduling and the level of business but will generally be 5 days per week, approximately 40 hours per week with some overtime. 3 shifts available: M-F 1st Shift 6 AM to 2 PM, 2nd Shift 2 PM to 10 PM, 3rd Shift 10 PM to 6 AM. Must be able to work any shift and Saturday and Sunday work may be required based on production needs. Shifts, departments and schedules are subject to change.  The business is open 7 days a week. Weekend work will be required. 
Employees will be eligible for Medical, Dental, Vision, Life/Disability insurance, paid time off and employee assistance programs consistent with our existing plan and policy requirements. </t>
  </si>
  <si>
    <t>P-400-23167-119042</t>
  </si>
  <si>
    <t xml:space="preserve">All deductions required by law. No other non-voluntary deductions will be taken. 
On an optional basis, employer will assist those employees who opt in, in securing housing. Payment for this housing and any included utilities will be deducted from the workers' pay. This deduction is estimated to be $168.94 bi-weekly if room is shared with 4 tenants; if the worker decides an individual room, the deduction is estimated to be $337.89 bi-weekly. The employer will pay the first month’s rent. The monthly cost of utilities will be divided equally among the occupants. Employer does provide transportation between worker housing work location during the term of employment.   </t>
  </si>
  <si>
    <t>WKWhr.2023@wkw-group.com</t>
  </si>
  <si>
    <t>H-400-23185-165918</t>
  </si>
  <si>
    <t>Kansas City Sausage Co.</t>
  </si>
  <si>
    <t xml:space="preserve">Smithfield </t>
  </si>
  <si>
    <t>1800 Maury St.</t>
  </si>
  <si>
    <t>Up to 1 month safety/sanitation training required. 
Workers will work from EITHER 6:00am - 4:30pm OR 7:00am - 5:30pm</t>
  </si>
  <si>
    <t>1801 Maury St</t>
  </si>
  <si>
    <t xml:space="preserve">Exact wage rate determined by internal metrics. Workers may be eligible for plant-wide incentives. </t>
  </si>
  <si>
    <t>P-400-23121-981546</t>
  </si>
  <si>
    <t>H-400-23215-236367</t>
  </si>
  <si>
    <t>Crawfish Hole Inc</t>
  </si>
  <si>
    <t>119 South Drive</t>
  </si>
  <si>
    <t>143 Celina Drive Natchitoches LA 71457 Mailing</t>
  </si>
  <si>
    <t>Natchitoches</t>
  </si>
  <si>
    <t>Carnahan</t>
  </si>
  <si>
    <t>Wes</t>
  </si>
  <si>
    <t>143 Celina Drive</t>
  </si>
  <si>
    <t>wescarnahan10@icloud.com</t>
  </si>
  <si>
    <t>White</t>
  </si>
  <si>
    <t>Terri</t>
  </si>
  <si>
    <t>29724 South Magnolia Street</t>
  </si>
  <si>
    <t>Suite#5</t>
  </si>
  <si>
    <t>Livingston</t>
  </si>
  <si>
    <t>LOUISIANA</t>
  </si>
  <si>
    <t>cajunvisa@gmail.com</t>
  </si>
  <si>
    <t xml:space="preserve">Cajun Visa Company Inc </t>
  </si>
  <si>
    <t xml:space="preserve">3 MONTHS RESTAURANT COOKING EXPERIENCE
MUST BE ABLE TO LIFT TO 50 LBS., STAND, STOOP, BEND, WALK, KNEEL, REACH OVER HEAD OR TO GROUND LEVEL FOR PROLONG PERIOD.
ONCE HIRED MAY BE REQUIRED TO TAKE A RANDOM DRUG TEST AT NO COST TO WORKER. TESTING POSITIVE OR FAILURE TO COMPLY WITH TESTING MAY RESULT IN IMMEDIATE TERMINATION FROM EMPLOYMENT
The standard work schedule is form 7:00 am until l 4:00 pm Monday through Friday; Saturday and Sunday work required, when necessary, Employer will off er 35 Hours per work week- Overtime  is offered but not guaranteed - Employer may off er more hours than the stated work hours, depending on weather, business needs and other conditions. Extreme Heat, cold, rain, may affect exact hours
</t>
  </si>
  <si>
    <t>119 SOUTH DRIVE</t>
  </si>
  <si>
    <t>NATCHITOCHES</t>
  </si>
  <si>
    <t>Central Louisiana nonmetropolitan area</t>
  </si>
  <si>
    <t>Employer may give bonus/raise at discretion of employer based on performance or Worker history in addition hourly wage</t>
  </si>
  <si>
    <t>P-400-23156-078263</t>
  </si>
  <si>
    <t xml:space="preserve">required by Federal, State and Local Law 
Worker will be paid on Wednesday Weekly by Check 
Housing: Employer offers voluntary shared Housing to any workers living outside the reasonable commuting area.  At no cost to worker.  No Family housing offered 
</t>
  </si>
  <si>
    <t>wes@crawfishhole.info</t>
  </si>
  <si>
    <t>www.louisianaworks.net</t>
  </si>
  <si>
    <t>H-400-23184-163248</t>
  </si>
  <si>
    <t>Spark Industrial Services, LLC</t>
  </si>
  <si>
    <t>218 44th Street</t>
  </si>
  <si>
    <t>Operations Director</t>
  </si>
  <si>
    <t>matt@thesparkllc.com</t>
  </si>
  <si>
    <t xml:space="preserve">Must have High School/GED diploma/certificate/degree.
Workers are subject to post-employment drug-testing, paid by employer and applied equally to all workers, U.S. and foreign/H-2B. 
No training or experience required.
Must be able to:
Read and derive measurements, dimensions, and quantity of material needed to fabricate steel support structures.
Perform SMAW/Stik, SAW (Submerged Arc Welding), and FCAW (Flux Cored Arc Welding).
Interpret engineering drawings to lay out and assemble metal parts to technical specifications.
Able to structurally fit pipes, beams, decks and plates for offshore drilling jackets, decks, pipe racks and other structures.
Assemble structures to design tolerance levels.
Able to weld flat, horizontal, vertical and overhead.
Read structural drawings, weld symbols, bills of material, etc.
Set-up and operation of oxyacetylene cutting equipment.
Work outdoors in all weather conditions.
Work minimum 5-day work week.
Work weekends and holidays as required.
Applicant must complete employment application
Work Environment: Normal work environment will be shop or field requiring exposure to outdoor weather conditions, loud noise, working near mechanical moving parts, electrical energy, fabrication equipment, chemicals and airborne particles.
Communication Skills: Possess ability to effectively communicate verbal directions in English from craft supervisors and respond to questions from supervisor and fellow workers.
Technical Skills: Must be able to submit and pass a burning and blueprint reading test, perform structural layouts and pass as required project/client weld test.
Physical Demands: May be required to lift and/or carry up to 50 pounds of materials, supplies or equipment. May have to work at heights more than 200 feet off the ground and wear full body harness and other required PPE.
Employer will provide on the job training.
A single workweek will be used to compute wages due. Pay received weekly. 
Employer will make all deductions from the workers paycheck required by law. Employer will assist in locating housing and provide transportation to/from housing/worksite for the first 2-weeks of employment.
Employer will provide worker at no charge all tools, supplies, and equipment required to perform job.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</si>
  <si>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Employers may increase wages based on experience, change in market conditions, and/or provide additional pay for perform</t>
  </si>
  <si>
    <t>P-400-23114-958458</t>
  </si>
  <si>
    <t xml:space="preserve">A single workweek will be used to compute wages due. Pay received weekly. 
Employer will make all deductions from the worker’s paycheck required by law. Employer will assist in locating housing and provide transportation to/from housing/worksite for the first 2-weeks of employment.
</t>
  </si>
  <si>
    <t>H-400-23219-242051</t>
  </si>
  <si>
    <t>SNOW REMOVAL</t>
  </si>
  <si>
    <t>RBM SERVICES INC</t>
  </si>
  <si>
    <t>1095 N MAIN STREET</t>
  </si>
  <si>
    <t>SUITE 1</t>
  </si>
  <si>
    <t>LAYTON</t>
  </si>
  <si>
    <t>NEVENNER</t>
  </si>
  <si>
    <t>MONICA</t>
  </si>
  <si>
    <t>HUMAN RESOURCES MANAGER</t>
  </si>
  <si>
    <t>MONICA@RBMSERVICESINC.COM</t>
  </si>
  <si>
    <t>LASHUS</t>
  </si>
  <si>
    <t>KEVIN</t>
  </si>
  <si>
    <t>3303 HARRIS PARK AVENUE</t>
  </si>
  <si>
    <t>IMMIGRATION@KJPARTNERS.LAW</t>
  </si>
  <si>
    <t>KJ PARTNERS LLP</t>
  </si>
  <si>
    <t>SUPREME COURT OF TEXAS</t>
  </si>
  <si>
    <t>NONE.</t>
  </si>
  <si>
    <t>DAVIS</t>
  </si>
  <si>
    <t>P-400-23146-056868</t>
  </si>
  <si>
    <t>Employer will make all deductions required by law from each paycheck.
If the worker completes 50% of the work contract period, employer will arrange and pay directly for transportation and subsistence from the place of recruitment to the place of work. Upon completion of the work contract or where the worker is dismissed earlier, employer will provide or pay for workers reasonable costs of return transportation and subsistence back home or to the place the worker originally departed to work, except where the worker will not return due to subsequent employment with another employer. The amount of transportation payment or reimbursement will be equal to the most economical and reasonable common carrier for the distances involved.</t>
  </si>
  <si>
    <t>H-400-23223-257330</t>
  </si>
  <si>
    <t>Strates Fine Foods, Inc.</t>
  </si>
  <si>
    <t>4607 Old National Pike</t>
  </si>
  <si>
    <t>Mt. Airy</t>
  </si>
  <si>
    <t>Strates</t>
  </si>
  <si>
    <t>4607 Old National Pike Road</t>
  </si>
  <si>
    <t>demetrisgreekfoods@yahoo.com</t>
  </si>
  <si>
    <t xml:space="preserve">Hours, schedule, and days vary widely.  
Typically Mon-Fri, 8:30am  5pm.  
Often 35-40 hours per week, may go up to 40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t>
  </si>
  <si>
    <t>P-400-23128-002235</t>
  </si>
  <si>
    <t>Optional mobile housing ($300/month)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($50/week), food/meals ($20/day), laundry facilities ($20/week), and internet access ($100/month) is available for wage credit and/or deduction, or any lesser amount to the maximum extent not prohibited by law. Wages calculated by single workweek, paid weekly.</t>
  </si>
  <si>
    <t>H-400-23229-274176</t>
  </si>
  <si>
    <t>Laser Fair, Inc.</t>
  </si>
  <si>
    <t>1603 S 9th Ave</t>
  </si>
  <si>
    <t>Wisdom</t>
  </si>
  <si>
    <t>1603 S 9th Avenue</t>
  </si>
  <si>
    <t>kylewisdom0@gmail.com</t>
  </si>
  <si>
    <t xml:space="preserve">Must pass post-hire criminal background check and drug testing paid by employer.  Must be able to lift 50 pounds.  Must cooperate with and complete job interview.
Hours, schedule, and days vary widely.  
Typically, Mon-Fri, 8am  5pm.  No overtime expected.
Often 35-40 hours per week.  
Work needs (i.e., hours, days, schedule, and work positions) vary.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Must be able to lift 50 pounds.  Subject to discharge for cause.
</t>
  </si>
  <si>
    <t>718 Hereford Avenue</t>
  </si>
  <si>
    <t>LOGAN</t>
  </si>
  <si>
    <t>Eastern and Southern Colorado nonmetropolitan area</t>
  </si>
  <si>
    <t>P-400-23139-039192</t>
  </si>
  <si>
    <t xml:space="preserve">Optional mobile housing ($125/week) is provided.  The employer will pay the cost of housing to the extent such cost would reduce the pay below the offered wage rate for the area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
</t>
  </si>
  <si>
    <t>laserfairrides@gmail.com</t>
  </si>
  <si>
    <t>H-400-23194-185463</t>
  </si>
  <si>
    <t>Nursery Worker</t>
  </si>
  <si>
    <t>Strongwood Forestry, Inc.</t>
  </si>
  <si>
    <t>201 N. Galyean Road</t>
  </si>
  <si>
    <t>Corinth</t>
  </si>
  <si>
    <t>Northrop</t>
  </si>
  <si>
    <t>Dale</t>
  </si>
  <si>
    <t>201 N. Galyean Rd.</t>
  </si>
  <si>
    <t>strongwoodforestry@gmail.com</t>
  </si>
  <si>
    <t>HODGSON</t>
  </si>
  <si>
    <t>AMBER</t>
  </si>
  <si>
    <t>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60lbs (possible 2-person). All applicants must be able, willing and qualified to perform work described and must be available for the entire period specified.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t>
  </si>
  <si>
    <t>186 Nevada 420 Rd</t>
  </si>
  <si>
    <t>Bluff City</t>
  </si>
  <si>
    <t>NEVADA</t>
  </si>
  <si>
    <t xml:space="preserve">Piece rate may apply: worker will never make less than Prevailing Wage or Federal/State/Local minimum wage. </t>
  </si>
  <si>
    <t>P-400-23156-080357</t>
  </si>
  <si>
    <t>strongwoodrecruits@gmail.com</t>
  </si>
  <si>
    <t>H-400-23195-188599</t>
  </si>
  <si>
    <t>2025 BlueOval City Dr.</t>
  </si>
  <si>
    <t>Stanton</t>
  </si>
  <si>
    <t>West Tennessee nonmetropolitan area</t>
  </si>
  <si>
    <t>Overtime hours may be available and will be paid at the overtime wage rate of $34.04 per hour</t>
  </si>
  <si>
    <t>H-400-23230-278550</t>
  </si>
  <si>
    <t>WE ENTERPRISES, LLC</t>
  </si>
  <si>
    <t>5125 Highland Pointe Ct</t>
  </si>
  <si>
    <t>[MAIL: 11705 Boyette Rd, Riverview, FL 33569]</t>
  </si>
  <si>
    <t>Wimauma</t>
  </si>
  <si>
    <t xml:space="preserve">Hrudka </t>
  </si>
  <si>
    <t>rhrudka1@aol.com</t>
  </si>
  <si>
    <t>P-400-23191-177831</t>
  </si>
  <si>
    <t xml:space="preserve">The employer will make all deductions from the worker’s paycheck required by law.  Optional housing (valued at $125.00 per week) and local convenience travel (valued at $25.00 per week) are available at no cost to the worker. </t>
  </si>
  <si>
    <t>H-400-23243-313847</t>
  </si>
  <si>
    <t>Child Care Teacher</t>
  </si>
  <si>
    <t>Deer Valley Resort Company, LLC</t>
  </si>
  <si>
    <t>Deer Valley Resort</t>
  </si>
  <si>
    <t>2250 Deer Valley Drive South</t>
  </si>
  <si>
    <t>P.O. Box 889</t>
  </si>
  <si>
    <t>Lampe</t>
  </si>
  <si>
    <t xml:space="preserve">Chris </t>
  </si>
  <si>
    <t>PO Box 889</t>
  </si>
  <si>
    <t>clampe@deervalley.com</t>
  </si>
  <si>
    <t xml:space="preserve">Six (6) months of experience in a child care environment.
May need to lift and carry up to 40 pounds.
On-the-job training is provided.
Following Shifts available 7 days a week including weekends and holidays. 8:00am - 4:30pm, including weekends and holidays
Wage Per Hour:  $12.78 - $22.32. Overtime possible at hourly wage of $19.17  $33.48.
Possible Wage Increase: Deer Valley offers pay raises based on performance and merit.  Each employee receives a performance review at the end of each season, based on these reviews employees will receive a merit from 0% - 5% for the start of the next winter season.  Employee's may receive spot raises based on their performance.
</t>
  </si>
  <si>
    <t>based on performance and merit.</t>
  </si>
  <si>
    <t>P-400-23138-034793</t>
  </si>
  <si>
    <t>All deductions required by law will be made.
Housing is offered and optional. Cost of housing, if accepted, is $119-$185.50/week, subject to change. If used, total cost of housing will be deducted from paycheck. A $250 partially refundable security deposit is required, to be paid directly to employer upon acceptance of housing. Up to $200 of dep. may be returned to the employee based on condition of housing, at the employer's sole discretion, at the end of the emp. period. Will assist in finding third party housing by providing a list of available contacts in the Park City area that staff can contact directly. All worksites are accessible by the Park City Transit system.Optional deductions from paycheck offered for meals, 401K, health ins., non-returned company items, housing rent &amp; fines, employee entertainment events and functions. Benefits: meal plans are $3.50/meal, ski lift passes are free,retail disc. from 10-20% off in all Deer Valley Outlets...
Please see attached job order ...</t>
  </si>
  <si>
    <t>cjudkins@deervalley.com</t>
  </si>
  <si>
    <t>H-400-23248-320694</t>
  </si>
  <si>
    <t>LC1 Owner Stowe VT LLC</t>
  </si>
  <si>
    <t>Bluebird Cady Hill and AWOL Stowe</t>
  </si>
  <si>
    <t>511 Mountain Road</t>
  </si>
  <si>
    <t>Wage: $17.00 - $19.00 per hour, paid weekly. Overtime is available at $25.50- $28.50 per hour.</t>
  </si>
  <si>
    <t>P-400-23192-179064</t>
  </si>
  <si>
    <t>Optional housing is offered on a first-come, first-serve basis for workers who are relocating to begin employment. Cost of housing, including utilities, if accepted, is $125.00 per week for a single bed in a shared room with access to kitchen and laundry. If used, total cost of housing will be deducted from paycheck.</t>
  </si>
  <si>
    <t>H-400-23277-409028</t>
  </si>
  <si>
    <t>Ecoscape Solutions Group, LLC_Charlotte</t>
  </si>
  <si>
    <t>11010 Metromont Parkway</t>
  </si>
  <si>
    <t>Mailing: CORP: PO Box 3328, Huntersville, NC 28070</t>
  </si>
  <si>
    <t>Vice President, HR</t>
  </si>
  <si>
    <t>Mailing: CORP: PO Box 3328 , Huntersville, NC 28070</t>
  </si>
  <si>
    <t>11010 Metromont Parkway,</t>
  </si>
  <si>
    <t>P-400-23200-200537</t>
  </si>
  <si>
    <t>Emplyr makes all payrll deducts req by law. Emplyr doesnt envision other wrkfrce-wide payrll deducts. If reqstd emplyr helps non-local wrkrs secure opt’l wrkr-paid lodging. Emplyr deducts reasonable fair market value cost of rent/util. based on # of occupants for wrkrs electing to reside in emplyr-provided housing (cost TBD). Vol. advances/loans made to wrkrs may be repaid by pre-authorized payrll deducts. Emplyr deducts reasonable cost of negligent damage to lodge facilities. Emplyr deducts retirement/savings plan contributions/health insurance premiums for wrkrs vol. participating. Uniform provided @ no cost. Emplyr deducts for lost/damaged uniforms resulting from wrkr negligence or vol. purchase of add’l uniforms for wrkr's benefit. Emplyr deducts for vol. boot purchase program. No daily trnsprt to/from wrkrs' home/primary wrksite. Emplyr provides incidental trnsprt between multiple wrksites as nec. Such trnsprt complies w/ all applicable Federal/State/local laws/regulations.</t>
  </si>
  <si>
    <t>H-400-23218-242008</t>
  </si>
  <si>
    <t>Assistant Cook</t>
  </si>
  <si>
    <t>Sugarloaf Mountain Corporation</t>
  </si>
  <si>
    <t>Sugarloaf Mountian Hotel</t>
  </si>
  <si>
    <t>5092 Sugarloaf Access Road</t>
  </si>
  <si>
    <t>Carrabassett Valley</t>
  </si>
  <si>
    <t>STEVENS</t>
  </si>
  <si>
    <t>LEAH</t>
  </si>
  <si>
    <t xml:space="preserve">5092 Sugarloaf Access Rd </t>
  </si>
  <si>
    <t>lstevens@sugarloaf.com</t>
  </si>
  <si>
    <t>CALIFORNIA STATE SUPREME COURT</t>
  </si>
  <si>
    <t xml:space="preserve">Baseic English speaking and reading  skills. 
</t>
  </si>
  <si>
    <t>CARRABASSETT VALLEY TOWN</t>
  </si>
  <si>
    <t>P-400-23125-995216</t>
  </si>
  <si>
    <t xml:space="preserve">•	Workers have the option of employer-provided housing for no more than $150 per week, and if elected, employer will deduct costs from worker’s paycheck, if allowed by law. Workers also have the option of securing their own lodging.
•	Employer will make all deductions from the worker’s paycheck required by law and any non-legally required payroll deductions permitted under the law and requested by Employee.
</t>
  </si>
  <si>
    <t>jobs@sugarloaf.com</t>
  </si>
  <si>
    <t>H-400-23254-335993</t>
  </si>
  <si>
    <t>Hiwassee Packaging, Inc.</t>
  </si>
  <si>
    <t>124 Appalachian Drive</t>
  </si>
  <si>
    <t>wwalker@hiwasseepackaging.com</t>
  </si>
  <si>
    <t>Faith</t>
  </si>
  <si>
    <t>Brittany</t>
  </si>
  <si>
    <t>633 Chestnut St</t>
  </si>
  <si>
    <t>Suite 900</t>
  </si>
  <si>
    <t>Chattanooga</t>
  </si>
  <si>
    <t>bfaith@gkhpc.com</t>
  </si>
  <si>
    <t>Grant, Konvalinka &amp; Harrison, P.C.</t>
  </si>
  <si>
    <t xml:space="preserve">To be able to stand for long periods of time
</t>
  </si>
  <si>
    <t>RHEA</t>
  </si>
  <si>
    <t>P-400-23149-059849</t>
  </si>
  <si>
    <t xml:space="preserve">Employer will deduct reasonable costs of optional housing at a rate of $17 per week and transportation to and from work at a
rate of 4$ per week. Housing is optional to workers
</t>
  </si>
  <si>
    <t>GRANT KONVALINKA AND HARRISON</t>
  </si>
  <si>
    <t>H-400-23240-300777</t>
  </si>
  <si>
    <t>Lady Olivia at North Cliff</t>
  </si>
  <si>
    <t>9198 North Cliff LN</t>
  </si>
  <si>
    <t>Rixeyville</t>
  </si>
  <si>
    <t>Morgan</t>
  </si>
  <si>
    <t>Carla</t>
  </si>
  <si>
    <t>9198 North Cliff Ln</t>
  </si>
  <si>
    <t>carlamorgan08@gmail.com</t>
  </si>
  <si>
    <t>CULPEPER</t>
  </si>
  <si>
    <t>P-400-23123-988947</t>
  </si>
  <si>
    <t>H-400-23237-296709</t>
  </si>
  <si>
    <t>Steve Klesaris Racing Stable</t>
  </si>
  <si>
    <t>83 Joyce Drive</t>
  </si>
  <si>
    <t>Klesaris</t>
  </si>
  <si>
    <t>steveklesaris@yahoo.com</t>
  </si>
  <si>
    <t>P-400-23129-004585</t>
  </si>
  <si>
    <t>State and Federal taxes; Optional employer-offered housing in the backstretch at no cost to the woker</t>
  </si>
  <si>
    <t>H-400-23209-222827</t>
  </si>
  <si>
    <t>JANITORIAL AND WAREHOUSE</t>
  </si>
  <si>
    <t>WORLD SOCIAL SOLUTION</t>
  </si>
  <si>
    <t>2533 TUMBLE BROOK DR</t>
  </si>
  <si>
    <t>LAS VEGAS</t>
  </si>
  <si>
    <t>TARAZONA</t>
  </si>
  <si>
    <t>JOSE</t>
  </si>
  <si>
    <t>5398 NICKEL CREEK TRAIL</t>
  </si>
  <si>
    <t>jstarazona@gmail.com</t>
  </si>
  <si>
    <t>RICALDE MENDIVIL</t>
  </si>
  <si>
    <t>REYNALDO</t>
  </si>
  <si>
    <t>RICALDE</t>
  </si>
  <si>
    <t>323 E SAN YSIDRO BLVD # B</t>
  </si>
  <si>
    <t>SAN YSIDRO</t>
  </si>
  <si>
    <t>REYNALDORICALDE4@GMAIL.COM</t>
  </si>
  <si>
    <t>H2MANPOWER LLC</t>
  </si>
  <si>
    <t>THERE ARE NO SPECIAL REQUIREMENTS FOR THIS POSITION. ALL TRAINING WILL BE PROVIDED.
Varying work shifts 
 Possible overtime of up to 10 hours per week and an overtime wage that is no less than
1.5 percent of the basic wage rate range.</t>
  </si>
  <si>
    <t>CLARK</t>
  </si>
  <si>
    <t>Las Vegas-Henderson-Paradise, NV</t>
  </si>
  <si>
    <t>List benefits of health insurance, vacation, and holidays.</t>
  </si>
  <si>
    <t>P-400-23095-908247</t>
  </si>
  <si>
    <t>REGULAR STATE AND FEDERAL DEDUCTIONS TO BE TAKEN</t>
  </si>
  <si>
    <t>JSTARAZONA@GMAIL.COM</t>
  </si>
  <si>
    <t>H-400-23198-194534</t>
  </si>
  <si>
    <t>Snow Laborer</t>
  </si>
  <si>
    <t>Beus Landscaping</t>
  </si>
  <si>
    <t>1785 Pacific Ave</t>
  </si>
  <si>
    <t>Ogden</t>
  </si>
  <si>
    <t>Sutton</t>
  </si>
  <si>
    <t>Mathew</t>
  </si>
  <si>
    <t xml:space="preserve"> COO</t>
  </si>
  <si>
    <t>$13.84 to $19.00/hour based on experience and performance. $20.76 to $28.50 for O.T.</t>
  </si>
  <si>
    <t>P-400-23136-027676</t>
  </si>
  <si>
    <t xml:space="preserve">Employer will advance against pay up to $75.00/day at the end of each work day at no interest for the first 2 weeks, if needed. </t>
  </si>
  <si>
    <t>msutton@simplifiedlandscape.com</t>
  </si>
  <si>
    <t>H-400-23266-375912</t>
  </si>
  <si>
    <t>Caprice Enterprises, Inc.</t>
  </si>
  <si>
    <t>2604 31st Street</t>
  </si>
  <si>
    <t>(Mail to: 4564 Mission Blvd., Montclair, CA 91763)</t>
  </si>
  <si>
    <t>Perelman</t>
  </si>
  <si>
    <t>Bruce</t>
  </si>
  <si>
    <t>(Mail to: 4564 Mission Blvd, Montclair, CA 91763)</t>
  </si>
  <si>
    <t>bdperelman@aol.com</t>
  </si>
  <si>
    <t>4564 Mission Boulevard</t>
  </si>
  <si>
    <t>Montclair</t>
  </si>
  <si>
    <t>SAN BERNARDINO</t>
  </si>
  <si>
    <t>Riverside-San Bernardino-Ontario, CA</t>
  </si>
  <si>
    <t>P-400-23194-187911</t>
  </si>
  <si>
    <t xml:space="preserve">Employer will make all deductions from the worker’s paycheck required by law.  Optional mobile housing (valued at $175.00 per week) and local convenience travel (valued at $30.00 per week) are available at no cost to the worker.  </t>
  </si>
  <si>
    <t>BDperelman@aol.com</t>
  </si>
  <si>
    <t>H-400-23251-332235</t>
  </si>
  <si>
    <t>Dundee Resort Development LLC</t>
  </si>
  <si>
    <t>Arapahoe Basin Ski Area</t>
  </si>
  <si>
    <t>28194 US-6</t>
  </si>
  <si>
    <t>PO Box 5808</t>
  </si>
  <si>
    <t>Dillon</t>
  </si>
  <si>
    <t>Anne</t>
  </si>
  <si>
    <t>annem@a-basin.net</t>
  </si>
  <si>
    <t xml:space="preserve">The Petitioner will consider for employment any person who possesses at least one (1) year of culinary experience in a fine-dining or high-volume environment at a high-end restaurant, resort, or private club.
</t>
  </si>
  <si>
    <t xml:space="preserve">Wage: $22.00 - $27.50 per hour, paid bi-weekly.  Overtime is available at $33.00 - $41.25 per hour. </t>
  </si>
  <si>
    <t>P-400-23192-179272</t>
  </si>
  <si>
    <t xml:space="preserve">Optional housing is offered on a first-come, first-serve basis for workers who are relocating to begin employment.  Cost of housing, if accepted, is $550.00 per month.  If used, total cost of housing will be deducted from paycheck.  A $100.00 refundable security deposit is required, to be paid directly to employer upon acceptance of housing.
Additional, optional benefits may be offered to worker, for worker’s sole benefit, including but not limited to health, dental, vision, and life insurance and 401k (for eligible employees).  If voluntarily elected by worker, employee costs/contributions for benefits will be deducted from paycheck.
</t>
  </si>
  <si>
    <t>AnneM@a-basin.net</t>
  </si>
  <si>
    <t>H-400-23277-411072</t>
  </si>
  <si>
    <t>Ecoscape Solutions Group, LLC_Nashville</t>
  </si>
  <si>
    <t>4027 Murfreesboro Road</t>
  </si>
  <si>
    <t>Antioch</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</si>
  <si>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Employment eligibility (e-Verify) check required of foreign and domestic workers.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</si>
  <si>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4027 Murfreesboro Road,</t>
  </si>
  <si>
    <t>DAVIDSON</t>
  </si>
  <si>
    <t>P-400-23200-200542</t>
  </si>
  <si>
    <t>H-400-23248-320455</t>
  </si>
  <si>
    <t>STABLE ATTENDANT</t>
  </si>
  <si>
    <t>MOTT THOROUGHBRED RACING LLC</t>
  </si>
  <si>
    <t>914 Minoma Ave</t>
  </si>
  <si>
    <t>Mott</t>
  </si>
  <si>
    <t>Riley</t>
  </si>
  <si>
    <t>rileytmott@gmail.com</t>
  </si>
  <si>
    <t>Katiraei</t>
  </si>
  <si>
    <t>60 East 42nd Street</t>
  </si>
  <si>
    <t>Suite 4600</t>
  </si>
  <si>
    <t>info@katiraeilaw.com</t>
  </si>
  <si>
    <t>Law Offices of Ron Katiraei</t>
  </si>
  <si>
    <t>Supreme Court - Third Department</t>
  </si>
  <si>
    <t>PALM MEADOWS THOROUGHBRED TRAINING CENTER</t>
  </si>
  <si>
    <t>8898 Lyons Rd</t>
  </si>
  <si>
    <t>Boynton Beach</t>
  </si>
  <si>
    <t>P-400-23159-090913</t>
  </si>
  <si>
    <t>Standard deductions required as by law.</t>
  </si>
  <si>
    <t>H-400-23244-315300</t>
  </si>
  <si>
    <t>Snow Removal Laborers</t>
  </si>
  <si>
    <t>Stevens Erosion Control Inc.</t>
  </si>
  <si>
    <t>5275 Oak Crest Hill Rd.</t>
  </si>
  <si>
    <t xml:space="preserve">P.O. Box 98 </t>
  </si>
  <si>
    <t>Hills</t>
  </si>
  <si>
    <t>Sams</t>
  </si>
  <si>
    <t>Accounting Controller/HR Director</t>
  </si>
  <si>
    <t>P.O. Box 98</t>
  </si>
  <si>
    <t>nate.sams@stevenserosion.com</t>
  </si>
  <si>
    <t xml:space="preserve">LABORERS MUST HAVE DRIVING LICENSE CLASS C TO DRIVE TRUCKS BETWEEN THE WORKSITES TO BRING MAINTENANCE MATERIALS WITHIN 90 MILES OF THE COMPANY'S HEADQUARTERS AT 5275 OAKCREST HILL RD, SE HILLS, IA
</t>
  </si>
  <si>
    <t>5275 Oak Crest Hill Rd</t>
  </si>
  <si>
    <t xml:space="preserve">Pay/Wage Rate may increase with work experience and familiarity with the processes. </t>
  </si>
  <si>
    <t>P-400-23200-199865</t>
  </si>
  <si>
    <t>ALL DEDUCTIONS FROM THE WORKERS PAYCHECK WILL BE MADE AS REQUIRED BY LAW. 
THE EMPLOYER WILL USE A SINGLE WORK WEEK AS ITS STANDARD FOR COMPUTING WAGES AND PAY WEEKLY BY CHECK.</t>
  </si>
  <si>
    <t>H-400-23191-177201</t>
  </si>
  <si>
    <t>Temporary General Laborer</t>
  </si>
  <si>
    <t>Team Assemblers</t>
  </si>
  <si>
    <t xml:space="preserve">Must be able to stand, walk, bend, kneel, stoop, crouch, crawl, and climb. Must be able to lift a minimum of 25 pounds. Must have demonstrated ability performing manual labor using hand tools (e.g., hammer, saw, screwdriver, drill). Must have demonstrated ability performing multiple tasks in a fast-paced environment. Must be able to read and follow documented procedures and standards in English or Spanish.
</t>
  </si>
  <si>
    <t>168 S. Spruce St.</t>
  </si>
  <si>
    <t>Rialto</t>
  </si>
  <si>
    <t>P-400-23130-008805</t>
  </si>
  <si>
    <t>H-400-23272-393914</t>
  </si>
  <si>
    <t>Carnival Payroll of PA Corp.</t>
  </si>
  <si>
    <t>1150 1st Ave. Suite 501</t>
  </si>
  <si>
    <t>DeStefano</t>
  </si>
  <si>
    <t>mythreegirlz@aol.com</t>
  </si>
  <si>
    <t>707 Neshaminy Mall</t>
  </si>
  <si>
    <t>Ben Salem</t>
  </si>
  <si>
    <t>P-400-23184-164083</t>
  </si>
  <si>
    <t xml:space="preserve">Employer will make all deductions from the worker’s paycheck required by law.  In addition, the employer intends to make the following deductions from the worker’s paycheck which are not required by law:   NONE Optional mobile housing (valued at $75.00 per week) and local convenience travel (valued at $25.00 per week) are available for wage credit and/or deduction, or any lesser amount to the maximum extent allowed by law.  The employer will pay the cost of lodging to the extent such costs would reduce pay below the legally required minimum wage rate for the areas of intended employment.  </t>
  </si>
  <si>
    <t>Pipe Fitter</t>
  </si>
  <si>
    <t>Harkey</t>
  </si>
  <si>
    <t>Ronda</t>
  </si>
  <si>
    <t>Silsbee</t>
  </si>
  <si>
    <t>rbh@fisherfirm.com</t>
  </si>
  <si>
    <t>Fisher Firm</t>
  </si>
  <si>
    <t>2440 Kiewit Rd.</t>
  </si>
  <si>
    <t>None. No deductions will be made from pay other than those required by law from the workers' pay.</t>
  </si>
  <si>
    <t>H-400-23276-406827</t>
  </si>
  <si>
    <t>TOJV, LLC</t>
  </si>
  <si>
    <t>Omni Atlanta Hotel at CNN Center</t>
  </si>
  <si>
    <t>100 CNN Center</t>
  </si>
  <si>
    <t>ATLANTA</t>
  </si>
  <si>
    <t>ANITTRA</t>
  </si>
  <si>
    <t>HUMAN RESOURCES DIRECTOR</t>
  </si>
  <si>
    <t>awilliams@omnihotels.com</t>
  </si>
  <si>
    <t xml:space="preserve">No minimum education or experience required. Must pass a post-employment criminal background check, paid by employer and applied equally to all workers, U.S. and foreign/H-2B.  Must be able to work a minimum 5-day workweek. Must be able to work weekends and holidays. Applicants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Employer will provide worker at no charge all tools, supplies, and equipment required to perform job. Uniform provided at no cost to employee.  Employer guarantees to offer work for hours equal to at least three-fourths of the workdays in each 12-week period of the total employment period. Employer will reimburse H-2B workers in the first workweek for all visa, visa processing, border crossing, and other related fees, including those mandated by the government (excluding passport fees).
</t>
  </si>
  <si>
    <t>Employer may increase wage based on experience, market conditions, and/or provide additional pay for performance and ten</t>
  </si>
  <si>
    <t>P-400-23198-193752</t>
  </si>
  <si>
    <t xml:space="preserve"> Employer will provide on-the-job training. A single workweek will be used to compute wages due. Pay received bi-weekly. Employer will make all deductions from the worker's paycheck required by law.  Employer will assist in locating housing. Public transportation within walking distance of the hotel. One optional meal during shift available for $2, payroll deducted if worker elects. </t>
  </si>
  <si>
    <t>https://dol.georgia.gov</t>
  </si>
  <si>
    <t>H-400-23207-215299</t>
  </si>
  <si>
    <t xml:space="preserve">Some weekend work. Must be able to lift and carry 75 lbs. for 50 yards. Must be able to handle extreme temperatures.  Must have 3 of months of concrete finisher experience.
</t>
  </si>
  <si>
    <t>3551 W 800 S</t>
  </si>
  <si>
    <t>Union Mills</t>
  </si>
  <si>
    <t>LA PORTE</t>
  </si>
  <si>
    <t>Michigan City-La Porte, IN</t>
  </si>
  <si>
    <t>P-400-23167-120248</t>
  </si>
  <si>
    <t xml:space="preserve">All deductions from the worker's paycheck will be made as required by law. The employer will provide housing as an option to the employees. Employees who elect to live in the housing will have an additional $175.00 deducted per bi-weekly paycheck for rent and utilities. Any advances will be the consent of the employee. </t>
  </si>
  <si>
    <t>H-400-23184-164059</t>
  </si>
  <si>
    <t>Tenderloin Remover</t>
  </si>
  <si>
    <t>Up to 1 month of Safety and sanitation training may be required depending on experience.</t>
  </si>
  <si>
    <t>22123 Highways 5</t>
  </si>
  <si>
    <t>Milan</t>
  </si>
  <si>
    <t>SULLIVAN</t>
  </si>
  <si>
    <t>North Missouri nonmetropolitan area</t>
  </si>
  <si>
    <t>P-400-23124-992210</t>
  </si>
  <si>
    <t>H-400-23257-345064</t>
  </si>
  <si>
    <t>Wild Willies Yard Services</t>
  </si>
  <si>
    <t>Eschenfelder Landscaping</t>
  </si>
  <si>
    <t>184 E GORDON LN</t>
  </si>
  <si>
    <t>Ivy</t>
  </si>
  <si>
    <t>office@wildwilliesinc.com</t>
  </si>
  <si>
    <t>mv_nav@yahoo.com</t>
  </si>
  <si>
    <t>Maritza Navarrete</t>
  </si>
  <si>
    <t xml:space="preserve">Must be 18 due to equipment use. Must show proof of legal authorization to work in the United States. Drug/alcohol/tobacco free work zone. Perform physical activities such as: lift, balance, walk, stoop, handle, position, move, push, pull, carry objects up to 100lbs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t>
  </si>
  <si>
    <t>Opportunity for higher pay dependent upon experience. Raises and/or bonuses at employer's discretion</t>
  </si>
  <si>
    <t>P-400-23203-208299</t>
  </si>
  <si>
    <t>H-400-23230-276827</t>
  </si>
  <si>
    <t>Busser/Dining Room Services Attendant</t>
  </si>
  <si>
    <t>Hyatt Corporation</t>
  </si>
  <si>
    <t xml:space="preserve">Grand Hyatt Vail/Park Hyatt Beaver Creek </t>
  </si>
  <si>
    <t>1300 Westhaven Drive</t>
  </si>
  <si>
    <t>Castellano</t>
  </si>
  <si>
    <t xml:space="preserve">Meghan </t>
  </si>
  <si>
    <t>Director Human Resources</t>
  </si>
  <si>
    <t>meghan.castellano@hyatt.com</t>
  </si>
  <si>
    <t>Feinstein</t>
  </si>
  <si>
    <t>10050 Regency Circle</t>
  </si>
  <si>
    <t>Suite 400</t>
  </si>
  <si>
    <t>jessica.feinstein@jacksonlewis.com</t>
  </si>
  <si>
    <t>Jackson Lewis PC</t>
  </si>
  <si>
    <t xml:space="preserve">Must be capable of regular periodic lifting of at least 40 lbs.
</t>
  </si>
  <si>
    <t>P-400-23125-996765</t>
  </si>
  <si>
    <t>Standard federal, state, and local deductions. Discounted bus pass provided if worker requires daily transportation to and from worksite. Costs deducted from paycheck if purchased by employee.</t>
  </si>
  <si>
    <t>https:www.colorado.gov/cdle/wfc</t>
  </si>
  <si>
    <t>Calles Smith</t>
  </si>
  <si>
    <t>Jackson Lewis P.C.</t>
  </si>
  <si>
    <t>David.CallesSmith@jacksonlewis.com</t>
  </si>
  <si>
    <t>H-400-23242-308763</t>
  </si>
  <si>
    <t>Project Assembly Specialist</t>
  </si>
  <si>
    <t>Assemblers and Fabricators, All Other</t>
  </si>
  <si>
    <t>Lazzoni USA Inc</t>
  </si>
  <si>
    <t xml:space="preserve">Lazzoni </t>
  </si>
  <si>
    <t>154 W 18th Street</t>
  </si>
  <si>
    <t>Ground Floor</t>
  </si>
  <si>
    <t>OZDAMAR</t>
  </si>
  <si>
    <t>Ersoy</t>
  </si>
  <si>
    <t>Director of Human Resources and Accounting</t>
  </si>
  <si>
    <t>ersoy@lazzoni.us</t>
  </si>
  <si>
    <t>GUR</t>
  </si>
  <si>
    <t>Mine</t>
  </si>
  <si>
    <t>16 Madison Square West</t>
  </si>
  <si>
    <t>Suite 1115</t>
  </si>
  <si>
    <t>info@minegurlaw.com</t>
  </si>
  <si>
    <t>Law Office of Mine Gur</t>
  </si>
  <si>
    <t>California Supreme Court</t>
  </si>
  <si>
    <t xml:space="preserve">Special skills in warehouse, maintenance and profound knowledge of Lazzonis merchandising concepts and special designs and able to read and comprehend product assembly instructions are required.
</t>
  </si>
  <si>
    <t>Legado Residential</t>
  </si>
  <si>
    <t>1700 S Pacific Coast Highway</t>
  </si>
  <si>
    <t>Redondo Beach</t>
  </si>
  <si>
    <t>P-400-23166-116129</t>
  </si>
  <si>
    <t xml:space="preserve">Employer will make the required paycheck deductions.Reimbursement of travel and visa expenses, if applicable. </t>
  </si>
  <si>
    <t>H-400-23186-168381</t>
  </si>
  <si>
    <t>CDL Driver</t>
  </si>
  <si>
    <t>Murphy Brown LLC</t>
  </si>
  <si>
    <t>Smithfield Hog Production</t>
  </si>
  <si>
    <t>17999 US Hwy 65</t>
  </si>
  <si>
    <t>Princeton</t>
  </si>
  <si>
    <t xml:space="preserve">CDL License required prior to employment. 
1 month of on the job training required
12 months experience as CDL Driver required
Must pass Physical to demonstrate health and ability to perform the job. 
Workers will not work every day. Workers will work, then have off day, then work, then off, etc. - Total Work Week will be closer to 42 hours - not 84 hours per week. 
Shifts will be from 6:00am - 6:00pm OR 6:pm - 6:00am. 
</t>
  </si>
  <si>
    <t>22123 Highway 5</t>
  </si>
  <si>
    <t xml:space="preserve">Exact wage rate will depend on internal metrics and will be discussed with the applicant. </t>
  </si>
  <si>
    <t>P-400-23124-994097</t>
  </si>
  <si>
    <t>H-400-23184-162227</t>
  </si>
  <si>
    <t>Weldflow Industrial, LLC</t>
  </si>
  <si>
    <t>834 Canyon Hill Ln</t>
  </si>
  <si>
    <t>Rosenberg</t>
  </si>
  <si>
    <t>Misael</t>
  </si>
  <si>
    <t>misael@weldflow.com</t>
  </si>
  <si>
    <t>560 South 4th Street</t>
  </si>
  <si>
    <t xml:space="preserve">Must pass pre-hire drug test and medical physical. Must pass a written and functional welding test administered at the project worksite in Corpus Christi, Texas at employer's expense. Must be willing and able to climb and work in high places that may exceed 200 feet in height, and in confined spaces. Must be able to lift and/or move a minimum of 50 lbs. These requirements will be carried out equally between U.S. and H-2B workers.
</t>
  </si>
  <si>
    <t>Raises &amp; bonuses may be offered to any worker at the Company's discretion, based on work performance, skill &amp; tenure.</t>
  </si>
  <si>
    <t>P-400-23124-993453</t>
  </si>
  <si>
    <t xml:space="preserve">None. No deductions will be made from pay other than those required by law from the workers' pay. </t>
  </si>
  <si>
    <t>Weldflow-Resumes@Venice-Inc.com</t>
  </si>
  <si>
    <t>H-400-23188-173419</t>
  </si>
  <si>
    <t>snow removal laborer</t>
  </si>
  <si>
    <t>Guardian Environmental Services Company Inc.</t>
  </si>
  <si>
    <t>70 Albe Drive</t>
  </si>
  <si>
    <t>Cunane</t>
  </si>
  <si>
    <t>jcunane@gesoncall.com</t>
  </si>
  <si>
    <t>P-400-23107-940416</t>
  </si>
  <si>
    <t>H-400-23215-235765</t>
  </si>
  <si>
    <t xml:space="preserve">EOS Hospitality Knight’s Key Employee LLC </t>
  </si>
  <si>
    <t>Isla Bella Beach Resort</t>
  </si>
  <si>
    <t>1 Knights Key Boulevard, Mile Marker 47</t>
  </si>
  <si>
    <t>Marathon</t>
  </si>
  <si>
    <t>Nels</t>
  </si>
  <si>
    <t>Justin</t>
  </si>
  <si>
    <t>Area Managing Director</t>
  </si>
  <si>
    <t>mgabe@islabella.com</t>
  </si>
  <si>
    <t xml:space="preserve">The Petitioner will consider for employment any person who possesses at least three (3) months of experience in a restaurant, resort, or private club. Applicant must complete pre-employment background check.
</t>
  </si>
  <si>
    <t xml:space="preserve">Marathon </t>
  </si>
  <si>
    <t xml:space="preserve">Tipped position with guaranteed wage of $15.78 per hour, paid bi-weekly.  See job description for details. </t>
  </si>
  <si>
    <t>P-400-23167-117842</t>
  </si>
  <si>
    <t>Housing is offered and optional on a first come, first serve basis for workers who are relocating to begin employment.  Cost of housing, if accepted, is up to $550.00 per bi-weekly pay period for single occupancy rooms, and $275.00 per bi-weekly pay period for multiple occupancy rooms. If used, total cost of housing and utilities will be deducted from paycheck.  A $500.00 refundable security deposit is required, to be deducted from paycheck in equal $250.00 installments from employee’s first two (2) paychecks and returned to the employee only upon the completion of the entire employment period and on the suitable condition of the housing and at the employer’s sole discretion. Additional, optional benefits may be offered to worker, for worker’s sole benefit, including but not limited to medical, dental, vision, and ancillary insurance.  If voluntarily elected by worker, employee costs/contributions for benefits will be deducted from paycheck.</t>
  </si>
  <si>
    <t>H-400-23215-234931</t>
  </si>
  <si>
    <t>Sandpearl Resort LLC</t>
  </si>
  <si>
    <t>Sandpearl Resort</t>
  </si>
  <si>
    <t>500 Mandalay Ave</t>
  </si>
  <si>
    <t>Clearwater Beach</t>
  </si>
  <si>
    <t>Currier</t>
  </si>
  <si>
    <t>Allison</t>
  </si>
  <si>
    <t>acurrier@sandpearl.com</t>
  </si>
  <si>
    <t>P-400-23143-045010</t>
  </si>
  <si>
    <t xml:space="preserve">•	Deductions required by law will be payroll deducted. 
•	Employee housing is not provided however optional 3rd party housing may be available at $150/wk-$200/wk depending on location and may be voluntarily payroll deducted biweekly plus all deductions required by law. Housing deposits and/or a $150-$200 nonrefundable admin/cleaning fee may be required if you choose the optional housing option. 
</t>
  </si>
  <si>
    <t>H-400-23216-241265</t>
  </si>
  <si>
    <t>Each employees expected daily schedule will be for 9 hours shifts Monday to Friday, between the hours of 7:00 a.m. and 11:00 p.m., and then there may also be weekend shifts, Saturday and Sunday, of four hours, between the hours of 7:00 a.m. and 11:00 p.m. Shifts would be created well in advance, so all Employees have time to plan their schedule</t>
  </si>
  <si>
    <t>P-400-23150-063181</t>
  </si>
  <si>
    <t>Employer will make all deductions required by law. The Employer will facilitate housing by helping workers find housing, but the workers will be responsible for paying for their own housing once that housing is found</t>
  </si>
  <si>
    <t>H-400-23228-269859</t>
  </si>
  <si>
    <t xml:space="preserve">Laborer </t>
  </si>
  <si>
    <t>B.C. Financial, LC</t>
  </si>
  <si>
    <t>1010 North Highway 198</t>
  </si>
  <si>
    <t>Dahl</t>
  </si>
  <si>
    <t>Immigration@kjpartners.law</t>
  </si>
  <si>
    <t>P-400-23177-143858</t>
  </si>
  <si>
    <t>All deductions required by law</t>
  </si>
  <si>
    <t>mike@mmasphalt.com</t>
  </si>
  <si>
    <t>H-400-23229-273276</t>
  </si>
  <si>
    <t>Advanced Housekeeper</t>
  </si>
  <si>
    <t>Crested Butte Mountain Resort</t>
  </si>
  <si>
    <t xml:space="preserve"> Must be able to lift 50 lbs. Must be able to stand for extended periods of time. Must have a minimum of 1 year of housekeeping experience.
</t>
  </si>
  <si>
    <t>6 Emmons Street</t>
  </si>
  <si>
    <t>Mount Crested Butte</t>
  </si>
  <si>
    <t>GUNNISON</t>
  </si>
  <si>
    <t>Southwest Colorado nonmetropolitan area</t>
  </si>
  <si>
    <t>P-400-23113-957842</t>
  </si>
  <si>
    <t xml:space="preserve">OPTIONAL SUBSIDIZED EMPLOYEE HOUSING IS AVAILABLE BUT LIMITED. BIWEEKLY COST IS $285.00 TO $340.00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</si>
  <si>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Fragomen, Del Rey, Bernsen &amp;Loewy, LLP</t>
  </si>
  <si>
    <t>H-400-23279-414443</t>
  </si>
  <si>
    <t>ABC Professional Tree Services, Inc - Lorton</t>
  </si>
  <si>
    <t>9027 Palmer Dr.</t>
  </si>
  <si>
    <t>Lorton</t>
  </si>
  <si>
    <t>P-400-23195-191029</t>
  </si>
  <si>
    <t>H-400-23213-228522</t>
  </si>
  <si>
    <t>Cooks</t>
  </si>
  <si>
    <t>Palisades Tahoe Ski Holdings, LLC</t>
  </si>
  <si>
    <t>Palisades Tahoe</t>
  </si>
  <si>
    <t xml:space="preserve">1960 Olympic Valley Road  </t>
  </si>
  <si>
    <t>Olympic Valley</t>
  </si>
  <si>
    <t>Director of Food and Beverage</t>
  </si>
  <si>
    <t>P.O. Box 2007</t>
  </si>
  <si>
    <t>1960 Olympic Valley Rd.</t>
  </si>
  <si>
    <t>sehlers@palisadestahoe.com</t>
  </si>
  <si>
    <t>6 months Cook or Culinary experience in a fine-dining or high-volume environment at a high-end restaurant, resort, or private club required.
On-The-Job Training Is Provided.
Following Shifts available 7 days a week including weekends and holidays. 7am to 3:30pm, 9am to 5:30pm, 11am to 7:30pm, 3pm to 11:30pm
Wage Per Hour: Tipped position with guaranteed wage of $17.88 - $24.00
Overtime possible at hourly wage of $26.82 - $36.00
Possible Wage Increase: Based on merit and past experience with our company</t>
  </si>
  <si>
    <t>1960 Olympic Valley Road</t>
  </si>
  <si>
    <t>PLACER</t>
  </si>
  <si>
    <t>Based on merit and past experience with our company</t>
  </si>
  <si>
    <t>P-400-23128-003218</t>
  </si>
  <si>
    <t>All deductions required by law will be made.
Will assist in finding housing with third-party landlords.
Daily transportation to and from the worksite is not provided. Local bus lines are free to all riders
Optional Deductions from Paycheck: None
Benefits: Ski Pass, Shift Meals, 50% F&amp;B Discount, 30% Retail Discount</t>
  </si>
  <si>
    <t>H-400-23235-291004</t>
  </si>
  <si>
    <t>Figs Bistro Inc.</t>
  </si>
  <si>
    <t>dba Figs Grille</t>
  </si>
  <si>
    <t>25987 S. Tamiami Trail #109</t>
  </si>
  <si>
    <t>Bonita Springs</t>
  </si>
  <si>
    <t>Tadros</t>
  </si>
  <si>
    <t>Adel</t>
  </si>
  <si>
    <t>sam@figsgrille.com</t>
  </si>
  <si>
    <t xml:space="preserve">Post-employment random drug testing and background checks may be required, at no cost to the worker. The job requires the applicant to be qualified, ready, willing, able, and available to perform during the entire employment at all the designated worksites.
</t>
  </si>
  <si>
    <t>P-400-23193-183152</t>
  </si>
  <si>
    <t>Employer will make all deductions from the worker’s paycheck required by law. On an optional basis, employer will assist those employees who opt in, in securing housing. Payment for this housing and any included utilities will be deducted from the workers pay. This deduction is estimated to be $100 per week.</t>
  </si>
  <si>
    <t>H-400-23215-236832</t>
  </si>
  <si>
    <t>Server Assistant</t>
  </si>
  <si>
    <t>Windstar Club, Incorporated</t>
  </si>
  <si>
    <t>Windstar on Naples Bay</t>
  </si>
  <si>
    <t xml:space="preserve">1700 Windstar Boulevard </t>
  </si>
  <si>
    <t>Boros</t>
  </si>
  <si>
    <t>1700 Windstar Boulevard</t>
  </si>
  <si>
    <t>nboros@windstarclub.com</t>
  </si>
  <si>
    <t xml:space="preserve">The Petitioner will consider for employment any person who possesses at least three (3) months of experience in a fine-dining or high-volume environment at a high-end restaurant, resort, hotel, or private club. Applicant must complete pre-employment background check and drug screening.  
</t>
  </si>
  <si>
    <t xml:space="preserve">Tipped position with guaranteed wage of $14.33 per hour, paid bi-weekly.  See job description for details. </t>
  </si>
  <si>
    <t>P-400-23167-117882</t>
  </si>
  <si>
    <t>Optional housing is offered on a first-come, first-serve basis for workers who are relocating to begin employment.  Cost of housing, if accepted, is $375.00 per bi-weekly pay period.  If used, total cost of housing will be deducted from paycheck.  A $375.00 refundable security deposit is required, to be paid directly to employer upon acceptance of housing. The security deposit may be returned to the employee based on the condition of the housing, at the employer’s sole discretion, at the end of the employment period.</t>
  </si>
  <si>
    <t>DDickson@windstarclub.com</t>
  </si>
  <si>
    <t>H-400-23215-235738</t>
  </si>
  <si>
    <t xml:space="preserve">The Petitioner will consider for employment any person who possesses at least three (3) months of housekeeping experience at a hotel, resort, private club, or other commercial setting. Applicant must complete pre-employment background check.
</t>
  </si>
  <si>
    <t>Wage: $18.00 per hour, paid bi-weekly.  Overtime is available at $27.00 per hour.  See job description for details.</t>
  </si>
  <si>
    <t>P-400-23167-117839</t>
  </si>
  <si>
    <t xml:space="preserve">Housing is offered and optional on a first come first-serve basis for workers who are relocating to begin employment. Cost of housing, if accepted, is up to $550.00 per bi-weekly pay period for single occupancy rooms, and $275.00 per bi-weekly pay period for multiple occupancy rooms. If used, total cost of housing and utilities will be deducted from paycheck.  A $500.00 refundable security deposit is required, to be deducted from paycheck in equal $250.00 installments from employee’s first two (2) paychecks and returned to the employee only upon the completion of the entire employment period and on the suitable condition of the housing and at the employer’s sole discretion. Additional, optional benefits may be offered to worker, for worker’s sole benefit, including but not limited to medical, dental, vision, and ancillary insurance.  If voluntarily elected by worker, employee costs/contributions for benefits will be deducted from paycheck.
</t>
  </si>
  <si>
    <t>H-400-23261-354510</t>
  </si>
  <si>
    <t>Cook 1</t>
  </si>
  <si>
    <t>Aspen Skiing Company LLC</t>
  </si>
  <si>
    <t>117 Aspen Airport Business Center</t>
  </si>
  <si>
    <t>Aspen</t>
  </si>
  <si>
    <t>Vice President of On-Mountain Dining</t>
  </si>
  <si>
    <t>407 Aspen Airport Business Center</t>
  </si>
  <si>
    <t>tbaldwin@aspensnowmass.com</t>
  </si>
  <si>
    <t xml:space="preserve">Ability to reach, crouch, kneel, stand, walk or be on your feet for extended periods of time. Regularly work in wet, hot and humid conditions for extended periods of time and may be required to walk on slippery and uneven surfaces. Must be able to continually lift, push or pull up to 50 lbs. individually or with assistance. 
Ability to communicate and follow oral or written directions in English is required.
This position /certain locationswill require an employee to ski or snowboard.
    *    *    *
Note re worksites/places of employment:  Work will be performed at the following locations at the Aspen/Snowmass Ski Resort:  
Ullrhof -100 High Alpine Lift Rd., Snowmass Village, CO 81615; 
Merry Go Round - 199 Pospector Rd., Aspen, CO 81611; 
Buttermilk Mountain Lodge - 38799 CO-82, Aspen, CO 81611; 
Two Creeks - 31 Slopeside Lane, Snowmass Village, CO 81615; 
Lynn Britt Cabin - 100 High Alpine Lift Rd., Snowmass Village, CO 81615; 
High Alpine/Alpine Room - 100 High Alpine Lift Rd., Snowmass Village, CO 81615; 
Sams - 100 High Alpine Lift Rd., Snowmass Village, CO 81615; 
Up 4 Pizza - 100 High Alpine Lift Rd., Snowmass Village, CO 81615;
Cloud 9 - 199 Prospector Rd., Aspen, CO 81611; 
Cliffhouse  38700 Co-82, Aspen, CO  81611; 
Elk Camp  100 High Alpine Lift Rd., Snowmass Village, CO  81615;  and
Sundeck  675 E. Durant Avenue, Aspen, CO 81611
All of these are within seven miles of each other at the Aspen/Snowmass Ski Resort, 100 High Alpine Lift Road, Snowmass Village, Pitkin County, Colorado  81615.
*   *   *
Employer will offer 40 hours per week.  Full time.  Shifts of 6 or 8 hours: 8:00 a.m. to 5:00 p.m.  Times and days of week vary.  Business is open 7 days a week.
</t>
  </si>
  <si>
    <t>100 High Alpine Lift Road</t>
  </si>
  <si>
    <t>Snowmass Village</t>
  </si>
  <si>
    <t>PITKIN</t>
  </si>
  <si>
    <t>Raises available based on performance.  Benefits available see Job Posting.</t>
  </si>
  <si>
    <t>P-400-23158-087486</t>
  </si>
  <si>
    <t>Shift meals provided at no cost. Housing available on a first come, first served basis.  Rent ranges from $325.00 to $985.00 per month depending on location and payable by cash or check directly to landlord.  Both are optional and neither a condition of employment.</t>
  </si>
  <si>
    <t>www.aspensnowmass.com/we-are-different/employment</t>
  </si>
  <si>
    <t>Tile and Stone Setters</t>
  </si>
  <si>
    <t>W.</t>
  </si>
  <si>
    <t>VICE PRESIDENT</t>
  </si>
  <si>
    <t>Employer will make all deductions required by law from each paycheck.</t>
  </si>
  <si>
    <t>ROMERO</t>
  </si>
  <si>
    <t>RITA</t>
  </si>
  <si>
    <t>2901 BUCKS BAYOU RD</t>
  </si>
  <si>
    <t>BAY CITY</t>
  </si>
  <si>
    <t>RROMERO@FEWAGLOBAL.ORG</t>
  </si>
  <si>
    <t xml:space="preserve">Raise/bonus at employer's discretion. </t>
  </si>
  <si>
    <t>RIVERA</t>
  </si>
  <si>
    <t>Victory Lawnscape LLC</t>
  </si>
  <si>
    <t>51879 Schoenherr Rd</t>
  </si>
  <si>
    <t>LaGrasso</t>
  </si>
  <si>
    <t xml:space="preserve">Must lift/carry 50 lbs., when necessary.  Saturday and Sunday work required, when necessary.   Post-hire employment eligibility (e-Verify) check required of foreign and domestic workers. Employer may offer more than the stated work hours depending on weather, business needs, and other conditions. Extreme heat, cold, rain, or drought may affect exact working hours.
</t>
  </si>
  <si>
    <t>51879 Schoenherr Road</t>
  </si>
  <si>
    <t>steve@victorylawn.com</t>
  </si>
  <si>
    <t>Moreno</t>
  </si>
  <si>
    <t>Iowa City</t>
  </si>
  <si>
    <t>H-400-23318-499106</t>
  </si>
  <si>
    <t>TRUCK DRIVER</t>
  </si>
  <si>
    <t>OMEGA COMPLIANCE SOLUTIONS</t>
  </si>
  <si>
    <t>1614 PIONEER WAY</t>
  </si>
  <si>
    <t>EL CAJON</t>
  </si>
  <si>
    <t>GAMINO</t>
  </si>
  <si>
    <t>HENRY</t>
  </si>
  <si>
    <t>CEO/OWNER</t>
  </si>
  <si>
    <t>henry@omegacompliancesolutions.com</t>
  </si>
  <si>
    <t xml:space="preserve">FEDERAL DRIVERS LICENCE
COMMERCIAL DRIVERS LICENCE
THE COMPANY WILL REGISTER FOR A TWIC CREDENTIAL
SPANISH LANGUAGE
</t>
  </si>
  <si>
    <t>P-400-23265-373343</t>
  </si>
  <si>
    <t>No deduction will be made from their income other than normal taxes.</t>
  </si>
  <si>
    <t>H-400-23325-518408</t>
  </si>
  <si>
    <t>JMMJ Entertainment</t>
  </si>
  <si>
    <t>37933 Hillside Lane</t>
  </si>
  <si>
    <t>Dade City</t>
  </si>
  <si>
    <t>Authorized Agent</t>
  </si>
  <si>
    <t>greeranita31@yahoo.com</t>
  </si>
  <si>
    <t>Emily@laborci.com</t>
  </si>
  <si>
    <t>37933 Hillside Lane (Report to Work)</t>
  </si>
  <si>
    <t xml:space="preserve">Dade City </t>
  </si>
  <si>
    <t>P-400-23244-317517</t>
  </si>
  <si>
    <t>TA Operations Manager, Human Resources</t>
  </si>
  <si>
    <t>9271 S. John Young Parkway</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</si>
  <si>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No daily transportation to/from workers' home and primary worksite. Such transportation complies with all applicable Federal, State, and local laws/regulations.</t>
  </si>
  <si>
    <t>https://jobs.mo.gov/</t>
  </si>
  <si>
    <t>Farmington</t>
  </si>
  <si>
    <t>ONTARIO</t>
  </si>
  <si>
    <t>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</si>
  <si>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Sandy</t>
  </si>
  <si>
    <t>VICTORIA</t>
  </si>
  <si>
    <t>Victoria, TX</t>
  </si>
  <si>
    <t>ERIE</t>
  </si>
  <si>
    <t>Landscape laborer</t>
  </si>
  <si>
    <t>Independence</t>
  </si>
  <si>
    <t xml:space="preserve">The Supreme Court of Ohio </t>
  </si>
  <si>
    <t>Akron, OH</t>
  </si>
  <si>
    <t>Helpers--Painters, Paperhangers, Plasterers, and Stucco Masons</t>
  </si>
  <si>
    <t>Davies</t>
  </si>
  <si>
    <t>BEAVER</t>
  </si>
  <si>
    <t>H-400-23336-539044</t>
  </si>
  <si>
    <t>KNOLLWOOD CLUB</t>
  </si>
  <si>
    <t>1890 KNOLLWOOD ROAD</t>
  </si>
  <si>
    <t>LAKE FOREST</t>
  </si>
  <si>
    <t>HARPER</t>
  </si>
  <si>
    <t>RANDALL</t>
  </si>
  <si>
    <t>P-400-23187-169906</t>
  </si>
  <si>
    <t xml:space="preserve"> HOUSING OPTIONAL AND AVAILABLE FOR $50/BIWEEKLY WITH A $250 REFUNDABLE DEPOSIT.</t>
  </si>
  <si>
    <t>rharper@knollwoodclub.org</t>
  </si>
  <si>
    <t>DUPAGE</t>
  </si>
  <si>
    <t>Brush Clearer for Utility Rights of Way</t>
  </si>
  <si>
    <t>WINSTON</t>
  </si>
  <si>
    <t>Northeast Mississippi nonmetropolitan area</t>
  </si>
  <si>
    <t>Cleaners of Vehicles and Equipment</t>
  </si>
  <si>
    <t>Heber</t>
  </si>
  <si>
    <t>VENTURA</t>
  </si>
  <si>
    <t>Oxnard-Thousand Oaks-Ventura, CA</t>
  </si>
  <si>
    <t>Fenton</t>
  </si>
  <si>
    <t>High Ridge</t>
  </si>
  <si>
    <t>ABC Professional Tree Services, Inc - Memphis</t>
  </si>
  <si>
    <t>6860 Captains Rite Cove,</t>
  </si>
  <si>
    <t>Wichita</t>
  </si>
  <si>
    <t>SEDGWICK</t>
  </si>
  <si>
    <t>Wichita, KS</t>
  </si>
  <si>
    <t>Carr</t>
  </si>
  <si>
    <t>H-400-23336-539081</t>
  </si>
  <si>
    <t>HAMPTON RUSTIC LLC</t>
  </si>
  <si>
    <t xml:space="preserve">375 DAVID WHITE'S LANE </t>
  </si>
  <si>
    <t>WAINSCOTT</t>
  </si>
  <si>
    <t>STENGEL</t>
  </si>
  <si>
    <t>MATTHEW</t>
  </si>
  <si>
    <t>375 DAVID WHITE'S LANE</t>
  </si>
  <si>
    <t>P-400-23201-203593</t>
  </si>
  <si>
    <t>INFO@HAMPTONRUSTIC.COM</t>
  </si>
  <si>
    <t>Northern Pennsylvania nonmetropolitan area</t>
  </si>
  <si>
    <t>BUTLER</t>
  </si>
  <si>
    <t>Rita</t>
  </si>
  <si>
    <t>MADERA</t>
  </si>
  <si>
    <t>Madera, CA</t>
  </si>
  <si>
    <t>Peoa</t>
  </si>
  <si>
    <t>H-400-23321-509145</t>
  </si>
  <si>
    <t>Landry's Professional Lawn &amp; Landscape, Inc.</t>
  </si>
  <si>
    <t>8943 Buzbee Drive</t>
  </si>
  <si>
    <t>Plaisance</t>
  </si>
  <si>
    <t>melissasaia@landryslandscape.com</t>
  </si>
  <si>
    <t>P-400-23230-278065</t>
  </si>
  <si>
    <t>Employer will make all deductions from the worker's paycheck required by law.  Option to deduct rent and transportation from pay, rent $240 and transport $80 per pay period. Optional deductions will not drop the overall wages below the UDSOL minimum, if the deductions are too great they will not be made.</t>
  </si>
  <si>
    <t>https://www.louisianaworks.net</t>
  </si>
  <si>
    <t>Nate</t>
  </si>
  <si>
    <t>LE SUEUR</t>
  </si>
  <si>
    <t>Norcross</t>
  </si>
  <si>
    <t>GWINNETT</t>
  </si>
  <si>
    <t>Tucker</t>
  </si>
  <si>
    <t>DEKALB</t>
  </si>
  <si>
    <t>H-400-23318-499782</t>
  </si>
  <si>
    <t>James Landscaping, Inc.</t>
  </si>
  <si>
    <t>604 Katy Road</t>
  </si>
  <si>
    <t>Keller</t>
  </si>
  <si>
    <t>Rhonda</t>
  </si>
  <si>
    <t>Z.</t>
  </si>
  <si>
    <t>office@jameslandscaping.com</t>
  </si>
  <si>
    <t xml:space="preserve">Mon-Thurs. Rain out days made up on Fridays if needed. Overtime varies. Able to lift 50lbs. Must be able to handle tools properly. Drug testing during employment for cause. All drug testing is performed without regard to an employees citizenship or immigration status, and all testing is paid for by the company. See the additional document attached for further details about the administration of our drug testing policy.
</t>
  </si>
  <si>
    <t>Raise/bonus at employer's discretion. Oppty for higher pay based on exp, driver's license, able to communicate w/clients</t>
  </si>
  <si>
    <t>P-400-23187-171947</t>
  </si>
  <si>
    <t>Carrollton</t>
  </si>
  <si>
    <t>Landscape Technician</t>
  </si>
  <si>
    <t>Nick</t>
  </si>
  <si>
    <t>West</t>
  </si>
  <si>
    <t>Tyler</t>
  </si>
  <si>
    <t>H-400-23307-475852</t>
  </si>
  <si>
    <t>Landscaping &amp; Groundskeeping Worker</t>
  </si>
  <si>
    <t>Ruppert Landscape, LLC</t>
  </si>
  <si>
    <t>23601 Laytonsville Road</t>
  </si>
  <si>
    <t>Laytonsville</t>
  </si>
  <si>
    <t>Pohlit</t>
  </si>
  <si>
    <t>Courtney</t>
  </si>
  <si>
    <t>cpohlit@ruppertcompanies.com</t>
  </si>
  <si>
    <t>1243 East Lisburn Rd (Report to Work)</t>
  </si>
  <si>
    <t>Mechanicsburg</t>
  </si>
  <si>
    <t>Harrisburg-Carlisle, PA</t>
  </si>
  <si>
    <t>P-400-23221-249074</t>
  </si>
  <si>
    <t>Optional, shared, furnished housing available to the worker (including: utilities) at a weekly housing rate up to $140; if optional housing is agreed upon by the worker, housing rate will be deducted from worker's paycheck incrementally (weekly).At Employer’s sole discretion: possible cash advances (if applicable/requested by worker, potential deduction from worker’s paycheck).</t>
  </si>
  <si>
    <t>blatz@ruppertcompanies.com</t>
  </si>
  <si>
    <t>CHEROKEE</t>
  </si>
  <si>
    <t>H-400-23334-535011</t>
  </si>
  <si>
    <t>LAWN MASTERS, LLC (LWN124A)</t>
  </si>
  <si>
    <t>4101 TATES CREEK CENTER DR</t>
  </si>
  <si>
    <t>LEXINGTON</t>
  </si>
  <si>
    <t>ASAY</t>
  </si>
  <si>
    <t>4101 TATES CREEK CENTER DR.</t>
  </si>
  <si>
    <t>masay1128@gmail.com</t>
  </si>
  <si>
    <t xml:space="preserve">TOLERATE EXTREME TEMPERATURES, LOUD NOISES; LIFTING HEAVY EQUIPMENT, EXHIBIT STAMINA. EMPLOYER-PAID POST-EMPLOYMENT DRUG TEST MAY BE
ADMINISTERED.
Work days:  M-F, may work Saturdays; schedule and hours vary
Hours per week: 40
Work Schedule: 7 am - 4 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No
Deductions: N/A 
</t>
  </si>
  <si>
    <t>933 National Avenue</t>
  </si>
  <si>
    <t>Lexington-Fayette, KY</t>
  </si>
  <si>
    <t>P-400-23269-381940</t>
  </si>
  <si>
    <t>Lawnmastersky.com</t>
  </si>
  <si>
    <t>H-400-23332-527244</t>
  </si>
  <si>
    <t>First-In-Turf</t>
  </si>
  <si>
    <t>9701 Manchester Rd</t>
  </si>
  <si>
    <t>Stenslokken</t>
  </si>
  <si>
    <t>firstinturf@gmail.com</t>
  </si>
  <si>
    <t>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
Possible offered daily/weekly hours: not including applicable lunch and/or breaks.</t>
  </si>
  <si>
    <t>9701 Manchester Rd (Report to Work)</t>
  </si>
  <si>
    <t>P-400-23191-177161</t>
  </si>
  <si>
    <t>H-400-23307-475838</t>
  </si>
  <si>
    <t>Goodwin Pro Turf, Inc.</t>
  </si>
  <si>
    <t>6945 W. 152nd Terrace</t>
  </si>
  <si>
    <t>Overland Park</t>
  </si>
  <si>
    <t>Program Administrator</t>
  </si>
  <si>
    <t>brittany@goodwinproturf.com</t>
  </si>
  <si>
    <t>6945 W. 152nd Terrace (Report to Work)</t>
  </si>
  <si>
    <t>P-400-23203-208425</t>
  </si>
  <si>
    <t>OCEAN</t>
  </si>
  <si>
    <t>Cleves</t>
  </si>
  <si>
    <t>Julie</t>
  </si>
  <si>
    <t>Sharon</t>
  </si>
  <si>
    <t>Reliable Labor Services, LLC DBA Book-Ends Associates</t>
  </si>
  <si>
    <t xml:space="preserve">Employer will make all deductions from the worker’s paycheck required by law. Optional housing (valued at $125.00 per week) and local convenience travel (valued at $25.00 per week) are available at no cost to the worker. </t>
  </si>
  <si>
    <t>Front Desk Agent</t>
  </si>
  <si>
    <t>West South Dakota nonmetropolitan area</t>
  </si>
  <si>
    <t>H-400-23307-475840</t>
  </si>
  <si>
    <t>Southern Design Irrigation, LLC</t>
  </si>
  <si>
    <t>1122 Hwy. 190 W</t>
  </si>
  <si>
    <t>Port Allen</t>
  </si>
  <si>
    <t>Olen</t>
  </si>
  <si>
    <t>office@southerndesignirrigation.com</t>
  </si>
  <si>
    <t>1122 Hwy. 190 W (Report to Work)</t>
  </si>
  <si>
    <t>WEST BATON ROUGE</t>
  </si>
  <si>
    <t>P-400-23221-251746</t>
  </si>
  <si>
    <t>Zachary</t>
  </si>
  <si>
    <t>Kitchen Staff</t>
  </si>
  <si>
    <t xml:space="preserve">Landscape Laborers </t>
  </si>
  <si>
    <t>Must be 18 due to equipment use.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100lbs (possible 2-person).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t>
  </si>
  <si>
    <t>Lead Landscape Laborer</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</si>
  <si>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provides incidental transportation between worksites as necessary. No daily transportation to/from workers' home and primary worksite. Such transportation complies with all applicable Federal, State, and local laws/regulations.</t>
  </si>
  <si>
    <t>Walterboro</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</si>
  <si>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
</t>
  </si>
  <si>
    <t>COLLETON</t>
  </si>
  <si>
    <t>Northeast South Carolina nonmetropolitan area</t>
  </si>
  <si>
    <t>Temple</t>
  </si>
  <si>
    <t>Paula</t>
  </si>
  <si>
    <t>H-400-23336-539455</t>
  </si>
  <si>
    <t>Shearon Environmental Design of NJ Inc</t>
  </si>
  <si>
    <t>337 Route 31</t>
  </si>
  <si>
    <t>Hopewell</t>
  </si>
  <si>
    <t>Shearon</t>
  </si>
  <si>
    <t>anguyen@shearondesign.com</t>
  </si>
  <si>
    <t>Romero</t>
  </si>
  <si>
    <t>rromero@fewaglobal.org</t>
  </si>
  <si>
    <t>Random drug testing during employment, Pre-employment drug testing required, Drug testing during employment for cause, Post -Accident drug testing, Able to lift 50lbs,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t>
  </si>
  <si>
    <t>HUNTERDON</t>
  </si>
  <si>
    <t>Raise/bonus at employer's discretion. Percentage of health care offered. Percentage of 401K offered.</t>
  </si>
  <si>
    <t>P-400-23199-197933</t>
  </si>
  <si>
    <t xml:space="preserve">none </t>
  </si>
  <si>
    <t>JEFFERSON DAVIS</t>
  </si>
  <si>
    <t>Southwest Louisiana nonmetropolitan area</t>
  </si>
  <si>
    <t>Parker</t>
  </si>
  <si>
    <t>Stanley</t>
  </si>
  <si>
    <t>Kenner</t>
  </si>
  <si>
    <t>Lau</t>
  </si>
  <si>
    <t>H-400-23325-516017</t>
  </si>
  <si>
    <t>Yellowstone Landscape - Southeast, LLC_Columbia</t>
  </si>
  <si>
    <t>140 Dahlia St</t>
  </si>
  <si>
    <t>140 Dahlia St,</t>
  </si>
  <si>
    <t>Columbia, SC</t>
  </si>
  <si>
    <t>P-400-23236-293083</t>
  </si>
  <si>
    <t>Emplr makes all payroll deductions required by law. Emplr does not envision other workforce-wide payroll deductions. If req’d, Emplr helps non-local wrkrs secure optional wrkr-paid lodging. Emplr deducts reasonable FMV cost of rent/utilities based on # of occupants for wrkrs electing to reside in Emplr-provided housing (cost TBD). Voluntary advances and/or loans made to wrkrs, if any, may be repaid by pre-authorized payroll deductions. Emplr will deduct for reasonable cost of negligent damage to lodging facilities. Emplr may deduct retirement/savings plan contrib and/or health insurance prems for wrkrs voluntarily participating in plan(s). Uniform provided free. Emplr may deduct cost for voluntary purchase of additional uniforms for wrkr's benefit.  Emplr may also deduct for voluntary boot purchase program. Emplr provides incidental transpo between worksite. Emplr offers free daily transpo to/from worksite from designated pick-up location. Use of transpo is voluntary.</t>
  </si>
  <si>
    <t>H-400-23289-432885</t>
  </si>
  <si>
    <t>Carnival Attendant</t>
  </si>
  <si>
    <t>Kissel Entertainment, LLC.</t>
  </si>
  <si>
    <t>3748 South State Line Street</t>
  </si>
  <si>
    <t>Okeana</t>
  </si>
  <si>
    <t>Kissel</t>
  </si>
  <si>
    <t>Tammy</t>
  </si>
  <si>
    <t>Jean</t>
  </si>
  <si>
    <t>tammykissel@yahoo.com</t>
  </si>
  <si>
    <t xml:space="preserve">Hours, schedule, and days vary widely.  
Typically Wed-Sun, 4pm  11pm.  
Often 35-45 hours per week, may go up to 45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Subject to discharge for cause.  
</t>
  </si>
  <si>
    <t>17606 US Highway 31 North</t>
  </si>
  <si>
    <t>Clanton</t>
  </si>
  <si>
    <t>CHILTON</t>
  </si>
  <si>
    <t>P-400-23192-180041</t>
  </si>
  <si>
    <t>Optional mobile housing ($125/week)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t>
  </si>
  <si>
    <t>kisselentertainment.com/employment</t>
  </si>
  <si>
    <t>Woodstock</t>
  </si>
  <si>
    <t>Gabriel</t>
  </si>
  <si>
    <t>H-400-23336-539067</t>
  </si>
  <si>
    <t>STONE MASONS</t>
  </si>
  <si>
    <t>FUSCHETTO &amp; SON INC</t>
  </si>
  <si>
    <t>153 OLD COUNTRY ROAD</t>
  </si>
  <si>
    <t>MELVILLE</t>
  </si>
  <si>
    <t>FUSCHETTO</t>
  </si>
  <si>
    <t>ANGELO</t>
  </si>
  <si>
    <t>6 MONTHS EXPERIENCE REQUIRED, DAYS VARY MONDAY-SATURDAY.</t>
  </si>
  <si>
    <t>P-400-23188-172691</t>
  </si>
  <si>
    <t>ALECIA@FUSCHETTOANDSON.COM</t>
  </si>
  <si>
    <t>Coraopolis</t>
  </si>
  <si>
    <t>Character limit:overtime is not guaranteed but if worked rate is paid at time and a half  per hour above 40 hou</t>
  </si>
  <si>
    <t>Coating, Painting, and Spraying Machine Setters, Operators, and Tenders</t>
  </si>
  <si>
    <t>Crew Members</t>
  </si>
  <si>
    <t>7197 US Hwy 11</t>
  </si>
  <si>
    <t>Lumberton</t>
  </si>
  <si>
    <t>Jenkins</t>
  </si>
  <si>
    <t>Deborah</t>
  </si>
  <si>
    <t>msdeltashows@gmail.com</t>
  </si>
  <si>
    <t xml:space="preserve">Lumberton </t>
  </si>
  <si>
    <t>LAMAR</t>
  </si>
  <si>
    <t>Hattiesburg, MS</t>
  </si>
  <si>
    <t>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</si>
  <si>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OKALOOSA</t>
  </si>
  <si>
    <t>Runyon</t>
  </si>
  <si>
    <t>Chief Administrative Officer</t>
  </si>
  <si>
    <t>Gibsonton</t>
  </si>
  <si>
    <t>HIGHLANDS</t>
  </si>
  <si>
    <t>Sebring, FL</t>
  </si>
  <si>
    <t>Production Worker Helpers</t>
  </si>
  <si>
    <t>Dennis</t>
  </si>
  <si>
    <t>Victor</t>
  </si>
  <si>
    <t>H-400-23305-471017</t>
  </si>
  <si>
    <t>QUALITY TURF FARMS LC</t>
  </si>
  <si>
    <t>18675 HIGHWAY 35</t>
  </si>
  <si>
    <t>SWEENY</t>
  </si>
  <si>
    <t>MELISSA</t>
  </si>
  <si>
    <t>KAY</t>
  </si>
  <si>
    <t>OFFICE MANAGER</t>
  </si>
  <si>
    <t>BRAZORIA</t>
  </si>
  <si>
    <t>P-400-23201-204321</t>
  </si>
  <si>
    <t>BOSTONB@QUALITYTURF.COM</t>
  </si>
  <si>
    <t>H-400-23276-408265</t>
  </si>
  <si>
    <t>Restaurant Worker</t>
  </si>
  <si>
    <t>Crawfish Hole #2, Inc.</t>
  </si>
  <si>
    <t xml:space="preserve">12903 Highway 371 </t>
  </si>
  <si>
    <t>Minden</t>
  </si>
  <si>
    <t>244 Chris Drive</t>
  </si>
  <si>
    <t>jmfc62@yahoo.com</t>
  </si>
  <si>
    <t>Toups</t>
  </si>
  <si>
    <t>140 North Second Street</t>
  </si>
  <si>
    <t>Eunice</t>
  </si>
  <si>
    <t>danielle@dtyounglaw.com</t>
  </si>
  <si>
    <t>Danielle Toups Young, Attorney at Law, L.L.C.</t>
  </si>
  <si>
    <t xml:space="preserve">Must be able to lift 50 pounds (crawfish sack/crawfish boiling pot)
</t>
  </si>
  <si>
    <t>12903 Highway 371</t>
  </si>
  <si>
    <t>WEBSTER</t>
  </si>
  <si>
    <t>Employee may make above hourly wage rate based on work experience and/or performance. Paid Bi-weekly.</t>
  </si>
  <si>
    <t>P-400-23152-070647</t>
  </si>
  <si>
    <t>Employer will make all deductions from pay as required by the law. Employer will deduct $50.00 per week if the employee
chooses to live in the employer provided housing. Employer Provided Housing is not mandatory.</t>
  </si>
  <si>
    <t>H-400-23293-446341</t>
  </si>
  <si>
    <t>Aimbridge Employee Services</t>
  </si>
  <si>
    <t>Windsor Court Hotel Partners, LLC</t>
  </si>
  <si>
    <t>300 Gravier St.</t>
  </si>
  <si>
    <t>New Orleans</t>
  </si>
  <si>
    <t>Gregory</t>
  </si>
  <si>
    <t>gcurtis@thewindsorcourt.com</t>
  </si>
  <si>
    <t>BRANDON</t>
  </si>
  <si>
    <t>ERIC</t>
  </si>
  <si>
    <t xml:space="preserve">365 CANAL ST. </t>
  </si>
  <si>
    <t>STE. 2000</t>
  </si>
  <si>
    <t>NEW ORLEANS</t>
  </si>
  <si>
    <t>ORLEANS PARISH</t>
  </si>
  <si>
    <t>davisb@phelps.com</t>
  </si>
  <si>
    <t>PHELPS DUNBAR LLP</t>
  </si>
  <si>
    <t>P-400-23222-254586</t>
  </si>
  <si>
    <t>All required taxes. If employee signs up for benefits (optional), those will be deducted. Amounts will very depending on the benefits chosen. 
Aimbridge will assist workers in securing board, lodging or other facilities. Aimbridge will make available hotel rooms for up to two weeks at no charge. Aimbridge will also assist workers with securing their own housing thereafter.</t>
  </si>
  <si>
    <t>employment@windsorcourthotel.com</t>
  </si>
  <si>
    <t>DBA Munie Greencare Professionals</t>
  </si>
  <si>
    <t>1000 Milburn School Road</t>
  </si>
  <si>
    <t>Caseyville</t>
  </si>
  <si>
    <t>Munie</t>
  </si>
  <si>
    <t>Clare</t>
  </si>
  <si>
    <t>National Account Manager</t>
  </si>
  <si>
    <t xml:space="preserve">Requires three months of previous landscape experience. Must lift/carry 50 lbs., when necessary.  Saturday and Sunday work required, when necessary.  Employer-paid drug testing required of foreign and domestic workers prior to commencing work and post-hire at random, upon suspicion of use, and post-accident. Post-hire background check required of foreign and domestic workers, as company serves federal contract sites.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</si>
  <si>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Kansas nonmetropolitan area</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</si>
  <si>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may deduct health insurance premiums for workers voluntarily participating in plan. Uniform provided at no cost. Employer may deduct cost for voluntary purchase of additional uniforms for worker's benefit.   Employer provides incidental transportation between worksites as necessary. Employer offers free daily transportation to/from worksite from designated pick-up location. Use of transportation is voluntary.</t>
  </si>
  <si>
    <t>mcreek@muniegreencare.com</t>
  </si>
  <si>
    <t>kansasworks.com</t>
  </si>
  <si>
    <t>Moon Township</t>
  </si>
  <si>
    <t>Food Prep Worker</t>
  </si>
  <si>
    <t>Owner/Manager</t>
  </si>
  <si>
    <t>Teresa</t>
  </si>
  <si>
    <t>Singh</t>
  </si>
  <si>
    <t>888 Baldwin Drive</t>
  </si>
  <si>
    <t>U.S. AMERICANS INC</t>
  </si>
  <si>
    <t>76 Mall Inn, Inc.</t>
  </si>
  <si>
    <t>1945 W. 76 Country Blvd.</t>
  </si>
  <si>
    <t>Branson</t>
  </si>
  <si>
    <t>Robinson</t>
  </si>
  <si>
    <t>glennr@grandcountry.com</t>
  </si>
  <si>
    <t>Paule, Camazine &amp; Blumenthal PC</t>
  </si>
  <si>
    <t>TANEY</t>
  </si>
  <si>
    <t>Southwest Missouri nonmetropolitan area</t>
  </si>
  <si>
    <t>Williston</t>
  </si>
  <si>
    <t>PARTNER</t>
  </si>
  <si>
    <t>West North Dakota nonmetropolitan area</t>
  </si>
  <si>
    <t>H-400-23336-539162</t>
  </si>
  <si>
    <t>NURSERY WORKER</t>
  </si>
  <si>
    <t>WARRENS NURSERY INC</t>
  </si>
  <si>
    <t>779 MONTAUK HIGHWAY</t>
  </si>
  <si>
    <t xml:space="preserve">WATER MILL </t>
  </si>
  <si>
    <t>BUSTAMANTE</t>
  </si>
  <si>
    <t>WATER MILL</t>
  </si>
  <si>
    <t>P-400-23192-179132</t>
  </si>
  <si>
    <t>service@warrensnursery.com</t>
  </si>
  <si>
    <t xml:space="preserve">Vice President </t>
  </si>
  <si>
    <t>H-400-23284-423494</t>
  </si>
  <si>
    <t>Structural Metal Fabricator and Fitter</t>
  </si>
  <si>
    <t>Crystal Steel Fabricators, Inc.</t>
  </si>
  <si>
    <t>9317 Old Racetrack Road</t>
  </si>
  <si>
    <t>Delmar</t>
  </si>
  <si>
    <t>Gassaway</t>
  </si>
  <si>
    <t>Alana</t>
  </si>
  <si>
    <t>alana@crystalsteel.net</t>
  </si>
  <si>
    <t xml:space="preserve">Must have experience applying rigging skills. Must have experience using small power tools including a die grinder and a right-angle grinder. Must have experience using torches and welding machines. Must be able to stand for long (3 hours or more) periods. Must be able to lift 50 lb. components.
</t>
  </si>
  <si>
    <t>1011 Frank M Adams Industrial Way</t>
  </si>
  <si>
    <t>Federalsburg</t>
  </si>
  <si>
    <t>P-400-23236-294675</t>
  </si>
  <si>
    <t>JAMES</t>
  </si>
  <si>
    <t>Saenz</t>
  </si>
  <si>
    <t>139 Dover Circle</t>
  </si>
  <si>
    <t>Norfolk</t>
  </si>
  <si>
    <t>fernando@workforce-advantage.com</t>
  </si>
  <si>
    <t>Workforce Advantage</t>
  </si>
  <si>
    <t>Only those required by law</t>
  </si>
  <si>
    <t>6747 Foxbriar Dr</t>
  </si>
  <si>
    <t>Savannah, GA</t>
  </si>
  <si>
    <t>OTTAWA</t>
  </si>
  <si>
    <t>Bachelor's</t>
  </si>
  <si>
    <t>Home Health Aide</t>
  </si>
  <si>
    <t>Home Health Aides</t>
  </si>
  <si>
    <t>Conroe</t>
  </si>
  <si>
    <t>Week</t>
  </si>
  <si>
    <t>Rockledge</t>
  </si>
  <si>
    <t>BREVARD</t>
  </si>
  <si>
    <t>Palm Bay-Melbourne-Titusville, FL</t>
  </si>
  <si>
    <t>Manuel</t>
  </si>
  <si>
    <t>Providence-Warwick, RI-MA</t>
  </si>
  <si>
    <t>Rey Hernandez Racing Stable LLC</t>
  </si>
  <si>
    <t>2220 Wilmington Ln</t>
  </si>
  <si>
    <t>Rey</t>
  </si>
  <si>
    <t>hernandezrey337@gmail.com</t>
  </si>
  <si>
    <t>Churchill Downs</t>
  </si>
  <si>
    <t>700 Central Ave</t>
  </si>
  <si>
    <t>H-400-23307-476927</t>
  </si>
  <si>
    <t>Elite Lawn &amp; Landscaping LLC</t>
  </si>
  <si>
    <t>4412 West Ave.</t>
  </si>
  <si>
    <t>Suite #200</t>
  </si>
  <si>
    <t>Moczygemba</t>
  </si>
  <si>
    <t>diana@eliteprolawn.com</t>
  </si>
  <si>
    <t xml:space="preserve">Monday-Friday, some Saturdays required, schedule varies, start/end times vary, additional overtime varies. Able to lift 50lbs. Must be able to work in excessive heat. Pre-employment drug testing required;Post-Accident Drug Testing. 
All drug testing is performed without regard to an employees citizenship or immigration status, and all testing is paid for by the company. See the additional document attached for further details about the administration of our drug testing policy.
</t>
  </si>
  <si>
    <t>Potential for raise/bonus at employer's discretion. Opportunity to earn more based on exp, tenure, or job performance.</t>
  </si>
  <si>
    <t>P-400-23171-127406</t>
  </si>
  <si>
    <t>Employer may make payroll deductions at employee's request.
Employer facilitates voluntary housing arrangements upon worker request along with corresponding payroll deductions, $72.50-$130/weekly for rent and utilities.</t>
  </si>
  <si>
    <t>H-400-23321-510099</t>
  </si>
  <si>
    <t>DISHWASHER</t>
  </si>
  <si>
    <t>BARTON CREEK RESORT, LLC</t>
  </si>
  <si>
    <t>OMNI BARTON CREEK RESORT &amp; SPA</t>
  </si>
  <si>
    <t>8212 BARTON CLUB DRIVE</t>
  </si>
  <si>
    <t xml:space="preserve">AUSTIN </t>
  </si>
  <si>
    <t>McGregor</t>
  </si>
  <si>
    <t>Nadya</t>
  </si>
  <si>
    <t>nadya.mcgregor@OmniHotels.com</t>
  </si>
  <si>
    <t xml:space="preserve">No minimum education or experience required. 
Must pass a post-employment criminal background check,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</si>
  <si>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P-400-23171-129233</t>
  </si>
  <si>
    <t xml:space="preserve">A single workweek will be used in computing wages due. Workers will be paid bi-weekly. 
Employer will make all deductions from the worker's paycheck required by law. 
Optional employee-shared housing available, including utilities, at approx. $125 per week. A non-refundable housing deposit of $50 is required if the employee elects housing. Housing and deposit are available for payroll deduction if the employee elects. Public transportation available near worksite. One optional meal is available per shift at no cost to employee. 
</t>
  </si>
  <si>
    <t>Graders and Sorters, Agricultural Products</t>
  </si>
  <si>
    <t>Spring Valley</t>
  </si>
  <si>
    <t>Denkers Property Maintenance, LLC.</t>
  </si>
  <si>
    <t>1740 W 1500 S</t>
  </si>
  <si>
    <t>Denkers</t>
  </si>
  <si>
    <t>blake.denkers@q.com</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</si>
  <si>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t>
  </si>
  <si>
    <t>H-400-23307-475816</t>
  </si>
  <si>
    <t>Peat &amp; Son Corp</t>
  </si>
  <si>
    <t>32 Old Country Road</t>
  </si>
  <si>
    <t>Westhampton</t>
  </si>
  <si>
    <t>Tuccillo</t>
  </si>
  <si>
    <t>P-400-23184-163557</t>
  </si>
  <si>
    <t>peatnson.com</t>
  </si>
  <si>
    <t>Georgetown</t>
  </si>
  <si>
    <t>H-400-23336-539139</t>
  </si>
  <si>
    <t xml:space="preserve">MR LANDSCAPE INC </t>
  </si>
  <si>
    <t>601 CHESTNUT RIDGE ROAD</t>
  </si>
  <si>
    <t>NEW CITY</t>
  </si>
  <si>
    <t>STEIN</t>
  </si>
  <si>
    <t>STEPHEN</t>
  </si>
  <si>
    <t>601 CHESTRIDGE ROAD</t>
  </si>
  <si>
    <t>ROCKLAND</t>
  </si>
  <si>
    <t>P-400-23198-193503</t>
  </si>
  <si>
    <t>GRASS626@AOL.COM</t>
  </si>
  <si>
    <t>Adamolekun</t>
  </si>
  <si>
    <t>Wichita Concrete Pipe, Inc.</t>
  </si>
  <si>
    <t>221 West 37th Street North</t>
  </si>
  <si>
    <t>Werth</t>
  </si>
  <si>
    <t xml:space="preserve">Brad </t>
  </si>
  <si>
    <t>Senior Vice President</t>
  </si>
  <si>
    <t>bradw@wichitaconcretepipe.com</t>
  </si>
  <si>
    <t xml:space="preserve">Must be able to lift and carry 75lbs for 50 yards. Must be able to handle temperature extremes. Some weekend work.
</t>
  </si>
  <si>
    <t>Lisko</t>
  </si>
  <si>
    <t>Downs</t>
  </si>
  <si>
    <t>Lesli</t>
  </si>
  <si>
    <t>ldowns@southernimpact.com</t>
  </si>
  <si>
    <t>seasonaljobs.dol.gov</t>
  </si>
  <si>
    <t>H-400-23318-500005</t>
  </si>
  <si>
    <t>Focal Pointe of Kansas City, LLC</t>
  </si>
  <si>
    <t>9317 Woodend Road</t>
  </si>
  <si>
    <t>lstoner@yourfocalpointe.com</t>
  </si>
  <si>
    <t>WYANDOTTE</t>
  </si>
  <si>
    <t>P-400-23226-263199</t>
  </si>
  <si>
    <t>Employer will make all deductions from the worker's paycheck required by law.  Optional elective uniform Cleaning deduction $18.50 per pay period. Optional deductions will not drop the overall wages below the UDSOL minimum, if the deductions are too great they will not be made. (Note for the CO: Section F.d item 4 is marked yes as the employer will assist workers, they are not providing housing)</t>
  </si>
  <si>
    <t>https://www.KansasWorks.com</t>
  </si>
  <si>
    <t>Barista</t>
  </si>
  <si>
    <t>Baristas</t>
  </si>
  <si>
    <t>H-400-23321-508569</t>
  </si>
  <si>
    <t>Bartenfelder Landscape Service, Inc.</t>
  </si>
  <si>
    <t>3341 Forge Hill Road</t>
  </si>
  <si>
    <t>Bartenfelder, Jr.</t>
  </si>
  <si>
    <t>tom@bartenfelder.com</t>
  </si>
  <si>
    <t>3341 Forge Hill Road (Report to Work)</t>
  </si>
  <si>
    <t>P-400-23220-247220</t>
  </si>
  <si>
    <t>Optional, shared furnished housing available to the worker at a monthly housing rate up to $400.00; if optional housing is agreed upon by the worker, monthly housing rate will be deducted from worker's paycheck incrementally (weekly).At Employer’s sole discretion: possible cash advances (if applicable/requested by worker, potential deduction from worker’s paycheck).</t>
  </si>
  <si>
    <t>jricks@bartenfelder.com</t>
  </si>
  <si>
    <t>H-400-23307-475882</t>
  </si>
  <si>
    <t>Hentges Tree Service, Inc.</t>
  </si>
  <si>
    <t>5905 Old Lohman Road</t>
  </si>
  <si>
    <t>Jefferson City</t>
  </si>
  <si>
    <t>Hentges</t>
  </si>
  <si>
    <t>jameshentges@hentgestree.com</t>
  </si>
  <si>
    <t xml:space="preserve">Must be 18 due to insurance. Must show proof of legal authorization to work in the United States. Drug/alcohol/tobacco free work zone. Must walk substantially (up to 15 miles/day), also stoop, bend while carrying a pack (up to 50lbs) thru rough terrain (non-trail).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
</t>
  </si>
  <si>
    <t>5905 Old Lohman Road (Report to Work)</t>
  </si>
  <si>
    <t>COLE</t>
  </si>
  <si>
    <t>Jefferson City, MO</t>
  </si>
  <si>
    <t>P-400-23187-171852</t>
  </si>
  <si>
    <t>Optional, shared furnished housing available to the worker at a monthly housing rate up to $500; if optional housing is agreed upon by the worker, monthly housing rate will be deducted from worker's paycheck incrementally (bi-weekly).</t>
  </si>
  <si>
    <t>info@hentgestree.com</t>
  </si>
  <si>
    <t>Mario</t>
  </si>
  <si>
    <t>111 Friery Road  (Report to Work)</t>
  </si>
  <si>
    <t>CALHOUN</t>
  </si>
  <si>
    <t>MANAGING MEMBER</t>
  </si>
  <si>
    <t>LUCAS</t>
  </si>
  <si>
    <t>Toledo, OH</t>
  </si>
  <si>
    <t>Wildflower Nursery, Inc.</t>
  </si>
  <si>
    <t>6245 Hwy 17 N.</t>
  </si>
  <si>
    <t>P. O. Box 445, Isle of Palms, SC 29451</t>
  </si>
  <si>
    <t>jparker815@aol.com</t>
  </si>
  <si>
    <t>P-400-23200-201482</t>
  </si>
  <si>
    <t>info@pls6.com</t>
  </si>
  <si>
    <t>https://www.pleasantlandscapes.com/</t>
  </si>
  <si>
    <t>H-400-23311-483194</t>
  </si>
  <si>
    <t>Recreation program instructor, soccer</t>
  </si>
  <si>
    <t>Recreation Workers</t>
  </si>
  <si>
    <t>MAESTRO SOCCER LLC</t>
  </si>
  <si>
    <t>812 CENTRAL AVENUE, SUITE 4</t>
  </si>
  <si>
    <t>WESTFIELD</t>
  </si>
  <si>
    <t>BUCHANAN</t>
  </si>
  <si>
    <t>FRASER</t>
  </si>
  <si>
    <t>812 CENTRAL AVENUE</t>
  </si>
  <si>
    <t>SUITE 4</t>
  </si>
  <si>
    <t>jim@maestrosoccer.com</t>
  </si>
  <si>
    <t>SKLAR</t>
  </si>
  <si>
    <t>108 BAKER STREET</t>
  </si>
  <si>
    <t>Suite 102</t>
  </si>
  <si>
    <t>Maplewood</t>
  </si>
  <si>
    <t>sklar@stevensklar.com</t>
  </si>
  <si>
    <t>Pusin &amp; Sklar, LLC</t>
  </si>
  <si>
    <t>10 Mountain Road</t>
  </si>
  <si>
    <t>Mountain Park</t>
  </si>
  <si>
    <t>Basking Ridge</t>
  </si>
  <si>
    <t>P-400-23272-396028</t>
  </si>
  <si>
    <t>If employee so chooses, employer provides car use at a charge to the employee, to be deducted from the employee's
paycheck, at the rate of $300/biweekly, which covers car use and auto insurance but not gas costs.</t>
  </si>
  <si>
    <t>H-400-23307-475874</t>
  </si>
  <si>
    <t>The Greenwood Group, LLC</t>
  </si>
  <si>
    <t>4577 Hwy Z</t>
  </si>
  <si>
    <t>Wentzville</t>
  </si>
  <si>
    <t>Schepis</t>
  </si>
  <si>
    <t>Joan</t>
  </si>
  <si>
    <t>President/CFO</t>
  </si>
  <si>
    <t>joan@thegreenwoodgroup.net</t>
  </si>
  <si>
    <t>4577 Hwy Z (Report to Work)</t>
  </si>
  <si>
    <t>P-400-23192-179116</t>
  </si>
  <si>
    <t>Optional, shared housing available to the worker at a monthly housing rate up to $320; if optional housing is agreed upon by the worker, monthly housing rate will be deducted from worker's paycheck incrementally (bi-weekly).</t>
  </si>
  <si>
    <t>info@thegreenwoodgroup.net</t>
  </si>
  <si>
    <t>Carson</t>
  </si>
  <si>
    <t>Carpenter</t>
  </si>
  <si>
    <t>H-400-23321-508555</t>
  </si>
  <si>
    <t>Pro Outdoor, Inc</t>
  </si>
  <si>
    <t>304 TCW COURT</t>
  </si>
  <si>
    <t>LAKE ST. LOUIS</t>
  </si>
  <si>
    <t>LAUER</t>
  </si>
  <si>
    <t>JON</t>
  </si>
  <si>
    <t>JON.LAUER@PROOUTDOOR.COM</t>
  </si>
  <si>
    <t xml:space="preserve">Post-employment drug test required, cost paid by employer and applied equally to all workers, U.S. and Foreign/H-2B. Must be able to work a 6-day schedule, including weekends and holidays as required. Applicants must complete an employment application. </t>
  </si>
  <si>
    <t>12852 Maurer Industrial Drive</t>
  </si>
  <si>
    <t>Sunset Hills</t>
  </si>
  <si>
    <t>P-400-23206-212517</t>
  </si>
  <si>
    <t xml:space="preserve">Employer will make all deductions from the worker's paycheck required by law. </t>
  </si>
  <si>
    <t>https://jobs.mo.gov</t>
  </si>
  <si>
    <t>Chief Financial Officer</t>
  </si>
  <si>
    <t>PORTSMOUTH CITY</t>
  </si>
  <si>
    <t>H-400-23285-428944</t>
  </si>
  <si>
    <t>ZION MOUNTAIN RESORT INC.</t>
  </si>
  <si>
    <t>9065 W HIGHWAY 9</t>
  </si>
  <si>
    <t>MT CARMEL</t>
  </si>
  <si>
    <t>MCLAWS</t>
  </si>
  <si>
    <t>STACY</t>
  </si>
  <si>
    <t>SECRETARY</t>
  </si>
  <si>
    <t>stacy@mclaws.org</t>
  </si>
  <si>
    <t>GONDIM</t>
  </si>
  <si>
    <t>MARCELO</t>
  </si>
  <si>
    <t>2121 AVENUE OF THE STARS</t>
  </si>
  <si>
    <t>STE 700</t>
  </si>
  <si>
    <t>info@gondim-law.com</t>
  </si>
  <si>
    <t>GONDIM LAW CORP</t>
  </si>
  <si>
    <t>Central Utah nonmetropolitan area</t>
  </si>
  <si>
    <t>P-400-23175-141541</t>
  </si>
  <si>
    <t xml:space="preserve">Make all deductions necessary from pay, as required by federal and state laws. </t>
  </si>
  <si>
    <t>Landscapers</t>
  </si>
  <si>
    <t>LINN</t>
  </si>
  <si>
    <t>Cedar Rapids, IA</t>
  </si>
  <si>
    <t>Foley</t>
  </si>
  <si>
    <t>BALDWIN</t>
  </si>
  <si>
    <t>Daphne-Fairhope-Foley, AL</t>
  </si>
  <si>
    <t>Pratt</t>
  </si>
  <si>
    <t>Marcus</t>
  </si>
  <si>
    <t>Jeffery</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</si>
  <si>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No daily transportation to/from workers' home and primary worksite. Such transportation complies with all applicable Federal, State, and local laws/regulations.</t>
  </si>
  <si>
    <t>https://jobs.usnlx.com/secure/emplogin.asp</t>
  </si>
  <si>
    <t>Debra</t>
  </si>
  <si>
    <t>MUILENBURG</t>
  </si>
  <si>
    <t>VIRGINIA</t>
  </si>
  <si>
    <t>3043 W DUMONT DR</t>
  </si>
  <si>
    <t>Deductions as required by law</t>
  </si>
  <si>
    <t>Housekeeping Supervisor</t>
  </si>
  <si>
    <t>First-Line Supervisors of Housekeeping and Janitorial Workers</t>
  </si>
  <si>
    <t>Front Desk Clerks</t>
  </si>
  <si>
    <t>GRANT</t>
  </si>
  <si>
    <t>East South Dakota nonmetropolitan area</t>
  </si>
  <si>
    <t>Wagner</t>
  </si>
  <si>
    <t>BOULDER</t>
  </si>
  <si>
    <t>Boulder, CO</t>
  </si>
  <si>
    <t>Hilton, Inc.</t>
  </si>
  <si>
    <t>Holiday Inn</t>
  </si>
  <si>
    <t>11127 Front Beach Road</t>
  </si>
  <si>
    <t>Campisi</t>
  </si>
  <si>
    <t>Phyllis</t>
  </si>
  <si>
    <t>phyllis.campisi@hipcbeach.com</t>
  </si>
  <si>
    <t>H-400-23289-433471</t>
  </si>
  <si>
    <t xml:space="preserve">AC WOOD CONTRACTING INC </t>
  </si>
  <si>
    <t xml:space="preserve">545 S MAIN ST SUITE 5 </t>
  </si>
  <si>
    <t>LANESBOROUGH</t>
  </si>
  <si>
    <t>WOOD</t>
  </si>
  <si>
    <t>ADAM</t>
  </si>
  <si>
    <t xml:space="preserve">OWNER </t>
  </si>
  <si>
    <t>545 S MAIN ST SUITE 5</t>
  </si>
  <si>
    <t>LISA@ACWOODCONTRACTING.COM</t>
  </si>
  <si>
    <t>PLEASE SEE ADDENDUM</t>
  </si>
  <si>
    <t xml:space="preserve">LANESBOROUGH </t>
  </si>
  <si>
    <t>Pittsfield, MA</t>
  </si>
  <si>
    <t>P-400-23191-176035</t>
  </si>
  <si>
    <t>ALL STATE AND FEDERAL DEDUCTIONS WILL BE TAKEN FROM PAYCHECK</t>
  </si>
  <si>
    <t>ADAM@ACWOODCONTRACTING.COM</t>
  </si>
  <si>
    <t>Amusement and Recreation Attendant</t>
  </si>
  <si>
    <t>Plano</t>
  </si>
  <si>
    <t>Truck Driver</t>
  </si>
  <si>
    <t>2425 Fountain View</t>
  </si>
  <si>
    <t>Ability to lift 20lbs
40 hrs/wk, work 5 days/wk, 9am-5pm, M-Sun, workdays/hours may vary depending on hotel capacity</t>
  </si>
  <si>
    <t>P-400-23207-217679</t>
  </si>
  <si>
    <t>H-400-23321-509049</t>
  </si>
  <si>
    <t>Moore Property Services, Inc.</t>
  </si>
  <si>
    <t>Grassperson Lawn Care &amp; Landscape</t>
  </si>
  <si>
    <t>1565 West Main St Ste 208-255</t>
  </si>
  <si>
    <t>jack@grassperson.com</t>
  </si>
  <si>
    <t>Must be available to work Saturdays and later hours when necessary.</t>
  </si>
  <si>
    <t>800 E. State Hwy 121 Business</t>
  </si>
  <si>
    <t>P-400-23228-269099</t>
  </si>
  <si>
    <t>Employer will make all deductions from the worker's paycheck required by law. (Note for the CO: Section F.d item 4 is marked yes as the employer will assist workers, they are not providing housing)</t>
  </si>
  <si>
    <t>BATH</t>
  </si>
  <si>
    <t>H-400-23307-475839</t>
  </si>
  <si>
    <t>Edge Form, LLC</t>
  </si>
  <si>
    <t>11969 N Harrells Ferry Road</t>
  </si>
  <si>
    <t>sdavis@edge-form.com</t>
  </si>
  <si>
    <t>11969 N Harrells Ferry Road (Report to Work)</t>
  </si>
  <si>
    <t xml:space="preserve">Baton Rouge </t>
  </si>
  <si>
    <t>P-400-23191-178666</t>
  </si>
  <si>
    <t>Suite C</t>
  </si>
  <si>
    <t>HALL</t>
  </si>
  <si>
    <t>Gainesville, GA</t>
  </si>
  <si>
    <t>Hayes</t>
  </si>
  <si>
    <t xml:space="preserve">The Petitioner will consider for employment any person who possesses at least six (6) months of experience in a fine-dining or high-volume environment at a high-end restaurant, resort, or private club.
</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</si>
  <si>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offers free daily transportation to/from worksite from designated pick-up location. Use of transportation is voluntary. Employer provides incidental transportation between worksites as necessary. Such transportation complies with all applicable Federal, State, and local laws/regulations.</t>
  </si>
  <si>
    <t>H-400-23282-418660</t>
  </si>
  <si>
    <t>IB Reforestation, LLC</t>
  </si>
  <si>
    <t>104 Queens Gate Ct</t>
  </si>
  <si>
    <t>Ibarra</t>
  </si>
  <si>
    <t>German</t>
  </si>
  <si>
    <t>ibreforestation@yahoo.com</t>
  </si>
  <si>
    <t>104 Queens Gate Ct (Report to Work)</t>
  </si>
  <si>
    <t>P-400-23201-203914</t>
  </si>
  <si>
    <t>Rowley</t>
  </si>
  <si>
    <t>GRAYS HARBOR</t>
  </si>
  <si>
    <t>Western Washington nonmetropolitan area</t>
  </si>
  <si>
    <t>Hiel Trucking Incorporated</t>
  </si>
  <si>
    <t>22842  1L Hwy 41</t>
  </si>
  <si>
    <t>Prairie City</t>
  </si>
  <si>
    <t>Hiel</t>
  </si>
  <si>
    <t>Travis</t>
  </si>
  <si>
    <t>22842 1L Hwy 41</t>
  </si>
  <si>
    <t>PO Box 110 1L Hwy 4</t>
  </si>
  <si>
    <t>thiel@hiels.com</t>
  </si>
  <si>
    <t>22842 IL Highway 41</t>
  </si>
  <si>
    <t>MCDONOUGH</t>
  </si>
  <si>
    <t>H-400-23334-533645</t>
  </si>
  <si>
    <t>Epic Landscapes and Maintenance LLC (EPC124A)</t>
  </si>
  <si>
    <t>978 South Sandbar Way</t>
  </si>
  <si>
    <t>Spanish Fork</t>
  </si>
  <si>
    <t>Nic</t>
  </si>
  <si>
    <t>nic.epiclandscapes@gmail.com</t>
  </si>
  <si>
    <t>Must be able to tolerate extreme temperatures, loud noises; lift heavy equipment up to 50 lbs. and exhibit stamina.  Operate equipment while sober. Employer-paid post-employment drug test may be administered.
Work days:  Mon-Fri; possible weekends
Hours per week: 40
Work Schedule: 7:30 AM - 4 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All tools necessary to perform job will be provided by employer
Board, Lodging or Other Facilities provided?:   No</t>
  </si>
  <si>
    <t>84 W. Arrowhead Trail</t>
  </si>
  <si>
    <t xml:space="preserve">"Employer may offer a raise or bonus depending on experience and merit." </t>
  </si>
  <si>
    <t>P-400-23244-317693</t>
  </si>
  <si>
    <t xml:space="preserve">N/A </t>
  </si>
  <si>
    <t>Landscape Consultants and Contractors, Inc.</t>
  </si>
  <si>
    <t>10000 Havana Street</t>
  </si>
  <si>
    <t>Leet</t>
  </si>
  <si>
    <t>Food &amp; Beverage Server</t>
  </si>
  <si>
    <t>Trujillo</t>
  </si>
  <si>
    <t>Elaine</t>
  </si>
  <si>
    <t>PO Box 3228</t>
  </si>
  <si>
    <t>1775 Graham Avenue</t>
  </si>
  <si>
    <t>elaine@laborservicesinternational.com</t>
  </si>
  <si>
    <t>Labor Services International, LLC</t>
  </si>
  <si>
    <t>Breakfast and Room Attendant</t>
  </si>
  <si>
    <t>Sleeping Bear Inc</t>
  </si>
  <si>
    <t>Haily</t>
  </si>
  <si>
    <t xml:space="preserve">Must be available to work all shifts: 8am - 3:30 pm and/or 3pm to 10:30 pm. Saturday and Sunday work required, when necessary.  Must lift/carry 50 lbs when necessary and frequently work on hands and knees.
</t>
  </si>
  <si>
    <t>GREENUP</t>
  </si>
  <si>
    <t>Huntington-Ashland, WV-KY-OH</t>
  </si>
  <si>
    <t>OGUNQUIT</t>
  </si>
  <si>
    <t>2015 Ahrens Street</t>
  </si>
  <si>
    <t>Salinas</t>
  </si>
  <si>
    <t>Diana</t>
  </si>
  <si>
    <t>HR Administrator</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</si>
  <si>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Employer may deduct health insurance premiums for workers voluntarily participating in plan.    Employer provides incidental transportation between worksites as necessary. No daily transportation to/from workers' home and primary worksite. Such transportation complies with all applicable Federal, State, and local laws/regulations.</t>
  </si>
  <si>
    <t>dsalinas@bdgtrees.com</t>
  </si>
  <si>
    <t>H-400-23307-478234</t>
  </si>
  <si>
    <t>Front Desk</t>
  </si>
  <si>
    <t>No minimum education or experience required. 
Must pass a pre-employment criminal background check, paid by employer and applied equally to all workers, U.S. and foreign/H-2B.
Must be able to work weekends and holidays. 
Applicants must complete an employment application. 
Must be able to work in a non-climate-controlled environment.
Must be able to work in severe inclement weather and varying degrees of extreme temperature.
Must be able to be exposed to various industrial chemicals, cleaning agents, etc.
Must be able to be exposed to strong odors, and loud noise levels.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$59.00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t>
  </si>
  <si>
    <t>P-400-23191-176989</t>
  </si>
  <si>
    <t xml:space="preserve">A single workweek will be used in computing wages due. Workers will be paid weekly.
Employer will make all deductions from the worker's paycheck required by law. Optional employee only shared housing available onsite, including utilities, at approximately $100 per week. Housing cost payroll deducted if worker elects.
Public transportation is located in front of worksite. Employee is responsible for their own transportation to and from the worksite. 
</t>
  </si>
  <si>
    <t>Chattanooga, TN-GA</t>
  </si>
  <si>
    <t>Bi-Weekly</t>
  </si>
  <si>
    <t>WINNEBAGO</t>
  </si>
  <si>
    <t>Rockford, IL</t>
  </si>
  <si>
    <t>H-400-23307-477089</t>
  </si>
  <si>
    <t>GroundSystems, Inc. - Montgomery</t>
  </si>
  <si>
    <t>11315 Williamson Road</t>
  </si>
  <si>
    <t>P.</t>
  </si>
  <si>
    <t>VP Operations</t>
  </si>
  <si>
    <t xml:space="preserve">Must lift/carry 50 lbs., when necessary.  Saturday and Sunday work required, when necessary.  Employer-paid drug testing required of foreign and domestic workers prior to commencing work and post-hire post-accident. Post-hire background check required of foreign and domestic workers. Employer may offer more than the stated work hours depending on weather, business needs, and other conditions. Extreme heat, cold, rain, or drought may affect exact working hours.
</t>
  </si>
  <si>
    <t>2929 Northlawn Avenue</t>
  </si>
  <si>
    <t>P-400-23256-342470</t>
  </si>
  <si>
    <t>K</t>
  </si>
  <si>
    <t>1011 Paige Ct</t>
  </si>
  <si>
    <t>Slidell</t>
  </si>
  <si>
    <t>1011 Paige Court</t>
  </si>
  <si>
    <t>Shawn@allstarservices.us</t>
  </si>
  <si>
    <t xml:space="preserve">Must be able to lift 30 lbs
</t>
  </si>
  <si>
    <t>Destin</t>
  </si>
  <si>
    <t>Pleasant Grove</t>
  </si>
  <si>
    <t>CLINTAR LANDSCAPE MANAGEMENT</t>
  </si>
  <si>
    <t>204 SWEETMANS LANE</t>
  </si>
  <si>
    <t>MILLSTONE</t>
  </si>
  <si>
    <t>MURPHY</t>
  </si>
  <si>
    <t>215 WOODWARD ROAD</t>
  </si>
  <si>
    <t>PERRINEVILLE</t>
  </si>
  <si>
    <t>dmurphy@clintar.com</t>
  </si>
  <si>
    <t>Paladina Landscaping &amp; Lawn Care, Inc.</t>
  </si>
  <si>
    <t>324 Forest Grove Road</t>
  </si>
  <si>
    <t>Paladina</t>
  </si>
  <si>
    <t>CEO / President</t>
  </si>
  <si>
    <t>paladinalandscaping@yahoo.com</t>
  </si>
  <si>
    <t>P-400-23171-128081</t>
  </si>
  <si>
    <t xml:space="preserve">Shared housing available to only seasonal full-time employees, not offered to non-employees. Employees may make their own arrangements at their own expense. If they opt to live in employer provided housing rent (utilities included) charged at $50.00/week.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</si>
  <si>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Bartender</t>
  </si>
  <si>
    <t>Houseman</t>
  </si>
  <si>
    <t>Pensacola</t>
  </si>
  <si>
    <t>ESCAMBIA</t>
  </si>
  <si>
    <t>Pensacola-Ferry Pass-Brent, FL</t>
  </si>
  <si>
    <t>Washington</t>
  </si>
  <si>
    <t>All Local, State, &amp; Federal Taxes, including Social Security, &amp; Medicare Taxes will be deducted from employees as required by the law.  If necessary, any advances of pay, loans, and/or rents (where applicable) will be deducted according to a pre-authorized agreement between employer and employee.</t>
  </si>
  <si>
    <t>TALLAHASSEE</t>
  </si>
  <si>
    <t>FLORIDA</t>
  </si>
  <si>
    <t>LEON</t>
  </si>
  <si>
    <t>Tallahassee, FL</t>
  </si>
  <si>
    <t>Kristen</t>
  </si>
  <si>
    <t>CHITTENDEN</t>
  </si>
  <si>
    <t>State and federal taxes</t>
  </si>
  <si>
    <t>H-400-23318-499600</t>
  </si>
  <si>
    <t>Nick's Lawn Care, Inc.</t>
  </si>
  <si>
    <t>4556 E. 575 North</t>
  </si>
  <si>
    <t>Mailing: P.O. Box 751 , Greenwood, IN 46142</t>
  </si>
  <si>
    <t>Whiteland</t>
  </si>
  <si>
    <t>Burger</t>
  </si>
  <si>
    <t xml:space="preserve">Requires three months of previous landscape experience. Must lift/carry 50 lbs., when necessary. Saturday and Sunday work required, when necessary. Employer may offer more than the stated work hours depending on weather, business needs, and other conditions. Extreme heat, cold, rain, or drought may affect exact working hours.
</t>
  </si>
  <si>
    <t>P-400-23215-237621</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</si>
  <si>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may deduct retirement plan contributions for workers voluntarily participating in plan. No daily transportation to/from workers' home and primary worksite. Employer provides incidental transportation between multiple worksites as necessary. Such transportation complies with all applicable Federal, State, and local laws/regulations.</t>
  </si>
  <si>
    <t>Indianapolis</t>
  </si>
  <si>
    <t>BONNEVILLE</t>
  </si>
  <si>
    <t>Idaho Falls, ID</t>
  </si>
  <si>
    <t>H-400-23336-539163</t>
  </si>
  <si>
    <t xml:space="preserve">STEPHEN CARR PROPERTY SERVICES LLC </t>
  </si>
  <si>
    <t>12 CARWIN DRIVE</t>
  </si>
  <si>
    <t>CARR</t>
  </si>
  <si>
    <t>P-400-23193-182940</t>
  </si>
  <si>
    <t>OPTIONAL HOUSING AVAILABLE FOR $140.00/WEEK TO BE DEDUCTED WEEKLY FROM PAYROLL</t>
  </si>
  <si>
    <t>WWW.CARRPROPERTYSERVICES.COM</t>
  </si>
  <si>
    <t>WHITE</t>
  </si>
  <si>
    <t>Oxford</t>
  </si>
  <si>
    <t>Painters, Construction and Maintenance</t>
  </si>
  <si>
    <t>Dan</t>
  </si>
  <si>
    <t>H-400-23320-506574</t>
  </si>
  <si>
    <t>Nate's Tree Service, LLC</t>
  </si>
  <si>
    <t>2220 E. 6th Ave</t>
  </si>
  <si>
    <t>Priest</t>
  </si>
  <si>
    <t>nate@natestreeservice.com</t>
  </si>
  <si>
    <t>Not Applicant</t>
  </si>
  <si>
    <t xml:space="preserve">Post-employment, random, and post-accident drug testing and background checks may be required, at no cost to the worker. The job requires the applicant to be qualified, ready, willing, able, and available to perform during the entire employment at all the designated worksites; and to follow workplace rules.
</t>
  </si>
  <si>
    <t>2220 E. 6TH AVE.</t>
  </si>
  <si>
    <t>PAYNE</t>
  </si>
  <si>
    <t>Northwest Oklahoma nonmetropolitan area</t>
  </si>
  <si>
    <t>P-400-23284-425406</t>
  </si>
  <si>
    <t>Employer will make all deductions from the worker’s paycheck required by law.  Employer will provide housing at no cost to the worker.</t>
  </si>
  <si>
    <t>office@natestreeservice.com</t>
  </si>
  <si>
    <t>H.</t>
  </si>
  <si>
    <t>Member/Owner</t>
  </si>
  <si>
    <t>Stephens</t>
  </si>
  <si>
    <t>Golf Course Superintendent</t>
  </si>
  <si>
    <t>Northeast Virginia nonmetropolitan area</t>
  </si>
  <si>
    <t>Employer makes all payroll deductions required by law. Employer does not envision other workforce-wide payroll deductions. If requested, employer helps non-local workers secure optional worker-paid lodging. Employer may deduct reasonable costs for daily transportation to/from worksite from designated pick-up location. Use of employer-provided transportation is voluntary.</t>
  </si>
  <si>
    <t>H-400-23336-539670</t>
  </si>
  <si>
    <t>Perficut Companies, Inc. - Omaha</t>
  </si>
  <si>
    <t>1426 9th Ave.</t>
  </si>
  <si>
    <t>Mailing: P.O. Box 918 , Ankeny, IA 50021</t>
  </si>
  <si>
    <t>Council Bluffs</t>
  </si>
  <si>
    <t>McGuire</t>
  </si>
  <si>
    <t>Sheila</t>
  </si>
  <si>
    <t>Employee Relations Partner</t>
  </si>
  <si>
    <t xml:space="preserve">Must lift/carry 50 lbs., when necessary.  Saturday and Sunday work required, when necessary.  Employer-paid drug testing required of foreign and domestic workers prior to commencing work and post-hire upon suspicion of use and post-accident. Employer may offer more than the stated work hours depending on weather, business needs, and other conditions. Extreme heat, cold, rain, or drought may affect exact working hours.
</t>
  </si>
  <si>
    <t>POTTAWATTAMIE</t>
  </si>
  <si>
    <t>P-400-23202-205894</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</si>
  <si>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   Employer may deduct retirement/savings plan contributions and/or health insurance premiums for workers voluntarily participating in plan(s).  Employer provides incidental transportation between worksites as necessary.</t>
  </si>
  <si>
    <t>smcguire@perficut.com</t>
  </si>
  <si>
    <t>www.iowaworks.gov/vosnet</t>
  </si>
  <si>
    <t>H-400-23222-253059</t>
  </si>
  <si>
    <t>CONSTRUCTION LABORER</t>
  </si>
  <si>
    <t>ANAYA CONSTRUCTION CORP</t>
  </si>
  <si>
    <t xml:space="preserve">14 RIVER ROAD </t>
  </si>
  <si>
    <t>HUDSON</t>
  </si>
  <si>
    <t>MARTINS</t>
  </si>
  <si>
    <t>CAMILA</t>
  </si>
  <si>
    <t>14 RIVER ROAD</t>
  </si>
  <si>
    <t>anayaconstructioncorp@gmail.com</t>
  </si>
  <si>
    <t>P-400-23175-141539</t>
  </si>
  <si>
    <t xml:space="preserve">All deductions from pay required by federal and state laws. </t>
  </si>
  <si>
    <t>Nashville</t>
  </si>
  <si>
    <t xml:space="preserve">Must lift/carry 50 lbs., when necessary.  Saturday and Sunday work required, when necessary.  Post-hire post-accident drug testing required of foreign and domestic workers. Employer may offer more than the stated work hours depending on weather, business needs, and other conditions. Extreme heat, cold, rain, or drought may affect exact working hours.
</t>
  </si>
  <si>
    <t>H-400-23337-540016</t>
  </si>
  <si>
    <t>Seafood Processor / Crab Processor</t>
  </si>
  <si>
    <t>Capt. Charlies Seafood, Inc.</t>
  </si>
  <si>
    <t>508 North Road Street</t>
  </si>
  <si>
    <t>P. O. Box 169</t>
  </si>
  <si>
    <t>Carawan</t>
  </si>
  <si>
    <t>Phillip</t>
  </si>
  <si>
    <t>tcarawan76@yahoo.com</t>
  </si>
  <si>
    <t xml:space="preserve">Lift/carry up to 50 pounds.   Employer paid drug test is Random (post-employment).   Production standard is to pick 29 pounds in 8 hours after two weeks training. No infectious diseases. No infectious diseases; seafood allergies may be fatal.
</t>
  </si>
  <si>
    <t>TYRRELL</t>
  </si>
  <si>
    <t>F.b.9a Character Limit: overtime is not guaranteed but if worked rate is paid at time and a half per hour above 40...</t>
  </si>
  <si>
    <t>P-400-23172-133241</t>
  </si>
  <si>
    <t xml:space="preserve">Shared housing available to only seasonal full-time employees, not offered to non-employees. Employees may make their own arrangements at their own expense. If they opt to live in employer provided housing rent (utilities included) charged at $40.00/week.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where it is shown that the worker is responsible, and any other reasonable deductions expressly authorized by the worker in writing. No deduction not required by law will be made that brings the workers hourly earnings below the FLSA Federal statutory minimum wage.  
</t>
  </si>
  <si>
    <t>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</si>
  <si>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Highway Maintenance Worker</t>
  </si>
  <si>
    <t>Highway Maintenance Workers</t>
  </si>
  <si>
    <t>Robbinsville</t>
  </si>
  <si>
    <t>https://jobs.scworks.org</t>
  </si>
  <si>
    <t>Wildwood</t>
  </si>
  <si>
    <t>H-400-23321-509022</t>
  </si>
  <si>
    <t>Caves Road Construction Co.</t>
  </si>
  <si>
    <t>10611 Washington St.</t>
  </si>
  <si>
    <t>Battisti</t>
  </si>
  <si>
    <t>Robert (Bob)</t>
  </si>
  <si>
    <t>Cavesroad@windstream.net</t>
  </si>
  <si>
    <t xml:space="preserve">Lift/carry up to 50 pounds.  Employer paid drug test is Random (post-employment) 
</t>
  </si>
  <si>
    <t>10611 Washington Street</t>
  </si>
  <si>
    <t>Character Limit: overtime is not guaranteed but if worked rate is paid at time and a half per hour above 40 ho</t>
  </si>
  <si>
    <t>P-400-23167-118166</t>
  </si>
  <si>
    <t>SUSSEX</t>
  </si>
  <si>
    <t>https://joblink.delaware.gov/ada/r/</t>
  </si>
  <si>
    <t>H-400-23336-539512</t>
  </si>
  <si>
    <t>Dell Landscaping Inc</t>
  </si>
  <si>
    <t>Dell Garden Center</t>
  </si>
  <si>
    <t>136 Lincoln Rd</t>
  </si>
  <si>
    <t>Kinnelon</t>
  </si>
  <si>
    <t>Mondello</t>
  </si>
  <si>
    <t>anthony@delloutdoor.com</t>
  </si>
  <si>
    <t xml:space="preserve">Able to lift 50lbs. Monday-Friday, some Saturdays required, schedule varies, overtime varies.  Pre-hire background check required; Random drug testing during employment; Pre-employment drug testing required.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</si>
  <si>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P-400-23191-176854</t>
  </si>
  <si>
    <t>rosa@delloutdoor.com</t>
  </si>
  <si>
    <t>CECIL</t>
  </si>
  <si>
    <t>H-400-23326-519764</t>
  </si>
  <si>
    <t>HOST/HOSTESS</t>
  </si>
  <si>
    <t>Sea Pines Resort, LLC</t>
  </si>
  <si>
    <t>32 Greenwood Drive</t>
  </si>
  <si>
    <t>Tomic</t>
  </si>
  <si>
    <t>Mirna</t>
  </si>
  <si>
    <t>DIRECTOR OF Human Resources</t>
  </si>
  <si>
    <t>32 GREENWOOD DRIVE</t>
  </si>
  <si>
    <t>mtomic@seapines.com</t>
  </si>
  <si>
    <t>aaron@PESUSA.COM</t>
  </si>
  <si>
    <t xml:space="preserve">No minimum education or experience required.
New employees are subject to pre-employment criminal background check, paid by employer and applied equally to all workers, U.S. and foreign/H-2B. 
Applicants must complete an employment application. 
Must be able to work a minimum 5-day workweek.
Must be able to work weekends and holidays.
Must be able to stand and bend repetitively during entire shift.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</si>
  <si>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 xml:space="preserve">Employer may increase wage based on experience, performance, tenure, or market conditions. </t>
  </si>
  <si>
    <t>P-400-23187-170783</t>
  </si>
  <si>
    <t xml:space="preserve">A single workweek will be used to compute wages due. Pay received bi-weekly.  
Employer will make all deductions from the worker's paycheck required by law and deduct approved cost of housing if worker elects. Optional employee shared housing, including utilities, approximate cost $150 per week. Daily transportation provided between employer housing and worksite at no cost to employee.  
</t>
  </si>
  <si>
    <t>www.jobs.scworks.gov</t>
  </si>
  <si>
    <t xml:space="preserve">Requires three months of previous landscape experience. Must lift/carry 50 lbs., when necessary.  Saturday and Sunday work required, when necessary.  Post-hire random drug testing required of foreign and domestic workers. Employer may offer more than the stated work hours depending on weather, business needs, and other conditions. Extreme heat, cold, rain, or drought may affect exact working hours.
</t>
  </si>
  <si>
    <t>H-400-23311-483246</t>
  </si>
  <si>
    <t>All Star Services of Indiana LLC</t>
  </si>
  <si>
    <t xml:space="preserve">Must be able to lift 30 lbs.
</t>
  </si>
  <si>
    <t>8787 Keystone Crossing</t>
  </si>
  <si>
    <t>P-400-23269-381401</t>
  </si>
  <si>
    <t>State and Federal Taxes. Employer will deduct the cost of optional housing charged by the 3rd party for workers. The cost of optional housing will be $500.00. Employer will deduct the cost of optional housing charged by the 3rd party for workers.</t>
  </si>
  <si>
    <t>Pflugerville</t>
  </si>
  <si>
    <t>25843 185 th Ave SW</t>
  </si>
  <si>
    <t>121 HWY 81 NE</t>
  </si>
  <si>
    <t>Hillsboro</t>
  </si>
  <si>
    <t>TRAILL</t>
  </si>
  <si>
    <t>East North Dakota nonmetropolitan area</t>
  </si>
  <si>
    <t>H-400-23339-546127</t>
  </si>
  <si>
    <t>Landscape &amp; Groundskeep Worker</t>
  </si>
  <si>
    <t>J Cruz Produce</t>
  </si>
  <si>
    <t>6468 U.S. Hwy. 84</t>
  </si>
  <si>
    <t>Jazmine</t>
  </si>
  <si>
    <t>jazminecruz48@yahoo.com</t>
  </si>
  <si>
    <t>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t>
  </si>
  <si>
    <t>6468 U.S. Hwy. 84 (Report to Work)</t>
  </si>
  <si>
    <t>PIERCE</t>
  </si>
  <si>
    <t>South Georgia nonmetropolitan area</t>
  </si>
  <si>
    <t>P-400-23222-256521</t>
  </si>
  <si>
    <t>King</t>
  </si>
  <si>
    <t>Persinger</t>
  </si>
  <si>
    <t>150 Ottawa Ave NW</t>
  </si>
  <si>
    <t>Grand Rapids</t>
  </si>
  <si>
    <t>dpersinger@wnj.com</t>
  </si>
  <si>
    <t>B. Glenn</t>
  </si>
  <si>
    <t>Spring</t>
  </si>
  <si>
    <t>Jamie</t>
  </si>
  <si>
    <t>H-400-23306-474888</t>
  </si>
  <si>
    <t>564 WILLIAM STREET</t>
  </si>
  <si>
    <t>EAST ORANGE</t>
  </si>
  <si>
    <t>No experience necessary</t>
  </si>
  <si>
    <t>Federal, State and Local taxes deduction required by law.</t>
  </si>
  <si>
    <t>DEPENDABLE OVERSEAS SERVICES INC.</t>
  </si>
  <si>
    <t>H-400-23336-538918</t>
  </si>
  <si>
    <t>Facility Maintenance</t>
  </si>
  <si>
    <t>Maintenance and Repair Workers, General</t>
  </si>
  <si>
    <t>Holiday Inn Club Vacations - The Villages</t>
  </si>
  <si>
    <t>18270 Singing Wood Lane</t>
  </si>
  <si>
    <t>Flint</t>
  </si>
  <si>
    <t>Must be able to lift up to 75 lbs. Must pass a pre-employment criminal background check, paid by employer and applied equally to all workers, U.S. and foreign/H-2B. Must be able to work weekends and holidays, when required.  Must be able to work outdoors in a non-climate-controlled environment. Must be able to work with various standard household cleaning agents. Multiple shifts offered based on business needs. Applicants must complete an employment application. Employer may offer more than the stated work hours depending on weather, business needs, and other conditions. Extreme heat, cold, rain, or drought may affect exact working hours.</t>
  </si>
  <si>
    <t>Tyler, TX</t>
  </si>
  <si>
    <t>P-400-23295-448675</t>
  </si>
  <si>
    <t>McKees Rocks</t>
  </si>
  <si>
    <t>GRAND</t>
  </si>
  <si>
    <t>Golf Course Maintenance Worker</t>
  </si>
  <si>
    <t>Maxwell</t>
  </si>
  <si>
    <t>Suite 105</t>
  </si>
  <si>
    <t>Quogue</t>
  </si>
  <si>
    <t>201 17 Street, NW</t>
  </si>
  <si>
    <t>Georgia Supreme Court</t>
  </si>
  <si>
    <t>Matthews</t>
  </si>
  <si>
    <t>BERKS</t>
  </si>
  <si>
    <t>Reading, PA</t>
  </si>
  <si>
    <t>H-400-23276-406708</t>
  </si>
  <si>
    <t>Bumgardners Landscape Management Inc.</t>
  </si>
  <si>
    <t>1750 Delta Waters Road</t>
  </si>
  <si>
    <t>Suite 102, PMB308</t>
  </si>
  <si>
    <t>Oregon</t>
  </si>
  <si>
    <t>Bumgardner</t>
  </si>
  <si>
    <t>Warren</t>
  </si>
  <si>
    <t>Suite 102, PMB 308</t>
  </si>
  <si>
    <t>bill@bumgardnerslandscape.com</t>
  </si>
  <si>
    <t xml:space="preserve">Hours, schedule, and days vary widely.
Typically, M-F, 6:00am  4:00pm, occasional Saturdays.
Often 35-40 hours a week, may go up to 45 hours per week.
Work needs (i.e., hours, days, schedule, location, and work positions) vary.  Work needs subject to industry practice and are not guaranteed per day, per week, per schedule, per location, or per worker, e.g., rainouts, wild fires and unforeseen cancellations.  
Must complete and pass post-hire background &amp; drug test paid by employer.
The job requires the applicant to be qualified, ready, willing, able, and available to perform during the entire employment at the designated worksite under adverse weather; to enter into and comply with employment contract and any housing lease; to follow workplace and housing rules and any lawful obligations; and to meet job performance standards. Must cooperate with and complete job application and interview, and any supplied information must be truthful and complete. Must comply with grooming requirements and dress code. Must be able to lift 50 pounds. Subject to discharge for cause.  
</t>
  </si>
  <si>
    <t>7878 Blackwell Rd</t>
  </si>
  <si>
    <t>Merit/bonus/sick/recruiting pay at employer's discretion.  Uniforms provided at no charge.</t>
  </si>
  <si>
    <t>P-400-23194-185901</t>
  </si>
  <si>
    <t xml:space="preserve">Optional shared housing ($450/month) and local convenience travel ($30/week) are available for wage credit and/or deduction, or any lesser amount to the maximum extent not prohibited by law. Laundry facilities available on site and Wi-Fi provided at no cost to worker. 
</t>
  </si>
  <si>
    <t>office@bumgardnerslandscape.com</t>
  </si>
  <si>
    <t>H-400-23275-405861</t>
  </si>
  <si>
    <t>Jones Equipment, LLC</t>
  </si>
  <si>
    <t>3105 S 2985 W</t>
  </si>
  <si>
    <t>West Haven</t>
  </si>
  <si>
    <t>Kory</t>
  </si>
  <si>
    <t>P-400-23186-168297</t>
  </si>
  <si>
    <t>jclandscape6@gmail.com</t>
  </si>
  <si>
    <t>Unit F</t>
  </si>
  <si>
    <t>HUMAN RESOURCE DIRECTOR</t>
  </si>
  <si>
    <t>COOK</t>
  </si>
  <si>
    <t>Davenport-Moline-Rock Island, IA-IL</t>
  </si>
  <si>
    <t>H-400-23276-406188</t>
  </si>
  <si>
    <t>Heavy Equipment Operator</t>
  </si>
  <si>
    <t>Operating Engineers and Other Construction Equipment Operators</t>
  </si>
  <si>
    <t>Black Micro Corporation</t>
  </si>
  <si>
    <t>P. O. Box 24667</t>
  </si>
  <si>
    <t>Guam Main Facility</t>
  </si>
  <si>
    <t>Barrigada</t>
  </si>
  <si>
    <t>GU</t>
  </si>
  <si>
    <t>MAMCZARZ</t>
  </si>
  <si>
    <t>Vice President of Finance/Administration</t>
  </si>
  <si>
    <t>markm@blackguam.com</t>
  </si>
  <si>
    <t>XU</t>
  </si>
  <si>
    <t>Nelson</t>
  </si>
  <si>
    <t>238 Archbishop Flores Street</t>
  </si>
  <si>
    <t>Suite 903</t>
  </si>
  <si>
    <t>Hagatna</t>
  </si>
  <si>
    <t>nelson.xu@baumannguam.com</t>
  </si>
  <si>
    <t>BAUMANN, XU and BLACK, LLC</t>
  </si>
  <si>
    <t>Supreme Court of Guam</t>
  </si>
  <si>
    <t>MP</t>
  </si>
  <si>
    <t>Work on weekend may be required.</t>
  </si>
  <si>
    <t>Tinian International Airport</t>
  </si>
  <si>
    <t>Tinian</t>
  </si>
  <si>
    <t>TINIAN</t>
  </si>
  <si>
    <t>Northern Mariana Islands</t>
  </si>
  <si>
    <t>P-400-23226-260552</t>
  </si>
  <si>
    <t>The employer will make all deductions from the employee's paycheck required by law.  Optional dormitory-style shared lodging is available to workers for which there is no cost or paycheck deduction to the workers.  Food will be provided.</t>
  </si>
  <si>
    <t>http://marianaslabor.net</t>
  </si>
  <si>
    <t>Baumann, Xu and Black, LLC</t>
  </si>
  <si>
    <t>spalomo@baumannguam.com</t>
  </si>
  <si>
    <t>Fence Erectors</t>
  </si>
  <si>
    <t>H-400-23307-477416</t>
  </si>
  <si>
    <t>Landscape Installer</t>
  </si>
  <si>
    <t>Gomez Construction Services, LLC</t>
  </si>
  <si>
    <t>8700 Evelyn Road</t>
  </si>
  <si>
    <t>Buda</t>
  </si>
  <si>
    <t>Gomez, Jr.</t>
  </si>
  <si>
    <t>g.jaime67@yahoo.com</t>
  </si>
  <si>
    <t>Alworth</t>
  </si>
  <si>
    <t>Mimi</t>
  </si>
  <si>
    <t>malworth@fredlaw.com</t>
  </si>
  <si>
    <t xml:space="preserve">No formal education, training or experience required.  On-the-job training will be provided.
Must be able to perform physical activities that require considerable use of workers arms and legs and moving the body, such as lifting, walking, stooping, and handling of materials.  Must be able to use hands and arms in handling, installing, positioning, and moving materials.
</t>
  </si>
  <si>
    <t>HAYS</t>
  </si>
  <si>
    <t>P-400-23230-276879</t>
  </si>
  <si>
    <t>Employer will make all deductions from the worker’s paycheck required by law and any non-legally required payroll deductions permitted under the law and requested by Employee.</t>
  </si>
  <si>
    <t>tonigomesconstruction@gmail.com</t>
  </si>
  <si>
    <t>H-400-23336-539582</t>
  </si>
  <si>
    <t>Nine Yards, LLC</t>
  </si>
  <si>
    <t>The Grounds Guys of Greenville</t>
  </si>
  <si>
    <t>250 Enterprise Drive</t>
  </si>
  <si>
    <t>Mailing: 3504 Hwy 153 PMB 352, Greenville, SC 29611</t>
  </si>
  <si>
    <t>Easley</t>
  </si>
  <si>
    <t>Yarusinsky</t>
  </si>
  <si>
    <t>john.yarusinsky@groundsguys.com</t>
  </si>
  <si>
    <t xml:space="preserve">Able to lift 50lbs. Monday-Friday, some Saturdays, schedule varies, start/end times may vary, overtime varies. Pre-hire background check required; Pre-employment drug testing required; Drug testing during employment for cause; Post-Accident Drug Testing.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</si>
  <si>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ANDERSON</t>
  </si>
  <si>
    <t>Raise at employer's discretion. Bonus based on job performance.</t>
  </si>
  <si>
    <t>P-400-23237-295597</t>
  </si>
  <si>
    <t>www.groundsguys.com/greenville-sc</t>
  </si>
  <si>
    <t>Juarez</t>
  </si>
  <si>
    <t>South Jordan</t>
  </si>
  <si>
    <t>Bellman</t>
  </si>
  <si>
    <t>Highlands</t>
  </si>
  <si>
    <t>MACON</t>
  </si>
  <si>
    <t>Akron</t>
  </si>
  <si>
    <t>Brighton</t>
  </si>
  <si>
    <t>Fidel</t>
  </si>
  <si>
    <t>627 N 19th Ave E</t>
  </si>
  <si>
    <t>H-400-23307-477093</t>
  </si>
  <si>
    <t>Great Plains Amusement</t>
  </si>
  <si>
    <t>774 CO. RD. 1550</t>
  </si>
  <si>
    <t>[MAIL: PO BOX 556 RUSH SPRINGS, OK 73082]</t>
  </si>
  <si>
    <t>RUSH SPRINGS</t>
  </si>
  <si>
    <t>Lujan</t>
  </si>
  <si>
    <t>Sole-Proprietor</t>
  </si>
  <si>
    <t>nancyLRS.OK@me.com</t>
  </si>
  <si>
    <t>774 Co. Rd. 1550</t>
  </si>
  <si>
    <t>Rush Springs</t>
  </si>
  <si>
    <t>GRADY</t>
  </si>
  <si>
    <t>P-400-23244-316430</t>
  </si>
  <si>
    <t xml:space="preserve">The employer will make all deductions from the worker’s paycheck required by law.  Optional housing (valued at $50.00 per week) and local convenience travel (valued at $25.00 per week) are available at no cost to the worker. </t>
  </si>
  <si>
    <t>nancylrs.ok@me.com</t>
  </si>
  <si>
    <t>Edmond</t>
  </si>
  <si>
    <t>H-400-23326-519769</t>
  </si>
  <si>
    <t>SERVER</t>
  </si>
  <si>
    <t xml:space="preserve">No Minimum education or experience required.
New employees are subject to pre-employment criminal background check, paid by employer and applied equally to all workers, U.S. and foreign/H-2B. 
Must be able to work a minimum 5-day workweek.
Must be able to work weekends and holidays.
Applicants must complete an employment application.  
Employer will provide worker at no charge all tools, supplies, and equipment required to perform job. Required uniform provided at no cost to employee.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</si>
  <si>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P-400-23187-170833</t>
  </si>
  <si>
    <t xml:space="preserve">Laborers </t>
  </si>
  <si>
    <t>Pullman</t>
  </si>
  <si>
    <t>Motley</t>
  </si>
  <si>
    <t>j@motleymotley.com</t>
  </si>
  <si>
    <t>WHITMAN</t>
  </si>
  <si>
    <t>Eastern Washington nonmetropolitan area</t>
  </si>
  <si>
    <t>H-400-23325-515759</t>
  </si>
  <si>
    <t>Landscaping Laborer</t>
  </si>
  <si>
    <t>Chava's Landscaping Inc</t>
  </si>
  <si>
    <t>925 Lewisberry Rd</t>
  </si>
  <si>
    <t>Lewisberry</t>
  </si>
  <si>
    <t>Ledesma</t>
  </si>
  <si>
    <t>Salvador</t>
  </si>
  <si>
    <t xml:space="preserve">Lewisberry </t>
  </si>
  <si>
    <t>salvador_landscaping@icloud.com</t>
  </si>
  <si>
    <t>Kathleen@pesusa.com</t>
  </si>
  <si>
    <t xml:space="preserve">Must be able to lift 50 lbs and work in adverse weather conditions.
Applicants must complete an employment application.
</t>
  </si>
  <si>
    <t>P-400-23212-227646</t>
  </si>
  <si>
    <t xml:space="preserve">Employer will make all deductions from the worker's paycheck required by law and deduct cost of housing if worker elects. Optional employee-only shared housing, approximate cost $50 per week, includes utilities. No deposit required.
Employer will provide daily transportation from main worksite to multiple worksite locations in Dauphin, Lancaster, York, Cumberland &amp; Lebanon Counties, PA.
The employer will provide worker at no charge all tools, supplies, and equipment required to perform job. No uniform required.
</t>
  </si>
  <si>
    <t>Nicholasville</t>
  </si>
  <si>
    <t>Ian</t>
  </si>
  <si>
    <t>JESSAMINE</t>
  </si>
  <si>
    <t>H-400-23317-497647</t>
  </si>
  <si>
    <t>OMNI RANCHO LAS PALMAS, LLC</t>
  </si>
  <si>
    <t>Omni Rancho Las Palmas Resort &amp; Spa</t>
  </si>
  <si>
    <t>41000 BOB HOPE DRIVE</t>
  </si>
  <si>
    <t>RANCHO MIRAGE</t>
  </si>
  <si>
    <t>VETRANO</t>
  </si>
  <si>
    <t>JONI</t>
  </si>
  <si>
    <t>joni.vetrano@omnihotels.com</t>
  </si>
  <si>
    <t xml:space="preserve">No minimum education or experience required. 
Must be able to work a minimum 5-day workweek.
Must be able to work weekends and holidays.
Must be able to obtain Food Handlers Certificate.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</si>
  <si>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RIVERSIDE</t>
  </si>
  <si>
    <t>Employer may increase wage based on experience, tenure, performance, or market conditions.</t>
  </si>
  <si>
    <t>P-400-23173-135155</t>
  </si>
  <si>
    <t xml:space="preserve">A single workweek will be used in computing wages due. Pay received bi-weekly. 
Employer will make all deductions from the worker's paycheck required by law. 
Optional employee shared housing available on resort property, including utilities, at approx $75 per week. Must follow company policies, standards of conduct, and property house rules for living on property. Optional employee meals available during shift for purchase approx $2.00 per meal. Housing and meals available for payroll deduction if employee elects.
</t>
  </si>
  <si>
    <t>www.caljobs.ca.gov</t>
  </si>
  <si>
    <t xml:space="preserve">The job will require the worker to perform physical activities that require considerable use of arms and legs and moving the whole body, such as lifting, balancing, walking, extensive bending, stooping, reaching, pushing, and pulling required. Must be able to lift 65 pounds.
</t>
  </si>
  <si>
    <t>Clackamas</t>
  </si>
  <si>
    <t>Mobile</t>
  </si>
  <si>
    <t>https://alabamaworks.alabama.gov</t>
  </si>
  <si>
    <t>H-400-23336-539069</t>
  </si>
  <si>
    <t>GARDENEERING INC</t>
  </si>
  <si>
    <t>16 NEWBERRY LANE</t>
  </si>
  <si>
    <t>REHILL</t>
  </si>
  <si>
    <t>PATRICIA</t>
  </si>
  <si>
    <t>SLIDING SCALE $20.81-24.00 P/HR REG &amp; $31.22-36.00 P/HR OT BASED ON PERFORMANCE.</t>
  </si>
  <si>
    <t>P-400-23205-208973</t>
  </si>
  <si>
    <t>RUTH@GARDENEERING.NET</t>
  </si>
  <si>
    <t>Helpers--Brickmasons, Blockmasons, Stonemasons, and Tile and Marble Setters</t>
  </si>
  <si>
    <t>H-400-23307-477476</t>
  </si>
  <si>
    <t>TCB Equipment Co. LLC</t>
  </si>
  <si>
    <t>1244 N McCampbell St</t>
  </si>
  <si>
    <t>[PO BOX 34 ARANSAS PASS, TX 78335]</t>
  </si>
  <si>
    <t>Aransas Pass</t>
  </si>
  <si>
    <t>1244 N McCampbell St.</t>
  </si>
  <si>
    <t>kong_jw@yahoo.com</t>
  </si>
  <si>
    <t>P-400-23264-368898</t>
  </si>
  <si>
    <t>Springville</t>
  </si>
  <si>
    <t>Christina</t>
  </si>
  <si>
    <t xml:space="preserve">John </t>
  </si>
  <si>
    <t>Overtime may be available but not guaranteed.</t>
  </si>
  <si>
    <t>Employer will make all deductions required by law.</t>
  </si>
  <si>
    <t>H-400-23251-333256</t>
  </si>
  <si>
    <t>Custodian</t>
  </si>
  <si>
    <t>Best Commercial Cleaning Services Co</t>
  </si>
  <si>
    <t>940 Kimbark St.</t>
  </si>
  <si>
    <t>Longmont</t>
  </si>
  <si>
    <t>Valeria</t>
  </si>
  <si>
    <t>Chief Administrative Assistant</t>
  </si>
  <si>
    <t>21530 E. Union Pl</t>
  </si>
  <si>
    <t>wesley@best-ccs.co</t>
  </si>
  <si>
    <t>New</t>
  </si>
  <si>
    <t xml:space="preserve">Zachary </t>
  </si>
  <si>
    <t>12203 E 2nd Avenue</t>
  </si>
  <si>
    <t>zachary@immigrationissues.com</t>
  </si>
  <si>
    <t>Joseph &amp; Hall P.C.</t>
  </si>
  <si>
    <t xml:space="preserve">Must be able to pass criminal background check
Must be able to pass E-Verify
Must be able to find own transportation to get to work in the Longmont and surrounding areas.
The shift schedule is 2:00 PM-10:30 PM but worker needs to be available to work any shift during the day. Workday schedules possible will depend on the time of year shifts that may be 9:00 AM to 5:30 PM or 11:00 AM to 7:30 PM. The latest shift will be 3:00 PM to 11:30 PM.
</t>
  </si>
  <si>
    <t>Boulder County</t>
  </si>
  <si>
    <t>P-400-23179-152330</t>
  </si>
  <si>
    <t>Employer will make all deductions from the paycheck required by law. In addition deductions may include; the reasonable repair or replacement cost of willful or negligent damage to housing, tools and equipment caused by the worker (other than normal wear and tear).Deductions from the pay check will be set up by the accountant. Deductions include healthcare plan(optional).</t>
  </si>
  <si>
    <t>welsey@best-ccs.co</t>
  </si>
  <si>
    <t>Rivera</t>
  </si>
  <si>
    <t>Roxanna</t>
  </si>
  <si>
    <t>roxanna@immigrationissues.com</t>
  </si>
  <si>
    <t>H-400-23336-539262</t>
  </si>
  <si>
    <t>QUIET VILLAGE LANDSCAPING CO</t>
  </si>
  <si>
    <t>9810 PAGE AVENUE</t>
  </si>
  <si>
    <t>EVANS</t>
  </si>
  <si>
    <t>DENNIS</t>
  </si>
  <si>
    <t>P-400-23198-192493</t>
  </si>
  <si>
    <t>hannah@quietvillagelandscaping.com</t>
  </si>
  <si>
    <t>Paver Installers</t>
  </si>
  <si>
    <t>Lanham</t>
  </si>
  <si>
    <t>Fry</t>
  </si>
  <si>
    <t>tim.fry@edgewoodco.com</t>
  </si>
  <si>
    <t>B.</t>
  </si>
  <si>
    <t>H-400-23293-445175</t>
  </si>
  <si>
    <t>Hormiga Landscapes and Maintenance LLC</t>
  </si>
  <si>
    <t>357 E 3300 S</t>
  </si>
  <si>
    <t>South Salt Lake</t>
  </si>
  <si>
    <t>Abisai</t>
  </si>
  <si>
    <t>Suite #6</t>
  </si>
  <si>
    <t>South Salt Lake City</t>
  </si>
  <si>
    <t>info@hormigalandscapes.com</t>
  </si>
  <si>
    <t>P-400-23251-329918</t>
  </si>
  <si>
    <t>Landscaping ROW Worker</t>
  </si>
  <si>
    <t>REDWOOD VALLEY</t>
  </si>
  <si>
    <t>MENDOCINO</t>
  </si>
  <si>
    <t>North Coast Region of California nonmetropolitan area</t>
  </si>
  <si>
    <t>Javier</t>
  </si>
  <si>
    <t>Littleton</t>
  </si>
  <si>
    <t>overtime is not guaranteed but if worked rate is paid at time and a half per hour above 40 hours per week. Rai</t>
  </si>
  <si>
    <t>Line Cooks</t>
  </si>
  <si>
    <t>Parking Attendants</t>
  </si>
  <si>
    <t>Heating, Air Conditioning, and Refrigeration Mechanics and Installers</t>
  </si>
  <si>
    <t>Suite 100</t>
  </si>
  <si>
    <t>Chatham</t>
  </si>
  <si>
    <t>SARAH</t>
  </si>
  <si>
    <t>CARCHIDI</t>
  </si>
  <si>
    <t>86 WILLOW STREET</t>
  </si>
  <si>
    <t>YARMOUTH PORT</t>
  </si>
  <si>
    <t>STAFF@ANTIOCHASSOCIATES.COM</t>
  </si>
  <si>
    <t>ANTIOCH ASSOCIATES USA II, INC.</t>
  </si>
  <si>
    <t>FAIRFIELD</t>
  </si>
  <si>
    <t>Bridgeport-Stamford-Norwalk, CT</t>
  </si>
  <si>
    <t>DINING ROOM ATTENDANT</t>
  </si>
  <si>
    <t>Nash</t>
  </si>
  <si>
    <t>Kendra</t>
  </si>
  <si>
    <t>S</t>
  </si>
  <si>
    <t>Lifeguards</t>
  </si>
  <si>
    <t>Lifeguards, Ski Patrol, and Other Recreational Protective Service Workers</t>
  </si>
  <si>
    <t>BREWSTER</t>
  </si>
  <si>
    <t xml:space="preserve">Full-Time Nanny </t>
  </si>
  <si>
    <t>Haipeng Li</t>
  </si>
  <si>
    <t>1452 Maria Way</t>
  </si>
  <si>
    <t>San Jose</t>
  </si>
  <si>
    <t>LI</t>
  </si>
  <si>
    <t>Haipeng</t>
  </si>
  <si>
    <t>Employer</t>
  </si>
  <si>
    <t>Leo2408@gmail.com</t>
  </si>
  <si>
    <t>Winston</t>
  </si>
  <si>
    <t>Won-Ho</t>
  </si>
  <si>
    <t>3415 S. Sepulveda Blvd.</t>
  </si>
  <si>
    <t>Ste. 570</t>
  </si>
  <si>
    <t>winston@immigrationhelpLA.com</t>
  </si>
  <si>
    <t>Immigration Law Office of Los Angeles, P.C.</t>
  </si>
  <si>
    <t>SANTA CLARA</t>
  </si>
  <si>
    <t>San Jose-Sunnyvale-Santa Clara, CA</t>
  </si>
  <si>
    <t>P-400-23195-190192</t>
  </si>
  <si>
    <t>leo2408@gmail.com</t>
  </si>
  <si>
    <t>Must be available weekends and holidays.</t>
  </si>
  <si>
    <t>OGUNQUIT TOWN</t>
  </si>
  <si>
    <t>FOOD PREPARATION WORKER</t>
  </si>
  <si>
    <t>SEAN</t>
  </si>
  <si>
    <t>H-400-23307-476516</t>
  </si>
  <si>
    <t>Milberger Landscaping Inc</t>
  </si>
  <si>
    <t>3920 N Loop 1604 E</t>
  </si>
  <si>
    <t>Jouffray, Jr</t>
  </si>
  <si>
    <t>dwhitford@milbergersa.com</t>
  </si>
  <si>
    <t>Able to lift 50lbs, Random drug testing during employment, Pre-employment drug testing required, drug testing during employment for cause,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t>
  </si>
  <si>
    <t>Raise at employer's discretion. Percentage of health care offered.</t>
  </si>
  <si>
    <t>P-400-23218-241797</t>
  </si>
  <si>
    <t>H-400-23277-411029</t>
  </si>
  <si>
    <t xml:space="preserve">Fish processor  </t>
  </si>
  <si>
    <t>Processors, L.L.C.</t>
  </si>
  <si>
    <t>1093 Henderson Highway</t>
  </si>
  <si>
    <t>(P O Box 535 Henderson, LA  70517)</t>
  </si>
  <si>
    <t>Breaux Bridge</t>
  </si>
  <si>
    <t>St. Martin parish</t>
  </si>
  <si>
    <t>Giandelone</t>
  </si>
  <si>
    <t>Janet</t>
  </si>
  <si>
    <t>Ph.D., Office Manager</t>
  </si>
  <si>
    <t xml:space="preserve">1093 Henderson Highway  </t>
  </si>
  <si>
    <t>janet@guidryscatfish.com</t>
  </si>
  <si>
    <t>Couch</t>
  </si>
  <si>
    <t xml:space="preserve">Kelly </t>
  </si>
  <si>
    <t>5155 Ardoin Road</t>
  </si>
  <si>
    <t>Jennings</t>
  </si>
  <si>
    <t xml:space="preserve">Jefferson Davis parish </t>
  </si>
  <si>
    <t>kelly@couchapplication.com</t>
  </si>
  <si>
    <t>Couch Application Service Assistance, LLC., FLC</t>
  </si>
  <si>
    <t>PROCESSORS, LLC. IS LOOKING TO FILL FISH PROCESSOR POSITION WORKSITE IS LOCATED IN ST. MARTIN PARISH. TEMPORARY, FULL TIME, PEAKLOAD AND WE ARE LOOKING TO FILL 112 JOB OPENINGS FOR EMPLOYMENT FROM 1/1/2024--10/31/2024. REQUIREMENT: EXTENSIVE STANDING, MUST HAVE TWO WEEKS (NO MONTHS) SEAFOOD EXP. EMPLOYER MAY REQUIRE DRUG SCREEN; POST HIRE, EMPLOYER PAID. TESTING POSITIVE OR FAILURE TO COMPLY MAY RESULT IN IMMEDIATE TERMINATION. MUST NOT BE ALLERGIC TO PRODUCT AND/OR ENVIRONMENT. TERMS AND CONDITIONS OF EMPLOYMENT: $12.63 PER HOUR, M-F, SOME SAT/SUN, 5A - 1:30 PM, UNPAID LUNCH BREAK, PROCESSING TIMES MAY VARY, 40 HOUR WEEK, OVERTIME MAY BE AVAILABLE AND PAID @ $18.95, WHICH IS THE OVERTIME HOURLY RATE (AFTER 40 HOURS WEEKLY). OVERTIME, OFFERED HOURS, AND WORK SCHEDULE MAY ALL VARY. NO ON THE JOB TRAINING. NO EDUCATION REQUIREMENT. EMPLOYEES MAY BE COMPENSATED ABOVE THE DOL APPROVED WAGE RATE, THIS DECISION TO PAY ABOVE THE DOL CERTIFIED WAGE RATE WILL BE MADE BY THE EMPLOYER BASING THIS DECISION ON FACTORS THAT INCLUDE THE INDIVIDUAL RECIPIENT'S PERFORMANCE AND WORK HISTORY. TRANSPORTATION (INCLUDING MEALS AND TO THE EXTENT NECESSARY LODGING) TO THE PLACE OF EMPLOYMENT WILL BE PROVIDED OR ITS COST TO THE WORKERS REIMBURSED, IF THE WORKER COMPLETES HALF THE EMPLOYMENT PERIOD. RETURN TRANSPORTATION AND DAILY SUBSISTENCE WILL BE PROVIDED IF WORKER COMPLETES THE EMPLOYMENT PERIOD OR IS DISMISSED EARLY BY THE EMPLOYER. THE AMOUNT OF TRANSPORTATION PAYMENT OR REIMBURSEMENT WILL BE EQUAL TO THE MOST ECONOMICAL AND REASONABLE FORM OF COMMON CARRIER FOR THE DISTANCE INVOLVED. DAILY SUBSISTENCE WILL BE PROVIDED AT A RATE OF $15.46 PER DAY DURING TRAVEL TO A MAXIMUM OF $59 PER DAY WITH RECEIPTS. Employer will not provide daily transportation to and from the worksite. EMPLOYER WILL REIMBURSE THE H2B WORKER IN THE FIRST WORKWEEK FOR ALL VISA, VISA PROCESSING, BORDER CROSSING AND OTHER/RELATED FEES INCLUDING THOSE MANDATED BY THE GOV INCURRED BY THE H2B WORKER (EXCLUDING PASSPORT EXPENSES AND OTHER CHARGES PRIMARILY FOR THE BENEFIT OF WORKER). THE EMPLOYER WILL PROVIDE WORKERS AT NO CHARGE ALL TOOLS, SUPPLIES, AND EQUIPMENT REQUIRED TO PERFORM ASSIGNED DUTIES. EMPLOYER WILL USE A SINGLE WORK WEEK AS ITS STANDARD FOR COMPUTING WAGES DUE. WORKWEEK RUNS FROM THU-WED WITH CHECKS DISTRIBUTED BY END OF DAY ON FOLLOWING FRI. EMPLOYER WILL MAKE PAYROLL DEDUCTIONS AS REQUIRED BY LAW AND DEDUCTED FROM THE WORKER PAYCHECK. POTENTIAL LOCAL HOUSING FOR RENT IF WORKER DESIRES. NO MORE THAN $50 PER WEEK/PER PERSON MAY BE CHARGED FOR HOUSING AND BASIC UTILITIES FOR WORKERS WHO CHOOSE HOUSING OPTION. EMPLOYER CONTACT INFORMATION: PROCESSORS, LLC., Janet Giandelone, Ph.D., 1093 HENDERSON HIGHWAY, BREAUX BRIDGE, LA, 70517, 337-228-7545, HOW TO APPLY: APPLICANTS INQUIRE ABOUT JOB, SEND APPLICATIONS, INDICATIONS OF AVAILABILITY OR RESUMES DIRECTLY TO LOCAL LA SWA OFFICE LOCATED IN ST. MARTIN PARISH, 215 EVANGELINE BLVD, ST. MARTINVILLE, LA, 70582, 337-394-2205, AND REFER TO JOB ORDER #1512973.</t>
  </si>
  <si>
    <t>ST MARTIN</t>
  </si>
  <si>
    <t>OVERTIME, OFFERED HOURS, AND WORK SCHEDULE MAY ALL VARY.</t>
  </si>
  <si>
    <t>P-400-23183-162025</t>
  </si>
  <si>
    <t xml:space="preserve">NO MORE THAN $50 PER WEEK/PER PERSON MAY BE CHARGED FOR HOUSING AND BASIC UTILITIES FOR WORKERS WHO CHOOSE HOUSING OPTION. </t>
  </si>
  <si>
    <t>Janet@guidryscatfish.com</t>
  </si>
  <si>
    <t>Locker Room, Coatroom, and Dressing Room Attendants</t>
  </si>
  <si>
    <t>Fairview</t>
  </si>
  <si>
    <t>Grand Rapids-Wyoming, MI</t>
  </si>
  <si>
    <t>LILBURN</t>
  </si>
  <si>
    <t>PUTNAM</t>
  </si>
  <si>
    <t>Middle Georgia nonmetropolitan area</t>
  </si>
  <si>
    <t>Patricia</t>
  </si>
  <si>
    <t>owner</t>
  </si>
  <si>
    <t>1 Ravinia Drive</t>
  </si>
  <si>
    <t>Suite 1600</t>
  </si>
  <si>
    <t>Closter</t>
  </si>
  <si>
    <t>BERGEN</t>
  </si>
  <si>
    <t xml:space="preserve">Server </t>
  </si>
  <si>
    <t>Houseperson</t>
  </si>
  <si>
    <t>4617 Brookside Drive</t>
  </si>
  <si>
    <t>Alexandria</t>
  </si>
  <si>
    <t>O'Brien Law LLC</t>
  </si>
  <si>
    <t>DC</t>
  </si>
  <si>
    <t>H-400-23215-234912</t>
  </si>
  <si>
    <t>WAITER/WAITRESS</t>
  </si>
  <si>
    <t>Lido Sand LLC</t>
  </si>
  <si>
    <t xml:space="preserve">Sandcastle Resort </t>
  </si>
  <si>
    <t>1540 BENJAMIN FRANKLIN DRIVE</t>
  </si>
  <si>
    <t>Sarasota</t>
  </si>
  <si>
    <t>Francis</t>
  </si>
  <si>
    <t>Briana</t>
  </si>
  <si>
    <t>briana.francis@ophotels.com</t>
  </si>
  <si>
    <t>SARASOTA</t>
  </si>
  <si>
    <t>P-400-23143-045033</t>
  </si>
  <si>
    <t>Vicksburg</t>
  </si>
  <si>
    <t>H-400-23250-326206</t>
  </si>
  <si>
    <t>R &amp; J Landscaping, Inc.</t>
  </si>
  <si>
    <t>5512 South 3500 West</t>
  </si>
  <si>
    <t>rjlandscaping55@gmail.com</t>
  </si>
  <si>
    <t>P-400-23205-211149</t>
  </si>
  <si>
    <t>H-400-23215-234853</t>
  </si>
  <si>
    <t xml:space="preserve"> Hollywood Beach LLC</t>
  </si>
  <si>
    <t>Hollywood Beach Marriott</t>
  </si>
  <si>
    <t>2501 N Ocean Drive</t>
  </si>
  <si>
    <t>Daigle</t>
  </si>
  <si>
    <t>Angela.Daigle@ophotels.com</t>
  </si>
  <si>
    <t>P-400-23143-045048</t>
  </si>
  <si>
    <t xml:space="preserve">•	Deductions required by law will be payroll deducted. 
•	Employee housing is not provided however optional 3rd party housing may be available at $130/wk-$170/wk depending on location and may be voluntarily payroll deducted biweekly plus all deductions required by law. Housing deposits and/or a $130-$170 nonrefundable admin/cleaning fee may be required if you choose the optional housing option. 
</t>
  </si>
  <si>
    <t>Denise.clark@ophotels.com</t>
  </si>
  <si>
    <t>Authorized Signatory</t>
  </si>
  <si>
    <t>H-400-23186-168360</t>
  </si>
  <si>
    <t>MysticAngels LLC</t>
  </si>
  <si>
    <t>2202 Clifford Drive</t>
  </si>
  <si>
    <t>Wamego</t>
  </si>
  <si>
    <t>Herrick</t>
  </si>
  <si>
    <t>Angiesa</t>
  </si>
  <si>
    <t>angiesaformystic@gmail.com</t>
  </si>
  <si>
    <t xml:space="preserve">Ability to drive required. </t>
  </si>
  <si>
    <t>POTTAWATOMIE</t>
  </si>
  <si>
    <t>Manhattan, KS</t>
  </si>
  <si>
    <t>P-400-23124-994132</t>
  </si>
  <si>
    <t>The employer will make all deductions from pay required by law.  Optional lodging will be available in employer-owned housing at no additional cost to the employee.</t>
  </si>
  <si>
    <t>Cheyenne</t>
  </si>
  <si>
    <t>Elkton</t>
  </si>
  <si>
    <t>Director</t>
  </si>
  <si>
    <t>Lake Charles</t>
  </si>
  <si>
    <t>Master's</t>
  </si>
  <si>
    <t>CALCASIEU</t>
  </si>
  <si>
    <t>Lake Charles, LA</t>
  </si>
  <si>
    <t>Angelina</t>
  </si>
  <si>
    <t>Judy</t>
  </si>
  <si>
    <t>MILWAUKEE</t>
  </si>
  <si>
    <t>Milwaukee-Waukesha-West Allis, WI</t>
  </si>
  <si>
    <t>Gavin</t>
  </si>
  <si>
    <t xml:space="preserve">Must be able to lift and carry 75 lbs for 75 yards. Must be able to handle temperature extremes. Some weekend work.
</t>
  </si>
  <si>
    <t>Tim</t>
  </si>
  <si>
    <t>Sioux City</t>
  </si>
  <si>
    <t>WOODBURY</t>
  </si>
  <si>
    <t>Sioux City, IA-NE-SD</t>
  </si>
  <si>
    <t>Hawthorne</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</si>
  <si>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provides incidental transportation between worksites as necessary. No daily transportation to/from workers' home and primary worksite. Such transportation complies with all applicable Federal, State, and local laws/regulations.</t>
  </si>
  <si>
    <t>Landscape Maintenance Crew Member</t>
  </si>
  <si>
    <t>https://app-jobs.mo.gov/vosnet/loginintro.aspx</t>
  </si>
  <si>
    <t>H-400-23263-363868</t>
  </si>
  <si>
    <t xml:space="preserve">Commercial Mechanic </t>
  </si>
  <si>
    <t xml:space="preserve">Transdev Services Inc. </t>
  </si>
  <si>
    <t>2225 W. Lower Buckeye Road</t>
  </si>
  <si>
    <t>Killebrew</t>
  </si>
  <si>
    <t xml:space="preserve">Rob </t>
  </si>
  <si>
    <t>Rob.Killebrew@transdev.com</t>
  </si>
  <si>
    <t>Viswanath</t>
  </si>
  <si>
    <t>Dev</t>
  </si>
  <si>
    <t>291 Broadway</t>
  </si>
  <si>
    <t>Suite 1005</t>
  </si>
  <si>
    <t>dev@banadlaw.com</t>
  </si>
  <si>
    <t>The Banad Law Offices, P.C.</t>
  </si>
  <si>
    <t xml:space="preserve">Appellate Division 2nd Department </t>
  </si>
  <si>
    <t>P-400-23110-950676</t>
  </si>
  <si>
    <t xml:space="preserve">We will make all payroll deductions required by law and will not make any deductions, which are not required by law. </t>
  </si>
  <si>
    <t>Barry.Goldman@Transdev.com</t>
  </si>
  <si>
    <t>http://www.transdev.jobs</t>
  </si>
  <si>
    <t>H-400-23307-478455</t>
  </si>
  <si>
    <t xml:space="preserve">Ability to lift 20lbs
40 hrs/wk, work 5 days/wk, 6am-10pm, M-Sun, workdays/hours may vary depending on hotel capacity
</t>
  </si>
  <si>
    <t>Year</t>
  </si>
  <si>
    <t>P-400-23207-217827</t>
  </si>
  <si>
    <t>1831 N Lakewood Dr</t>
  </si>
  <si>
    <t>Bonnie@laborci.com</t>
  </si>
  <si>
    <t>Optional, shared housing available to the worker. If optional housing is agreed upon by the worker, cost of housing will be deducted from worker's wages. The exact amount of housing deduction varies by location; the deduction not to exceed $125 per weekly paycheck, but may be less depending on the housing location. At Employer’s sole discretion: possible cash advances (if applicable/requested by worker, potential deduction from worker’s paycheck).</t>
  </si>
  <si>
    <t>Holiday Inn Express &amp; Suites</t>
  </si>
  <si>
    <t>NORFOLK CITY</t>
  </si>
  <si>
    <t>H-400-23215-236419</t>
  </si>
  <si>
    <t>Superscapes Opco, LLC</t>
  </si>
  <si>
    <t>1500 Capital Dr.</t>
  </si>
  <si>
    <t>Mirabal</t>
  </si>
  <si>
    <t>Patty</t>
  </si>
  <si>
    <t>HR/Payroll Manager</t>
  </si>
  <si>
    <t xml:space="preserve">Some O.T. &amp; weekends may be available. </t>
  </si>
  <si>
    <t xml:space="preserve">$16.86 – 22.00/hr. based on experience and performance $25.29 – 33.00 O.T. </t>
  </si>
  <si>
    <t>P-400-23173-137039</t>
  </si>
  <si>
    <t>Assistance finding lodging is available, if needed, at no additional charge to the worker.
Employer will make all deductions required by law from each paycheck as well as for negligent loss or damage to property or tools.Optional Health Insurance – 100% employer paid (minimum essential coverage). $15,000 employer paid group life insurance</t>
  </si>
  <si>
    <t>patty@superscapes.net</t>
  </si>
  <si>
    <t>351 N 850 E</t>
  </si>
  <si>
    <t>Andrade</t>
  </si>
  <si>
    <t>sslandscapingutah@gmail.com</t>
  </si>
  <si>
    <t>Ste. 200</t>
  </si>
  <si>
    <t>Crowley</t>
  </si>
  <si>
    <t>1899, LLC Landscape Solutions</t>
  </si>
  <si>
    <t xml:space="preserve">Mt. Pleasant </t>
  </si>
  <si>
    <t xml:space="preserve">Adam </t>
  </si>
  <si>
    <t>1150 Hungryneck Blvd</t>
  </si>
  <si>
    <t>Suite C372</t>
  </si>
  <si>
    <t>admin@1899llc.com</t>
  </si>
  <si>
    <t>Holiday Inn Club Vacations - South Beach/Myrtle Beach Oceanfront</t>
  </si>
  <si>
    <t>3001 South Ocean Blvd,</t>
  </si>
  <si>
    <t>3020 Owners Club Court,</t>
  </si>
  <si>
    <t>P-400-23314-495137</t>
  </si>
  <si>
    <t>H-400-23215-235195</t>
  </si>
  <si>
    <t>Packers</t>
  </si>
  <si>
    <t>Mulch Manufacturing, Inc.</t>
  </si>
  <si>
    <t>446195 Hwy 301 South</t>
  </si>
  <si>
    <t>P O Box 5014</t>
  </si>
  <si>
    <t>Browning</t>
  </si>
  <si>
    <t>446195 US Hwy 301 South</t>
  </si>
  <si>
    <t>P. O. Box 5014</t>
  </si>
  <si>
    <t>mbrowning@mulchmfg.com</t>
  </si>
  <si>
    <t xml:space="preserve">Lift/carry up to 50 pounds.  Employer paid drug test is Random (post-employment), Post Accident, Upon Suspicion (Post Employment)  
</t>
  </si>
  <si>
    <t>P-400-23102-925837</t>
  </si>
  <si>
    <t>Character limit:  Upon worker arrival, employer will help or assist with securing housing through a third party. Workers are free to make their own housing arrangements and are not required to live in courtesy housing secured by the employer. If workers elect to live elsewhere, it is their responsibility to make their own arrangements at their own expense. Should workers opt to live in the third-party housing, employer will deduct rent and utilities from worker's paycheck in the amount of $70/week upon written approval by worker. Employer offers personal fee-based transportation option to workers through a third party. Transportation offered is to/from central location to work and return each day, grocery store, laundromat, bank etc. once week. Worker is not required to opt for transportation offered. Worker may make their own transportation arrangements at their own expense. Should workers opt for personal transportation, (see attached addendum)</t>
  </si>
  <si>
    <t>https://www.employflorida.com</t>
  </si>
  <si>
    <t>CHIEF EXECUTIVE OFFICER</t>
  </si>
  <si>
    <t>KEVON</t>
  </si>
  <si>
    <t>kevonmiller@kevonmillerlaw.com</t>
  </si>
  <si>
    <t>Bradenton</t>
  </si>
  <si>
    <t>O</t>
  </si>
  <si>
    <t>VEA Telecoms USA Co.</t>
  </si>
  <si>
    <t>VEA Connect</t>
  </si>
  <si>
    <t>4001-02 Highway 24/27 E</t>
  </si>
  <si>
    <t>Ferreira</t>
  </si>
  <si>
    <t>Nicolaas</t>
  </si>
  <si>
    <t>Casparus</t>
  </si>
  <si>
    <t>nico@veatelecoms.com</t>
  </si>
  <si>
    <t>Zaritzky</t>
  </si>
  <si>
    <t>8001 S. 13th Street</t>
  </si>
  <si>
    <t>dol@brownimmigrationlaw.com</t>
  </si>
  <si>
    <t>Brown Immigration Law P.C., L.L.O.</t>
  </si>
  <si>
    <t>Winston Salem</t>
  </si>
  <si>
    <t>FORSYTH</t>
  </si>
  <si>
    <t>Winston-Salem, NC</t>
  </si>
  <si>
    <t xml:space="preserve">The employer will make all payroll deductions required by law and will not make any deductions not required by law. </t>
  </si>
  <si>
    <t>tania@veaconnect.com</t>
  </si>
  <si>
    <t>H-400-23215-235155</t>
  </si>
  <si>
    <t>Oyster Processors</t>
  </si>
  <si>
    <t>Webb's Seafood, Inc.</t>
  </si>
  <si>
    <t>12603 Highway 231</t>
  </si>
  <si>
    <t>Youngstown</t>
  </si>
  <si>
    <t>Webb</t>
  </si>
  <si>
    <t>webbsseafood@aol.com</t>
  </si>
  <si>
    <t xml:space="preserve">Lift/carry up to 75 pounds.  Employer paid drug test is Pre-Employment, Random (post-employment), Post Accident, Upon Suspicion (Post Employment).  Workers are to process (shuck) 12 pounds of a quality product (free of nicks or cuts) per hour after being employed three weeks.  No infectious diseases; seafood allergies may be fatal.
</t>
  </si>
  <si>
    <t>P-400-23097-914013</t>
  </si>
  <si>
    <t>Character limit:  Shared housing available to only seasonal full-time employees, not offered to non-employees. Employees may make their own arrangements at their own expense. If they opt to live in employer provided housing rent (utilities included) charged at $50.00 for Unit 1 #12626 $75.00 for Unit 2 #12632.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t>
  </si>
  <si>
    <t>H-400-23241-305129</t>
  </si>
  <si>
    <t>LA COSECHA XIX, LLC</t>
  </si>
  <si>
    <t>LA PARRILLA MEXICAN RESTAURANT</t>
  </si>
  <si>
    <t>1306 COBB INDUSTRIAL DRIVE</t>
  </si>
  <si>
    <t>McENTYRE</t>
  </si>
  <si>
    <t>ROCIO</t>
  </si>
  <si>
    <t>HR-DIRECTOR</t>
  </si>
  <si>
    <t>flc@laparrilla.com</t>
  </si>
  <si>
    <t>JEONG</t>
  </si>
  <si>
    <t>JOON</t>
  </si>
  <si>
    <t>1295 OLD PEACHTREE ROAD</t>
  </si>
  <si>
    <t>SUITE 250</t>
  </si>
  <si>
    <t>SUWANEE</t>
  </si>
  <si>
    <t>INFO@JJEONGLAW.COM</t>
  </si>
  <si>
    <t>THE LAW OFFICE OF JOON JEONG, LLC</t>
  </si>
  <si>
    <t>THE SUPREME COURT OF GEORGIA</t>
  </si>
  <si>
    <t>MUST BE WILLING TO WORKWEEKENDS. 
MUST BE AT LEAST 18.</t>
  </si>
  <si>
    <t>2945 NORTH DRUID HILLS ROAD N.E.</t>
  </si>
  <si>
    <t>UNIT A</t>
  </si>
  <si>
    <t>P-400-23151-064991</t>
  </si>
  <si>
    <t>WWW.LAPARRILLA.COM</t>
  </si>
  <si>
    <t>H-400-23276-407400</t>
  </si>
  <si>
    <t>Sweet Time Concessions, Inc.</t>
  </si>
  <si>
    <t>2136 Edgewood Rd</t>
  </si>
  <si>
    <t>Engel</t>
  </si>
  <si>
    <t>Mary</t>
  </si>
  <si>
    <t>[MAIL: 78 University Heights Dr. Stony Brook, NY 11790]</t>
  </si>
  <si>
    <t>legacysummer@aol.com</t>
  </si>
  <si>
    <t>2136 Edgewood Road</t>
  </si>
  <si>
    <t>P-400-23241-303981</t>
  </si>
  <si>
    <t>H-400-23241-306217</t>
  </si>
  <si>
    <t>LABORERS, GENERAL</t>
  </si>
  <si>
    <t>NELSON POOL COMPANY LLC</t>
  </si>
  <si>
    <t>35 JAMIE LANE</t>
  </si>
  <si>
    <t>ELDON</t>
  </si>
  <si>
    <t>NELSON</t>
  </si>
  <si>
    <t>STEPHANIE</t>
  </si>
  <si>
    <t>sanelson4@yahoo.com</t>
  </si>
  <si>
    <t>Gismondi</t>
  </si>
  <si>
    <t>Westbury</t>
  </si>
  <si>
    <t>P-400-23199-197822</t>
  </si>
  <si>
    <t>H-400-23220-246634</t>
  </si>
  <si>
    <t>King1176@maslabor.com</t>
  </si>
  <si>
    <t>P-400-23180-153523</t>
  </si>
  <si>
    <t>Employer makes all payroll deductions required by law. Employer does not envision other workforce-wide payroll deductions. If requested, employer helps non-local workers secure optional worker-paid lodging. Employer deducts $72.50 weekly for rent/utilities for workers electing to reside in employer-provided housing. Voluntary advances and/or loans made to workers, if any, may be repaid by pre-authorized payroll deductions. Employer may deduct reasonable costs for daily transportation to/from worksite from designated pick-up location. Use of employer-provided transportation is voluntary.   Uniform provided at no cost. Employer may deduct cost for voluntary purchase of additional uniforms for worker's benefit.   Employer provides incidental transportation between worksites as necessary.</t>
  </si>
  <si>
    <t>H-400-23230-276961</t>
  </si>
  <si>
    <t>Packaging and Filling Machine Operators and Tenders</t>
  </si>
  <si>
    <t>Green Thumb Farms, Inc.</t>
  </si>
  <si>
    <t>123 West Fryeburg Rd.</t>
  </si>
  <si>
    <t>Mailing: PO Box 147, Fryeburg, ME 04037</t>
  </si>
  <si>
    <t>Fryeburg</t>
  </si>
  <si>
    <t>Pitreau</t>
  </si>
  <si>
    <t>Betsy</t>
  </si>
  <si>
    <t xml:space="preserve">Must be able to lift/carry 60lbs. from floor to shoulder level repetitively, when necessary.
</t>
  </si>
  <si>
    <t>123 W Fryeburg Rd</t>
  </si>
  <si>
    <t>OXFORD TOWN</t>
  </si>
  <si>
    <t>P-400-23187-171276</t>
  </si>
  <si>
    <t>Employer makes all payroll deductions required by law. Employer does not envision other workforce-wide payroll deductions. Optional lodging and board available to all non-local workers Employer deducts reasonable fair market value cost of lodging and board based on number of occupants for workers electing to reside in employer-offered housing (cost TBD) Employer deducts reasonable fair market value cost of rent/utilities based on number of occupants for workers electing to reside in employer-provided housing (cost TBD) Voluntary advances and/or loans made to workers if any may be repaid by pre-authorized payroll deductions Emplyr may deduct retirement/savings plan contributions and/or health insurance premiums for wrkrs voluntarily participating in plan(s) No daily transportation to/from workers home and primary wrksite Emplyr provides incidental transportation between multiple worksites as necessary Such transport complies with all applicable Federal, State, and local laws/regulations</t>
  </si>
  <si>
    <t>resumes.applications123@gmail.com</t>
  </si>
  <si>
    <t>H-400-23206-212001</t>
  </si>
  <si>
    <t>Household Nanny</t>
  </si>
  <si>
    <t>Nicole Chicas, Sole Proprietor</t>
  </si>
  <si>
    <t>113 Castana Lane</t>
  </si>
  <si>
    <t>Leechburg</t>
  </si>
  <si>
    <t>Chicas</t>
  </si>
  <si>
    <t>Sole Proprietor</t>
  </si>
  <si>
    <t>nicolefiorentino@hotmail.com</t>
  </si>
  <si>
    <t>Must have childcare experience in private household, daycare, or school setting. Preferably experience will be with infant and multiple child setting.</t>
  </si>
  <si>
    <t>ARMSTRONG</t>
  </si>
  <si>
    <t>P-400-23166-114846</t>
  </si>
  <si>
    <t xml:space="preserve">Employer may provide housing at a reasonable rate if requested by the Employer, but will more likely assist worker in finding/securing lodging of which the Employer has no ownership interest. If any lodging is provided or deposits paid to help workers secure housing, the Employer will deduct accordingly. </t>
  </si>
  <si>
    <t>H-400-23215-234961</t>
  </si>
  <si>
    <t>Snow removal laborer</t>
  </si>
  <si>
    <t>Advantage Corp</t>
  </si>
  <si>
    <t>1920 Medina Rd</t>
  </si>
  <si>
    <t>bonniecsanyi@yahoo.com</t>
  </si>
  <si>
    <t>bhruz@hruzimmigration.com</t>
  </si>
  <si>
    <t xml:space="preserve">Able to lift /carry 50lbs.
</t>
  </si>
  <si>
    <t>P-400-23142-041700</t>
  </si>
  <si>
    <t>78.00 Housing deduction per pay per worker but only for workers who choose to live at the employer provided housing.</t>
  </si>
  <si>
    <t>H-400-23198-192608</t>
  </si>
  <si>
    <t>Transplant Laborer</t>
  </si>
  <si>
    <t>Moon Valley Nursery of Arizona Retail, LLC - Maricopa</t>
  </si>
  <si>
    <t>Moon Valley Nurseries</t>
  </si>
  <si>
    <t>14000 N Pima Road</t>
  </si>
  <si>
    <t xml:space="preserve">Suite 150 </t>
  </si>
  <si>
    <t>Massimino</t>
  </si>
  <si>
    <t>EVP-General Counsel</t>
  </si>
  <si>
    <t>14000 N. Pima Road</t>
  </si>
  <si>
    <t>Suite 150</t>
  </si>
  <si>
    <t>h2@mvncorp.com</t>
  </si>
  <si>
    <t xml:space="preserve">Saturday work required, when necessary. Hours and overtime required may vary based on weather conditions and project need.  On-the-job training will be provided. All tools/supplies req'd, provided at no cost.  Must lift/carry 50 LBS. when necessary. Travel to customer locations for installations within the Pinal and Maricopa Counties of Arizona.
</t>
  </si>
  <si>
    <t>18047 N Tatum Blvd.</t>
  </si>
  <si>
    <t>P-400-23158-088923</t>
  </si>
  <si>
    <t xml:space="preserve">Only deductions required by the law.  Optional housing is available to any worker without cost.  </t>
  </si>
  <si>
    <t xml:space="preserve">Gonzalez Acevedo </t>
  </si>
  <si>
    <t>H-400-23215-234840</t>
  </si>
  <si>
    <t>Kitchen Attendant</t>
  </si>
  <si>
    <t>The Stratton Corporation</t>
  </si>
  <si>
    <t>Stratton Mountain Resort</t>
  </si>
  <si>
    <t>5 Village Lodge Rd.</t>
  </si>
  <si>
    <t>Stratton Mountain</t>
  </si>
  <si>
    <t xml:space="preserve">Kristyn </t>
  </si>
  <si>
    <t>5 Village Lodge Road</t>
  </si>
  <si>
    <t>KGreene@stratton.com</t>
  </si>
  <si>
    <t>Three (3) months of experience at a high-end restaurant, resort, or private club required.
On-the-job training is provided.
Following Shifts available 7 days a week including weekends and holidays. 8a-3p,10a-5p, 12p-7p, 3p-10p
Wage Per Hour: $14.53 - $21.00
Overtime Possible Per Hour at $21.80 - $31.50</t>
  </si>
  <si>
    <t>Stratton</t>
  </si>
  <si>
    <t>STRATTON</t>
  </si>
  <si>
    <t>Based on merit and past experience.</t>
  </si>
  <si>
    <t>P-400-23138-034505</t>
  </si>
  <si>
    <t>All deductions required by law will be made.
Optional housing is offered on a first-come, first-serve basis for workers who are relocating to begin employment. Cost of housing, if accepted, is $125.00 per week.  If used, total cost of housing will be paid directly to employer by employee.  A $125.00 refundable security deposit is required, to be paid directly to employer upon acceptance of housing. Daily transportation to and from worksite is provided for workers living in employee housing.
Optional Deductions from Paycheck: optional 401(k).
Benefits: Meal and retail discounts, free ski lift pass.</t>
  </si>
  <si>
    <t>humanresources@stratton.com</t>
  </si>
  <si>
    <t>H-400-23254-334866</t>
  </si>
  <si>
    <t xml:space="preserve">Crawfish Plant Worker </t>
  </si>
  <si>
    <t>Acadia Crawfish Company, L.L.C.</t>
  </si>
  <si>
    <t>919 West Second Street</t>
  </si>
  <si>
    <t>Broussard</t>
  </si>
  <si>
    <t xml:space="preserve">Scott </t>
  </si>
  <si>
    <t>jbrous@acadiacrawfish.com</t>
  </si>
  <si>
    <t>Post Office Box 682</t>
  </si>
  <si>
    <t xml:space="preserve">Must be able to lift fifty (50) pounds; may be subject to random drug screen upon hire paid for by employer and/or a drug screen paid for by employer post-employment accident and/or based off of reasonable suspicions during employment. This is a drug-free work place.  
</t>
  </si>
  <si>
    <t>ACADIA</t>
  </si>
  <si>
    <t>Employees may make above hourly wage rate and/or receive bonuses based on work experience and/or performance.</t>
  </si>
  <si>
    <t>P-400-23216-238205</t>
  </si>
  <si>
    <t>Employer will deduct $50.00 per week if the employee chooses to live in the employer provided housing.</t>
  </si>
  <si>
    <t>H-400-23213-228896</t>
  </si>
  <si>
    <t>Tree Planters</t>
  </si>
  <si>
    <t>Green Mountain Forestry, LLC</t>
  </si>
  <si>
    <t>2319 Holcomb Road</t>
  </si>
  <si>
    <t>Ringgold</t>
  </si>
  <si>
    <t>randall@greenmountainforestry.com</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</si>
  <si>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</si>
  <si>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2319 Holcomb Road (Report to Work)</t>
  </si>
  <si>
    <t>CATOOSA</t>
  </si>
  <si>
    <t>P-400-23115-965250</t>
  </si>
  <si>
    <t>todd@greenmountainforestry.com</t>
  </si>
  <si>
    <t>H-400-23215-235758</t>
  </si>
  <si>
    <t>Aberdeen Lodging Group, LLC</t>
  </si>
  <si>
    <t>Hampton Inn &amp; Suites</t>
  </si>
  <si>
    <t>205 6th Ave SE</t>
  </si>
  <si>
    <t>Aberdeen</t>
  </si>
  <si>
    <t>Kessler</t>
  </si>
  <si>
    <t>nkessler@lamontcompanies.com</t>
  </si>
  <si>
    <t xml:space="preserve">WORKERS MAY BE REQUIRED TO WORK ADDITIONAL HOURS DEPENDING AND WORKLOAD AND MAY ALSO HAVE DAYS OFF DURING THE WEEK. WORKERS WILL WORK A MINIMUM OF 35 HOURS PER WEEK.
EMPLOYER WILL OFFER 42 HOURS P/W, M-SU 8 AM TO 3 PM VARYING SHIFTS AND DAYS. WORKERS WILL WORK VARYING DAYS, TYPICAL FIVE DAYS WORK WEEK WITH TWO DAYS OFF. WORKERS MAY BE REQUESTED TO WORK ADDITIONAL DAYS DEPENDING ON WORKLOAD
</t>
  </si>
  <si>
    <t>3216 7th Ave SE</t>
  </si>
  <si>
    <t>BROWN</t>
  </si>
  <si>
    <t>P-400-23167-118352</t>
  </si>
  <si>
    <t>All required state, local and federal deductions will be taken from the workers checks. Optional employer arranged housing available at a weekly payroll cost for up to $100 per week.</t>
  </si>
  <si>
    <t>H-400-23199-197705</t>
  </si>
  <si>
    <t>Manufacturing Laborer</t>
  </si>
  <si>
    <t>Must be able to work weekends.</t>
  </si>
  <si>
    <t>925 1st Ave.</t>
  </si>
  <si>
    <t>Chippewa Falls</t>
  </si>
  <si>
    <t>CHIPPEWA</t>
  </si>
  <si>
    <t>P-400-23150-063657</t>
  </si>
  <si>
    <t>Quiring</t>
  </si>
  <si>
    <t>Kaitlyn</t>
  </si>
  <si>
    <t>kaitlyn.quiring@ogletree.com</t>
  </si>
  <si>
    <t>H-400-23215-234824</t>
  </si>
  <si>
    <t>Lido Beach LLC</t>
  </si>
  <si>
    <t>Lido Beach Resort</t>
  </si>
  <si>
    <t xml:space="preserve">700 Ben Franklin Drive </t>
  </si>
  <si>
    <t>Leen</t>
  </si>
  <si>
    <t>HUman Resources</t>
  </si>
  <si>
    <t>aleen@lidobeachresort.com</t>
  </si>
  <si>
    <t>P-400-23143-045005</t>
  </si>
  <si>
    <t>H-400-23227-264830</t>
  </si>
  <si>
    <t>Shuttle Driver/ Parking Attendant</t>
  </si>
  <si>
    <t>Sunday River Skiway Corporation</t>
  </si>
  <si>
    <t>Sunday River Resort</t>
  </si>
  <si>
    <t>P.O. BOX 4500</t>
  </si>
  <si>
    <t>15 S Ridge Rd</t>
  </si>
  <si>
    <t>NEWRY</t>
  </si>
  <si>
    <t>LAMBERT</t>
  </si>
  <si>
    <t>DARCY</t>
  </si>
  <si>
    <t xml:space="preserve"> VP of Human Resources</t>
  </si>
  <si>
    <t>PO Box 4500</t>
  </si>
  <si>
    <t>Newry</t>
  </si>
  <si>
    <t>dlambert@sundayriver.com</t>
  </si>
  <si>
    <t>Apt # 6</t>
  </si>
  <si>
    <t>Fort Lauderdale</t>
  </si>
  <si>
    <t>CALIFORIA SUPREME COURT</t>
  </si>
  <si>
    <t xml:space="preserve">Commercial Drivers License (CDL) with passenger endorsement required
Basic reading and speaking skills in English. 
Worksites: Grand Summit, 97 Summit Drive, Newry, ME 04261; Jordan, 27 Grand Avenue, Newry, ME 04261; Barker, 131 Barker Mountain Road, Newry, ME 04261; South Ridge, 15 South Ridge Road, Newry, ME 04261. </t>
  </si>
  <si>
    <t xml:space="preserve">15 South Ridge Road </t>
  </si>
  <si>
    <t>Work schedule as “35-40 hours/week, 0-10 OT hours/week, OT varies (OT must be pre-approved); 5-hour shifts; 5-6 days/week (Sun-Sat, schedule varies and includes evenings and weekends; business is open 7 days/week); Shifts are between 6:00 am to 10:00 pm. Must be able to work a minimum of one shift per day, up to five days each week which will consist of an average of seven (7) to eight (8) hours per day. Anticipate two (2) days each week off, which is not guaranteed based on business operational needs”.</t>
  </si>
  <si>
    <t>P-400-23126-999340</t>
  </si>
  <si>
    <t>•	Workers also have the option of securing their own lodging. Workers have the option of employer-provided housing for $140 per week, and if elected, employer will deduct costs from worker’s paycheck. 
•	Employer will make all deductions from the worker’s paycheck required by law and any non-legally required payroll deductions permitted under the law and requested by Employee.</t>
  </si>
  <si>
    <t>jessica.haight@sundayriver.com</t>
  </si>
  <si>
    <t>H-400-23215-234823</t>
  </si>
  <si>
    <t>Lighting Assistant</t>
  </si>
  <si>
    <t>PITZER'S LAWN MANAGEMENT, INC.</t>
  </si>
  <si>
    <t>11401 S. BROADWAY</t>
  </si>
  <si>
    <t>EDMOND</t>
  </si>
  <si>
    <t>PITZER</t>
  </si>
  <si>
    <t>KURT</t>
  </si>
  <si>
    <t>KURT@PITZERSLM.COM</t>
  </si>
  <si>
    <t xml:space="preserve">Must be able to work a 6-day schedule, may include weekends and holidays. Applicants must complete an employment application. 
</t>
  </si>
  <si>
    <t>11401 S. Broadway</t>
  </si>
  <si>
    <t>Employer may increase wage based on experience, change in market conditions, and/or provide additional pay for performan</t>
  </si>
  <si>
    <t>P-400-23138-036312</t>
  </si>
  <si>
    <t xml:space="preserve">Employer will make all deductions from the worker's paycheck required by law. The employer will assist workers in finding affordable housing. Optional health insurance available, cost approximately $35.63 and optional dental insurance available, cost approximately $10.62 per week payroll deducted if worker chooses to enroll. 
Employer will provide worker at no charge all tools, supplies, equipment and uniform required to perform job. 
</t>
  </si>
  <si>
    <t>H-400-23263-360938</t>
  </si>
  <si>
    <t>Full time nanny for military single parent</t>
  </si>
  <si>
    <t>Natalie Larenas</t>
  </si>
  <si>
    <t>7998 Highlander Gln</t>
  </si>
  <si>
    <t>Glen Burnie</t>
  </si>
  <si>
    <t>Larenas</t>
  </si>
  <si>
    <t>7998 Highlander Glen</t>
  </si>
  <si>
    <t>nanilave87@gmail.com</t>
  </si>
  <si>
    <t xml:space="preserve">Spanish
First Aid
</t>
  </si>
  <si>
    <t>P-400-23201-202274</t>
  </si>
  <si>
    <t>Tax withholding for state and federal</t>
  </si>
  <si>
    <t>H-400-23185-165696</t>
  </si>
  <si>
    <t>E&amp;P Food Group, LLC</t>
  </si>
  <si>
    <t>Takara Ramen Westchester</t>
  </si>
  <si>
    <t>15781 WC Main St</t>
  </si>
  <si>
    <t>Midlothian</t>
  </si>
  <si>
    <t>Park</t>
  </si>
  <si>
    <t>Jihyun</t>
  </si>
  <si>
    <t>The owner</t>
  </si>
  <si>
    <t>jihyunp1004@gmail.com</t>
  </si>
  <si>
    <t xml:space="preserve">Must be able to work in the assigned location, multiple work hours, or OT on short notice.
</t>
  </si>
  <si>
    <t>P-400-23092-895438</t>
  </si>
  <si>
    <t>https://www.takararamenwestchester.com</t>
  </si>
  <si>
    <t>H-400-23184-162196</t>
  </si>
  <si>
    <t>Sous Chef</t>
  </si>
  <si>
    <t>JFR 1740 Restaurant LLC</t>
  </si>
  <si>
    <t>Iris</t>
  </si>
  <si>
    <t>1740 Broadway</t>
  </si>
  <si>
    <t>LaBarca</t>
  </si>
  <si>
    <t>Tracey</t>
  </si>
  <si>
    <t>Director of Human Resource</t>
  </si>
  <si>
    <t>tlabarca@jfrestaurants.com</t>
  </si>
  <si>
    <t>Deck</t>
  </si>
  <si>
    <t>Lindsey</t>
  </si>
  <si>
    <t>110 N. Main Street</t>
  </si>
  <si>
    <t>Suite 1000</t>
  </si>
  <si>
    <t>lkd@amfdayton.com</t>
  </si>
  <si>
    <t>Auman Mahan + Furry</t>
  </si>
  <si>
    <t>Ohio Supreme Court</t>
  </si>
  <si>
    <t xml:space="preserve">New York City Food Handlers Certificate
</t>
  </si>
  <si>
    <t>The proposed position is a full-time exempt salaried position paid at $68,280/year.</t>
  </si>
  <si>
    <t>P-400-23117-971782</t>
  </si>
  <si>
    <t>Federal and State taxes and any benefits elected.</t>
  </si>
  <si>
    <t>H-400-23184-162272</t>
  </si>
  <si>
    <t>AG Service Technicians</t>
  </si>
  <si>
    <t>Farm Equipment Mechanics and Service Technicians</t>
  </si>
  <si>
    <t>AVE-PLP, LLC</t>
  </si>
  <si>
    <t>58668 190th Street</t>
  </si>
  <si>
    <t>Pacific Junction</t>
  </si>
  <si>
    <t xml:space="preserve">Adams </t>
  </si>
  <si>
    <t>Harley</t>
  </si>
  <si>
    <t xml:space="preserve">Director Of Operations </t>
  </si>
  <si>
    <t>KAdams@plpjd.com</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</si>
  <si>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100lbs (possible 2-person). All applicants must be able, willing, qualified to perform work described and must be available for the entire period specified and work throughout all areas of intended employment.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</si>
  <si>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501 W. Main (Report to Work)</t>
  </si>
  <si>
    <t xml:space="preserve">Anthony </t>
  </si>
  <si>
    <t>Wage may vary based on experience</t>
  </si>
  <si>
    <t>P-400-23116-969144</t>
  </si>
  <si>
    <t>hr@ave-plp.com</t>
  </si>
  <si>
    <t>https://www.prairielandpartners.com/careers</t>
  </si>
  <si>
    <t>H-400-23227-265779</t>
  </si>
  <si>
    <t>CNH Industrial America LLC</t>
  </si>
  <si>
    <t>700 State Street</t>
  </si>
  <si>
    <t>Racine</t>
  </si>
  <si>
    <t>Rogers</t>
  </si>
  <si>
    <t>Molly</t>
  </si>
  <si>
    <t>Human Resources – North America</t>
  </si>
  <si>
    <t>500 Diller Avenue</t>
  </si>
  <si>
    <t>New Holland</t>
  </si>
  <si>
    <t>molly.rogers@cnhind.com</t>
  </si>
  <si>
    <t>Kallmeyer</t>
  </si>
  <si>
    <t>411 East Wisconsin Avenue</t>
  </si>
  <si>
    <t>Suite 2400</t>
  </si>
  <si>
    <t>Milwaukee</t>
  </si>
  <si>
    <t>maria.kallmeyer@quarles.com</t>
  </si>
  <si>
    <t>Quarles &amp; Brady LLP</t>
  </si>
  <si>
    <t xml:space="preserve">Requires one year of welding experience. 
</t>
  </si>
  <si>
    <t>260 Highway 12 SE</t>
  </si>
  <si>
    <t>SWIFT</t>
  </si>
  <si>
    <t>Southwest Minnesota nonmetropolitan area</t>
  </si>
  <si>
    <t>P-400-23179-151954</t>
  </si>
  <si>
    <t>The employer will make all deductions from the worker’s paycheck as required by law and will not make any deductions, which are not required by law</t>
  </si>
  <si>
    <t>H-400-23267-376277</t>
  </si>
  <si>
    <t>MD Property Services, Inc.</t>
  </si>
  <si>
    <t>947 S 500 E Ste 100</t>
  </si>
  <si>
    <t>maritzan@mdpropertyinc.com</t>
  </si>
  <si>
    <t>6800 N 5400 W</t>
  </si>
  <si>
    <t>Opportunity for higher pay dependent upon experience. . Raises and/or bonuses at employer's discretion</t>
  </si>
  <si>
    <t>P-400-23201-202258</t>
  </si>
  <si>
    <t>H-400-23214-231306</t>
  </si>
  <si>
    <t>6 months experience in the job at a high-end hotel, resort, or private club is required.
On-the-job training is provided.
Following Shifts available 7 days a week including weekends and holidays. 5a-12p, 7a-2p, 8a-3p, 12p-7p, Shift hours will vary.
Wage Per Hour: $16.94 - $21.00 based on merit and past experience
Overtime Possible Per Hour at $25.41 - $31.50</t>
  </si>
  <si>
    <t>based on merit and past experience</t>
  </si>
  <si>
    <t>P-400-23117-973590</t>
  </si>
  <si>
    <t>All deductions required by law will be made.
Optional housing is offered on a first-come, first-serve basis for workers who are relocating to begin employment. Cost of housing, if accepted, is $125.00 per week. If used, total cost of housing will be paid directly to employer by employee. A $125.00 refundable security deposit is required, to be paid directly to employer upon acceptance of housing.
Daily transportation to and from worksite is provided for workers living in employee housing.
Optional Deductions from Paycheck: optional 401(k)
Benefits: Meal and retail discounts, free ski lift pass</t>
  </si>
  <si>
    <t>H-400-23227-265258</t>
  </si>
  <si>
    <t>Ski Instructor, Level III Certified</t>
  </si>
  <si>
    <t>TSG Ski and Golf, LLC</t>
  </si>
  <si>
    <t>Telluride Ski and Golf</t>
  </si>
  <si>
    <t>565 Mountain Village Blvd.</t>
  </si>
  <si>
    <t>Telluride</t>
  </si>
  <si>
    <t>Newell</t>
  </si>
  <si>
    <t>Tom</t>
  </si>
  <si>
    <t>Manager, Ski &amp; Snowboard School</t>
  </si>
  <si>
    <t>tnewell@tellurideskiresort.com</t>
  </si>
  <si>
    <t xml:space="preserve">Level III certification with Professional Ski Instructors of America (PSIA)/American Association of Snowboard Instructors (AASI) or International Ski Instructors Association (ISIA) equivalent.
</t>
  </si>
  <si>
    <t>565 Mountain Village Blvd</t>
  </si>
  <si>
    <t>*Job performed on 2000 skiable acres at resort*</t>
  </si>
  <si>
    <t>SAN MIGUEL</t>
  </si>
  <si>
    <t>P-400-23113-957751</t>
  </si>
  <si>
    <t>Optional employee housing is available on a limited basis and is first come, first serve for $698/month for a double occupancy studio apartment in Telluride Mountain Village with access to the resort via free public Gondola transportation.</t>
  </si>
  <si>
    <t xml:space="preserve">Song </t>
  </si>
  <si>
    <t>Fragomen, Del Rey, Bernsen, &amp; Loewy, LLP</t>
  </si>
  <si>
    <t>H-400-23245-317903</t>
  </si>
  <si>
    <t>Snow Shoveler</t>
  </si>
  <si>
    <t>MB Associates, LLC</t>
  </si>
  <si>
    <t>192 Londonderry Turnpike</t>
  </si>
  <si>
    <t>Hooksett</t>
  </si>
  <si>
    <t>Bresaw</t>
  </si>
  <si>
    <t>Meredith</t>
  </si>
  <si>
    <t>mbassociates81@gmail.com</t>
  </si>
  <si>
    <t>Bre@laborci.com</t>
  </si>
  <si>
    <t>192 Londonderry Turnpike (Report to Work)</t>
  </si>
  <si>
    <t>MERRIMACK</t>
  </si>
  <si>
    <t>P-400-23194-187952</t>
  </si>
  <si>
    <t>H-400-23208-219261</t>
  </si>
  <si>
    <t xml:space="preserve">Must be able to lift 50 lbs. Must be able to stand for extended periods of time. Must have a minimum of 1 year of housekeeping experience.
</t>
  </si>
  <si>
    <t>P-400-23113-957846</t>
  </si>
  <si>
    <t xml:space="preserve">Optional subsidized employee housing is available but limited.  Biweekly cost is $185.00 to $310.00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</si>
  <si>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H-400-23198-193306</t>
  </si>
  <si>
    <t>Seasonal Plant Cleaners</t>
  </si>
  <si>
    <t>Abbey's Cleaning Services, LLC</t>
  </si>
  <si>
    <t>4889 W. Main Street</t>
  </si>
  <si>
    <t>Houma</t>
  </si>
  <si>
    <t>Lombas</t>
  </si>
  <si>
    <t>Abbey</t>
  </si>
  <si>
    <t xml:space="preserve">Houma </t>
  </si>
  <si>
    <t>abbeycleaningservices2018@gmail.com</t>
  </si>
  <si>
    <t>Must have 3 months of work-related experience. No education. Endure working in a cold and wet seafood processing plant and stand to perform work duties.  Workers will work 40 hours a week with no overtime.  
Workers must be willing to work rotating shifts (Monday to Friday) 7 hours (Shifts: 6:00 AM to 2:00 PM or 2:00 PM to 10:00 PM or 10:00 PM to 6:00 AM) and Saturday 5 hours (Shifts: 6:00 AM to 12:00 PM or 12:00 PM to 6:00 PM or 6:00 PM to Midnight or Midnight to 6:00 AM);</t>
  </si>
  <si>
    <t>TERREBONNE</t>
  </si>
  <si>
    <t>Houma-Thibodaux, LA</t>
  </si>
  <si>
    <t>P-400-23108-942182</t>
  </si>
  <si>
    <t xml:space="preserve">All deductions from workers' paychecks required by law will be made.
Employer will have furnished lodging available for workers with equipped kitchen to prepare daily meals if the worker chooses to stay at lodging offered by the employer.  A lodging fee of 140.00 p/month, including utilities will be deducted from the worker's paycheck. For workers who choose not to live at lodging offered by the employer and prefer to live elsewhere, the $140.00 lodging fee will not be deducted from workers' paychecks. </t>
  </si>
  <si>
    <t>H-400-23277-408668</t>
  </si>
  <si>
    <t>Yellowstone Landscape - Central, Inc.</t>
  </si>
  <si>
    <t>3204 Rowe Lane</t>
  </si>
  <si>
    <t>Mailing: 3235 N. State St, PO Box 849, Bunnell, FL 32110</t>
  </si>
  <si>
    <t>ELISE</t>
  </si>
  <si>
    <t>VP OF HUMAN RESOURCES</t>
  </si>
  <si>
    <t>Mailing:3235 N. State St, PO Box 849, Bunnell, FL 32110</t>
  </si>
  <si>
    <t>ejohnson@yellowstonelandscape.com</t>
  </si>
  <si>
    <t>gloria@PESUSA.COM</t>
  </si>
  <si>
    <t xml:space="preserve">Post-employment criminal background check may be performed in accordance with contractual obligations for US and Foreign workers. Pre-employment, post-injury/incident and reasonable suspicion drug test and e-verify required, cost paid by employer and applied equally to all workers, U.S. and foreign/H-2B. Must be able to work a 5 day schedule, may include weekends and holidays. Applicants must complete an employment application.
</t>
  </si>
  <si>
    <t>P-400-23170-124645</t>
  </si>
  <si>
    <t xml:space="preserve">Employer will make all deductions from the worker's paycheck required by law.
Optional Medical/Dental/Vision/Accident/Critical Illness insurance and 401K available. Insurance costs vary depending on plan(s) selected by workers. Cost of Medical, Dental, Vision, Accident, and critical Illness insurance and 401K is voluntary and deducted from paycheck if worker elects.
</t>
  </si>
  <si>
    <t>H-400-23215-237899</t>
  </si>
  <si>
    <t>Bay Colony Golf Club, Inc.</t>
  </si>
  <si>
    <t>9740 Bent Grass Bend</t>
  </si>
  <si>
    <t>Bradfield</t>
  </si>
  <si>
    <t>michaelb@baycolonygolfclub.com</t>
  </si>
  <si>
    <t xml:space="preserve">The Petitioner will consider for employment any person who possesses at least six (6) months of culinary experience in a fine-dining or high-volume environment at a high-end restaurant, resort, or private club.   Applicant must complete a pre-employment drug screening.  Applicant must be willing to obtain a Safe Serve Certification provided by employer. 
</t>
  </si>
  <si>
    <t xml:space="preserve">Wage: $20.00-$26.50 per hour, paid bi-weekly.  Overtime is available at $30.00-$39.75 per hour. See job description. </t>
  </si>
  <si>
    <t>P-400-23169-122584</t>
  </si>
  <si>
    <t xml:space="preserve">Housing is offered and optional. Cost of housing, including utilities and Wi-Fi, if accepted, is $250.00 per bi-weekly pay period. A $150.00 refundable security deposit is required, to be paid directly to the housing agent upon acceptance of housing.  Applicants electing to stay in provided housing will be required to go through a background screening at no cost to them with employer’s housing agent/apartment complex. </t>
  </si>
  <si>
    <t>Sharont@BaycolonyGolfClub.com</t>
  </si>
  <si>
    <t>H-400-23237-298183</t>
  </si>
  <si>
    <t>Shop helper</t>
  </si>
  <si>
    <t>Titan Landscape LLC</t>
  </si>
  <si>
    <t>420 East Huckleberry Lane</t>
  </si>
  <si>
    <t>Cherry</t>
  </si>
  <si>
    <t>Brittany@titanlandscape.net</t>
  </si>
  <si>
    <t>1901 Avenue of the Stars</t>
  </si>
  <si>
    <t>maria@mariasaenzlaw.com</t>
  </si>
  <si>
    <t>Maria Saenz Law</t>
  </si>
  <si>
    <t>MASSACHUSETTS SUPREME JUDICIAL COURT</t>
  </si>
  <si>
    <t xml:space="preserve">Work on Saturdays and Sundays may be required.
</t>
  </si>
  <si>
    <t>8682 S Sandy Pkwy</t>
  </si>
  <si>
    <t>Raises/bonuses may be offered to workers in specified occupation at company's sole discretion.</t>
  </si>
  <si>
    <t>P-400-23168-121893</t>
  </si>
  <si>
    <t>AT EMPLOYEES' REQUEST AND EMPLOYER'S DISCRETION, EMPLOYER MAY PROVIDE EMPLOYEES WITH AN INTEREST-FREE LOAN OR CASH ADVANCE PRIOR TO THE COMMENCEMENT OF THE WORK PERIOD OR DURING THE WORK PERIOD. IN THIS EVENT, THE EMPLOYER MAY, WITH WRITTEN CONSENT AND BY REQUEST OF THE EMPLOYEE, SUBTRACT AN AMOUNT FROM THE EMPLOYEE'S PAYCHECK CONSISTENT WITH BOTH PARTIES' AGREED TERMS OF REPAYMENT FOR THE LOAN OR CASH
ADVANCE.
PLEASE NOTE, RAISES AND/OR BONUSES MAY BE OFFERED TO ANY WORKER IN THE SPECIFIED OCCUPATION, AT THE COMPANY'S SOLE DISCRETION, BASED ON INDIVIDUAL FACTORS INCLUDING WORK PERFORMANCE, SKILL AND TENURE.</t>
  </si>
  <si>
    <t>H-400-23248-320003</t>
  </si>
  <si>
    <t xml:space="preserve">Schedule: Monday through Sunday (schedule varies). Shifts: 8am-3pm or 4pm-11pm (shift hours may vary). Five rotating days. Employer will offer at least thirty-five (35) hours per week. </t>
  </si>
  <si>
    <t> 21 Broad Street</t>
  </si>
  <si>
    <t>Optional employee housing available at a rate of $150 per week to be deducted from paycheck if housing is elected.</t>
  </si>
  <si>
    <t>P-400-23153-073201</t>
  </si>
  <si>
    <t>H-400-23263-362098</t>
  </si>
  <si>
    <t>P-400-23203-208284</t>
  </si>
  <si>
    <t>H-400-23280-416959</t>
  </si>
  <si>
    <t>Mount Airy</t>
  </si>
  <si>
    <t>Nicolas</t>
  </si>
  <si>
    <t>P-400-23228-267505</t>
  </si>
  <si>
    <t xml:space="preserve">None. </t>
  </si>
  <si>
    <t>H-400-23280-416983</t>
  </si>
  <si>
    <t>Sam's Amusements and Carnival, Inc.</t>
  </si>
  <si>
    <t>13026 170th St. N</t>
  </si>
  <si>
    <t>Marine on St Croix</t>
  </si>
  <si>
    <t>13026 170th St N</t>
  </si>
  <si>
    <t>Marine on St. Croix</t>
  </si>
  <si>
    <t>samsamusements@comcast.net</t>
  </si>
  <si>
    <t>8901 N Harrison</t>
  </si>
  <si>
    <t>Shawnee</t>
  </si>
  <si>
    <t>Southeast Oklahoma nonmetropolitan area</t>
  </si>
  <si>
    <t>P-400-23200-199866</t>
  </si>
  <si>
    <t xml:space="preserve">Employer will make all deductions from the worker’s paycheck required by law.  Optional housing (valued at $175.00 per week) and local convenience travel (valued at $15.00 per week) are available at no cost to the worker. </t>
  </si>
  <si>
    <t>H-400-23198-194551</t>
  </si>
  <si>
    <t>Leaf/Snow Removal Laborer</t>
  </si>
  <si>
    <t>LG Services, LLC</t>
  </si>
  <si>
    <t>1909 Gravois Rd.</t>
  </si>
  <si>
    <t>Botto</t>
  </si>
  <si>
    <t>Jody</t>
  </si>
  <si>
    <t>brandon@lawngroomersinc.com</t>
  </si>
  <si>
    <t>IMMIGRATION@KJPARNTERS.LAW</t>
  </si>
  <si>
    <t>KJ PARNTERS LLP</t>
  </si>
  <si>
    <t>P-400-23137-030859</t>
  </si>
  <si>
    <t>Employer will make all deductions required by law from each paycheck as well as for employer provided housing if chosen by worker at $60.00/wk. ($55.00 rent and $5.00 utilities) and optional uniform laundry service at $9.00/week. Other benefits provided to U.S. and H2B workers are the following: Optional health insurance available. Employee pays 100% up to 9.5% of pay.</t>
  </si>
  <si>
    <t>jody@lawngroomersinc.com</t>
  </si>
  <si>
    <t>H-400-23227-265854</t>
  </si>
  <si>
    <t>Trimont Land Company</t>
  </si>
  <si>
    <t>Northstar California, part of the Vail Resorts family of companies</t>
  </si>
  <si>
    <t>50 Trimont Lane</t>
  </si>
  <si>
    <t>Truckee</t>
  </si>
  <si>
    <t>5001 Northstar Drive</t>
  </si>
  <si>
    <t>P-400-23113-957872</t>
  </si>
  <si>
    <t>Optional subsidized employee housing is available but limited. Space may not be available for all employees. Biweekly cost is $310.00 to $330.00 depending on unit type (i.e. number of beds in unit and number of people living in unit). Employee is responsible for paying housing cost biweekly. A license deposit of $250 is due prior to check-in. With employee's voluntary consent, housing cost will be deducted from paycheck.</t>
  </si>
  <si>
    <t>H-400-23228-269714</t>
  </si>
  <si>
    <t>Sheet Metal Duct Fitter</t>
  </si>
  <si>
    <t xml:space="preserve">The applicant should have at least 15 years including at least 2 year work experience dealing with 2.0 millimeter thick steel sheet.
</t>
  </si>
  <si>
    <t>P-400-23145-052615</t>
  </si>
  <si>
    <t>H-400-23229-273802</t>
  </si>
  <si>
    <t>Cook I</t>
  </si>
  <si>
    <t xml:space="preserve">Auberge Resorts Aspen, Inc. </t>
  </si>
  <si>
    <t>Hotel Jerome</t>
  </si>
  <si>
    <t>330 E. Main Street</t>
  </si>
  <si>
    <t>Lynch</t>
  </si>
  <si>
    <t>Martina</t>
  </si>
  <si>
    <t>Director of Talent &amp; Culture</t>
  </si>
  <si>
    <t>martina.lynch@aubergeresorts.com</t>
  </si>
  <si>
    <t>The Petitioner will consider for employment any person who posses at least one (1) year of culinary experience in a fine-dining or high-volume environment at a high-end restaurant, resort, or private club. Applicant must complete pre-employment background check.  
Work performed on any day of the week from Monday through Sunday; Example shifts: 7:00am to 2:00pm or 3:30pm to 10:30pm. Shift hours may vary. It is unclear the number of workdays and total hourly work schedule per week.</t>
  </si>
  <si>
    <t xml:space="preserve">Wage: $21.00 - $25.00 per hour, paid semi-monthly.  Overtime is available at $31.50 - $37.50 per hour.  </t>
  </si>
  <si>
    <t>P-400-23182-161673</t>
  </si>
  <si>
    <t xml:space="preserve">Optional housing is offered on a first-come, first-serve basis for workers who are relocating to begin employment.  Cost of housing, if accepted, is $670.00 per month.  If used, total cost of housing will be deducted from paycheck.  A $1,000.00 partially-refundable security deposit (which includes a $150.00 non-refundable administrative fee) is required, to be deducted from paycheck in equal $250.00 installments from employee’s first four (4) paychecks.  </t>
  </si>
  <si>
    <t>H-400-23280-416903</t>
  </si>
  <si>
    <t>GE Forestry, Inc.</t>
  </si>
  <si>
    <t>1180 Bens Lane</t>
  </si>
  <si>
    <t>Esteban</t>
  </si>
  <si>
    <t>geforest@msn.com</t>
  </si>
  <si>
    <t>Must be 18 due to travel. Must show proof of legal authorization to work in the United States. Drug/alcohol/tobacco free work zone. Must walk substantially (up to 15 miles/day), also stoop, bend while carrying a pack (up to 40lbs) thru rough terrain (non-trail).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</si>
  <si>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1180 Bens Lane (Report to Work)</t>
  </si>
  <si>
    <t>P-400-23186-167051</t>
  </si>
  <si>
    <t>H-400-23207-215319</t>
  </si>
  <si>
    <t>Kitchen Assistant</t>
  </si>
  <si>
    <t>Salvadoran Cuisine Corporation</t>
  </si>
  <si>
    <t>15260 SW 280 Street</t>
  </si>
  <si>
    <t>Suite 120-121</t>
  </si>
  <si>
    <t>Diaz</t>
  </si>
  <si>
    <t>Ana</t>
  </si>
  <si>
    <t>anadiaz529@yahoo.com</t>
  </si>
  <si>
    <t>Sandham</t>
  </si>
  <si>
    <t>4521 PGA BLVD</t>
  </si>
  <si>
    <t>#477</t>
  </si>
  <si>
    <t>Palm Beach Gardens</t>
  </si>
  <si>
    <t>ynv@yournextvisa.com</t>
  </si>
  <si>
    <t>Your Next Visa, LLC</t>
  </si>
  <si>
    <t xml:space="preserve">The Petitioner will consider for employment any person who speaks both English and Spanish languages with a minimum of 1 month experience.
Schedule: 40 hours per week. The work schedule can vary and can include evening, weekend, and holiday hours. Work may be performed on any day of the week from Tuesday through Sunday. Example shifts: 8:00am to 4pm. Shift hours may vary.
</t>
  </si>
  <si>
    <t>Suite 120 - 121</t>
  </si>
  <si>
    <t>P-400-23133-019621</t>
  </si>
  <si>
    <t xml:space="preserve">
A single workweek will be used to compute wages due.
Optional housing is offered on a first-come, first-serve basis for workers who are relocating to begin employment. The cost of housing, including utilities, if accepted, is $130 per week. If used, the total cost of housing will be deducted from paycheck. 
All deductions from paycheck required by law will be made.
</t>
  </si>
  <si>
    <t>H-400-23196-191913</t>
  </si>
  <si>
    <t>CAROLINA CONDUIT SYSTEMS, INC.</t>
  </si>
  <si>
    <t>10920 CLEVELAND ROAD</t>
  </si>
  <si>
    <t>GARNER</t>
  </si>
  <si>
    <t>OWENS</t>
  </si>
  <si>
    <t>CHRISTOPHER</t>
  </si>
  <si>
    <t>cowens@carolinaconduit.com</t>
  </si>
  <si>
    <t>PIPER GLEN DRIVE</t>
  </si>
  <si>
    <t>P-400-23157-083810</t>
  </si>
  <si>
    <t>https://www.ncworks.gov/vosnet/Default.aspx</t>
  </si>
  <si>
    <t>H-400-23276-406204</t>
  </si>
  <si>
    <t xml:space="preserve">Shawn McKinney Food Services, LLC </t>
  </si>
  <si>
    <t xml:space="preserve">3290 FM 161 N </t>
  </si>
  <si>
    <t xml:space="preserve">Hughes Springs </t>
  </si>
  <si>
    <t xml:space="preserve">Shawn </t>
  </si>
  <si>
    <t>3290 FM 161 N</t>
  </si>
  <si>
    <t>shawnmckinneyfoodservices@gmail.com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</si>
  <si>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Applicants must cooperate with and complete job application and interview truthfully. 
This job order, including its wage and working terms and conditions, is intended contingent upon prevailing U.S. immigration law, including Department of Labor and Department of Homeland Security regulations. If any such prevailing law is enjoined, invalidated, rescinded, superseded, vacated, or substantially modified, then the parties will re-negotiate in good faith any affected term. 
</t>
  </si>
  <si>
    <t>P-400-23172-132897</t>
  </si>
  <si>
    <t xml:space="preserve">Employer will make all deductions from worker’s paycheck required by law. Employer optional shared housing is provided at no cost to the worker ($120/wk.), local convenience travel valued at ($20/wk.) and food available for wage credit and/or deduction, or any lesser amount to the maximum extent not prohibited by law. </t>
  </si>
  <si>
    <t>H-400-23215-235717</t>
  </si>
  <si>
    <t>Pats Peak Skiing LLC</t>
  </si>
  <si>
    <t>686 Flanders Road</t>
  </si>
  <si>
    <t>Mailing: PO Box 2448 Henniker, New Hampshire 03242.</t>
  </si>
  <si>
    <t>Henniker</t>
  </si>
  <si>
    <t>Demmons</t>
  </si>
  <si>
    <t>Director of Base Area Services</t>
  </si>
  <si>
    <t>sarah@patspeak.com</t>
  </si>
  <si>
    <t>The Petitioner will consider for employment any person who possesses at least three (3) months of culinary experience in a fine-dining or high-volume environment at a high-end restaurant, resort, or private club. 
40 hours per week. Work schedule can vary and can include evening, weekend, and holiday hours. Work may be performed on any day of the week from Monday through Sunday. Example shifts: 9:00am - 5:00pm, 11:00am - 7:00pm, or 2:00pm - 10:00pm. Shift hours may vary.</t>
  </si>
  <si>
    <t>Wage: $18.01 - $22.00 per hour, paid weekly.  See job description for additional information.</t>
  </si>
  <si>
    <t>P-400-23167-117730</t>
  </si>
  <si>
    <t xml:space="preserve">Optional housing is offered for workers who are relocating to begin employment.  Cost of housing, if accepted, is $200.00 per weekly pay period.  If used, total cost of housing will be deducted from paycheck.  A $200.00 refundable security deposit is required, to be paid directly to employer upon acceptance of housing in equal weekly payments of $50.00 made over the first four (4) weeks of employment.  </t>
  </si>
  <si>
    <t>H-400-23184-162299</t>
  </si>
  <si>
    <t>1744 County Road F (Report to Work)</t>
  </si>
  <si>
    <t>Emporia</t>
  </si>
  <si>
    <t>P-400-23116-969212</t>
  </si>
  <si>
    <t>H-400-23234-284069</t>
  </si>
  <si>
    <t>Food Concessions of Vermont, Inc.</t>
  </si>
  <si>
    <t>Sodexo Live!</t>
  </si>
  <si>
    <t xml:space="preserve">4323 VT Rte 108 South </t>
  </si>
  <si>
    <t>Jeffersonville</t>
  </si>
  <si>
    <t>District Manager</t>
  </si>
  <si>
    <t>Peter.Brown@sodexo.com</t>
  </si>
  <si>
    <t xml:space="preserve">The Petitioner will consider for employment any person who possesses at least one (1) year of experience in food production in a fast-paced restaurant setting. 
</t>
  </si>
  <si>
    <t>4323 VT Rte 108 South</t>
  </si>
  <si>
    <t>CAMBRIDGE</t>
  </si>
  <si>
    <t>Burlington-South Burlington, VT</t>
  </si>
  <si>
    <t>Wage: $19.07-$21.00 per hour, paid weekly.  Please see attached job description for additional information.</t>
  </si>
  <si>
    <t>P-400-23187-169290</t>
  </si>
  <si>
    <t xml:space="preserve">Optional housing is offered on a first come, first served basis for workers who are relocating. If accepted, the cost of housing is $125.00 per week including utilities. If used, cost of housing will be paid directly to the employer. A refundable security deposit of $200.00 will be paid in full upfront directly to the employer. </t>
  </si>
  <si>
    <t>Troy.Bellot@sodexo.com</t>
  </si>
  <si>
    <t>H-400-23230-277378</t>
  </si>
  <si>
    <t>HAI Hospitality Inc</t>
  </si>
  <si>
    <t>Hyde Away Inn &amp; Tavern</t>
  </si>
  <si>
    <t>1428 Mill Brook Rd</t>
  </si>
  <si>
    <t>Waitsfield</t>
  </si>
  <si>
    <t>1428 Mill Brook Road</t>
  </si>
  <si>
    <t>anaxdan@gmail.com</t>
  </si>
  <si>
    <t xml:space="preserve">Must be able to lift 35 lbs
</t>
  </si>
  <si>
    <t>P-400-23123-988631</t>
  </si>
  <si>
    <t>State and Federal Taxes. Workers who cannot reasonably commute to their place of residence at the end of each workday may elect to utilize 3rd party housing. Employer will deduct the cost of optional housing charged by the 3rd party for workers. The cost of optional housing will be $450.00.</t>
  </si>
  <si>
    <t>H-400-23187-171219</t>
  </si>
  <si>
    <t>Front Desk Attendant</t>
  </si>
  <si>
    <t>Shifts will generally be 3:00 P.M. to 11:00 P.M., 5 rotating days. Any overtime would be unplanned and minimal.</t>
  </si>
  <si>
    <t>P-400-23136-024597</t>
  </si>
  <si>
    <t>All deductions required by law will be made.  No additional deductions will be made. Employer will provide without charge all company-specific uniform.</t>
  </si>
  <si>
    <t>H-400-23233-279521</t>
  </si>
  <si>
    <t>The Skipper Group, LLC</t>
  </si>
  <si>
    <t>Tommyknocker's</t>
  </si>
  <si>
    <t>711 Water St</t>
  </si>
  <si>
    <t>Port Townsend</t>
  </si>
  <si>
    <t>Craig Albert</t>
  </si>
  <si>
    <t>883 58th St.</t>
  </si>
  <si>
    <t>Tommyknockerspt@gmail.com</t>
  </si>
  <si>
    <t>Required and must be fully fluent in speaking Filipino/Tagalog</t>
  </si>
  <si>
    <t>P-400-23178-148732</t>
  </si>
  <si>
    <t>www.tommyknockerscornishpasty.com</t>
  </si>
  <si>
    <t>H-400-23224-260223</t>
  </si>
  <si>
    <t xml:space="preserve">Retail Salesperson/Cashier </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</si>
  <si>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Must be able to work in a non-climate-controlled environment. 
Must be able work in severe inclement weather and varying degrees of extreme temperature. 
Must be able to be exposed to various industrial chemicals, cleaning agents, etc. 
Must be able to be exposed to strong odors, and loud noise levels.
Employer will provide on-the-job training.
A single workweek will be used in computing wages due. Workers will be paid weekly. 
Public transportation within 5 miles of worksite. Employee responsible for their own transportation to and from the worksite. 
The employer will provide worker at no charge all tools, supplies, and equipment required to perform job. Uniform pieces provided at no cost to employee. </t>
  </si>
  <si>
    <t>P-400-23158-089279</t>
  </si>
  <si>
    <t xml:space="preserve"> https://www.employnv.gov/</t>
  </si>
  <si>
    <t>H-400-23192-179876</t>
  </si>
  <si>
    <t>1343 W 75 N</t>
  </si>
  <si>
    <t>Brinkman</t>
  </si>
  <si>
    <t>11009 Alterra Parkway #1406</t>
  </si>
  <si>
    <t xml:space="preserve">VALID DRIVER'S LICENSE OR ELIGIBLE TO OBTAIN ONE WITHIN 30 DAYS OF THE DATE OF HIRE. </t>
  </si>
  <si>
    <t xml:space="preserve">1343 W 75 N </t>
  </si>
  <si>
    <t>CENTERVILLE</t>
  </si>
  <si>
    <t>P-400-23146-058251</t>
  </si>
  <si>
    <t>All Deductions required by law.</t>
  </si>
  <si>
    <t>adam.perea@scandiacompany.net</t>
  </si>
  <si>
    <t>H-400-23229-273017</t>
  </si>
  <si>
    <t>Aeroscape Park City, LLC</t>
  </si>
  <si>
    <t>8488 S. State St.</t>
  </si>
  <si>
    <t>Midvale</t>
  </si>
  <si>
    <t>Montano</t>
  </si>
  <si>
    <t>Executive Office Administrator</t>
  </si>
  <si>
    <t>elena@aeroscapeutah.com</t>
  </si>
  <si>
    <t>Wage range is based on experience and performance; 1 hr. lunch;  Some O.T. may be available, but is not guaranteed.</t>
  </si>
  <si>
    <t>P-400-23144-049730</t>
  </si>
  <si>
    <t>H-400-23236-294145</t>
  </si>
  <si>
    <t>Server/Bartender</t>
  </si>
  <si>
    <t>Snake River Lodge Hotel Investors, LLC</t>
  </si>
  <si>
    <t>DBA Snake River Lodge and Spa</t>
  </si>
  <si>
    <t>7710 Granite Loop Rd</t>
  </si>
  <si>
    <t>c/o Newport Hotel Group, 28 Jacome Way , Middletown RI 02842</t>
  </si>
  <si>
    <t>Teton Village</t>
  </si>
  <si>
    <t>Nunes</t>
  </si>
  <si>
    <t>Senior HR Manager</t>
  </si>
  <si>
    <t>lanunes@newporthotelgroup.com</t>
  </si>
  <si>
    <t xml:space="preserve">Must lift/carry/push/pull 50 lbs., when necessary. Basic level English skills required. Work schedule will vary and will include evenings, holidays, and Saturdays and Sundays. Work may be performed on any day of the week from Monday through Sunday. Example shifts: 7:00 am to 2:30 pm, 2:00 pm to 9:30 pm, and 4:30 pm to 12:00 am. Shift hours may vary. Employer may offer more than the stated work hours depending on weather, business needs, and other conditions. Extreme heat, cold, rain, or drought may affect exact working hours.
</t>
  </si>
  <si>
    <t>7710 Granite Loop Road</t>
  </si>
  <si>
    <t>P-400-23158-087698</t>
  </si>
  <si>
    <t>Emplyr makes all payrll deducts required by law. Emplyr does not envision othr wrkforce-wide payroll deductions. If requested, emplyr helps non-local wrkrs secure optional wrkr-paid lodging (not to exceed fair market value, based on number of occupants; cost TBD). Housing cost paid directly to landlrd, not payrll deducted.   Emplyr offrs free daily transport to/from wrksite from designated pick-up location. Use of transport is voluntary.   Emplyr may deduct retirement/savings plan contributions and/or health insurance premiums for wrkrs voluntarily participating in plan(s).  Emplyr provides incidental transport between wrksites as necessary. Such transport complies with all applicable Federal/State/local laws/regs. Limited shared seasonal housing may be offered on a first come first serve basis. Cost of housing if available is $125/week or less. If used, total cost of housing will be paid directly to the employ/rental unit</t>
  </si>
  <si>
    <t>resumes@newporthotelgroup.com</t>
  </si>
  <si>
    <t>H-400-23194-187987</t>
  </si>
  <si>
    <t xml:space="preserve">HHH Landscapes LLC </t>
  </si>
  <si>
    <t>Southern Landscape</t>
  </si>
  <si>
    <t>8907-A Bee Cave Rd.</t>
  </si>
  <si>
    <t xml:space="preserve">Austin </t>
  </si>
  <si>
    <t>Hearnsberger</t>
  </si>
  <si>
    <t>jason@triplehgroup.com</t>
  </si>
  <si>
    <t>9601 Brown Lane (Report to Work)</t>
  </si>
  <si>
    <t>P-400-23157-084945</t>
  </si>
  <si>
    <t>careers@southernlandscape.com</t>
  </si>
  <si>
    <t>H-400-23187-168898</t>
  </si>
  <si>
    <t>Steven J. Buchanan</t>
  </si>
  <si>
    <t>2455 S Ocean Blvd.</t>
  </si>
  <si>
    <t>Highland Beach</t>
  </si>
  <si>
    <t>Buchanan</t>
  </si>
  <si>
    <t>Samantha</t>
  </si>
  <si>
    <t>Head of Household</t>
  </si>
  <si>
    <t>samantha.michele1@gmail.com</t>
  </si>
  <si>
    <t>Devore</t>
  </si>
  <si>
    <t>4100 RCA Blvd.</t>
  </si>
  <si>
    <t>h2b@devorelawgroup.com</t>
  </si>
  <si>
    <t>Devore Law Group PA</t>
  </si>
  <si>
    <t>P-400-23096-911679</t>
  </si>
  <si>
    <t>H-400-23225-260349</t>
  </si>
  <si>
    <t>Naples Grande Beach Resort</t>
  </si>
  <si>
    <t>Otero</t>
  </si>
  <si>
    <t>Waleska</t>
  </si>
  <si>
    <t>475 Seagate Drive</t>
  </si>
  <si>
    <t>wotero@naplesgrande.com</t>
  </si>
  <si>
    <t>Requirements:  Six (6) months of experience in a fine-dining or high-volume environment at a high-end restaurant, resort, or private club required. On-the-job training is provided.    Applicant must complete Pre-employment Background Check.
Shifts: Work schedule can vary and can include evening, weekend, and holiday hours.  Work may be performed on any day of the week from Monday through Sunday.  Example shifts: 6:00am to 2:30pm,10:00am to 6:30pm, 3:00pm to 11:30pm, 9:00am to 5:30pm. Shift hours may vary.</t>
  </si>
  <si>
    <t xml:space="preserve">See job duties. 
Additional, optional benefits may be offered to worker, for worker's sole benefit, including but not limited to medical, dental and vision insurance, short-term disability, long-term disability, and life insurance. If voluntarily elected by worker, employee costs/contributions for benefits will be deducted from paycheck.
</t>
  </si>
  <si>
    <t>P-400-23184-165383</t>
  </si>
  <si>
    <t>Optional housing is offered on a first-come, first-serve basis for workers who are relocating to begin employment. Cost of housing, if accepted, is $30.00 per day. If used, total cost of housing will be deducted from paycheck. A refundable security deposit of $150.00 to be paid through payroll deductions from the workers first three paychecks in $50 installments.  All deductions from worker’s paycheck required by law will be made.</t>
  </si>
  <si>
    <t>HR@naplesgrande.com</t>
  </si>
  <si>
    <t>H-400-23184-164716</t>
  </si>
  <si>
    <t>Truss Assemblers</t>
  </si>
  <si>
    <t>Montana Truss &amp; Supply, LLC</t>
  </si>
  <si>
    <t>4434 East Side Hwy</t>
  </si>
  <si>
    <t>Stevensville</t>
  </si>
  <si>
    <t>Andrews</t>
  </si>
  <si>
    <t>Finance and Human Resource Director</t>
  </si>
  <si>
    <t>c.andrews@mttruss.net</t>
  </si>
  <si>
    <t>One month of training will be provided.</t>
  </si>
  <si>
    <t>RAVALLI</t>
  </si>
  <si>
    <t>West Montana nonmetropolitan area</t>
  </si>
  <si>
    <t>Depending on experience</t>
  </si>
  <si>
    <t>P-400-23110-953257</t>
  </si>
  <si>
    <t xml:space="preserve">Employer will provide housing with $100 monthly payroll deduction. Employer will make all deductions as required by state and federal law.
</t>
  </si>
  <si>
    <t>H-400-23265-372961</t>
  </si>
  <si>
    <t>Moran</t>
  </si>
  <si>
    <t>Wendy</t>
  </si>
  <si>
    <t>VP of Talent Acquisition</t>
  </si>
  <si>
    <t>77 Seascape Blvd</t>
  </si>
  <si>
    <t>Piece rate is paid per room cleaned and varies from $2.80 for a small unit or suite to $90.25 for a large unit or suite.</t>
  </si>
  <si>
    <t>P-400-23219-242533</t>
  </si>
  <si>
    <t>H-400-23187-168931</t>
  </si>
  <si>
    <t>Dirt Doctor Pro, LLC</t>
  </si>
  <si>
    <t>95 Dirt Road</t>
  </si>
  <si>
    <t>Dustin</t>
  </si>
  <si>
    <t>clint.dirtdoctor@gmail.com</t>
  </si>
  <si>
    <t xml:space="preserve">Must be able to lift and carry 75 lbs 75 yds. Must be able to handle temperature extremes.  </t>
  </si>
  <si>
    <t>801 Settlement Trail</t>
  </si>
  <si>
    <t>P-400-23144-051711</t>
  </si>
  <si>
    <t>Employers will provide optional housing for the employees. Employees who elect to live in housing will have an additional $100 deduction per bi-weekly paycheck for rent and utilities. Any advances will be deducted with the consent of the employee.</t>
  </si>
  <si>
    <t>H-400-23215-235757</t>
  </si>
  <si>
    <t>7200 Scottsdale Rd Owner LP</t>
  </si>
  <si>
    <t>The Scottsdale Plaza Resort &amp; Villas</t>
  </si>
  <si>
    <t>7200 N. Scottsdale Road</t>
  </si>
  <si>
    <t>Teralyn</t>
  </si>
  <si>
    <t>Complex Director of Human Resources</t>
  </si>
  <si>
    <t>t.miller@highgate.com</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</si>
  <si>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and drug screening.
</t>
  </si>
  <si>
    <t>Wage: $18.08 - $19.50 per hour, paid bi-weekly. See job description for additional detail.</t>
  </si>
  <si>
    <t>P-400-23159-090507</t>
  </si>
  <si>
    <t xml:space="preserve">Optional housing is offered on a first-come, first-serve basis for workers who are relocating to begin employment.  Cost of housing, if accepted, is $325.00 per month deducted from paycheck. 
Additional, optional benefits may be offered to worker, for worker’s sole benefit, including but not limited to a bus pass (cost of bus pass, if accepted, is $21.60 per month).  If voluntarily elected by worker, employee costs/contributions will be deducted from paycheck. 
</t>
  </si>
  <si>
    <t>H-400-23185-165573</t>
  </si>
  <si>
    <t xml:space="preserve">Special Requirements
	Post-employment drug tests required after incidents or on reasonable suspicion paid by employer. Background check required.
	May be required to lift up to 80 lbs.
</t>
  </si>
  <si>
    <t>P-400-23093-900099</t>
  </si>
  <si>
    <t>https://rqconstruction.applicantpro.com/job</t>
  </si>
  <si>
    <t>H-400-23227-265340</t>
  </si>
  <si>
    <t xml:space="preserve"> Must be able to lift 50 lbs. Must be able to stand for extended periods of time. Must have a minimum of 1 year of housekeeping experience.
</t>
  </si>
  <si>
    <t>P-400-23113-957840</t>
  </si>
  <si>
    <t xml:space="preserve">Optional subsidized employee housing is available but limited. Biweekly cost is $260.00 to $285.00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</si>
  <si>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H-400-23276-406461</t>
  </si>
  <si>
    <t>Talley Amusements, Inc.</t>
  </si>
  <si>
    <t>700 Singing Quail Trail</t>
  </si>
  <si>
    <t>(Mail: PO Box 1319, Ft Worth TX 76101)</t>
  </si>
  <si>
    <t>Haslet</t>
  </si>
  <si>
    <t>marytalley1@aol.com</t>
  </si>
  <si>
    <t>P-400-23182-161881</t>
  </si>
  <si>
    <t>https://talleyamusements.com/employment</t>
  </si>
  <si>
    <t>H-400-23240-300220</t>
  </si>
  <si>
    <t>EASTPOINTE COUNTRY CLUB INC</t>
  </si>
  <si>
    <t>13535 EASTPOINTE BLVD</t>
  </si>
  <si>
    <t>WEST PALM BEACH</t>
  </si>
  <si>
    <t>Nolen</t>
  </si>
  <si>
    <t>mike.nolen@bobbyjoneslinks.com</t>
  </si>
  <si>
    <t>ASGHAR</t>
  </si>
  <si>
    <t>SHERAZ</t>
  </si>
  <si>
    <t>PASHA</t>
  </si>
  <si>
    <t>1555 PALM BEACH LAKES BLVD</t>
  </si>
  <si>
    <t>SUITE 1010</t>
  </si>
  <si>
    <t>SHAZ@ASGHARLAWFIRM.COM</t>
  </si>
  <si>
    <t>ASGHAR LAW, LLC</t>
  </si>
  <si>
    <t xml:space="preserve">3 months of experience in a fine dining, high-volume environment at a high-end restaurant, resort, or private club preferred. High School Diploma or Equivalency is required. On-the-job training will be provided.
Physical Demands &amp; Work Environment Requirements
The physical demands described here are representative of those that must be met by an employee to successfully perform the essential functions of this job. While performing the duties of this job, the employee is frequently required to:
Walk, sit, stand for long periods of time, bend, use hands to finger, handle, or feel; and talk or hear, stoop, kneel, crouch, close vision, distance vision, peripheral vision depth perception, and ability to adjust focus. 
Lift up to 25 lbs. regularly; up to 50 lbs. occasionally and to lift overhead and push/pull, move lighter objects.
The work environment characteristics described here are representative of those an employee
encounters while performing the essential functions of this job. Be exposed to outside weather conditions including temperatures over 90 and below 40 degrees. Indoor conditions that may be very hot or cold. Work near: moving mechanical parts, fumes, toxic or caustic chemicals. Noise level in the work environment is frequently loud.
</t>
  </si>
  <si>
    <t>Work schedule can vary and can include morning, lunch, and dinner shifts.</t>
  </si>
  <si>
    <t>P-400-23157-082112</t>
  </si>
  <si>
    <t>The cost of housing, if accepted, will be deducted from the Employee's paycheck at a rateof $200-250 per week, plus a refundable security deposit ($50 to hold the room, subsequent balance is payroll deducted in $50 increments bi weekly). Additional benefits may be offered to Employee including, but not limited to, meals during shift, transportation to and from company housing, and dry cleaning services for uniforms.</t>
  </si>
  <si>
    <t>www.eastpointe-cc.com</t>
  </si>
  <si>
    <t>Asghar Law LLC</t>
  </si>
  <si>
    <t>SHAZ.ASGHAR@GMAIL.COM</t>
  </si>
  <si>
    <t>H-400-23215-235682</t>
  </si>
  <si>
    <t>EOS Hospitality Knight’s Key Employee LLC</t>
  </si>
  <si>
    <t xml:space="preserve">The Petitioner will consider for employment any person who possesses at least six (6) months of culinary experience in a high-volume restaurant or hotel kitchen. Applicant must complete pre-employment background check.
</t>
  </si>
  <si>
    <t>Wage: $17.00 per hour, paid bi-weekly.  Overtime is available at $25.50 per hour.  See job description for details.</t>
  </si>
  <si>
    <t>P-400-23167-117840</t>
  </si>
  <si>
    <t>H-400-23231-279302</t>
  </si>
  <si>
    <t>BREAKFAST ATTENDANT</t>
  </si>
  <si>
    <t>TC HOTEL 1, LLC</t>
  </si>
  <si>
    <t>RESIDENCE INN BIG SKY/THE WILSON HOTEL</t>
  </si>
  <si>
    <t>145 TOWN CENTER AVENUE</t>
  </si>
  <si>
    <t>BIG SKY</t>
  </si>
  <si>
    <t>KING</t>
  </si>
  <si>
    <t>FRANK</t>
  </si>
  <si>
    <t>PROPERTY ACCOUNTANT AND HR MANAGER</t>
  </si>
  <si>
    <t>Frank.King@marriott.com</t>
  </si>
  <si>
    <t>MCCUBBIN</t>
  </si>
  <si>
    <t>19365 FM 2252</t>
  </si>
  <si>
    <t>SUITE 9</t>
  </si>
  <si>
    <t>GARDEN RIDGE</t>
  </si>
  <si>
    <t>process@h2visaconsultants.com</t>
  </si>
  <si>
    <t>H2 VISA CONSULTANTS, LLC</t>
  </si>
  <si>
    <t>Overtime may be available. Applicants may be offered higher than the advertised wage rate due to experience or merit.</t>
  </si>
  <si>
    <t>P-400-23152-068295</t>
  </si>
  <si>
    <t>THE EMPLOYER WILL MAKE ALL DEDUCTIONS FROM WORKERS’ PAYCHECKS THAT ARE REQUIRED BY LAW. THE EMPLOYER WILL PROVIDE OPTIONAL HOUSING ACCOMMODATIONS IF RELOCATING FOR THE POSITION AND NOT WITHIN REASONABLE TRANSPORT TO JOBSITE. IF EMPLOYER-ARRANGED HOUSING IS UTILIZED THE WORKER WILL BE DEDUCTED APPROXIMATELY $550-$900 PER MONTH + UTILITIES AND A $350 SECURITY DEPOSIT.</t>
  </si>
  <si>
    <t>frank.king@marriott.com</t>
  </si>
  <si>
    <t>H-400-23245-317907</t>
  </si>
  <si>
    <t>International Resorts Management Group LLC</t>
  </si>
  <si>
    <t>Trump International Beach Resort</t>
  </si>
  <si>
    <t>18001 Collins Avenue</t>
  </si>
  <si>
    <t>Sunny Isles Beach</t>
  </si>
  <si>
    <t>Sabates</t>
  </si>
  <si>
    <t>PSabates@trumpmiami.com</t>
  </si>
  <si>
    <t xml:space="preserve">Post-employment criminal background check and pre/post-employment/post injury or incident drug test required, cost paid by employer and applied equally to all workers, US and foreign/H2B. Must be able to work a 5-day schedule, including weekends and holidays as required. Applicant must complete an employment application. </t>
  </si>
  <si>
    <t>P-400-23159-089512</t>
  </si>
  <si>
    <t>Employer will make all deductions from the worker's paycheck required by law.
Employer is currently in the process of locating and securing employee housing. If Employer is able to secure housing prior to the employment start date, optional employee only housing will be made available. Employer will deduct for the reasonable fair market value cost of rent and utilities based on number of occupants for workers who elect to live in employer-offered housing. Voluntary pay deductions for the cost of housing (including deposit, if required) and utilities will be pre-authorized in writing. If Employer is unable to locate and secure housing prior to the employment start date, the employer will assist worker to find appropriate, affordable housing. 
Optional medical, dental, vision and life insurance available. Optional long term and short-term disability available.  Insurance and disability costs vary depending on plan(s) selected by worker. Optional onsite employee parking available at app</t>
  </si>
  <si>
    <t>H-400-23233-281412</t>
  </si>
  <si>
    <t>DG United Corporation</t>
  </si>
  <si>
    <t>Kingston House</t>
  </si>
  <si>
    <t>11 Main Street</t>
  </si>
  <si>
    <t>Kingston</t>
  </si>
  <si>
    <t>Stavropoulos</t>
  </si>
  <si>
    <t>Owner Operator</t>
  </si>
  <si>
    <t>khopma@gmail.com</t>
  </si>
  <si>
    <t>KINGSTON</t>
  </si>
  <si>
    <t>A single work week is used to compute wages</t>
  </si>
  <si>
    <t>P-400-23144-050633</t>
  </si>
  <si>
    <t>Khopma@gmail.com</t>
  </si>
  <si>
    <t>H-400-23230-277872</t>
  </si>
  <si>
    <t xml:space="preserve">SNOW REMOVAL TECHNITION </t>
  </si>
  <si>
    <t>ALL STATE SNOW MANAGEMENT, LLC</t>
  </si>
  <si>
    <t>1 Hartford square, Box 15W</t>
  </si>
  <si>
    <t xml:space="preserve">NEW BRITAIN </t>
  </si>
  <si>
    <t>NIRO</t>
  </si>
  <si>
    <t>PETER III</t>
  </si>
  <si>
    <t>1 Hartford Square BOX 15W</t>
  </si>
  <si>
    <t>NEW BRITAIN</t>
  </si>
  <si>
    <t>PETER@ALLSTATESNOW.COM</t>
  </si>
  <si>
    <t>Entry level - No experience required.
The job requires the applicant to be qualified, ready, willing, able, and available to perform during
the entire employment at all the designated worksites.</t>
  </si>
  <si>
    <t xml:space="preserve">1 HARTFORD SQUARE, BOX 15W  </t>
  </si>
  <si>
    <t xml:space="preserve">NEW BRIATAIN </t>
  </si>
  <si>
    <t xml:space="preserve">AS PER USDOL REQUREMENTS, AS LISTED IN THE JOB ORDER, IF ANY. </t>
  </si>
  <si>
    <t>P-400-23165-109421</t>
  </si>
  <si>
    <t xml:space="preserve">All deductions from pay, required by law will be made. 
</t>
  </si>
  <si>
    <t>OFFICE@ALLSTATESNOW.COM</t>
  </si>
  <si>
    <t>H-400-23224-260203</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</si>
  <si>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Must be able to work in a non-climate-controlled environment. 
Must be able work in severe inclement weather and varying degrees of extreme temperature. 
Must be able to be exposed to various industrial chemicals, cleaning agents, etc. 
Must be able to be exposed to strong odors, and loud noise levels.
Employer will provide on-the-job training.
A single workweek will be used in computing wages due. Workers will be paid weekly. 
Public transportation within 5 miles of worksite. Employee responsible for their own transportation to and from the worksite.  
The employer will provide worker at no charge all tools, supplies, and equipment required to perform job. Uniform pieces provided at no cost to employee. </t>
  </si>
  <si>
    <t>P-400-23158-089303</t>
  </si>
  <si>
    <t xml:space="preserve">https://www.employnv.gov/ </t>
  </si>
  <si>
    <t>H-400-23244-315963</t>
  </si>
  <si>
    <t>Eagle Laundry LLC</t>
  </si>
  <si>
    <t>Western Slope Laundry</t>
  </si>
  <si>
    <t>775 Sawatch Road</t>
  </si>
  <si>
    <t>Eagle</t>
  </si>
  <si>
    <t>Abdugafarov</t>
  </si>
  <si>
    <t>Ikrom</t>
  </si>
  <si>
    <t>ikroma@gmail.com</t>
  </si>
  <si>
    <t xml:space="preserve">None
F.a.5A-H:
Sunday-Saturday; 9 a.m. to 5 p.m.
OT hours possible; Saturdays and Sundays required
</t>
  </si>
  <si>
    <t>Raises/bonuses may  be offered to worker @ company's sole discretion based on work  performance, skill, tenure</t>
  </si>
  <si>
    <t>P-400-23206-213398</t>
  </si>
  <si>
    <t>H-400-23184-164229</t>
  </si>
  <si>
    <t>Automotive Service Technician and Mechanic</t>
  </si>
  <si>
    <t>A&amp;M Transportation LLC</t>
  </si>
  <si>
    <t>508 Saint Marks St</t>
  </si>
  <si>
    <t>Linden</t>
  </si>
  <si>
    <t>Barnable</t>
  </si>
  <si>
    <t xml:space="preserve">Jasmine </t>
  </si>
  <si>
    <t>508 St Marks Street</t>
  </si>
  <si>
    <t>amtransportation26@gmail.com</t>
  </si>
  <si>
    <t>He</t>
  </si>
  <si>
    <t>Yifei</t>
  </si>
  <si>
    <t>32 Broadway Suite 1710</t>
  </si>
  <si>
    <t>info@yifeihelaw.com</t>
  </si>
  <si>
    <t>The Law Office of Yifei He, PLLC</t>
  </si>
  <si>
    <t xml:space="preserve">Fluent in Spanish
Exact scheduling may shift occasionally.
Workers are encouraged to obtain a driver's license valid for driving to the worksite.
"Random drug testing during employment.  All drug testing is performed without regard to an employee's citizenship or immigration status, and all testing is paid for by the company.  Pre-hire background check required. All background checks are performed equally as to U.S. workers and H-2B workers, and all fees are paid for by the company."
</t>
  </si>
  <si>
    <t>2113 Elizabeth Ave</t>
  </si>
  <si>
    <t>Rahway</t>
  </si>
  <si>
    <t>P-400-23132-017848</t>
  </si>
  <si>
    <t>Employer facilities voluntary housing arrangements upon worker request along with corresponding payroll deductions of $150/pay period.</t>
  </si>
  <si>
    <t>H-400-23197-192008</t>
  </si>
  <si>
    <t>OYSTER BOAT DECKHAND</t>
  </si>
  <si>
    <t>VERO'S OYSTERS LLC</t>
  </si>
  <si>
    <t>802 WEST SCOTT STREET</t>
  </si>
  <si>
    <t>TIVOLI</t>
  </si>
  <si>
    <t>TOVAR</t>
  </si>
  <si>
    <t>VERONICA</t>
  </si>
  <si>
    <t>Executive Secretary</t>
  </si>
  <si>
    <t>802 West Scott Street</t>
  </si>
  <si>
    <t>Tivoli</t>
  </si>
  <si>
    <t>veromarie21.vt@gmail.com</t>
  </si>
  <si>
    <t>Chavez</t>
  </si>
  <si>
    <t>5717 Hidden Oaks Drive</t>
  </si>
  <si>
    <t>clcvisash2b@gmail.com</t>
  </si>
  <si>
    <t>C.L.C. LABOR SERVICES</t>
  </si>
  <si>
    <t>Ability to lift 50+ pounds (a sack of oysters)</t>
  </si>
  <si>
    <t>122 EAST BAY AVENUE</t>
  </si>
  <si>
    <t>SEADRIFT</t>
  </si>
  <si>
    <t>REFUGIO</t>
  </si>
  <si>
    <t>or 20 % of Crew's share, whichever is greater</t>
  </si>
  <si>
    <t>P-400-23159-092477</t>
  </si>
  <si>
    <t>Federal required deductions,  Medicare, FICA, Federal Withholding</t>
  </si>
  <si>
    <t>H-400-23276-408160</t>
  </si>
  <si>
    <t>PHD &amp; ME</t>
  </si>
  <si>
    <t>1937 N HORSEMAN CIR.</t>
  </si>
  <si>
    <t>[MAIL: 3623 Verbena Dr, Rialto, CA 92377]</t>
  </si>
  <si>
    <t>Everett</t>
  </si>
  <si>
    <t>Conny</t>
  </si>
  <si>
    <t>connyeverett@gmail.com</t>
  </si>
  <si>
    <t>1600 Exposition Blvd</t>
  </si>
  <si>
    <t>Sacramento</t>
  </si>
  <si>
    <t>SACRAMENTO</t>
  </si>
  <si>
    <t>P-400-23215-237856</t>
  </si>
  <si>
    <t>H-400-23225-260342</t>
  </si>
  <si>
    <t>Guest Services Agent</t>
  </si>
  <si>
    <t>Requirements:  Six (6) months of guest service experience at a high-end hotel, resort, or private club required. On-the-job training is provided.    Applicant must complete Pre-employment Background Check.
Min. 35 hrs/week. Shifts: Work schedule can vary and can include overnight, evening, weekend, and holiday hours.  Work may be performed on any day of the week from Monday through Sunday. Example shifts: 7:00am to 3:30pm, or 11:00pm to 7:30pm, or 3:00pm to 11:30pm or 11:00pm to 7:30am. Shift hours may vary.</t>
  </si>
  <si>
    <t>Employees are eligible to participate in a recognition program and may receive additional compensation, if recognized. 
Additional, optional benefits may be offered to worker, for worker's sole benefit, including but not limited to medical, dental and vision insurance, short-term disability, long-term disability, and life insurance. If voluntarily elected by worker, employee costs/contributions for benefits will be deducted from paycheck.</t>
  </si>
  <si>
    <t>P-400-23184-165344</t>
  </si>
  <si>
    <t>H-400-23187-171776</t>
  </si>
  <si>
    <t>Conifer/Noble Cutter</t>
  </si>
  <si>
    <t>975 Carpenter RD NE</t>
  </si>
  <si>
    <t>Northwest Labor LLC</t>
  </si>
  <si>
    <t xml:space="preserve">Worker must possess requisite physical strength, dexterity and endurance to cut noble fir branches and pick greenery. 
</t>
  </si>
  <si>
    <t>14323 Roseburg Rd</t>
  </si>
  <si>
    <t>Myrtle Point</t>
  </si>
  <si>
    <t>COOS</t>
  </si>
  <si>
    <t>Coast Oregon nonmetropolitan area</t>
  </si>
  <si>
    <t>Potential bonuses based on performance. Employer will facilitate worker to find housing. Employer will provide sick leave to employees. The employee will accrue paid sick leave at a minimum rate of 1 hour for every 40 hours worked.</t>
  </si>
  <si>
    <t>P-400-23139-039866</t>
  </si>
  <si>
    <t xml:space="preserve">The employer will make the following deduction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and any other deductions expressly authorized by the worker in writing. To secure a replacement at no cost for an employer-supplied item, an employee must present the worn out item to be replaced. </t>
  </si>
  <si>
    <t>https://www.worksourceoregon.org/</t>
  </si>
  <si>
    <t>H-400-23198-192612</t>
  </si>
  <si>
    <t>Moon Valley Nursery of California, LLC - Riverside</t>
  </si>
  <si>
    <t xml:space="preserve">Saturday work required, when necessary. Hours and overtime required may vary based on weather conditions and project need.  On-the-job training will be provided. All tools/supplies req'd, provided at no cost.  Must lift/carry 50 LBS. when necessary. Travel to customer locations for installations within the Riverside and San Bernardino Counties of California.
</t>
  </si>
  <si>
    <t>1700 Growest Avenue</t>
  </si>
  <si>
    <t>Riverside</t>
  </si>
  <si>
    <t>P-400-23158-088913</t>
  </si>
  <si>
    <t xml:space="preserve">Only deductions required by the law.  Optional housing is available to any worker without cost.  
</t>
  </si>
  <si>
    <t>Gonzalez Acevedo Ercilia</t>
  </si>
  <si>
    <t>H-400-23230-276813</t>
  </si>
  <si>
    <t>Must be capable of regular periodic lifting of at least 30 lbs.</t>
  </si>
  <si>
    <t>P-400-23125-996760</t>
  </si>
  <si>
    <t>https://www.colorado.gov/cdle/wfc</t>
  </si>
  <si>
    <t>H-400-23227-265130</t>
  </si>
  <si>
    <t>Impact Irrigation Solutions, Inc</t>
  </si>
  <si>
    <t>18 D Smithbridge Rd</t>
  </si>
  <si>
    <t>Mail: 1 Smith Bridge Rd. Unit 94, Chester Heights, PA 19017</t>
  </si>
  <si>
    <t>Chester Heights</t>
  </si>
  <si>
    <t>Zepka</t>
  </si>
  <si>
    <t xml:space="preserve">Requires three months of previous landscape experience. Saturday and Sunday work required, when necessary.  Employer paid post-hire drug testing required of foreign and domestic workers upon suspicion of use. Employer may offer more than the stated work hours depending on weather, business needs, and other conditions. Extreme heat, cold, rain, or drought may affect exact working hours
</t>
  </si>
  <si>
    <t>18 D Smithbridge Road</t>
  </si>
  <si>
    <t>P-400-23179-150252</t>
  </si>
  <si>
    <t>Charlie@impacth2o.com</t>
  </si>
  <si>
    <t>H-400-23277-411027</t>
  </si>
  <si>
    <t>V &amp; J Soils LLC</t>
  </si>
  <si>
    <t>1949 Arnold Ave</t>
  </si>
  <si>
    <t>Costa Mesa</t>
  </si>
  <si>
    <t>Barrera</t>
  </si>
  <si>
    <t>Verenice</t>
  </si>
  <si>
    <t>vjsoilsllc@gmail.com</t>
  </si>
  <si>
    <t xml:space="preserve">CDL
Commercial Driver License
</t>
  </si>
  <si>
    <t>P-400-23185-166043</t>
  </si>
  <si>
    <t>https://www.caljobs.ca.gov/vosnet/jobbanks/jobdetails.aspx?enc=93Iq7cb</t>
  </si>
  <si>
    <t>H-400-23215-236875</t>
  </si>
  <si>
    <t xml:space="preserve">Line Cook </t>
  </si>
  <si>
    <t>Loon Mountain Recreation Corporation</t>
  </si>
  <si>
    <t>Loon Mountain Resort</t>
  </si>
  <si>
    <t>60 Loon Mountain Road</t>
  </si>
  <si>
    <t>Berkeley</t>
  </si>
  <si>
    <t>Ruth</t>
  </si>
  <si>
    <t>rberkeley@loonmtn.com</t>
  </si>
  <si>
    <t xml:space="preserve">The Petitioner will consider for employment any applicant who possesses at least six (6) months of experience in a fine-dining or high-volume environment at a high-end restaurant, resort, or private club.
</t>
  </si>
  <si>
    <t>Wage: $17.02 - $20.00 per hour, paid bi-weekly. Please see job description for additional information.</t>
  </si>
  <si>
    <t>P-400-23167-119689</t>
  </si>
  <si>
    <t xml:space="preserve">Optional housing is offered on a first-come, first-serve basis for workers who are relocating to begin employment. Cost of housing, if accepted, is $110.00 per week, and includes utilities. If used, total cost of housing will be deducted from the employee's paycheck. A refundable security deposit of $200.00 is due, to be paid in full upfront directly to the employer. Transportation is provided from housing to/from worksite.
Additional, optional benefits may be offered to worker, for worker’s sole benefit, including but not limited to one free meal per shift, retail discounts, free ski pass, ski lessons and ski rentals.  
</t>
  </si>
  <si>
    <t>stephen.shamberger@loonmtn.com</t>
  </si>
  <si>
    <t>H-400-23276-407003</t>
  </si>
  <si>
    <t>Franco Reforestation Inc.</t>
  </si>
  <si>
    <t>8457 Darley Rd SE</t>
  </si>
  <si>
    <t>Aumsville</t>
  </si>
  <si>
    <t>mzfrancoforestry@gmail.com</t>
  </si>
  <si>
    <t>777 NW Garden Valley Blvd (Report to Work)</t>
  </si>
  <si>
    <t>Roseburg</t>
  </si>
  <si>
    <t>P-400-23212-227828</t>
  </si>
  <si>
    <t>H-400-23226-262398</t>
  </si>
  <si>
    <t xml:space="preserve">Jay Peak </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</si>
  <si>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t>
  </si>
  <si>
    <t xml:space="preserve">Wage: $18.64 - $22.66 per hour, paid bi-weekly.   See job description. </t>
  </si>
  <si>
    <t>P-400-23178-147800</t>
  </si>
  <si>
    <t>H-400-23198-194189</t>
  </si>
  <si>
    <t>TOWER TECHNICIAN</t>
  </si>
  <si>
    <t>Radio, Cellular, and Tower Equipment Installers and Repairers</t>
  </si>
  <si>
    <t>EXTENSIVE TELECOMS SERVICES LLC</t>
  </si>
  <si>
    <t>4 MAGGIE CT</t>
  </si>
  <si>
    <t>TERRYVILLE</t>
  </si>
  <si>
    <t>MULDONG</t>
  </si>
  <si>
    <t>michael.muldong@extensivetelecoms.com</t>
  </si>
  <si>
    <t>CANETE II</t>
  </si>
  <si>
    <t>NEMESIO</t>
  </si>
  <si>
    <t>350 1ST AVENUE</t>
  </si>
  <si>
    <t>SUITE MG</t>
  </si>
  <si>
    <t>HR@OASISPROFESSIONAL.COM</t>
  </si>
  <si>
    <t>OASIS PROFESSIONAL MANAGEMENT GROUP LTD</t>
  </si>
  <si>
    <t>LITCHFIELD</t>
  </si>
  <si>
    <t>Connecticut nonmetropolitan area</t>
  </si>
  <si>
    <t>P-400-23129-004592</t>
  </si>
  <si>
    <t>H-400-23191-175850</t>
  </si>
  <si>
    <t>CHILDCARE PROVIDER</t>
  </si>
  <si>
    <t>House of Beauty Multicultural Salon</t>
  </si>
  <si>
    <t>House of Beauty</t>
  </si>
  <si>
    <t>140 S WHITE HORSE PIKE</t>
  </si>
  <si>
    <t>Somerdale</t>
  </si>
  <si>
    <t>Chambers</t>
  </si>
  <si>
    <t>Dannielle</t>
  </si>
  <si>
    <t>140 S White Horse Pike</t>
  </si>
  <si>
    <t>dchambers@hobnextlevel.com</t>
  </si>
  <si>
    <t>-</t>
  </si>
  <si>
    <t>CAMDEN</t>
  </si>
  <si>
    <t>P-400-23144-048421</t>
  </si>
  <si>
    <t>n/A</t>
  </si>
  <si>
    <t>employment@hobnextlevel.com</t>
  </si>
  <si>
    <t>www.hobnextlevel.com</t>
  </si>
  <si>
    <t>H-400-23276-406504</t>
  </si>
  <si>
    <t>Fast Food and Counter Workers – itinerant carnival</t>
  </si>
  <si>
    <t>Popcorn Neal, Inc.</t>
  </si>
  <si>
    <t>16958 US Hwy 41 South</t>
  </si>
  <si>
    <t>Springhill</t>
  </si>
  <si>
    <t>Zaitshik</t>
  </si>
  <si>
    <t>16958 US HWY 41 South</t>
  </si>
  <si>
    <t>frank@wadeshows.com</t>
  </si>
  <si>
    <t>16958 US Hwy 40 South</t>
  </si>
  <si>
    <t>P-400-23182-161885</t>
  </si>
  <si>
    <t xml:space="preserve">Employer will make all deductions from the worker’s paycheck required by law.  In addition, the employer intends to make the following deductions from the worker’s paycheck which are not required by law:   NONE Optional mobile housing (valued at $100.00 per week) and local convenience travel (valued at $25.00 per week) are available for wage credit and/or deduction, or any lesser amount to the maximum extent allowed by law.  The employer will pay the cost of lodging to the extent such costs would reduce pay below the legally required minimum wage rate for the areas of intended employment.  </t>
  </si>
  <si>
    <t>carmenkellogg@aol.com</t>
  </si>
  <si>
    <t>H-400-23186-167635</t>
  </si>
  <si>
    <t>Recreational Aide</t>
  </si>
  <si>
    <t>Aberdeen Golf &amp; Country Club Inc.</t>
  </si>
  <si>
    <t>8251 Aberdeen Drive</t>
  </si>
  <si>
    <t>Henry-Kraft</t>
  </si>
  <si>
    <t>k_henry@aberdeencountryclub.com</t>
  </si>
  <si>
    <t>Dunn</t>
  </si>
  <si>
    <t>Stuart</t>
  </si>
  <si>
    <t>1177 Avenue of the Americas</t>
  </si>
  <si>
    <t>23rd Floor</t>
  </si>
  <si>
    <t>mdunn@kramerlevin.com</t>
  </si>
  <si>
    <t>Kramer Levin Naftalis &amp; Frankel LLP</t>
  </si>
  <si>
    <t>State of New York Court of Appeals</t>
  </si>
  <si>
    <t>Pass pre-employment police clearance; Able to communicate in English; post-employment drug testing. Employer requires pre-employment police clearance and post-employment drug testing to be carried out equally between the U.S. workers and the H-2B workers.
*Continuation to Section F.A.5 of ETA 9142 above: 40 hours a week will consist of 8 hour shifts that can vary as needed and advertised in State Workforce Agency and other required advertisement. Shift may vary from 6AM-11PM.</t>
  </si>
  <si>
    <t xml:space="preserve">Discretionary bonus offered. Raises/bonuses may be offered to any worker based on performance, skill, tenure. </t>
  </si>
  <si>
    <t>P-400-23107-939321</t>
  </si>
  <si>
    <t xml:space="preserve">Optional deductions include: housing fee of $170/week; $5 for security deposit/week. Any deductions required by law made from
biweekly paycheck.
</t>
  </si>
  <si>
    <t>aberdeenemployment@gmail.com</t>
  </si>
  <si>
    <t>H-400-23263-364043</t>
  </si>
  <si>
    <t>JMG Landscaping, LLC.</t>
  </si>
  <si>
    <t>6353 W Antelope Flat Way</t>
  </si>
  <si>
    <t>Herriman</t>
  </si>
  <si>
    <t>jmgllclandscaping@gmail.com</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</si>
  <si>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t>
  </si>
  <si>
    <t>P-400-23215-236614</t>
  </si>
  <si>
    <t>H-400-23216-240806</t>
  </si>
  <si>
    <t>Mt. Olympus Resorts, LLC</t>
  </si>
  <si>
    <t>Mt. Olympus Water &amp; Theme Park Resort</t>
  </si>
  <si>
    <t>1881 Wisconsin Dells Parkway</t>
  </si>
  <si>
    <t>Wisconsin Dells</t>
  </si>
  <si>
    <t>Matteson</t>
  </si>
  <si>
    <t>aaron@mtolympuspark.com</t>
  </si>
  <si>
    <t>Malik</t>
  </si>
  <si>
    <t>Shilpa</t>
  </si>
  <si>
    <t>800 Corporate Drive, Suite 206</t>
  </si>
  <si>
    <t>smalik@immi-usa.com</t>
  </si>
  <si>
    <t>VisaNation Law Group PLLC</t>
  </si>
  <si>
    <t>U.S. Court of Appeals</t>
  </si>
  <si>
    <t xml:space="preserve">Twelve (12) months of experience in the job offered as a Front Desk. NOTE: THIS IS A TEMPORARY POSITION: Employer will offer 40 to 48 hours per week, five to six (5 to 6) days per week. Monday-Saturday 9:00 am to 5:00pm.. Workers are needed to begin work on 10/09/2023 to 04/30/2024.Previous experience is required. Work will be performed at the Mt. Olympus Water &amp; Theme Park Resort. Workers will be paid on Friday (weekly) by check. The employer will make all deductions from the worker's paycheck required by law. Employer will pay $13.50 hourly. Workers are responsible for daily transportation to and from the designated area of intended employment. The employer will provide workers at no charge all tools, supplies, and equipment required to perform the job. It is important that our workers follow all safety policies and procedures, including attending safety meeting. No over time. </t>
  </si>
  <si>
    <t>P-400-23171-128869</t>
  </si>
  <si>
    <t>The employer will make all deductions from the worker's paycheck required by law.</t>
  </si>
  <si>
    <t>h2b@mtolympuspark.com</t>
  </si>
  <si>
    <t>H-400-23215-236420</t>
  </si>
  <si>
    <t>Groundskeeper/ Landscape Laborer</t>
  </si>
  <si>
    <t>Hard Pine, LLC</t>
  </si>
  <si>
    <t>726 Phillips Rd</t>
  </si>
  <si>
    <t>marin64maria@gmail.com</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</si>
  <si>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
</t>
  </si>
  <si>
    <t>726 Phillips Rd (Report to Work)</t>
  </si>
  <si>
    <t>P-400-23143-048157</t>
  </si>
  <si>
    <t>H-400-23336-538902</t>
  </si>
  <si>
    <t>C Whitmore Gardens</t>
  </si>
  <si>
    <t>26 Montauk Highway</t>
  </si>
  <si>
    <t>Amagansett</t>
  </si>
  <si>
    <t>Whitmore</t>
  </si>
  <si>
    <t>Chini</t>
  </si>
  <si>
    <t>P-400-23184-163611</t>
  </si>
  <si>
    <t>charlieson.com</t>
  </si>
  <si>
    <t xml:space="preserve">San Antonio </t>
  </si>
  <si>
    <t>Nikova</t>
  </si>
  <si>
    <t>Nelli</t>
  </si>
  <si>
    <t>79 Dartmouth Street</t>
  </si>
  <si>
    <t>Suite 3</t>
  </si>
  <si>
    <t xml:space="preserve">Boston </t>
  </si>
  <si>
    <t>nelli@nikovalaw.com</t>
  </si>
  <si>
    <t>Nelli Nikova P.C.</t>
  </si>
  <si>
    <t>Material Handler</t>
  </si>
  <si>
    <t>WORCESTER CITY</t>
  </si>
  <si>
    <t>Worcester, MA-CT</t>
  </si>
  <si>
    <t>H-400-23321-509152</t>
  </si>
  <si>
    <t>Landry's Professional Lawn &amp; Landscape, Inc</t>
  </si>
  <si>
    <t>8943 Buzbee Dr.</t>
  </si>
  <si>
    <t>laneplaisance@landryslandscape.com</t>
  </si>
  <si>
    <t>598 E. Purnell Dr.</t>
  </si>
  <si>
    <t>P-400-23230-276352</t>
  </si>
  <si>
    <t xml:space="preserve">Employer will make all deductions from the worker's paycheck required by law.  Option to deduct rent and transportation from pay, rent $240 and transport $80 per pay period. Optional deductions will not drop the overall wages below the UDSOL minimum, if the deductions are too great they will not be made. </t>
  </si>
  <si>
    <t xml:space="preserve">Overtime will be paid at a rate of $23.61/hr for working greater than 40 hours in any given week. </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</si>
  <si>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   Employer may deduct retirement/savings plan contributions and/or health insurance premiums for workers voluntarily participating in plan(s).    Employer provides incidental transportation between worksites as necessary.</t>
  </si>
  <si>
    <t>Heavy Equipment Operators</t>
  </si>
  <si>
    <t>Modupe</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</si>
  <si>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t>
  </si>
  <si>
    <t>H-400-23307-475859</t>
  </si>
  <si>
    <t>Nomadic Capital, LLC</t>
  </si>
  <si>
    <t>Mean Green Lawn &amp; Landscape</t>
  </si>
  <si>
    <t>3417 County Road 920</t>
  </si>
  <si>
    <t>Montenegro</t>
  </si>
  <si>
    <t>Denisse</t>
  </si>
  <si>
    <t>denisse@meangreenlawncare.com</t>
  </si>
  <si>
    <t>3417 County Road 920 (Report to Work)</t>
  </si>
  <si>
    <t>P-400-23209-222437</t>
  </si>
  <si>
    <t>hello@meangreenlawncare.com</t>
  </si>
  <si>
    <t>H-400-23321-509025</t>
  </si>
  <si>
    <t>Highway Maintenance Laborer</t>
  </si>
  <si>
    <t>Roadway Specialties, Inc.</t>
  </si>
  <si>
    <t>14152 FM 1826</t>
  </si>
  <si>
    <t>P. O. Box 90309, Austin, TX 78709</t>
  </si>
  <si>
    <t>Shelton</t>
  </si>
  <si>
    <t>Danette</t>
  </si>
  <si>
    <t>P. O. Box 90309, Austin, TX  78709</t>
  </si>
  <si>
    <t>danette@roadwayspecialties.com</t>
  </si>
  <si>
    <t xml:space="preserve">Lift/carry up to 50 pounds.  Employer paid drug test is Pre-Employment, Post Accident 
</t>
  </si>
  <si>
    <t>Character limit: overtime is not guaranteed but if worked rate is paid at time and a half per hour above 40 hou</t>
  </si>
  <si>
    <t>P-400-23227-266462</t>
  </si>
  <si>
    <t>Character limit:The employer will make the following deductions from the worker's wages: all deductions required by law,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where it is shown that the worker is responsible, and any other reasonable deductions expressly authorized by the worker in writing. No deduction not required by law will be made that brings the workers hourly earnings below the FLSA Federal statutory minimum wage</t>
  </si>
  <si>
    <t>www.laworks.net</t>
  </si>
  <si>
    <t>Peters</t>
  </si>
  <si>
    <t>Jane</t>
  </si>
  <si>
    <t>Dawkins</t>
  </si>
  <si>
    <t>Gulf Shores</t>
  </si>
  <si>
    <t>global4workservices@gmail.com</t>
  </si>
  <si>
    <t>HI</t>
  </si>
  <si>
    <t>Irene</t>
  </si>
  <si>
    <t>HAWAII</t>
  </si>
  <si>
    <t>Hawaii / Kauai nonmetropolitan area</t>
  </si>
  <si>
    <t>Brick</t>
  </si>
  <si>
    <t>H-400-23311-483111</t>
  </si>
  <si>
    <t>USTUNER</t>
  </si>
  <si>
    <t xml:space="preserve">Nuri </t>
  </si>
  <si>
    <t>Eren</t>
  </si>
  <si>
    <t>Director of Sales and Operations</t>
  </si>
  <si>
    <t>eren@lazzoni.us</t>
  </si>
  <si>
    <t xml:space="preserve">Special skills in warehouse, maintenance and profound knowledge of Lazzonis merchandising concepts and special designs and able to read and comprehend product assembly instructions are required. Heavy Lifting is required. The work tools, supplies and equipment will be provided. </t>
  </si>
  <si>
    <t>The daily subsistence will be provided at a rate of $20.00 per day during travel to a max of $59.00 per day with receipt</t>
  </si>
  <si>
    <t xml:space="preserve">Employer will make the required paycheck deductions. 
</t>
  </si>
  <si>
    <t>Olathe</t>
  </si>
  <si>
    <t>Lara</t>
  </si>
  <si>
    <t>Shellfish Workers</t>
  </si>
  <si>
    <t>Kellum Brothers LLC</t>
  </si>
  <si>
    <t>25 Shipyard Lane</t>
  </si>
  <si>
    <t>P. O. Box 259</t>
  </si>
  <si>
    <t>Weems</t>
  </si>
  <si>
    <t>Kellum</t>
  </si>
  <si>
    <t>kellumbrothers@gmail.com</t>
  </si>
  <si>
    <t>P-400-23165-108814</t>
  </si>
  <si>
    <t xml:space="preserve">Shared housing available to only seasonal full-time employees, not offered to non-employees. Employees may make their own arrangements at their own expense. If they opt to live in employer provided housing, they will be charged a $20.00 utility fee/week. 
The employer will make the following deductions from the worker's wages: all deductions required by law, utility fee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</si>
  <si>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VALLEY</t>
  </si>
  <si>
    <t>Northwestern Idaho nonmetropolitan area</t>
  </si>
  <si>
    <t>Atkins</t>
  </si>
  <si>
    <t>Character limit:  overtime is not guaranteed but if worked rate is paid at time and a half per hour above 40 hours...</t>
  </si>
  <si>
    <t xml:space="preserve">Employer will only assist with locating shared rental housing upon arrival at the request of the employee. Employees are not required to live in housing the employer locates. Employees may make their own arrangements at their own expense.  
The employer will make the following deductions from the worker's wages: all deductions required by law,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where it is shown that the worker is responsible, and any other reasonable deductions expressly authorized by the worker in writing. No deduction not required by law will be made that brings the workers hourly earnings below the FLSA Federal statutory minimum wage.  
</t>
  </si>
  <si>
    <t>Hall</t>
  </si>
  <si>
    <t>CitiTurf, LLC</t>
  </si>
  <si>
    <t>6815 McWhirter Road</t>
  </si>
  <si>
    <t>Mailing: PO Box 941461, Plano, TX 75094</t>
  </si>
  <si>
    <t>Brua</t>
  </si>
  <si>
    <t>Philip</t>
  </si>
  <si>
    <t>jaimep@cititurf.com</t>
  </si>
  <si>
    <t>6815 McWhirter Rd</t>
  </si>
  <si>
    <t>P-400-23227-266063</t>
  </si>
  <si>
    <t>Employer will make all deductions from the worker's paycheck required by law.  Option to deduct 401K/Insurance from pay (costs per pay check) Medical $48.48; Supplemental Dental &amp; Vision $9.15; Supplemental Accident Plan $4.05; Supplemental Critical illness NON tobacco $1.50- $10.66  - Tobacco $2.01 - 16.82; 401k match up to 3% Optional deductions will not drop the overall wages below the UDSOL minimum, if the deductions are too great they will not be made. If requested, employer may assist non-local workers secure optional worker-paid lodging (not to exceed fair market value, based on number of occupants; cost TBD). Housing costs paid directly to landlord and are not payroll deducted.</t>
  </si>
  <si>
    <t>Employer may increase wage based on experience, changes in market conditions, and/or provide additional pay for perfor</t>
  </si>
  <si>
    <t>H-400-23318-499765</t>
  </si>
  <si>
    <t>Texas Native Scapes, LLC</t>
  </si>
  <si>
    <t>9710 Lark Trail</t>
  </si>
  <si>
    <t>Salado</t>
  </si>
  <si>
    <t>Burr</t>
  </si>
  <si>
    <t>Josh</t>
  </si>
  <si>
    <t>josh@texasnativescapesllc.com</t>
  </si>
  <si>
    <t xml:space="preserve">Monday-Friday, Saturdays may be required, overtime varies. Able to lift 50lbs. Must be able to stand for extended periods of time and be able to bend and stoop to pick things up. Random drug testing during employment. All drug testing is performed without regard to an employees citizenship or immigration status, and all testing is paid for by the company. See the additional document attached for further details about the administration of our drug testing policy.
</t>
  </si>
  <si>
    <t>P-400-23223-257786</t>
  </si>
  <si>
    <t>Employer may make payroll deductions at employee's request. Employer facilitates voluntary housing arrangements with no monetary involvement.</t>
  </si>
  <si>
    <t>office@texasnativescapesllc.com</t>
  </si>
  <si>
    <t>Erbert Lawns</t>
  </si>
  <si>
    <t>9892 Titan Park Circle</t>
  </si>
  <si>
    <t>Erbert</t>
  </si>
  <si>
    <t>johnerbert@gmail.com</t>
  </si>
  <si>
    <t>9892 Titan Park Circle (Report to Work)</t>
  </si>
  <si>
    <t>P-400-23206-213348</t>
  </si>
  <si>
    <t>Hart</t>
  </si>
  <si>
    <t>Crider</t>
  </si>
  <si>
    <t>Idaho Falls</t>
  </si>
  <si>
    <t>Arbor Rock and Wall Landscaping</t>
  </si>
  <si>
    <t>4307 SW 7th St</t>
  </si>
  <si>
    <t>Galan</t>
  </si>
  <si>
    <t>José</t>
  </si>
  <si>
    <t>4307 SW 7th Street</t>
  </si>
  <si>
    <t>arborrockandwall@gmail.com</t>
  </si>
  <si>
    <t>Bellevue</t>
  </si>
  <si>
    <t>Adriana</t>
  </si>
  <si>
    <t>Heritage Lawn &amp; Landscape, LLC</t>
  </si>
  <si>
    <t>H-400-23307-475807</t>
  </si>
  <si>
    <t>Groundskeeper: Irrigation Worker</t>
  </si>
  <si>
    <t>Tanto Irrigation, LLC</t>
  </si>
  <si>
    <t>5 North Payne Street</t>
  </si>
  <si>
    <t>Elmsford</t>
  </si>
  <si>
    <t>Bartels</t>
  </si>
  <si>
    <t>wbartels@tantoirrigation.com</t>
  </si>
  <si>
    <t>5 North Payne Street (Report to Work)</t>
  </si>
  <si>
    <t>P-400-23200-200093</t>
  </si>
  <si>
    <t>ccoulson@tantoirrigation.com</t>
  </si>
  <si>
    <t>H-400-23321-509031</t>
  </si>
  <si>
    <t>CVAC Lawn Care LLC</t>
  </si>
  <si>
    <t>195 New Bethlehem Church Rd.</t>
  </si>
  <si>
    <t>Aliquippa</t>
  </si>
  <si>
    <t>Vacca</t>
  </si>
  <si>
    <t>cvaclawncare@gmail.com</t>
  </si>
  <si>
    <t xml:space="preserve">Lift/ carry up to 50 pounds
</t>
  </si>
  <si>
    <t>Character limit: overtime is not guaranteed but if worked rate is paid at time and a half per hourabove 40 hou</t>
  </si>
  <si>
    <t>P-400-23212-226007</t>
  </si>
  <si>
    <t>Character limit: Employer will only assist with locating shared rental housing upon arrival at the request of the employee.Employees are not required to live in housing the employer locates. Employees may make their own arrangementsat their own expense.  The employer will make the following deductions from the worker's wages: all deductions required by law, cashadvances and repayment of loans, repayment of overpayment of wages to the worker, payment for articles whichthe worker has voluntarily purchased from the employer, long distance telephone charges, recovery of any loss tothe employer due to the worker's damage (beyond normal wear and tear) or loss of equipment where it is shownthat the worker is responsible, and any other reasonable deductions expressly authorized by the worker in writing.No deduction not required by law will be made that brings the workers hourly earnings below the FLSA Federalstatutory minimum wage.</t>
  </si>
  <si>
    <t>Hot Springs</t>
  </si>
  <si>
    <t>Aaron@pesusa.com</t>
  </si>
  <si>
    <t>Bruno</t>
  </si>
  <si>
    <t>Gordon</t>
  </si>
  <si>
    <t>ironsureproperties@gmail.com</t>
  </si>
  <si>
    <t>H-400-23321-509098</t>
  </si>
  <si>
    <t>Employer will make all deductions from the worker's paycheck required by law.  Option to deduct 401K/Insurance from pay (costs per pay check) Medical $48.48; Supplemental Dental &amp; Vision $9.15; Supplemental Accident Plan $4.05; Supplemental Critical illness NON tabaco $1.50- $10.66  - Tabacco $2.01 - 16.82; 401k match up to 3% Optional deductions will not drop the overall wages below the UDSOL minimum, if the deductions are too great they will not be made. (Note for the CO: Section F.d item 4 is marked yes as the employer will assist workers, they are not providing housing)</t>
  </si>
  <si>
    <t>Dagsboro</t>
  </si>
  <si>
    <t>Thornton</t>
  </si>
  <si>
    <t>O.</t>
  </si>
  <si>
    <t>Martin J. Grunder Jr. Inc.</t>
  </si>
  <si>
    <t>DBA Grunder Landscaping Company</t>
  </si>
  <si>
    <t>1900 Old Byers Road</t>
  </si>
  <si>
    <t>Miamisburg</t>
  </si>
  <si>
    <t>Pflum</t>
  </si>
  <si>
    <t>Seth</t>
  </si>
  <si>
    <t xml:space="preserve">Requires three months of previous landscape experience. Must lift/carry 50 lbs., when necessary. Saturday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Employer may offer more than the stated work hours depending on weather, business needs, and other conditions. Extreme heat, cold, rain, or drought may affect exact working hours.
</t>
  </si>
  <si>
    <t>1900 Old Byers Rd</t>
  </si>
  <si>
    <t>P-400-23233-280030</t>
  </si>
  <si>
    <t>chris.maloney@grunderlandscaping.com</t>
  </si>
  <si>
    <t>H-400-23336-539639</t>
  </si>
  <si>
    <t>PR Landscaping, Inc.</t>
  </si>
  <si>
    <t>610 N. Cowan Avenue</t>
  </si>
  <si>
    <t>Mailing: P.O. Box 561238, The Colony, TX 75056</t>
  </si>
  <si>
    <t>Apuleyo</t>
  </si>
  <si>
    <t>accounting@prlandscaping.net</t>
  </si>
  <si>
    <t>P-400-23172-130789</t>
  </si>
  <si>
    <t>Armando</t>
  </si>
  <si>
    <t>Schmitt</t>
  </si>
  <si>
    <t>H-400-23314-493953</t>
  </si>
  <si>
    <t>Back Line Cook</t>
  </si>
  <si>
    <t>Family Dinner, LLC</t>
  </si>
  <si>
    <t>Ella &amp; Ollie's</t>
  </si>
  <si>
    <t>21 Fairway Drive</t>
  </si>
  <si>
    <t>Edisto</t>
  </si>
  <si>
    <t>Haney</t>
  </si>
  <si>
    <t>paulahaney2015@gmail.com</t>
  </si>
  <si>
    <t xml:space="preserve">Knowledge of kitchen tools and ovens, food preparation and safety procedures </t>
  </si>
  <si>
    <t>P-400-23271-389130</t>
  </si>
  <si>
    <t xml:space="preserve">Local and federal taxes as required. </t>
  </si>
  <si>
    <t>H-400-23334-533658</t>
  </si>
  <si>
    <t xml:space="preserve">Lawn &amp; Landscape Maintenance </t>
  </si>
  <si>
    <t>Gorman Landscape Contractors L.L.C. (GOR124A)</t>
  </si>
  <si>
    <t>3046 Lower Bellbrook Road</t>
  </si>
  <si>
    <t xml:space="preserve">Gorman </t>
  </si>
  <si>
    <t>mike@gormanlandscape.com</t>
  </si>
  <si>
    <t>Must be able to lift at least 50 pounds and be able to perform physical labor. May conduct post-hire employer paid drug testing.
Work days: Monday thru Friday: 7am-5pm. Saturday 7:30 am-Noon. Schedule can change due to rain &amp; weather conditions. 
Hours per week: 45 
Work Schedule: Monday thru Friday: 7am-5pm. Saturday 7:30 am-Noon. Schedule can change due to rain &amp; weather conditions.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Optional housing available at $205/month. No family housing.</t>
  </si>
  <si>
    <t>Spring Valley OH</t>
  </si>
  <si>
    <t>P-400-23249-323205</t>
  </si>
  <si>
    <t>Optional housing available at $205/month</t>
  </si>
  <si>
    <t>H-400-23307-476470</t>
  </si>
  <si>
    <t>LAUNDRY ATTENDANT/ DRIVER</t>
  </si>
  <si>
    <t>Omni Amelia Island LLC</t>
  </si>
  <si>
    <t>Omni Amelia Island Resort</t>
  </si>
  <si>
    <t>39 Beach Lagoon Road</t>
  </si>
  <si>
    <t>AMELIA ISLAND</t>
  </si>
  <si>
    <t>Casteel</t>
  </si>
  <si>
    <t>DIRECTOR, ASSOCIATE SERVICES</t>
  </si>
  <si>
    <t>AIPRST.HR@omnihotels.com</t>
  </si>
  <si>
    <t xml:space="preserve">No minimum education or experience required.
Workers are subject to post-employment criminal background checks, paid by employer and applied equally to all workers, U.S. and foreign/H-2B. 
Must be able to work a minimum 5-day workweek.
Must be able to work weekends and holidays. 
Ability to move/lift 75lbs such as: linen, linen carts, and/or bags of linen. 
Exposed to all weather conditions while driving linens. Must be able to obtain valid U.S. Drivers License within 30-days of employment.
Applicant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
  </si>
  <si>
    <t>P-400-23188-173198</t>
  </si>
  <si>
    <t>Employer will provide on the job training. A single workweek will be used to compute wages due. Pay received bi-weekly.  
Employer will make all deductions from the worker's paycheck required by law. 
Optional employee shard housing available, including utilities, approx. $150.00 per week, plus $300.00 deposit required ($100.00 non-refundable, $200.00 refundable). Transportation provided between employer’s housing and worksite at approx. $20 per week. Meals available for purchase at approx. $3.00 per meal. Housing, meals, and transportation payroll deducted if employee elects.</t>
  </si>
  <si>
    <t>Celina</t>
  </si>
  <si>
    <t>Employer will make all deductions from the worker's paycheck required by law. If requested, employer may assist non-local workers secure optional worker-paid lodging (not to exceed fair market value, based on number of occupants; cost TBD). Housing costs paid directly to landlord and are not payroll deducted.</t>
  </si>
  <si>
    <t>Buffalo-Cheektowaga-Niagara Falls, NY</t>
  </si>
  <si>
    <t xml:space="preserve">Lake Charles </t>
  </si>
  <si>
    <t>Dees</t>
  </si>
  <si>
    <t>Foret</t>
  </si>
  <si>
    <t>2400 N Glenville Drive</t>
  </si>
  <si>
    <t>Building A</t>
  </si>
  <si>
    <t>adees@bal.com</t>
  </si>
  <si>
    <t>Berry Appleman &amp; Leiden LLP</t>
  </si>
  <si>
    <t>Hand</t>
  </si>
  <si>
    <t>khand@bal.com</t>
  </si>
  <si>
    <t>H-400-23320-506888</t>
  </si>
  <si>
    <t>Landscape Laborer II</t>
  </si>
  <si>
    <t xml:space="preserve">6 months experience with basic knowledge of golf course layout; understanding of golf course irrigation systems including ability to install/repair key components; knowledge of golf course building materials and golf course construction tasks including building/repair of greens, tees, and bunkers. Three to six months experience operating any one of the following: tractor, skid loader, plows/trencher. OT as needed.
We want to clarify the information on Item F.a.5. During the work week, which runs Sunday through Saturday, employees are scheduled to work a 40 hour work week and given OT as needed. F.a.5 does not allow us to enter such a work schedule. If we enter 8 hours each day, it would show 56 hours a week, which is not an accurate reflection of their work schedule.
</t>
  </si>
  <si>
    <t>26001 Haynie Flat Road</t>
  </si>
  <si>
    <t>Spicewood</t>
  </si>
  <si>
    <t>P-400-23221-252403</t>
  </si>
  <si>
    <t xml:space="preserve">General Manager </t>
  </si>
  <si>
    <t>H-400-23328-522497</t>
  </si>
  <si>
    <t>JTG Solutions</t>
  </si>
  <si>
    <t>Evr-Green, LLC</t>
  </si>
  <si>
    <t>28512 FM 2004</t>
  </si>
  <si>
    <t>Mailing: PO Box 3582, Lake Jackson, TX 77566</t>
  </si>
  <si>
    <t>Angleton</t>
  </si>
  <si>
    <t>Groves</t>
  </si>
  <si>
    <t>teresa@evrgreenllc.com</t>
  </si>
  <si>
    <t xml:space="preserve">Random drug testing during employment; Drug testing during employment for cause; Post-Accident Drug Testing, Able to lift 50lbs, Must be able to obtain a driver's license, Monday-Friday, schedule varies, some weekends may be required,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
</t>
  </si>
  <si>
    <t>Raises and bonuses at employer's discretion, higher pay depending on longevity and experience.</t>
  </si>
  <si>
    <t>P-400-23228-269041</t>
  </si>
  <si>
    <t>Gilbert</t>
  </si>
  <si>
    <t>BRISTOL BAY</t>
  </si>
  <si>
    <t>H-400-23295-448656</t>
  </si>
  <si>
    <t>Roger Westmoreland Concessions, Inc.</t>
  </si>
  <si>
    <t>1914 East First Street</t>
  </si>
  <si>
    <t>(Mail: PO Box 1090, Hughes Springs TX 75656)</t>
  </si>
  <si>
    <t>Hughes Springs</t>
  </si>
  <si>
    <t>Westmoreland</t>
  </si>
  <si>
    <t>rwfoodco@aol.com</t>
  </si>
  <si>
    <t>P-400-23199-196187</t>
  </si>
  <si>
    <t>ST PETERS</t>
  </si>
  <si>
    <t>Wright City</t>
  </si>
  <si>
    <t>www.jobs.mo.gov</t>
  </si>
  <si>
    <t>https://www.worksourcegaportal.com/vosnet/default.aspx</t>
  </si>
  <si>
    <t>JEFFREY</t>
  </si>
  <si>
    <t>SUITE 100</t>
  </si>
  <si>
    <t>H-400-23279-414442</t>
  </si>
  <si>
    <t>Tree Timmer/Climber Supervisor</t>
  </si>
  <si>
    <t>ABC Professional Tree Services, Inc - LittleRock</t>
  </si>
  <si>
    <t xml:space="preserve">Requires twelve months of Tree Trimmer / Climber experience. 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Incidental limited travel and double time pay may be available under certain emergent conditions and holidays. Employer may offer more than the stated work hours depending on weather, business needs, and other conditions. Extreme heat, cold, rain, or drought may affect exact working hours.
</t>
  </si>
  <si>
    <t>200 S Shackleford Rd,</t>
  </si>
  <si>
    <t>P-400-23183-162061</t>
  </si>
  <si>
    <t>https://www.arjoblink.arkansas.gov/ada</t>
  </si>
  <si>
    <t>Ruiz</t>
  </si>
  <si>
    <t>ABC Professional Tree Services, Inc - Knoxville</t>
  </si>
  <si>
    <t>Knoxville</t>
  </si>
  <si>
    <t>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</si>
  <si>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North Valley-Northern Mountains Region of California nonmetropolitan area</t>
  </si>
  <si>
    <t>Cindy</t>
  </si>
  <si>
    <t>4801 Main Street</t>
  </si>
  <si>
    <t>tiffany.baldwin@huschblackwell.com</t>
  </si>
  <si>
    <t>Supreme Court of Missouri</t>
  </si>
  <si>
    <t xml:space="preserve">Landscape Laborer </t>
  </si>
  <si>
    <t>Erik</t>
  </si>
  <si>
    <t>H-400-23336-539118</t>
  </si>
  <si>
    <t>LANDSCAPE LABOR</t>
  </si>
  <si>
    <t>LIBERTY LAWN &amp; LANDSCAPING</t>
  </si>
  <si>
    <t>17 OSPREN ROAD</t>
  </si>
  <si>
    <t>SHELTER ISLAND HTS</t>
  </si>
  <si>
    <t>RICHARDS</t>
  </si>
  <si>
    <t>WALTER</t>
  </si>
  <si>
    <t xml:space="preserve">17 OSPREN ROAD </t>
  </si>
  <si>
    <t>P-400-23200-199242</t>
  </si>
  <si>
    <t>WALTER@LIBERTYLANDSCAPESI.COM</t>
  </si>
  <si>
    <t>H-400-23325-516022</t>
  </si>
  <si>
    <t>Yellowstone Landscape - Southeast, LLC_Orlando</t>
  </si>
  <si>
    <t>1773 Business Center Lane</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</si>
  <si>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Employment eligibility (e-Verify) check required of foreign and domestic workers based on client requirements.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</si>
  <si>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1773 Business Center Ln</t>
  </si>
  <si>
    <t>P-400-23236-293522</t>
  </si>
  <si>
    <t>RABUN</t>
  </si>
  <si>
    <t>North Georgia nonmetropolitan area</t>
  </si>
  <si>
    <t>https://www.worksourcegaportal.com/</t>
  </si>
  <si>
    <t>HINDS</t>
  </si>
  <si>
    <t>H-400-23319-503208</t>
  </si>
  <si>
    <t>Oberson's Nursery and Landscapes LLC</t>
  </si>
  <si>
    <t>2389 Hamilton Cleves Rd</t>
  </si>
  <si>
    <t>Hamilton</t>
  </si>
  <si>
    <t>Oberson</t>
  </si>
  <si>
    <t>2389 Hamilton Cleves Rd.</t>
  </si>
  <si>
    <t>4000 Lockbourne Rd</t>
  </si>
  <si>
    <t xml:space="preserve">$17.46 - $20/hr.  ($26.19 - $30/hr. O.T.), wage range based on experience and performance </t>
  </si>
  <si>
    <t>P-400-23277-410418</t>
  </si>
  <si>
    <t>Employer will make all deductions required by law from each paycheck as well as for optional employer provided housing at $300/month.  per worker (not including utilities).Optional Health Insurance – 50% employer paid. 50% by employee.</t>
  </si>
  <si>
    <t>chad@obersons.com</t>
  </si>
  <si>
    <t>H-400-23326-520449</t>
  </si>
  <si>
    <t>Hunter Landscape Company</t>
  </si>
  <si>
    <t>4906 Dillehay Dr. #800</t>
  </si>
  <si>
    <t>Cummings</t>
  </si>
  <si>
    <t>hunterlandscapecompany@gmail.com</t>
  </si>
  <si>
    <t>P-400-23228-269556</t>
  </si>
  <si>
    <t xml:space="preserve">2300 Crown Colony Drive </t>
  </si>
  <si>
    <t>74 Main Street</t>
  </si>
  <si>
    <t>Ogunquit</t>
  </si>
  <si>
    <t>Evansville</t>
  </si>
  <si>
    <t>McPherson</t>
  </si>
  <si>
    <t xml:space="preserve">Recycling and Reclamation Workers  </t>
  </si>
  <si>
    <t>501K Recycling, LLC</t>
  </si>
  <si>
    <t>565 Beaver Creek Rd</t>
  </si>
  <si>
    <t>Huntingdon</t>
  </si>
  <si>
    <t>KILEY</t>
  </si>
  <si>
    <t>kiley@501k-recycling.com</t>
  </si>
  <si>
    <t>1580 Industrial Park Rd</t>
  </si>
  <si>
    <t>KAREN</t>
  </si>
  <si>
    <t>H-400-23321-509023</t>
  </si>
  <si>
    <t>Stock Clerks</t>
  </si>
  <si>
    <t>Grandy Farm Market</t>
  </si>
  <si>
    <t>6264 Caratoke Highway</t>
  </si>
  <si>
    <t>P. O. Box 673</t>
  </si>
  <si>
    <t>Colon</t>
  </si>
  <si>
    <t>PO Box 673</t>
  </si>
  <si>
    <t xml:space="preserve">Lift/carry up to 50 pounds.  Employer paid drug test is Post Accident 
</t>
  </si>
  <si>
    <t>Character limit: OT; overtime is not guaranteed but if worked rate is paid at time and a half per hour above 40 hours pe</t>
  </si>
  <si>
    <t>P-400-23222-255359</t>
  </si>
  <si>
    <t xml:space="preserve">Character limit:Shared housing available to only seasonal full-time employees, not offered to non-employees. Employees may make their own arrangements at their own expense. If they opt to live in employer provided housing rent charged at $60.00/week.  Utilities are not included.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t>
  </si>
  <si>
    <t>grandyfarmmkt@hotmail.com</t>
  </si>
  <si>
    <t>H-400-23336-539775</t>
  </si>
  <si>
    <t>MV HOLMES LLC</t>
  </si>
  <si>
    <t>FOUR SEASONS LAWN CARE</t>
  </si>
  <si>
    <t>1138 14TH ST</t>
  </si>
  <si>
    <t>HOLMES</t>
  </si>
  <si>
    <t>MIKE@4SEASONSGA.COM</t>
  </si>
  <si>
    <t>P-400-23278-411746</t>
  </si>
  <si>
    <t>Maurer</t>
  </si>
  <si>
    <t>H-400-23265-371258</t>
  </si>
  <si>
    <t xml:space="preserve">Truck Driver </t>
  </si>
  <si>
    <t xml:space="preserve">Mustang Express LLC </t>
  </si>
  <si>
    <t xml:space="preserve">404 Mabry Cove </t>
  </si>
  <si>
    <t>Fort Wayne</t>
  </si>
  <si>
    <t>Pehlic</t>
  </si>
  <si>
    <t>Ado</t>
  </si>
  <si>
    <t xml:space="preserve">Fort Wayne </t>
  </si>
  <si>
    <t>mustangexpress94@gmail.com</t>
  </si>
  <si>
    <t xml:space="preserve">Drivers must be in good physical health, have good hand eye coordination, hearing ability, and visual ability.
All long haul truck drivers must have a CDL. Qualifications vary from state to state, generally include passing a knowledge test and driving test. Drivers must attend National Tractor Trailer School </t>
  </si>
  <si>
    <t>404 Mabry Cove</t>
  </si>
  <si>
    <t>ALLEN</t>
  </si>
  <si>
    <t>Fort Wayne, IN</t>
  </si>
  <si>
    <t>P-400-23230-276011</t>
  </si>
  <si>
    <t>Mirage Landscaping, LLC.</t>
  </si>
  <si>
    <t>2266 W 6800 S</t>
  </si>
  <si>
    <t>pitchfordb23@gmail.com</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</si>
  <si>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t>
  </si>
  <si>
    <t>1200 W 100 N</t>
  </si>
  <si>
    <t>Franklin</t>
  </si>
  <si>
    <t>Riverton</t>
  </si>
  <si>
    <t>H-400-23276-407024</t>
  </si>
  <si>
    <t>Material Mover</t>
  </si>
  <si>
    <t>MVP Events Group LLC</t>
  </si>
  <si>
    <t>260 Crandon Blvd.</t>
  </si>
  <si>
    <t>Ste 32 # 1063</t>
  </si>
  <si>
    <t>Key Biscayne</t>
  </si>
  <si>
    <t>Ambush</t>
  </si>
  <si>
    <t>Deon</t>
  </si>
  <si>
    <t>info@mvpeventgroupllc.com</t>
  </si>
  <si>
    <t>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t>
  </si>
  <si>
    <t>260 Crandon Blvd. (Report to Work)</t>
  </si>
  <si>
    <t>Suite 32 # 1021</t>
  </si>
  <si>
    <t>P-400-23194-188374</t>
  </si>
  <si>
    <t>H-400-23339-543441</t>
  </si>
  <si>
    <t>Snow Cleaners</t>
  </si>
  <si>
    <t>Lukadia, Inc.</t>
  </si>
  <si>
    <t>Suburban Landscaping and Lawn Maintenance</t>
  </si>
  <si>
    <t>1604 East End Ave</t>
  </si>
  <si>
    <t>PO Box 1145, Homewood, IL 60430</t>
  </si>
  <si>
    <t xml:space="preserve">Chicago Heights </t>
  </si>
  <si>
    <t>Luke</t>
  </si>
  <si>
    <t>Chicago Heights</t>
  </si>
  <si>
    <t>info@suburbanlandscaping.net</t>
  </si>
  <si>
    <t xml:space="preserve">Must be able to lift/carry 75 lbs for 25 yards.
</t>
  </si>
  <si>
    <t>1604 East End Avenue</t>
  </si>
  <si>
    <t>Wage may vary based on merit or experience.</t>
  </si>
  <si>
    <t>P-400-23317-497634</t>
  </si>
  <si>
    <t>Rapid City</t>
  </si>
  <si>
    <t>COBB</t>
  </si>
  <si>
    <t>employgeorgia.com</t>
  </si>
  <si>
    <t>Raises at employer's discretion. Opportunity for higher pay depending on experience</t>
  </si>
  <si>
    <t>H-400-23307-478321</t>
  </si>
  <si>
    <t>GI Hospitality</t>
  </si>
  <si>
    <t>Fairfield Inn</t>
  </si>
  <si>
    <t>805 Allen Drive</t>
  </si>
  <si>
    <t>Grand Island</t>
  </si>
  <si>
    <t>Mailing: 104 3rd Avenue Kearney, NE 68845</t>
  </si>
  <si>
    <t xml:space="preserve">Ability to lift 20lbs
40 hrs/wk, work 5 days/wk, 9am-5pm, M-Sun, workdays/hours may vary depending on hotel capacity.
</t>
  </si>
  <si>
    <t>Grand Island, NE</t>
  </si>
  <si>
    <t>P-400-23207-217851</t>
  </si>
  <si>
    <t>Employer will provide optional housing to workers and deduct $175/paycheck for rent
Employer may charge the worker for reasonable costs related to the worker's refusal or negligent failure to return any property furnished by the employer or due to such worker's willful damage or destruction of such property. Deductions may be taken per employee's request.
See Addendum</t>
  </si>
  <si>
    <t>Winchester</t>
  </si>
  <si>
    <t>H-400-23269-381658</t>
  </si>
  <si>
    <t>TOW DRIVER/MECHANIC</t>
  </si>
  <si>
    <t>Automotive Service Technicians and Mechanics</t>
  </si>
  <si>
    <t>LADY'S TOWING LLC</t>
  </si>
  <si>
    <t>1556 w 2250 s 1556 W 2250 S WEST</t>
  </si>
  <si>
    <t>VALLEY CITY</t>
  </si>
  <si>
    <t>VIERA</t>
  </si>
  <si>
    <t>ALEJANDRA</t>
  </si>
  <si>
    <t>1556 W 2250 S WEST</t>
  </si>
  <si>
    <t>LADYSTOWING@GMAIL.COM</t>
  </si>
  <si>
    <t xml:space="preserve">SPANISH
</t>
  </si>
  <si>
    <t>Month</t>
  </si>
  <si>
    <t>P-400-23222-255681</t>
  </si>
  <si>
    <t>No deductions</t>
  </si>
  <si>
    <t>ladystowing@gmail.com</t>
  </si>
  <si>
    <t>H-400-23325-515775</t>
  </si>
  <si>
    <t>Martinez &amp; Sons Landscaping LLC</t>
  </si>
  <si>
    <t>792 Willoughby Ln</t>
  </si>
  <si>
    <t>Mailing: PO Box 1221, Corvallis, MT 59828</t>
  </si>
  <si>
    <t>De La Luz Martinez</t>
  </si>
  <si>
    <t>martinezandsons406@gmail.com</t>
  </si>
  <si>
    <t xml:space="preserve">Must be able to work a 5 day schedule.
Applicants must complete an employment application.
</t>
  </si>
  <si>
    <t>P-400-23213-230247</t>
  </si>
  <si>
    <t xml:space="preserve">The employer will make all deductions from the worker's paycheck required by law. Employer will assist worker to find affordable housing.
Employer will provide daily transportation from employee housing to main worksite and then to multiple worksite locations in Ravalli County, MT.
The employer will provide worker at no charge all tools, supplies, and equipment required to perform job. No uniform required.
</t>
  </si>
  <si>
    <t>www.jobs.usnlx.com</t>
  </si>
  <si>
    <t>SANTA ROSA</t>
  </si>
  <si>
    <t>H-400-23335-535597</t>
  </si>
  <si>
    <t>Priority Construction Corporation (PRI124A)</t>
  </si>
  <si>
    <t>1315 W Hamburg Street</t>
  </si>
  <si>
    <t>Ponce</t>
  </si>
  <si>
    <t>aponce@priorityconst.com</t>
  </si>
  <si>
    <t xml:space="preserve">ABLE TO LIFT 50 LBS, TOLERATE PHYSICAL LABOR IN HIGH TEMPERATURES, STANDING ALL DAY. POST-EMPLOYMENT DRUG TEST MAY BE ADMINISTERED AT EMPLOYER'S EXPENSE. BE AVAILABLE DURING THE ENTIRE CONTRACT.
Work days: M-F 7:00am-4:00pm, S 7:00 am-12:00 pm; schedule may vary 
Hours per week: 42
Work Schedule: M-F 7:00am-4:00pm, S 7:00 am-12:00 pm; hours vary 
All worksite locations are within driving distance of primary worksite location.  
The hourly wage rate and overtime rate are equal to the highest of the applicable prevailing wage rates.
Pay Frequency: Weekly - Friday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Employer will assist workers from outside normal commuting distance in securing local housing.  Workers not required to reside in housing secured by Employer. 
Deductions: Workers who voluntarily elect to reside in housing secured by employer will pay rent and utilities through payroll deduction.  Rent and utility charges and corresponding deductions are at market range for low-income housing. 
</t>
  </si>
  <si>
    <t>Baltimore</t>
  </si>
  <si>
    <t>BALTIMORE CITY</t>
  </si>
  <si>
    <t>P-400-23265-370770</t>
  </si>
  <si>
    <t xml:space="preserve">Workers who voluntarily elect to reside in housing secured by employer will pay rent and utilities through payroll deduction.  Rent and utility charges and corresponding deductions are at market range for low-income housing. 
</t>
  </si>
  <si>
    <t>https://priorityconst.com</t>
  </si>
  <si>
    <t>H-400-23321-509675</t>
  </si>
  <si>
    <t>MATHIS LANDSCAPES WNC, INC.</t>
  </si>
  <si>
    <t>3211 HWY 107 N</t>
  </si>
  <si>
    <t>GLENVILLE</t>
  </si>
  <si>
    <t>MATHIS</t>
  </si>
  <si>
    <t>ERIKA</t>
  </si>
  <si>
    <t>ERMATHIS@GMAIL.COM</t>
  </si>
  <si>
    <t xml:space="preserve">MUST BE ABLE TO LIFT 50LBS, REPETITIVE MOVMENTS, EXTENSIVE PUSHING/PULLING, EXTENSIVE WALKING, FREQUENT STOOPING, EXPOSURE TO EXTREME TEMPERATURES. Schedule varies, overtime available as needed.
</t>
  </si>
  <si>
    <t>P-400-23286-429959</t>
  </si>
  <si>
    <t>LEHIGH</t>
  </si>
  <si>
    <t>Allentown-Bethlehem-Easton, PA-NJ</t>
  </si>
  <si>
    <t>Utica</t>
  </si>
  <si>
    <t>Project Manager</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</si>
  <si>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Voluntary advances and/or loans made to workers, if any, may be repaid by pre-authorized payroll deductions. No daily transportation to/from workers' home and primary worksite. Employer provides incidental transportation between multiple worksites as necessary. Such transportation complies with all applicable Federal, State, and local laws/regulations.</t>
  </si>
  <si>
    <t>Afton</t>
  </si>
  <si>
    <t>Northeast Oklahoma nonmetropolitan area</t>
  </si>
  <si>
    <t>H-400-23334-533628</t>
  </si>
  <si>
    <t>AMIS LAWN AND LANDSCAPE, LLC. (AMS124A)</t>
  </si>
  <si>
    <t>516 W College St</t>
  </si>
  <si>
    <t>AMIS</t>
  </si>
  <si>
    <t>516 W College Street</t>
  </si>
  <si>
    <t>info_amis_lawn@udwss.com</t>
  </si>
  <si>
    <t xml:space="preserve">Post-employment drug screening may be administered at employer's expense, NO SMOKING IN COMPANY VEHICLES OR ON ANY JOB SITE.  Must be able to lift 50 lbs, be on feet all day, work in extreme temperatures, MUST BE ABLE TO RUN HANDHELD LAWN AND GARDEN EQUIPMENT. bending, lifting frequently AND EXHIBIT STAMINA. OPERATE EQUIPMENT WHILE SOBER.  Must be available entire work contract.
Work days: MONDAY-THURSDAY. May work Friday and Saturday depending on weather. Schedule may vary.
Hours per week: 40
Work Schedule: 6:30am - 5:00pm.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No family housing available.
</t>
  </si>
  <si>
    <t>4394 Williamson Road</t>
  </si>
  <si>
    <t>P-400-23248-320644</t>
  </si>
  <si>
    <t>Optional housing at $90/week.</t>
  </si>
  <si>
    <t>form.jotform.com/UDWSS/amis-lawn</t>
  </si>
  <si>
    <t>Velasquez</t>
  </si>
  <si>
    <t>Administrative Officer</t>
  </si>
  <si>
    <t>H-400-23290-436094</t>
  </si>
  <si>
    <t>ALPINE CLEANING AND RESTORATION SPECIALISTS INC</t>
  </si>
  <si>
    <t>180 W 500 N</t>
  </si>
  <si>
    <t>NORTH SALT LAKE</t>
  </si>
  <si>
    <t>P-400-23206-213395</t>
  </si>
  <si>
    <t>Employer will use a single work week for computing wages due. Pay will be bi-weekly. Pay Per Piece rate. Assistance finding lodging is available, if needed, at no additional charge to the worker. Employer
will make all deductions required by law from each paycheck.</t>
  </si>
  <si>
    <t>H-400-23336-539204</t>
  </si>
  <si>
    <t>D'AGOSTINO LANDSCAPING INC</t>
  </si>
  <si>
    <t>730 WEST NYACK ROAD</t>
  </si>
  <si>
    <t>WEST NYACK</t>
  </si>
  <si>
    <t>NATALE</t>
  </si>
  <si>
    <t>OPERATIONS MANAGER</t>
  </si>
  <si>
    <t>P-400-23183-161945</t>
  </si>
  <si>
    <t>jeff@dagostinolandscape.com</t>
  </si>
  <si>
    <t>7279 E. Poser Rd</t>
  </si>
  <si>
    <t>St. Charles</t>
  </si>
  <si>
    <t>Raises at employer's discretion</t>
  </si>
  <si>
    <t>Reed</t>
  </si>
  <si>
    <t>H-400-23307-476210</t>
  </si>
  <si>
    <t>James River Grounds Management LLC</t>
  </si>
  <si>
    <t>11008 Washington Highway</t>
  </si>
  <si>
    <t>Glen Allen</t>
  </si>
  <si>
    <t>Area Sr. HR Generalist</t>
  </si>
  <si>
    <t>11008 Washington Hwy.</t>
  </si>
  <si>
    <t>avelasquez@jrgm.com</t>
  </si>
  <si>
    <t xml:space="preserve">Lift/carry up to 50 pounds.  Show past certification for herbicide and fertilizer application (as required by the Commonwealth of VA).  Work in bending and standing positions for extended periods in all types of weather (extreme heat &amp; cold).  Employer paid drug test is Pre-Employment, Random (post-employment), Post Accident, Upon Suspicion (Post Employment).  Employer paid post hire criminal background check required. 
</t>
  </si>
  <si>
    <t>HENRICO</t>
  </si>
  <si>
    <t>Character limit:  ; overtime is not guaranteed but if worked rate is paid at time and a half per hour above 40 ...</t>
  </si>
  <si>
    <t>P-400-23177-143936</t>
  </si>
  <si>
    <t>Shared housing available to only seasonal full-time employees, not offered to non-employees. Employees may make their own arrangements at their own expense. If they opt to live in employer provided housing rent (utilities included) charged at $87.50/week.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optional ACA health insurance, holiday pay,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t>
  </si>
  <si>
    <t>jobs@jrgm.com</t>
  </si>
  <si>
    <t>https://jrgm.com/join-our-team/</t>
  </si>
  <si>
    <t>H-400-23321-508561</t>
  </si>
  <si>
    <t>Turf Plus, LLC</t>
  </si>
  <si>
    <t>4315 E. Morgan Avenue, Suite D</t>
  </si>
  <si>
    <t xml:space="preserve">Titzer </t>
  </si>
  <si>
    <t>mtitzer@turf-plus.com</t>
  </si>
  <si>
    <t>4315 E. Morgan Avenue, Suite D (Report to Work)</t>
  </si>
  <si>
    <t>VANDERBURGH</t>
  </si>
  <si>
    <t>Evansville, IN-KY</t>
  </si>
  <si>
    <t>P-400-23214-231454</t>
  </si>
  <si>
    <t>Optional, shared housing available to the worker at a monthly housing rate up to $330.00; if optional housing is agreed upon by the worker, monthly housing rate will be deducted from worker's paycheck incrementally (bi-weekly).</t>
  </si>
  <si>
    <t>Plantation</t>
  </si>
  <si>
    <t>H-400-23336-539251</t>
  </si>
  <si>
    <t>GALVANS LAWN &amp; LANDSCAPE</t>
  </si>
  <si>
    <t>2612 SE NOTTINGHAM DRIVE</t>
  </si>
  <si>
    <t>LEES SUMMIT</t>
  </si>
  <si>
    <t>GALVAN</t>
  </si>
  <si>
    <t>ALBERTO</t>
  </si>
  <si>
    <t xml:space="preserve">LEES SUMMIT </t>
  </si>
  <si>
    <t>P-400-23205-208979</t>
  </si>
  <si>
    <t>GALVANSFRONTDESK@GMAIL.COM</t>
  </si>
  <si>
    <t>H-400-23307-475908</t>
  </si>
  <si>
    <t>Production Workers</t>
  </si>
  <si>
    <t>PDSCo, Inc.</t>
  </si>
  <si>
    <t>Cowboy Mining Co</t>
  </si>
  <si>
    <t>105 W. Sharp</t>
  </si>
  <si>
    <t>Newsom</t>
  </si>
  <si>
    <t>rob@pdscoinc.com</t>
  </si>
  <si>
    <t>301 N Cowboy Mining Rd</t>
  </si>
  <si>
    <t>Alpine</t>
  </si>
  <si>
    <t>P-400-23226-263324</t>
  </si>
  <si>
    <t>Lancaster</t>
  </si>
  <si>
    <t>Eduardo</t>
  </si>
  <si>
    <t>Must be 18 due to insurance.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60lbs (possible 2-person).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</si>
  <si>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H-400-23321-509026</t>
  </si>
  <si>
    <t>R &amp; W Marine Construction, Inc.</t>
  </si>
  <si>
    <t>2959 Buckley Hall Road, Ste 105</t>
  </si>
  <si>
    <t>P. O. Box 229</t>
  </si>
  <si>
    <t>Cobbs Creek</t>
  </si>
  <si>
    <t>Callis</t>
  </si>
  <si>
    <t>rwmarine23035@gmail.com</t>
  </si>
  <si>
    <t xml:space="preserve">Lift/carry up to 50 pounds. Employer paid drug test is Post Accident </t>
  </si>
  <si>
    <t>2959 Buckley Hall Road</t>
  </si>
  <si>
    <t>MATHEWS</t>
  </si>
  <si>
    <t>Character Limit:overtime is not guaranteed but if worked rate is paid at time and a half per hour above 40 hour</t>
  </si>
  <si>
    <t>P-400-23209-223667</t>
  </si>
  <si>
    <t>Character Limit: Shared housing available to only seasonal full-time employees, not offered to non-employees. Employees may make their own arrangements at their own expense. If they opt to live in employer provided housing rent (utilities included) charged at $40.00/week.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t>
  </si>
  <si>
    <t>H-400-23307-478915</t>
  </si>
  <si>
    <t>Grass Works Lawn Care, LLC</t>
  </si>
  <si>
    <t>11318 Trails End Road</t>
  </si>
  <si>
    <t>MyCue</t>
  </si>
  <si>
    <t>Ferris</t>
  </si>
  <si>
    <t>fmycue@yahoo.com</t>
  </si>
  <si>
    <t xml:space="preserve">Must have 3 (three) months of experience and be able to lift up to 60lbs. Employer provides transportation to and from all worksites at no cost.
</t>
  </si>
  <si>
    <t>P-400-23261-353977</t>
  </si>
  <si>
    <t>payroll@sharums.com</t>
  </si>
  <si>
    <t>Fayetteville-Springdale-Rogers, AR-MO</t>
  </si>
  <si>
    <t>H-400-23321-509106</t>
  </si>
  <si>
    <t>Fazzone Construction Co., Inc.</t>
  </si>
  <si>
    <t>1302 W Blanco Rd</t>
  </si>
  <si>
    <t>Fazzone</t>
  </si>
  <si>
    <t>2008 Windy Terrace</t>
  </si>
  <si>
    <t>Cedar Park</t>
  </si>
  <si>
    <t>accounting@fazzoneconstruction.com</t>
  </si>
  <si>
    <t>P-400-23226-262631</t>
  </si>
  <si>
    <t>Employer will make all deductions from the worker's paycheck required by law.  (Note for the CO: Section F.d item 4 is marked yes as the employer will assist workers, they are not providing housing)</t>
  </si>
  <si>
    <t>Evans</t>
  </si>
  <si>
    <t xml:space="preserve">Must lift/carry 50 pounds, when necessary. Saturday and Sunday work required, when necessary.
</t>
  </si>
  <si>
    <t>Drywall and Ceiling Tile Installers</t>
  </si>
  <si>
    <t>GREENSKEEPER</t>
  </si>
  <si>
    <t>bryce@yardmasters.com</t>
  </si>
  <si>
    <t>Only deductions required by the law.  Employer will assist workers with securing housing, but employer will not provide housing.</t>
  </si>
  <si>
    <t>H-400-23307-475828</t>
  </si>
  <si>
    <t>Concrete workers/finishers</t>
  </si>
  <si>
    <t>Bahena Construction Company, Inc.</t>
  </si>
  <si>
    <t>1105 W. Broadway</t>
  </si>
  <si>
    <t>Mailing: PO Box 939, Paris, TX 75461</t>
  </si>
  <si>
    <t>Winnsboro</t>
  </si>
  <si>
    <t>Exum</t>
  </si>
  <si>
    <t>Clarisa</t>
  </si>
  <si>
    <t>cbfussell@yahoo.com</t>
  </si>
  <si>
    <t>P-400-23226-262421</t>
  </si>
  <si>
    <t>Employer will make all deductions from the worker's paycheck required by law.  Employer will not be charging or deducting rent from pay. Optional deductions will not drop the overall wages below the UDSOL minimum, if the deductions are too great they will not be made.</t>
  </si>
  <si>
    <t>Gerald</t>
  </si>
  <si>
    <t>Lifeguard</t>
  </si>
  <si>
    <t>Ramos</t>
  </si>
  <si>
    <t>Joy</t>
  </si>
  <si>
    <t>HONOLULU</t>
  </si>
  <si>
    <t>Urban Honolulu, HI</t>
  </si>
  <si>
    <t>Collins</t>
  </si>
  <si>
    <t>GRAHAM</t>
  </si>
  <si>
    <t>Cypress</t>
  </si>
  <si>
    <t>VICKI</t>
  </si>
  <si>
    <t>TURNBULL</t>
  </si>
  <si>
    <t>YVONNE</t>
  </si>
  <si>
    <t>DIRECTOR OF HR</t>
  </si>
  <si>
    <t>GATLINBURG</t>
  </si>
  <si>
    <t>H-400-23317-497667</t>
  </si>
  <si>
    <t xml:space="preserve">No minimum education or experience required. 
Must be able to work a minimum 5-day workweek. 
Must be able to work weekends and holidays.
Must be able to lift 25 lbs.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</si>
  <si>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P-400-23173-135178</t>
  </si>
  <si>
    <t>Cedar Rapids</t>
  </si>
  <si>
    <t>Christian</t>
  </si>
  <si>
    <t>Wage rate may vary on experience and/or merit.Up to 10 hours of overtime may be available but not guaranteed.</t>
  </si>
  <si>
    <t>Landscaping and groundskeeping worker</t>
  </si>
  <si>
    <t>Executive Landscape Services, LLC</t>
  </si>
  <si>
    <t>1180 Manchester St</t>
  </si>
  <si>
    <t>Strutz</t>
  </si>
  <si>
    <t>lynsay@exlandscape.com</t>
  </si>
  <si>
    <t>P-400-23208-219803</t>
  </si>
  <si>
    <t>Kitchen Steward</t>
  </si>
  <si>
    <t>Shuttle Drivers and Chauffeurs</t>
  </si>
  <si>
    <t>H-400-23307-476644</t>
  </si>
  <si>
    <t>Barrientos Concrete, LLC</t>
  </si>
  <si>
    <t>113 Barrientos Lane</t>
  </si>
  <si>
    <t>Barrientos</t>
  </si>
  <si>
    <t>josebconcrete@gmail.com</t>
  </si>
  <si>
    <t xml:space="preserve">Able to lift 45lbs, Monday-Friday, Start/end times may vary, some weekends may be required, schedule varies, overtime varies
</t>
  </si>
  <si>
    <t>1161 Old Gin Road</t>
  </si>
  <si>
    <t>Raises and bonuses at employer's discretion</t>
  </si>
  <si>
    <t>P-400-23180-154680</t>
  </si>
  <si>
    <t>Upon employee's request, payroll deductions may be made, at employer's discretion</t>
  </si>
  <si>
    <t>KERSHAW</t>
  </si>
  <si>
    <t>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t>
  </si>
  <si>
    <t>GARLAND</t>
  </si>
  <si>
    <t>Hot Springs, AR</t>
  </si>
  <si>
    <t>El Mirage</t>
  </si>
  <si>
    <t>PO Box 462</t>
  </si>
  <si>
    <t>Hebron</t>
  </si>
  <si>
    <t>LAKE GEORGE</t>
  </si>
  <si>
    <t>Bookkeeper</t>
  </si>
  <si>
    <t>Cooks, Institution and Cafeteria</t>
  </si>
  <si>
    <t>Maurice</t>
  </si>
  <si>
    <t>Princeville</t>
  </si>
  <si>
    <t>KAUAI</t>
  </si>
  <si>
    <t>Raises/bonuses may be offered to worker @ company's sole discretion based on work performance, skill, tenure.</t>
  </si>
  <si>
    <t>Ring</t>
  </si>
  <si>
    <t>Melinda</t>
  </si>
  <si>
    <t>Bloomingdale</t>
  </si>
  <si>
    <t>H-400-23307-476517</t>
  </si>
  <si>
    <t>American Bannner Amusements</t>
  </si>
  <si>
    <t>225 S. Vernon</t>
  </si>
  <si>
    <t>Marine</t>
  </si>
  <si>
    <t>Walsh</t>
  </si>
  <si>
    <t>abafamilyfun@gmail.com</t>
  </si>
  <si>
    <t>P-400-23263-364145</t>
  </si>
  <si>
    <t>Willoughby</t>
  </si>
  <si>
    <t>Lanhan</t>
  </si>
  <si>
    <t>lori@lanhanlandscaping.com</t>
  </si>
  <si>
    <t>Tree Trimmer</t>
  </si>
  <si>
    <t>BDG Trees, LLC - Hammond, LA</t>
  </si>
  <si>
    <t>401 Westin Oaks Dr</t>
  </si>
  <si>
    <t>TANGIPAHOA</t>
  </si>
  <si>
    <t>Hammond, LA</t>
  </si>
  <si>
    <t>Green Forest Landscaping, LLC.</t>
  </si>
  <si>
    <t>7944 N 9550 W</t>
  </si>
  <si>
    <t>Lehi</t>
  </si>
  <si>
    <t>Arias</t>
  </si>
  <si>
    <t>greenforestjose@gmail.com</t>
  </si>
  <si>
    <t>Yard Laborer</t>
  </si>
  <si>
    <t>Supervisor</t>
  </si>
  <si>
    <t>Sapon</t>
  </si>
  <si>
    <t>Janie</t>
  </si>
  <si>
    <t>909 Lily Creek Rd</t>
  </si>
  <si>
    <t>Sapon Immigration Law</t>
  </si>
  <si>
    <t>Kentucky Supreme Court</t>
  </si>
  <si>
    <t>McDonald</t>
  </si>
  <si>
    <t>Parks</t>
  </si>
  <si>
    <t>H-400-23276-406233</t>
  </si>
  <si>
    <t>P-400-23226-260556</t>
  </si>
  <si>
    <t>H-400-23321-511147</t>
  </si>
  <si>
    <t>Construction Labor</t>
  </si>
  <si>
    <t>ABR Construction, Inc. (ABR124)</t>
  </si>
  <si>
    <t>121 Crestview Court</t>
  </si>
  <si>
    <t>Ach</t>
  </si>
  <si>
    <t xml:space="preserve">Christian </t>
  </si>
  <si>
    <t>cach@abrconstruction.com</t>
  </si>
  <si>
    <t>Patino</t>
  </si>
  <si>
    <t xml:space="preserve">Strong back, able to work in extreme temperatures and weather conditions. Must lift 50 lbs. Must pass random employer-paid post-employment drug test if warranted.
Work days:  M-F, may be required to work some Saturdays. 
Hours per week: 40 hours per week
Work Schedule: 6:00 am to 3:00 pm; hours vary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No family housing. 
Deductions: Optional housing provided at a cost of $90/week.
</t>
  </si>
  <si>
    <t>P-400-23276-406896</t>
  </si>
  <si>
    <t>Optional housing provided at a cost of $90/week.</t>
  </si>
  <si>
    <t>mailbox@abrconstruction.com</t>
  </si>
  <si>
    <t>Devils Lake</t>
  </si>
  <si>
    <t>RAMSEY</t>
  </si>
  <si>
    <t xml:space="preserve">Joseph </t>
  </si>
  <si>
    <t>H-400-23307-477952</t>
  </si>
  <si>
    <t>Garden of Gethsemane Nursery &amp; Landscaping, LLC</t>
  </si>
  <si>
    <t>1877 Washington Blvd</t>
  </si>
  <si>
    <t>Alfred</t>
  </si>
  <si>
    <t>1877 Washington Blvd.</t>
  </si>
  <si>
    <t>michealalfred@sbcglobal.net</t>
  </si>
  <si>
    <t xml:space="preserve">Mon-Fri, schedule may vary depending on weather. Overtime varies. Able to lift 50lbs. Drug testing during employment for cause. All drug testing is performed without regard to an employees citizenship or immigration status, and all testing is paid for by the company. See the additional document attached for further details about the administration of our drug testing policy.
</t>
  </si>
  <si>
    <t>P-400-23194-187510</t>
  </si>
  <si>
    <t>Employer may make payroll deductions at employee's request. Employer facilitates voluntary housing arrangements along with corresponding payroll deduction estimated at $75/bi-weekly.</t>
  </si>
  <si>
    <t>Corporate Secretary</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</si>
  <si>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and qualified to perform work described and must be available for the entire period specified.  Hours may fluctuate based on tourism peaks and valleys throughout the season (+/-), possible downtime and/or overtime. </t>
  </si>
  <si>
    <t>Heath</t>
  </si>
  <si>
    <t>H-400-23321-511484</t>
  </si>
  <si>
    <t>Hyon Su LLC (BWG124A)</t>
  </si>
  <si>
    <t>Blue Water Grill</t>
  </si>
  <si>
    <t>7 Front Street</t>
  </si>
  <si>
    <t>Friday Harbor</t>
  </si>
  <si>
    <t>thomasinvestments@hotmail.com</t>
  </si>
  <si>
    <t xml:space="preserve">Must be able to stand 8 hour shifts, work in fast-paced environment.  Zero tolerance, drug-free work environment.  Must be available to work the entire season. May be administered a post-employment, employer-paid drug test. 
Work days: Rotating schedule for 5 days per week
Hours per week: 40 hours per week 
Work Schedule: Rotating 8 hour shift from 7:00am - 12:00pm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N/A 
Does employer offer a ride to primary worksite location to workers living within a reasonable
commute:  N/A
Overtime available?  Yes
On-the-Job Training provided?  Yes
Employer-Provided Tools and Equipment provided?  Yes
Board, Lodging or Other Facilities provided?: Yes
Deductions: Optional housing offered at approximately $600/month.
</t>
  </si>
  <si>
    <t>SAN JUAN</t>
  </si>
  <si>
    <t>P-400-23248-321467</t>
  </si>
  <si>
    <t xml:space="preserve"> Optional housing offered at approximately $600/month.</t>
  </si>
  <si>
    <t>H-400-23312-486513</t>
  </si>
  <si>
    <t>T.A. RACING, LLC</t>
  </si>
  <si>
    <t>120 CHERRY VALLEY AVENUE</t>
  </si>
  <si>
    <t>GARDEN CITY</t>
  </si>
  <si>
    <t>ALBERTRANI</t>
  </si>
  <si>
    <t>TARACINGLLC@AOL.COM</t>
  </si>
  <si>
    <t>P-400-23201-203552</t>
  </si>
  <si>
    <t>Standard deductions required as by law. The employer housing is optional; further, lodging (Room) is
provided free of charge in the backstretch and is optional. However, meals are not provided free of charge, but are available on the premises at a cost</t>
  </si>
  <si>
    <t>taracingllc@aol.com</t>
  </si>
  <si>
    <t>Servers</t>
  </si>
  <si>
    <t>H-400-23307-475842</t>
  </si>
  <si>
    <t>7115 Treaschwig Road (Report to Work)</t>
  </si>
  <si>
    <t>P-400-23223-257938</t>
  </si>
  <si>
    <t>Optional, shared, furnished housing available to the worker (including: utilities) at a weekly housing rate up to $100; if optional housing is agreed upon by the worker, housing rate will be deducted from worker's paycheck incrementally (weekly). 
At Employer’s sole discretion: possible cash advances (if applicable/requested by worker, potential deduction from worker’s paycheck).</t>
  </si>
  <si>
    <t>dchavez@ruppertcompanies.com</t>
  </si>
  <si>
    <t>Missoula</t>
  </si>
  <si>
    <t>Hixson</t>
  </si>
  <si>
    <t>Limon</t>
  </si>
  <si>
    <t>Luis</t>
  </si>
  <si>
    <t>H-400-23321-508565</t>
  </si>
  <si>
    <t>Graywood Golf and Raquet Club</t>
  </si>
  <si>
    <t>6150 Graywwod Parkway</t>
  </si>
  <si>
    <t>Ledet</t>
  </si>
  <si>
    <t>scott@ggrclc.com</t>
  </si>
  <si>
    <t>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</si>
  <si>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3750 Haymark Rd.</t>
  </si>
  <si>
    <t>P-400-23221-252106</t>
  </si>
  <si>
    <t>Optional, shared furnished housing available to the worker at a monthly housing rate up to $150.00; if optional housing is agreed upon by the worker, monthly housing rate will be deducted from worker's paycheck incrementally (bi-weekly).At Employer’s sole discretion: possible cash advances (if applicable/requested by worker, potential deduction from worker’s paycheck).</t>
  </si>
  <si>
    <t>Suite 306</t>
  </si>
  <si>
    <t>Highland</t>
  </si>
  <si>
    <t>Crawfish Processor</t>
  </si>
  <si>
    <t xml:space="preserve">Fairfield </t>
  </si>
  <si>
    <t>H-400-23276-407389</t>
  </si>
  <si>
    <t>Omni Nashville Hotel</t>
  </si>
  <si>
    <t>250 Rep. John Lewis Way S</t>
  </si>
  <si>
    <t>Bole</t>
  </si>
  <si>
    <t>Darla</t>
  </si>
  <si>
    <t>sara.rojasisaza@omnihotels.com</t>
  </si>
  <si>
    <t xml:space="preserve">No minimum education or experience required.  Must pass a pre-employment criminal background check, paid by employer and applied equally to all workers, U.S. and foreign/H-2B.  Must be able to work a 5-day workweek, including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$59.00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</si>
  <si>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P-400-23205-211132</t>
  </si>
  <si>
    <t xml:space="preserve">Employer will make all deductions from the worker's paycheck required by law. Optional employee shared housing available, including utilities, at approx. $160 per week. A housing deposit of $450 is required, and it will be payroll deducted $22.50 for 20 weeks if worker elects (refundable upon housing inspection). Public transportation is available for a one-time fee of $26, available for payroll deduction if worker elects. One optional meal per shift available in the employee cafeteria, approximate cost $1 payroll deducted if worker elects.
</t>
  </si>
  <si>
    <t>Grow Pro LLC</t>
  </si>
  <si>
    <t xml:space="preserve">5513 W 11000 N #232  </t>
  </si>
  <si>
    <t>Towle</t>
  </si>
  <si>
    <t>Manager Member</t>
  </si>
  <si>
    <t>kevin@growprollc.com</t>
  </si>
  <si>
    <t>ST. LOUIS</t>
  </si>
  <si>
    <t xml:space="preserve">Shared housing available to only seasonal full-time employees, not offered to non-employees. Employees may make their own arrangements at their own expense. If they opt to live in employer provided housing rent (utilities included) charged at $60.00/week.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</si>
  <si>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H-400-23335-536840</t>
  </si>
  <si>
    <t>Monin Construction, LLC (MON124A)</t>
  </si>
  <si>
    <t>347 E ML KING</t>
  </si>
  <si>
    <t>LEBANON</t>
  </si>
  <si>
    <t>Monin</t>
  </si>
  <si>
    <t>685 Honeysuckle Dr.</t>
  </si>
  <si>
    <t>moninken@yahoo.com</t>
  </si>
  <si>
    <t xml:space="preserve">UNAFRAID OF HEIGHTS, HAVE EXCELLENT BALANCE ON SLOPES, PHYSICAL STAMINA/STRENGTH AND ABLE TO WORK IN HEAT. MUST BE SOBER TO PERFORM JOB DUTIES. MAY WORK SATURDAYS.
Work days:  M-F, Saturdays may be required
Hours per week: 40
Work Schedule: 7am-3:30pm, schedule may vary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 Optional housing provided. No family housing.
Deductions: Optional housing deduction per employee at market rate for low-income housing.
</t>
  </si>
  <si>
    <t xml:space="preserve">347 E ML King </t>
  </si>
  <si>
    <t>Lebanon</t>
  </si>
  <si>
    <t>South Central Kentucky nonmetropolitan area</t>
  </si>
  <si>
    <t>P-400-23263-362679</t>
  </si>
  <si>
    <t>Deductions: Optional housing deduction per employee at market rate for low-income housing.</t>
  </si>
  <si>
    <t>Derrick</t>
  </si>
  <si>
    <t>H-400-23341-549683</t>
  </si>
  <si>
    <t>Farmworker/Rancher</t>
  </si>
  <si>
    <t xml:space="preserve">Fitch Ranch LLC </t>
  </si>
  <si>
    <t xml:space="preserve">Fitch Ranch/Fitch Ranch at Stone Spring Farm </t>
  </si>
  <si>
    <t>P.O. Box 1322</t>
  </si>
  <si>
    <t xml:space="preserve">Granby </t>
  </si>
  <si>
    <t>Fitch</t>
  </si>
  <si>
    <t>383 E 1st Street</t>
  </si>
  <si>
    <t>Deborah@FitchRanch.com</t>
  </si>
  <si>
    <t>Krncevic</t>
  </si>
  <si>
    <t>Margarita</t>
  </si>
  <si>
    <t>Santos</t>
  </si>
  <si>
    <t>127 Public Square</t>
  </si>
  <si>
    <t>Suite 4900</t>
  </si>
  <si>
    <t>mkrncevic@beneschlaw.com</t>
  </si>
  <si>
    <t>Benesch Friedlander Coplan &amp; Aronoff</t>
  </si>
  <si>
    <t>150 GCR 217</t>
  </si>
  <si>
    <t>Parshall</t>
  </si>
  <si>
    <t>P-400-23270-386751</t>
  </si>
  <si>
    <t>mskrncevic@beneschlaw.com</t>
  </si>
  <si>
    <t>H-400-23348-566501</t>
  </si>
  <si>
    <t>Production Line Associate</t>
  </si>
  <si>
    <t>E &amp; H, LLC</t>
  </si>
  <si>
    <t>Oakhouse Bakery</t>
  </si>
  <si>
    <t>2221 Mustang Way</t>
  </si>
  <si>
    <t>EHLEN</t>
  </si>
  <si>
    <t>KENNETH</t>
  </si>
  <si>
    <t>2221 MUSTANG WAY</t>
  </si>
  <si>
    <t>ELIDLS@NAVYFINANCIAL.COM</t>
  </si>
  <si>
    <t xml:space="preserve">The job will require the worker to perform physical activities that require considerable use of arms and legs and moving the whole body, such as lifting, balancing, walking, extensive bending, stooping, reaching, climbing, pushing, and pulling required. Must be able to lift 50 pounds.  
</t>
  </si>
  <si>
    <t>DANE</t>
  </si>
  <si>
    <t>Overtime hours are available as needed and vary from 1-14 hours. Work on Saturday may be required when necessary.</t>
  </si>
  <si>
    <t>P-400-23151-066626</t>
  </si>
  <si>
    <t>THE EMPLOYER WILL MAKE ALL PAYROLL DEDUCTIONS REQUIRED BY LAW. IF NEEDED, EMPLOYER INTENDS TO ASSIST FOREIGN AND NON-LOCAL U.S. WORKERS
HIRED PURSUANT TO THIS JOB ORDER TO SECURE WORKER-PAID LODGING AND/OR UTILITIES NOT TO EXCEED REASONABLE FAIR MARKET VALUE COST BASED ON
NUMBER OF OCCUPANTS. THE EMPLOYER DOES NOT ENVISION OTHER WORKFORCE-WIDE PAYROLL DEDUCTIONS.</t>
  </si>
  <si>
    <t>kehlen@oakhousebakery.com</t>
  </si>
  <si>
    <t>Danny</t>
  </si>
  <si>
    <t>H-400-23319-504914</t>
  </si>
  <si>
    <t>Odom Hotelz, LLC</t>
  </si>
  <si>
    <t>4652 Gulfstarr Dr</t>
  </si>
  <si>
    <t>Executive VP of Hotel Operations</t>
  </si>
  <si>
    <t>tkoehler@thejayodomgroup.com</t>
  </si>
  <si>
    <t xml:space="preserve">Must be able to work weekends and holidays. Must complete an employment application.  Hours Vary.  Minimum Age: 18.  Must be able to lift, push, pull, or carry objects up to 25 lbs.
</t>
  </si>
  <si>
    <t>1930 Lewis Turner Blvd</t>
  </si>
  <si>
    <t>Fort Walton Beach</t>
  </si>
  <si>
    <t>P-400-23166-113485</t>
  </si>
  <si>
    <t>Optional housing subject to availability $150 per week deducted bi-weekly plus all deductions required by law.</t>
  </si>
  <si>
    <t>GEORGIAN HOSPITALITY LLC</t>
  </si>
  <si>
    <t>GEORGIAN LAKESIDE RESORT</t>
  </si>
  <si>
    <t>384 CANADA STREET</t>
  </si>
  <si>
    <t>KENNY</t>
  </si>
  <si>
    <t>DKENNY@GEORGIANRESORT.COM</t>
  </si>
  <si>
    <t>Gonzales</t>
  </si>
  <si>
    <t>St. George, UT</t>
  </si>
  <si>
    <t>Amusement &amp; Recreation Attendant – Mobile Food Concessions</t>
  </si>
  <si>
    <t>Assembler</t>
  </si>
  <si>
    <t>Northwestern Wisconsin nonmetropolitan area</t>
  </si>
  <si>
    <t>H-400-23299-459511</t>
  </si>
  <si>
    <t>Big Fun, Inc.</t>
  </si>
  <si>
    <t>3397 NE Jeanette Dr.</t>
  </si>
  <si>
    <t>[PO BOX 699, Jensen Beach, FL. 34958]</t>
  </si>
  <si>
    <t>Jensen Beach</t>
  </si>
  <si>
    <t>Doolan</t>
  </si>
  <si>
    <t>mdoolan@bellsouth.net</t>
  </si>
  <si>
    <t>P-400-23262-360192</t>
  </si>
  <si>
    <t>H-400-23333-529962</t>
  </si>
  <si>
    <t>No minimum education or experience required.
Must be able to lift 50 lbs.
Must pass a post-employment criminal background check, paid by employer and applied equally to all workers, U.S. and foreign/H-2B.
Workers subject to post-accident/reasonable cause drug testing, paid by employer and applied equally to all workers, U.S. and foreign/H-2B.
Must be able to work a 5-day workweek.
Must be able to work weekends and holidays as required.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provide daily transportation from main worksite in Lee County to and from multiple worksite locations in Lee County, FL.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The employer guarantees to offer work for hours equal to at least three-fourths of the workdays in each 12-week period of the total employment period.</t>
  </si>
  <si>
    <t>16151 Pine Ridge Rd</t>
  </si>
  <si>
    <t>Unit B1-1</t>
  </si>
  <si>
    <t>P-400-23230-277815</t>
  </si>
  <si>
    <t>Mullinax</t>
  </si>
  <si>
    <t>4622 Boring Pond Rd</t>
  </si>
  <si>
    <t>Valdosta</t>
  </si>
  <si>
    <t>h2visas@aol.com</t>
  </si>
  <si>
    <t>USA Works Inc</t>
  </si>
  <si>
    <t>ADA</t>
  </si>
  <si>
    <t xml:space="preserve">All deductions as required by law. Advanced wages, if any. </t>
  </si>
  <si>
    <t>Town and Country Nursery, Inc.</t>
  </si>
  <si>
    <t>Town and Country Nursery</t>
  </si>
  <si>
    <t xml:space="preserve">13941 S. State Hwy. 94 </t>
  </si>
  <si>
    <t>Marthasville</t>
  </si>
  <si>
    <t>Jene'</t>
  </si>
  <si>
    <t>jene@townandcountrynursery.com</t>
  </si>
  <si>
    <t>13941 S. State Hwy. 94  (Report to Work)</t>
  </si>
  <si>
    <t>P-400-23208-220396</t>
  </si>
  <si>
    <t>Optional, shared furnished housing available to the worker (including: utilities) at a monthly housing rate up to $300.00; if optional housing is agreed upon by the worker, monthly housing rate will be deducted from worker's paycheck incrementally (bi-weekly).At Employer’s sole discretion: possible cash advances (if applicable/requested by worker, potential deduction from worker’s paycheck).</t>
  </si>
  <si>
    <t>Wingdale</t>
  </si>
  <si>
    <t>Macchia</t>
  </si>
  <si>
    <t>Antonio</t>
  </si>
  <si>
    <t>Tuohey</t>
  </si>
  <si>
    <t>Meaghan</t>
  </si>
  <si>
    <t>25 Beverly Road</t>
  </si>
  <si>
    <t>meaghan@2eklaw.com</t>
  </si>
  <si>
    <t>Law Office of Meaghan Tuohey</t>
  </si>
  <si>
    <t>Elmford</t>
  </si>
  <si>
    <t>West Grove</t>
  </si>
  <si>
    <t>Jorge</t>
  </si>
  <si>
    <t>Huntsville, AL</t>
  </si>
  <si>
    <t>DALY</t>
  </si>
  <si>
    <t>H-400-23202-208191</t>
  </si>
  <si>
    <t>Personal Care Aides</t>
  </si>
  <si>
    <t>Helping Hands of North Carolina LLC</t>
  </si>
  <si>
    <t>805 Temon St</t>
  </si>
  <si>
    <t>Hendersonville</t>
  </si>
  <si>
    <t>Davillier III</t>
  </si>
  <si>
    <t>Valence</t>
  </si>
  <si>
    <t>hhofnc@att.net</t>
  </si>
  <si>
    <t>Each employees expected daily schedule will be from 9:00 a.m. until 5:00 p.m., or from 9:00pm until 5 a.m. Monday through Saturday, with a one-hour lunch break in the middle of the shift. The two employees will change off on the shifts, as they will be providing 24 hour care to a person in need of such 24 hour care.</t>
  </si>
  <si>
    <t>807 Temon St</t>
  </si>
  <si>
    <t>HENDERSON</t>
  </si>
  <si>
    <t>P-400-23165-110690</t>
  </si>
  <si>
    <t>The Employer will provide housing at $600.00 per month, for a bedroom and shared bathroom arrangement. This cost includes utilities. Employees are also free to find their own housing, the search for which the Employer will facilitate</t>
  </si>
  <si>
    <t>ATLANTIC</t>
  </si>
  <si>
    <t>Atlantic City-Hammonton, NJ</t>
  </si>
  <si>
    <t>Painting &amp; Drywall Helper</t>
  </si>
  <si>
    <t>Jamie And Sons Painting, Inc.</t>
  </si>
  <si>
    <t>29 North Lincoln Ave</t>
  </si>
  <si>
    <t>Addison</t>
  </si>
  <si>
    <t>Salazar</t>
  </si>
  <si>
    <t>Ossiel</t>
  </si>
  <si>
    <t>ozzy4jaimensonspainting@yahoo.com</t>
  </si>
  <si>
    <t>503 South Westgate Street (Report to Work)</t>
  </si>
  <si>
    <t>P-400-23222-255078</t>
  </si>
  <si>
    <t>Ozzy4jaimensonspainting@yahoo.com</t>
  </si>
  <si>
    <t>Midway Golf and Games, LLC</t>
  </si>
  <si>
    <t>5500 Van Horn Tavern Rd.</t>
  </si>
  <si>
    <t>Burks</t>
  </si>
  <si>
    <t>tburks@rostlandscaping.com</t>
  </si>
  <si>
    <t>Laborer, Landscape</t>
  </si>
  <si>
    <t>Hughes</t>
  </si>
  <si>
    <t>Kurt</t>
  </si>
  <si>
    <t>ELBERT</t>
  </si>
  <si>
    <t>Ibison Concessions LLC</t>
  </si>
  <si>
    <t>5737 E. TU Ave.</t>
  </si>
  <si>
    <t>Ibison</t>
  </si>
  <si>
    <t>Misty</t>
  </si>
  <si>
    <t>ibisonent@gmail.com</t>
  </si>
  <si>
    <t>KALAMAZOO</t>
  </si>
  <si>
    <t>Kalamazoo-Portage, MI</t>
  </si>
  <si>
    <t>P-400-23213-229472</t>
  </si>
  <si>
    <t>IBISONENT@gmail.com</t>
  </si>
  <si>
    <t>LIMESTONE</t>
  </si>
  <si>
    <t>Reno</t>
  </si>
  <si>
    <t>WASHOE</t>
  </si>
  <si>
    <t>Reno, NV</t>
  </si>
  <si>
    <t>LESTER</t>
  </si>
  <si>
    <t>Milton</t>
  </si>
  <si>
    <t xml:space="preserve">US AMERICANS INC </t>
  </si>
  <si>
    <t>RUTLAND</t>
  </si>
  <si>
    <t>Argyle</t>
  </si>
  <si>
    <t>Fraser</t>
  </si>
  <si>
    <t>All-Star Landscaping, Inc.</t>
  </si>
  <si>
    <t>3231 John's Cabin Road</t>
  </si>
  <si>
    <t>Canby</t>
  </si>
  <si>
    <t>chris@all-starlandscaping.com</t>
  </si>
  <si>
    <t>8001 Forsyth Blvd</t>
  </si>
  <si>
    <t>Husch Blackwell</t>
  </si>
  <si>
    <t>3231 John's Cabin Rd.</t>
  </si>
  <si>
    <t>Glencoe</t>
  </si>
  <si>
    <t>P-400-23158-088947</t>
  </si>
  <si>
    <t xml:space="preserve">James </t>
  </si>
  <si>
    <t>Cameron</t>
  </si>
  <si>
    <t>Minnesota Supreme Court</t>
  </si>
  <si>
    <t>H-400-23331-525248</t>
  </si>
  <si>
    <t>Corky Westmoreland Concessions, LLC</t>
  </si>
  <si>
    <t>637 County Road 2904</t>
  </si>
  <si>
    <t>(Mail to: PO Box 1412, Hughes Springs, TX 75656)</t>
  </si>
  <si>
    <t xml:space="preserve">Westmoreland </t>
  </si>
  <si>
    <t xml:space="preserve">Rebecca </t>
  </si>
  <si>
    <t>cwfairfood@gmail.com</t>
  </si>
  <si>
    <t>P-400-23201-204846</t>
  </si>
  <si>
    <t>Bencomo</t>
  </si>
  <si>
    <t>H-400-23215-234907</t>
  </si>
  <si>
    <t>P-400-23143-045035</t>
  </si>
  <si>
    <t>Cooksey</t>
  </si>
  <si>
    <t>Suwanee</t>
  </si>
  <si>
    <t>H-400-23336-538955</t>
  </si>
  <si>
    <t>Peter A. Wimberg Co. Inc.</t>
  </si>
  <si>
    <t>Wimberg Landscaping</t>
  </si>
  <si>
    <t>1354 US route 50</t>
  </si>
  <si>
    <t>Milford</t>
  </si>
  <si>
    <t>Wimberg</t>
  </si>
  <si>
    <t>Brigid</t>
  </si>
  <si>
    <t>bwimberg@wimbergco.com</t>
  </si>
  <si>
    <t>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100lbs (possible 2-person). All applicants must be able, willing and qualified to perform work described and must be available for the entire period specified and work throughout all areas of intended employment.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</si>
  <si>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1354 US route 50 (Report to Work)</t>
  </si>
  <si>
    <t>CLERMONT</t>
  </si>
  <si>
    <t>P-400-23194-187953</t>
  </si>
  <si>
    <t>Optional, shared housing available to the worker at a monthly housing rate up to $500.00; if optional housing is agreed upon by the worker, monthly housing rate will be deducted from worker's paycheck incrementally (weekly).At Employer’s sole discretion: possible cash advances (if applicable/requested by worker, potential deduction from worker’s paycheck).</t>
  </si>
  <si>
    <t>HR Coordinator</t>
  </si>
  <si>
    <t>H-400-23336-539050</t>
  </si>
  <si>
    <t>WINDOW WASHER</t>
  </si>
  <si>
    <t>CIFARELLIS CRYSTAL CLEAR CLEANING CORP</t>
  </si>
  <si>
    <t>8400 MAIN RD</t>
  </si>
  <si>
    <t>MATTITUCK</t>
  </si>
  <si>
    <t>CIFARELLI</t>
  </si>
  <si>
    <t xml:space="preserve">8400 MAIN RD </t>
  </si>
  <si>
    <t>1 MONTH EXPERIENCE AS A WINDOW WASHER.</t>
  </si>
  <si>
    <t>P-400-23206-212265</t>
  </si>
  <si>
    <t>LISA@CCWINDOWS.NET</t>
  </si>
  <si>
    <t>H-400-23313-489304</t>
  </si>
  <si>
    <t>Landscape Maintenance</t>
  </si>
  <si>
    <t>KIAWAH ISLAND INN COMPANY LLC</t>
  </si>
  <si>
    <t>KIAWAH ISLAND GOLF RESORT</t>
  </si>
  <si>
    <t>1 SANCTUARY BEACH DRIVE</t>
  </si>
  <si>
    <t>KIAWAH ISLAND</t>
  </si>
  <si>
    <t>MORGAN</t>
  </si>
  <si>
    <t>1 SANCTUARY BEACH DR</t>
  </si>
  <si>
    <t>SARAH_MORGAN@KIAWAHRESORT.COM</t>
  </si>
  <si>
    <t>Must be able to work at least a 5-day schedule, including weekends and holidays as required.  Upholds the core values and policies &amp; procedures of the resort. Post-Employment Criminal Background check is required, cost paid by employer and applied equally to all workers, U.S. and foreign/H-2B. Applicants must complete an employment application.</t>
  </si>
  <si>
    <t>1 Sanctuary Beach Drive</t>
  </si>
  <si>
    <t>Kiawah Island</t>
  </si>
  <si>
    <t>P-400-23193-183322</t>
  </si>
  <si>
    <t xml:space="preserve">Employer will make all deductions from the worker's paycheck required by law. Optional dormitory style shared housing for employees only, approximate cost $120-$175 per week, and includes utilities. $300 deposit payroll deducted if worker elects. $200 of housing deposit is refundable if you complete the full contract and the housing is clean. Housing cost varies with unit size, amenities and number of occupants. Optional daily transportation between employer housing and worksite, approximate cost $25 per week payroll deducted if worker elects. Optional meal tickets available for approximately $3-$6, payroll deducted if worker elects. Cost of additional shoes payroll deducted if worker elects. Optional Medical Insurance available and payroll deducted if the worker elects, cost is $40-$125 biweekly.
Employer will provide worker at no charge all tools, supplies, and equipment required to perform job. Required uniform provided at no charge. 
</t>
  </si>
  <si>
    <t>www.scworks.org</t>
  </si>
  <si>
    <t>H-400-23336-538929</t>
  </si>
  <si>
    <t>ON-SITE LANDSCAPE MANAGEMENT INC</t>
  </si>
  <si>
    <t>38 CARRIAGE WAY</t>
  </si>
  <si>
    <t>P-400-23198-192959</t>
  </si>
  <si>
    <t>www.onsitelm.com</t>
  </si>
  <si>
    <t>H-400-23187-168897</t>
  </si>
  <si>
    <t>SUPREME KEYS LLC</t>
  </si>
  <si>
    <t>8747 NW 50TH STREET</t>
  </si>
  <si>
    <t>LAUDERHILL</t>
  </si>
  <si>
    <t>Clayvon</t>
  </si>
  <si>
    <t>OMAR</t>
  </si>
  <si>
    <t>Assistant Manager</t>
  </si>
  <si>
    <t>SUPREMEKEYSLLC@GMAIL.COM</t>
  </si>
  <si>
    <t>13194 US HWY S 301</t>
  </si>
  <si>
    <t>SUITE 141</t>
  </si>
  <si>
    <t>RIVERVIEW</t>
  </si>
  <si>
    <t>KEVONMILLER@KEVONMILLERLAW.COM</t>
  </si>
  <si>
    <t>KEVON O MILLER P. A.</t>
  </si>
  <si>
    <t>FLORIDA SUPREME COURT</t>
  </si>
  <si>
    <t>360 Hospitality Group</t>
  </si>
  <si>
    <t xml:space="preserve">301 Tucker Avenue, </t>
  </si>
  <si>
    <t>Cocoa Beach</t>
  </si>
  <si>
    <t>P-400-23113-957639</t>
  </si>
  <si>
    <t>Employer provides workers lodging and charges $100-$150 per week for rent and/or utilities (OPTIONAL)
Daily transportation to and from the worksite(s) will be provided to the workers from a centralized designated daily pick-up location. The employer will charge workers $20 per week per round trip (OPTIONAL)</t>
  </si>
  <si>
    <t>supremekeysllc@gmail.com</t>
  </si>
  <si>
    <t>ABC Professional Tree Services, Inc - Fort Myers</t>
  </si>
  <si>
    <t>13350 North Cleveland Ave,</t>
  </si>
  <si>
    <t>North Fort Myers</t>
  </si>
  <si>
    <t>H-400-23325-517660</t>
  </si>
  <si>
    <t xml:space="preserve">Von's Concessions LLC </t>
  </si>
  <si>
    <t>8546 Richmond St.</t>
  </si>
  <si>
    <t>Vonderheid</t>
  </si>
  <si>
    <t>vonsconcessions@yahoo.com</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</si>
  <si>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&amp; to meet job performance standards.
</t>
  </si>
  <si>
    <t>P-400-23243-312243</t>
  </si>
  <si>
    <t>Walters</t>
  </si>
  <si>
    <t>502 East 7th Street</t>
  </si>
  <si>
    <t>Woonsocket</t>
  </si>
  <si>
    <t>McWhorter</t>
  </si>
  <si>
    <t>macscarnival@gmail.com</t>
  </si>
  <si>
    <t>ST MARY</t>
  </si>
  <si>
    <t>Odessa</t>
  </si>
  <si>
    <t>Navarro</t>
  </si>
  <si>
    <t>ECTOR</t>
  </si>
  <si>
    <t>Odessa, TX</t>
  </si>
  <si>
    <t>Holland</t>
  </si>
  <si>
    <t>H-400-23187-169024</t>
  </si>
  <si>
    <t>Sawing Machine Operators</t>
  </si>
  <si>
    <t>Sawing Machine Setters, Operators, and Tenders, Wood</t>
  </si>
  <si>
    <t>Straight Up Framing LC</t>
  </si>
  <si>
    <t>Sage Building Components</t>
  </si>
  <si>
    <t>56772 241st ST</t>
  </si>
  <si>
    <t xml:space="preserve">Sage </t>
  </si>
  <si>
    <t>56772 241st St</t>
  </si>
  <si>
    <t>office@sagebuildingcomponents.com</t>
  </si>
  <si>
    <t xml:space="preserve">Must be able to lift and carry 75lbs for 50 yards. Must be able to handle temperature extremes.
</t>
  </si>
  <si>
    <t>56772 241st Street</t>
  </si>
  <si>
    <t>Wage rate may vary based on experience and/or merit. Up to 12.5 hours of overtime available.</t>
  </si>
  <si>
    <t>P-400-23145-054581</t>
  </si>
  <si>
    <t>Employers will provide optional housing to the employees. Employees who elect to live in the housing will have an additional $225 deduction per bi-weekly paycheck for rent and utilities. Any advances will be deducted with consent of the employee.</t>
  </si>
  <si>
    <t>Groundskeepers</t>
  </si>
  <si>
    <t>H-400-23215-234868</t>
  </si>
  <si>
    <t>P-400-23137-029739</t>
  </si>
  <si>
    <t>H-400-23339-543345</t>
  </si>
  <si>
    <t xml:space="preserve">¿Dining Room Attendant </t>
  </si>
  <si>
    <t xml:space="preserve">¿Caribbean Jerk Restaurant and Lounge    </t>
  </si>
  <si>
    <t>¿331 Mary Esther Blvd</t>
  </si>
  <si>
    <t xml:space="preserve"> Mary Esther</t>
  </si>
  <si>
    <t>Rosemarie</t>
  </si>
  <si>
    <t>331 Mary Esther Blvd</t>
  </si>
  <si>
    <t>Mary Esther</t>
  </si>
  <si>
    <t>errolthompson1424@gmail.com</t>
  </si>
  <si>
    <t>None
F.a.5 A-H.
7-hour workday. Mon-Sun; varying shifts 9am-5pm or 3pm-11pm; with 2 days off. OT hours possible</t>
  </si>
  <si>
    <t>P-400-23279-414953</t>
  </si>
  <si>
    <t>Optional board/lodging available at a cost to be deducted from pay if elected. Cost of housing: $150/week.</t>
  </si>
  <si>
    <t>H-400-23345-557695</t>
  </si>
  <si>
    <t>Maclac Enterprises Inc</t>
  </si>
  <si>
    <t>Block Island Grocery/ Seaside Market</t>
  </si>
  <si>
    <t>242 Ocean Avenue</t>
  </si>
  <si>
    <t>P.O. Box 580</t>
  </si>
  <si>
    <t>Gurguri</t>
  </si>
  <si>
    <t>Meriton</t>
  </si>
  <si>
    <t>PO BOX 580</t>
  </si>
  <si>
    <t>PO Box 580</t>
  </si>
  <si>
    <t>P-400-23277-410196</t>
  </si>
  <si>
    <t>HOUSING OPTIONAL AND AVAILABLE FOR $150/WK</t>
  </si>
  <si>
    <t>bigrocery@aol.com</t>
  </si>
  <si>
    <t>H-400-23290-435859</t>
  </si>
  <si>
    <t>Bear Power, Inc.</t>
  </si>
  <si>
    <t>6683 Kerry Lane</t>
  </si>
  <si>
    <t>{Mail:  P O Box 660 Colton, CA 92324}</t>
  </si>
  <si>
    <t>Helm</t>
  </si>
  <si>
    <t>Davey</t>
  </si>
  <si>
    <t>{Mail:  PO Box 660  Colton, CA  92324}</t>
  </si>
  <si>
    <t>daveyhelm@helmandsons.com</t>
  </si>
  <si>
    <t>P-400-23182-161889</t>
  </si>
  <si>
    <t>info@helmandsons.com</t>
  </si>
  <si>
    <t>Ironsure Properties LLC</t>
  </si>
  <si>
    <t>3261 Old Washington Road</t>
  </si>
  <si>
    <t>Suite 2020</t>
  </si>
  <si>
    <t>Waldorf</t>
  </si>
  <si>
    <t xml:space="preserve">Other Special Skills or Requirements Must be 18 due to hazardous materials.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and qualified to perform the work described and must be available for the entire period 
specified and work throughout all areas of intended employment. Possible background check post hire 
at employer's expense. Hours may fluctuate based on tourism peaks and valleys throughout the season 
(+/-), possible downtime and/or OT.
</t>
  </si>
  <si>
    <t>1870 The Exchange SE</t>
  </si>
  <si>
    <t>Suite 200 - #714</t>
  </si>
  <si>
    <t>Atlanta¿</t>
  </si>
  <si>
    <t>515 Fowler Street</t>
  </si>
  <si>
    <t>Faribault</t>
  </si>
  <si>
    <t>Featherston</t>
  </si>
  <si>
    <t>H-400-23245-317920</t>
  </si>
  <si>
    <t>General Forestry and Right-of-Way Services, LLC</t>
  </si>
  <si>
    <t>1336 Rue De Jean Ave</t>
  </si>
  <si>
    <t>McCourry</t>
  </si>
  <si>
    <t>generalforestry1@gmail.com</t>
  </si>
  <si>
    <t>4780 Old Greenlee Rd. (Report to Work)</t>
  </si>
  <si>
    <t>MCDOWELL</t>
  </si>
  <si>
    <t>H&amp;W Benefits may apply. Wage may vary based on Experience and/or location worked. Optional, shared housing available...</t>
  </si>
  <si>
    <t>P-400-23166-115482</t>
  </si>
  <si>
    <t>jobsgeneralforestry@gmail.com</t>
  </si>
  <si>
    <t>H-400-23326-519760</t>
  </si>
  <si>
    <t xml:space="preserve">No minimum education or experience required. 
New employees are subject to pre-employment criminal background check, paid by employer and applied equally to all workers, U.S. and foreign/H-2B. 
Must be able to work a minimum 5-day workweek. 
Must be able to work weekends and holidays.
Applicants must complete an employment application.  
Employer will provide worker at no charge all tools, supplies, and equipment required to perform job. Required uniform provided at no cost to employee.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</si>
  <si>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P-400-23187-170799</t>
  </si>
  <si>
    <t>H-400-23332-525970</t>
  </si>
  <si>
    <t>470 Thunder Road (Report to Work)</t>
  </si>
  <si>
    <t xml:space="preserve">Buford </t>
  </si>
  <si>
    <t>P-400-23220-246977</t>
  </si>
  <si>
    <t>Suite 310</t>
  </si>
  <si>
    <t>PHILADELPHIA</t>
  </si>
  <si>
    <t>LaShip, LLC</t>
  </si>
  <si>
    <t>367 Dickson Road</t>
  </si>
  <si>
    <t>Beduze</t>
  </si>
  <si>
    <t>Hayley</t>
  </si>
  <si>
    <t>Internal Audit Manager</t>
  </si>
  <si>
    <t>hayley.beduze@chouest.com</t>
  </si>
  <si>
    <t>Velia</t>
  </si>
  <si>
    <t>Esperanza</t>
  </si>
  <si>
    <t>Suite 2800</t>
  </si>
  <si>
    <t>Chicago</t>
  </si>
  <si>
    <t>velia.rosas@giafirm.com</t>
  </si>
  <si>
    <t>Global Immigration Associates, P.C.</t>
  </si>
  <si>
    <t>H-400-23184-162753</t>
  </si>
  <si>
    <t>LABOR</t>
  </si>
  <si>
    <t>BECK EXCAVATING, INC.</t>
  </si>
  <si>
    <t>2903 15TH STREET</t>
  </si>
  <si>
    <t>SPIRIT LAKE</t>
  </si>
  <si>
    <t>BECK</t>
  </si>
  <si>
    <t>LAURA</t>
  </si>
  <si>
    <t>beckexcavating.office@gmail.com</t>
  </si>
  <si>
    <t xml:space="preserve">A POSITIVE ATTITUDE AND A STRONG WORK ETHIC. MUST BE ABLE TO LIFT 50 LBS.
</t>
  </si>
  <si>
    <t>P-400-23093-899691</t>
  </si>
  <si>
    <t>FEDERAL WITHHOLDING - DEPENDENT ON WAGES AND WITHHOLDING ALLOWANCES, FEDERAL UNEMPLOYMENT - .6% OF WEEKLY WAGE WITH A LIMIT OF $7000, SOCIAL SECURITY - 6.2% OR WEEKLY WAGE, MEDICARE - 1.45% OF WEEKLY WAGE, IOWA WITHHOLDING - DEPENDENT ON WAGES AND WITHHOLDING ALLOWANCES, IOWA UNEMPLOYMENT - 7% OF WEEKLY WAGE WITH A TAXABLE WAGE BASE OF $36,100</t>
  </si>
  <si>
    <t>www.beckexcavating.com</t>
  </si>
  <si>
    <t>H-400-23277-408672</t>
  </si>
  <si>
    <t>10892 Shadow Wood Drive</t>
  </si>
  <si>
    <t>HOUSTON</t>
  </si>
  <si>
    <t>10892 Shadow Wood</t>
  </si>
  <si>
    <t>P-400-23170-124668</t>
  </si>
  <si>
    <t>H-400-23212-224981</t>
  </si>
  <si>
    <t>Horse Show Groom</t>
  </si>
  <si>
    <t>Stars Hollow Farms, LLC</t>
  </si>
  <si>
    <t>26411 Crenshaw Blvd</t>
  </si>
  <si>
    <t>Rolling Hills Estates</t>
  </si>
  <si>
    <t>Gibson</t>
  </si>
  <si>
    <t>devon.gibson@icloud.com</t>
  </si>
  <si>
    <t>Galliath</t>
  </si>
  <si>
    <t>Lillian</t>
  </si>
  <si>
    <t>1902 Wright Place</t>
  </si>
  <si>
    <t>law@llglawgroup.com</t>
  </si>
  <si>
    <t>LLG Attorney at Law</t>
  </si>
  <si>
    <t>California Stae Supreme Court</t>
  </si>
  <si>
    <t xml:space="preserve">Travel and transportation is a business necessity and requirement.
Reference checks will be conducted and are a hiring requirement.
</t>
  </si>
  <si>
    <t>Desert Horse Park</t>
  </si>
  <si>
    <t>85555 Airport Blvd</t>
  </si>
  <si>
    <t>Thermal</t>
  </si>
  <si>
    <t>P-400-23160-095445</t>
  </si>
  <si>
    <t>None
The employer will pay for any and all travel and optional housing costs during the entirety of any trips to and from the shows outside of the primary worksite.</t>
  </si>
  <si>
    <t>H-400-23184-163485</t>
  </si>
  <si>
    <t>Southwest Steel, LLC</t>
  </si>
  <si>
    <t>280 Sunpac Ave.</t>
  </si>
  <si>
    <t xml:space="preserve">Henderson </t>
  </si>
  <si>
    <t>P-400-23122-983862</t>
  </si>
  <si>
    <t>H-400-23276-407521</t>
  </si>
  <si>
    <t>SANDESTIN INVESTMENTS LLC</t>
  </si>
  <si>
    <t>SANDESTIN GOLF AND BEACH RESORT</t>
  </si>
  <si>
    <t>9300 EMERALD COAST PARKWAY WEST</t>
  </si>
  <si>
    <t>MIRAMAR BEACH</t>
  </si>
  <si>
    <t>STIYER</t>
  </si>
  <si>
    <t>JenniferStiyer@sandestin.com</t>
  </si>
  <si>
    <t>Scheduled shift and workdays vary. May rotate/split shifts. Weekends &amp; holidays are required.</t>
  </si>
  <si>
    <t>P-400-23185-165979</t>
  </si>
  <si>
    <t xml:space="preserve">Optional housing subject to availability $140/wk including daily transportation to/from housing &amp; will be deducted biweekly plus all deductions required by law. </t>
  </si>
  <si>
    <t>H2Bopportunities@sandestin.com</t>
  </si>
  <si>
    <t>http://careers.sandestin.com</t>
  </si>
  <si>
    <t>H-400-23215-234856</t>
  </si>
  <si>
    <t>P-400-23143-045060</t>
  </si>
  <si>
    <t>H-400-23285-428545</t>
  </si>
  <si>
    <t>Guest Service Associate</t>
  </si>
  <si>
    <t>Schedule: Monday through Sunday (schedule varies). Shifts: 7am-3pm, or 3pm-11pm, or 11pm-7am (shift hours may vary). Five rotating days. Employer will offer at least forty (40) hours per week.</t>
  </si>
  <si>
    <t>P-400-23261-355976</t>
  </si>
  <si>
    <t>H-400-23242-306362</t>
  </si>
  <si>
    <t xml:space="preserve">Must have or be able to get Utah Food Handlers Permit 
The ability to lift 35 pounds.
On-the-job training is provided.
Following Shifts available 7 days a week including weekends and holidays. 7:15am - 4:30pm, 8:00am - 4:30pm, including weekends and holidays.
Wage Per Hour:  $11.20 - $25.32. Overtime possible at hourly wage of $16.80 - $37.98
Possible Wage Increase: Deer Valley offers pay raises based on performance and merit.  Each employee receives a performance review at the end of each season, based on these reviews employees will receive a merit from 0% - 5% for the start of the next winter season.  Employee's may receive spot raises based on their performance.
</t>
  </si>
  <si>
    <t>P-400-23138-034727</t>
  </si>
  <si>
    <t>All deductions required by law will be made.
Housing is offered and optional. Cost of housing, if accepted, is $119-$185.50/week,subject to change. If used, total cost of housing will be deducted from paycheck. A $250 partially refundable security deposit is required, to be paid directly to employer upon acceptance of housing. Up to $200 of deposit may be returned to the employee based on condition of housing, at the employer's sole discretion, at the end of the employment period.We also assist in finding third party housing by providing a list of available contacts in the Park City area that staff can contact directly.All worksites are accessible by the Park City Transit system.Opt. deductions from paycheck offered for meals, 401K, health insurance, non-returned company items, housing rent &amp; fines, employee entertainment events and functions.Benefits: meal plans are $3.50/meal, ski lift passes are free, retail disc. range from 10-20% off in all Deer Valley outlets.Pls. see job order.</t>
  </si>
  <si>
    <t>callen@deervalley.com</t>
  </si>
  <si>
    <t>H-400-23215-235057</t>
  </si>
  <si>
    <t>GROUNDSKEEPERS</t>
  </si>
  <si>
    <t>WHEELING PARK COMMISSION</t>
  </si>
  <si>
    <t>465 LODGE DRIVE</t>
  </si>
  <si>
    <t>WHEELING</t>
  </si>
  <si>
    <t>HESS</t>
  </si>
  <si>
    <t>OHIO</t>
  </si>
  <si>
    <t>P-400-23096-910652</t>
  </si>
  <si>
    <t>HOUSING IS AVAILABLE &amp; OPTIONAL FOR $250.00/MONTH TO BE DEDUCTED BI-WEEKLY FROM PAYROLL</t>
  </si>
  <si>
    <t>KHESS@OGLEBAY.COM</t>
  </si>
  <si>
    <t>H-400-23185-165595</t>
  </si>
  <si>
    <t>Body Technician</t>
  </si>
  <si>
    <t>Automotive Body and Related Repairers</t>
  </si>
  <si>
    <t>Caliber Holdings LLC</t>
  </si>
  <si>
    <t>Caliber Collision</t>
  </si>
  <si>
    <t>2941 Lake Vista Drive</t>
  </si>
  <si>
    <t>Senior Director Compliance Counsel</t>
  </si>
  <si>
    <t>Sarabeth.hall@caliber.com</t>
  </si>
  <si>
    <t>Clarissa</t>
  </si>
  <si>
    <t>1001 Pennsylvania Ave NW</t>
  </si>
  <si>
    <t>Suite 1300 South</t>
  </si>
  <si>
    <t>carevalo@clarkhill.com</t>
  </si>
  <si>
    <t>Clark Hill PLC</t>
  </si>
  <si>
    <t xml:space="preserve">Must be able to lift/carry objects over 50lbs.  Position requires occasional physical activity such as reaching below and above shoulder level, kneeling, bending, squatting and stooping to inspect repairs.
Must be ok with exposure to fumes, chemicals, dust, and high levels of noise.
Must have visual acuity to determine accuracy and thoroughness of work assigned.
</t>
  </si>
  <si>
    <t>100 W Main St</t>
  </si>
  <si>
    <t>Merced</t>
  </si>
  <si>
    <t>MERCED</t>
  </si>
  <si>
    <t>Merced, CA</t>
  </si>
  <si>
    <t>P-400-23110-951455</t>
  </si>
  <si>
    <t xml:space="preserve">Employer will make all deductions as required by state and federal law. Employer provided shared housing is offered and housing is optional. Housing costs will be subsidized for workers in part or fully reimbursed by a company check, separate from payroll check, if worker completes half the employment period. If partially subsidized, the cost to the worker will not exceed $125/week. </t>
  </si>
  <si>
    <t>Caliberrecruiting@caliber.com</t>
  </si>
  <si>
    <t>https://www.caljobs.ca.gov/vosnet/default.aspx</t>
  </si>
  <si>
    <t>H-400-23233-280093</t>
  </si>
  <si>
    <t>Hand Crew Laborer</t>
  </si>
  <si>
    <t>Diversified Labor, LLC - Okeechobee Group</t>
  </si>
  <si>
    <t>2600 Overlook Drive</t>
  </si>
  <si>
    <t>Mailing: P.O. Box 747 , Winter Haven, FL 33882</t>
  </si>
  <si>
    <t>Winter Haven</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</si>
  <si>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 required of foreign and domestic workers.
</t>
  </si>
  <si>
    <t>1551 NW 98th St</t>
  </si>
  <si>
    <t>Okeechobee</t>
  </si>
  <si>
    <t>OKEECHOBEE</t>
  </si>
  <si>
    <t>P-400-23170-125044</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</si>
  <si>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offers free daily transportation to/from worksite from designated pick-up location. Use of transportation is voluntary. Employer may deduct reasonable cost for lost/damaged tools or equipment resulting from worker negligence. Employer will deduct for reasonable cost of negligent damage to lodging facilities. Employer may deduct health insurance premiums for workers voluntarily participating in plan.  Employer provides incidental transportation between worksites as necessary.</t>
  </si>
  <si>
    <t>nlora@overlookharvesting.com</t>
  </si>
  <si>
    <t>H-400-23184-164547</t>
  </si>
  <si>
    <t xml:space="preserve">3 mos. exp. in heavy construction equipment operations; able to sit, stand, bend, walk and drive or ride in a vehicle for long periods of time; understand and implement construction safety procedures; able to work in all weather conditions.
</t>
  </si>
  <si>
    <t>P-400-23118-977429</t>
  </si>
  <si>
    <t>The employer will make all payroll deductions required by law and will not make any deductions not required by law.  40 hours/week, Mon-Sun, 8:00am to 5:00pm (schedule varies). 18 years old age requirement.</t>
  </si>
  <si>
    <t>H-400-23206-211973</t>
  </si>
  <si>
    <t>Juan Manuel Arambula</t>
  </si>
  <si>
    <t>2070 Prescott Way</t>
  </si>
  <si>
    <t>Spring Hill</t>
  </si>
  <si>
    <t>Arambula</t>
  </si>
  <si>
    <t>arambulajm@gmail.com</t>
  </si>
  <si>
    <t>1900 Holly Grove Road</t>
  </si>
  <si>
    <t>Lewisburg</t>
  </si>
  <si>
    <t>P-400-23129-003759</t>
  </si>
  <si>
    <t xml:space="preserve">$700 rent / month
$200 insurance / month
$200 food / month
utilities / month
internet / month
cell phone / month
</t>
  </si>
  <si>
    <t>arambulajm+nanny@gmail.com</t>
  </si>
  <si>
    <t>H-400-23241-304964</t>
  </si>
  <si>
    <t>VALID DRIVER'S LICENSE OR ELIGIBLE TO OBTAIN ONE WITHIN 30 DAYS OF THE DATE OF HIRE; ABLE TO LIFT 50 POUNDS.</t>
  </si>
  <si>
    <t>1343 W 745 N</t>
  </si>
  <si>
    <t xml:space="preserve">All deductions required by law </t>
  </si>
  <si>
    <t>H-400-23207-216699</t>
  </si>
  <si>
    <t xml:space="preserve">Petty's Irrigation &amp; Landscape, LTD. </t>
  </si>
  <si>
    <t>Petty's Plus</t>
  </si>
  <si>
    <t>14200 Rhones Quarter Rd</t>
  </si>
  <si>
    <t>Carns</t>
  </si>
  <si>
    <t>Rick</t>
  </si>
  <si>
    <t>private@pettys.com</t>
  </si>
  <si>
    <t xml:space="preserve">Must be able to lift up to 75 pounds, and stand or bend for all or most of work shift.
</t>
  </si>
  <si>
    <t>P-400-23160-095832</t>
  </si>
  <si>
    <t xml:space="preserve">By mutual agreement, an OPTIONAL advance up to $500 USD/worker for personal expenses, and OPTIONAL housing is available for up to $500/ month/worker. Payment of advance or rent will be deducted from paychecks. </t>
  </si>
  <si>
    <t>employment@pettys.com</t>
  </si>
  <si>
    <t>H-400-23215-235135</t>
  </si>
  <si>
    <t>Teton Club Owners Association, Inc.</t>
  </si>
  <si>
    <t>3340 West Cody Lane</t>
  </si>
  <si>
    <t>Mailing: P.O. Box 350 , Teton Village, WY 83025</t>
  </si>
  <si>
    <t>Gable</t>
  </si>
  <si>
    <t>Zaira</t>
  </si>
  <si>
    <t>Executive Housekeeping &amp; Operations Manager</t>
  </si>
  <si>
    <t xml:space="preserve">Must lift/carry 25 lbs., when necessary and frequently kneel, bend, crawl, and work on hands and knees.  Work schedule is at least 5 days/week with shifts varying by day and work days varying by week to include Saturday and Sunday. Employer-paid post-hire upon suspicion of use and post-accident drug testing required of foreign and domestic workers. Employer may offer more than the stated work hours depending on weather, business needs, and other conditions. Extreme heat, cold, rain, or drought may affect exact working hours.
</t>
  </si>
  <si>
    <t>3340 West Cody Ln,</t>
  </si>
  <si>
    <t>P-400-23118-976552</t>
  </si>
  <si>
    <t>Employer makes all payroll deductions required by law. Employer does not envision other workforce-wide payroll deductions. Employer offers free daily transportation to/from worksite from designated pick-up location. Use of transportation is voluntary. Employer provides free bus pass for workers living in Jackson Hole, WY.</t>
  </si>
  <si>
    <t>zgable@tetonclub.com</t>
  </si>
  <si>
    <t>H-400-23234-284640</t>
  </si>
  <si>
    <t>Sadie Dog, LLC</t>
  </si>
  <si>
    <t>The Pitcher Inn at Warren and The Warren Store</t>
  </si>
  <si>
    <t>275 Main Street</t>
  </si>
  <si>
    <t>Dorsey</t>
  </si>
  <si>
    <t>5070 Highway A1A</t>
  </si>
  <si>
    <t>Suite 330</t>
  </si>
  <si>
    <t>Vero Beach</t>
  </si>
  <si>
    <t>edgewood@pitcherinn.com</t>
  </si>
  <si>
    <t xml:space="preserve">The Petitioner will consider for employment any person who possesses at least three (3) months of experience in a fine-dining or high-volume environment at a high-end restaurant, resort, or private club.
Applicant must complete pre-employment background check.
</t>
  </si>
  <si>
    <t>Tipped position with guaranteed wage of $21.60 per hour, paid bi-weekly.  See job description.</t>
  </si>
  <si>
    <t>P-400-23178-145800</t>
  </si>
  <si>
    <t>Optional housing is offered on a first-come, first-serve basis for workers who are relocating to begin employment.  Cost of housing, if accepted, is $700.00 per month.  If used, total cost of housing will be deducted from paycheck. Additional, optional benefits may be offered to worker, for worker’s sole benefit, including but not limited to health insurance.  If voluntarily elected by worker, employee costs/contributions for benefits will be deducted from paycheck.</t>
  </si>
  <si>
    <t>H-400-23261-354663</t>
  </si>
  <si>
    <t>Ski Lifts, Inc.</t>
  </si>
  <si>
    <t>The Summit at Snoqualmie</t>
  </si>
  <si>
    <t>1001 State Route 906</t>
  </si>
  <si>
    <t>P.O. Box 1068</t>
  </si>
  <si>
    <t>Snoqualmie Pass</t>
  </si>
  <si>
    <t>Witte</t>
  </si>
  <si>
    <t>Lucas</t>
  </si>
  <si>
    <t>International/Housing Coordinator</t>
  </si>
  <si>
    <t>lwitte@summiti90.com</t>
  </si>
  <si>
    <t xml:space="preserve">The Petitioner will consider for employment any person who possesses at least six (6) months of culinary experience in a fine-dining or high-volume environment at a high-end restaurant, resort, or private club.  
</t>
  </si>
  <si>
    <t>KITTITAS</t>
  </si>
  <si>
    <t xml:space="preserve">Wage: $18.59 - $21.50 per hour, paid weekly.  See job description for details. </t>
  </si>
  <si>
    <t>P-400-23207-218049</t>
  </si>
  <si>
    <t>Optional housing is offered on a first-come, first-serve basis for workers who are relocating to begin employment.  Cost of housing including utilities, if accepted, is $100.00 per week.  If used, total cost of housing including utilities will be deducted from paycheck. A $400.00 refundable security deposit is required, to be deducted from paycheck in equal $200.00 installments from employee’s second and third (2nd &amp; 3rd) paychecks.</t>
  </si>
  <si>
    <t>H-400-23184-163257</t>
  </si>
  <si>
    <t>PAINTER/BLASTER</t>
  </si>
  <si>
    <t>SPARK INDUSTRIAL SERVICES, LLC</t>
  </si>
  <si>
    <t>218 44TH STREET</t>
  </si>
  <si>
    <t>CORPUS CHRISTI</t>
  </si>
  <si>
    <t>MATT@THESPARKLLC.COM</t>
  </si>
  <si>
    <t xml:space="preserve">Must have High School/GED diploma/certificate/degree.
Workers are subject to post-employment drug-testing, paid by employer and applied equally to all workers, U.S. and foreign/H-2B. 
No training or experience required.
May be required to lift and/or carry up to 50 pounds of materials, supplies or equipment. 
May have to work at heights more than 200 feet off the ground and wear full body harness and other required PPE.
Must be able to work outdoors in all weather conditions.
Must be able to work minimum 5-day work week.
Must be able to work weekends and holidays as required.
Applicant must complete employment application
Employer will provide on the job training.
A single workweek will be used to compute wages due. Pay received weekly. 
Employer will make all deductions from the workers paycheck required by law. Employer will assist in locating housing and provide transportation to/from housing/worksite for the first 2-weeks of employment.
Employer will provide worker at no charge all tools, supplies, and equipment required to perform job.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</si>
  <si>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P-400-23114-958459</t>
  </si>
  <si>
    <t>H-400-23187-168988</t>
  </si>
  <si>
    <t>Welders, Cutters &amp; Welder Fitters</t>
  </si>
  <si>
    <t>Chapa Welding &amp; Inspection Services, LLC</t>
  </si>
  <si>
    <t>Garcia &amp; Chapa Fabricators</t>
  </si>
  <si>
    <t>2106 Cedro Drive</t>
  </si>
  <si>
    <t>Chapa</t>
  </si>
  <si>
    <t>Pedro</t>
  </si>
  <si>
    <t>p.chapa@garciachapafabricators.com</t>
  </si>
  <si>
    <t xml:space="preserve">Must pass Welder Fabrication or Fitter test for certification provided by employer at the interview.
</t>
  </si>
  <si>
    <t>P-400-23111-954711</t>
  </si>
  <si>
    <t>Employer will make all deductions from pay required by law.</t>
  </si>
  <si>
    <t>H-400-23215-234848</t>
  </si>
  <si>
    <t>Snowmaker</t>
  </si>
  <si>
    <t>Cooling and Freezing Equipment Operators and Tenders</t>
  </si>
  <si>
    <t>Three (3) months of guest service or maintenance experience in a resort, private club, tourism, or professional environment required. Must be willing to work overnight hours in winter conditions and will required to lift up to 50 lbs on a regular basis.
On-the-job training is provided.
Following Shifts available 7 days a week including weekends and holidays. 4a-11a,7a-3p, 4p-11p, 7p-3a.
Wage Per Hour: $21.27 - $25.00.
Overtime Possible Per Hour at $31.91 - $37.50.</t>
  </si>
  <si>
    <t>P-400-23138-034464</t>
  </si>
  <si>
    <t>All deductions required by law will be made.
Optional housing is offered on a first-come, first-serve basis for workers who are relocating to begin employment. Cost of housing, if accepted, is $125.00 per week.  If used, total cost of housing will be paid directly to employer by employee.  A $125.00 refundable security deposit is required, to be paid directly to employer upon acceptance of housing.
Daily transportation to and from worksite is provided for workers living in employee housing.
Optional Deductions from Paycheck: optional 401(k).
Benefits: Meal and retail discounts, free ski lift pass.</t>
  </si>
  <si>
    <t>H-400-23216-240541</t>
  </si>
  <si>
    <t>Commander’s Palace</t>
  </si>
  <si>
    <t>1403 Washington Ave</t>
  </si>
  <si>
    <t>Gonski</t>
  </si>
  <si>
    <t>Director of Business Strategy &amp; Talent Development</t>
  </si>
  <si>
    <t>ryan@commanderspalace.com</t>
  </si>
  <si>
    <t>Seheult</t>
  </si>
  <si>
    <t>Malcolm</t>
  </si>
  <si>
    <t>1666 Kennedy Causeway</t>
  </si>
  <si>
    <t>Operations@GES-america.com</t>
  </si>
  <si>
    <t>Global Employment Services</t>
  </si>
  <si>
    <t xml:space="preserve">	1 year of professional Line Cook experience in high-volume kitchen
	Provide References from current and former employers
	Minimum Age Requirement of 21 years old
4.	Additional Requirements
a.	Must be able to walk and stand for duration of each scheduled shift (ranging 8-12 hrs/shift)
b.	Must be able to push, pull, or lift 50 pounds.
c.	Must be able to reach items at varying heights (on shelves, on the ground, etc.).
d.	Must be able to go up and down three (3) flights of stairs regularly.
e.	Additional tasks as assigned
Work week: Wednesday through Tuesday, scheduled shifts and workdays vary and rotate. Weekends, nights, daytime, split shifts, and holidays required.
	Sick Pay is available for full-time employees while actively employed. A total of 9 sick days will be available to use during the employment period. This benefit is paid at $7.25/hr. </t>
  </si>
  <si>
    <t>Raises may be offered based on individual factors including work .</t>
  </si>
  <si>
    <t>P-400-23166-112701</t>
  </si>
  <si>
    <t>•	Commander’s Palace offers health, dental and vision insurance that are available the first calendar day following 60 days of employment. Employees are responsible for their portion of the monthly premiums. 
•	Optional &amp; Voluntary 3rd party housing may be available at $100-150/wk and may be voluntarily payroll deducted biweekly.
•	Housing Deposits and/or a $200 refundable/nonrefundable Cleaning/administrative fee may be required if you choose the optional housing option.
•	Electric, gas, water, sewerage, and trash is included in the voluntary housing weekly charge stated above.
•	Commander’s Palace provides voluntary meals before each shift and employees are allowed to have drinks (soft drinks, tea, coffee) throughout each shift. If the employee chooses to consume any food/drinks under this plan, the employee deduction is calculated at $0.25/hr worked. This amount is deducted on the biweekly payroll.</t>
  </si>
  <si>
    <t>careers@commanderspalace.com</t>
  </si>
  <si>
    <t>H-400-23243-314244</t>
  </si>
  <si>
    <t xml:space="preserve">Helpers for Installation Workers </t>
  </si>
  <si>
    <t>North State Construction &amp; Metal Buildings, LLC</t>
  </si>
  <si>
    <t xml:space="preserve">441 West Main Street </t>
  </si>
  <si>
    <t>Owensby</t>
  </si>
  <si>
    <t>hnorthstate@gmail.com</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</si>
  <si>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60lbs (possible 2-person).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
</t>
  </si>
  <si>
    <t>4894 Portal Drive (Report to Work)</t>
  </si>
  <si>
    <t>Tallahassee</t>
  </si>
  <si>
    <t>P-400-23199-197592</t>
  </si>
  <si>
    <t>H-400-23229-272561</t>
  </si>
  <si>
    <t>CONSTRUCTION SUPERVISOR</t>
  </si>
  <si>
    <t>First-Line Supervisors of Construction Trades and Extraction Workers</t>
  </si>
  <si>
    <t>JL THOMPSON CONSTRUCTION CO. INC.</t>
  </si>
  <si>
    <t>1123 KELLY RD</t>
  </si>
  <si>
    <t>MT HOLLY</t>
  </si>
  <si>
    <t>THOMSON</t>
  </si>
  <si>
    <t>JIMMY</t>
  </si>
  <si>
    <t>1129 KELLY RD</t>
  </si>
  <si>
    <t>6380 PROVIDENCE RD</t>
  </si>
  <si>
    <t>P-400-23173-137578</t>
  </si>
  <si>
    <t>jlthompson@linkmelabor.com</t>
  </si>
  <si>
    <t>H-400-23312-486459</t>
  </si>
  <si>
    <t>Standard deductions required as by law.  The employer housing is optional; further, lodging (Room) is provided free of
charge in the backstretch and is optional. However, meals are not provided free of charge, but are available on the premises at a cost.</t>
  </si>
  <si>
    <t>H-400-23276-406203</t>
  </si>
  <si>
    <t>Lovin Equipment and Sales, Inc.</t>
  </si>
  <si>
    <t>756 Sweetwater Rd.</t>
  </si>
  <si>
    <t>Lovin</t>
  </si>
  <si>
    <t>Haley</t>
  </si>
  <si>
    <t>lovinequipmentandsales@aol.com</t>
  </si>
  <si>
    <t>756 Sweetwater Rd. (Report to Work)</t>
  </si>
  <si>
    <t>P-400-23198-194222</t>
  </si>
  <si>
    <t>H-400-23219-242913</t>
  </si>
  <si>
    <t>Temporary Housekeeper/Cleaner</t>
  </si>
  <si>
    <t>5092 Access Road</t>
  </si>
  <si>
    <t xml:space="preserve">5092 Access Rd </t>
  </si>
  <si>
    <t xml:space="preserve">Basic reading and speaking in English.
</t>
  </si>
  <si>
    <t>P-400-23125-995222</t>
  </si>
  <si>
    <t>P-400-23125-995156</t>
  </si>
  <si>
    <t xml:space="preserve">•	Workers have the option of employer-provided housing for $125 per week, and if elected, employer will deduct costs from worker’s paycheck. Workers also have the option of securing their own lodging.
•	Employer will make all deductions from the worker’s paycheck required by law and any non-legally required payroll deductions permitted under the law and requested by Employee.
</t>
  </si>
  <si>
    <t>H-400-23226-262092</t>
  </si>
  <si>
    <t>3C's Construction Services, LLC</t>
  </si>
  <si>
    <t>11844 Bandera Rd.</t>
  </si>
  <si>
    <t>Suite 486</t>
  </si>
  <si>
    <t>Helotes</t>
  </si>
  <si>
    <t>Palos</t>
  </si>
  <si>
    <t>6400 Grissom Rd</t>
  </si>
  <si>
    <t xml:space="preserve">, Some O.T. &amp; weekends may be available. </t>
  </si>
  <si>
    <t>P-400-23180-155940</t>
  </si>
  <si>
    <t>Assistance finding and securing lodging is not available. Employer will make all deductions required by law from each paycheck.</t>
  </si>
  <si>
    <t>susanna.guzman@3csconstructionservices.com</t>
  </si>
  <si>
    <t>H-400-23215-237162</t>
  </si>
  <si>
    <t>F&amp;B Attendant</t>
  </si>
  <si>
    <t>Westgroup Naples, LLC</t>
  </si>
  <si>
    <t>LaPlaya Beach &amp; Golf Resort</t>
  </si>
  <si>
    <t>9891 Gulf Shore Drive</t>
  </si>
  <si>
    <t>Boyd</t>
  </si>
  <si>
    <t>jboyd@laplayaresort.com</t>
  </si>
  <si>
    <t xml:space="preserve">The Petitioner will consider for employment any person who possesses at least three (3) months of experience in a fine-dining or high-volume environment at a high-end restaurant, resort, or private club.  Applicant must complete pre-employment background check.
</t>
  </si>
  <si>
    <t>Tipped position with guaranteed wage of $17.26 per hour, paid bi-weekly. See job description for additional information.</t>
  </si>
  <si>
    <t>P-400-23173-136464</t>
  </si>
  <si>
    <t>Optional housing is offered for workers who are relocating to begin employment.  Cost of housing, if accepted, is $1500.00 per month.  If used, total cost of housing will be deducted from paycheck.  Additional, optional benefits may be offered to worker, for worker’s sole benefit, including but not limited to health, dental, and vision insurance.  If voluntarily elected by worker, employee costs/contributions for benefits will be deducted from paycheck.</t>
  </si>
  <si>
    <t>H-400-23214-231302</t>
  </si>
  <si>
    <t>Three (3) months of housekeeping experience at a high-end hotel, resort, or private club required.
On-the-job training is provided.
Following Shifts available 7 days a week including weekends and holidays. 6a-1p, 7a-2p, 8a-3p, 12p-7p
Wage Per Hour: $15.51 - $21.00, Tips are possible wage may be higher.
Overtime Possible Per Hour at $23.27 - $31.50</t>
  </si>
  <si>
    <t>Tips are possible wage may be higher.</t>
  </si>
  <si>
    <t>P-400-23138-034458</t>
  </si>
  <si>
    <t>All deductions required by law will be made.
Optional housing is offered on a first-come, first-serve basis for workers who are relocating to begin employment. Cost of housing, if accepted, is $125.00 per week. If used, total cost of housing will be paid directly to employer by employee. A $125.00 refundable security deposit is required, to be paid directly to employer upon acceptance of housing.
Daily transportation to and from worksite is provided for workers living in employee housing.
Optional Deductions from Paycheck: optional 401(k)
Benefits: Meal and retail discounts, free ski lift pass.</t>
  </si>
  <si>
    <t>H-400-23279-415840</t>
  </si>
  <si>
    <t>DIESEL MECHANIC</t>
  </si>
  <si>
    <t>SOBA EXPRESS LLC</t>
  </si>
  <si>
    <t>167 EAGLE ST</t>
  </si>
  <si>
    <t>FIARFIELD</t>
  </si>
  <si>
    <t>SORIANO</t>
  </si>
  <si>
    <t>NILCIA</t>
  </si>
  <si>
    <t>ALBA</t>
  </si>
  <si>
    <t>167 EAGLE</t>
  </si>
  <si>
    <t>sobaexpress@hotmail.com</t>
  </si>
  <si>
    <t>Some of the responsibilities include Reading work orders to evaluate the tasks required.
Preparing work plans after fully scoping out the issues, 
Running diagnostic tests on diesel engines and interpreting the results to offer suitable solutions,
Inspecting vehicle systems, including suspensions, steering, and exhausts
Repairing or replacing vehicle transmissions, brakes, engines, and other associated parts
Conducting field visits in the case of an emergency or sudden breakdown,
Test driving repaired vehicles to gauge their performance inside the yard,
Completing oil changes, wheel balancing, alignment, and brake checks
Maintaining records of parts inventory and serviced vehicles.  rebuilt diesel motors engines. among others.</t>
  </si>
  <si>
    <t>340 FRONT AVE</t>
  </si>
  <si>
    <t xml:space="preserve">WEST HEAVEN </t>
  </si>
  <si>
    <t>WEST HAVEN CITY</t>
  </si>
  <si>
    <t>New Haven, CT</t>
  </si>
  <si>
    <t>P-400-23242-308238</t>
  </si>
  <si>
    <t>None, only required by law.</t>
  </si>
  <si>
    <t>H-400-23184-164126</t>
  </si>
  <si>
    <t>Red Offal / Viscera Processor</t>
  </si>
  <si>
    <t xml:space="preserve">1 month safety/sanitation training required. </t>
  </si>
  <si>
    <t xml:space="preserve">Exact wage rate determined by internal metrics. </t>
  </si>
  <si>
    <t>P-400-23124-992298</t>
  </si>
  <si>
    <t xml:space="preserve">The Employer intends to make all deductions that are standard for Employees such as health, dental, etc. Other deductions may be taken at the instruction of the Worker, such as meat purchased at an employee sale, replacement for lost safety equipment, or voluntary items such as this. An initial lump sum allowance of $300.00 will be provided in the form of an actual purchase credit card, which is to be used for the following: Gas towards new location and miscellaneous expenses associated with the move. The total amount H-2B workers are eligible to receive is capped at $2500.00. These dollars will be used to make direct payments for lodging while on assignment. At the end of relocation period, if there are remaining funds, the money will be the porperty of the worker. These amounts may be subject to applicable taxes. </t>
  </si>
  <si>
    <t>H-400-23186-168109</t>
  </si>
  <si>
    <t>Battery Machinery Mechanic</t>
  </si>
  <si>
    <t>Industrial Machinery Mechanics</t>
  </si>
  <si>
    <t>Woowon Technology Inc</t>
  </si>
  <si>
    <t>3328 Greens Ridge Ct</t>
  </si>
  <si>
    <t>Dacula</t>
  </si>
  <si>
    <t>SHIM</t>
  </si>
  <si>
    <t>Kyu Nam</t>
  </si>
  <si>
    <t>skn0103@woowonsystem.com</t>
  </si>
  <si>
    <t>HAN</t>
  </si>
  <si>
    <t>Sang Jun</t>
  </si>
  <si>
    <t>10300 Eaton Place</t>
  </si>
  <si>
    <t>Suite 440</t>
  </si>
  <si>
    <t>Fairfax</t>
  </si>
  <si>
    <t>infohanlaw@gmail.com</t>
  </si>
  <si>
    <t>Han and Associates PLLC</t>
  </si>
  <si>
    <t xml:space="preserve">at least 3 years of experience in the installation of battery electrode stacking and notching machine,  drug testing/screening requirement and 70 lb lifting requirement. </t>
  </si>
  <si>
    <t>1 BlueOval</t>
  </si>
  <si>
    <t>Wage may vary, depends on experience</t>
  </si>
  <si>
    <t>P-400-23123-990322</t>
  </si>
  <si>
    <t>If worker agrees to utilize optional housing, up to $10.00 will be deducted from each bi-monthly paycheck.</t>
  </si>
  <si>
    <t>H-400-23252-333690</t>
  </si>
  <si>
    <t>Andres</t>
  </si>
  <si>
    <t xml:space="preserve">Must be 18 due to equipment use. Must show proof of legal authorization to work in the United States. Drug/alcohol/tobacco free work zone. Perform physical activities such as: lift, balance, walk, stoop, handle, position, move, lift,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and/or overtime.
</t>
  </si>
  <si>
    <t>P-400-23203-208302</t>
  </si>
  <si>
    <t>H-400-23235-288171</t>
  </si>
  <si>
    <t>MB MT Acquisition LLC</t>
  </si>
  <si>
    <t>Moonlight Basin</t>
  </si>
  <si>
    <t>66 Mountain Loop Road</t>
  </si>
  <si>
    <t>PO Box 161514</t>
  </si>
  <si>
    <t>Wilcynski</t>
  </si>
  <si>
    <t>dlawler@moonlightbasin.com</t>
  </si>
  <si>
    <t xml:space="preserve">The Petitioner will consider for employment any person who possesses at least six (6) months of experience in a fine-dining or high-volume environment at a high-end or high-volume restaurant, resort, or private club.
Applicant must complete pre-employment background check.
</t>
  </si>
  <si>
    <t>Wage: $18.00 - $26.00 per hour, paid bi-weekly.  See job description for additional information.</t>
  </si>
  <si>
    <t>P-400-23178-146068</t>
  </si>
  <si>
    <t>Optional housing is offered on a first-come, first-serve basis for workers who are relocating to begin employment.  Cost of housing, if accepted, is $650.00 per month for double occupancy and $1,200.00 for single occupancy.  If used, total cost of housing will be deducted from paycheck.  Cost of housing includes utilities and internet.  A $300.00 non-refundable administration fee is required, which will be paid directly to employer or deducted from paycheck.</t>
  </si>
  <si>
    <t>H-400-23278-413693</t>
  </si>
  <si>
    <t>Phills Concessions</t>
  </si>
  <si>
    <t>40 Mount Vernon Circle</t>
  </si>
  <si>
    <t>{Mail Address: 40 Mount Vernon Ct. Sandy Springs, GA 30338}</t>
  </si>
  <si>
    <t>GEORGIA</t>
  </si>
  <si>
    <t>Guthrie</t>
  </si>
  <si>
    <t>phillipg@peachtreerides.com</t>
  </si>
  <si>
    <t>P-400-23188-174177</t>
  </si>
  <si>
    <t>H-400-23205-208734</t>
  </si>
  <si>
    <t>Commonwealth Plywood Inc.</t>
  </si>
  <si>
    <t>10070 State Route 4</t>
  </si>
  <si>
    <t>Whitehall</t>
  </si>
  <si>
    <t>jjones@cpiwhitehall.com</t>
  </si>
  <si>
    <t>Longtin</t>
  </si>
  <si>
    <t>Sherry</t>
  </si>
  <si>
    <t>9053 State Route 4</t>
  </si>
  <si>
    <t>sherrylongtin@mayanlaborconnection.com</t>
  </si>
  <si>
    <t>Mayan Labor Connection</t>
  </si>
  <si>
    <t>Must be able to lift 30 pounds.</t>
  </si>
  <si>
    <t>P-400-23152-070925</t>
  </si>
  <si>
    <t>All Mandatory Federal and State deductions apply.</t>
  </si>
  <si>
    <t>sdunster@cpiwhitehall.com</t>
  </si>
  <si>
    <t>H-400-23230-278088</t>
  </si>
  <si>
    <t>Kingston Kleaners, LLC</t>
  </si>
  <si>
    <t>70 Loon Village Rd</t>
  </si>
  <si>
    <t>Francine</t>
  </si>
  <si>
    <t xml:space="preserve">70 Loon Village Rd, </t>
  </si>
  <si>
    <t xml:space="preserve">Lincoln </t>
  </si>
  <si>
    <t>kingstonkleanersnh@gmail.com</t>
  </si>
  <si>
    <t>Reliable Labor Services, LLC</t>
  </si>
  <si>
    <t xml:space="preserve">Employees will work Mon-Sun an average of 35 hrs/wk. Must be able to work up to 7 hr per shift from 8am to 4.30pm any day of the week, days off rotate, shifts vary. 
This job requires continuous movement, regular bending, lifting, pushing. Must be flexible, communicate effectively, speak English, able to work in a fast-paced environment, be a good team player, showing respect and dignity to all team members. Weekends and holidays are required. The employer will provide daily transportation to and from the worksite in compliance with all applicable Federal, state and local laws and regulations.
On-the-job training is provided. Kingston Kleaners, LLC will provide workers with all tools, supplies, and equipment required to perform the job at no charge. </t>
  </si>
  <si>
    <t>P-400-23166-116199</t>
  </si>
  <si>
    <t>All deductions will be made from paychecks that are required by law. 
The employer does not provide housing or board during the term of employment. However, the employer does have a limited number of optional shared housing units available for rent by seasonal workers at a cost to the worker of $100 per week.  Use of employer-provided housing is not a condition of employment.  The housing is within walking distance of the worksites.  If a worker rents housing from the employer, the employee will be asked to agree to have the rent deducted from their paycheck.</t>
  </si>
  <si>
    <t>H-400-23184-165067</t>
  </si>
  <si>
    <t>BH-SD Opco, LLC</t>
  </si>
  <si>
    <t>Alvarado Parkway Institute</t>
  </si>
  <si>
    <t>7050 Parkway Drive</t>
  </si>
  <si>
    <t>La Mesa</t>
  </si>
  <si>
    <t>Pfizenmeier</t>
  </si>
  <si>
    <t>jpfizenmeier@apibhs.com</t>
  </si>
  <si>
    <t>Batrakova</t>
  </si>
  <si>
    <t>Sergeyevna</t>
  </si>
  <si>
    <t>4949 Meadows Rd., Ste. 600</t>
  </si>
  <si>
    <t>Lake Oswego</t>
  </si>
  <si>
    <t>ibatrakova@batrakovalaw.com</t>
  </si>
  <si>
    <t>The Batrakova Law Office</t>
  </si>
  <si>
    <t>Supreme Court of Oregon</t>
  </si>
  <si>
    <t xml:space="preserve">Demonstrated basic computer skills.  Ability to utilize basic cleaning equipment (vacuum, mop, broom, etc.).  Must be able to understand oral instructions and requests given in English, as well as understand written English instructions.
</t>
  </si>
  <si>
    <t>P-400-23109-948121</t>
  </si>
  <si>
    <t>"the employer will make all deductions from the worker’s paycheck as required by law. Workers will be provided with board, lodging or other facilities at no cost to them.”</t>
  </si>
  <si>
    <t>H-400-23185-166062</t>
  </si>
  <si>
    <t xml:space="preserve">Work will be from EITHER 6:30am - 3:00pm OR 3:00pm - 11:30pm OR 11:00pm - 7:30am. 
1 month of safety and sanitation training required. </t>
  </si>
  <si>
    <t>2223 Industrial Rd.</t>
  </si>
  <si>
    <t>Crete</t>
  </si>
  <si>
    <t>SALINE</t>
  </si>
  <si>
    <t xml:space="preserve">Exact wage amount will depend on internal metrics and CBA terms. </t>
  </si>
  <si>
    <t>P-400-23122-983074</t>
  </si>
  <si>
    <t>H-400-23251-332021</t>
  </si>
  <si>
    <t>Wolochuk Inc.</t>
  </si>
  <si>
    <t>5726 W. Michigan Ave.</t>
  </si>
  <si>
    <t>Wolochuk</t>
  </si>
  <si>
    <t>President/Trainer</t>
  </si>
  <si>
    <t>dwolochuk84@aol.com</t>
  </si>
  <si>
    <t>Pascual</t>
  </si>
  <si>
    <t>P.O. Box 17414</t>
  </si>
  <si>
    <t>margaret@pascuallaw.com</t>
  </si>
  <si>
    <t>Pascual Law, PLLC</t>
  </si>
  <si>
    <t>Split shift is required because of the horses' training and feeding schedules.  Must be able to lift up to 50 lbs.</t>
  </si>
  <si>
    <t>Thistledown Race Track</t>
  </si>
  <si>
    <t>21501 Emery Rd.</t>
  </si>
  <si>
    <t>North Randell</t>
  </si>
  <si>
    <t>P-400-23187-169030</t>
  </si>
  <si>
    <t>P-400-23187-169026</t>
  </si>
  <si>
    <t>Federal and state deductions as required including FICA and Withholding.  The employer will not provide board or lodging.  Optional housing is available through the racetrack as the racetrack facility provides tack rooms to the workers free of charge.</t>
  </si>
  <si>
    <t>H-400-23207-215936</t>
  </si>
  <si>
    <t>Stonemason</t>
  </si>
  <si>
    <t>Daniels Construction Company LLC</t>
  </si>
  <si>
    <t>1415 Crystal Lake Dr</t>
  </si>
  <si>
    <t>Gracia</t>
  </si>
  <si>
    <t>Lisseth</t>
  </si>
  <si>
    <t>Antonia</t>
  </si>
  <si>
    <t>danielsconstructioncompany2@gmail.com</t>
  </si>
  <si>
    <t>there are no requirements needed for the job just the willingness to learn.</t>
  </si>
  <si>
    <t>4411 W. Tampa Bay Blvd</t>
  </si>
  <si>
    <t>The pay will vary, an employee will be paid according to the amount of square footage installed</t>
  </si>
  <si>
    <t>P-400-23170-125353</t>
  </si>
  <si>
    <t>H-400-23248-320487</t>
  </si>
  <si>
    <t>MARK HENNIG RACING STABLES, INC.</t>
  </si>
  <si>
    <t>2150 Hempstead Turnpike</t>
  </si>
  <si>
    <t>Elmont</t>
  </si>
  <si>
    <t>Hennig</t>
  </si>
  <si>
    <t>hennigracing@aol.com</t>
  </si>
  <si>
    <t>GULFSTREAM PARK</t>
  </si>
  <si>
    <t>901 S Federal Hwy</t>
  </si>
  <si>
    <t>Hallandale Beach</t>
  </si>
  <si>
    <t>P-400-23201-203120</t>
  </si>
  <si>
    <t>H-400-23215-237431</t>
  </si>
  <si>
    <t>Maintenance Engineer</t>
  </si>
  <si>
    <t>The Boca Raton, LLC</t>
  </si>
  <si>
    <t>The Boca Raton Resort &amp; Club</t>
  </si>
  <si>
    <t>501 East Camino Real</t>
  </si>
  <si>
    <t>Boca Raton</t>
  </si>
  <si>
    <t>Brennan</t>
  </si>
  <si>
    <t>Alice</t>
  </si>
  <si>
    <t>Director of International Recruitment</t>
  </si>
  <si>
    <t>abrennan@thebocaraton.com</t>
  </si>
  <si>
    <t>Six (6) months of maintenance experience at a high-end hotel, resort, or private club required. On-the-job training is provided.   Applicant must provide Pre-employment Criminal Background Check and Pre-employment Drug Test is required. 
Min. 35 hrs/week. Shifts: Work schedule can vary and can include evening, weekend, and holiday hours. Work may be performed on any day of the week from Monday through Sunday. Example shifts: 7am-2pm, 9am-4pm, or 4pm-11pm. Shift hours may vary.</t>
  </si>
  <si>
    <t>Employee may be eligible for additional compensation in the form of a discretionary season-end bonus of up to $500.00.</t>
  </si>
  <si>
    <t>P-400-23143-046820</t>
  </si>
  <si>
    <t xml:space="preserve">Optional housing is offered for workers who are relocating to begin employment.  Cost of housing, if accepted, is $125.00 per week.  If used, total cost of housing will be deducted from paycheck.  A $100.00 refundable security deposit is required, to be deducted from paycheck in equal installments from employee’s paycheck. Daily transportation to and from worksite is provided for those living in employee housing. All deductions from worker’s paycheck required by law will be made. </t>
  </si>
  <si>
    <t>H-400-23184-163826</t>
  </si>
  <si>
    <t>P-400-23085-878264</t>
  </si>
  <si>
    <t>Employees are eligible for employer-subsidized health, dental, vision, and life/disability insurance.</t>
  </si>
  <si>
    <t>emohamed@crystalsteel.net</t>
  </si>
  <si>
    <t>Watts</t>
  </si>
  <si>
    <t>cwatts@fragomen.com</t>
  </si>
  <si>
    <t>H-400-23216-240833</t>
  </si>
  <si>
    <t>Housekeeping Room Attendants</t>
  </si>
  <si>
    <t>Mt. Olympus Resorts LLC</t>
  </si>
  <si>
    <t>Six (6) months of experience in the job offered as a Housekeeping Room Attendant.</t>
  </si>
  <si>
    <t>P-400-23172-131174</t>
  </si>
  <si>
    <t>The employer will make all deductions from the worker's pay check required by law.</t>
  </si>
  <si>
    <t>www.jobs.jobvite.com/mtolympus</t>
  </si>
  <si>
    <t>H-400-23184-163671</t>
  </si>
  <si>
    <t>Cook, restaurant</t>
  </si>
  <si>
    <t>Noeleen LLC</t>
  </si>
  <si>
    <t>Biddy O'Malley's Irish Bistro and Bar</t>
  </si>
  <si>
    <t>191 Paris Avenue</t>
  </si>
  <si>
    <t>Northvale</t>
  </si>
  <si>
    <t>O'Malley</t>
  </si>
  <si>
    <t>biddyomalleys@yahoo.com</t>
  </si>
  <si>
    <t>Figueroa Esq</t>
  </si>
  <si>
    <t>Rafael Figueroa, PC</t>
  </si>
  <si>
    <t xml:space="preserve">New Jersey Supreme Court </t>
  </si>
  <si>
    <t>P-400-23117-972960</t>
  </si>
  <si>
    <t>H-400-23208-218796</t>
  </si>
  <si>
    <t>LANDSCAPER CREW MEMBER</t>
  </si>
  <si>
    <t>PC LANDSCAPE SERVICES</t>
  </si>
  <si>
    <t>2790 SE 44TH</t>
  </si>
  <si>
    <t>HILLSBORO</t>
  </si>
  <si>
    <t>CISNEROS HERREJON</t>
  </si>
  <si>
    <t>PEDRO</t>
  </si>
  <si>
    <t>2790 SE 44TH CT</t>
  </si>
  <si>
    <t>pclandscape19@gmail.com</t>
  </si>
  <si>
    <t>P-400-23004-679936</t>
  </si>
  <si>
    <t>n/a     n/a</t>
  </si>
  <si>
    <t>H-400-23278-412970</t>
  </si>
  <si>
    <t xml:space="preserve">Hellas Bakery and Pita, Inc. </t>
  </si>
  <si>
    <t>785 Dodecanese Boulevard</t>
  </si>
  <si>
    <t>Tarpon Springs</t>
  </si>
  <si>
    <t>Camp</t>
  </si>
  <si>
    <t>Laurie</t>
  </si>
  <si>
    <t>Administrator</t>
  </si>
  <si>
    <t>hellasemployment@gmail.com</t>
  </si>
  <si>
    <t>Mohamed Trapnell</t>
  </si>
  <si>
    <t>1930 East Bay Drive</t>
  </si>
  <si>
    <t>Largo</t>
  </si>
  <si>
    <t>brittany@kantaraslaw.com</t>
  </si>
  <si>
    <t xml:space="preserve">K. Dean Kantaras, P.A. </t>
  </si>
  <si>
    <t>West Virginia Supreme Court</t>
  </si>
  <si>
    <t>P-400-23199-196794</t>
  </si>
  <si>
    <t>Unknown</t>
  </si>
  <si>
    <t>http://hellasbakery.com</t>
  </si>
  <si>
    <t>H-400-23195-188486</t>
  </si>
  <si>
    <t>chuy.flores@floresconstruction-ag.com</t>
  </si>
  <si>
    <t>P-400-23145-054475</t>
  </si>
  <si>
    <t xml:space="preserve">All deductions will be made as required by law. The employer will provide housing as an option to employees living outside the regular commuting distance. Employees who elect to live in the housing will have an additional $90.00 deducted Bi-weekly paycheck for rent and utilities. Optional daily transportation will be provided from and to worksite and the employer will deduct $15.00. Any advances will be deducted with the consent of the employee. </t>
  </si>
  <si>
    <t>H-400-23186-167476</t>
  </si>
  <si>
    <t>Picnic Boner (Hog)</t>
  </si>
  <si>
    <t>200 Commerce St.</t>
  </si>
  <si>
    <t>Acalem@smithfield.com</t>
  </si>
  <si>
    <t xml:space="preserve">1 month of safety/ppe/sanitation training required.
Workers will work either 1st or 2nd shift. 
1st shift starts between 6:00am and 7:00am and ends between 3:00pm and 4:30pm
2nd Shift starts between 3:00pm and 4:30pm and ends between 12:00am and 1:30am. </t>
  </si>
  <si>
    <t>15855 Hwy 87 West</t>
  </si>
  <si>
    <t>Tar Heel</t>
  </si>
  <si>
    <t>BLADEN</t>
  </si>
  <si>
    <t>Southeast Coastal North Carolina nonmetropolitan area</t>
  </si>
  <si>
    <t xml:space="preserve">Exact wage rate determined by internal metrics and CBA terms. </t>
  </si>
  <si>
    <t>P-400-23124-991842</t>
  </si>
  <si>
    <t>H-400-23187-171963</t>
  </si>
  <si>
    <t xml:space="preserve">Childcare Provider </t>
  </si>
  <si>
    <t>Preschool Teachers, Except Special Education</t>
  </si>
  <si>
    <t>Aladdins Daycare</t>
  </si>
  <si>
    <t>4031 Krag El Paso TX 79938</t>
  </si>
  <si>
    <t>Gutierrez</t>
  </si>
  <si>
    <t xml:space="preserve">Karla </t>
  </si>
  <si>
    <t>el paso</t>
  </si>
  <si>
    <t>aladdinsdaycare@gmail.com</t>
  </si>
  <si>
    <t>Candidate promotes high-quality childcare service and takes advantages of opportunities granted to improve the knowledge of children as well has her professional growth for the benefit of
both children and families. Candidate will work with all standards such as safety, health, learning environment, physical, cognitive, communication, creative, self-concept, guidance, families
and professionalism.
Childcare provider duties and responsibilities include but are not limited to: Overseeing the safety and health of the children by maintaining good hygiene, cleaning and sanitizing children's
equipment hourly, meeting children's basic needs as well as, and having a daily schedule and curriculum according to the children's age. Overseeing the safety of the children includes, to
verify indoor and outdoor areas that are in good condition, dangerous substances are out of reach of children, equipment meet the current safety standards, having safety equipment in
place and operable (such as fire extinguishers and alarms), practicing once a week the emergency procedures with the children, having first aid supplies accessible and available. teaching
children appropriate safety practices and attend children at all times to meet the children's needs. Candidate will practice and maintain good hygiene by incorporating hand washing,
brushing teeth, diaper changing, practicing proper eating habits such as using utensils. Candidate will also maintain a clean environment for children by cleaning and sanitizing as needed.
Lastly candidate will imply a curriculum with a daily schedule for the specific age group, this includes having daily educational activities for children that will help them develop according to
their age and developing stage.</t>
  </si>
  <si>
    <t>4031 KRAG EL PASO TX 79938</t>
  </si>
  <si>
    <t>El Paso (ELP)</t>
  </si>
  <si>
    <t>P-400-23103-931352</t>
  </si>
  <si>
    <t xml:space="preserve">State and Federal Taxes with held 
1.45% Medicare
6.20% Fica </t>
  </si>
  <si>
    <t>H-400-23185-165952</t>
  </si>
  <si>
    <t>Neckbone Remover (Pork)</t>
  </si>
  <si>
    <t xml:space="preserve">1 month of safety/ppe/sanitation training required. 
Work may last until 4:30pm, but is expected to be until 2:30 generally. </t>
  </si>
  <si>
    <t>800 Industrial Dr</t>
  </si>
  <si>
    <t>Denison</t>
  </si>
  <si>
    <t>CRAWFORD</t>
  </si>
  <si>
    <t>Southwest Iowa nonmetropolitan area</t>
  </si>
  <si>
    <t>P-400-23122-984424</t>
  </si>
  <si>
    <t>H-400-23229-272699</t>
  </si>
  <si>
    <t>Jackson Hole Mountain Resort Corporation</t>
  </si>
  <si>
    <t>3395 W Cody Lane</t>
  </si>
  <si>
    <t>Hoath</t>
  </si>
  <si>
    <t>Ty</t>
  </si>
  <si>
    <t>ty.hoath@jacksonhole.com</t>
  </si>
  <si>
    <t xml:space="preserve">The Petitioner will consider for employment any person who possesses at least one (1) year of culinary experience in a fine-dining or high-volume environment at a high-end restaurant, resort, or private club.
Depending on CDC guidelines, applicant may be required to complete COVID-19 test or provide proof of COVID-19 vaccination before beginning employment.
</t>
  </si>
  <si>
    <t>Wage: $26.92 - $30.60 per hour, paid bi-weekly. See job description for additional detail.</t>
  </si>
  <si>
    <t>P-400-23181-160300</t>
  </si>
  <si>
    <t xml:space="preserve">Optional housing is offered on a first-come, first-serve basis. Cost of housing, if accepted, is $900.00-$1,050.00 per month.  A partially refundable security deposit of $650.00-$700.00 required upon acceptance of housing (security deposit includes a non-refundable cleaning fee of $185.00-$225.00).  If used, employee will pay housing costs directly to Jackson Hole Mountain Resort on a monthly basis, with the refundable remainder of the security deposit to be returned to the employee, based on the condition of the housing and at the employer’s sole discretion, at the end of the employment period. </t>
  </si>
  <si>
    <t>Deirdre.everett@jacksonhole.com</t>
  </si>
  <si>
    <t>H-400-23290-436153</t>
  </si>
  <si>
    <t>Arnold Amusements, Inc.</t>
  </si>
  <si>
    <t>1140 Oak Terrace Dr.</t>
  </si>
  <si>
    <t>[MAIL: 11120 Carmon St. Riverview, FL 33578]</t>
  </si>
  <si>
    <t>Even</t>
  </si>
  <si>
    <t>JNJTampa@yahoo.com</t>
  </si>
  <si>
    <t>P-400-23214-232730</t>
  </si>
  <si>
    <t>H-400-23225-260340</t>
  </si>
  <si>
    <t>Requirements:  Six (6) months of culinary experience at a fine dining or high volume environment at a high-end restaurant, resort, or private club required. On-the-job training is provided.    Applicant must complete Pre-employment Background Check.
Work schedule can vary and can include evening, weekend, and holiday hours.  Work may be performed on any day of the week from Monday through Sunday.  Example shifts: 5:00am to 1:30pm, or 7:00am to 3:00pm, 4:00pm to 11:30. Shift hours may vary.</t>
  </si>
  <si>
    <t>Employees are eligible to participate in a recognition program and may receive additional compensation, if recognized. 
Additional, optional benefits may be offered to worker, for worker’s sole benefit, including but not limited to medical, dental and vision insurance, short-term disability, long-term disability, and life insurance. If voluntarily elected by worker, employee costs/contributions for benefits will be deducted from paycheck.</t>
  </si>
  <si>
    <t>P-400-23184-165338</t>
  </si>
  <si>
    <t>H-400-23237-296961</t>
  </si>
  <si>
    <t>technician</t>
  </si>
  <si>
    <t>Pink Hat Inc</t>
  </si>
  <si>
    <t>495 w main st</t>
  </si>
  <si>
    <t>El Centro</t>
  </si>
  <si>
    <t>Ortega</t>
  </si>
  <si>
    <t>Dario</t>
  </si>
  <si>
    <t>Engineer</t>
  </si>
  <si>
    <t>el centro</t>
  </si>
  <si>
    <t>dario@ivpinkhats.com</t>
  </si>
  <si>
    <t>IMPERIAL</t>
  </si>
  <si>
    <t>El Centro, CA</t>
  </si>
  <si>
    <t>P-400-23178-147829</t>
  </si>
  <si>
    <t>www.ivpinkhats.com</t>
  </si>
  <si>
    <t>Pink Hat INC</t>
  </si>
  <si>
    <t>construction@ivpinkhats.com</t>
  </si>
  <si>
    <t>H-400-23279-414438</t>
  </si>
  <si>
    <t>601 TX-75,</t>
  </si>
  <si>
    <t>P-400-23195-191140</t>
  </si>
  <si>
    <t>H-400-23186-166667</t>
  </si>
  <si>
    <t>Iberian Technical Assistance</t>
  </si>
  <si>
    <t>13601 Preston Rd</t>
  </si>
  <si>
    <t>Suite # W0537</t>
  </si>
  <si>
    <t>Juen</t>
  </si>
  <si>
    <t>VP for Operations</t>
  </si>
  <si>
    <t>Kenneth.Juen@iberiantech.com</t>
  </si>
  <si>
    <t>Smiley</t>
  </si>
  <si>
    <t>Elaina</t>
  </si>
  <si>
    <t>535 Smithfield Street</t>
  </si>
  <si>
    <t>Suite 1300</t>
  </si>
  <si>
    <t>es@muslaw.com</t>
  </si>
  <si>
    <t>Meyer, Unkovic &amp; Scott, LLP</t>
  </si>
  <si>
    <t xml:space="preserve">Ability to weld GTAW and SMAW, Carbon Steel, 2", and monster coupon in 6G position. Must have two years experience  in GTAW and SMAW welding Sch. 10 Stainless Steel Pipe. Ability to pass employer paid performance verification in the skills required for the job and drug test. 
</t>
  </si>
  <si>
    <t>1414 Valero Way</t>
  </si>
  <si>
    <t>per diem may be available as defined by project client</t>
  </si>
  <si>
    <t>P-400-23094-901499</t>
  </si>
  <si>
    <t>Employe will deduct required tax withholds.  401k participation.</t>
  </si>
  <si>
    <t>info@iberiantechnical.com</t>
  </si>
  <si>
    <t>H-400-23198-194368</t>
  </si>
  <si>
    <t>Snow Removal Technician</t>
  </si>
  <si>
    <t>Ward Service Company, LLC</t>
  </si>
  <si>
    <t>[PO BOX 464, CATOOSA, OK 74015]</t>
  </si>
  <si>
    <t>Martha</t>
  </si>
  <si>
    <t>wardservicecompany@gmail.com</t>
  </si>
  <si>
    <t xml:space="preserve">Post-employment random drug testing and background checks may be required, at no cost to the worker. The job requires the applicant to be qualified, ready, willing, able, and available to
perform during the entire employment at all the designated worksites; and to follow workplace rules.
</t>
  </si>
  <si>
    <t>7279 E Poser Rd</t>
  </si>
  <si>
    <t>P-400-23163-102382</t>
  </si>
  <si>
    <t xml:space="preserve">Employer will make all deductions from the worker’s paycheck required by law. Employer provides no housing nor housing assistance. </t>
  </si>
  <si>
    <t>H-400-23207-216411</t>
  </si>
  <si>
    <t>Golf Course Labor</t>
  </si>
  <si>
    <t>Duplin CC, LLC</t>
  </si>
  <si>
    <t>148 Duplin Country Club Road</t>
  </si>
  <si>
    <t>Kenansville</t>
  </si>
  <si>
    <t>Draughon</t>
  </si>
  <si>
    <t xml:space="preserve">Requires three months of previous landscape experience. Must lift/carry 50 lbs., when necessary.  Saturday and Sunday work required, when necessary.
</t>
  </si>
  <si>
    <t>DUPLIN</t>
  </si>
  <si>
    <t>P-400-23160-094668</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</si>
  <si>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Employer offers free daily transportation to/from worksite from designated pick-up location. Use of transportation is voluntary.</t>
  </si>
  <si>
    <t>H-400-23184-163402</t>
  </si>
  <si>
    <t>Lula-Westfield, L.L.C.</t>
  </si>
  <si>
    <t>Lula Factory</t>
  </si>
  <si>
    <t>351 Hwy. 999</t>
  </si>
  <si>
    <t>Belle Rose</t>
  </si>
  <si>
    <t>Savoie</t>
  </si>
  <si>
    <t>451 Hwy. 1005</t>
  </si>
  <si>
    <t>Paincourtville</t>
  </si>
  <si>
    <t>ssavoie@luwest.com</t>
  </si>
  <si>
    <t xml:space="preserve">Willing to work 7 days a week in varying 12 hour shifts during the manufacturing of raw sugar cane season. 40hrs a week after harvesting season will be offered until the end of the contract.
Shifts are as follows: 12pm-12am; 12am-12pm
Overtime paid after 48 hours during harvesting season.
Worker will have 30 minutes paid lunch break during the workday.
</t>
  </si>
  <si>
    <t>ASSUMPTION</t>
  </si>
  <si>
    <t>P-400-23090-894362</t>
  </si>
  <si>
    <t>All deductions as required by law. Pay Advances, as needed. Health Insurance, if elected by worker.
On-site lodging will be offered to all workers that cannot reasonably return home at the end of the work period at no cost to the worker. Provided lodging is optional.  A weekly meal allowance will be provided to the worker.</t>
  </si>
  <si>
    <t>H-400-23251-331198</t>
  </si>
  <si>
    <t>Kodiak Landscaping and Construction, LLC</t>
  </si>
  <si>
    <t>447 West Woodbury Dr</t>
  </si>
  <si>
    <t>Ordonez</t>
  </si>
  <si>
    <t>447 W Woodbury Dr</t>
  </si>
  <si>
    <t>kodiaklandscapingut@gmail.com</t>
  </si>
  <si>
    <t>447 W Woodbury dr</t>
  </si>
  <si>
    <t>P-400-23203-208456</t>
  </si>
  <si>
    <t>H-400-23249-324242</t>
  </si>
  <si>
    <t>ALL STAR HOTEL GROUP, LLC</t>
  </si>
  <si>
    <t>COMFORT INN LIMON</t>
  </si>
  <si>
    <t>2255 9TH ST.</t>
  </si>
  <si>
    <t>LIMON</t>
  </si>
  <si>
    <t>KHAN</t>
  </si>
  <si>
    <t>MUSTAFA</t>
  </si>
  <si>
    <t>mkkhan0520@gmail.com</t>
  </si>
  <si>
    <t>ROGGE</t>
  </si>
  <si>
    <t>JOHN CARL</t>
  </si>
  <si>
    <t>ROSACIA</t>
  </si>
  <si>
    <t>317 Clark Ave</t>
  </si>
  <si>
    <t>BILLINGS</t>
  </si>
  <si>
    <t>jc.lbrmanagement@gmail.com</t>
  </si>
  <si>
    <t>LBR MANAGEMENT</t>
  </si>
  <si>
    <t>2255 9th St</t>
  </si>
  <si>
    <t>P-400-23202-206986</t>
  </si>
  <si>
    <t>•	Housing is optional and subject to availability at a monthly rate of $300.  Which will be deducted bi weekly plus all deductions required by law</t>
  </si>
  <si>
    <t>H-400-23229-272886</t>
  </si>
  <si>
    <t>Restaurant Attendant</t>
  </si>
  <si>
    <t>Snowbird Operations LLC</t>
  </si>
  <si>
    <t>Snowbird Resort</t>
  </si>
  <si>
    <t>9385 South Snowbird Center Drive</t>
  </si>
  <si>
    <t>Snowbird</t>
  </si>
  <si>
    <t>Crooker</t>
  </si>
  <si>
    <t>Kate</t>
  </si>
  <si>
    <t>Recruiting Manager</t>
  </si>
  <si>
    <t>kcrooker@snowbird.com</t>
  </si>
  <si>
    <t>Wage: Tipped position with guaranteed wage of $17.80 per hour, paid bi-weekly.  See job description.</t>
  </si>
  <si>
    <t>P-400-23178-145271</t>
  </si>
  <si>
    <t xml:space="preserve">Additional, optional benefits may be offered to worker, for worker’s sole benefit, including but not limited to health care benefits.  If voluntarily elected by worker, employee costs/contributions for benefits will be deducted from paycheck.
All deductions from paycheck required by law will be made.  </t>
  </si>
  <si>
    <t>H-400-23277-408623</t>
  </si>
  <si>
    <t>TEMPORARY GENERAL MAINENANCE/ENGINEERING TECH I</t>
  </si>
  <si>
    <t>BLUEGREEN RESORTS MANAGEMENT</t>
  </si>
  <si>
    <t>BLUEGREEN VACATIONS</t>
  </si>
  <si>
    <t>4960 CONFERENCE WAY NORTH</t>
  </si>
  <si>
    <t>SAMANTHA</t>
  </si>
  <si>
    <t>TALENT ACQUISITION MANAGER</t>
  </si>
  <si>
    <t>SAMANTHA.WILLIAMSON@BLUEGREENVACATIONS.COM</t>
  </si>
  <si>
    <t>STE 6</t>
  </si>
  <si>
    <t>STATE SUPREME COURT</t>
  </si>
  <si>
    <t>SIX (6) MONTHS GENERAL MAINTENANCE EXPERIENCE RELATED TO BUILDINGS OR PROEPRTY GROUNDS, ENGLISH LANGAUGE REQUIRED.</t>
  </si>
  <si>
    <t>S944 Christmas Mountain Rd</t>
  </si>
  <si>
    <t>P-400-23222-252907</t>
  </si>
  <si>
    <t>Company will consider qualified candidates who reside 100 Miles outside of the work location that are willing to temporarily relocate to the work location.  If hired, Company is willing to facilitate housing accommodations through a third party.  Housing is limited to the period of time of temporary employment which is no more than nine (9) months or the period of work, whichever is shorter and is on a first come first serve basis.  Cost of housing, if accepted, is up to $150.00 per week payable to the housing provider or by payroll deduction. If housing is utilized, an agreement for housing will be required with the third-party provider. A security deposit of $0.00 is required, which is refundable if housing is left in good condition.  Deposit it due prior to moving in and if refunded will be refunded to employee in the same method as paid.
All deductions from paycheck will be made in accordance with and as required by law including.</t>
  </si>
  <si>
    <t>samantha.williamson@bluegreenvacations.com</t>
  </si>
  <si>
    <t>H-400-23195-191214</t>
  </si>
  <si>
    <t>Maintenance Technician</t>
  </si>
  <si>
    <t>TRANSPORT LEASING COMPANY LLP</t>
  </si>
  <si>
    <t>1901 BENEFIS COURT</t>
  </si>
  <si>
    <t>GREAT FALLS</t>
  </si>
  <si>
    <t>RICE</t>
  </si>
  <si>
    <t>ERROL</t>
  </si>
  <si>
    <t>errol.rice@transystemsllc.com</t>
  </si>
  <si>
    <t>Gomez-Urquiza</t>
  </si>
  <si>
    <t>25211 Grogans Mill Rd</t>
  </si>
  <si>
    <t>Suite 410</t>
  </si>
  <si>
    <t>The Woodlands</t>
  </si>
  <si>
    <t>JGU@visasolutions.com</t>
  </si>
  <si>
    <t>Visa Solutions, LLC</t>
  </si>
  <si>
    <t xml:space="preserve">Driver's License. Shift start times are variable. Shifts start between 4:00 PM and 4:00 AM daily
</t>
  </si>
  <si>
    <t>2486 North 11th Street</t>
  </si>
  <si>
    <t>Moorhead</t>
  </si>
  <si>
    <t>P-400-23158-088096</t>
  </si>
  <si>
    <t>Optional furnished housing, utilities, and if available shuttle/van transportation from housing location to dispatch location, offered on a limited first-come first-served basis at a cost of $17.00 per day, which will be deducted from bi-weekly paycheck.</t>
  </si>
  <si>
    <t>troy.carl@transystemsllc.com</t>
  </si>
  <si>
    <t>H-400-23187-168978</t>
  </si>
  <si>
    <t>EMPIRE WALL SYSTEMS INC</t>
  </si>
  <si>
    <t>9865 E 50TH ST NORTH</t>
  </si>
  <si>
    <t>BEL AIRE</t>
  </si>
  <si>
    <t>CRUZ</t>
  </si>
  <si>
    <t>MICHELLE</t>
  </si>
  <si>
    <t>ADMINISTRATIVE ASSISTANT</t>
  </si>
  <si>
    <t>9865 E 50TH ST N</t>
  </si>
  <si>
    <t>michelle@empirewallsystems.com</t>
  </si>
  <si>
    <t xml:space="preserve">THREE MONTHS OF EXPERIENCE AS A CONSTRUCTION LABORER IN A RESIDENTIAL CONSTRUCTION SETTING. MUST BEND, LIFT AND SUSTAIN UP TO 50 LBS, WORK UNDER EXTREMELY HOT WEATHER CONDITIONS. NO TRAVEL IS REQUIRED OUTSIDE THE METROPOLITAN AREA BETWEEN TOWANDA, KS, AND WICHITA, KS, NO EDUCATION IS REQUIRED, ON-THE-JOB TRAINING IS AVAILABLE. POST-HIRE DRUG TEST REQUIRED PAID BY THE EMPLOYER, ALL US AND GUEST WORKERS WILL BE SCREENED EQUALLY.
</t>
  </si>
  <si>
    <t>Overtime will be offered if needed and paid at $26.63</t>
  </si>
  <si>
    <t>P-400-23132-016029</t>
  </si>
  <si>
    <t>Deductions required by the law</t>
  </si>
  <si>
    <t>H-400-23279-414436</t>
  </si>
  <si>
    <t>Ground Persons</t>
  </si>
  <si>
    <t>1202 Hwy 82,</t>
  </si>
  <si>
    <t>P-400-23195-190772</t>
  </si>
  <si>
    <t>H-400-23279-414445</t>
  </si>
  <si>
    <t>Brass Ring Amusements, Inc.</t>
  </si>
  <si>
    <t>Midway of Fun</t>
  </si>
  <si>
    <t>650 State Box Road</t>
  </si>
  <si>
    <t>{Mail:  9700 Fair Oaks Blvd Suite J Fair Oaks, CA 95628}</t>
  </si>
  <si>
    <t>Oroville</t>
  </si>
  <si>
    <t>Harry</t>
  </si>
  <si>
    <t>{Mail:  9700 Fair Oaks Blvd., Suite J, Fair Oaks, CA 95628}</t>
  </si>
  <si>
    <t>brassringamuse@aol.com</t>
  </si>
  <si>
    <t>BUTTE</t>
  </si>
  <si>
    <t>Chico, CA</t>
  </si>
  <si>
    <t>P-400-23230-278269</t>
  </si>
  <si>
    <t>Employer will make all deductions from the worker’s paycheck required by law.  In addition, the employer intends to make the following deductions from the worker’s paycheck which are not required by law:   NONE Optional mobile housing (valued at $175.00 per week) and local convenience travel (valued at $25.00 per week) are available at no cost to the worker.</t>
  </si>
  <si>
    <t>H-400-23208-220954</t>
  </si>
  <si>
    <t>SaBell’s Civil and Landscape, LLC.</t>
  </si>
  <si>
    <t>8500 W Bowles Ave, Suite 204</t>
  </si>
  <si>
    <t>Strauch</t>
  </si>
  <si>
    <t xml:space="preserve">Laura </t>
  </si>
  <si>
    <t>8500 W Bowles Ave</t>
  </si>
  <si>
    <t>Suite 204</t>
  </si>
  <si>
    <t>Terril@sclcontractor.com</t>
  </si>
  <si>
    <t xml:space="preserve">Drug test may be conducted based upon the employers reasonable suspicion of an employees drug use or post- accident. 
F.a.5 A-H:
7:00am-4:00pm, Monday  Friday. OT possible up to 5-10 hours. 
</t>
  </si>
  <si>
    <t>Raises and/or bonuses may be offered to any worker in the specified occupation, at the company’s sole discretion.</t>
  </si>
  <si>
    <t>P-400-23173-136993</t>
  </si>
  <si>
    <t>H-400-23184-164499</t>
  </si>
  <si>
    <t>Construction Helpers</t>
  </si>
  <si>
    <t>Helpers, Construction Trades, All Other</t>
  </si>
  <si>
    <t xml:space="preserve">Able to sit, stand, bend, walk and drive or ride in a vehicle for long periods of time; to understand and implement construction safety procedures; able to work in all weather conditions.  40 hours/week, Mon-Sun, 8:00am to 5:00pm (schedule varies). 18 years old age requirement.
</t>
  </si>
  <si>
    <t>New Market Street Area</t>
  </si>
  <si>
    <t xml:space="preserve">Greenwood </t>
  </si>
  <si>
    <t>GREENWOOD</t>
  </si>
  <si>
    <t>Upper Savannah South Carolina nonmetropolitan area</t>
  </si>
  <si>
    <t>P-400-23118-977417</t>
  </si>
  <si>
    <t>H-400-23224-260172</t>
  </si>
  <si>
    <t>Mogul Hospitality Partners-Jackson, LLC</t>
  </si>
  <si>
    <t>376 E. Gateway Dr. Suite 201</t>
  </si>
  <si>
    <t>Mailing: PO Box 998 , Midway, UT 84049</t>
  </si>
  <si>
    <t>Area General Manager</t>
  </si>
  <si>
    <t xml:space="preserve">Must lift/carry 50 lbs., when necessary.  Saturday and Sunday work required, when necessary.  Post-hire random, post-accident and upon suspicion of use drug testing required of foreign and domestic workers. Post-hire employment eligibility (e-Verify) check required of foreign and domestic workers. Employer may offer more than the stated work hours depending on weather, business needs, and other conditions. Extreme heat, cold, rain, or drought may affect exact working hours.
</t>
  </si>
  <si>
    <t>1075 W Broadway,</t>
  </si>
  <si>
    <t>P-400-23118-976539</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</si>
  <si>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No daily transportation to/from workers' home and primary worksite. Employer provides incidental transportation between multiple worksites as necessary. Such transportation complies with all applicable Federal, State, and local laws/regulations.</t>
  </si>
  <si>
    <t>cindys@mogulcapital.com</t>
  </si>
  <si>
    <t>www.wyomingatwork.com</t>
  </si>
  <si>
    <t>H-400-23263-363435</t>
  </si>
  <si>
    <t>Crawfish Peeler</t>
  </si>
  <si>
    <t>Acadia Processors, LLC</t>
  </si>
  <si>
    <t>919 West 2nd Street</t>
  </si>
  <si>
    <t xml:space="preserve">May be subject to random drug/alcohol testing during employment paid for by employer. Post-accident drug/alcohol testing required. Will work shifts of 7:00 AM-4:00 PM, 6:00 AM-5:00 PM, and 5:30 PM-1:00 AM Mon-Fri; 40 hours/week; includes one unpaid lunch hour. 
</t>
  </si>
  <si>
    <t>Employee may earn above hourly wage based on piece rate ($2.50/lb) performance, work performance, and/or experience.</t>
  </si>
  <si>
    <t>P-400-23146-058666</t>
  </si>
  <si>
    <t>Employer will make all deductions from worker's paycheck as required by law; deductions employer intends to make from paycheck, which are not required by law, if applicable, would be deductions for housing, ($50.00/week), if employee chooses voluntary housing option.</t>
  </si>
  <si>
    <t>H-400-23216-238825</t>
  </si>
  <si>
    <t>Private Club Cook</t>
  </si>
  <si>
    <t xml:space="preserve">Old Palm Golf Club, Inc. </t>
  </si>
  <si>
    <t>11889 Old Palm Dr.</t>
  </si>
  <si>
    <t xml:space="preserve">Palm Beach Gardens </t>
  </si>
  <si>
    <t>Impellittiere</t>
  </si>
  <si>
    <t>darlene.impellittiere@oldpalmgolfclub.com</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</si>
  <si>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and drug screening.
</t>
  </si>
  <si>
    <t>11889 Old Palm Dr</t>
  </si>
  <si>
    <t>Wage: $20.00 - $31.50 per hour, paid bi-weekly.   Please see job description for additional information.</t>
  </si>
  <si>
    <t>P-400-23172-133448</t>
  </si>
  <si>
    <t xml:space="preserve">Optional housing is offered on a first-come, first-serve basis for workers who are relocating to begin employment.  Cost of housing, if accepted, is $27.00 per day.  If used, total cost of housing will be paid directly to employer by employee.
All deductions from paycheck required by law will be made.  </t>
  </si>
  <si>
    <t>H-400-23274-403975</t>
  </si>
  <si>
    <t>Cattleman Guns LLC</t>
  </si>
  <si>
    <t>Cattleman Gun</t>
  </si>
  <si>
    <t xml:space="preserve">705 Lincoln RD </t>
  </si>
  <si>
    <t>Lititz</t>
  </si>
  <si>
    <t>Oya</t>
  </si>
  <si>
    <t>705 Lincoln Rd</t>
  </si>
  <si>
    <t>victoria@cattlemanguns.com</t>
  </si>
  <si>
    <t xml:space="preserve">The Turkish language is mandatory
Experience in Halal food preparation
Knowledge of the Islamic faith  
</t>
  </si>
  <si>
    <t xml:space="preserve">705 Lincoln Rd </t>
  </si>
  <si>
    <t>P-400-23274-403959</t>
  </si>
  <si>
    <t xml:space="preserve">Rent, Utilities, Wifi, and Food amounting to $1,000 monthly 
</t>
  </si>
  <si>
    <t>H-400-23276-407457</t>
  </si>
  <si>
    <t>May rotate/split shifts. Weekends &amp; holidays are requested.</t>
  </si>
  <si>
    <t>P-400-23185-165982</t>
  </si>
  <si>
    <t>H-400-23215-234819</t>
  </si>
  <si>
    <t>P-400-23143-045009</t>
  </si>
  <si>
    <t>H-400-23239-298774</t>
  </si>
  <si>
    <t>Ponderosa Reforestation, Inc.</t>
  </si>
  <si>
    <t>369 Oak Grove Road</t>
  </si>
  <si>
    <t>ponderosapine92@gmail.com</t>
  </si>
  <si>
    <t>369 Oak Grove Road (Report to Work)</t>
  </si>
  <si>
    <t>P-400-23138-034289</t>
  </si>
  <si>
    <t>H-400-23234-286737</t>
  </si>
  <si>
    <t xml:space="preserve">Paradise Amusements, Inc. </t>
  </si>
  <si>
    <t>100 NW 76TH TERRACE</t>
  </si>
  <si>
    <t>[MAIL: 3101 SW 34th Ave #905-203, OCALA, FL 34474]</t>
  </si>
  <si>
    <t>OCALA</t>
  </si>
  <si>
    <t>tammasweet@yahoo.com</t>
  </si>
  <si>
    <t>100 NW 76th Terrace</t>
  </si>
  <si>
    <t>P-400-23132-017268</t>
  </si>
  <si>
    <t>www.paradiseamusementsfl.com</t>
  </si>
  <si>
    <t>H-400-23187-171256</t>
  </si>
  <si>
    <t xml:space="preserve">Las Palmas of Westmont Inc </t>
  </si>
  <si>
    <t>15 E Odgen</t>
  </si>
  <si>
    <t>Westmont</t>
  </si>
  <si>
    <t xml:space="preserve">Efrain </t>
  </si>
  <si>
    <t xml:space="preserve">15 E Odgen </t>
  </si>
  <si>
    <t>Malbarraneiu@gmail.com</t>
  </si>
  <si>
    <t>Cui</t>
  </si>
  <si>
    <t>4901 W Irving Park Rd</t>
  </si>
  <si>
    <t>Second Floor Rear</t>
  </si>
  <si>
    <t>info@immig-lawyer.com</t>
  </si>
  <si>
    <t>Immigration Lawyers, P.C.</t>
  </si>
  <si>
    <t xml:space="preserve">Michigan Supreme Court </t>
  </si>
  <si>
    <t>P-400-23100-918560</t>
  </si>
  <si>
    <t>H-400-23207-216506</t>
  </si>
  <si>
    <t>FS Jackson Hole Employment Inc</t>
  </si>
  <si>
    <t>PO Box 544</t>
  </si>
  <si>
    <t>7680 Granite Loop Road</t>
  </si>
  <si>
    <t>Sydney</t>
  </si>
  <si>
    <t>People and Culture Assistant Manager</t>
  </si>
  <si>
    <t>sydney.nicholas@fourseasons.com</t>
  </si>
  <si>
    <t xml:space="preserve">Must have ability to operate, maintain and clean deep fryer, broiler, stove, steamer, food processor, mixer, slicer, oven, steam table, tilt kettle, waffle iron and flat top grill. Must be able to lift 70 lbs.
</t>
  </si>
  <si>
    <t>P-400-23113-957745</t>
  </si>
  <si>
    <t>OPTIONAL LIMITED SUBSIDIZED HOUSING IS AVAILABLE. HOUSING COST RANGES FROM $900 TO $1000 PER MONTH DEPENDING ON SIZE/TYPE OF UNIT. THOSE UNITS THAT ARE MORE SPACIOUS AND HAVE A FULL KITCHEN COST MORE. PREFERENCE WILL BE ASKED AND HONORED AS AVAILABILITY ALLOWS. WITH EMPLOYEE’S VOLUNTARY CONSENT, HOUSING COST WILL BE DEDUCTED FROM PAYCHECK.</t>
  </si>
  <si>
    <t>H-400-23280-416961</t>
  </si>
  <si>
    <t>Louis &amp; Claire Concessions LLC</t>
  </si>
  <si>
    <t>3010 Govalle Ave</t>
  </si>
  <si>
    <t>(PO Box 90816, Austin TX 78709)</t>
  </si>
  <si>
    <t>Petree</t>
  </si>
  <si>
    <t>katpetree@gmail.com</t>
  </si>
  <si>
    <t>172 W. HWY 21</t>
  </si>
  <si>
    <t>Cedar Creek</t>
  </si>
  <si>
    <t>BASTROP</t>
  </si>
  <si>
    <t>P-400-23182-161892</t>
  </si>
  <si>
    <t>H-400-23276-406806</t>
  </si>
  <si>
    <t xml:space="preserve">No minimum education or experience required. Must pass a post-employment criminal background check, paid by employer and applied equally to all workers, U.S. and foreign/H-2B.  Must be able to work a minimum 5-day workweek. Must be able to work weekends and holidays. Applicants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Employer will provide worker at no charge all tools, supplies, and equipment required to perform job. Uniform provided at no cost to employee.  Employer guarantees to offer work for hours equal to at least three-fourths of the workdays in each 12-week period of the total employment period.
</t>
  </si>
  <si>
    <t>P-400-23198-193740</t>
  </si>
  <si>
    <t xml:space="preserve">Employer will provide on-the-job training. A single workweek will be used to compute wages due. Pay received bi-weekly. Employer will make all deductions from the worker's paycheck required by law.  Employer will assist in locating housing. Public transportation within walking distance of resort. One optional meal during shift available for $2, payroll deducted if worker elects. </t>
  </si>
  <si>
    <t>H-400-23188-174573</t>
  </si>
  <si>
    <t>Polo Horse Groom/Rider</t>
  </si>
  <si>
    <t>Halo Polo LLC</t>
  </si>
  <si>
    <t>3629 Aiken Ct</t>
  </si>
  <si>
    <t>Potamkin Ganzi</t>
  </si>
  <si>
    <t>accounting@gcpolo.com</t>
  </si>
  <si>
    <t>Arburua</t>
  </si>
  <si>
    <t>514 Via de la Valle</t>
  </si>
  <si>
    <t>Suite 301</t>
  </si>
  <si>
    <t>Solana Beach</t>
  </si>
  <si>
    <t>Law@ilglawgroup.com</t>
  </si>
  <si>
    <t>MJA International Law Group APC</t>
  </si>
  <si>
    <t>State Supreme Court</t>
  </si>
  <si>
    <t>10518 Wellington Preserve Blvd</t>
  </si>
  <si>
    <t>P-400-23136-025697</t>
  </si>
  <si>
    <t>HUGHES</t>
  </si>
  <si>
    <t>H-400-23276-406530</t>
  </si>
  <si>
    <t>Warehouse Associate</t>
  </si>
  <si>
    <t>GS Gelato &amp; Desserts, Inc</t>
  </si>
  <si>
    <t>1785 FIM Blvd</t>
  </si>
  <si>
    <t>Faroni</t>
  </si>
  <si>
    <t>h2brecruiting@gmail.com</t>
  </si>
  <si>
    <t>1785 FIM Blvd,</t>
  </si>
  <si>
    <t>P-400-23152-068237</t>
  </si>
  <si>
    <t>$120 per week for lodging and utilities only if worker elects to live in
provided shared housing.</t>
  </si>
  <si>
    <t>WWW.CAREERSOURCEOKALOOSAWALTON.COM</t>
  </si>
  <si>
    <t>Middletown</t>
  </si>
  <si>
    <t>H-400-23307-475847</t>
  </si>
  <si>
    <t>5428 Clarksville Pike (Report to Work)</t>
  </si>
  <si>
    <t>Whites Creek</t>
  </si>
  <si>
    <t>P-400-23223-258000</t>
  </si>
  <si>
    <t>Optional, shared, furnished housing available to the worker (including: utilities) at a weekly housing rate up to $100; if optional housing is agreed upon by the worker, housing rate will be deducted from worker's paycheck incrementally (weekly).
At Employer’s sole discretion: possible cash advances (if applicable/requested by worker, potential deduction from worker’s paycheck).</t>
  </si>
  <si>
    <t>TMcComb@ruppertcompanies.com</t>
  </si>
  <si>
    <t>STEVE'S LAWNS INC</t>
  </si>
  <si>
    <t>30 SEPHAR LANE</t>
  </si>
  <si>
    <t>CHESTNUT RIDGE</t>
  </si>
  <si>
    <t>SLACKMAN</t>
  </si>
  <si>
    <t>P-400-23193-182923</t>
  </si>
  <si>
    <t>BOOKKEEPING@STEVESLAWNS.COM</t>
  </si>
  <si>
    <t>H-400-23333-530099</t>
  </si>
  <si>
    <t xml:space="preserve">Southeastern Event Staffing Services, Inc. </t>
  </si>
  <si>
    <t>2755 Martintown Rd.</t>
  </si>
  <si>
    <t>Edgefield</t>
  </si>
  <si>
    <t>Sparks</t>
  </si>
  <si>
    <t>info@drewexpo.com</t>
  </si>
  <si>
    <t xml:space="preserve">Hours, schedule, and days vary widely.  
Typically Tue-Sun, 4pm  11pm.  
Often 35-45 hours per week, may go up to 60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Work outside in all weather. The job requires the applicant to obtain all necessary government authorizations to work, such as an H-2B worker visa for foreign workers, which will be issued by the United States Embassy in the home country, and after which the applicant will be regarded as recruited at that time and place. Must cooperate with and complete job application and interview, and any supplied information must be truthful and complete. Must comply with grooming requirements and dress code. Must be willing to work up to 7 days/week. Subject to discharge for cause.
</t>
  </si>
  <si>
    <t>2755 Martintown Road</t>
  </si>
  <si>
    <t xml:space="preserve">Merit/bonus/sick/recruiting/tenure pay, savings program at employer's discretion. Uniform provided at no charge. </t>
  </si>
  <si>
    <t>P-400-23194-187081</t>
  </si>
  <si>
    <t xml:space="preserve">Optional mobile housing ($125/week) is provided.  The employer will pay the cost of housing to the extent such cost would reduce the pay below the offered (straight) wage rate for the areas of intended employment, but is otherwise available for wage credit and/or deduction above the offered (straight) wage rate, or any lesser amount to the maximum extent not prohibited by law.
Local convenience travel ($25/week) and food (varies) is available for wage credit and/or deduction, or any lesser amount to the maximum extent not prohibited by law.
</t>
  </si>
  <si>
    <t>H-400-23325-515764</t>
  </si>
  <si>
    <t>Louisiana Seafood Processor, LLC</t>
  </si>
  <si>
    <t>1860 Scenic Hwy.</t>
  </si>
  <si>
    <t>Nguyen</t>
  </si>
  <si>
    <t>Hinh</t>
  </si>
  <si>
    <t>laseafoodprocessors@gmail.com</t>
  </si>
  <si>
    <t xml:space="preserve">Must be 18 due to state labor laws.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and qualified to perform work described and must be available for the entire period specified.  Delivery and availability of seafood product from fisherman may result in possible downtimes due to weather conditions. </t>
  </si>
  <si>
    <t>P-400-23195-191424</t>
  </si>
  <si>
    <t>H-400-23325-516011</t>
  </si>
  <si>
    <t>Ecoscape Solutions Group, LLC_Sterling</t>
  </si>
  <si>
    <t>42701 Trade West Drive</t>
  </si>
  <si>
    <t xml:space="preserve">Requires three months of previous landscape experience. Must lift/carry 50 lbs., when necessary. Saturday and Sunday work required, when necessary. Employer-paid drug testing required of foreign and domestic workers prior to commencing work and post-hire at random, upon suspicion of use, and post-accident. Post-hire background checks may be required of foreign and domestic workers based on contract requirements.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</si>
  <si>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42701 Trade West Drive,</t>
  </si>
  <si>
    <t>P-400-23236-292825</t>
  </si>
  <si>
    <t>Emplyr makes all payroll deducts req’d by law. Emplyr doesnt envision other workforce-wide payroll deducts. If requested emplyr helps non-local wrkrs secure opt’l wrkr-paid lodging. Emplyr deducts reasonable fair market value cost of rent/utilities based on #of occupants electing to reside in emplyr-provided housing (cost TBD). Vol. advances/loans made to wrkrs may be repaid by pre-authorized payroll deducts. Emplyr deducts for reasonable cost of negligent damage to lodging facilities. Emplyr may deduct retirement/savings plan contributions/health ins. premiums for wrkrs voluntarily participating in plans. Uniform provided @ no cost. Emplyr may deduct cost for voluntary purchase of add’l uniforms for wrkr's benefit. Emplyr may also deduct for voluntary boot purchase program. Emplyr provides incidental transport between worksites. Employer offers free daily transport to/from worksite from designated pick-up location. Use of transport voluntary.</t>
  </si>
  <si>
    <t>H-400-23242-307724</t>
  </si>
  <si>
    <t xml:space="preserve">Construction Coordinator </t>
  </si>
  <si>
    <t>Viva Pools, LLC</t>
  </si>
  <si>
    <t>5408 Port Royal Road, Unit R</t>
  </si>
  <si>
    <t>Haritev</t>
  </si>
  <si>
    <t xml:space="preserve">Gincho </t>
  </si>
  <si>
    <t>4441 George Mason Blvd, Suite 200</t>
  </si>
  <si>
    <t>gincho@vivapools.com</t>
  </si>
  <si>
    <t xml:space="preserve">N/A
F.a.5 A-H. (continued): Monday-Friday: 7:00 a.m.-4:00 p.m.; Saturdays 7:00 a.m. - 12:00 p.m. Up to 15 hours/week of OT may be available. OT hours vary. </t>
  </si>
  <si>
    <t>P-400-23118-977254</t>
  </si>
  <si>
    <t xml:space="preserve">Optional housing is available at $750/month, to be deducted from pay if elected. </t>
  </si>
  <si>
    <t>Gerardo</t>
  </si>
  <si>
    <t>Doctor</t>
  </si>
  <si>
    <t>mary@doctorslawn.com</t>
  </si>
  <si>
    <t>ANTHONY</t>
  </si>
  <si>
    <t>Charlottesville, VA</t>
  </si>
  <si>
    <t>Irrigation Laborer</t>
  </si>
  <si>
    <t>Employer will make all deductions required by law.  Other deductions may be taken at employee's written request, i.e. internet, cable, cash advances, medical expenses, etc. See addendum.</t>
  </si>
  <si>
    <t>Freeport</t>
  </si>
  <si>
    <t>Katy</t>
  </si>
  <si>
    <t>JASON</t>
  </si>
  <si>
    <t>Bowie</t>
  </si>
  <si>
    <t>LAKE OZARK</t>
  </si>
  <si>
    <t>Jacksonville</t>
  </si>
  <si>
    <t>DUVAL</t>
  </si>
  <si>
    <t>Alpharetta</t>
  </si>
  <si>
    <t>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</si>
  <si>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H-400-23307-477030</t>
  </si>
  <si>
    <t>2025 Zumbehl Rd, Suite 22</t>
  </si>
  <si>
    <t>Estlund</t>
  </si>
  <si>
    <t>pat@heritagell.com</t>
  </si>
  <si>
    <t xml:space="preserve">Pre-hire background check required, Able to lift 50lbs, Monday-Friday, some Saturdays and Sundays required, schedule varies, start/end times vary, overtime varies. All background checks are performed equally as to U.S. workers and H-2B workers, and all fees are paid for by the company. See the additional document attached for further details about the administration of our background check policy.
</t>
  </si>
  <si>
    <t>155 Brown Rd</t>
  </si>
  <si>
    <t>raises at employer's discretion.</t>
  </si>
  <si>
    <t>P-400-23222-254212</t>
  </si>
  <si>
    <t>christine@heritagell.com</t>
  </si>
  <si>
    <t>Ste 102</t>
  </si>
  <si>
    <t>SNOHOMISH</t>
  </si>
  <si>
    <t>Seattle-Tacoma-Bellevue, WA</t>
  </si>
  <si>
    <t>www.connectingcolorado.com</t>
  </si>
  <si>
    <t xml:space="preserve">The Employer will make all deductions from the worker’s paycheck that are required by law. </t>
  </si>
  <si>
    <t>Flooring Installer</t>
  </si>
  <si>
    <t>Stacy</t>
  </si>
  <si>
    <t>The F.A. Bartlett Tree Expert Company</t>
  </si>
  <si>
    <t>Bartlett Tree Experts</t>
  </si>
  <si>
    <t>1290 E. Main Street</t>
  </si>
  <si>
    <t>2nd Floor</t>
  </si>
  <si>
    <t>Stamford</t>
  </si>
  <si>
    <t>Marren</t>
  </si>
  <si>
    <t>Vice President, Safety &amp; Regulatory Affairs</t>
  </si>
  <si>
    <t>Bartlett Tree Research Laboratories</t>
  </si>
  <si>
    <t>13768 Hamilton Road</t>
  </si>
  <si>
    <t>dmarren@bartlett.com</t>
  </si>
  <si>
    <t>Steiner</t>
  </si>
  <si>
    <t>3206 Woodbine Street</t>
  </si>
  <si>
    <t>Chevy Chase</t>
  </si>
  <si>
    <t>eric.iwork@gmail.com</t>
  </si>
  <si>
    <t>EarthBrew Consulting</t>
  </si>
  <si>
    <t>No special requirements.</t>
  </si>
  <si>
    <t>No additional conditions.</t>
  </si>
  <si>
    <t>Suite 600</t>
  </si>
  <si>
    <t>H-400-23318-501107</t>
  </si>
  <si>
    <t>Teays River Group</t>
  </si>
  <si>
    <t>4272 McLane Pike</t>
  </si>
  <si>
    <t>Red House</t>
  </si>
  <si>
    <t>Crede</t>
  </si>
  <si>
    <t>Zach@teaysrivergroup.com</t>
  </si>
  <si>
    <t>5897 Teays River Rd (Report to Work)</t>
  </si>
  <si>
    <t>Scotts Depot</t>
  </si>
  <si>
    <t>P-400-23186-166735</t>
  </si>
  <si>
    <t>Optional, shared, furnished housing available to the worker (including: Utilities) at a monthly housing rate up to $300.00/Month; if optional housing is agreed upon by the worker, monthly housing rate will be deducted from worker's paycheck incrementally (bi-weekly).At Employer’s sole discretion: possible cash advances (if applicable/requested by worker, potential deduction from worker’s paycheck).</t>
  </si>
  <si>
    <t>Morrisville</t>
  </si>
  <si>
    <t>H-400-23336-539244</t>
  </si>
  <si>
    <t>Bosetti Lawn Care</t>
  </si>
  <si>
    <t xml:space="preserve">322 Singer Ave. </t>
  </si>
  <si>
    <t>Mckees Rocks</t>
  </si>
  <si>
    <t>Bosetti</t>
  </si>
  <si>
    <t>brad@bosettilawncare.com</t>
  </si>
  <si>
    <t>Must be 18 due to equipment use.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75lbs (possible 2-person).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</si>
  <si>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322 Singer Ave (Report to Work)</t>
  </si>
  <si>
    <t>P-400-23219-243854</t>
  </si>
  <si>
    <t>Optional, shared housing available to the worker (including: Utilities) at a monthly housing rate up to $300; if optional housing is agreed upon by the worker, monthly housing rate will be deducted from worker's paycheck incrementally (weekly).At Employer’s sole discretion: possible cash advances (if applicable/requested by worker, potential deduction from worker’s paycheck).</t>
  </si>
  <si>
    <t>A.T.G. Ram Industries LLC</t>
  </si>
  <si>
    <t>Driver</t>
  </si>
  <si>
    <t>brook@atgsports.com</t>
  </si>
  <si>
    <t>H-400-23333-531071</t>
  </si>
  <si>
    <t>Cleaning Tech</t>
  </si>
  <si>
    <t>Popsy Pop, LLC</t>
  </si>
  <si>
    <t>750 Kennedy Blvd.</t>
  </si>
  <si>
    <t xml:space="preserve">Must lift/carry 50 lbs. when necessary and frequently work on hands and knees. Work schedule is at least 5 days/week with shifts varying by day and work days varying by week to include Saturday and Sunday. Employer may offer more than the stated work hours depending on weather, business needs, and other conditions. Extreme heat, cold, rain, or drought may affect exact working hours.
</t>
  </si>
  <si>
    <t>750 Kennedy Boulevard</t>
  </si>
  <si>
    <t>P-400-23243-310259</t>
  </si>
  <si>
    <t>H-400-23307-475891</t>
  </si>
  <si>
    <t>1551 Sam Rittenberg Blvd. (Report to Work)</t>
  </si>
  <si>
    <t>P-400-23198-194414</t>
  </si>
  <si>
    <t>H-400-23313-489284</t>
  </si>
  <si>
    <t>Kitchen Helper</t>
  </si>
  <si>
    <t xml:space="preserve">Must be able to work at least a 5-day schedule, including weekends and holidays as required.  Upholds the core values and policies &amp; procedures of the resort. Post-Employment Criminal Background check is required, cost paid by employer and applied equally to all workers, U.S. and foreign/H-2B. Applicants must complete an employment application.
</t>
  </si>
  <si>
    <t>P-400-23193-183359</t>
  </si>
  <si>
    <t>H-400-23272-398337</t>
  </si>
  <si>
    <t xml:space="preserve">Ski Instructor </t>
  </si>
  <si>
    <t>Sugar Bowl Corporation</t>
  </si>
  <si>
    <t>Sugar Bowl Resort</t>
  </si>
  <si>
    <t>629 Sugar Bowl Road</t>
  </si>
  <si>
    <t>PO Box 5</t>
  </si>
  <si>
    <t>Norden</t>
  </si>
  <si>
    <t>Knill</t>
  </si>
  <si>
    <t>Executive Director of Human Resources and Risk</t>
  </si>
  <si>
    <t>tknill@sugarbowl.com</t>
  </si>
  <si>
    <t xml:space="preserve">Must possess a current PSIA/AASI Level III certification or foreign equivalent. Applicant must complete pre-employment background check.  
</t>
  </si>
  <si>
    <t>Wage: $27.63 - $40.00 per hour, paid bi-weekly. Please see job description for additional information.</t>
  </si>
  <si>
    <t>P-400-23181-160048</t>
  </si>
  <si>
    <t xml:space="preserve">Optional housing is offered on a first-come, first-serve basis for workers who are relocating to begin employment.  Cost of housing, if accepted, is $500.00 per month (utilities included).  If used, total cost of housing will be deducted from paycheck. A $500.00 refundable security deposit is required, to be paid directly to employer upon acceptance of housing.  
</t>
  </si>
  <si>
    <t>recruiting@sugarbowl.com</t>
  </si>
  <si>
    <t>Carlton</t>
  </si>
  <si>
    <t>CRAVEN</t>
  </si>
  <si>
    <t>New Bern, NC</t>
  </si>
  <si>
    <t>Alfredo</t>
  </si>
  <si>
    <t>H-400-23279-414453</t>
  </si>
  <si>
    <t>ABC Professional Tree Services, Inc - Victoria</t>
  </si>
  <si>
    <t>3401 U.S Hwy 59 N,</t>
  </si>
  <si>
    <t>P-400-23183-162074</t>
  </si>
  <si>
    <t>Hagie</t>
  </si>
  <si>
    <t xml:space="preserve">Office Manager </t>
  </si>
  <si>
    <t>Restaurant Supervisor</t>
  </si>
  <si>
    <t>Beverly Hills</t>
  </si>
  <si>
    <t>H-400-23276-406180</t>
  </si>
  <si>
    <t>Heavy Equipment Mechanic</t>
  </si>
  <si>
    <t>Mobile Heavy Equipment Mechanics, Except Engines</t>
  </si>
  <si>
    <t>P-400-23226-260554</t>
  </si>
  <si>
    <t>MGR</t>
  </si>
  <si>
    <t>RICHMOND CITY</t>
  </si>
  <si>
    <t>LABORER, GENERAL</t>
  </si>
  <si>
    <t>WESTHAMPTON BEACH</t>
  </si>
  <si>
    <t>MIGUEL</t>
  </si>
  <si>
    <t>JESSICA</t>
  </si>
  <si>
    <t>MEMBER</t>
  </si>
  <si>
    <t>H-400-23307-476520</t>
  </si>
  <si>
    <t>Moonlight Pool and Spa</t>
  </si>
  <si>
    <t>1422 Berger Rd</t>
  </si>
  <si>
    <t>Rem</t>
  </si>
  <si>
    <t>Mikeal</t>
  </si>
  <si>
    <t>amber@txmoonlight.com</t>
  </si>
  <si>
    <t>Drug testing during employment for cause, Able to lift 50lbs, Must be able to work in inclement weather, Monday-Friday, Some Saturdays as needed, schedule varies, start/end times vary, Additional overtime varies. All drug testing is performed without regard to an employees citizenship or immigration status, and all testing is paid for by the company. See the additional document attached for further details about the administration of our drug testing policy.</t>
  </si>
  <si>
    <t>raise/bonus at employer's discretion</t>
  </si>
  <si>
    <t>P-400-23234-284203</t>
  </si>
  <si>
    <t>Employer may make payroll deductions at employee's request; Employer may provide optional housing upon request and corresponding payroll deduction, at $400/month for rent and utilities.</t>
  </si>
  <si>
    <t>info@txmoonlight.com</t>
  </si>
  <si>
    <t>Joplin, MO</t>
  </si>
  <si>
    <t>H-400-23336-539531</t>
  </si>
  <si>
    <t>Frank Joseph and Sons, Inc.</t>
  </si>
  <si>
    <t>Jolly Shows</t>
  </si>
  <si>
    <t>514 Tremont Circle</t>
  </si>
  <si>
    <t>tiffdink@icloud.com</t>
  </si>
  <si>
    <t>1450 Generals Hwy</t>
  </si>
  <si>
    <t>Crownsville</t>
  </si>
  <si>
    <t>P-400-23202-207024</t>
  </si>
  <si>
    <t xml:space="preserve">Employer will make all deductions from the worker’s paycheck required by law.  In addition, the employer intends to make the following deductions from the worker’s paycheck which are not required by law:   NONE Optional mobile housing (valued at $100.00 per week) and local convenience travel (valued at $25.00 per week) are available at no cost to the worker.  </t>
  </si>
  <si>
    <t>MacDonald</t>
  </si>
  <si>
    <t>Thomas (Tom)</t>
  </si>
  <si>
    <t>Optional employee shared housing, including basic utilities, is available at approximately $125 per person per week. The cost of housing will be deducted from the worker’s paycheck if the worker elects.</t>
  </si>
  <si>
    <t>www.mississippiworks.org</t>
  </si>
  <si>
    <t>H-400-23324-513248</t>
  </si>
  <si>
    <t>Alpha Landscape Contractors, Inc.</t>
  </si>
  <si>
    <t>2823 Flintstone Road</t>
  </si>
  <si>
    <t>Millers</t>
  </si>
  <si>
    <t>Bailey</t>
  </si>
  <si>
    <t>Baird</t>
  </si>
  <si>
    <t xml:space="preserve">Must lift/carry 50 lbs., when necessary.  Saturday and Sunday work required, when necessary.  Employer-paid post-hire random and post-accident drug testing required of foreign and domestic workers. Employer may offer more than the stated work hours depending on weather, business needs, and other conditions. Extreme heat, cold, rain, or drought may affect exact working hours.
</t>
  </si>
  <si>
    <t>P-400-23233-281565</t>
  </si>
  <si>
    <t>Employer makes all payroll deductions required by law. Employer does not envision other workforce-wide payroll deductions. Voluntary advances and/or loans made to workers, if any, may be repaid by pre-authorized payroll deductions. Employer provides incidental transportation between worksites as necessary. Employer may deduct reasonable costs for daily transportation to/from worksite from designated pick-up location. Use of employer-provided transportation is voluntary.</t>
  </si>
  <si>
    <t>info@alphalanscp.com</t>
  </si>
  <si>
    <t>Jon</t>
  </si>
  <si>
    <t>H-400-23336-539086</t>
  </si>
  <si>
    <t>JACKSON DODDS &amp; COMPANY INC</t>
  </si>
  <si>
    <t>271 BISHOPS LANE</t>
  </si>
  <si>
    <t>DODDS</t>
  </si>
  <si>
    <t>P-400-23200-199914</t>
  </si>
  <si>
    <t>INFO@JACKSONDODDSINC.COM</t>
  </si>
  <si>
    <t>H-400-23336-539092</t>
  </si>
  <si>
    <t>B &amp; G POOL &amp; LANDSCAPING SERVICES INC</t>
  </si>
  <si>
    <t xml:space="preserve">33 Glade Road </t>
  </si>
  <si>
    <t>East Hampton</t>
  </si>
  <si>
    <t>Buitrago</t>
  </si>
  <si>
    <t>33 Glade Road</t>
  </si>
  <si>
    <t>P-400-23207-215825</t>
  </si>
  <si>
    <t>BANDGPOOLSERVICES@GMAIL.COM</t>
  </si>
  <si>
    <t>Jensen</t>
  </si>
  <si>
    <t>Company will make all deductions from the worker’s paycheck required by law.</t>
  </si>
  <si>
    <t>https://okjobmatch.com</t>
  </si>
  <si>
    <t xml:space="preserve">MAS Labor H2B, LLC </t>
  </si>
  <si>
    <t>Amarillo</t>
  </si>
  <si>
    <t>Amarillo, TX</t>
  </si>
  <si>
    <t>Mechanic Helper</t>
  </si>
  <si>
    <t>PRINCE WILLIAM</t>
  </si>
  <si>
    <t>PETER</t>
  </si>
  <si>
    <t>GROUNDSKEEPER</t>
  </si>
  <si>
    <t>Lynne</t>
  </si>
  <si>
    <t>H-400-23332-527770</t>
  </si>
  <si>
    <t>Bakers</t>
  </si>
  <si>
    <t>The Donut Palace</t>
  </si>
  <si>
    <t>1321 US 71 S</t>
  </si>
  <si>
    <t>mena</t>
  </si>
  <si>
    <t>Sopheara</t>
  </si>
  <si>
    <t>900 Hope Circle</t>
  </si>
  <si>
    <t>Mena</t>
  </si>
  <si>
    <t>Sopheara.L@gmail.com</t>
  </si>
  <si>
    <t>Warner, Sr.</t>
  </si>
  <si>
    <t>jerome</t>
  </si>
  <si>
    <t>Jerome Warner, Sr.</t>
  </si>
  <si>
    <t>19054 East Chenango Circle</t>
  </si>
  <si>
    <t>jerome.warner@att.net</t>
  </si>
  <si>
    <t>WarnerBraasch Janitorial, LLC</t>
  </si>
  <si>
    <t>West Arkansas nonmetropolitan area</t>
  </si>
  <si>
    <t>P-400-23295-448711</t>
  </si>
  <si>
    <t>All local, state and federal payroll deductions as required by law.</t>
  </si>
  <si>
    <t>sopheara.1@gmail.com</t>
  </si>
  <si>
    <t>Min wage may be higher based on tenure, skills/abilities, and/or work performance</t>
  </si>
  <si>
    <t>Ruben</t>
  </si>
  <si>
    <t>H-400-23307-476140</t>
  </si>
  <si>
    <t>Clipper's LLC</t>
  </si>
  <si>
    <t>3354 R Patuxent River Road</t>
  </si>
  <si>
    <t>Davidsonville</t>
  </si>
  <si>
    <t>Knight</t>
  </si>
  <si>
    <t>Area Vice President</t>
  </si>
  <si>
    <t>3350 H Patuxent River Road</t>
  </si>
  <si>
    <t xml:space="preserve">Lift/carry up to 50 pounds. Employer paid drug test is Post Accident, Pre-Employment, Random (post-employment), Upon Suspicion (Post Employment) Employer paid post hire criminal background check required.
</t>
  </si>
  <si>
    <t>Character Limit Overtime is not guaranteed but if worked rate is paid at time and a half per hour above 40 hours per wee</t>
  </si>
  <si>
    <t>P-400-23177-143909</t>
  </si>
  <si>
    <t xml:space="preserve">Character Limit Employer will only assist with locating shared rental housing upon arrival at the request of the employee. Employees are not required to live in housing the employer locates. Employees may make their own arrangements at their own expense.  The employer will make the following deductions from the worker's wages: all deductions required by law,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where it is shown that the worker is responsible, and any other reasonable deductions expressly authorized by the worker in writing. No deduction not required by law will be made that brings the workers hourly earnings below the FLSA Federal statutory minimum wage.  </t>
  </si>
  <si>
    <t>https://clipperslandscape.com/</t>
  </si>
  <si>
    <t>H-400-23325-516223</t>
  </si>
  <si>
    <t>GREEN &amp; CLEAN LANDSCAPE, INC</t>
  </si>
  <si>
    <t>8414 NORCROSS ROAD</t>
  </si>
  <si>
    <t>COLFAX</t>
  </si>
  <si>
    <t>ROMO</t>
  </si>
  <si>
    <t>KATHRYN</t>
  </si>
  <si>
    <t>CORPORATE SECRETARY</t>
  </si>
  <si>
    <t>KATHRYNROMO@GMAIL.COM</t>
  </si>
  <si>
    <t>Must be able to lift/carry 50lbs and work in both bending and standing positions for extended periods and in all types of weather.</t>
  </si>
  <si>
    <t>P-400-23205-210324</t>
  </si>
  <si>
    <t>Onl; those required by law</t>
  </si>
  <si>
    <t>kathrynjromo@gmail.com</t>
  </si>
  <si>
    <t>Traci</t>
  </si>
  <si>
    <t>ROBINSON</t>
  </si>
  <si>
    <t>Guest Services</t>
  </si>
  <si>
    <t>23 MAIN STREET</t>
  </si>
  <si>
    <t>NICK</t>
  </si>
  <si>
    <t>Host/Hostess</t>
  </si>
  <si>
    <t>Simpson</t>
  </si>
  <si>
    <t>Chelsea</t>
  </si>
  <si>
    <t xml:space="preserve">Stillwater </t>
  </si>
  <si>
    <t>RL &amp; L, INC.</t>
  </si>
  <si>
    <t>RELIABLE LAWNCARE AND LANDSCAPING</t>
  </si>
  <si>
    <t>2203 HWY 70 EAST</t>
  </si>
  <si>
    <t>TIM</t>
  </si>
  <si>
    <t>2203 HWY 70E</t>
  </si>
  <si>
    <t>tim@reliablelawncareandlandscaping.com</t>
  </si>
  <si>
    <t>P-400-23186-166609</t>
  </si>
  <si>
    <t>H-400-23334-532693</t>
  </si>
  <si>
    <t>Calvin Landscape, LLC</t>
  </si>
  <si>
    <t>5221 Ivy Tech Dr.</t>
  </si>
  <si>
    <t>Calvin</t>
  </si>
  <si>
    <t>5221 Ivy Tech Drive</t>
  </si>
  <si>
    <t>P-400-23263-362240</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</si>
  <si>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Voluntary advances and/or loans made to workers, if any, may be repaid by pre-authorized payroll deductions.       Employer provides incidental transportation between worksites as necessary. No daily transportation to/from workers' home and primary worksite. Such transportation complies with all applicable Federal, State, and local laws/regulations.</t>
  </si>
  <si>
    <t>brian@calvinlandscape.com</t>
  </si>
  <si>
    <t>H-400-23307-475887</t>
  </si>
  <si>
    <t>Richmond &amp; Associates Landscaping-Houston, Ltd.</t>
  </si>
  <si>
    <t>1213 Conrad Sauer</t>
  </si>
  <si>
    <t>President to the General Partner</t>
  </si>
  <si>
    <t>chaun@richmondlandscape.com</t>
  </si>
  <si>
    <t xml:space="preserve">Must be able to lift 50 lbs.  
Applicants must complete an employment application.
Must be able to work weekends and holidays as required. 
</t>
  </si>
  <si>
    <t>P-400-23179-151277</t>
  </si>
  <si>
    <t xml:space="preserve">The employer will make all deductions from the worker's paycheck required by law. Employer will assist worker to find affordable housing. Optional medical insurance available, approximately $7.96-$398.97 per week depending on coverage. Optional dental, vision and accidental insurance available, approximately $1.58-$29.60 per week depending on coverage. Employer also offers Life and Critical Illness insurance, pricing depends on age and if employee is a tabacco user or not. Cost of insurance payroll deducted if worker chooses to enroll.
Daily transportation provided from main worksite in Houston among multiple worksites in Harris, Brazoria, Galveston, Fort Bend and Montgomery counties.
The employer will provide worker at no charge all tools, supplies, and equipment required to perform job. Uniform provided at no charge to the worker.  
</t>
  </si>
  <si>
    <t>Neal</t>
  </si>
  <si>
    <t>ATLANTIC GOLF CLUB</t>
  </si>
  <si>
    <t>1040 SCUTTLE HOLE ROAD</t>
  </si>
  <si>
    <t>BRIDGEHAMPTON</t>
  </si>
  <si>
    <t>KOOI</t>
  </si>
  <si>
    <t>ASSISTANT MANAGER</t>
  </si>
  <si>
    <t>PO BOX 1890</t>
  </si>
  <si>
    <t>KKOOI@ATLANTICGOLF.ORG</t>
  </si>
  <si>
    <t>H-400-23270-387394</t>
  </si>
  <si>
    <t>Medical Technician</t>
  </si>
  <si>
    <t>Medical Assistants</t>
  </si>
  <si>
    <t>Asheville Geriatric, LLC</t>
  </si>
  <si>
    <t>Asheville Geriatric; Richmond Hill Rest Home</t>
  </si>
  <si>
    <t>95 Richmond Hill Rd</t>
  </si>
  <si>
    <t>Vupadhyayula</t>
  </si>
  <si>
    <t>Phani</t>
  </si>
  <si>
    <t>Mohan</t>
  </si>
  <si>
    <t>Bashyam Global LLP</t>
  </si>
  <si>
    <t>maryam@bashyamglobal.com</t>
  </si>
  <si>
    <t>Khan</t>
  </si>
  <si>
    <t>Maryam</t>
  </si>
  <si>
    <t>Safia</t>
  </si>
  <si>
    <t>3737 Benson Drive</t>
  </si>
  <si>
    <t>95 Richmond Hill Road</t>
  </si>
  <si>
    <t>P-400-23146-058450</t>
  </si>
  <si>
    <t>No deductions unless required by law.</t>
  </si>
  <si>
    <t>ashevillegeriatric@gmail.com</t>
  </si>
  <si>
    <t>H-400-23307-477252</t>
  </si>
  <si>
    <t>IVS Landscaping Ltd</t>
  </si>
  <si>
    <t>30 Weeks Drive</t>
  </si>
  <si>
    <t>Garnet Valley</t>
  </si>
  <si>
    <t>Caruso</t>
  </si>
  <si>
    <t>ivslandscaping@gmail.com</t>
  </si>
  <si>
    <t>4828 Pennell Road</t>
  </si>
  <si>
    <t>P-400-23222-254477</t>
  </si>
  <si>
    <t>H-400-23334-533717</t>
  </si>
  <si>
    <t>Landscape and Groundskeeping workers</t>
  </si>
  <si>
    <t>Greenkeepers, LLC (GRK124A)</t>
  </si>
  <si>
    <t>1427 Livingston Vernon Road</t>
  </si>
  <si>
    <t>Flora</t>
  </si>
  <si>
    <t>Chaney</t>
  </si>
  <si>
    <t>Owner Member</t>
  </si>
  <si>
    <t>greenkeepers.ms@gmail.com</t>
  </si>
  <si>
    <t>MUST BE ABLE TO TOLERATE EXTREME TEMPERATURES, LOUD NOISES; LIFT HEAVY EQUIPMENT AND EXHIBIT STAMINA. OPERATE EQUIPMENT WHILE SOBER.MAY WORK SATURDAYS. POST-EMPLOYMENT EMPLOYER-PAID DRUG TEST MAY BE ADMINISTERED.
Work days:  M-F, might work Saturdays. Depends on weather.
Hours per week: 35
Work Schedule: 7-4:00pm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Optional employer housing offered at market rate (and no more than low-income housing rates). No family housing offered.</t>
  </si>
  <si>
    <t xml:space="preserve">1427 Livingston Bernon Road </t>
  </si>
  <si>
    <t>P-400-23249-323226</t>
  </si>
  <si>
    <t xml:space="preserve">Optional employer housing is offered at the market rate  (and no more than low-income housing rates).
</t>
  </si>
  <si>
    <t>H-400-23332-525958</t>
  </si>
  <si>
    <t>Lifescape Associates, Inc.</t>
  </si>
  <si>
    <t>Lifescape Colorado</t>
  </si>
  <si>
    <t>455 S. Platte River Dr.</t>
  </si>
  <si>
    <t>Hupf</t>
  </si>
  <si>
    <t>michaelh@lifescapecolorado.com</t>
  </si>
  <si>
    <t>Must be able to lift 50 lbs.
Post-employment criminal background check required, cost paid by employer and applied equally to all workers, U.S. and foreign/H-2B.
Workers are subject to post-incident/injury and upon reasonable suspicion drug testing, cost paid by employer and applied equally to all workers, U.S. and foreign/H-2B. 
Must be able to work a 6-day schedule as necessary, including Saturdays and holidays. 
Applicant must complete an employment application.
Required uniform and personal protection equipment (PPE) provided at no charge to the worker.</t>
  </si>
  <si>
    <t>P-400-23166-115724</t>
  </si>
  <si>
    <t>Unit 2</t>
  </si>
  <si>
    <t>Upper Marlboro</t>
  </si>
  <si>
    <t>H-400-23289-432907</t>
  </si>
  <si>
    <t>Food Worker</t>
  </si>
  <si>
    <t xml:space="preserve">Lauther's Fine Foods, Inc. </t>
  </si>
  <si>
    <t xml:space="preserve">Taste of the Fair </t>
  </si>
  <si>
    <t>13447 E US Hwy 92</t>
  </si>
  <si>
    <t>Lauther</t>
  </si>
  <si>
    <t>lauthersfinefoods@gmail.com</t>
  </si>
  <si>
    <t xml:space="preserve">Hours, schedule, and days vary widely.  
Typically Tues-Sun, 1pm  11pm with breaks.
Often 35-45 hours per week, may go up to 70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Subject to discharge for cause.  
</t>
  </si>
  <si>
    <t>7309 Gibsonton Drive</t>
  </si>
  <si>
    <t>Merit/bonus/sick/recruiting/tenure pay, savings program at employer's discretion. Uniform provided at no cost</t>
  </si>
  <si>
    <t>P-400-23192-180248</t>
  </si>
  <si>
    <t>Optional mobile housing ($125/week)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($20/week) is available for wage credit and/or deduction, or any lesser amount to the maximum extent not prohibited by law.</t>
  </si>
  <si>
    <t>doughpro8753@aol.com</t>
  </si>
  <si>
    <t>Statesville</t>
  </si>
  <si>
    <t>H-400-23284-423586</t>
  </si>
  <si>
    <t xml:space="preserve">Golf Maintenance </t>
  </si>
  <si>
    <t>Omni La Costa, LLC</t>
  </si>
  <si>
    <t>Omni La Costa Resort &amp; Spa</t>
  </si>
  <si>
    <t>2100 Costa Del Mar Road</t>
  </si>
  <si>
    <t>Solis</t>
  </si>
  <si>
    <t>Jessica.Solis@omnihotels.com</t>
  </si>
  <si>
    <t>No minimum education or experience required.  Must pass a post-employment criminal background check, paid by employer and applied equally to all workers, U.S. and foreign/H-2B.  Must be able to lift, push, and pull 50 lbs. Must be able to work minimum 5-day workweek, weekends and holidays are required. Applicants must complete an employment application. Employer will provide on-the-job training. A single workweek will be used in computing wages due. Pay received bi-weekly.  Employer will make all deductions from the worker's paycheck required by law.  The employer will assist in locating employee housing. Public transportation within walking distance from worksite. One meal during shift available at no cost to employee.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t>
  </si>
  <si>
    <t>Employer may increase wage based on experience and/or provide additional pay for performance and tenure.</t>
  </si>
  <si>
    <t>P-400-23234-285543</t>
  </si>
  <si>
    <t xml:space="preserve">Employer will make all deductions from the worker's paycheck required by law. The employer will assist in locating employee housing. Public transportation within walking distance from worksite. One meal during shift available at no cost to employee.
</t>
  </si>
  <si>
    <t>ABC Professional Tree Services, Inc - Warwick</t>
  </si>
  <si>
    <t>33 Plan Way,</t>
  </si>
  <si>
    <t>Warwick</t>
  </si>
  <si>
    <t>WARWICK CITY</t>
  </si>
  <si>
    <t>https://www.employri.org/vosnet/Default.aspx</t>
  </si>
  <si>
    <t>Post Falls</t>
  </si>
  <si>
    <t>Grand Prairie</t>
  </si>
  <si>
    <t>Forest Workers</t>
  </si>
  <si>
    <t>Employer makes all payroll deductions required by law. Employer does not envision other workforce-wide payroll deductions. Optional lodging available at no cost to all non-local workers.   Employer offers free daily transportation to/from worksite from designated pick-up location. Use of transportation is voluntary.       Employer provides incidental transportation between worksites as necessary.</t>
  </si>
  <si>
    <t>Sandra</t>
  </si>
  <si>
    <t>3303 HARRIS PARK AVE</t>
  </si>
  <si>
    <t>BLANCO</t>
  </si>
  <si>
    <t xml:space="preserve">Housekeeper </t>
  </si>
  <si>
    <t>H-400-23292-443312</t>
  </si>
  <si>
    <t>BDG Trees, LLC - Denham Springs, LA</t>
  </si>
  <si>
    <t xml:space="preserve">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required of foreign and domestic workers.
</t>
  </si>
  <si>
    <t>125 Rushing Rd</t>
  </si>
  <si>
    <t>P-400-23199-197778</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</si>
  <si>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Employer may deduct health insurance premiums for workers voluntarily participating in plan. No daily transportation to/from workers' home and primary worksite. Employer provides incidental transportation between multiple worksites as necessary. Such transportation complies with all applicable Federal, State, and local laws/regulations.</t>
  </si>
  <si>
    <t>H-400-23307-475843</t>
  </si>
  <si>
    <t>Shenandoah Landscape Services, Inc.</t>
  </si>
  <si>
    <t>7848 Bethlehem Rd., Suite 100</t>
  </si>
  <si>
    <t>Manassas</t>
  </si>
  <si>
    <t xml:space="preserve">Gordon </t>
  </si>
  <si>
    <t>bblosser@shenlandscape.com</t>
  </si>
  <si>
    <t>251 Westview School Road (Report to Work)</t>
  </si>
  <si>
    <t>Mount Sidney</t>
  </si>
  <si>
    <t>AUGUSTA</t>
  </si>
  <si>
    <t>Staunton-Waynesboro, VA</t>
  </si>
  <si>
    <t>P-400-23203-208468</t>
  </si>
  <si>
    <t>Optional, shared housing available to the worker at a monthly housing rate up to $400.00; if optional housing is agreed upon by the worker, monthly housing rate will be deducted from worker's paycheck incrementally (weekly).</t>
  </si>
  <si>
    <t>H-400-23325-515756</t>
  </si>
  <si>
    <t xml:space="preserve">Post-employment criminal background check, Pre-employment, post-injury/incident and reasonable suspicion drug test and e-verify required, cost paid by employer and applied equally to all workers, US and foreign/H2B. Must be able to work a 5-day schedule, may include weekends and holidays. Applicants must complete an employment application. 
</t>
  </si>
  <si>
    <t>Employer will make all deductions from the worker's paycheck required by law. Optional Medical/Dental/Vision/Accident/Critical Illness insurance and 401K available. Insurance costs vary depending on plan(s) selected by workers. Cost of Medical, Dental, Vision, Accident, and critical Illness insurance and 401K is voluntary and deducted from paycheck if worker elects.</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</si>
  <si>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may deduct reasonable costs for daily transportation to/from worksite from designated pick-up location. Use of employer-provided transportation is voluntary.       Employer provides incidental transportation between worksites as necessary. Such transportation complies with all applicable Federal, State, and local laws/regulations.</t>
  </si>
  <si>
    <t>Las Vegas</t>
  </si>
  <si>
    <t>H-400-23278-411982</t>
  </si>
  <si>
    <t>Proz, Inc.</t>
  </si>
  <si>
    <t>Proz Lakeside at the Cove</t>
  </si>
  <si>
    <t>1012 Woodland Dr.</t>
  </si>
  <si>
    <t>PO Box 855</t>
  </si>
  <si>
    <t>Prozinski</t>
  </si>
  <si>
    <t>Louise</t>
  </si>
  <si>
    <t>Ability to lift 50 lbs.
45+ hours per week, M-Sun, Workdays/hours vary depending on shift, 30 min lunch break or two 15 minute breaks/day</t>
  </si>
  <si>
    <t>1012 Woodland Dr</t>
  </si>
  <si>
    <t>Mailing: PO Box 855</t>
  </si>
  <si>
    <t>P-400-23215-236801</t>
  </si>
  <si>
    <t>Employer will make all deductions required by law.  Other deductions may be taken at employee's written request, i.e. internet, cable, cash advances, medical expenses, etc. See addendum.
Employer will assist in locating housing.</t>
  </si>
  <si>
    <t>H-400-23261-355190</t>
  </si>
  <si>
    <t>Cook-F&amp;B Attendant III</t>
  </si>
  <si>
    <t>Gonzalez, PA</t>
  </si>
  <si>
    <t xml:space="preserve">VI Food Handlers Card. VI Gaming License.
Fluent in English. Must be 21 years old and able to obtain a VI Gaming License. 
Must know proper use of hand tools, especially knives. 
After instruction, you must have the ability to consistently reproduce an item or recipe, without further instructions or assistance. 
Must be able to execute all cooking techniques at a high level. 
Must be able to adjust a recipe to alter its yield. 
Must understand internal temperature and degrees of doneness. 
Must understand fundamental baking. Must understand buffet presentation. 
Know how to order products and compute yield and consumption. 
Must understand product re-utilization. 
</t>
  </si>
  <si>
    <t>1 hour unpaid meal break</t>
  </si>
  <si>
    <t>P-400-23183-162060</t>
  </si>
  <si>
    <t xml:space="preserve">All deductions from the worker's paycheck required by law will be made, including but not limited to VI Income Tax, Social Security, Medicare. Amounts unknown as it depends on hours worked. There will be a deduction of $300 per month for housing ($150 per bi-weekly pay period). Housing is optional. </t>
  </si>
  <si>
    <t>United Work and Travel, a div of APEI</t>
  </si>
  <si>
    <t>Southwest Virginia nonmetropolitan area</t>
  </si>
  <si>
    <t>Perry</t>
  </si>
  <si>
    <t>Branch Manager</t>
  </si>
  <si>
    <t>H-400-23292-445009</t>
  </si>
  <si>
    <t>Roe Technician</t>
  </si>
  <si>
    <t xml:space="preserve">Trident Seafoods Corporation </t>
  </si>
  <si>
    <t xml:space="preserve">5303  Shilshole Avenue NW </t>
  </si>
  <si>
    <t xml:space="preserve">Schmidt </t>
  </si>
  <si>
    <t xml:space="preserve"> Laura</t>
  </si>
  <si>
    <t>Director of Global Employee Relations</t>
  </si>
  <si>
    <t xml:space="preserve">5303 Shilshole Avenue NW </t>
  </si>
  <si>
    <t>lschmidt@TridentSeafoods.com</t>
  </si>
  <si>
    <t>Diane</t>
  </si>
  <si>
    <t>920 Fifth Avenue</t>
  </si>
  <si>
    <t>dianebutler@dwt.com</t>
  </si>
  <si>
    <t>Davis Wright Tremaine LLP</t>
  </si>
  <si>
    <t>Must possess 24 months of experience, which must include work with all processing procedures described in the job description. Verifiable work experience required. All Trident employees must complete a pre-employment drug test. Employees are exempt from this drug test only if they have been separated from Trident for less than 1 year before returning to work for Trident. Pre-employment drug tests are completed using an instant result urine analysis collection method, performed either by a member of the Trident recruiting team or in a laboratory (based on location of applicant). Post-employment drug testing is not carried out. Trident performs post-accident drug testing for all employees. Criminal background checks are carried out for all applicants. The criminal background check is completed after the drug testing. Employees are exempt from the criminal background check only if they have been separated from Trident for less than 1 year before returning to work for Trident. Employees separated less than 1 year must undergo a background check before returning if there was an incident or change in their criminal history status after employment began. Must be willing to work up to12-16 hour per day depending on fish availability. Up to 72 hours of overtime per week</t>
  </si>
  <si>
    <t>73 Trident Way</t>
  </si>
  <si>
    <t>Akutan</t>
  </si>
  <si>
    <t>ALEUTIANS EAST</t>
  </si>
  <si>
    <t>Plus health insurance and potential for bonus</t>
  </si>
  <si>
    <t>P-400-23195-190169</t>
  </si>
  <si>
    <t>Employer will make all deductions from the worker’s paycheck required by law, including applicable state or federal taxes.  No other deductions will be made except as requested, approved by worker for health insurance or other employee benefits. Housing provided to the worker is optional.</t>
  </si>
  <si>
    <t>dol.flc@alaska.gov</t>
  </si>
  <si>
    <t>www.jobs.alaska.gov</t>
  </si>
  <si>
    <t>H-400-23276-406676</t>
  </si>
  <si>
    <t>Snow Removal Labor</t>
  </si>
  <si>
    <t>Prosecutive Enterprise Inc</t>
  </si>
  <si>
    <t>PROSECUTIVE LANDSCAPING</t>
  </si>
  <si>
    <t>1042 East Fort Union Blvd # 412</t>
  </si>
  <si>
    <t>Poulsen</t>
  </si>
  <si>
    <t>Darren</t>
  </si>
  <si>
    <t>customerservice@prosecutive.com</t>
  </si>
  <si>
    <t xml:space="preserve">Must be able to be on your feet for long period of time, work out in the cold, and wet weather conditions. </t>
  </si>
  <si>
    <t>611 West 6825 South</t>
  </si>
  <si>
    <t>overtime hours paid on over 40 hours worked in week</t>
  </si>
  <si>
    <t>P-400-23193-182974</t>
  </si>
  <si>
    <t>All federal , state , social security taxes required by law</t>
  </si>
  <si>
    <t>poulsen</t>
  </si>
  <si>
    <t>Prosecutive Enterprise inc</t>
  </si>
  <si>
    <t>CUSTOMERSERVICE@PROSECUTIVE.COM</t>
  </si>
  <si>
    <t>Raises and/or bonuses may be offered at employer's discretion, based on individual factors such as performance, skill, a</t>
  </si>
  <si>
    <t xml:space="preserve">Applicant must complete pre-employment background check.  
</t>
  </si>
  <si>
    <t>H-400-23307-477138</t>
  </si>
  <si>
    <t>GoreCon, Inc.</t>
  </si>
  <si>
    <t>3240 Bristol Road</t>
  </si>
  <si>
    <t>Brina</t>
  </si>
  <si>
    <t>brinasweet@goreconinc.com</t>
  </si>
  <si>
    <t xml:space="preserve">Pre-hire background check required; Random drug testing during employment; Drug testing during employment for cause; Post-Accident Drug Testing, Able to lift 50lbs, Monday-Friday, some Saturday's required, schedule varies, start/end times vary,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</si>
  <si>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3240 Bristol Rd</t>
  </si>
  <si>
    <t>Performance reviews raises, end of season bonus at employer's discretion. Oppty for higher pay depending on experience.</t>
  </si>
  <si>
    <t>P-400-23226-262901</t>
  </si>
  <si>
    <t>Employer may make payroll deductions at employee's request; Employer facilitates voluntary housing arrangements, workers responsible for making the monthly payments on their own.</t>
  </si>
  <si>
    <t>H-400-23325-515559</t>
  </si>
  <si>
    <t>Babysitting</t>
  </si>
  <si>
    <t>SANC</t>
  </si>
  <si>
    <t>172 Union Avenue</t>
  </si>
  <si>
    <t>Tommy</t>
  </si>
  <si>
    <t>tsanchez55@hotmail.com</t>
  </si>
  <si>
    <t xml:space="preserve">Spanish
Skilled at developing and leading children in fun learning activities.
</t>
  </si>
  <si>
    <t>P-400-23289-435267</t>
  </si>
  <si>
    <t>Tsanchez55@hotmail.com</t>
  </si>
  <si>
    <t>Allan</t>
  </si>
  <si>
    <t>Tracie</t>
  </si>
  <si>
    <t xml:space="preserve">Steven </t>
  </si>
  <si>
    <t>H-400-23287-432039</t>
  </si>
  <si>
    <t>Lujan Concessions, LLC</t>
  </si>
  <si>
    <t>824 Co. Rd. 1400</t>
  </si>
  <si>
    <t>[MAIL: PO Box 65 Lindsey, OK 73052]</t>
  </si>
  <si>
    <t>Chickasha</t>
  </si>
  <si>
    <t>robertrlujan@yahoo.com</t>
  </si>
  <si>
    <t xml:space="preserve">824 County Rd. 1400 </t>
  </si>
  <si>
    <t>P-400-23214-234130</t>
  </si>
  <si>
    <t xml:space="preserve">Employer will make all deductions from the worker’s paycheck required by law.  Optional housing (valued at $150.00 per week) and local convenience travel (valued at $25.00 per week) are available at no cost to the worker. </t>
  </si>
  <si>
    <t>MARIPOSA</t>
  </si>
  <si>
    <t>Framers</t>
  </si>
  <si>
    <t>nhworksjobmatch.nhes.nh.gov/</t>
  </si>
  <si>
    <t>Khoury</t>
  </si>
  <si>
    <t>Ibrahim</t>
  </si>
  <si>
    <t>KERN</t>
  </si>
  <si>
    <t>Bakersfield, CA</t>
  </si>
  <si>
    <t>Character Limit: overtime is not guaranteed but if worked rate is paid at time and a half  per hour above 40 ho</t>
  </si>
  <si>
    <t>H-400-23325-516211</t>
  </si>
  <si>
    <t>B. Rushing Lawn and Landscaping, Inc.</t>
  </si>
  <si>
    <t>Brandon Rushing Lawn &amp; Garden Care</t>
  </si>
  <si>
    <t>7805 Cinder Bed Road</t>
  </si>
  <si>
    <t>Rushing</t>
  </si>
  <si>
    <t>melissa@brandonrushing.com</t>
  </si>
  <si>
    <t xml:space="preserve">Mon-Thurs. Fridays &amp; Saturdays as needed. Overtime varies. Able to lift 50lbs. 
</t>
  </si>
  <si>
    <t>Raise at employer's discretion. Opportunity for additional pay based on experience.</t>
  </si>
  <si>
    <t>P-400-23172-132355</t>
  </si>
  <si>
    <t>https://www.brandonrushing.com/careers</t>
  </si>
  <si>
    <t>H-400-23262-359972</t>
  </si>
  <si>
    <t>Forest&amp;Conservation Worker</t>
  </si>
  <si>
    <t>Timberland Forestry Service</t>
  </si>
  <si>
    <t>Mitchell Presson DBA Timberland Forestry Service</t>
  </si>
  <si>
    <t>8001 Harper Rd.</t>
  </si>
  <si>
    <t>Presson</t>
  </si>
  <si>
    <t>8001 Harper rd.</t>
  </si>
  <si>
    <t>tfsmp@comcast.net</t>
  </si>
  <si>
    <t xml:space="preserve">Worker must be in good physical condition. Workers must be able to walk all day and carry 40-50 pounds of pine seedlings in a backpack and walk in all types of terrain. Workers must work in all types of weather rain, snow etc. This work is done in rural areas and in cut over areas. In some cases there are brias and extreme wet areas. In some cases extreme hard clay/ground. Workers  must be able to plant 2000 trees in a 8 hour period. This is hard manuel work. This work requires travel.
</t>
  </si>
  <si>
    <t>101 -A mercer Drive</t>
  </si>
  <si>
    <t>Dublin</t>
  </si>
  <si>
    <t>LAURENS</t>
  </si>
  <si>
    <t>pay is by picece rate 30.00 to 33.00 per thousand. worker will make no less than 12.79to 17.31 per hour.</t>
  </si>
  <si>
    <t>P-400-23198-193897</t>
  </si>
  <si>
    <t>No deductions will be taken except those required by law.(housing) Timberland will furnish and pay for housing at no cost to the worker. The offered housing is optional to the worker</t>
  </si>
  <si>
    <t>ADO HOME IMPROVEMENT</t>
  </si>
  <si>
    <t xml:space="preserve">DGT LAWN SPRINKLERS </t>
  </si>
  <si>
    <t xml:space="preserve">200 3RD AVENUE </t>
  </si>
  <si>
    <t xml:space="preserve">WEST BABYLON </t>
  </si>
  <si>
    <t xml:space="preserve">SANCHEZ BRAVO </t>
  </si>
  <si>
    <t>200 3RD AVENUE</t>
  </si>
  <si>
    <t>WEST BABYLON</t>
  </si>
  <si>
    <t>1 MONTH EXPERIENCE AS IRRIGATION HELPER.</t>
  </si>
  <si>
    <t>P-400-23207-216766</t>
  </si>
  <si>
    <t>VSANCH90@GMAIL.COM</t>
  </si>
  <si>
    <t>DIRECTOR OF OPERATIONS</t>
  </si>
  <si>
    <t>Receptionists and Information Clerks</t>
  </si>
  <si>
    <t>Ricardo</t>
  </si>
  <si>
    <t>OPTIONAL EMPLOYER OWNED HOUSING $140.00 PER WEEK/ $280.00 PER PAY PERIOD.</t>
  </si>
  <si>
    <t>Balance of Lower Peninsula of Michigan nonmetropolitan area</t>
  </si>
  <si>
    <t>Herrera</t>
  </si>
  <si>
    <t>Erin</t>
  </si>
  <si>
    <t>200 W Adams St</t>
  </si>
  <si>
    <t>Suite 2211</t>
  </si>
  <si>
    <t xml:space="preserve">Chicago </t>
  </si>
  <si>
    <t>gov@krilaw.com</t>
  </si>
  <si>
    <t>Kriezelman Burton &amp; Associates, LLC</t>
  </si>
  <si>
    <t>Employer will make all deductions from workers' paycheck as required by law.</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</si>
  <si>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
</t>
  </si>
  <si>
    <t>H-400-23331-524445</t>
  </si>
  <si>
    <t>Greenview Landscaping, LLC</t>
  </si>
  <si>
    <t>Nature's Re-Creations</t>
  </si>
  <si>
    <t>1917 Meyer Drury Dr.</t>
  </si>
  <si>
    <t>Siewing</t>
  </si>
  <si>
    <t>Lift 75 lbs.
48+ hrs, 7a-3:30p, M-Sat, 30 min lunch break, hours and workdays may vary depending on weather.</t>
  </si>
  <si>
    <t>1917 Meyer Drury Dr</t>
  </si>
  <si>
    <t>P-400-23219-244019</t>
  </si>
  <si>
    <t>BLOOMFIELD HILLS</t>
  </si>
  <si>
    <t>Ross</t>
  </si>
  <si>
    <t>Aguado</t>
  </si>
  <si>
    <t>Kaysville</t>
  </si>
  <si>
    <t>CAREGIVER</t>
  </si>
  <si>
    <t>LARA</t>
  </si>
  <si>
    <t>RODNEY</t>
  </si>
  <si>
    <t>H-400-23306-473844</t>
  </si>
  <si>
    <t xml:space="preserve"> Polaris silver certified tech supervisor</t>
  </si>
  <si>
    <t>Outdoor Power Equipment and Other Small Engine Mechanics</t>
  </si>
  <si>
    <t>Bear Bogging Adventure Tours LLC</t>
  </si>
  <si>
    <t>612 Sandy Beach CT</t>
  </si>
  <si>
    <t>WARRENS</t>
  </si>
  <si>
    <t>Waller</t>
  </si>
  <si>
    <t>james@bearbogging.com</t>
  </si>
  <si>
    <t xml:space="preserve">Polaris Silver certified tech
</t>
  </si>
  <si>
    <t>121 Cranfest DR</t>
  </si>
  <si>
    <t>Warrens</t>
  </si>
  <si>
    <t>Western Wisconsin nonmetropolitan area</t>
  </si>
  <si>
    <t>This in not guaranteed, and it will be considered based on the volume of rentals</t>
  </si>
  <si>
    <t>P-400-23261-355382</t>
  </si>
  <si>
    <t>https://www.bearbogging.com/</t>
  </si>
  <si>
    <t>Roanoke</t>
  </si>
  <si>
    <t>Treasurer</t>
  </si>
  <si>
    <t>H-400-23321-509266</t>
  </si>
  <si>
    <t>Town Scapes, LLC</t>
  </si>
  <si>
    <t>117 Sykes Avenue</t>
  </si>
  <si>
    <t>DOUG</t>
  </si>
  <si>
    <t>117 SYKES AVENUE</t>
  </si>
  <si>
    <t>VIRGINIA BEACH</t>
  </si>
  <si>
    <t>DOUG@TOWNSCAPES.NET</t>
  </si>
  <si>
    <t>Must be able to lift/carry 50lbs and work in both bending and standing positions for extended periods and in all types of weather.  In many cases our company may contract with schools, care centers and/or other restricted access sites. State, local or other legal requirements may impose specific background or identification checks on all individuals working in those locations, both foreign and domestic alike. Final hiring decisions for any applicants found to have felonious convictions for violent (e.g. assault, rape, armed robbery etc) and/or drug-related offenses or status with regard to sex offender registration lists will be evaluated individually and in accordance with EEOC guidelines and other applicable laws.</t>
  </si>
  <si>
    <t>117 Sykes Ave</t>
  </si>
  <si>
    <t>P-400-23205-210314</t>
  </si>
  <si>
    <t>doug@townscapes.net</t>
  </si>
  <si>
    <t>Ludlow</t>
  </si>
  <si>
    <t>H-400-23321-509103</t>
  </si>
  <si>
    <t>FAZ001</t>
  </si>
  <si>
    <t>P-400-23226-262624</t>
  </si>
  <si>
    <t>Employer will make all deductions from the worker's paycheck required by law.   (Note for the CO: Section F.d item 4 is marked yes as the employer will assist workers, they are not providing housing)</t>
  </si>
  <si>
    <t>Character limit: overtime is not guaranteed but if worked rate is paid at time and a half per hour above 40 hours per we</t>
  </si>
  <si>
    <t>BRYAN</t>
  </si>
  <si>
    <t>H-400-23234-285206</t>
  </si>
  <si>
    <t>P-400-23113-957863</t>
  </si>
  <si>
    <t xml:space="preserve">Optional subsidized employee housing is available but limited.  Biweekly cost is $260.00 to $285.00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</si>
  <si>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H-400-23276-406125</t>
  </si>
  <si>
    <t>P-400-23226-260558</t>
  </si>
  <si>
    <t>H-400-23307-476452</t>
  </si>
  <si>
    <t>Lift Operator</t>
  </si>
  <si>
    <t>Killington/Pico Ski Resort Partners, LLC</t>
  </si>
  <si>
    <t>Killington/Pico Ski Resort</t>
  </si>
  <si>
    <t>4763 Killington Road</t>
  </si>
  <si>
    <t>Killington</t>
  </si>
  <si>
    <t>Human Resources Recruitment Manager</t>
  </si>
  <si>
    <t>rreed@killington.com</t>
  </si>
  <si>
    <t xml:space="preserve">The Petitioner will consider for employment any person who possesses at least three (3) months of guest service experience in a resort, private club, or tourism environment.  Applicant may be required to complete pre-employment COVID-19 test, complete a quarantine period, and/or demonstrate proof of COVID-19 vaccination if required under state, federal, or company guidelines at the time of hire.
</t>
  </si>
  <si>
    <t>Wage: $17.20 - $35.00 per hour, paid bi-weekly.  Please see job description for additional information.</t>
  </si>
  <si>
    <t>P-400-23166-113424</t>
  </si>
  <si>
    <t>Optional housing is offered on a first-come, first-serve basis for workers who are relocating to begin employment.  Employees may have up to two housing options, depending on availability.  Option #1: limited, employer-owned housing may be available.  Cost of employer-owned housing, if accepted, is $115.00 per week, to be paid directly to the Employer.  A $300.00 security deposit is required, to be paid directly to the employer at time of move-in.  The security deposit is refundable provided that the tenant remains in the housing through the agreed upon departure date, is up to date with rent payments, completes the checkout process and leaves the premises in good condition. Option #2: employer will assist employee in locating and arranging local third-party housing, in which case, employee will pay housing costs directly to third-party landlord based on the terms of the lease.</t>
  </si>
  <si>
    <t>Cripple Creek</t>
  </si>
  <si>
    <t>TELLER</t>
  </si>
  <si>
    <t>AUGUSTA CITY</t>
  </si>
  <si>
    <t>H-400-23230-275477</t>
  </si>
  <si>
    <t>Grout Scouts, Inc.</t>
  </si>
  <si>
    <t>2336 259th Ave</t>
  </si>
  <si>
    <t>Ft. Madison</t>
  </si>
  <si>
    <t>Lovett</t>
  </si>
  <si>
    <t>2336 259th Ave.</t>
  </si>
  <si>
    <t>rlovett@groutscouts.com</t>
  </si>
  <si>
    <t>PO Box 1430</t>
  </si>
  <si>
    <t>Ankeny</t>
  </si>
  <si>
    <t>attorney@floydnielsenlaw.com</t>
  </si>
  <si>
    <t>Floyd Nielsen Law Firm PLC</t>
  </si>
  <si>
    <t xml:space="preserve">Must be able to lift and carry 50 lbs. Must be able to pass a pre-employment drug test, administered to both U.S. and H-2B workers. Saturday and Sunday work required, when necessary. Work hours may include nights and overtime during emergencies and winter storm conditions. Must be able to perform manual physical labor outside during all weather conditions.
</t>
  </si>
  <si>
    <t>2336 259th Avenue</t>
  </si>
  <si>
    <t>P-400-23132-016010</t>
  </si>
  <si>
    <t>The employer will make all deductions from the worker's paycheck as required by law. Any advances will be deducted with the consent of the employee. The employer will offer optional housing to employees living outside the regular commuting distance. If the worker elects to use the housing, the employer will deduct $170.00 from each bi-weekly paycheck for rent and utilities.</t>
  </si>
  <si>
    <t>H-400-23310-480915</t>
  </si>
  <si>
    <t>FTS Attractions, LLC</t>
  </si>
  <si>
    <t>10500 US Highway 160 E</t>
  </si>
  <si>
    <t>[MAIL: P.O. Box 86 Doniphan, MO 63935]</t>
  </si>
  <si>
    <t>Fairdealing</t>
  </si>
  <si>
    <t>Payne</t>
  </si>
  <si>
    <t>funtimeshows70@hotmail.com</t>
  </si>
  <si>
    <t>RIPLEY</t>
  </si>
  <si>
    <t>Southeast Missouri nonmetropolitan area</t>
  </si>
  <si>
    <t>P-400-23248-321796</t>
  </si>
  <si>
    <t>fts.carnival2007@gmail.com</t>
  </si>
  <si>
    <t>Cozi Vacation Rentals</t>
  </si>
  <si>
    <t>1303 E Main St</t>
  </si>
  <si>
    <t>Fredericksburg</t>
  </si>
  <si>
    <t>Prado</t>
  </si>
  <si>
    <t>Bianca</t>
  </si>
  <si>
    <t>Financial Controller</t>
  </si>
  <si>
    <t>1303 E Main Street</t>
  </si>
  <si>
    <t>recruiting@cozivr.com</t>
  </si>
  <si>
    <t>GILLESPIE</t>
  </si>
  <si>
    <t>Optional housing will have a reasonable deduction for cost or fair value of board, lodging, and facilities furnished (at no more than low-income housing).</t>
  </si>
  <si>
    <t>H-400-23333-529948</t>
  </si>
  <si>
    <t xml:space="preserve">No minimum education or experience required.
Must be able to lift 50 lbs.
Must pass a post-employment criminal background check, paid by employer and applied equally to all workers, U.S. and foreign/H-2B.
Workers subject to post-accident/reasonable cause drug testing, paid by employer and applied equally to all workers, U.S. and foreign/H-2B.
Must be able to work a 5-day workweek.
Must be able to work weekends and holidays as required.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provide daily transportation from main worksite in Broward County to and from multiple worksite locations in Broward County, FL.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The employer guarantees to offer work for hours equal to at least three-fourths of the workdays in each 12-week period of the total employment period.
</t>
  </si>
  <si>
    <t>515 SW 21st Terrace</t>
  </si>
  <si>
    <t>FT Lauderdale</t>
  </si>
  <si>
    <t>P-400-23230-277947</t>
  </si>
  <si>
    <t>H-400-23295-448655</t>
  </si>
  <si>
    <t>Big Rock Amusements LLC</t>
  </si>
  <si>
    <t>3063 Kennedy Drive</t>
  </si>
  <si>
    <t>Venice</t>
  </si>
  <si>
    <t>McDonagh</t>
  </si>
  <si>
    <t>mattmcdonagh@me.com</t>
  </si>
  <si>
    <t>3063 Kennedy Dr.</t>
  </si>
  <si>
    <t>P-400-23199-196895</t>
  </si>
  <si>
    <t xml:space="preserve">Employer will make all deductions from the worker’s paycheck required by law.  In addition, the employer intends to make the following deductions from the worker’s paycheck which are not required by law:   NONE Optional mobile housing (valued at $175.00 per week) and local convenience travel (valued at $15.00 per week) are available at no cost to the worker.  </t>
  </si>
  <si>
    <t>H-400-23215-237251</t>
  </si>
  <si>
    <t>Food Runner/Busser</t>
  </si>
  <si>
    <t>The Club at Barefoot Beach, Inc.</t>
  </si>
  <si>
    <t>105 Shell Drive</t>
  </si>
  <si>
    <t>Hunt</t>
  </si>
  <si>
    <t>ghunt@theclubatbarefootbeach.com</t>
  </si>
  <si>
    <t xml:space="preserve">The Petitioner will consider for employment any person who possesses at least three (3) months of experience in a high-volume environment at a high-end restaurant, resort, or private club.
</t>
  </si>
  <si>
    <t xml:space="preserve">Tipped position with guaranteed wage of $14.33 per hour, paid bi-weekly. See job description for additional details.    </t>
  </si>
  <si>
    <t>P-400-23177-144917</t>
  </si>
  <si>
    <t xml:space="preserve">Optional housing is offered on a first-come, first-serve basis for workers who are relocating to begin employment.  Cost of housing, if accepted, is $300.00 per bi-weekly pay period, including utilities.  If used, total cost of housing will be deducted from paycheck.
Additional, optional benefits may be offered to worker, for worker’s sole benefit, including but not limited to a free employee meal.  
All deductions from paycheck required by law will be made.  </t>
  </si>
  <si>
    <t>youssef@theclubatbarefootbeach.com</t>
  </si>
  <si>
    <t>H-400-23228-267407</t>
  </si>
  <si>
    <t>Shifts: Work schedule can vary and can include evening, weekend, and holiday hours.  Work may be performed on any day of the week from Monday through Sunday.  Example shifts: 6:00am to 2:00pm, or 2:00pm to 10:00pm. Shift hours may vary.</t>
  </si>
  <si>
    <t xml:space="preserve">Employees may be eligible for additional compensation in the form of performance-based pay. Additional, optional benefits may be offered to worker, for worker's sole benefit, including but not limited to medical, dental and vision insurance, short-term disability, long-term disability, 401k, and life insurance. If voluntarily elected by worker, employee costs/contributions for benefits will be deducted from paycheck. </t>
  </si>
  <si>
    <t>P-400-23184-165235</t>
  </si>
  <si>
    <t>Optional housing is offered on a first-come, first-serve basis for workers who are relocating to begin employment. Cost of housing, if accepted, is $300.00 per month. If used, total cost of housing will be deducted from paycheck. A $150.00 refundable security deposit is required, to be deducted from paycheck in equal $50.00 installments from employee’s first three (3) paychecks.  All deductions from worker’s paycheck required by law will be made.</t>
  </si>
  <si>
    <t>H-400-23283-422743</t>
  </si>
  <si>
    <t>Crawfish Plant Laborer</t>
  </si>
  <si>
    <t>Boyd's Seafood, Inc.</t>
  </si>
  <si>
    <t>227 Dike Road</t>
  </si>
  <si>
    <t>Post Office Box 76</t>
  </si>
  <si>
    <t>Texas City</t>
  </si>
  <si>
    <t>LeBeouf</t>
  </si>
  <si>
    <t xml:space="preserve">Dustin </t>
  </si>
  <si>
    <t xml:space="preserve">Jude </t>
  </si>
  <si>
    <t>dlebeouf23@yahoo.com</t>
  </si>
  <si>
    <t xml:space="preserve">Must be able to lift 40 pounds; may be subject to random drug screen upon hire paid by employer and/or a drug screen paid for by employer if reasonable suspicions arise during employment.
8:00 am  5:00pm or alternatively 11:00am  8:00pm (both including 1 unpaid lunch hour). </t>
  </si>
  <si>
    <t>271 Main Street</t>
  </si>
  <si>
    <t>Elton</t>
  </si>
  <si>
    <t xml:space="preserve">Employees may make above hourly wage rate or receive bonuses based on work performance and/or experience. </t>
  </si>
  <si>
    <t>P-400-23158-088948</t>
  </si>
  <si>
    <t>Employer will make all deduction(s) from pay required by law. Employer will also deduction $125/week for employer provided housing, if applicable. The employer’s housing is offered and optional.</t>
  </si>
  <si>
    <t>boyds1stop@comcast.net</t>
  </si>
  <si>
    <t>Smyrna</t>
  </si>
  <si>
    <t>Leo O'Laughlin Inc.</t>
  </si>
  <si>
    <t>499 North 4th Street</t>
  </si>
  <si>
    <t>Shelbina</t>
  </si>
  <si>
    <t>bterry@olaughlininc.com</t>
  </si>
  <si>
    <t>Cooks, Private Household</t>
  </si>
  <si>
    <t>Sarah Wester</t>
  </si>
  <si>
    <t>5045 Cathedral Ave</t>
  </si>
  <si>
    <t>Wester</t>
  </si>
  <si>
    <t>5045 Cathedral Ave NW</t>
  </si>
  <si>
    <t>sarahbwester@gmail.com</t>
  </si>
  <si>
    <t>Suite 235 - 136</t>
  </si>
  <si>
    <t>DISTRICT OF COLUMBIA</t>
  </si>
  <si>
    <t>H-400-23234-285059</t>
  </si>
  <si>
    <t>Kitchen Worker</t>
  </si>
  <si>
    <t>Trapp Family Lodge, Inc.</t>
  </si>
  <si>
    <t>700 Trapp Hill Road</t>
  </si>
  <si>
    <t>Mailing Address: PO Box 1428, Stowe, VT 05672</t>
  </si>
  <si>
    <t>Frame</t>
  </si>
  <si>
    <t>Executive Vice President</t>
  </si>
  <si>
    <t>wf@trappfamily.com</t>
  </si>
  <si>
    <t xml:space="preserve">The Petitioner will consider for employment any applicant who possesses at least three (3) months of experience in a fine-dining or high-volume environment at a high-end restaurant, resort, or private club. Applicant must complete a pre-employment background check.
</t>
  </si>
  <si>
    <t xml:space="preserve">Wage: $17.00 per hour, paid weekly. See job description for additional information. </t>
  </si>
  <si>
    <t>P-400-23182-161670</t>
  </si>
  <si>
    <t>Housing is optional. Cost of housing if accepted, is $125.00 per week, plus a $150.00 one-time, non-refundable cleaning deposit. If used, total cost of housing will be deducted from paycheck. One-time cleaning deposit will be paid directly to the employer. Housing is limited and available to employees who are relocating. Additional, optional benefits are offered to workers, for workers’ sole benefit, including but not limited to a 401k plan eligible for workers over age 21 and after 90 days of employment. If voluntarily elected by workers, employee costs/contributions for benefits will be deducted from the paycheck.</t>
  </si>
  <si>
    <t>cball@trappfamily.com</t>
  </si>
  <si>
    <t>H-400-23184-162416</t>
  </si>
  <si>
    <t>General Labor</t>
  </si>
  <si>
    <t>Rush Services Oklahoma, LLC</t>
  </si>
  <si>
    <t>4816 E. Tyler Drive</t>
  </si>
  <si>
    <t>Tuttle</t>
  </si>
  <si>
    <t>Guadalupe</t>
  </si>
  <si>
    <t xml:space="preserve">4816 E Tyler Dr. </t>
  </si>
  <si>
    <t>perez-lupe@rushservicesoklahoma.com</t>
  </si>
  <si>
    <t>Marino Rosales</t>
  </si>
  <si>
    <t>600 Vine Street</t>
  </si>
  <si>
    <t>Suite 1800</t>
  </si>
  <si>
    <t>andres@hammondlawgroup.com</t>
  </si>
  <si>
    <t>Hammond Neal Moore</t>
  </si>
  <si>
    <t xml:space="preserve">Perform physically strenuous activities such as lift, push, pull and carry objects up to 50 lbs. in variable weather conditions (heat and cold) outdoors and indoors. Workers will be trained on site. </t>
  </si>
  <si>
    <t>4816 E Tyler Dr</t>
  </si>
  <si>
    <t>P-400-23136-027682</t>
  </si>
  <si>
    <t>Reasonable cost of board, lodging, and facilities furnished</t>
  </si>
  <si>
    <t>H-400-23186-168185</t>
  </si>
  <si>
    <t>Road Stripe Painting Assistant</t>
  </si>
  <si>
    <t>P &amp; P Striping</t>
  </si>
  <si>
    <t>1741 S Hwy 17</t>
  </si>
  <si>
    <t>PO Box 66</t>
  </si>
  <si>
    <t>Pomona Park</t>
  </si>
  <si>
    <t>Palencia</t>
  </si>
  <si>
    <t>Jeovanny</t>
  </si>
  <si>
    <t>jeopnp@gmail.com</t>
  </si>
  <si>
    <t>Work days and times can vary.</t>
  </si>
  <si>
    <t>North Florida nonmetropolitan area</t>
  </si>
  <si>
    <t>P-400-23144-049280</t>
  </si>
  <si>
    <t>All legally required local, state, and Federal deductions.</t>
  </si>
  <si>
    <t>H-400-23186-168854</t>
  </si>
  <si>
    <t>Aviation Technician</t>
  </si>
  <si>
    <t>Aircraft Mechanics and Service Technicians</t>
  </si>
  <si>
    <t>Aviodirect America LLC</t>
  </si>
  <si>
    <t>Aviodirect</t>
  </si>
  <si>
    <t>55 Eiland Rd</t>
  </si>
  <si>
    <t>Smiths Station</t>
  </si>
  <si>
    <t>Nandwani (Green)</t>
  </si>
  <si>
    <t>Sharmila</t>
  </si>
  <si>
    <t>sharmila@aviodirect.com</t>
  </si>
  <si>
    <t>2121 Lohmans Crossing Rd Suite 504</t>
  </si>
  <si>
    <t>#222</t>
  </si>
  <si>
    <t>Lakeway</t>
  </si>
  <si>
    <t>Kristen@kwimmigrationlaw.com</t>
  </si>
  <si>
    <t>KW Immigration Law PC</t>
  </si>
  <si>
    <t xml:space="preserve">Must have valid Federal Aviation Administration (FAA) Airframe and Powerplant (A&amp;P) license. 
</t>
  </si>
  <si>
    <t>2401 Ronald Reagan Washington National Airport Access Rd</t>
  </si>
  <si>
    <t>ARLINGTON</t>
  </si>
  <si>
    <t>P-400-23133-019692</t>
  </si>
  <si>
    <t xml:space="preserve">Employer will make all deductions from the workers' paychecks as required by law. </t>
  </si>
  <si>
    <t>https://aviodirect.com/</t>
  </si>
  <si>
    <t>Job Contractor - Joint Employer</t>
  </si>
  <si>
    <t>kristen@kwimmigrationlaw.com</t>
  </si>
  <si>
    <t>H-400-23222-256128</t>
  </si>
  <si>
    <t xml:space="preserve">Copperline Farm LLC </t>
  </si>
  <si>
    <t xml:space="preserve">5181 Lasso Way </t>
  </si>
  <si>
    <t>Ketchum</t>
  </si>
  <si>
    <t>5181 Lasso Way</t>
  </si>
  <si>
    <t>tory.grauer@icloud.com</t>
  </si>
  <si>
    <t xml:space="preserve">ABILITY TO LIFT 150 LBS WITH ASSISTANCE. Hours may vary based on show schedule and weather conditions.  </t>
  </si>
  <si>
    <t>P-400-23179-151511</t>
  </si>
  <si>
    <t>All deductions from the worker's paycheck required by law.  Employer will assist workers with securing housing, but
employer will not provide housing</t>
  </si>
  <si>
    <t>H-400-23215-234813</t>
  </si>
  <si>
    <t>Must be able to stand/walk up to 6-8 hours per day and lift, push, and pull a minimum of 25 lbs.  Able to communicate and understand English. Pre-hire background check required.  References might be requested.
On the job training will be provided.
Following Shifts available 7 days a week including weekends and holidays. 5am-1pm, 10am-6pm, 4pm-12pm, 4pm-3am
Wage Per Hour: Tipped position with guaranteed wage of $15.78
Overtime Possible Per Hour at $23.67</t>
  </si>
  <si>
    <t>Tipped position with guaranteed wage of $15.78.</t>
  </si>
  <si>
    <t>P-400-23122-985163</t>
  </si>
  <si>
    <t>All deductions required by law will be made.
Leased housing is not provided by the company but is available from private landlords upon request.
No deductions for housing will be made from paychecks. Assistance Provided to find Third Party Housing.
Daily transportation offered from work and back only from Company leased housing.
Optional Deductions from Paycheck: 401k or any elected benefits employee signs up for.
Benefits: Shift meals, ski/ride passes, discounted rooms, golf access, other discounts at our entities.</t>
  </si>
  <si>
    <t>H-400-23185-165578</t>
  </si>
  <si>
    <t xml:space="preserve">Washington </t>
  </si>
  <si>
    <t xml:space="preserve">Must be able to lift/carry objects over 50lbs.  Position requires occasional physical activity such as reaching below and above shoulder level, kneeling, bending, squatting and stooping to inspect repairs. Must be ok with exposure to fumes, chemicals, dust, and high levels of noise. Must have visual acuity to determine accuracy and thoroughness of work assigned.
</t>
  </si>
  <si>
    <t>26100 Dimension Dr</t>
  </si>
  <si>
    <t>Lake Forest</t>
  </si>
  <si>
    <t>P-400-23110-951308</t>
  </si>
  <si>
    <t>H-400-23268-378467</t>
  </si>
  <si>
    <t>3230 Mountain Edge Road</t>
  </si>
  <si>
    <t>Piece rate is paid per room cleaned and varies from $3 for a small unit or suite to $124.6 for a large unit or suite.</t>
  </si>
  <si>
    <t>P-400-23178-147278</t>
  </si>
  <si>
    <t xml:space="preserve">If hired, Employer is willing to facilitate housing accommodations through a third party or through Employer owned housing. Housing is limited to the period of time of temporary employment which is no more than nine (9) months and is on a first come first serve basis. Cost of housing if accepted, is no more than $150 per week payable to third party housing provider via voluntary payroll deduction as allowed by law. If housing is utilized, an agreement for housing will be required with the third-party provider. A security deposit of up to $200.00 is required, of which $50.00 is nonrefundable. Employee shall pay the deposit at $10.00 per week via voluntary payroll deduction (as allowed by law) until the deposit is paid in full, and in no event shall the total deposit payment exceed $200.00. If housing is left in good condition, $150.00 will be refunded to employee in the same method as paid. </t>
  </si>
  <si>
    <t>H-400-23184-165523</t>
  </si>
  <si>
    <t xml:space="preserve"> 1001 Pennsylvania Ave NW</t>
  </si>
  <si>
    <t>404 S Gateway Dr</t>
  </si>
  <si>
    <t>Madera</t>
  </si>
  <si>
    <t>P-400-23110-951125</t>
  </si>
  <si>
    <t xml:space="preserve">Section F.d., Item 6: Employer will make all deductions as required by state and federal law. Employer provided shared housing is offered and housing is optional. Housing costs will be subsidized for workers in part or fully reimbursed by a company check, separate from payroll check, if worker completes half the employment period. If partially subsidized, the cost to the worker will not exceed $125/week. 
</t>
  </si>
  <si>
    <t>H-400-23271-391627</t>
  </si>
  <si>
    <t>Mayflowers Trees, LLC.</t>
  </si>
  <si>
    <t>10269 Fincher Rd</t>
  </si>
  <si>
    <t>Domaschk</t>
  </si>
  <si>
    <t>kim@tls92.com</t>
  </si>
  <si>
    <t xml:space="preserve">Employer paid post hire drug test required. 
Employer paid post hire background check. 
</t>
  </si>
  <si>
    <t>P-400-23178-147287</t>
  </si>
  <si>
    <t>H-400-23184-163622</t>
  </si>
  <si>
    <t>Tent Installer</t>
  </si>
  <si>
    <t>OKC Tents and Moore</t>
  </si>
  <si>
    <t>820 SE 29th Street</t>
  </si>
  <si>
    <t>1601 N Mistletoe Lane</t>
  </si>
  <si>
    <t>monica90706@yahoo.com</t>
  </si>
  <si>
    <t>P-400-23136-025867</t>
  </si>
  <si>
    <t>H-400-23276-406481</t>
  </si>
  <si>
    <t>Mid-America Shows Delaware, LLC</t>
  </si>
  <si>
    <t>109 South Main Street</t>
  </si>
  <si>
    <t>Farmland</t>
  </si>
  <si>
    <t>Schepman</t>
  </si>
  <si>
    <t>109 South Main Streeet</t>
  </si>
  <si>
    <t>sschepman@namidway.com</t>
  </si>
  <si>
    <t>401 W. Henry Street</t>
  </si>
  <si>
    <t>RANDOLPH</t>
  </si>
  <si>
    <t>P-400-23182-161876</t>
  </si>
  <si>
    <t>H-400-23229-273407</t>
  </si>
  <si>
    <t>Hosts/Hostesses</t>
  </si>
  <si>
    <t xml:space="preserve">Must have or be willing to obtain a valid Food Handler permit. See Job Duties F.a.4.
Must be able to stand for extended periods of time, and able to lift and carry 50 lbs. See Job Duties F.a.4.
</t>
  </si>
  <si>
    <t>P-400-23157-082483</t>
  </si>
  <si>
    <t>No involuntary deductions will be made from worker’s pay. Optional employee shared housing is available at approximately $150-$250 per person per week, depending on location. Housing cost includes utilities/services. Optional housing requires a $600 deposit, of which $525 is refundable at the end of contract and $75 is non-refundable for cleaning fee after departure. Cost of housing and deposit payroll deducted if worker elects. The employer will make deductions from worker’s paycheck required by law. The employer may also make the following deductions: recovery of any loss to the employer due to the worker's damage (beyond normal wear and tear) or loss of equipment or uniform where it is shown that the worker is responsible, and any other reasonable deductions expressly authorized by the worker in writing. No deduction not required by law will be made that brings the worker’s hourly earnings below the FLSA Federal statutory minimum wage.</t>
  </si>
  <si>
    <t>H-400-23202-206634</t>
  </si>
  <si>
    <t>Personal Caregiver</t>
  </si>
  <si>
    <t>Purple Spring Home Caregivers Inc</t>
  </si>
  <si>
    <t>9944 S Roberts Rd, Ste 111</t>
  </si>
  <si>
    <t>Palos Hills</t>
  </si>
  <si>
    <t>Navarroza</t>
  </si>
  <si>
    <t>Mercader</t>
  </si>
  <si>
    <t>20687 Monza Loop</t>
  </si>
  <si>
    <t>Land O Lakes</t>
  </si>
  <si>
    <t>fmnavarroza@gmail.com</t>
  </si>
  <si>
    <t>Not applicable "N.A"</t>
  </si>
  <si>
    <t>9944 S Roberts Rd</t>
  </si>
  <si>
    <t>Ste 111</t>
  </si>
  <si>
    <t>Palos Heights</t>
  </si>
  <si>
    <t>P-400-23093-898101</t>
  </si>
  <si>
    <t>H-400-23216-239510</t>
  </si>
  <si>
    <t>Janitors/Cleaners</t>
  </si>
  <si>
    <t xml:space="preserve">Must have the ability to:
           Use common hand &amp; power tools 
           Lift up to 50lbs
           Able to bend, twist, reach, and turn body at shoulders, waist, knees
Post-hire background check will be performed
</t>
  </si>
  <si>
    <t>P-400-23166-115417</t>
  </si>
  <si>
    <t xml:space="preserve">Assistance to obtain housing (apartments that are not owned by Oasis Resorts) which is optional to the worker. If Temporary Worker is hired &amp; elects to use Oasis Resort, lnc.'s assistance (which consists of Oasis Resorts, lnc.'s securing of the rental apartment under the company name including connecting the utilities under the company name and paying the rent and utilities and address issues that arise with the apartment complex), cost of housing at $130.0 per week will be directly deducted from paycheck &amp; worker will reimburse Oasis Resorts, Inc. for combined utilities paid that exceed $300.00/month. There is also a cleaning/damage deposit of $100 total deducted a$20/week for first 5 weeks.
</t>
  </si>
  <si>
    <t>H-400-23280-416958</t>
  </si>
  <si>
    <t>Noel's Foods, Inc.</t>
  </si>
  <si>
    <t>5837 E. Brundage Lane</t>
  </si>
  <si>
    <t>Bakersfield</t>
  </si>
  <si>
    <t>Arredondo</t>
  </si>
  <si>
    <t>Marco</t>
  </si>
  <si>
    <t>noelsfoodsmarco@att.net</t>
  </si>
  <si>
    <t xml:space="preserve">5837 E. Brundage Lane </t>
  </si>
  <si>
    <t>P-400-23205-210420</t>
  </si>
  <si>
    <t>noelsfoods@att.net</t>
  </si>
  <si>
    <t>H-400-23236-293914</t>
  </si>
  <si>
    <t>SIMONS PROPERTY MAINTENANCE, INC.</t>
  </si>
  <si>
    <t>3542 Boulden Blvd.</t>
  </si>
  <si>
    <t>Bluffdale</t>
  </si>
  <si>
    <t>Simons</t>
  </si>
  <si>
    <t>eddy@simonspropertymaintenance.com</t>
  </si>
  <si>
    <t>2309 EAST 9400 SOUTH</t>
  </si>
  <si>
    <t>SANDY</t>
  </si>
  <si>
    <t>Raises/bonuses may be offered to any worker in the specified occupation at company's sole discretion.</t>
  </si>
  <si>
    <t>P-400-23168-121890</t>
  </si>
  <si>
    <t>NONE. PLEASE NOTE, RAISES AND/OR BONUSES MAY BE OFFERED TO ANY WORKER IN THE SPECIFIED OCCUPATION, AT THE COMPANY'S SOLE DISCRETION, BASED ON INDIVIDUAL FACTORS INCLUDING WORK PERFORMANCE, SKILL AND TENURE.</t>
  </si>
  <si>
    <t>E.SPM@outlook.com</t>
  </si>
  <si>
    <t>H-400-23247-318328</t>
  </si>
  <si>
    <t xml:space="preserve">Finos Group Inc. </t>
  </si>
  <si>
    <t xml:space="preserve">Cilantro Tacos Tequila Mezcal </t>
  </si>
  <si>
    <t>1703 Federal Blvd</t>
  </si>
  <si>
    <t xml:space="preserve">Denver </t>
  </si>
  <si>
    <t xml:space="preserve">Robles </t>
  </si>
  <si>
    <t xml:space="preserve">Fidel </t>
  </si>
  <si>
    <t>Cameliarobles97@gmail..com</t>
  </si>
  <si>
    <t xml:space="preserve">Must have  3 months experience as a food dispatcher, server or similar position in a restaurant.  Must be able to lift a minimum of 25lbs. Must be able to walk and stand through the duration of shift. Must be able to lift and carry a service tray complete with dishes. Must be 18 years of age to dispense or serve alcohol.
</t>
  </si>
  <si>
    <t xml:space="preserve">$15.00 per hour plus tips.  Tipped position. Guarantee at least $18.48 per hour.  </t>
  </si>
  <si>
    <t>P-400-23165-107646</t>
  </si>
  <si>
    <t xml:space="preserve">Workers have option to live in employer provided housing. Rent for apartment housing is $500 per month with double occupancy.  (Rent will not be payroll deducted.)  Employer will provide workers with transportation from housing to work for $50 per month, payroll deducted. </t>
  </si>
  <si>
    <t>Cameliarobles97@gmail.com</t>
  </si>
  <si>
    <t>H-400-23200-198798</t>
  </si>
  <si>
    <t xml:space="preserve">Must have 3 months experience as a Server.  Drug testing required upon suspicion during employment.
</t>
  </si>
  <si>
    <t>Tipped position: $8.98 base rate per hour plus tips guaranteed wage of $14.00/hour.</t>
  </si>
  <si>
    <t>P-400-23163-098773</t>
  </si>
  <si>
    <t xml:space="preserve">EMPLOYER WILL MAKE ALL DEDUCTIONS FROM THE WORKER'S PAYCHECK AS REQUIRED BY LAW. WORKERS HAVE THE OPTION TO LIVE IN EMPLOYER PROVIDED HOUSING AT $170 WEEKLY. TRANSPORTATION TO AND FROM WORK IS AVAILABLE AT NO CHARGE. HOUSING COSTS WILL BE PAYROLL DEDUCTED IF EMPLOYEE ELECTS TO MAKE USE OF THEM. </t>
  </si>
  <si>
    <t>H-400-23184-164674</t>
  </si>
  <si>
    <t>Jungle George Amusements</t>
  </si>
  <si>
    <t>500 Saraina Road, #230</t>
  </si>
  <si>
    <t>Shelbyville</t>
  </si>
  <si>
    <t>Groh</t>
  </si>
  <si>
    <t>ShelbyVille</t>
  </si>
  <si>
    <t>ericgroh11@gmail.com</t>
  </si>
  <si>
    <t>500 Saraina Rd 230</t>
  </si>
  <si>
    <t>P-400-23145-053918</t>
  </si>
  <si>
    <t>H-400-23200-200864</t>
  </si>
  <si>
    <t>Landscaping and Groundkeeping Worker</t>
  </si>
  <si>
    <t>Benny &amp; Sons Pine Straw, LLC</t>
  </si>
  <si>
    <t xml:space="preserve">12864 181 Rd. </t>
  </si>
  <si>
    <t>Live Oak</t>
  </si>
  <si>
    <t>Acosta</t>
  </si>
  <si>
    <t>Efren</t>
  </si>
  <si>
    <t>12864 181 RD</t>
  </si>
  <si>
    <t>efren.acosta@live.com</t>
  </si>
  <si>
    <t>Restrepo Vellojin</t>
  </si>
  <si>
    <t>25 Woods Lake Rd</t>
  </si>
  <si>
    <t>Suite 405</t>
  </si>
  <si>
    <t>mariar@elmundologistics.us</t>
  </si>
  <si>
    <t>Farm Labor Services, LLC</t>
  </si>
  <si>
    <t xml:space="preserve">*The worker needs to know how to rake and bale pine straw properly, needs to be in good shape to make repetitive moves, bend down several times, extensive pushing and pulling, extensive walking is implied but not limited to. 
*Applicants must: have no physical limitations.  Must be able to do extensive, stooping, walking, pushing, and pulling.  Must be able to lift 60/80 Lbs. 
*Applicants must de ale to bale 120 bales per day.  
*Applicants must be able to be exposed to extreme temperatures or other weather conditions.  Minimum age requirement 18 years old.  
*The employer will provide 2 days of training post hire.
*No overtime available.
*A single workweek will be used to compute wages due.
*The workers will be paid once a week on an hourly basis for all the hours worked in the week. The employer agrees and guarantees that he will pay a wage that is the highest of the AEWR, the prevailing hourly wage or piece rate.
*Assistance will be provided by the employer to secure boarding, lodging and facilities.
*The employer will make All deductions from the workers paycheck required by law.
Elective deductions related to the provision of board, lodging or facilities will be reasonable and based on the fair value of such benefits.
*The worker will be reimbursed by check for transportation and subsistence from the place from the Workers come to work for the employer wheatear in the U.S or abroad (including meals and to the extent necessary lodging) to the place of employment, if the worker
completes half the employment period covered by the job order.
*If the worker completes 50% of the work contract period, employer will reimburse the worker for transportation and subsistence from the place of recruitment to the place of work. Upon completion of the work contract or where the worker is dismissed earlier, employer will provide or pay for workers reasonable costs of return transportation and subsistence back home or to the place the worker originally departed to work, except where the worker will not return due to subsequent employment with another employer. The amount of transportation payment or reimbursement will be equal to the most economical and reasonable common carrier for the distances involved. Daily subsistence will be provided at a rate of $15.46 per day during travel to a maximum of $59.00 per day with receipts.  
*H- 2B workers will reimbursed by check in the first workweek for all visa, visa processing, border crossing, and other related fees, including those mandated by the government, incurred by the H-2B worker (excluding passport fees or other for the benefit of the worker).
*Return transportation will be provided by the employer if the worker completes the employment period or is dismissed early by the employer.
*Daily transportation to and from worksite will be provided by the employer at no cost.
*The employer will provide workers at no charge all tools, supplies, and equipment
required to perform the job.
*The employer guarantees to offer work for hours equal to at least 3/4 of the workdays in each 12-week period of the total employment period.
*Cost of employer- provided housing $600.00. Housing cost will be divided and deducted in an equal manner from the workers paycheck on a weekly basis.
*The employer provided housing is optional.
*In rainy days, the activities are suspended until the product (pine straw) is properly dry. 
APPLICANTS CAN APPLY DIRECTLY TO THE EMPLOYER EFREN ACOSTA AT: 12864181 RD LIVE OAK, Fl 32060 SUWANNEE COUNTY PHONE NUMBER: 386-688-3124 OR PRESENT RESUMES DIRECTLY TO THE NEAREST OFFICE OF THE SWA CAREER SOURCE FLORIDA CROWN, 211-8 SOUTHEAST 11th STREET, TRENTON, FL 32693 PHONE# 352-463-3677
</t>
  </si>
  <si>
    <t>Like Oak</t>
  </si>
  <si>
    <t>SUWANNEE</t>
  </si>
  <si>
    <t>Overtime no available</t>
  </si>
  <si>
    <t>P-400-23163-099905</t>
  </si>
  <si>
    <t>The employer will make All deductions from the workers paycheck required by law.
Elective deductions related to the provision of board, lodging or facilities will be reasonable and based on the fair value of such benefits.
Cost of employer- provided housing $600.00. Housing cost will be divided and deducted in an equal manner from the worker’s paycheck on a weekly basis.</t>
  </si>
  <si>
    <t>H-400-23242-309576</t>
  </si>
  <si>
    <t xml:space="preserve">[MAILING ADDRESS: PO BOX 65 LINDSEY, OK 73052} </t>
  </si>
  <si>
    <t>P-400-23132-018985</t>
  </si>
  <si>
    <t>H-400-23264-367933</t>
  </si>
  <si>
    <t xml:space="preserve">Shane's Crawfish, Inc. </t>
  </si>
  <si>
    <t>3186 Highway 95</t>
  </si>
  <si>
    <t>Mamou</t>
  </si>
  <si>
    <t>Granger</t>
  </si>
  <si>
    <t>shanescrawfish@gmail.com</t>
  </si>
  <si>
    <t>Danielle Toups Young, Attorney at Law, LLC</t>
  </si>
  <si>
    <t xml:space="preserve">Must be able to lift 40 pounds. 
</t>
  </si>
  <si>
    <t>EVANGELINE</t>
  </si>
  <si>
    <t>P-400-23156-077763</t>
  </si>
  <si>
    <t>Employer will deduct $50.00 per week if the employee chooses to live in the employer provided housing. Employer provided housing is not mandatory.</t>
  </si>
  <si>
    <t>H-400-23242-308826</t>
  </si>
  <si>
    <t xml:space="preserve">Swedish-Speaking Live-In Nanny </t>
  </si>
  <si>
    <t>Catharina Mallet</t>
  </si>
  <si>
    <t>65 Sterling Street</t>
  </si>
  <si>
    <t>Mallet</t>
  </si>
  <si>
    <t>Catharina</t>
  </si>
  <si>
    <t>catharina.lavers.mallet@gmail.com</t>
  </si>
  <si>
    <t xml:space="preserve">Must be a native Swedish speaker
Experience caring for children with ADHD
</t>
  </si>
  <si>
    <t>NEWTON CITY</t>
  </si>
  <si>
    <t>P-400-23203-208308</t>
  </si>
  <si>
    <t>room and board per state allowances</t>
  </si>
  <si>
    <t>catlmallet+mdcs@gmail.com</t>
  </si>
  <si>
    <t>H-400-23199-197132</t>
  </si>
  <si>
    <t>Gro Green Inc</t>
  </si>
  <si>
    <t>(same)</t>
  </si>
  <si>
    <t>717 Elk St</t>
  </si>
  <si>
    <t>Buffalo</t>
  </si>
  <si>
    <t>Wechter</t>
  </si>
  <si>
    <t>Mary Ellen</t>
  </si>
  <si>
    <t>Treasurer/Owner</t>
  </si>
  <si>
    <t>ggreenprod@aol.com</t>
  </si>
  <si>
    <t xml:space="preserve">2001 L Street, NW </t>
  </si>
  <si>
    <t>don@donaldgrosslaw.com</t>
  </si>
  <si>
    <t>Donald Gross Law</t>
  </si>
  <si>
    <t>Court of Appeals of the District of Columbia</t>
  </si>
  <si>
    <t xml:space="preserve">Driver's license; 
Drug Test Screening
</t>
  </si>
  <si>
    <t>717 Elk ST</t>
  </si>
  <si>
    <t>P-400-23093-895694</t>
  </si>
  <si>
    <t>Campbell</t>
  </si>
  <si>
    <t>Mavis</t>
  </si>
  <si>
    <t>H-400-23245-318050</t>
  </si>
  <si>
    <t>702 SW 35th St (Report to Work)</t>
  </si>
  <si>
    <t>Cape Coral</t>
  </si>
  <si>
    <t>P-400-23167-120420</t>
  </si>
  <si>
    <t>H-400-23279-414454</t>
  </si>
  <si>
    <t>ABC Professional Tree Services, Inc - Shelbyville</t>
  </si>
  <si>
    <t>2910 IN-44,</t>
  </si>
  <si>
    <t>P-400-23183-162073</t>
  </si>
  <si>
    <t>www.indianacareerconnect.com</t>
  </si>
  <si>
    <t>H-400-23256-341357</t>
  </si>
  <si>
    <t>General Maintenance Workers</t>
  </si>
  <si>
    <t>Maintenance Workers, Machinery</t>
  </si>
  <si>
    <t>Mac's Carnival, LLC (MCS124A)</t>
  </si>
  <si>
    <t xml:space="preserve">Must be able to lift at least 50 lbs. Have manual dexterity. Be able to evaluate and problem-solve.   Be available entire work contract. Post-employment, employer-paid drug test may be administered.
Work days: Typically Monday through Friday; days vary  
Hours per week: 35
Work Schedule: 8:00a.m. - 3:00p.m; schedule may vary
Pay Frequency: Weekly/ Wednesdays 
Additional information about wage:
Employer may offer a raise or bonus depending on experience and merit.
Pay Assurance: 
Daily Transportation provided to all worksite locations from primary worksite?  No 
Does employer offer a ride to primary worksite location to workers living within a reasonable
commute:  Yes
Overtime available?  No
On-the-Job Training provided?  Yes
Employer-Provided Tools and Equipment provided?  Yes
Board, Lodging or Other Facilities provided?:   Yes
Deductions: Housing is offered at market rate or up to $1000/worker. Housing is optional.
</t>
  </si>
  <si>
    <t>103 Stable Road</t>
  </si>
  <si>
    <t>P-400-23214-233676</t>
  </si>
  <si>
    <t>Housing is offered at market rate or up to $1000/worker. Housing is optional.</t>
  </si>
  <si>
    <t>H-400-23249-324661</t>
  </si>
  <si>
    <t>Waterloo Hospitality INC</t>
  </si>
  <si>
    <t>9860 S THOMAS DR STE 1712</t>
  </si>
  <si>
    <t>Burros</t>
  </si>
  <si>
    <t>Aderemi</t>
  </si>
  <si>
    <t>remi@zesteconsultants.com</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</si>
  <si>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12-month hotel/resort housekeeping experience required
	Rotate/split shifts
	Supplies, work tools and equipment are provided free
	The employer will make all deductions from worker's paycheck required by law
	Must lift/carry 50 lbs., when necessary.  
	Supplies, work tools &amp; equipment are provided free
	No daily transportation to/from work provided.
	No on the job training provided. 
</t>
  </si>
  <si>
    <t>2550 Golden Nugget BLVD</t>
  </si>
  <si>
    <t>•	Raises and/or bonuses may be offered based on individual factors including work performance, skill, and tenure.</t>
  </si>
  <si>
    <t>P-400-23142-041998</t>
  </si>
  <si>
    <t>•Employer will make all deductions from worker's paycheck required by law. 
•Employer will deduct any written preapproved deduction requested by employee 
Voluntary/Optional, Third-Party Rent/housing: Provided by a third party company
•Optional &amp; Voluntary 3rd party housing may be available at $150 - $175/ WK &amp; may be voluntarily payroll deducted biweekly
•Waterloo Hospitality could act as guarantor for timely rent payment however, lease is directly with 3rd party service provider &amp; between employees &amp; housing company as Waterloo Hospitality has no housing of its own
•Housing Deposits and/or a $250 nonrefundable administrative fee may be required if you choose the voluntary optional 3rd party housing
•Third party housing provider/landlord may require that the last 8 weeks of rent (covering July 21, 2024 to Sept 15 2024) be prepaid upfront or payroll deducted in installments of $150 per pay period until full payment is achieved. This pre-paid last 8 wks rent is nonrefundable</t>
  </si>
  <si>
    <t>h2bhires@gmail.com</t>
  </si>
  <si>
    <t>H-400-23187-171987</t>
  </si>
  <si>
    <t>Three (3) months of experience in a fine-dining or high-volume environment at a high-end restaurant, resort, or private club required.  On-the-job training is provided.    Applicant must provide Pre-employment Criminal Background Check and Pre-employment Drug Test is required.
Shifts: Work schedule can vary and can include evening, weekend, and holiday hours.  Work may be performed on any day of the week from Monday through Sunday.  Example shifts: 7am - 2pm, 9am - 4pm, or 4pm- 11am.  Shift hours may vary.</t>
  </si>
  <si>
    <t>Additional compensation in the form of a discretionary season-end bonus of up to $500.00.</t>
  </si>
  <si>
    <t>P-400-23143-046968</t>
  </si>
  <si>
    <t xml:space="preserve">Optional housing is offered for workers who are relocating to begin employment.  Cost of housing, if accepted, is $125.00 per week.  If used, total cost of housing will be deducted from paycheck.  A $100.00 refundable security deposit is required, to be deducted from paycheck in equal installments from employee’s paycheck. Daily transportation to and from worksite is provided for those living in employee housing. All deductions from worker’s paycheck required by law will be made. 
Employee may be eligible for additional compensation in the form of a discretionary season-end bonus of up to $500.00.  Eligible for company subsidized housing.  </t>
  </si>
  <si>
    <t>H-400-23229-271481</t>
  </si>
  <si>
    <t>LIFT OPERATOR</t>
  </si>
  <si>
    <t>LUTSEN MOUTAINS CORPORATION</t>
  </si>
  <si>
    <t>467 SKI HILL ROAD</t>
  </si>
  <si>
    <t>LUTSEN</t>
  </si>
  <si>
    <t>BUCKMAN</t>
  </si>
  <si>
    <t>KATHY</t>
  </si>
  <si>
    <t>kathyb@lutsen.com</t>
  </si>
  <si>
    <t xml:space="preserve">MUST BE ABLE TO LIFT UP TO 50 LBS. AND BE TOLERANT TO WORKING UNDER EXTREMELY COLD CONDITIONS FOR LONG PERIODS OF TIME.
</t>
  </si>
  <si>
    <t>Northeast Minnesota nonmetropolitan area</t>
  </si>
  <si>
    <t>P-400-23152-068212</t>
  </si>
  <si>
    <t>THE EMPLOYER WILL MAKE ALL DEDUCTIONS FROM WORKERS’ PAYCHECKS THAT ARE REQUIRED BY LAW. THE EMPLOYER WILL PROVIDE OPTIONAL HOUSING ACCOMMODATIONS FROM A THIRD-PARTY IF RELOCATING FOR THE POSITION AND NOT WITHIN REASONABLE TRANSPORT TO JOBSITE. IF EMPLOYER-ARRANGED HOUSING IS UTILIZED THE WORKER WILL BE DEDUCTED APPROXIMATELY $400 PER MONTH, INCLUDING A $150 SECURITY DEPOSIT.</t>
  </si>
  <si>
    <t>H-400-23187-171795</t>
  </si>
  <si>
    <t>Hays Harvesting, Inc.</t>
  </si>
  <si>
    <t>3521 Eleven Mile Rd</t>
  </si>
  <si>
    <t>Ft. Pierce</t>
  </si>
  <si>
    <t>McCarthy</t>
  </si>
  <si>
    <t>Skyla</t>
  </si>
  <si>
    <t xml:space="preserve">Requires three months  of landscaping experience. Must lift/carry 50 lbs., when necessary. Must be able to stand, sit, squat, kneel, crouch, bend (from waist), push, pull, and reach. 8am-4pm Monday through Friday, Saturday and Sunday work required, when necessary. Post-hire employment eligibility (e-Verify) check required of foreign and domestic workers. Valid FL Driver's license required for all workers who voluntarily drive, foreign and domestic. Post-hire motor vehicle record check required only of foreign and domestic workers who drive company vehicles (driving is not a requirement of all workers in the position).
</t>
  </si>
  <si>
    <t>6041 Hwy 640</t>
  </si>
  <si>
    <t>P-400-23145-054592</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</si>
  <si>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Employer may deduct reasonable costs for daily transportation to/from worksite from designated pick-up location. Use of employer-provided transportation is voluntary.       Employer provides incidental transportation between worksites as necessary. Such transportation complies with all applicable Federal, State, and local laws/regulations.</t>
  </si>
  <si>
    <t>H-400-23279-414444</t>
  </si>
  <si>
    <t>Tree Trimmer/Climber Supervisor</t>
  </si>
  <si>
    <t>P-400-23183-162064</t>
  </si>
  <si>
    <t>H-400-23200-198846</t>
  </si>
  <si>
    <t>Sure Steel, Inc.</t>
  </si>
  <si>
    <t>7528 South Cornia Drive</t>
  </si>
  <si>
    <t xml:space="preserve">South Weber </t>
  </si>
  <si>
    <t xml:space="preserve">Rose </t>
  </si>
  <si>
    <t xml:space="preserve">7528 South Cornia Drive </t>
  </si>
  <si>
    <t>arose@suresteel.com</t>
  </si>
  <si>
    <t xml:space="preserve">Must be able to lift and carry 50lbs for 25yds repeatedly throughout the day.
</t>
  </si>
  <si>
    <t>5707 Loving Trail</t>
  </si>
  <si>
    <t xml:space="preserve">Cheyenne </t>
  </si>
  <si>
    <t>LARAMIE</t>
  </si>
  <si>
    <t>Cheyenne, WY</t>
  </si>
  <si>
    <t>Wage rate may vary based on experience/merit. Up to 20 hours of overtime may be available but are not guaranteed.</t>
  </si>
  <si>
    <t>P-400-23159-090812</t>
  </si>
  <si>
    <t>All deductions will be made as required by law. The employer will provide housing as an option to employees living outside the regular commuting distance. Employees who elect to live in the housing will have an additional $100 deducted Weekly paycheck for rent and utilities. Optional daily transportation will be provided from and to worksite and the employer will deduct $50/Week.</t>
  </si>
  <si>
    <t>H-400-23187-169078</t>
  </si>
  <si>
    <t>Maintenance</t>
  </si>
  <si>
    <t>International Talent Contractors LLC</t>
  </si>
  <si>
    <t>ITC</t>
  </si>
  <si>
    <t xml:space="preserve">30 N Gould Street </t>
  </si>
  <si>
    <t>Suite 4000</t>
  </si>
  <si>
    <t xml:space="preserve">Sheridan </t>
  </si>
  <si>
    <t>WYNTER PFUNDE</t>
  </si>
  <si>
    <t>DIONNIE</t>
  </si>
  <si>
    <t>WYNTER LAW PRACTICE, P.A.</t>
  </si>
  <si>
    <t>11905 FROST ASTER DRIVE</t>
  </si>
  <si>
    <t>DIONNIEWYNTER@WYNTERLAW.COM</t>
  </si>
  <si>
    <t xml:space="preserve">11000 W Rappell Avenue </t>
  </si>
  <si>
    <t xml:space="preserve">Bloomington </t>
  </si>
  <si>
    <t>Bloomington, IN</t>
  </si>
  <si>
    <t>P-400-23151-063982</t>
  </si>
  <si>
    <t>TBD</t>
  </si>
  <si>
    <t>NASCINEMORRIS@GMAIL.COM</t>
  </si>
  <si>
    <t>H-400-23185-165993</t>
  </si>
  <si>
    <t>Hog Tongue Remover/Trimmer</t>
  </si>
  <si>
    <t xml:space="preserve">1 month of safety/ppe/sanitation training required. </t>
  </si>
  <si>
    <t>Exact wage rate to be determined by internal metrics and CBA terms.</t>
  </si>
  <si>
    <t>P-400-23122-984700</t>
  </si>
  <si>
    <t>H-400-23227-265226</t>
  </si>
  <si>
    <t>VR CPC Holdings, Inc.</t>
  </si>
  <si>
    <t>Park City Mountain Resort</t>
  </si>
  <si>
    <t>4000 Canyons Resort Drive</t>
  </si>
  <si>
    <t>P-400-23114-960785</t>
  </si>
  <si>
    <t xml:space="preserve">Optional subsidized employee housing is available but limited.  Biweekly cost is $290.00 to $325.00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</si>
  <si>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H-400-23184-162599</t>
  </si>
  <si>
    <t>FOREST AND CONSERVATION WORKER</t>
  </si>
  <si>
    <t>JOSE'S REFORESTATION</t>
  </si>
  <si>
    <t>634 S MARKET BLVD</t>
  </si>
  <si>
    <t>CHEHALIS</t>
  </si>
  <si>
    <t>GONZALEZ</t>
  </si>
  <si>
    <t>PRESIDENT/OWNER</t>
  </si>
  <si>
    <t>JOSESREFORESTATION16@GMAIL.COM</t>
  </si>
  <si>
    <t>r.hatton@affirmlegalservices.com</t>
  </si>
  <si>
    <t xml:space="preserve">MUST BE ABLE TO PLANT IN AN 8 HOUR DAY THE FOLLOWING NUMBER OF TREES: BY END OF THE 1ST WEEK - 800, BY END OF THE 2ND WEEK - 900, BY END OF THE 3RD WEEK - 1000 TREES ON 30% - 50% IN SLOPE.
</t>
  </si>
  <si>
    <t>LEWIS</t>
  </si>
  <si>
    <t>P-400-23070-841113</t>
  </si>
  <si>
    <t>The company will make all deductions from the worker's paycheck required by law. The company will assist the employee in locating housing, which is paid for by the employee, if the employee has to relocate to the Lewis county area. When required, hotel accommodations are provided by the company at no cost to the employee if work is conducted out of the Lewis county area. The employer will withhold from the employee’s wages the maximum amount for the portion of employee premium required under WA State RCW 50A.04, Paid Family and Medical Leave Program.</t>
  </si>
  <si>
    <t>josesreforestation16@gmail.com</t>
  </si>
  <si>
    <t>H-400-23290-436315</t>
  </si>
  <si>
    <t>H-400-23220-247830</t>
  </si>
  <si>
    <t>Front Desk Associate</t>
  </si>
  <si>
    <t xml:space="preserve">Three (3) months of prior work experience required. Schedule: 35 hours per week. Monday through Sunday (schedule varies). Work schedule can include evening, weekend, and holiday hours. Shifts examples: 7:00am  2:00pm, 3:00pm  10:00pm, or 1:00pm  8:00pm (shift hours may vary). </t>
  </si>
  <si>
    <t>See job description additional compensation</t>
  </si>
  <si>
    <t>P-400-23138-033641</t>
  </si>
  <si>
    <t>H-400-23184-164348</t>
  </si>
  <si>
    <t>DELTA MASTER CONTRACTORS LLC</t>
  </si>
  <si>
    <t>4151 SOUTHWEST FWY, SUITE 238</t>
  </si>
  <si>
    <t>MIRANDA</t>
  </si>
  <si>
    <t>ALEXIS</t>
  </si>
  <si>
    <t>deltamastercontractors@gmail.com</t>
  </si>
  <si>
    <t xml:space="preserve">Three (3) months of job experience. </t>
  </si>
  <si>
    <t>100 Old Highway 90 W</t>
  </si>
  <si>
    <t>Vidor</t>
  </si>
  <si>
    <t>P-400-23121-981723</t>
  </si>
  <si>
    <t>H-400-23184-164268</t>
  </si>
  <si>
    <t>Concierges</t>
  </si>
  <si>
    <t xml:space="preserve">Aimbridge Employee Services </t>
  </si>
  <si>
    <t>LA Supreme Court</t>
  </si>
  <si>
    <t>One year of customer service experience is required.</t>
  </si>
  <si>
    <t>P-400-23125-997618</t>
  </si>
  <si>
    <t>All required taxes. If employee signs up for benefits (optional), those will be deducted. Amounts will very depending on the benefits chosen. Employer will assist workers securing board, lodging, or other facilities. Employer will make available hotel rooms for up to two weeks at no charge. Employer will also assist workers with the search tools to secure their own.</t>
  </si>
  <si>
    <t>H-400-23215-237185</t>
  </si>
  <si>
    <t>Fast N Friendly LLC</t>
  </si>
  <si>
    <t>202 E US Highway 40</t>
  </si>
  <si>
    <t>Bates City</t>
  </si>
  <si>
    <t>Quddus</t>
  </si>
  <si>
    <t>Abdul</t>
  </si>
  <si>
    <t>816 625 5539</t>
  </si>
  <si>
    <t>hr@fastnfriendlystores.com</t>
  </si>
  <si>
    <t xml:space="preserve">Must be able to lift 30 lbs. Employees expected daily schedule will be from 9am to 5pm, Monday to Friday, and then sometimes on Saturdays for 4 hours that might vary in their start time. Employees should expect hours to vary. There is a formal program for training new employees.
</t>
  </si>
  <si>
    <t>KS Turnpike service area MM132</t>
  </si>
  <si>
    <t>P-400-23174-141326</t>
  </si>
  <si>
    <t>H-400-23215-234939</t>
  </si>
  <si>
    <t>Zota Beach Hotel LLC</t>
  </si>
  <si>
    <t>Zota Beach Resort</t>
  </si>
  <si>
    <t>4711 Gulf of Mexico Dr</t>
  </si>
  <si>
    <t>Longboat Key</t>
  </si>
  <si>
    <t>Rocco</t>
  </si>
  <si>
    <t>Annette</t>
  </si>
  <si>
    <t>Annette.rocco@ophotels.com</t>
  </si>
  <si>
    <t>P-400-23143-045021</t>
  </si>
  <si>
    <t>H-400-23233-281601</t>
  </si>
  <si>
    <t xml:space="preserve">¿Swimming Pool Construction Laborer </t>
  </si>
  <si>
    <t>Hydratech LLC</t>
  </si>
  <si>
    <t>5709 Frederick Avenue</t>
  </si>
  <si>
    <t>Rockville</t>
  </si>
  <si>
    <t>Nachev</t>
  </si>
  <si>
    <t>Krasimir</t>
  </si>
  <si>
    <t>hydratech.pools@gmail.com</t>
  </si>
  <si>
    <t>N/A
F.a.5 A-H. (continued): Monday-Friday, 8am-5pm. OT may be available at 5-10 hours.</t>
  </si>
  <si>
    <t>P-400-23194-187348</t>
  </si>
  <si>
    <t xml:space="preserve">Optional housing available at $750/month to be deducted from pay if elected. Optional vehicle for personal use at $75 per month to be deducted from pay if elected. Traffic or parking tickets or fines that are the fault of the employee will be deducted from employee’s pay.  Optional health club membership available at $25/month to be deducted if elected. </t>
  </si>
  <si>
    <t>Hydratech.Pools@gmail.com</t>
  </si>
  <si>
    <t>H-400-23241-304441</t>
  </si>
  <si>
    <t>Housekeeper/Cleaner</t>
  </si>
  <si>
    <t>Keystone Capital Management, Inc</t>
  </si>
  <si>
    <t>North Lake Tahoe Cleaning</t>
  </si>
  <si>
    <t>310 Cottonwood Ct. #1</t>
  </si>
  <si>
    <t>Mailing: PO Box 172, Crystal Bay, NV 89402</t>
  </si>
  <si>
    <t>Incline Village</t>
  </si>
  <si>
    <t xml:space="preserve">Requires two months of cleaning short term rental houses or room cleaning in a hotel setting. Must lift/carry 50 lbs., when necessary.  Saturday and Sunday work required, when necessary.  Post-hire drug testing required of foreign and domestic workers upon suspicion of use. Employer may offer more than the stated work hours depending on weather, business needs, and other conditions. Extreme heat, cold, rain, or drought may affect exact working hours.
</t>
  </si>
  <si>
    <t>310 Cottonwood Ct #1</t>
  </si>
  <si>
    <t>Piece rate may be offered for certain services. Employer will pay higher of hourly prevailing wage or piece rate.</t>
  </si>
  <si>
    <t>P-400-23123-988948</t>
  </si>
  <si>
    <t xml:space="preserve">Employer makes all payroll deductions required by law. Employer does not envision other workforce-wide payroll deductions. Optional lodging and board available to all non-local workers. Employer deducts reasonable fair market value cost of lodging and board based on number of occupants for workers electing to reside in employer-offered housing (cost TBD).   Employer offers free daily transportation to/from worksite from designated pick-up location. Use of transportation is voluntary. Employer provides incidental transportation between worksites as necessary. Such transportation complies with all applicable Federal, State, and local laws/regulations. Raises and/or bonuses may be offered to any worker in the specified occupation, at the company's sole discretion, based on individual factors including work performance, skill, and tenure. </t>
  </si>
  <si>
    <t>https://nevadajobconnect.com/Page/H-2B_Online_Job_Order_Form</t>
  </si>
  <si>
    <t>H-400-23226-262936</t>
  </si>
  <si>
    <t>Perfect Cuts of San Antonio Commercial Services, LLC</t>
  </si>
  <si>
    <t>13561 Pond Springs Rd.</t>
  </si>
  <si>
    <t>Krause</t>
  </si>
  <si>
    <t>13561 Pond Springs Rd</t>
  </si>
  <si>
    <t xml:space="preserve">1030 Canyon Bend Dr. </t>
  </si>
  <si>
    <t>Dripping Springs</t>
  </si>
  <si>
    <t>P-400-23180-156142</t>
  </si>
  <si>
    <t>cason@perfectcutsinc.com</t>
  </si>
  <si>
    <t>H-400-23213-228507</t>
  </si>
  <si>
    <t>PO Box 2007</t>
  </si>
  <si>
    <t xml:space="preserve">Must have or be able to obtain current CA Food Handlers Manager Card. 
While performing the duties of this job, the employee is regularly required to walk, talk, see, hear, smell and taste. Must be capable of walking or standing 90% or more of a normal 8-hour work shift. Must be capable of frequently carrying, lifting. pushing or pulling up to 50lbs. 
On-The-Job Training Is Provided.
Following Shifts available 7 days a week including weekends and holidays. 7am to 3:30pm, 9amto 5:30pm, 11am to 7:30pm, 3pm to 11:30pm
Wage Per Hour: Tipped position with guaranteed wage of $20.54 - $30.00
Overtime possible at hourly wage of $30.81 - $45.00
Possible Wage Increase: Based on merit and past experience with our company
</t>
  </si>
  <si>
    <t>P-400-23128-003193</t>
  </si>
  <si>
    <t>All deductions required by law will be made.
Will assist in finding housing with third-party landlords.
Daily transportation to and from the worksite is not provided. Local bus lines are free to all riders.
Optional Deductions from Paycheck: None
Benefits: Ski Pass, Shift Meals, 50% F&amp;B Discount, 30% Retail Discount</t>
  </si>
  <si>
    <t>H-400-23193-182418</t>
  </si>
  <si>
    <t>Mechanic</t>
  </si>
  <si>
    <t>Bluexball, LLC</t>
  </si>
  <si>
    <t>DBA Push-N-Pull, Inc.</t>
  </si>
  <si>
    <t>5951 Brownsville Rd.</t>
  </si>
  <si>
    <t>Soriano</t>
  </si>
  <si>
    <t xml:space="preserve">Requires two years of mechanic experience. Must lift/carry 60 lbs., when necessary. Applicant must have MIG welding knowledge and be able to legally drive trucks and possess or be able to obtain U.S. driver's license within 30 days of hire and pass state inspection exam. Saturday and Sunday work required, when necessary.  Post-hire random drug testing required of foreign and domestic workers. Post-hire background check required of foreign and domestic workers.
</t>
  </si>
  <si>
    <t>P-400-23124-991749</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</si>
  <si>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Voluntary advances and/or loans made to workers, if any, may be repaid by pre-authorized payroll deductions.    Employer may deduct health insurance premiums for workers voluntarily participating in plan.    No daily transportation to/from workers' home and primary worksite. Employer provides incidental transportation between multiple worksites as necessary. Such transportation complies with all applicable Federal, State, and local laws/regulations.</t>
  </si>
  <si>
    <t>adrian@pushnpull.net</t>
  </si>
  <si>
    <t>H-400-23245-317832</t>
  </si>
  <si>
    <t>Cleanup Technician</t>
  </si>
  <si>
    <t>Building Cleaning Workers, All Other</t>
  </si>
  <si>
    <t>Oceanline Builder Inc.</t>
  </si>
  <si>
    <t>410 Broadway Street #130</t>
  </si>
  <si>
    <t>Laguna Beach</t>
  </si>
  <si>
    <t xml:space="preserve">Jaime </t>
  </si>
  <si>
    <t xml:space="preserve">Laguna Beach </t>
  </si>
  <si>
    <t>oceanlineservices@gmail.com</t>
  </si>
  <si>
    <t xml:space="preserve">Sonia </t>
  </si>
  <si>
    <t xml:space="preserve">237 Front Street </t>
  </si>
  <si>
    <t>Buttonwillow</t>
  </si>
  <si>
    <t>soniasmultiservices@gmail.com</t>
  </si>
  <si>
    <t xml:space="preserve">Sonia's Multi Services </t>
  </si>
  <si>
    <t>Must have 6 months of experience in basic cleaning techniques, will train as needed on how to properly pick up debris and materials. Minimum age requirement: 18 years of age.</t>
  </si>
  <si>
    <t xml:space="preserve">410 Broadway St </t>
  </si>
  <si>
    <t>Ste #130</t>
  </si>
  <si>
    <t>P-400-23177-145151</t>
  </si>
  <si>
    <t>H-400-23228-270651</t>
  </si>
  <si>
    <t>CBV Partners, LLC</t>
  </si>
  <si>
    <t>DBA Cowboy Village Resort</t>
  </si>
  <si>
    <t>120 South Flat Creek Drive</t>
  </si>
  <si>
    <t>Mailing: PO BOX 38, Jackson, WY 83001</t>
  </si>
  <si>
    <t>Merrell</t>
  </si>
  <si>
    <t xml:space="preserve">Requires three months  of housekeeping experience. Must lift/carry 50 lbs. when necessary and frequently work on hands and knees. Work schedule is at least 5 days/week with shifts varying by day and work days varying by week to include Saturday and Sunday.
</t>
  </si>
  <si>
    <t>P-400-23125-998115</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</si>
  <si>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may deduct retirement/savings plan contributions and/or health insurance premiums for workers voluntarily participating in plan(s).</t>
  </si>
  <si>
    <t>cbvjobs@gmail.com</t>
  </si>
  <si>
    <t>H-400-23215-235134</t>
  </si>
  <si>
    <t>Ice Ex Management, LLC</t>
  </si>
  <si>
    <t>290 Ames Road</t>
  </si>
  <si>
    <t>Bentleyville</t>
  </si>
  <si>
    <t>Povich</t>
  </si>
  <si>
    <t>Leslie</t>
  </si>
  <si>
    <t xml:space="preserve">Requires three months of previous grounds maintenance experience. Must lift/carry 50lbs, when necessary. Hours may vary depending on snowfall. Must work Saturday &amp; Sunday, when necessary and be on-call during storm events. Employer may offer more than the stated work hours depending on weather, business needs, and other conditions. Extreme heat, cold, rain, or drought may affect exact working hours.
</t>
  </si>
  <si>
    <t>P-400-23118-976524</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</si>
  <si>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Employer offers free daily transportation to/from worksite from designated pick-up location. Use of transportation is voluntary. Employer provides incidental transportation between worksites as necessary.</t>
  </si>
  <si>
    <t>H-400-23215-235933</t>
  </si>
  <si>
    <t>Dickinson Lodging Ventures, LLC</t>
  </si>
  <si>
    <t>Candlewood Suites</t>
  </si>
  <si>
    <t>1430 Sims St</t>
  </si>
  <si>
    <t>Dickinson</t>
  </si>
  <si>
    <t>STARK</t>
  </si>
  <si>
    <t>P-400-23167-118444</t>
  </si>
  <si>
    <t>All required federal, local and state deduction will be deducted from the workers pay. Optional employer arranged housing
available at a weekly payroll cost for up to $100/week.</t>
  </si>
  <si>
    <t>H-400-23195-189429</t>
  </si>
  <si>
    <t>Calligraphers</t>
  </si>
  <si>
    <t>Fine Artists, Including Painters, Sculptors, and Illustrators</t>
  </si>
  <si>
    <t>Memphis Dawah ASSOCIATION</t>
  </si>
  <si>
    <t>3415 Millbranch Rd</t>
  </si>
  <si>
    <t>MEMPHIS</t>
  </si>
  <si>
    <t>Patton Bey</t>
  </si>
  <si>
    <t>Moulay</t>
  </si>
  <si>
    <t>Hassan</t>
  </si>
  <si>
    <t>memphisdawah@gmail.com</t>
  </si>
  <si>
    <t>Akalan</t>
  </si>
  <si>
    <t xml:space="preserve">Yasin </t>
  </si>
  <si>
    <t>Bilgehan</t>
  </si>
  <si>
    <t>490 Route 304</t>
  </si>
  <si>
    <t>New City</t>
  </si>
  <si>
    <t>yakalan@akalanlaw.com</t>
  </si>
  <si>
    <t>Akalan Law Firm PLLC</t>
  </si>
  <si>
    <t>Second Judicial Dpt. Appellate Court of the State of NY</t>
  </si>
  <si>
    <t>P-400-23142-043322</t>
  </si>
  <si>
    <t>All deductions from the worker’s paycheck requiredby law will be made.</t>
  </si>
  <si>
    <t>Akalan Law Firm, PLLC</t>
  </si>
  <si>
    <t>H-400-23220-247609</t>
  </si>
  <si>
    <t xml:space="preserve">Three (3) months of prior work experience required.  Schedule: 35 hours per week. Monday through Sunday (schedule varies). Work schedule can include evening, weekend, and holiday hours. Shifts examples: 6:00am  1:00pm, 11:00am  6:00pm, or 2:00pm  9:00pm (shift hours may vary).
</t>
  </si>
  <si>
    <t>Gratuity eligible. Optional housing available. See job description for details.</t>
  </si>
  <si>
    <t>P-400-23138-033656</t>
  </si>
  <si>
    <t>H-400-23189-175578</t>
  </si>
  <si>
    <t>Construction Laborer (Baseball/Softball Offseason Fields)</t>
  </si>
  <si>
    <t>317 E. Commerce</t>
  </si>
  <si>
    <t>Oster</t>
  </si>
  <si>
    <t>Brook</t>
  </si>
  <si>
    <t xml:space="preserve">Administration </t>
  </si>
  <si>
    <t>Galdean</t>
  </si>
  <si>
    <t>Trinidad</t>
  </si>
  <si>
    <t>PO Box 780076</t>
  </si>
  <si>
    <t>trinidad@galdean.com</t>
  </si>
  <si>
    <t>Galdean Law Firm LLC</t>
  </si>
  <si>
    <t>Kansas Supreme Court</t>
  </si>
  <si>
    <t>P-400-23151-064867</t>
  </si>
  <si>
    <t xml:space="preserve">None other than required State or Federal withholdings. </t>
  </si>
  <si>
    <t>H-400-23234-284650</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</si>
  <si>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t>
  </si>
  <si>
    <t>Wage: $18.64 - $26.00 per hour, paid bi-weekly.  See job description for additional information.</t>
  </si>
  <si>
    <t>P-400-23178-145804</t>
  </si>
  <si>
    <t>Optional housing is offered on a first come, first-serve basis for workers who are relocating to begin employment.  Cost of housing, if accepted, is $700.00 per month.  If used, total cost of housing will be deducted from paycheck. Additional, optional benefits may be offered to worker, for worker’s sole benefit, including but not limited to health insurance.  If voluntarily elected by worker, employee costs/contributions for benefits will be deducted from paycheck.</t>
  </si>
  <si>
    <t>H-400-23248-319375</t>
  </si>
  <si>
    <t xml:space="preserve">	One year of experience as a cook in a fine dining environment. Must be available to work all shifts, including weekends, evenings, and holidays. 
</t>
  </si>
  <si>
    <t>P-400-23179-152232</t>
  </si>
  <si>
    <t xml:space="preserve">Deductions: Employer will make all deductions from workers’ paycheck required by law; and optional onsite employee housing. Potential elective deductions to be preauthorized in writing if applicable are as follows: Voluntary advances and/or loans made to workers, if any, may be repaid by pre-authorized payroll deductions. Housing: Optional onsite employee housing is available for a fee. Cost of housing is between $50 to $150 weekly. Prices vary based on type of accommodations available single or shared room). Housing is paid through payroll deductions. Daily Transportation: Transportation is only provided to employees who elect to live in onsite employee house, at no additional cost.
</t>
  </si>
  <si>
    <t>H-400-23215-237320</t>
  </si>
  <si>
    <t>Wage: $19.50 - $21.50 per hour, paid bi-weekly. Overtime is available at $29.25 - $32.25 per hour. See Job Description.</t>
  </si>
  <si>
    <t>P-400-23178-145248</t>
  </si>
  <si>
    <t>H-400-23215-235271</t>
  </si>
  <si>
    <t>Crider's Lawn Care LLC</t>
  </si>
  <si>
    <t>145 Mick Street</t>
  </si>
  <si>
    <t>Greenup</t>
  </si>
  <si>
    <t xml:space="preserve">Requires three months of experience cutting logs for firewood. Must lift/carry 50 lbs., when necessary. Saturday work required, when necessary. Post-hire random, post-accident and upon suspicion of use drug testing required of foreign and domestic workers. Employer may offer more than the stated work hours depending on weather, business needs, and other conditions. Extreme heat, cold, rain, or drought may affect exact working hours.
</t>
  </si>
  <si>
    <t>P-400-23124-992433</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</si>
  <si>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Voluntary advances and/or loans made to workers, if any, may be repaid by pre-authorized payroll deductions. No daily transportation to/from work provided. Employer provides incidental transportation between worksites as necessary. Such transportation complies with all applicable Federal, State, and local laws/regulations.</t>
  </si>
  <si>
    <t>jacob.criderslawncare@gmail.com</t>
  </si>
  <si>
    <t>https://kyjobs.usnlx.com</t>
  </si>
  <si>
    <t>H-400-23236-294198</t>
  </si>
  <si>
    <t>Housekeepers/Cleaners</t>
  </si>
  <si>
    <t>c/o Newport Hotel Group, 28 Jacome Way, Middletown, RI 02842</t>
  </si>
  <si>
    <t xml:space="preserve">Must lift/carry/push/pull 50 lbs., when necessary. Basic level English skills required. Work schedule will vary and will include evenings, holidays, and Saturdays and Sundays. Work may be performed on any day of the week from Monday through Sunday. Example shifts: 7:00am to 3:00 pm, 9:00 am to 5:00 pm, and 3:00 pm to 11:00 pm. Shift hours may vary. Employer may offer more than the stated work hours depending on weather, business needs, and other conditions. Extreme heat, cold, rain, or drought may affect exact working hours.
</t>
  </si>
  <si>
    <t>P-400-23157-082025</t>
  </si>
  <si>
    <t>Emplyr makes all payrll deducts required by law. Emplyr does not envision other wrkforce-wide payrll deducts. If requested, emplyer helps non-local workers secure optional wrkr-paid lodging (not to exceed fair market value, based on number of occupants; cost TBD). Housing costs paid directly to landlrd and are not payoll deduct.  Employer offers free daily transportation to/from worksite from designated pick-up location. Use of transportation is voluntary. Employer may deduct retirement/savings plan contributions and/or health insurance premiums for workers voluntarily participating in plan(s). Employer provides incidental transportation between worksites as necessary. Such transportation complies with all applicable Federal, State, and local laws/regulations. Limited shared seasonal housing maybe offered and optional on a first come first serve basis. Cost of housing if available is $125/week or less. If used, total cost of housing will be paid directly to the employer or rental.</t>
  </si>
  <si>
    <t>H-400-23216-238796</t>
  </si>
  <si>
    <t xml:space="preserve">Food and Beverage Server </t>
  </si>
  <si>
    <t>Old Palm Golf Club, Inc.</t>
  </si>
  <si>
    <t xml:space="preserve">The Petitioner will consider for employment any person who possesses at least three (3) months of experience in a fine-dining or high-volume environment at a high-end restaurant, resort, or private club.  Applicant must complete pre-employment background check and drug screening.  
</t>
  </si>
  <si>
    <t>Tipped position with base wage of $16.13 per hour, paid bi-weekly.  See job description.</t>
  </si>
  <si>
    <t>P-400-23172-133463</t>
  </si>
  <si>
    <t>Optional housing is offered on a first-come, first-serve basis for workers who are relocating to begin employment.  Cost of housing, if accepted, is $27.00 per day.  If used, total cost of housing will be paid directly to employer by employee.</t>
  </si>
  <si>
    <t>H-400-23187-169085</t>
  </si>
  <si>
    <t>Noel Christmas Lights Professional, Inc.</t>
  </si>
  <si>
    <t>4662 North Hiatus Road</t>
  </si>
  <si>
    <t>Sunrise</t>
  </si>
  <si>
    <t>Noel</t>
  </si>
  <si>
    <t xml:space="preserve">Sunrise </t>
  </si>
  <si>
    <t>noelhall@noelchristmaslightpros.com</t>
  </si>
  <si>
    <t>Yanique</t>
  </si>
  <si>
    <t xml:space="preserve">2719 Hollywood BLVD </t>
  </si>
  <si>
    <t>Yanique@halllawofficepa.com</t>
  </si>
  <si>
    <t xml:space="preserve">Hall Law Office P. A. </t>
  </si>
  <si>
    <t>P-400-23123-986447</t>
  </si>
  <si>
    <t>Employer provides workers lodging and charges $120-$150 per week for rent
and/or utilities (OPTIONAL)
Daily transportation to and from the worksite(s) will be provided to the workers
from a centralized designated daily pick-up location. The employer will charge
workers $20 per week per round trip (OPTIONAL)</t>
  </si>
  <si>
    <t>noelhall0312@gmail.com</t>
  </si>
  <si>
    <t>Hall Law Office, P.A.</t>
  </si>
  <si>
    <t>documents@halllawofficepa.com</t>
  </si>
  <si>
    <t>H-400-23186-168259</t>
  </si>
  <si>
    <t>First-Line Supervisors</t>
  </si>
  <si>
    <t>First-Line Supervisors of Mechanics, Installers, and Repairers</t>
  </si>
  <si>
    <t>at least 3 years of experience in battery manufacturing line installation or related</t>
  </si>
  <si>
    <t>P-400-23123-990348</t>
  </si>
  <si>
    <t>H-400-23205-211387</t>
  </si>
  <si>
    <t>ROKA ENTERPRISES LLC</t>
  </si>
  <si>
    <t>5124 W PRAIRIE AVE (report to work)</t>
  </si>
  <si>
    <t>POST FALLS</t>
  </si>
  <si>
    <t>OSEGUERA</t>
  </si>
  <si>
    <t>ROBERTO</t>
  </si>
  <si>
    <t xml:space="preserve">5124 W PRAIRIE AVE </t>
  </si>
  <si>
    <t>ROKA.ENTERPRISES@YAHOO.COM</t>
  </si>
  <si>
    <t xml:space="preserve">DRUG, ALCOHOL, TOBACCO-FREE WORK ZONE; IF SUPERVISOR OBSERVES WORKER POSSIBLY BEING UNDER THE INFLUENCE OF DRUGS OR ALCOHOL THEN
EMPLOYER PAID TESTING WILL COMMENCE, FAILURE TO PARTICIPATE OR FAILED TEST = DISMISSAL. MUST SHOW PROOF OF LEGAL STATUS TO WORK IN U.S.
</t>
  </si>
  <si>
    <t>P-400-23160-096673</t>
  </si>
  <si>
    <t>All deductions required by law done by employer</t>
  </si>
  <si>
    <t>roka.enterprises@yahoo.com</t>
  </si>
  <si>
    <t>H-400-23237-296783</t>
  </si>
  <si>
    <t>P-400-23129-004656</t>
  </si>
  <si>
    <t>State and Federal taxes; Optional employer-offered housing in the backstretch at no cost to the worker</t>
  </si>
  <si>
    <t>H-400-23225-260353</t>
  </si>
  <si>
    <t>Preventative Maintenance Technician</t>
  </si>
  <si>
    <t xml:space="preserve">Requirements:  Six (6) months of experience at a high-end hotel, resort, or private club required. On-the-job training is provided.    Applicant must complete Pre-employment Background Check.
Shifts: Work schedule can vary and can include overnight, evening, weekend, and holiday hours.  Work may be performed on any day of the week from Monday through Sunday.  Example shifts: 8:00am to 4:30pm, 3:00pm to 11:30pm, 11:00pm to 7:30am. Shift hours may vary. </t>
  </si>
  <si>
    <t xml:space="preserve">Employees are eligible to participate in a recognition program and may receive additional compensation, if recognized.  
Additional, optional benefits may be offered to worker, for worker's sole benefit, including but not limited to medical, dental and vision insurance, short-term disability, long-term disability, and life insurance. If voluntarily elected by worker, employee costs/contributions for benefits will be deducted from paycheck.
</t>
  </si>
  <si>
    <t>P-400-23184-165367</t>
  </si>
  <si>
    <t>H-400-23213-230955</t>
  </si>
  <si>
    <t>Just In Time Lawn Care, LLC</t>
  </si>
  <si>
    <t>506 S Cool Springs Rd</t>
  </si>
  <si>
    <t>Augenstein</t>
  </si>
  <si>
    <t>justin@justintimelawns.com</t>
  </si>
  <si>
    <t xml:space="preserve">Post-employment criminal background check, cost paid by employer and applied equally to all workers, US and foreign/H2B. Must be able to work a 5-day schedule, including weekends and holidays as required. Must be able to lift 50 lbs. Applicants must complete an employment application. 
</t>
  </si>
  <si>
    <t>P-400-23163-101465</t>
  </si>
  <si>
    <t>Employer will make all deductions from the worker's paycheck required by law. Optional employee shared housing, approximate rate $85 per week, includes utilities, payroll deducted if worker elects. No deposit required. 
Transportation provided from main worksite in St Louis City County to multiple worksites St Louis, St Louis City &amp; St Charles Counties, MO.</t>
  </si>
  <si>
    <t>H-400-23202-206948</t>
  </si>
  <si>
    <t>G&amp;A Cleaning Service</t>
  </si>
  <si>
    <t xml:space="preserve">6 Oak Wood Ct </t>
  </si>
  <si>
    <t>Maryville</t>
  </si>
  <si>
    <t>Guillermina</t>
  </si>
  <si>
    <t>gandacleaningservice@yahoo.com</t>
  </si>
  <si>
    <t>6 Oak Wood Ct.</t>
  </si>
  <si>
    <t>P-400-23144-051535</t>
  </si>
  <si>
    <t xml:space="preserve">The Employer will make all deductions from the worker’s paycheck that are required by law. The Employer will facilitate "Optional" housing by helping workers find housing, or by offering housing at a charge of $300.00. </t>
  </si>
  <si>
    <t>H-400-23214-232587</t>
  </si>
  <si>
    <t xml:space="preserve">S. G. Company, LLC </t>
  </si>
  <si>
    <t>405 Brady St</t>
  </si>
  <si>
    <t>Salatiel</t>
  </si>
  <si>
    <t xml:space="preserve">Jacksonville </t>
  </si>
  <si>
    <t>P-400-23153-073332</t>
  </si>
  <si>
    <t>SALATIEL.GARCIA16@YAHOO.COM</t>
  </si>
  <si>
    <t>H-400-23307-476671</t>
  </si>
  <si>
    <t>Frazier Equipment, LLC</t>
  </si>
  <si>
    <t>Frazier Shows</t>
  </si>
  <si>
    <t>13235 N Verde River Drive</t>
  </si>
  <si>
    <t>[Winter Address: 3136 N Lear Ave Casa Grande, AZ 85122]</t>
  </si>
  <si>
    <t>Fountain Hills</t>
  </si>
  <si>
    <t>Tobias IV</t>
  </si>
  <si>
    <t>Vice - President/Operations</t>
  </si>
  <si>
    <t>fefun@icloud.com</t>
  </si>
  <si>
    <t>13235 N Verde River Dr</t>
  </si>
  <si>
    <t>P-400-23205-209625</t>
  </si>
  <si>
    <t>H-400-23215-236570</t>
  </si>
  <si>
    <t>Group 970</t>
  </si>
  <si>
    <t>Blue Moose Pizza/Mountain Fish House</t>
  </si>
  <si>
    <t>63 Avondale Lane, Suite C1 (physical)</t>
  </si>
  <si>
    <t>PO Box 5549 (mailing)</t>
  </si>
  <si>
    <t>Wil</t>
  </si>
  <si>
    <t xml:space="preserve">63 Avondale Lane, Suite C1 (physical) </t>
  </si>
  <si>
    <t>wil@bluemoosepizza.com</t>
  </si>
  <si>
    <t>PO Box 3487, Vail, CO 81658 (mailing)</t>
  </si>
  <si>
    <t>Novak Law Office</t>
  </si>
  <si>
    <t xml:space="preserve">F.a.5 A-H. (continued)
Work hours: 9AM  4PM. Work may be performed on any day of the week from Monday through Sunday, including holidays. Days off vary. Shifts: 9am  4pm, 4pm  11pm. Alternate workdays and shifts required. </t>
  </si>
  <si>
    <t>76 Avondale Ln</t>
  </si>
  <si>
    <t>P-400-23156-078464</t>
  </si>
  <si>
    <t>H-400-23189-175597</t>
  </si>
  <si>
    <t>Painter (Residential &amp; Community Development)</t>
  </si>
  <si>
    <t>USA REVELES PAINTING LLC</t>
  </si>
  <si>
    <t>3601 LAVON STREET</t>
  </si>
  <si>
    <t>WICHITA</t>
  </si>
  <si>
    <t>REVELES</t>
  </si>
  <si>
    <t>FRANCISCO</t>
  </si>
  <si>
    <t>revelesjrfrancisco@gmail.com</t>
  </si>
  <si>
    <t>GALDEAN</t>
  </si>
  <si>
    <t>TRINIDAD</t>
  </si>
  <si>
    <t>PO BOX 780076</t>
  </si>
  <si>
    <t>TRINIDAD@GALDEAN.COM</t>
  </si>
  <si>
    <t>GALDEAN LAW FIRM LLC</t>
  </si>
  <si>
    <t>3601 Lavon Street</t>
  </si>
  <si>
    <t>P-400-23151-064845</t>
  </si>
  <si>
    <t xml:space="preserve">None other than state and federal required withholdings. </t>
  </si>
  <si>
    <t>freveles33@gmail.com</t>
  </si>
  <si>
    <t>H-400-23243-312434</t>
  </si>
  <si>
    <t xml:space="preserve">1717 Collins Avenue </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</si>
  <si>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t>
  </si>
  <si>
    <t xml:space="preserve">Wage: $17.00 per hour, paid semi-monthly.  Overtime is available at $25.50 per hour.  </t>
  </si>
  <si>
    <t>P-400-23202-206818</t>
  </si>
  <si>
    <t>H-400-23251-332064</t>
  </si>
  <si>
    <t>Laborer-Landscape</t>
  </si>
  <si>
    <t>Snow Dogs, LLC</t>
  </si>
  <si>
    <t>352 Greenwood Rd.</t>
  </si>
  <si>
    <t>Chestnutridge</t>
  </si>
  <si>
    <t>Haro</t>
  </si>
  <si>
    <t>Otoniel</t>
  </si>
  <si>
    <t>352 Greenwood Rd</t>
  </si>
  <si>
    <t>snowdogsllc2022@gmail.com</t>
  </si>
  <si>
    <t>P-400-23163-101398</t>
  </si>
  <si>
    <t xml:space="preserve">Employer will make all deductions from the worker’s paycheck required by law.  On an optional basis, employer will assist those employees who opt in, in securing housing at no cost to the workers. </t>
  </si>
  <si>
    <t>H-400-23205-211594</t>
  </si>
  <si>
    <t>Acoustic ceiling installer</t>
  </si>
  <si>
    <t>RAMIREZ ACOUSTIC LLC</t>
  </si>
  <si>
    <t>1337 SW 60TH STREET</t>
  </si>
  <si>
    <t>OKLAHOMA CITY</t>
  </si>
  <si>
    <t>Juvera</t>
  </si>
  <si>
    <t>Jenny</t>
  </si>
  <si>
    <t>JUVERASTAXSERVICELLC@OUTLOOK.COM</t>
  </si>
  <si>
    <t xml:space="preserve">Gabriela </t>
  </si>
  <si>
    <t>3812 Wiltshire Dr</t>
  </si>
  <si>
    <t>mgcorpconsulting@gmail.com</t>
  </si>
  <si>
    <t>MG corporative consulting LLC</t>
  </si>
  <si>
    <t xml:space="preserve">Must be able to lift 50 Lbs. Bend, stand and walk for long periods of time. SATURDAY WORK WHEN REQUIRED
</t>
  </si>
  <si>
    <t>1337 SW 60TH ST</t>
  </si>
  <si>
    <t>P-400-23128-003263</t>
  </si>
  <si>
    <t xml:space="preserve">Employer will assist workers with securing housing but will not provide housing. Only deductions required by law. </t>
  </si>
  <si>
    <t>H-400-23263-361031</t>
  </si>
  <si>
    <t>The Other Side Landscaping, LLC</t>
  </si>
  <si>
    <t>1605 W 980 S</t>
  </si>
  <si>
    <t>Gustavo</t>
  </si>
  <si>
    <t>theothersideisalwaysgreener@gmail.com</t>
  </si>
  <si>
    <t>P-400-23205-211103</t>
  </si>
  <si>
    <t>theothersidejobs@gmail.com</t>
  </si>
  <si>
    <t>H-400-23255-340856</t>
  </si>
  <si>
    <t>FEDERAL, SOCIAL SECURITY, MEDICARE AND STATE TAX AS REQUIRED BY STATE LAW AND FEDERAL LAW</t>
  </si>
  <si>
    <t xml:space="preserve">DEPENDABLE OVERSEAS SERVICES </t>
  </si>
  <si>
    <t>H-400-23229-274626</t>
  </si>
  <si>
    <t>LION STONE LLC</t>
  </si>
  <si>
    <t>518 AVENUE A</t>
  </si>
  <si>
    <t>LUEDERS</t>
  </si>
  <si>
    <t>518 AVE A</t>
  </si>
  <si>
    <t>LIONSTONELLC@GMAIL.COM</t>
  </si>
  <si>
    <t>Giacomazzi</t>
  </si>
  <si>
    <t>Mia</t>
  </si>
  <si>
    <t>mia@wyngaardlaw.com</t>
  </si>
  <si>
    <t xml:space="preserve">Some overtime and weekend work may be required.  Hours may vary, depending on weather.  Must be able to perform manual, physical labor outside during all weather conditions (hot, cold, rain, snow, etc.).  Must be able to lift up to 80 lbs.
</t>
  </si>
  <si>
    <t xml:space="preserve">800 PR 2401 </t>
  </si>
  <si>
    <t>SHACKELFORD</t>
  </si>
  <si>
    <t>P-400-23116-966830</t>
  </si>
  <si>
    <t>Employer will deduct required federal, state, and local taxes only.  Employer will assist workers in securing board, lodging, or other facilities only.</t>
  </si>
  <si>
    <t>lionstonellc@gmail.com</t>
  </si>
  <si>
    <t>H-400-23186-166937</t>
  </si>
  <si>
    <t>Helpers -- Installation, Maintenance, and Repair Workers</t>
  </si>
  <si>
    <t>Midtown Systems LLC</t>
  </si>
  <si>
    <t>4615 S. Techlink Cir</t>
  </si>
  <si>
    <t>Griffith</t>
  </si>
  <si>
    <t>jeremyg@midtownsystems.com</t>
  </si>
  <si>
    <t>4615 S Techlink Cir</t>
  </si>
  <si>
    <t>Wage rate may vary based on experience and/or merit. Up to 10 hours overtime available.</t>
  </si>
  <si>
    <t>P-400-23143-045578</t>
  </si>
  <si>
    <t>All deductions will be made as required by law. Employers will provide optional housing to the employees. Employees who elect to live in the housing will have an additional $225 deduction per bi-weekly paycheck for rent and utilities. The employer will provide optional transportation to workers, workers who elect to use this transportation will have an additional $50 deducted bi-weekly for gas and vehicle upkeep. Any advances will be deducted with the consent of the employee.</t>
  </si>
  <si>
    <t>H-400-23258-352372</t>
  </si>
  <si>
    <t>Crabs N Crawfish, Inc.</t>
  </si>
  <si>
    <t>8727 Desert Cloud Lane</t>
  </si>
  <si>
    <t>Hooker</t>
  </si>
  <si>
    <t>livecrawfish10@gmail.com</t>
  </si>
  <si>
    <t xml:space="preserve">Valid Driver's License
Must be able to lift and carry 40 pounds; Repetitive bending and lifting 
</t>
  </si>
  <si>
    <t>14110 Aston Street</t>
  </si>
  <si>
    <t>Paid bi-weekly.</t>
  </si>
  <si>
    <t>P-400-23152-070657</t>
  </si>
  <si>
    <t>The deductions the employer intends to make from paychecks, which is not required by law, would be the deduction of $168.00
per week for the optional housing provided by the employer, if chosen by the employee.</t>
  </si>
  <si>
    <t>H-400-23186-166688</t>
  </si>
  <si>
    <t>PIPEFITTER</t>
  </si>
  <si>
    <t>13601 Preston Rd.</t>
  </si>
  <si>
    <t>Supreme</t>
  </si>
  <si>
    <t xml:space="preserve">Experience working in an industrial environment and 2 years experience in fitting SCH 10 Stainless Steel Piping.  Ability to pass employer paid performance verification in the skills required for the job and drug test. 
</t>
  </si>
  <si>
    <t>P-400-23094-901509</t>
  </si>
  <si>
    <t>Employer will deduct required tax withholdings.  401k participation available.</t>
  </si>
  <si>
    <t>H-400-23184-162616</t>
  </si>
  <si>
    <t>BRADLEY &amp; KEANE CAMPGROUNDS, INC.</t>
  </si>
  <si>
    <t xml:space="preserve">7945 DUNN RD </t>
  </si>
  <si>
    <t>MUNITH</t>
  </si>
  <si>
    <t>CODY</t>
  </si>
  <si>
    <t>5405 E MICHIGAN AVE</t>
  </si>
  <si>
    <t>AMY@LESTERBROS.COM</t>
  </si>
  <si>
    <t>MUST HAVE VALID DRIVER'S LICENSE, POST-HIRE DRUG SCREEN AT EMPLOYER'S EXPENSE, MUST BE ABLE TO LIFT 50LBS, EXTENSIVE SITTING, EXTENSIVE WALKING, FREQUENT STOOPING, EXTENSIVE PUSHING/PULLING, EXPOSURE TO EXTREME TEMPERATURES.
SCHEDULE VARIES, OVERTIME AVAILABLE AS NEEDED.</t>
  </si>
  <si>
    <t>Jackson, MI</t>
  </si>
  <si>
    <t>P-400-23096-911217</t>
  </si>
  <si>
    <t>amy@lesterbros.com</t>
  </si>
  <si>
    <t>H-400-23184-164282</t>
  </si>
  <si>
    <t>P-400-23125-997593</t>
  </si>
  <si>
    <t>All required taxes. If employee signs up for benefits (optional), those will be deducted. Amounts will very depending on the benefits chosen. Employer will assist workers securing board, lodging, or other facilities. Employer will make available hotel rooms for up to two weeks at no charge. Employer will also assist workers with the search tools to secure their own</t>
  </si>
  <si>
    <t>H-400-23216-240992</t>
  </si>
  <si>
    <t>Vintage Farm Corporation</t>
  </si>
  <si>
    <t>245 Doe Run Rd</t>
  </si>
  <si>
    <t>COATESVILLE</t>
  </si>
  <si>
    <t>Danner</t>
  </si>
  <si>
    <t>Coatesville</t>
  </si>
  <si>
    <t>vintagefarm@verizon.net</t>
  </si>
  <si>
    <t>Palm Meadows Thoroughbred Training Center</t>
  </si>
  <si>
    <t>8898 Lyons Road</t>
  </si>
  <si>
    <t>P-400-23128-002045</t>
  </si>
  <si>
    <t>H-400-23184-162189</t>
  </si>
  <si>
    <t>MATICE LANDSCAPING LLC</t>
  </si>
  <si>
    <t>5649 PEBBLESHIRE</t>
  </si>
  <si>
    <t>MATICE</t>
  </si>
  <si>
    <t>RANDY</t>
  </si>
  <si>
    <t>MATICELANDSCAPING@AOL.COM</t>
  </si>
  <si>
    <t>MUST HAVE VALID DRIVERS LICENSE. MUST BE ABLE TO LIFT 80 LBS. REPETITIVE MOVEMENTS, EXTENSIVE PUSHING/PULLING, EXTENSIVE WALKING, FREQUENT STOOPING, EXPOSURE TO EXTREME TEMPERATURES.
SCHEDULE VARIES, OVERTIME AVAILABLE AS NEEDED.</t>
  </si>
  <si>
    <t>2425 COLE STREET</t>
  </si>
  <si>
    <t>BIRMINGHAM</t>
  </si>
  <si>
    <t>P-400-23135-022337</t>
  </si>
  <si>
    <t>maticelandscaping@aol.com</t>
  </si>
  <si>
    <t>H-400-23276-406468</t>
  </si>
  <si>
    <t>Iconic Midway Rides, LLC</t>
  </si>
  <si>
    <t>1205 Lake Valley Drive</t>
  </si>
  <si>
    <t>(Mail: 7737 Westpoint Dr. Wesley Chapel, FL 33544)</t>
  </si>
  <si>
    <t>Marina</t>
  </si>
  <si>
    <t>Managing Member/CEO</t>
  </si>
  <si>
    <t>marinazaitshik@me.com</t>
  </si>
  <si>
    <t>GENESEE</t>
  </si>
  <si>
    <t>Flint, MI</t>
  </si>
  <si>
    <t>P-400-23199-196111</t>
  </si>
  <si>
    <t>H-400-23215-235987</t>
  </si>
  <si>
    <t xml:space="preserve">Dacotahtel, LLC </t>
  </si>
  <si>
    <t>3310 7th Ave SE</t>
  </si>
  <si>
    <t>P-400-23167-118334</t>
  </si>
  <si>
    <t>H-400-23237-295853</t>
  </si>
  <si>
    <t>Housekeeper/Dishwasher</t>
  </si>
  <si>
    <t>UNIT 1712</t>
  </si>
  <si>
    <t>9860 S. Thomas Drive</t>
  </si>
  <si>
    <t>STE 1712</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</si>
  <si>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1-month hotel/resort housekeeping experience required
	Rotate/split shifts
	Supplies, work tools and equipment are provided free
	The employer will make all deductions from worker's paycheck required by law
	Must lift/carry 50 lbs., when necessary.  
	Supplies, work tools &amp; equipment are provided free
	No daily transportation to/from work provided.
	No on the job training provided. 
</t>
  </si>
  <si>
    <t xml:space="preserve">500 Mandalay Ave </t>
  </si>
  <si>
    <t>P-400-23137-030549</t>
  </si>
  <si>
    <t>•Employer will make all deductions from worker's paycheck required by law. 
•Employer will deduct any written preapproved deduction requested by employee 
Voluntary/Optional, Third-Party Rent/housing: Provided by a third party company
•Optional &amp; Voluntary 3rd party housing may be available at $150 - $175/ WK &amp; may be voluntarily payroll deducted biweekly
•Waterloo Hospitality could act as guarantor for timely rent payment however, lease is directly with 3rd party service provider &amp; between employees &amp; housing company as Waterloo Hospitality has no housing of its own
•Housing Deposits and/or a $250 nonrefundable administrative fee may be required if you choose the voluntary optional 3rd party housing
•Third party housing provider/landlord may require that the last 8 weeks of rent (covering June 21, 2024 to Aug 16 2024) be prepaid upfront or payroll deducted in installments of $150 per pay period until full payment is achieved. This pre-paid last 8 wks rent is nonrefundable</t>
  </si>
  <si>
    <t>H-400-23336-539437</t>
  </si>
  <si>
    <t>Benson Enterprises of New York Inc</t>
  </si>
  <si>
    <t>Benson Enterprises</t>
  </si>
  <si>
    <t>1986 Bennett Rd</t>
  </si>
  <si>
    <t>scott@bensonenterprises.com</t>
  </si>
  <si>
    <t>Pre-hire background check required, Pre-employment drug testing required, Able to lift 50lbs, M-F, Overtime Varies, rotating schedule, schedule varies, some weekends as needed.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</si>
  <si>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 xml:space="preserve">Raise at employer's discretion. Percentage of 401K offered. </t>
  </si>
  <si>
    <t>P-400-23201-202916</t>
  </si>
  <si>
    <t>Employer may make payroll deductions at employee's request. Employer facilitates voluntary housing arrangements upon request.</t>
  </si>
  <si>
    <t>jobs@bensonenterprises.com</t>
  </si>
  <si>
    <t>H-400-23307-475851</t>
  </si>
  <si>
    <t>Fairway Lawns, LLC</t>
  </si>
  <si>
    <t>Andy's Sprinkler &amp; Drainage</t>
  </si>
  <si>
    <t>7507 68th Street</t>
  </si>
  <si>
    <t>Runte</t>
  </si>
  <si>
    <t>Carmen</t>
  </si>
  <si>
    <t>Vice President Human Resources</t>
  </si>
  <si>
    <t>hr@sprinklerdrainage.com</t>
  </si>
  <si>
    <t>Coeur d’Alene</t>
  </si>
  <si>
    <t>7507 68th Street (Report to Work)</t>
  </si>
  <si>
    <t>Wage may vary based on Experience.</t>
  </si>
  <si>
    <t>P-400-23195-188617</t>
  </si>
  <si>
    <t>Optional, shared housing available to the worker at a monthly housing rate up to $359.28; if optional housing is agreed upon by the worker, monthly housing rate will be deducted from worker's paycheck incrementally (bi-weekly).</t>
  </si>
  <si>
    <t>seasonaljobs@fairwaylawns.com</t>
  </si>
  <si>
    <t>H-400-23332-526844</t>
  </si>
  <si>
    <t>Hermes Landscaping, Inc.</t>
  </si>
  <si>
    <t>13030 West 87th Street Parkway</t>
  </si>
  <si>
    <t>Wilcox</t>
  </si>
  <si>
    <t>April</t>
  </si>
  <si>
    <t>VP Human Resources/Brand</t>
  </si>
  <si>
    <t xml:space="preserve">Must lift/carry 50 lbs., when necessary.  Saturday and Sunday work required, when necessary.   Post-hire upon suspicion of use and post-accident drug testing required of foreign and domestic workers.  Additional post-hire background check and drug testing required of all new foreign and domestic workers if worker is driving a company vehicle (driving is not a requirement of all workers in the position).  Post-hire background checks may also  be required of foreign and domestic workers based on contract requirements. Employer may offer more than the stated work hours depending on weather, business needs, and other conditions. Extreme heat, cold, rain, or drought may affect exact working hours.
</t>
  </si>
  <si>
    <t>20000 West 47th Street</t>
  </si>
  <si>
    <t>P-400-23267-376422</t>
  </si>
  <si>
    <t>Emplyr makes all payroll deducts req’d by law. Emplyr does not envision other workforce-wide payroll deducts. Emplyr helps non-local workers secure optional worker-paid lodging (not to exceed fair market value, based on # occupants; cost TBD). Housing costs paid directly to landlord &amp; not payroll deducted.  Voluntary advances &amp;/or loans made to workers may be repaid by pre-authorized payroll deducts. Emplyr may deduct reasonable cost for lost/damaged tools or equip resulting from worker negligence.  Emplyr may deduct retirement/savings plan contributions &amp;/or health ins premiums for workers voluntarily participating in plan(s). Uniform provided at no cost. Emplyr may deduct cost for voluntary purchase of add’l uniforms for worker's benefit.  Emplyr may also deduct for union dues. Emplyr provides incidental transport btwn worksites as necessary. No daily transport to/from workers' home &amp; primary worksite. Such transport complies with all applicable Federal, State, and local laws/reg</t>
  </si>
  <si>
    <t>h2b@hermeslandscaping.com</t>
  </si>
  <si>
    <t>Turner</t>
  </si>
  <si>
    <t xml:space="preserve">Must be able to pass CPR and Shallow water lifeguard course. Must pass a pre-employment criminal background check, paid by employer and applied equally to all workers, U.S. and foreign/H-2B. Must be able to work weekends and holidays, when required. Must be able to work with various standard household/pool cleaning agents. Must be able in work in environment with loud noises levels. Must be able to work outdoors in a non-climate-controlled environment. Multiple shifts offered based on business needs. Applicants must complete an employment application. Employer may offer more than the stated work hours depending on weather, business needs, and other conditions. Extreme heat, cold, rain, or drought may affect exact working hours.
</t>
  </si>
  <si>
    <t>H-400-23307-475869</t>
  </si>
  <si>
    <t>Gordon B.</t>
  </si>
  <si>
    <t>7848 Bethlehem Rd. (Report to Work)</t>
  </si>
  <si>
    <t>P-400-23204-208475</t>
  </si>
  <si>
    <t>Hill</t>
  </si>
  <si>
    <t>House Springs</t>
  </si>
  <si>
    <t>WRIGHT</t>
  </si>
  <si>
    <t>www.minnesotaworks.net</t>
  </si>
  <si>
    <t>H-400-23336-539154</t>
  </si>
  <si>
    <t>Highland Turf Solutions LLC</t>
  </si>
  <si>
    <t>6900 N US 19 E Highway</t>
  </si>
  <si>
    <t>Benfield</t>
  </si>
  <si>
    <t>j.benfield1@me.com</t>
  </si>
  <si>
    <t>655 Milledge Rd (Report to Work)</t>
  </si>
  <si>
    <t>P-400-23181-160745</t>
  </si>
  <si>
    <t>Optional, shared furnished housing available to the worker (including: Utilities) at a monthly housing rate up to $650; if optional housing is agreed upon by the worker, monthly housing rate will be deducted from worker's paycheck incrementally (bi-weekly).At Employer’s sole discretion: possible cash advances (if applicable/requested by worker, potential deduction from worker’s paycheck).</t>
  </si>
  <si>
    <t>Rangel</t>
  </si>
  <si>
    <t>ORLANDO</t>
  </si>
  <si>
    <t>OLMSTED</t>
  </si>
  <si>
    <t>Rochester, MN</t>
  </si>
  <si>
    <t>Higgins</t>
  </si>
  <si>
    <t>H-400-23320-505189</t>
  </si>
  <si>
    <t>We need a mechanic with studies and knowledge in Diesel trucks, specifically of the type Freightliner and volvo 18 wheelers.</t>
  </si>
  <si>
    <t>Deductions from salary will be those required by law.</t>
  </si>
  <si>
    <t>H-400-23325-516010</t>
  </si>
  <si>
    <t>Ecoscape Solutions Group, LLC - OH</t>
  </si>
  <si>
    <t>7017 Americana Parkway,</t>
  </si>
  <si>
    <t>Mailing: PO Box 3328, Huntersville, NC 28070</t>
  </si>
  <si>
    <t>Reynoldsburg</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</si>
  <si>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Employer may offer more than the stated work hours depending on weather, business needs, and other conditions. Extreme heat, cold, rain, or drought may affect exact working hours.
</t>
  </si>
  <si>
    <t>P-400-23259-352655</t>
  </si>
  <si>
    <t>Emplyr makes all payroll deducts req’d by law. Emplyr doesnt envision other workforce-wide payroll deducts. If requested emplyr helps non-local wrkrs secure opt’l wrkr-paid lodging. Emplyr deducts reasonable fair market value cost of rent/utilities based on # of occupants electing to reside in emplyr-provided housing (cost TBD). Vol. advances/loans made to wrkrs may be repaid by pre-authorized payroll deducts. Emplyr deducts for reasonable cost of negligent damage to lodging facilities. Emplyr may deduct retirement/savings plan contributions/health ins. premiums for wrkrs vol. participating in plans. Uniform provided @ no cost. Emplyr may deduct cost for lost/damaged uniforms resulting from wrkr negligence or vol. purchase of add’l uniforms for wrkrs benefit.  Emplyr may deduct for vol. boot purchase program. Emplyr provides incidental transport between wrksites. Employer offers free daily transport to/from wrksite from designated pick-up loc. Use of transport voluntary.</t>
  </si>
  <si>
    <t>BURLEIGH</t>
  </si>
  <si>
    <t>Bismarck, ND</t>
  </si>
  <si>
    <t>ABC Professional Tree Services, Inc - Baton Rouge</t>
  </si>
  <si>
    <t>15150 Florida Blvd,</t>
  </si>
  <si>
    <t>Plain City</t>
  </si>
  <si>
    <t>H-400-23291-439878</t>
  </si>
  <si>
    <t>Aloha Pools of Jackson LLC</t>
  </si>
  <si>
    <t>614 Carriage House Dr. STE A</t>
  </si>
  <si>
    <t>Darlamichelle2@hotmail.com</t>
  </si>
  <si>
    <t>614 Carriage House Dr. Ste A</t>
  </si>
  <si>
    <t>P-400-23226-262385</t>
  </si>
  <si>
    <t xml:space="preserve">Employer will make all deductions from the worker's paycheck required by law.  Employer WILL NOT deduct rent from pay. </t>
  </si>
  <si>
    <t>Banquet Setup Staff</t>
  </si>
  <si>
    <t>Southern Pennsylvania nonmetropolitan area</t>
  </si>
  <si>
    <t xml:space="preserve">Requires three months of previous landscape experience. Must lift/carry 50 lbs., when necessary.  Saturday work required, when necessary.  Post-hire upon suspicion of use and post-accident drug testing required of foreign and domestic workers. Employer may offer more than the stated work hours depending on weather, business needs, and other conditions. Extreme heat, cold, rain, or drought may affect exact working hours.
</t>
  </si>
  <si>
    <t>CENTER MORICHES</t>
  </si>
  <si>
    <t>Enrique</t>
  </si>
  <si>
    <t>Hartsville</t>
  </si>
  <si>
    <t>Florence, SC</t>
  </si>
  <si>
    <t>H-400-23307-476905</t>
  </si>
  <si>
    <t>Schultz &amp; Co Landscapes, LLC</t>
  </si>
  <si>
    <t>5038 Bacon Rd</t>
  </si>
  <si>
    <t>Vignes</t>
  </si>
  <si>
    <t>Dwayne</t>
  </si>
  <si>
    <t>dvignes@schultzlandscapes.com</t>
  </si>
  <si>
    <t xml:space="preserve">Monday-Friday, some Saturdays required, schedule varies, end time varies, additional overtime varies. Able to lift 50lbs. Pre-hire background check required;Random drug testing during employment;Pre-employment drug testing required;Post-Accident Drug Testing.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</si>
  <si>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Raise at employer's discretion. Percentage of 401K offered.</t>
  </si>
  <si>
    <t>P-400-23164-104198</t>
  </si>
  <si>
    <t>info@schultzlandscapes.com</t>
  </si>
  <si>
    <t>H-400-23321-510033</t>
  </si>
  <si>
    <t>Brummel Lawn and Landscaping LLC</t>
  </si>
  <si>
    <t>1130 SW 28th Street</t>
  </si>
  <si>
    <t>Blue Springs</t>
  </si>
  <si>
    <t>Brummel</t>
  </si>
  <si>
    <t>nick@brummellawn.com</t>
  </si>
  <si>
    <t>1130 SW 28th St</t>
  </si>
  <si>
    <t>P-400-23195-191262</t>
  </si>
  <si>
    <t>marla@brummellawn.com</t>
  </si>
  <si>
    <t>H-400-23321-509947</t>
  </si>
  <si>
    <t>Snow removers</t>
  </si>
  <si>
    <t>Dunphy Farms LLC</t>
  </si>
  <si>
    <t>1415 16th Ave N.</t>
  </si>
  <si>
    <t>P.O. Box 416</t>
  </si>
  <si>
    <t>Humboldt</t>
  </si>
  <si>
    <t>Dunphy</t>
  </si>
  <si>
    <t>adunphy129@gmail.com</t>
  </si>
  <si>
    <t xml:space="preserve">Must lift and carry 75 lbs for 25 yards. Must be able to handle temperature extremes. 
</t>
  </si>
  <si>
    <t>550 110th st</t>
  </si>
  <si>
    <t>Kanawha</t>
  </si>
  <si>
    <t xml:space="preserve">Wage rate may vary on experience and/or merit. </t>
  </si>
  <si>
    <t>P-400-23282-418418</t>
  </si>
  <si>
    <t xml:space="preserve">Any advances will be deducted with the consent of the employee. Employees who elect to live in the housing will have an additional $50.00 deducted Weekly paycheck for rent and utilities. Optional daily transportation will be provided from and to the worksite at no cost.
</t>
  </si>
  <si>
    <t>Greeley</t>
  </si>
  <si>
    <t xml:space="preserve">Robert </t>
  </si>
  <si>
    <t>WILSON</t>
  </si>
  <si>
    <t>Bel Air</t>
  </si>
  <si>
    <t>443 Moon Clinton Rd</t>
  </si>
  <si>
    <t>443 Moon Clinton Rd.</t>
  </si>
  <si>
    <t>WISE</t>
  </si>
  <si>
    <t>North Star Coop</t>
  </si>
  <si>
    <t>1304 Hwy 5 West</t>
  </si>
  <si>
    <t>Cavalier</t>
  </si>
  <si>
    <t>O’Hara</t>
  </si>
  <si>
    <t>Agronomy Manager</t>
  </si>
  <si>
    <t>1304 Hwy 5 west</t>
  </si>
  <si>
    <t>johara@polarcomm.com</t>
  </si>
  <si>
    <t>WALSH</t>
  </si>
  <si>
    <t>Marvin</t>
  </si>
  <si>
    <t>H-400-23295-448657</t>
  </si>
  <si>
    <t>Eich's LLC</t>
  </si>
  <si>
    <t>10013 Alafia St.</t>
  </si>
  <si>
    <t>Eich</t>
  </si>
  <si>
    <t>toddeich72@yahoo.com</t>
  </si>
  <si>
    <t>P-400-23195-190927</t>
  </si>
  <si>
    <t>H-400-23307-475818</t>
  </si>
  <si>
    <t>Krause Infrastructure, LLC</t>
  </si>
  <si>
    <t>13201 Indian Hill Rd.</t>
  </si>
  <si>
    <t>13201 Indian Hill Rd. (Report to Work)</t>
  </si>
  <si>
    <t>POTTER</t>
  </si>
  <si>
    <t>P-400-23200-201224</t>
  </si>
  <si>
    <t>Optional, shared housing available to the worker at a monthly housing rate up to $250.00; if optional housing is agreed upon by the worker, monthly housing rate will be deducted from worker's paycheck incrementally (weekly).</t>
  </si>
  <si>
    <t>kelci@krauselandscape.com</t>
  </si>
  <si>
    <t>Christi</t>
  </si>
  <si>
    <t>Tree Planter</t>
  </si>
  <si>
    <t xml:space="preserve">Ogburn </t>
  </si>
  <si>
    <t xml:space="preserve">Ryan </t>
  </si>
  <si>
    <t>www.worksourcewa.com</t>
  </si>
  <si>
    <t>Medrano</t>
  </si>
  <si>
    <t>Alicia</t>
  </si>
  <si>
    <t>Burnett</t>
  </si>
  <si>
    <t>1523 Polymnia Street</t>
  </si>
  <si>
    <t>mburnett@burnettlawoffices.com</t>
  </si>
  <si>
    <t>Law Offices of Malvern C. Burnett, APLC</t>
  </si>
  <si>
    <t>mlau@burnettlawoffices.com</t>
  </si>
  <si>
    <t>H-400-23319-504868</t>
  </si>
  <si>
    <t>Concessions Unlimited, LLC</t>
  </si>
  <si>
    <t>34 County Road 2751</t>
  </si>
  <si>
    <t>Mailing: PO Box 896 Hughes Springs, TX 75656</t>
  </si>
  <si>
    <t>jefforymckinney@aol.com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</si>
  <si>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Applicants must cooperate with and complete job application and interview truthfully.</t>
  </si>
  <si>
    <t>P-400-23258-350581</t>
  </si>
  <si>
    <t>P-400-23193-184952</t>
  </si>
  <si>
    <t xml:space="preserve"> Employer will make all deductions from worker’s paycheck required by law. The employer will assist worker in finding appropriate and affordable housing.</t>
  </si>
  <si>
    <t>H-400-23307-475858</t>
  </si>
  <si>
    <t>Cemetery Services, Inc.</t>
  </si>
  <si>
    <t>2280 West 21st Ave.</t>
  </si>
  <si>
    <t>Fielding</t>
  </si>
  <si>
    <t>annette@ejfielding.net</t>
  </si>
  <si>
    <t>2280 W 21st. Ave. (Report to Work)</t>
  </si>
  <si>
    <t>P-400-23225-260382</t>
  </si>
  <si>
    <t>Douglas</t>
  </si>
  <si>
    <t>H-400-23336-539254</t>
  </si>
  <si>
    <t>DILEO LANDSCAPING LTD</t>
  </si>
  <si>
    <t>93 EAST MARIE STREET</t>
  </si>
  <si>
    <t>PO BOX 328, PLAINVIEW NY 11803</t>
  </si>
  <si>
    <t>HICKSVILLE</t>
  </si>
  <si>
    <t>DILEO</t>
  </si>
  <si>
    <t>DANIELE</t>
  </si>
  <si>
    <t>PO BOX 328</t>
  </si>
  <si>
    <t>93 EAST MARIE STREET HICKSVILLE NY 11801</t>
  </si>
  <si>
    <t>PLAINVIEW</t>
  </si>
  <si>
    <t>P-400-23205-211723</t>
  </si>
  <si>
    <t>dileodoesitall@gmail.com</t>
  </si>
  <si>
    <t>H-400-23336-538890</t>
  </si>
  <si>
    <t>3001 S Ocean Blvd</t>
  </si>
  <si>
    <t>Must be able to lift up to 75 lbs. Must pass a pre-employment criminal background check, paid by employer and applied equally to all workers, U.S. and foreign/H-2B. Must be able to work weekends and holidays, when required.  Must be able to work outdoors in a non-climate-controlled environment. Must be able to work with various standard household cleaning agents. Multiple shifts offered based on business needs.. Applicants must complete an employment application. Employer may offer more than the stated work hours depending on weather, business needs, and other conditions. Extreme heat, cold, rain, or drought may affect exact working hours.</t>
  </si>
  <si>
    <t>3020 Owners Club Court</t>
  </si>
  <si>
    <t>P-400-23295-448697</t>
  </si>
  <si>
    <t>H-400-23336-539667</t>
  </si>
  <si>
    <t>RM Aztec Construction LLC</t>
  </si>
  <si>
    <t>Aztec Construction</t>
  </si>
  <si>
    <t>5003 52nd St.</t>
  </si>
  <si>
    <t>Mata</t>
  </si>
  <si>
    <t>rmaztecconstructionllc@outlook.com</t>
  </si>
  <si>
    <t xml:space="preserve">Able to lift 50lbs, Must be able to work at heights of 10'. Monday-Friday, some Saturdays are required, schedules varies, end time varies, overtime varies 
</t>
  </si>
  <si>
    <t>5003 52nd St</t>
  </si>
  <si>
    <t>raises at employer's discretion, opportunity for higher pay depending on performance and experience.</t>
  </si>
  <si>
    <t>P-400-23262-357356</t>
  </si>
  <si>
    <t>Employer may make payroll deductions at employee's request; Employer facilitates voluntary housing arrangements</t>
  </si>
  <si>
    <t>H-400-23284-425807</t>
  </si>
  <si>
    <t>Seafood Plant Laborer</t>
  </si>
  <si>
    <t>Farmworkers, Farm, Ranch, and Aquacultural Animals</t>
  </si>
  <si>
    <t>Doherty</t>
  </si>
  <si>
    <t>Leanna</t>
  </si>
  <si>
    <t>leanna.boyds1@gmail.com</t>
  </si>
  <si>
    <t>140 North 2nd Street</t>
  </si>
  <si>
    <t xml:space="preserve">Must be able to lift fifty (50) pounds; May be subject to random drug screen upon hire paid for by employer and/or a drug screen paid for by employer based off of reasonable suspicions during employment. This is a drug-free work place. 
</t>
  </si>
  <si>
    <t>Employees may make above hourly wage rate or receive bonuses based on work perform and/or experience. 
Work hours and days: Mon-Fri; between 1:00A.M. - 12:00PM depending on scheduling, including 1 unpaid lunch hour; 35 hours/week</t>
  </si>
  <si>
    <t>P-400-23152-070957</t>
  </si>
  <si>
    <t>Employer will make all deduction(s) from pay required by law. Optional housing is available to workers for the option to
board; $125.00/week per person will be deducted for housing for workers who choose housing; housing is not mandatory.</t>
  </si>
  <si>
    <t>H-400-23321-511027</t>
  </si>
  <si>
    <t>Lawn and Landscape Laborer</t>
  </si>
  <si>
    <t>Landscape Plus LLC (LSP124A)</t>
  </si>
  <si>
    <t>43055 W Pleasant Ridge Rd</t>
  </si>
  <si>
    <t>Rakocy</t>
  </si>
  <si>
    <t>Administration</t>
  </si>
  <si>
    <t>info_landscape_plus@udwss.com</t>
  </si>
  <si>
    <t xml:space="preserve">Must perform duties while sober. Employer-paid post-employment drug test may be administered. Must be available for the entire work contract period.  Must tolerate extreme weather conditions.  Must be able to work standing, stooping, and handling strenuous and physical labor all day.
Work days: Sunday-Saturday.Varies depending on crew assignment and weather. 
Hours per week: 40
Work Schedule: 5:30am - 3:30pm. Varies depending on weather.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We offer a 3-bed, 2 bath trailer across street from shop
Deductions: Workers staying in employer-provided housing will be deducted approximately $300/month. Housing is optional. </t>
  </si>
  <si>
    <t>18011 N I-12 Service Rd</t>
  </si>
  <si>
    <t>P-400-23198-192137</t>
  </si>
  <si>
    <t xml:space="preserve">Workers staying in employer-provided housing will be deducted approximately $300/month. Housing is optional. 
</t>
  </si>
  <si>
    <t> form.jotform.com/UDWSS/landscape-plus</t>
  </si>
  <si>
    <t>Director of Talent Acquisition</t>
  </si>
  <si>
    <t xml:space="preserve">Appellate Div of the Supreme Court, 1st Dept. </t>
  </si>
  <si>
    <t>H-400-23313-489288</t>
  </si>
  <si>
    <t>P-400-23193-183379</t>
  </si>
  <si>
    <t>H-400-23336-538992</t>
  </si>
  <si>
    <t>AQUACADE SWIMMING POOL INC</t>
  </si>
  <si>
    <t xml:space="preserve">109 STEWART AVENUE </t>
  </si>
  <si>
    <t>VEVANTE</t>
  </si>
  <si>
    <t>109 STEWART AVE</t>
  </si>
  <si>
    <t>P-400-23207-216001</t>
  </si>
  <si>
    <t>KEVIN@AQUACADEPOOLS.COM</t>
  </si>
  <si>
    <t>ABC Professional Tree Services, Inc - Conroe</t>
  </si>
  <si>
    <t>fsafun@icloud.com</t>
  </si>
  <si>
    <t>H-400-23307-475884</t>
  </si>
  <si>
    <t>Hickman's Landscape Maintenance, LLC</t>
  </si>
  <si>
    <t>Charleston Grounds Management</t>
  </si>
  <si>
    <t>7325 Peppermill Pkwy</t>
  </si>
  <si>
    <t>North Charleston</t>
  </si>
  <si>
    <t>Hickman</t>
  </si>
  <si>
    <t>Mailing address: PO Box 644, Johns Island, SC 29457</t>
  </si>
  <si>
    <t>kim@charlestongrounds.com</t>
  </si>
  <si>
    <t xml:space="preserve">Post-employment background-check and post-employment/injury or incident drug testing required, costs paid for by employer and applied equally to all workers, U.S. and foreign/H-2B. Must be able to work a 4 day schedule, may include weekends and holidays. Applicants must complete an employment application.  
</t>
  </si>
  <si>
    <t>P-400-23200-201916</t>
  </si>
  <si>
    <t xml:space="preserve">Employer will make all deductions from the worker's paycheck required by law and deduct cost of housing and medical plan if worker elects. Optional employee only shared housing approx. $137 per week, including utilities and transportation to/from work. $200 deposit required and refundable if no damages to housing. Optional medical plan $15.70 per pay period if the worker elects.
Transportation provided from main worksite in Charleston County to multiple worksites in Charleston, Berkeley, and Dorchester Counties, SC. 
Employer will provide worker at no charge all tools, supplies, and equipment required to perform job. Required uniform provided at no charge to the worker.
</t>
  </si>
  <si>
    <t>H-400-23261-355197</t>
  </si>
  <si>
    <t>Floor (Pit) Supervisor</t>
  </si>
  <si>
    <t>First-Line Supervisors of Gambling Services Workers</t>
  </si>
  <si>
    <t xml:space="preserve">VI Gaming Key Employee License
Fluent in English
Must be 21 years old and able to obtain a VI Gaming License. Must have knowledge of Title 31. Must not have been convicted of a felony.
</t>
  </si>
  <si>
    <t>P-400-23183-162066</t>
  </si>
  <si>
    <t>All deductions from the worker's paycheck required by law will be made, including but not limited to VI Income Tax, Social Security, Medicare. Amounts unknown as it depends on hours worked. There will be a deduction of $300 per month for housing ($150 per bi-weekly pay period). Housing is optional.</t>
  </si>
  <si>
    <t>H-400-23336-538967</t>
  </si>
  <si>
    <t>Complete Industries, Inc</t>
  </si>
  <si>
    <t>Complete Landscaping Service</t>
  </si>
  <si>
    <t>2410 N Crain Highway</t>
  </si>
  <si>
    <t>Laidley</t>
  </si>
  <si>
    <t>marklaidley@completelandscapingservice.com</t>
  </si>
  <si>
    <t>2410 N Crain Hwy (Report to Work)</t>
  </si>
  <si>
    <t>P-400-23200-201771</t>
  </si>
  <si>
    <t>hr@completelandscapingservice.com</t>
  </si>
  <si>
    <t>MAHONING</t>
  </si>
  <si>
    <t>H-400-23250-328423</t>
  </si>
  <si>
    <t>1901 State Road 419</t>
  </si>
  <si>
    <t>Panacek</t>
  </si>
  <si>
    <t xml:space="preserve">Hours, schedule, and days vary widely.  
Typically, Mon-Fri, 8am  5:00pm.  
Often 35-40 hours per week, no overtime anticipated.  
Work needs (i.e., hours, days, schedule, location, and work positions) vary.  
Work needs subject to industry practice and are not guaranteed per day, per week, per schedule, or per worker, e.g., rainouts, amount of equipment in operation, staffing, etc., and unforeseen cancellations.  
Must be able to lift 50 pounds.  
Must complete and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Must commute to and from jobsite.
</t>
  </si>
  <si>
    <t>SEMINOLE</t>
  </si>
  <si>
    <t>P-400-23139-039089</t>
  </si>
  <si>
    <t xml:space="preserve">Optional mobile housing ($175/week)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 </t>
  </si>
  <si>
    <t>H-400-23288-432234</t>
  </si>
  <si>
    <t>George's Fun Foods, LLC</t>
  </si>
  <si>
    <t>7005 MOTTIE RD</t>
  </si>
  <si>
    <t>[PO BOX 420 GIBSONTON, FL 33534]</t>
  </si>
  <si>
    <t>GIBSONTON</t>
  </si>
  <si>
    <t>georgesfunfoods@yahoo.com</t>
  </si>
  <si>
    <t>P-400-23221-252428</t>
  </si>
  <si>
    <t>Waco</t>
  </si>
  <si>
    <t>H-400-23334-533849</t>
  </si>
  <si>
    <t>Arev Hospitality, LLC (ARV224A)</t>
  </si>
  <si>
    <t xml:space="preserve"> DBA La Cueva Restaurante Mexicano</t>
  </si>
  <si>
    <t>875 N SR 24</t>
  </si>
  <si>
    <t>Torrey</t>
  </si>
  <si>
    <t>Kyababchyan</t>
  </si>
  <si>
    <t>Zohrab</t>
  </si>
  <si>
    <t>arevhospitality@gmail.com</t>
  </si>
  <si>
    <t xml:space="preserve">Must be able to work while sober, post-employment Employer-paid drug testing may be administered post-hire. 
Work days: Sun - Sat
Hours per week: 35 hrs/wk 
Work Schedule: Rotating schedule Sun- Sat, Two shifts: 6:30am - 2pm; 2pm- 10pm. Schedule will vary. 
Additional information about wage:
Employer may offer a raise or bonus depending on experience and merit.
Pay Assurance: 
Daily Transportation provided to all worksite locations from primary worksite?  N/A
Does employer offer a ride to primary worksite location to workers living within a reasonable
commute:  No
Overtime available?  No
On-the-Job Training provided?  Yes
Employer-Provided Tools and Equipment provided?  Yes
Board, Lodging or Other Facilities provided?: Optional housing available with a monthly deduction at market rate. No family housing.
</t>
  </si>
  <si>
    <t>P-400-23242-309754</t>
  </si>
  <si>
    <t xml:space="preserve">Optional housing available with a monthly deduction at market rate. No family housing.
</t>
  </si>
  <si>
    <t>Food Servers, Nonrestaurant</t>
  </si>
  <si>
    <t>Employer makes all payroll deductions required by law. Employer does not envision other workforce-wide payroll deductions. Voluntary advances and/or loans made to workers, if any, may be repaid by pre-authorized payroll deductions. No daily transportation to/from workers' home and primary worksite. Employer provides incidental transportation between multiple worksites as necessary. Such transportation complies with all applicable Federal, State, and local laws/regulations.</t>
  </si>
  <si>
    <t>Glen Mills</t>
  </si>
  <si>
    <t>Must be 18 due to travel.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</si>
  <si>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H-400-23318-499791</t>
  </si>
  <si>
    <t>Curbys Lawn &amp; Garden, LLC</t>
  </si>
  <si>
    <t>14835 S. Gardner Rd.</t>
  </si>
  <si>
    <t>P O Box 301, Olathe, Kansas 66051</t>
  </si>
  <si>
    <t>Curby</t>
  </si>
  <si>
    <t>info@curbyslawn.com</t>
  </si>
  <si>
    <t xml:space="preserve">Lift/carry up to 50 pounds. Employer paid drug test is Pre-Employment, Post Employment, Post Accident, Random (post-employment), Upon Suspicion (Post Employment) 
</t>
  </si>
  <si>
    <t>14835 S Gardner Rd</t>
  </si>
  <si>
    <t>P-400-23222-255262</t>
  </si>
  <si>
    <t>Character limit:Shared housing available to only seasonal full-time employees, not offered to non-employees. Employees may make their own arrangements at their own expense. If they opt to live in employer provided housing rent (utilities included) charged at $56.25/week.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t>
  </si>
  <si>
    <t>Torgerson Properties Inc.</t>
  </si>
  <si>
    <t>TPI Hospitality</t>
  </si>
  <si>
    <t>103 15th Avenue NW</t>
  </si>
  <si>
    <t>Willmar</t>
  </si>
  <si>
    <t>Bromelkamp</t>
  </si>
  <si>
    <t xml:space="preserve">Pete </t>
  </si>
  <si>
    <t>Chief Human Resources Officer</t>
  </si>
  <si>
    <t>103 15th Ave. NW</t>
  </si>
  <si>
    <t>pete@tpihospitality.com</t>
  </si>
  <si>
    <t xml:space="preserve">Must be able to work a 5-day schedule, including weekends and holidays as required. All employees are expected to report to work on time and be respectful to their co-workers. Applicant must complete an employment application.  
</t>
  </si>
  <si>
    <t>H-400-23292-442554</t>
  </si>
  <si>
    <t>Tree Trimmers</t>
  </si>
  <si>
    <t>BDG Trees, LLC - Little Rock, AR</t>
  </si>
  <si>
    <t xml:space="preserve">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t>
  </si>
  <si>
    <t>200 S Shackleford Rd</t>
  </si>
  <si>
    <t>P-400-23200-200614</t>
  </si>
  <si>
    <t>https://www.arjoblink.arkansas.gov</t>
  </si>
  <si>
    <t>H-400-23336-538924</t>
  </si>
  <si>
    <t>Resort Activities</t>
  </si>
  <si>
    <t xml:space="preserve">Holiday Inn Club Vacations - The Villages </t>
  </si>
  <si>
    <t>Must pass a pre-employment criminal background check, paid by employer and applied equally to all workers, U.S. and foreign/H-2B. Must be able to work weekends and holidays, when required. Must be able to work outdoors in a non-climate-controlled environment. Multiple shifts offered based on business needs. Applicants must complete an employment application. Employer may offer more than the stated work hours depending on weather, business needs, and other conditions. Extreme heat, cold, rain, or drought may affect exact working hours.</t>
  </si>
  <si>
    <t>P-400-23295-448670</t>
  </si>
  <si>
    <t>H-400-23307-476645</t>
  </si>
  <si>
    <t>Omni Stillwater Woods Golf Resort LLC</t>
  </si>
  <si>
    <t>Omni PGA Frisco Resort</t>
  </si>
  <si>
    <t>4341 PGA PARKWAY</t>
  </si>
  <si>
    <t>FRISCO</t>
  </si>
  <si>
    <t>SEEMA</t>
  </si>
  <si>
    <t>4341 PGA Parkway</t>
  </si>
  <si>
    <t>seema.patel@omnihotels.com</t>
  </si>
  <si>
    <t xml:space="preserve">No minimum education or experience required. 
Must be able to lift 25lbs.
Must pass a post-employment criminal background check,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</si>
  <si>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P-400-23226-262554</t>
  </si>
  <si>
    <t xml:space="preserve">Employer will provide on-the-job training. A single workweek will be used in computing wages due. Workers will be paid bi-weekly. 
Employer will make all deductions from the worker's paycheck required by law. Public transportation available 2 miles from worksite. The employer will assist in locating housing. Optional one meal available per shift at approx. $1 per meal, payroll deducted if worker elects. 
</t>
  </si>
  <si>
    <t>Kevon</t>
  </si>
  <si>
    <t>6765 N Crystal Springs Rd</t>
  </si>
  <si>
    <t xml:space="preserve">Requires three months of previous landscape experience. Must lift/carry 50 lbs., when necessary.  Saturday and Sunday work required, when necessary.  Employer-paid drug testing required of foreign and domestic workers prior to commencing work and post-hire at random, upon suspicion of use, and post-accident. Post-hire background check required of foreign and domestic workers, as company serves federal contract sites.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</si>
  <si>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H-400-23281-417176</t>
  </si>
  <si>
    <t>Amusement &amp; Recreation Attendants – Traveling Carnival</t>
  </si>
  <si>
    <t>Pride Amusements of Missouri, Inc.</t>
  </si>
  <si>
    <t>Pride Amusements</t>
  </si>
  <si>
    <t>3834 W 7th</t>
  </si>
  <si>
    <t>(Mail: PO Box 486, Joplin MO 64802)</t>
  </si>
  <si>
    <t>Joplin</t>
  </si>
  <si>
    <t>Sondra</t>
  </si>
  <si>
    <t>slb3811@gmail.com</t>
  </si>
  <si>
    <t>P-400-23229-273190</t>
  </si>
  <si>
    <t>Kelli</t>
  </si>
  <si>
    <t>www.cthires.com</t>
  </si>
  <si>
    <t>Auburn</t>
  </si>
  <si>
    <t xml:space="preserve">Lift/carry up to 50 pounds. Employer paid drug test is Random (post-employment) 
</t>
  </si>
  <si>
    <t>STOCK CLERK</t>
  </si>
  <si>
    <t>ASEDA STAFFING LLC</t>
  </si>
  <si>
    <t>BURKS</t>
  </si>
  <si>
    <t>MARY</t>
  </si>
  <si>
    <t>Managing Partner</t>
  </si>
  <si>
    <t>Bates</t>
  </si>
  <si>
    <t>H-400-23293-446276</t>
  </si>
  <si>
    <t>Host Person</t>
  </si>
  <si>
    <t xml:space="preserve">Plus gratuities </t>
  </si>
  <si>
    <t>P-400-23222-254588</t>
  </si>
  <si>
    <t>All required taxes. If employee signs up for benefits (optional), those will be deducted. Amounts will very depending on the benefits chosen.
Aimbridge will assist workers in securing board, lodging or other facilities. Aimbridge will make available hotel rooms for up to two weeks at no charge. Aimbridge will also assist workers with securing their own housing thereafter.</t>
  </si>
  <si>
    <t>Must be 18 due to state labor laws.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45lbs.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</si>
  <si>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H-400-23307-476400</t>
  </si>
  <si>
    <t>Warehouse Laborer</t>
  </si>
  <si>
    <t>Three Rivers Farm Supply Inc</t>
  </si>
  <si>
    <t>5340 Hwy 84 E</t>
  </si>
  <si>
    <t>P.O. Box 1570 Ferriday LA 71334 Mailing</t>
  </si>
  <si>
    <t>Vidalia</t>
  </si>
  <si>
    <t>Guillory</t>
  </si>
  <si>
    <t>P.O. Box 1570</t>
  </si>
  <si>
    <t>Ferriday</t>
  </si>
  <si>
    <t>threeriversc@aol.com</t>
  </si>
  <si>
    <t xml:space="preserve">MUST BE ABLE TO LIFT UP 50 LBS TO 60 LBS, WALK, BEND, STOOP, REACH OVERHEAD OR GROUND LEVEL, KNEEL, STAND FOR PROLONGED PERIODS OF TIME, ABOUT TO WORK IN EXTREME HEAT, COLD OR WET CONDITIONS 3 MONTHS FORKLIFT OPERATIONS
ONCE HIRED MAY BE REQUIRED TO TAKE A RANDOM DRUG TEST AT NO COST TO WORKER, TESTING POSITIVE OR FAILURE TO COMPLY MAY RESULT IN IMMEDIATE TERMINATION FROM EMPLOYMENT.
Anticipated Days and Hours Work Per Week  - The standard work schedule is from 7:00 am until 4:00 pm Monday through Friday; Saturday and Sunday work required, when necessary, Employer will offer 35 Hours per work week- Overtime is offered but not guaranteed - Employer may offer more hours than the stated work hours, depending on weather, business needs and other conditions. Extreme Heat, cold, rain, may affect exact
</t>
  </si>
  <si>
    <t>5340 Hwy 84</t>
  </si>
  <si>
    <t>6062 Hwy 129 Monterey La 71354</t>
  </si>
  <si>
    <t>CONCORDIA</t>
  </si>
  <si>
    <t>Northeast Louisiana nonmetropolitan area</t>
  </si>
  <si>
    <t>P-400-23156-078334</t>
  </si>
  <si>
    <t>Housing: Employer offers Voluntary shared housing available is offered to any worker Living outside a normal commuting area, housing will be deducted from worker. 
Shared housing cost – Voluntary Housing cost – Paid directly to employer or deducted from paycheck Bi-weekly in the amount of $250. No Family housing offered
required by Federal, State and Local Law</t>
  </si>
  <si>
    <t>laworks.net</t>
  </si>
  <si>
    <t>Jonesboro</t>
  </si>
  <si>
    <t>CRAIGHEAD</t>
  </si>
  <si>
    <t>Jonesboro, AR</t>
  </si>
  <si>
    <t>Personal Assistant</t>
  </si>
  <si>
    <t>Midwest Lawn LLC</t>
  </si>
  <si>
    <t xml:space="preserve">2563 Valley Oaks Estates Dr. </t>
  </si>
  <si>
    <t>Harbit</t>
  </si>
  <si>
    <t>midwestlawnco@hotmail.com</t>
  </si>
  <si>
    <t>17667 Wildhorse Creek Rd.  (Report to Work)</t>
  </si>
  <si>
    <t>P-400-23208-220490</t>
  </si>
  <si>
    <t>office@midwestlawnco.com</t>
  </si>
  <si>
    <t>Eastern Ohio nonmetropolitan area</t>
  </si>
  <si>
    <t>Texarkana</t>
  </si>
  <si>
    <t>Dwight</t>
  </si>
  <si>
    <t>Texarkana, TX-AR</t>
  </si>
  <si>
    <t>Amelia</t>
  </si>
  <si>
    <t>H-400-23287-432140</t>
  </si>
  <si>
    <t xml:space="preserve">CDL - A TRUCK DRIVER </t>
  </si>
  <si>
    <t xml:space="preserve">BLUELINE FREIGHTINC </t>
  </si>
  <si>
    <t xml:space="preserve">BLUELINE FREIGHT INC </t>
  </si>
  <si>
    <t>26480 MORNINGVIEW DR</t>
  </si>
  <si>
    <t>BROWNSTOWN</t>
  </si>
  <si>
    <t>singh</t>
  </si>
  <si>
    <t>sukhpal</t>
  </si>
  <si>
    <t xml:space="preserve">cdl-A truck driver </t>
  </si>
  <si>
    <t xml:space="preserve">26480 MORNINGVIEW DR </t>
  </si>
  <si>
    <t>bluelinefreight07@gmail.com</t>
  </si>
  <si>
    <t xml:space="preserve">CDL -A HEAVY TRUCK DRIVER LICENCE </t>
  </si>
  <si>
    <t>P-400-23242-307301</t>
  </si>
  <si>
    <t xml:space="preserve">NONE </t>
  </si>
  <si>
    <t>https://jobs.mitalent.org</t>
  </si>
  <si>
    <t>BLUELINE FREIGHT</t>
  </si>
  <si>
    <t>Pool Attendant</t>
  </si>
  <si>
    <t>H-400-23289-433092</t>
  </si>
  <si>
    <t>Blue Skies Landscape LLC</t>
  </si>
  <si>
    <t>10038 South Choctaw</t>
  </si>
  <si>
    <t>Mailing: PO Box 40848, Baton Rouge, LA 70835</t>
  </si>
  <si>
    <t>Kip</t>
  </si>
  <si>
    <t>kipjones@cox.net</t>
  </si>
  <si>
    <t xml:space="preserve">Pre-hire background check required, Drug testing during employment for cause, Pre-employment drug testing required, Able to lift 75lbs, Able to work in inclement weather, M-F, overtime varies, 40 hour workweek, Rotating Schedule, schedule varies, some weekends required.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</si>
  <si>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10154 South Choctaw</t>
  </si>
  <si>
    <t>P-400-23202-208078</t>
  </si>
  <si>
    <t>H-400-23332-527299</t>
  </si>
  <si>
    <t>Cameron's Inc.</t>
  </si>
  <si>
    <t>3932 Smith Farm Road</t>
  </si>
  <si>
    <t>Helms</t>
  </si>
  <si>
    <t>P-400-23227-266262</t>
  </si>
  <si>
    <t>H-400-23287-432046</t>
  </si>
  <si>
    <t>Mattfeldt Equipment Company LLC</t>
  </si>
  <si>
    <t>735 West 1st Street</t>
  </si>
  <si>
    <t>[MAIL: 2820 N Pinal Ave. Casa Grande, AZ 85122]</t>
  </si>
  <si>
    <t>Mattfeldt</t>
  </si>
  <si>
    <t>mattfeldtequipmentco@gmail.com</t>
  </si>
  <si>
    <t>P-400-23237-297358</t>
  </si>
  <si>
    <t>H-400-23321-508554</t>
  </si>
  <si>
    <t>Cooper Outdoor Services, Inc.</t>
  </si>
  <si>
    <t>215 Spring Drive</t>
  </si>
  <si>
    <t>shawn@cosstl.com</t>
  </si>
  <si>
    <t>215 Spring Drive (Report to Work)</t>
  </si>
  <si>
    <t>P-400-23212-225672</t>
  </si>
  <si>
    <t>Optional, shared housing available to the worker at a monthly housing rate up to $388.00; if optional housing is agreed upon by the worker, monthly housing rate will be deducted from worker's paycheck incrementally (weekly).</t>
  </si>
  <si>
    <t>office@cosstl.com</t>
  </si>
  <si>
    <t>H-400-23313-489325</t>
  </si>
  <si>
    <t>Bellperson</t>
  </si>
  <si>
    <t xml:space="preserve">Must be able to work at least a 5-day schedule, including weekends and holidays as required. Post-Employment Criminal Background check is required, cost paid by employer and applied equally to all workers, U.S. and foreign/H-2B. Applicants must complete an employment application.
</t>
  </si>
  <si>
    <t>P-400-23193-183065</t>
  </si>
  <si>
    <t xml:space="preserve">Employer will make all deductions from the worker's paycheck required by law. Optional dormitory style shared housing for employees only, approximate cost $120-$175 per week, and includes utilities. $300 deposit payroll deducted if worker elects. $200 of housing deposit is refundable if you complete the full contract and the housing is clean. Housing cost varies with unit size, amenities and number of occupants. Optional daily transportation between employer housing and worksite, approximate cost $25 per week payroll deducted if worker elects. Optional meal tickets available for approximately $3-$6, payroll deducted if worker elects. Cost of additional shoes payroll deducted if worker elects. Optional Medical Insurance available and payroll deducted if the worker elects, cost is $40-$125 biweekly.
Employer will provide worker at no charge all tools, supplies, and equipment required to perform job. Required uniform provided at no charge. </t>
  </si>
  <si>
    <t>H-400-23276-406210</t>
  </si>
  <si>
    <t xml:space="preserve">Plumber </t>
  </si>
  <si>
    <t>P-400-23226-260550</t>
  </si>
  <si>
    <t>H-400-23307-475845</t>
  </si>
  <si>
    <t>320 Crooked Lane (Report to Work)</t>
  </si>
  <si>
    <t>P-400-23220-249060</t>
  </si>
  <si>
    <t>Optional, shared, furnished housing available to the worker (including: utilities) at a weekly housing rate up to $190; if optional housing is agreed upon by the worker, housing rate will be deducted from worker's paycheck incrementally (weekly).At Employer’s sole discretion: possible cash advances (if applicable/requested by worker, potential deduction from worker’s paycheck).</t>
  </si>
  <si>
    <t>cmoyer@ruppertcompanies.com</t>
  </si>
  <si>
    <t>H-400-23325-517182</t>
  </si>
  <si>
    <t xml:space="preserve">Concession Management Services, Inc. </t>
  </si>
  <si>
    <t>20987 N. JOHN WAYNE PKWAY ST. B 104-237</t>
  </si>
  <si>
    <t>Bradbury</t>
  </si>
  <si>
    <t>Savanah</t>
  </si>
  <si>
    <t>Officer</t>
  </si>
  <si>
    <t>cmservices139@hotmail.com</t>
  </si>
  <si>
    <t>20987 N. JOHN WAYNE PKWAY ST. B104-237</t>
  </si>
  <si>
    <t>P-400-23262-360314</t>
  </si>
  <si>
    <t>H-400-23307-475819</t>
  </si>
  <si>
    <t>7187 Bryhawke Circle, Unit 700</t>
  </si>
  <si>
    <t>7321 Pepperdam Ave. (Report to Work)</t>
  </si>
  <si>
    <t>P-400-23195-188584</t>
  </si>
  <si>
    <t>Optional, shared housing available to the worker at a monthly housing rate up to $407.76; if optional housing is agreed upon by the worker, monthly housing rate will be deducted from worker's paycheck incrementally (bi-weekly).</t>
  </si>
  <si>
    <t>Groundskeeping Helper</t>
  </si>
  <si>
    <t>Burlington</t>
  </si>
  <si>
    <t>H-400-23317-496876</t>
  </si>
  <si>
    <t>Tony's Concessions</t>
  </si>
  <si>
    <t>997 2nd Street</t>
  </si>
  <si>
    <t>Sanger</t>
  </si>
  <si>
    <t>tonysconcessions@gmail.com</t>
  </si>
  <si>
    <t>P-400-23200-200276</t>
  </si>
  <si>
    <t>DeLong</t>
  </si>
  <si>
    <t>Fast Food and Counter Workers– Mobile Food Concessions</t>
  </si>
  <si>
    <t>Port St. Lucie</t>
  </si>
  <si>
    <t>Raise at employer's discretion</t>
  </si>
  <si>
    <t>TRANSYLVANIA</t>
  </si>
  <si>
    <t>H-400-23331-524651</t>
  </si>
  <si>
    <t>George Douglas, LLC</t>
  </si>
  <si>
    <t>Landesign Plus</t>
  </si>
  <si>
    <t>1491 East Pearce Blvd</t>
  </si>
  <si>
    <t>debbie@landesignplus.net</t>
  </si>
  <si>
    <t xml:space="preserve">The employer guarantees to offer work for hours equal to at least three-fourths of the workdays in each 12-week period of the total employment period.
H-2B workers will be reimbursed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Must be able to work a 6 day schedule, including weekends and holidays as required. Applicants must complete an employment application. 
</t>
  </si>
  <si>
    <t>1491 E. Pearce Blvd</t>
  </si>
  <si>
    <t>P-400-23180-154937</t>
  </si>
  <si>
    <t>Employer will make all deductions from the worker's paycheck required by law. Optional employee shared housing, approximate rate $67.00 per week, includes utilities, payroll deducted if worker elects.</t>
  </si>
  <si>
    <t>Brett</t>
  </si>
  <si>
    <t>Doug</t>
  </si>
  <si>
    <t>Employer may make payroll deductions at employee's request; Employer facilitates corresponding deductions for available health benefits</t>
  </si>
  <si>
    <t xml:space="preserve">WESTHAMPTON BEACH </t>
  </si>
  <si>
    <t>Jerome</t>
  </si>
  <si>
    <t>Sam</t>
  </si>
  <si>
    <t>H-400-23336-539705</t>
  </si>
  <si>
    <t xml:space="preserve">Requires three months of previous landscape experience. Must lift/carry 50 lbs., when necessary. Standard workweek is 4 days per week. Friday, Saturday, and Sunday work required, when necessary. Maximum shifts are 12 hours per day. The actual work schedule for each day of the week is subject to change. Not every employee will work 12 hour shifts, 7 days a week. An employee may work up to 12 hours per day, but may work alternating days or may work a portion of a 12 hour shift. We will offer at least 40 hours in a typical workweek. Hours in excess of 40 will vary depending on staff and other factors to be evaluated on a daily basis. Must be able to operate zero turn mowers, weed whackers, and backpack blowers. Employer-paid drug testing required of foreign and domestic workers prior to commencing work and post-hire upon suspicion of use and post-accident. Post-hire background check and employment eligibility (e-Verify) check required of foreign and domestic workers. Driver's license required for workers who drive company vehicles. Employer may offer more than the stated work hours depending on weather, business needs, and other conditions. Extreme heat, cold, rain, or drought may affect exact working hours.
</t>
  </si>
  <si>
    <t>P-400-23264-367533</t>
  </si>
  <si>
    <t>H-400-23290-437777</t>
  </si>
  <si>
    <t>Three Rivers Concession, LLC.</t>
  </si>
  <si>
    <t>2208 Mercer Butler Pike</t>
  </si>
  <si>
    <t>Grove City</t>
  </si>
  <si>
    <t>Seivers</t>
  </si>
  <si>
    <t>2208 MERCER BUTLER PIKE</t>
  </si>
  <si>
    <t>GROVE CITY</t>
  </si>
  <si>
    <t>threeriversconcessions@yahoo.com</t>
  </si>
  <si>
    <t xml:space="preserve">2208 Mercer Butler Pike </t>
  </si>
  <si>
    <t>P-400-23208-219747</t>
  </si>
  <si>
    <t>Food Runner</t>
  </si>
  <si>
    <t>H-400-23332-526372</t>
  </si>
  <si>
    <t>Ralph Iasiello Lawncare, LLC</t>
  </si>
  <si>
    <t>14101 Lago Strada</t>
  </si>
  <si>
    <t>Mailing: P.O. Box 890741, Oklahoma City, OK 73189</t>
  </si>
  <si>
    <t>Iasiello</t>
  </si>
  <si>
    <t>Ralph</t>
  </si>
  <si>
    <t>ralphlawncare@gmail.com</t>
  </si>
  <si>
    <t xml:space="preserve">Able to lift 75lbs, Monday-Friday, Some weekends may be required, schedule varies, start/end times vary, overtime varies
</t>
  </si>
  <si>
    <t>8900 South Council Rd</t>
  </si>
  <si>
    <t>P-400-23242-309694</t>
  </si>
  <si>
    <t>H-400-23321-509086</t>
  </si>
  <si>
    <t>The ALG Corp</t>
  </si>
  <si>
    <t>Image Landscape Management, Inc.</t>
  </si>
  <si>
    <t>528 N. Cowan Ave.</t>
  </si>
  <si>
    <t>Gammil</t>
  </si>
  <si>
    <t>justin@imagelandscape.com</t>
  </si>
  <si>
    <t>P-400-23228-270024</t>
  </si>
  <si>
    <t>Employer will make all deductions from the worker's paycheck required by law.  Optional advance pay repay via deduction from pay, under agreed upon frequency and amount until repayment made. Optional deductions will not drop the overall wages below the UDSOL minimum, if the deductions are too great they will not be made. (Note for the CO: Section F.d item 4 is marked yes as the employer will assist workers, they are not providing housing)</t>
  </si>
  <si>
    <t>Springfield, MA-CT</t>
  </si>
  <si>
    <t>H-400-23242-307373</t>
  </si>
  <si>
    <t>Bellhops/Drivers</t>
  </si>
  <si>
    <t xml:space="preserve">Must possess a valid Class D (regular) U.S. drivers license or eligibility to drive in the U.S. See Job Duties F.a.4.
Must be at least 21 years old. See Job Duties F.a.4.
Must be able to stand for extended periods of time, and able to lift and carry 50 lbs. including heavy baggage. See Job Duties F.a.4.
</t>
  </si>
  <si>
    <t>P-400-23157-082416</t>
  </si>
  <si>
    <t>East Stroudsburg, PA</t>
  </si>
  <si>
    <t>H-400-23307-476361</t>
  </si>
  <si>
    <t>Guest Service Agent</t>
  </si>
  <si>
    <t>SONESTA INTERNATIONAL HOTELS CORPORATION</t>
  </si>
  <si>
    <t>SONESTA RESORT HILTON HEAD ISLAND</t>
  </si>
  <si>
    <t>130 SHIPYARD DRIVE</t>
  </si>
  <si>
    <t>ETCHBERGER</t>
  </si>
  <si>
    <t>SETCHBERGER@SONESTA.COM</t>
  </si>
  <si>
    <t xml:space="preserve">No minimum education or experience required.
Applicant must complete an employment application.  
Post-employment criminal background check required, cost paid by employer and applied equally to all workers, US &amp; Foreign/H2B.
Must be able to work a minimum 5-day workweek. 
Must be able to work weekends and holidays.
The employer guarantees to offer work for hours equal to at least three-fourths of the workdays in each 12-week period of the total employment period.
H-2B workers will be reimbursed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</si>
  <si>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130 Shipyard Drive</t>
  </si>
  <si>
    <t>P-400-23172-133442</t>
  </si>
  <si>
    <t xml:space="preserve">A single workweek will be used to compute wages due. Pay received bi-weekly. 
The employer will provide on-the-job training.
Employer will make all deductions from the worker's paycheck required by law and deduct approved cost of housing if worker elects.  Optional employee-only shared housing is available at a rate of $140 per week, utilities included.
Transportation provided to/from housing/worksite at no cost to employee.  
Employer will provide worker at no charge all tools, supplies, equipment required to perform job. Required uniform provided at no cost to employee. One meal during shift provided at no cost to employee. 
</t>
  </si>
  <si>
    <t>H-400-23277-408641</t>
  </si>
  <si>
    <t xml:space="preserve">Laundry Production Operator </t>
  </si>
  <si>
    <t>CROWN LINEN, LLC</t>
  </si>
  <si>
    <t>3235 NW 62 ST</t>
  </si>
  <si>
    <t>LUCCHESI</t>
  </si>
  <si>
    <t>PABLO</t>
  </si>
  <si>
    <t>MANAGING PARTNER</t>
  </si>
  <si>
    <t>lucchesi@crownlinen.net</t>
  </si>
  <si>
    <t>3000 Logistics Center Dr</t>
  </si>
  <si>
    <t>STE 100</t>
  </si>
  <si>
    <t>Fairburn</t>
  </si>
  <si>
    <t>P-400-23213-230106</t>
  </si>
  <si>
    <t xml:space="preserve">The employer will make all deductions from the worker’s paycheck required by law, and the following: optional housing; optional daily transportation; and optional Individual Health Insurance.
Housing: Optional worker housing may available. Cost of housing is an estimated cost of up to $120 per week. Prices may vary based on type of accommodations available. If used, cost of housing will be deducted from paycheck (bi-weekly).
Benefits: Optional Individual Health Insurance is available at a cost of $63.47, paid bi-weekly and via payroll deduction.
Daily Transportation: Optional daily transportation to and from worksite for workers who elect to stay at employee housing property located by the housing agent, is available for a fee of $3 per day. Fee is paid bi-weekly and via payroll deduction. All other employees are responsible for their own transportation to and from the worksite.
</t>
  </si>
  <si>
    <t>H-400-23213-228515</t>
  </si>
  <si>
    <t>Cleaning Attendant</t>
  </si>
  <si>
    <t>Six (6) months of cleaning attendant experience in a fine-dining or high-volume environment at a high-end restaurant, resort, or private club.
On-The-Job Training Is Provided.
Following Shifts available 7 days a week including weekends and holidays. 7am to 3:30pm, 9am to 5:30pm, 11am to 7:30pm, 3pm to 11:30pm
Wage Per Hour: Tipped position with guaranteed wage of $17.50 - $23.00
Overtime possible at hourly wage of $26.25 - $34.50
Possible Wage Increase: Based on merit and past experience with our company.</t>
  </si>
  <si>
    <t>Based on merit and past experience with our company.</t>
  </si>
  <si>
    <t>P-400-23128-003213</t>
  </si>
  <si>
    <t>H-400-23307-476544</t>
  </si>
  <si>
    <t>Omni Fort Worth Partnership, LP</t>
  </si>
  <si>
    <t>Omni Fort Worth Hotel</t>
  </si>
  <si>
    <t>1300 HOUSTON ST.</t>
  </si>
  <si>
    <t>FORT WORTH</t>
  </si>
  <si>
    <t>JAONNA</t>
  </si>
  <si>
    <t>jaonna.livingston@OMNIHOTELS.COM</t>
  </si>
  <si>
    <t xml:space="preserve">No minimum education or experience required. 
Must be able to lift, push, and pull 50 lbs.
Must pass a post-employment criminal background check,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</si>
  <si>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P-400-23172-130983</t>
  </si>
  <si>
    <t xml:space="preserve">A single workweek will be used in computing wages due. Pay received bi-weekly. 
Employer will make all deductions from the worker's paycheck required by law. Employer will assist in locating housing. Employee cafeteria available for meals at approx. cost of $1 per day ($5 per week), available for payroll deduction if worker elects. Public transportation is available near the worksite.  
</t>
  </si>
  <si>
    <t>Clifton Park</t>
  </si>
  <si>
    <t>H-400-23292-442845</t>
  </si>
  <si>
    <t>Tree Trimmer / Climber Supervisors</t>
  </si>
  <si>
    <t xml:space="preserve">Requires twelve months of Tree Trimmer / Climber experience. 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Incidental limited travel and double time pay may be available under certain emergent conditions and holidays. Employer may offer more than the stated work hours depending on weather, business needs, and other conditions. Extreme heat, cold, rain, or drought may affect exact working hours.
</t>
  </si>
  <si>
    <t>P-400-23251-330386</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</si>
  <si>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may deduct retirement/savings plan contributions and/or health insurance premiums for workers voluntarily participating in plan(s).  Employer provides incidental transportation between worksites as necessary. No daily transportation to/from workers' home and primary worksite. Such transportation complies with all applicable Federal, State, and local laws/regulations.</t>
  </si>
  <si>
    <t>H-400-23215-235728</t>
  </si>
  <si>
    <t xml:space="preserve">The Petitioner will consider for employment any person who possesses at least three (3) months of experience at a hotel, resort, private club, or other commercial setting. Applicant must complete pre-employment background check.
</t>
  </si>
  <si>
    <t>Wage: $16.00 per hour, paid bi-weekly.  Overtime is available at $24.00 per hour.   See job description for details.</t>
  </si>
  <si>
    <t>P-400-23167-117841</t>
  </si>
  <si>
    <t>Housing is offered and optional on a first come first-serve basis for workers who are relocating to begin employment. Cost of housing, if accepted, is up to $550.00 per bi-weekly pay period for single occupancy rooms, and $275.00 per bi-weekly pay period for multiple occupancy rooms. If used, total cost of housing and utilities will be deducted from paycheck.  A $500.00 refundable security deposit is required, to be deducted from paycheck in equal $250.00 installments from employee’s first two (2) paychecks and returned to the employee only upon the completion of the entire employment period and on the suitable condition of the housing and at the employer’s sole discretion. Additional, optional benefits may be offered to worker, for worker’s sole benefit, including but not limited to medical, dental, vision, and ancillary insurance.  If voluntarily elected by worker, employee costs/contributions for benefits will be deducted from paycheck.</t>
  </si>
  <si>
    <t>Food Concessions Worker</t>
  </si>
  <si>
    <t>Ukmar</t>
  </si>
  <si>
    <t>rjukmar@aol.com</t>
  </si>
  <si>
    <t>H-400-23307-476521</t>
  </si>
  <si>
    <t>United Landscape Construction, Inc.</t>
  </si>
  <si>
    <t>5300 W FM 93</t>
  </si>
  <si>
    <t>Mailing: P.O. Box 93, Salado, TX 76571</t>
  </si>
  <si>
    <t>sharish@unitedls.com</t>
  </si>
  <si>
    <t>Random drug testing during employment; Drug testing during employment for cause; Post-Accident Drug Testing, Able to lift 50lbs, Must be able to work in inclement weather, Monday-Friday, Some Saturdays required, schedule varies, start/end times may vary, overtime varies. All drug testing is performed without regard to an employees citizenship or immigration status, and all testing is paid for by the company. See the additional document attached for further details about the administration of our drug testing policy.</t>
  </si>
  <si>
    <t>Raises at employer's discretion depending on performance.</t>
  </si>
  <si>
    <t>P-400-23209-222879</t>
  </si>
  <si>
    <t>H-400-23307-475824</t>
  </si>
  <si>
    <t>28091 Nine Foot Road (Report to Work)</t>
  </si>
  <si>
    <t>P-400-23222-252802</t>
  </si>
  <si>
    <t>Optional, shared, furnished housing available to the worker (including: utilities) at a weekly housing rate up to $140.00; if optional housing is agreed upon by the worker, housing rate will be deducted from worker's paycheck incrementally (weekly).  
At Employer’s sole discretion: possible cash advances (if applicable/requested by worker, potential deduction from worker’s paycheck).</t>
  </si>
  <si>
    <t>BWakeling@ruppertcompanies.com</t>
  </si>
  <si>
    <t>H-400-23258-352218</t>
  </si>
  <si>
    <t>100 Front 9 Drive</t>
  </si>
  <si>
    <t>St. Augustine</t>
  </si>
  <si>
    <t>ST JOHNS</t>
  </si>
  <si>
    <t>Piece rate is paid per room cleaned and varies from $3.65 for a small unit or suite to $32 for a large unit or suite.</t>
  </si>
  <si>
    <t>P-400-23178-147113</t>
  </si>
  <si>
    <t>H-400-23241-304063</t>
  </si>
  <si>
    <t>Louisiana Crazy Cajun, LLC</t>
  </si>
  <si>
    <t>Crazy Cajun Beaumont</t>
  </si>
  <si>
    <t>2310 N. 11th St.</t>
  </si>
  <si>
    <t>Mailing: P.O. Box 469 Iota, LA 70543</t>
  </si>
  <si>
    <t>McDaniel</t>
  </si>
  <si>
    <t>csolutions123@aol.com</t>
  </si>
  <si>
    <t xml:space="preserve">Must lift/carry 65 lbs., when necessary. Saturday and Sunday work required, when necessary.
</t>
  </si>
  <si>
    <t>P-400-23200-199935</t>
  </si>
  <si>
    <t xml:space="preserve">Employer makes all payroll deductions required by law. Employers do not envision other workforce-wide payroll deductions. Employer will offer daily transportation to and from the worksite from a centralized designated pick-up place at no cost to workers. Use of this transportation is voluntary. Employer will provide without charge company-specific uniform, as applicable, and all tools, supplies and equipment necessary to perform duties assigned. Employer assists non-local workers to secure worker-paid lodging, if necessary. Rental payments are paid by workers directly to property owner and are not payroll deducted. 
</t>
  </si>
  <si>
    <t>H-400-23199-195966</t>
  </si>
  <si>
    <t>Jimmie Anderton</t>
  </si>
  <si>
    <t>7835 Private Road 2572</t>
  </si>
  <si>
    <t>Quinlan</t>
  </si>
  <si>
    <t>Anderton</t>
  </si>
  <si>
    <t>Jimmie</t>
  </si>
  <si>
    <t xml:space="preserve">7835 Private Road 2572 </t>
  </si>
  <si>
    <t>HUNT</t>
  </si>
  <si>
    <t>P-400-23163-099387</t>
  </si>
  <si>
    <t xml:space="preserve">Any advances that are made to workers will be deducted from their checks. </t>
  </si>
  <si>
    <t>ANDERTONLANDSCAPE@YAHOO.COM</t>
  </si>
  <si>
    <t>H-400-23263-363298</t>
  </si>
  <si>
    <t>Classic Jack Construction, LLC.</t>
  </si>
  <si>
    <t>231 North 300 East</t>
  </si>
  <si>
    <t>Zandi</t>
  </si>
  <si>
    <t>kris.classicjack@gmail.com</t>
  </si>
  <si>
    <t>435 South Geneva Rd</t>
  </si>
  <si>
    <t>P-400-23208-218676</t>
  </si>
  <si>
    <t>office@classicjack.net</t>
  </si>
  <si>
    <t>H-400-23214-231935</t>
  </si>
  <si>
    <t>Polaris Industries, Inc.</t>
  </si>
  <si>
    <t>2100 Highway 55</t>
  </si>
  <si>
    <t>Walsh/Ortolano</t>
  </si>
  <si>
    <t>Stephanie/Betsy</t>
  </si>
  <si>
    <t>Sr. Global Mobility Specialist/Global Mobility Manager</t>
  </si>
  <si>
    <t>immigration@polaris.com</t>
  </si>
  <si>
    <t>Gupta</t>
  </si>
  <si>
    <t>Oishika</t>
  </si>
  <si>
    <t>333 W. Wacker Drive</t>
  </si>
  <si>
    <t>15th Floor</t>
  </si>
  <si>
    <t>Oishika.Gupta@Fragomen.com</t>
  </si>
  <si>
    <t xml:space="preserve"> 18 years of age or older.
 Have a basic knowledge of computers.
 Ability to lift up to 40 lbs and push/pull up to 100 lbs.
 Ability to bend, twist, turn, kneel, and squat.
 Stand and walk for the duration of assigned shift and reach overhead continuously.
 Use air/power/vibrating tools and do strong, pincher gripping.
 Work safely around moving equipment, power tools, and industrial vehicles.
 Repetitive use of upper extremities.
</t>
  </si>
  <si>
    <t>301 5th Ave SW</t>
  </si>
  <si>
    <t xml:space="preserve">Roseau </t>
  </si>
  <si>
    <t>ROSEAU</t>
  </si>
  <si>
    <t xml:space="preserve">Rate of Pay: $19.24/hour for first shift and $20.54/hour for second shift. Overtime may be required. </t>
  </si>
  <si>
    <t>P-400-23118-975336</t>
  </si>
  <si>
    <t>Kellie.Roth@polaris.com</t>
  </si>
  <si>
    <t>Tar</t>
  </si>
  <si>
    <t>Fragomen, Del Rey, Bernsen, &amp; Loewy LLP</t>
  </si>
  <si>
    <t>ktar@fragomen.com</t>
  </si>
  <si>
    <t>H-400-23219-245067</t>
  </si>
  <si>
    <t>Blueprint Bar&amp; Grill Inc</t>
  </si>
  <si>
    <t>502 Lucerne Ave</t>
  </si>
  <si>
    <t>Lake Worth</t>
  </si>
  <si>
    <t>blueprintgrill@gmail.com</t>
  </si>
  <si>
    <t>Reliable Labor Services, LLC dba Book-Ends Associates</t>
  </si>
  <si>
    <t xml:space="preserve">The job requires continuous movement and regular bending.  Weekends and holidays are required. 
On-the-job training is provided.  Blueprint Bar &amp; Grill Inc will provide workers with all tools, supplies, and equipment required to perform the job at no charge.
</t>
  </si>
  <si>
    <t>P-400-23151-065275</t>
  </si>
  <si>
    <t xml:space="preserve">All deductions will be made from paychecks that are required by law.  Wages will be paid weekly, on Friday, and the employer will use a single workweek as its standard for computing wages due. 
The employer does not provide housing or boarding during the term of employment. However, the employer will assist the workers to secure suitable housing within walking distance of the worksite. </t>
  </si>
  <si>
    <t>H-400-23216-240812</t>
  </si>
  <si>
    <t>Six (6) months of experience as a Lifeguards.</t>
  </si>
  <si>
    <t>P-400-23172-131126</t>
  </si>
  <si>
    <t>H-400-23184-162359</t>
  </si>
  <si>
    <t>Cutting &amp; Slicing Machine Setters, Operators, Tenders</t>
  </si>
  <si>
    <t>Cutting and Slicing Machine Setters, Operators, and Tenders</t>
  </si>
  <si>
    <t>RMD MANAGEMENT, INC.</t>
  </si>
  <si>
    <t>Delta Stone Products, Inc.</t>
  </si>
  <si>
    <t>2276 South Daniels Road</t>
  </si>
  <si>
    <t>HEBER CITY</t>
  </si>
  <si>
    <t>HICKEN</t>
  </si>
  <si>
    <t>Heber City</t>
  </si>
  <si>
    <t>robert@utahstone.com</t>
  </si>
  <si>
    <t>Applicants must be of physical character able to display strength and dexterity in both arms and hands, exhibit trunk strength using abdominal and lower back muscles continually over time, as well as be able to spend the majority of the work day standing without giving out. Position requires the ability to understand and follow verbal and written directions with exactness and integrity. No experience or prior training/education required. Employees will be trained in proper wearing and use of safety guidelines, tools, and equipment, including hand tools, forklifts, hearing protection, safety glasses, steel-toed boots, and gloves, and will be required to comply with exactness.</t>
  </si>
  <si>
    <t>2276 S DANIELS ROAD</t>
  </si>
  <si>
    <t>WASATCH</t>
  </si>
  <si>
    <t>P-400-23081-870014</t>
  </si>
  <si>
    <t>Deductions from pay will be limited to required federal and state taxes as well as voluntarily elected employee benefits.</t>
  </si>
  <si>
    <t>H-400-23229-274559</t>
  </si>
  <si>
    <t>Bus and Truck Mechanics and Diesel Engine Specialist</t>
  </si>
  <si>
    <t>Zodiac Trucking Inc.</t>
  </si>
  <si>
    <t>2324 Foltz Ave</t>
  </si>
  <si>
    <t>MAILING ADDRESS: 11088 Oxbow Dr, Roscoe, IL, 61073</t>
  </si>
  <si>
    <t>Rockford</t>
  </si>
  <si>
    <t>Lazansky</t>
  </si>
  <si>
    <t>Owner/Shop Manager</t>
  </si>
  <si>
    <t>zodiactrucking@gmail.com</t>
  </si>
  <si>
    <t xml:space="preserve">Must lift/carry 50 lbs., when necessary. Saturday and Sunday work required, when necessary. Overtime required, when necessary.
</t>
  </si>
  <si>
    <t xml:space="preserve">Employer will use a single workweek as its standard for computing wages due.  </t>
  </si>
  <si>
    <t>P-400-23181-157767</t>
  </si>
  <si>
    <t xml:space="preserve">Employer will make all deductions required by law and no others without written consent from worker. The employer does not envision other workforce-wide payroll deductions. Potential elective deductions to be pre-authorized in writing if applicable are as follows: If needed, employer intends to assist foreign and non-local U.S. workers hired pursuant to this job order to secure optional worker-paid lodging not to exceed reasonable fair market value cost based on number of occupants. Housing-related expenses are paid directly to facility owner/operator and are not payroll deducted.   </t>
  </si>
  <si>
    <t>H-400-23276-406603</t>
  </si>
  <si>
    <t>Omni-ChampionsGate Resort Hotel LP</t>
  </si>
  <si>
    <t>Omni Orlando Resort at ChampionsGate</t>
  </si>
  <si>
    <t>1500 MASTERS BLVD</t>
  </si>
  <si>
    <t>CHAMPIONSGATE</t>
  </si>
  <si>
    <t>RODRIGUEZ</t>
  </si>
  <si>
    <t>MABEL</t>
  </si>
  <si>
    <t>mabel.rodriguez@omnihotels.com</t>
  </si>
  <si>
    <t xml:space="preserve">No minimum education or experience required.  Workers are subject to post-employment criminal background checks,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</si>
  <si>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Employer may increase wage based on experience, market conditions and/or provide additional pay for performance and tenu</t>
  </si>
  <si>
    <t>P-400-23171-127003</t>
  </si>
  <si>
    <t xml:space="preserve"> Employer will provide on-the-job training. A single workweek will be used in computing wages due. Pay received bi-weekly.  Employer will make all deductions from the worker's paycheck required by law. Optional employee shared housing available, including utilities, at approx $125-$175 per week. Housing deposit of $300 required ($100 non-refundable). Housing within walking distance from resort. Optional employee meals available during shift for purchase for approx $2.00 per meal. Housing, deposit, and meals available for payroll deduction if employee elects. </t>
  </si>
  <si>
    <t xml:space="preserve"> employflorida.com</t>
  </si>
  <si>
    <t>H-400-23276-406818</t>
  </si>
  <si>
    <t xml:space="preserve">No minimum education or experience required. Must pass a post-employment criminal background check, paid by employer and applied equally to all workers, U.S. and foreign/H-2B.  Must be able to work a minimum 5-day workweek. Must be able to work weekends and holidays. Applicants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Employer will provide worker at no charge all tools, supplies, and equipment required to perform job. Uniform provided at no cost to employee.  Employer guarantees to offer work for hours equal to at least three-fourths of the workdays in each 12-week period of the total employment period. Employer will reimburse H-2B workers in the first workweek for all visa, visa processing, border crossing, and other related fees, including those mandated by the government (excluding passport fees).
</t>
  </si>
  <si>
    <t>Tip Position.  Employer may increase wage based on experience, market conditions, and/or provide additional pay for perf</t>
  </si>
  <si>
    <t>P-400-23170-124570</t>
  </si>
  <si>
    <t xml:space="preserve"> Employer will provide on-the-job training. A single workweek will be used to compute wages due. Pay received bi-weekly. Employer will make all deductions from the worker's paycheck required by law.  Employer will assist in locating housing. Public transportation within walking distance of resort. One optional meal during shift available for $2, payroll deducted if worker elects. </t>
  </si>
  <si>
    <t>H-400-23230-276923</t>
  </si>
  <si>
    <t>P-400-23123-990148</t>
  </si>
  <si>
    <t xml:space="preserve">State and Federal Taxes. Workers who cannot reasonably commute to their place of residence at the end of each workday may elect to utilize 3rd party housing. Employer will deduct the cost of optional housing charged by the 3rd party for workers. The cost of optional housing will be $450.00. </t>
  </si>
  <si>
    <t>H-400-23209-221741</t>
  </si>
  <si>
    <t>TRUSCAPES SW FLA INC</t>
  </si>
  <si>
    <t>3212 26TH AVENUE EAST</t>
  </si>
  <si>
    <t>BRADENTON</t>
  </si>
  <si>
    <t>LLORCA</t>
  </si>
  <si>
    <t>LLOMEL</t>
  </si>
  <si>
    <t>3212 26TH AVE EAST</t>
  </si>
  <si>
    <t>12570 METRO PARKWAY</t>
  </si>
  <si>
    <t>FORT MEYERS</t>
  </si>
  <si>
    <t>P-400-23089-890833</t>
  </si>
  <si>
    <t>LLLORCA@TRUSCAPESINDUSTRIES.COM</t>
  </si>
  <si>
    <t>H-400-23234-285076</t>
  </si>
  <si>
    <t xml:space="preserve">The Petitioner will consider for employment any applicant who possesses at least three (3) months of experience at a high-end hotel, resort, or private club. Applicant must complete a pre-employment background check.
</t>
  </si>
  <si>
    <t xml:space="preserve">Wage: $20.00 per hour, paid weekly.  Please see job description for additional information. </t>
  </si>
  <si>
    <t>P-400-23182-161669</t>
  </si>
  <si>
    <t>H-400-23271-390416</t>
  </si>
  <si>
    <t xml:space="preserve">LNW Landscaping, LLC     </t>
  </si>
  <si>
    <t>3939 Belt Line Rd.</t>
  </si>
  <si>
    <t>Suite  310</t>
  </si>
  <si>
    <t>3939 Belt Line Rd</t>
  </si>
  <si>
    <t xml:space="preserve">Employer Paid Pre-hire Drug Testing and Pre-hire Criminal Background Check 
</t>
  </si>
  <si>
    <t>P-400-23215-235831</t>
  </si>
  <si>
    <t>H-400-23195-188808</t>
  </si>
  <si>
    <t>PRESLEY LANDSCAPING AND MAINTENANCE LLC</t>
  </si>
  <si>
    <t>92 MARTHA LEEVILLE RD.</t>
  </si>
  <si>
    <t>Hurtado</t>
  </si>
  <si>
    <t>Estela</t>
  </si>
  <si>
    <t>92 Martha Leeville Rd.</t>
  </si>
  <si>
    <t>m_estelahurtado@hotmail.com</t>
  </si>
  <si>
    <t>MCKINSTRY</t>
  </si>
  <si>
    <t>MARIA</t>
  </si>
  <si>
    <t>CARMEN</t>
  </si>
  <si>
    <t>3472 CHEMIN DE RIVIERE</t>
  </si>
  <si>
    <t>SAN JOSE</t>
  </si>
  <si>
    <t>carmenmckinstry@interlaborservices.com</t>
  </si>
  <si>
    <t>INTERNATIONAL LABOR SERVICES</t>
  </si>
  <si>
    <t>Drug screen and background check will be required.</t>
  </si>
  <si>
    <t>90 MARTHA LEEVILLE RD.</t>
  </si>
  <si>
    <t xml:space="preserve">LEBANON </t>
  </si>
  <si>
    <t>P-400-23127-999557</t>
  </si>
  <si>
    <t>Only deductions required by law will be made.</t>
  </si>
  <si>
    <t>H-400-23184-164814</t>
  </si>
  <si>
    <t>Walter Leslie Concrete Service</t>
  </si>
  <si>
    <t>835 Tommy Oliver Road</t>
  </si>
  <si>
    <t>walterleslie@charter.net</t>
  </si>
  <si>
    <t xml:space="preserve">Must be able to lift and carry up to 75 lbs for 75 yds. Must have at least three (3) months of concrete finishing or related experience. 
</t>
  </si>
  <si>
    <t>P-400-23125-998894</t>
  </si>
  <si>
    <t xml:space="preserve">Employer will provide housing for weekly payroll deduction of $100. Employer will provide transportation to and from all worksites. Employer will make all deductions required by state and federal law.
</t>
  </si>
  <si>
    <t>H-400-23221-251542</t>
  </si>
  <si>
    <t>Honey B Hams of Lake Charles, LLC.</t>
  </si>
  <si>
    <t>Honey B Ham and Deli</t>
  </si>
  <si>
    <t>506 East Prien Lake Road</t>
  </si>
  <si>
    <t>Schultz</t>
  </si>
  <si>
    <t>honeybhamrestaurant@gmail.com</t>
  </si>
  <si>
    <t>Pullig</t>
  </si>
  <si>
    <t>ppullig@bal.com</t>
  </si>
  <si>
    <t>30 minute unpaid lunch break. Additional work shift as 3:00pm to 8:30pm, 7 days per week.</t>
  </si>
  <si>
    <t>May earn above the hourly wage based on performance/experience.</t>
  </si>
  <si>
    <t>P-400-23153-075144</t>
  </si>
  <si>
    <t>EMPLOYER WILL MAKE ALL DEDUCTIONS FROM WORKERS’ PAYCHECK AS REQUIRED BY LAW; EMPLOYER MAY ALLOW DEDUCTIONS NOT REQUIRED BY LAW AS LONG AS ADVANCE PERMISSION IS GRANTED BY EMPLOYEE OR EMPLOYER WILL STATE THE SPECIFIC DEDUCTIONS. BOARDING OPTIONS: VOLUNTARY, LOW-COST HOUSING IS AVAILABLE FOR WORKERS FOR THE OPTION TO BOARD; $50.00/WEEK IS DEDUCTED FROM WORKERS' PAYCHECKS FOR WORKERS WHO CHOOSE HOUSING; HOUSING IS NOT MANDATORY</t>
  </si>
  <si>
    <t>Gloria</t>
  </si>
  <si>
    <t>Berry Appleman &amp; Leiden, LLP</t>
  </si>
  <si>
    <t>glfernandez@bal.com</t>
  </si>
  <si>
    <t>H-400-23191-177880</t>
  </si>
  <si>
    <t>8101 Cinder Bed Road</t>
  </si>
  <si>
    <t>WASHINGTON-ARLINGTON-ALEXANDRIA, DC-VA-MD-WV</t>
  </si>
  <si>
    <t>We will make all payroll deductions required by law and will not make any deductions, which are not required by law.</t>
  </si>
  <si>
    <t>Barry.goldman@transdev.com</t>
  </si>
  <si>
    <t>H-400-23229-273738</t>
  </si>
  <si>
    <t xml:space="preserve">Public Area Attendant </t>
  </si>
  <si>
    <t xml:space="preserve">Jay Peak Pacific LLC </t>
  </si>
  <si>
    <t xml:space="preserve">The Petitioner will consider for employment any person who possesses at least three (3) months of cleaning experience at a high-end hotel, resort, or private club.  Applicant must complete pre-employment background check.
</t>
  </si>
  <si>
    <t>Wage: $17.60 – $20.09 per hour, paid bi-weekly.  See job description.</t>
  </si>
  <si>
    <t>P-400-23178-147812</t>
  </si>
  <si>
    <t xml:space="preserve">Optional housing is offered on a first-come, first-serve basis for workers who are relocating to begin employment.  Cost of housing including utilities, Wi-Fi, and cable, if accepted, is $450.00-$550.00 per month.  If used, total cost of housing including utilities, Wi-Fi, and cable will be paid directly to employer by employee.  A $450.00-$550.00 security deposit is required, to be paid directly to employer upon acceptance of housing.  Employee may receive full security deposit back if the housing is in acceptable condition upon departure.
Additional, optional benefits may be offered to worker, for worker’s sole benefit, including but not limited to a 401k plan.  If voluntarily elected by worker, employee costs/contributions for benefits will be deducted from paycheck.
</t>
  </si>
  <si>
    <t>H-400-23184-164661</t>
  </si>
  <si>
    <t>Adriana E. Ciccarello</t>
  </si>
  <si>
    <t>234 Peconic St.</t>
  </si>
  <si>
    <t>Ronkonkoma</t>
  </si>
  <si>
    <t>Ciccarello</t>
  </si>
  <si>
    <t>adcattan@gmail.com</t>
  </si>
  <si>
    <t xml:space="preserve">Saturday work required, when necessary. </t>
  </si>
  <si>
    <t>P-400-23120-978165</t>
  </si>
  <si>
    <t xml:space="preserve">This is a full-time, live-in nanny position, and as such housing and utilities will be provided by employer.  </t>
  </si>
  <si>
    <t>H-400-23220-248380</t>
  </si>
  <si>
    <t>P-400-23113-957881</t>
  </si>
  <si>
    <t>H-400-23215-235136</t>
  </si>
  <si>
    <t>Huff House LC</t>
  </si>
  <si>
    <t>240 East Deloney Ave</t>
  </si>
  <si>
    <t>Mailing: P.O. Box 3633 , Jackson, WY 83001</t>
  </si>
  <si>
    <t>Childs</t>
  </si>
  <si>
    <t xml:space="preserve">Must lift/carry 50 lbs., when necessary. Saturday and Sunday work required, when necessary. Employer-paid post-hire random, post-accident and upon suspicion of use drug testing required of foreign and domestic workers. Employer may offer more than the stated work hours depending on weather, business needs, and other conditions. Extreme heat, cold, rain, or drought may affect exact working hours.
</t>
  </si>
  <si>
    <t>P-400-23128-000426</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</si>
  <si>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t>
  </si>
  <si>
    <t>H-400-23256-341388</t>
  </si>
  <si>
    <t>Senior Vice President &amp; General Manager</t>
  </si>
  <si>
    <t xml:space="preserve">Must be able to stand and/or walk for duration of shift. Must be able to maneuver up to 50 pounds on a regular basis. Must pass a pre-employment drug test and criminal background check. IP Casino screens all applicants through drug tests and background checks, including domestic and H-2B visa employees. This includes seasonal and full-time annual positions and is applied to all applicants regardless of their national origin, race, or gender.
</t>
  </si>
  <si>
    <t>P-400-23181-157823</t>
  </si>
  <si>
    <t xml:space="preserve">Deductions: The employer will make all deductions from the worker’s paycheck required by law. Additional deductions included optional employee housing. Housing: Optional furnished employee housing with utilities is offered. Cost of housing is $475 per month and paid bi-weekly through payroll deductions. A one-time non-refundable incidental fee of $150 is also required.
</t>
  </si>
  <si>
    <t>H-400-23297-451434</t>
  </si>
  <si>
    <t>Helper of Carpenter</t>
  </si>
  <si>
    <t>A C Construction</t>
  </si>
  <si>
    <t>7101 N Highfield Dr</t>
  </si>
  <si>
    <t>Atanacio</t>
  </si>
  <si>
    <t>acastillo@ac-constructionllc.com</t>
  </si>
  <si>
    <t xml:space="preserve">Three months of experience as Helper of Carpenter in residential construction setting. Must bend, lift, and sustain up to 50 lbs, work under extremely hot weather conditions. No travel required outside the Metropolitan area, no on-the-job training available, no education required. Post-hire drug test required paid by employer, all US and Guest workers will be screened equally. 
</t>
  </si>
  <si>
    <t>If overtime is needed, will be paid at $22.44 per hour.</t>
  </si>
  <si>
    <t>P-400-23227-266238</t>
  </si>
  <si>
    <t xml:space="preserve">Any deductions required by the government. </t>
  </si>
  <si>
    <t>H-400-23215-235376</t>
  </si>
  <si>
    <t>Snow Removal Crewman</t>
  </si>
  <si>
    <t>OR Landscaping LLC</t>
  </si>
  <si>
    <t>322 Buffalo Drive</t>
  </si>
  <si>
    <t>Mailing: PO Box 3645, Alpine, WY 83128</t>
  </si>
  <si>
    <t>Gillam</t>
  </si>
  <si>
    <t>Waylon</t>
  </si>
  <si>
    <t xml:space="preserve">Must lift/carry 50 lbs., when necessary.  Saturday and Sunday work required, when necessary. Must be able to work either shift. (7AM-2:30PM; 5AM-12:30PM). Employer may offer more than the stated work hours depending on weather, business needs, and other conditions. Extreme heat, cold, rain, or drought may affect exact working hours.
</t>
  </si>
  <si>
    <t>P-400-23177-144132</t>
  </si>
  <si>
    <t>kamikemp@orljh.com</t>
  </si>
  <si>
    <t>H-400-23230-276922</t>
  </si>
  <si>
    <t>ACCOUNTING &amp; HUMAN RESOURCES MANAGER</t>
  </si>
  <si>
    <t>None .</t>
  </si>
  <si>
    <t>P-400-23152-068319</t>
  </si>
  <si>
    <t>H-400-23215-235062</t>
  </si>
  <si>
    <t>Venice Yacht Club Inc</t>
  </si>
  <si>
    <t xml:space="preserve">1330 Tarpon Center Drive </t>
  </si>
  <si>
    <t>FURMAN</t>
  </si>
  <si>
    <t>BRUCE</t>
  </si>
  <si>
    <t>P-400-23156-078294</t>
  </si>
  <si>
    <t>HOUSING OPTIONAL AND AVAILABLE FOR $325/MONTH WITH A $250 REFUNDABLE DEPOSIT.</t>
  </si>
  <si>
    <t>gm@veniceyachtclub.com</t>
  </si>
  <si>
    <t>H-400-23236-293864</t>
  </si>
  <si>
    <t>FRONT DESK AGENT</t>
  </si>
  <si>
    <t>BENCHMARK DUCK KEY LLC</t>
  </si>
  <si>
    <t>HAWKS CAY RESORT</t>
  </si>
  <si>
    <t>61 HAWKS CAY BLVD</t>
  </si>
  <si>
    <t>DUCK KEY</t>
  </si>
  <si>
    <t>STEWART, JR</t>
  </si>
  <si>
    <t>JESSE</t>
  </si>
  <si>
    <t>jesse.stewart@hawkscay.com</t>
  </si>
  <si>
    <t xml:space="preserve">Must be able to work weekends &amp; holidays. </t>
  </si>
  <si>
    <t>P-400-23144-049216</t>
  </si>
  <si>
    <t xml:space="preserve">Optional housing subject to availability $95-$140/wk &amp; will be deducted biweekly plus all deductions required by law. </t>
  </si>
  <si>
    <t>http://www.hawkscayjobs.com</t>
  </si>
  <si>
    <t>H-400-23222-255783</t>
  </si>
  <si>
    <t>MEGS Contracting Services PLLC</t>
  </si>
  <si>
    <t>4000 Silver Spur Road</t>
  </si>
  <si>
    <t>megscontractingservices@yahoo.com</t>
  </si>
  <si>
    <t>Skills required is adding machine training. Familiar with US Currency</t>
  </si>
  <si>
    <t>2901 W Hwy 98</t>
  </si>
  <si>
    <t>OT paid if applicable</t>
  </si>
  <si>
    <t>P-400-23185-166127</t>
  </si>
  <si>
    <t>Housing will be provided through Bay Manpower and will be deducted from pay</t>
  </si>
  <si>
    <t>www.megscontractingservices.com</t>
  </si>
  <si>
    <t>marie_singh@yahoo.com</t>
  </si>
  <si>
    <t>H-400-23279-414422</t>
  </si>
  <si>
    <t>ABC Professional Tree Services, Inc - Bastrop</t>
  </si>
  <si>
    <t>155 Electric Ave,</t>
  </si>
  <si>
    <t>Bastrop</t>
  </si>
  <si>
    <t>P-400-23214-232617</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</si>
  <si>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may deduct retirement/savings plan contributions and/or health insurance premiums for workers voluntarily participating in plan(s).  No daily transportation to/from workers' home and primary worksite. Employer provides incidental transportation between multiple worksites as necessary. Such transportation complies with all applicable Federal, State, and local laws/regulations.</t>
  </si>
  <si>
    <t>H-400-23257-348136</t>
  </si>
  <si>
    <t>Exscape Designs, LLC</t>
  </si>
  <si>
    <t>10121 Kinsman Road</t>
  </si>
  <si>
    <t>Novelty</t>
  </si>
  <si>
    <t>Matty</t>
  </si>
  <si>
    <t>chaturvedi1085@maslabor.com</t>
  </si>
  <si>
    <t xml:space="preserve">Must lift/carry 50 lbs., when necessary. Saturday and Sunday work required, when necessary. Post-hire upon suspicion of use and post-accident drug testing required of foreign and domestic workers. Post-hire background check required of foreign and domestic workers. Employer may offer more than the stated work hours depending on weather, business needs, and other conditions. Extreme heat, cold, rain, or drought may affect exact working hours.
</t>
  </si>
  <si>
    <t>10121 Kinsman Rd.</t>
  </si>
  <si>
    <t>P-400-23201-202798</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</si>
  <si>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Voluntary advances and/or loans made to workers, if any, may be repaid by pre-authorized payroll deductions. Employer may deduct retirement/savings plan contributions and/or health insurance premiums for workers voluntarily participating in plan(s). Employer may also deduct for Voluntary Purchased company logo apparel &amp; merchandise. Paid time off (PTO) offered to all eligible workers in the position foreign and domestic. No daily transportation to/from work provided. Employer provides incidental transportation between multiple worksites as necessary. Such transportation complies with all applicable Federal, State and local laws/regulations.</t>
  </si>
  <si>
    <t>HR@exscapedesigns.com</t>
  </si>
  <si>
    <t>H-400-23185-166100</t>
  </si>
  <si>
    <t>Meat Processor - Large Intestine Removal</t>
  </si>
  <si>
    <t xml:space="preserve">1 month of safety/ppe/sanitation training required. 
Workers will work from EITHER 6:30am - 3:00pm OR 3:00pm - 11:30pm OR 11:00pm - 7:30am. </t>
  </si>
  <si>
    <t>P-400-23122-983818</t>
  </si>
  <si>
    <t>H-400-23242-308664</t>
  </si>
  <si>
    <t>Riverwalk Unit Owners Association</t>
  </si>
  <si>
    <t>22 S. Mountain Dr.</t>
  </si>
  <si>
    <t xml:space="preserve">Proficient in reading, writing and conversing in English.
</t>
  </si>
  <si>
    <t>22 S. Mountian Dr.</t>
  </si>
  <si>
    <t>P-400-23145-054314</t>
  </si>
  <si>
    <t>Lodging--$150.00 weekly</t>
  </si>
  <si>
    <t>H-400-23243-313462</t>
  </si>
  <si>
    <t>Housekeeper/Room Attendant</t>
  </si>
  <si>
    <t>Aspen Skiing Company</t>
  </si>
  <si>
    <t>675 East Durant Ave</t>
  </si>
  <si>
    <t>Streblow</t>
  </si>
  <si>
    <t>675 East Durant Avenue</t>
  </si>
  <si>
    <t>astreblow@thelittlenell.com</t>
  </si>
  <si>
    <t>10 North Tampa Street</t>
  </si>
  <si>
    <t>Suite 3600</t>
  </si>
  <si>
    <t>natalie.mcewan@ogletreedeakins.com</t>
  </si>
  <si>
    <t>Ogletree, Deakins, Nash, Smoak &amp; Stewart, P.C.</t>
  </si>
  <si>
    <t xml:space="preserve">Must be able to work weekends. Must be able to lift a minimum of 20 lbs frequently.
</t>
  </si>
  <si>
    <t>See F.a.4. under "Terms and Conditions of Employment."</t>
  </si>
  <si>
    <t>P-400-23130-011562</t>
  </si>
  <si>
    <t>Employer will make all deductions from the worker's paycheck as required by law. Optional employee housing available on a first-come, first-serve basis.
Rent ranges from $450.00 to $900.00 per month depending on location (reasonable cost). Rent payable by cash or check directly to landlord.</t>
  </si>
  <si>
    <t>aspensnowmass.com/jobs</t>
  </si>
  <si>
    <t>kaitlyn.quiring@ogletreedeakins.com</t>
  </si>
  <si>
    <t>H-400-23186-168474</t>
  </si>
  <si>
    <t>Pipefitter</t>
  </si>
  <si>
    <t>230 W. Monroe</t>
  </si>
  <si>
    <t>Corporate Immigration Partners</t>
  </si>
  <si>
    <t xml:space="preserve">Must pass company pipefitter practical test based on objective standards.  Work on Saturdays may be required.
</t>
  </si>
  <si>
    <t>P-400-23137-031918</t>
  </si>
  <si>
    <t>None. The employer will provide lodging for the worker for the duration of 10 months.	The employer will not make any deductions from the worker's payment for lodging.</t>
  </si>
  <si>
    <t>H-400-23284-423456</t>
  </si>
  <si>
    <t>Prowant Specialty Company, Inc.</t>
  </si>
  <si>
    <t>108 West Cedar Street</t>
  </si>
  <si>
    <t>(Mail to: P.O. Box 80, Dupont, OH 45837)</t>
  </si>
  <si>
    <t xml:space="preserve">Dupont </t>
  </si>
  <si>
    <t>Cushman</t>
  </si>
  <si>
    <t>Suzannah</t>
  </si>
  <si>
    <t>108 West Cedar St.</t>
  </si>
  <si>
    <t>Dupont</t>
  </si>
  <si>
    <t>prowantsc@gmail.com</t>
  </si>
  <si>
    <t>P-400-23229-271449</t>
  </si>
  <si>
    <t>H-400-23192-179790</t>
  </si>
  <si>
    <t>MERCHANDISE DRIVER</t>
  </si>
  <si>
    <t>TRIPLE R TRANSPORTING INC.</t>
  </si>
  <si>
    <t>619 Star Fruit Ave</t>
  </si>
  <si>
    <t>TripleRtransporting@gmail.com</t>
  </si>
  <si>
    <t>180 Sarasota St</t>
  </si>
  <si>
    <t>P-400-23157-081800</t>
  </si>
  <si>
    <t>tripleRtransporting@gmail.com</t>
  </si>
  <si>
    <t>H-400-23184-164131</t>
  </si>
  <si>
    <t>Landscape Construction Worker</t>
  </si>
  <si>
    <t>Jimenez Grading LLC</t>
  </si>
  <si>
    <t>Jimenez Grading</t>
  </si>
  <si>
    <t>9610 Highway 20/26</t>
  </si>
  <si>
    <t>Celia</t>
  </si>
  <si>
    <t>celiarangel82@yahoo.com</t>
  </si>
  <si>
    <t>P-400-23122-985767</t>
  </si>
  <si>
    <t>By mutual agreement, an OPTIONAL advance up to $500 USD/worker to purchase personal items and/or cold weather gear appropriate for this area and work period. By mutual agreement, OPTIONAL housing is available for up to $500/ month/worker deducted from employee's paychecks. Payment of advance or rent will be taken out of paychecks.</t>
  </si>
  <si>
    <t>H-400-23184-163503</t>
  </si>
  <si>
    <t>Deckhand, Oyster Boat</t>
  </si>
  <si>
    <t>Marioss Oysters, LLC</t>
  </si>
  <si>
    <t>620 Lafayette Street</t>
  </si>
  <si>
    <t>Burgos</t>
  </si>
  <si>
    <t>MariosOysters@gmail.com</t>
  </si>
  <si>
    <t>3282 Bayou Dularge Road</t>
  </si>
  <si>
    <t>Theriot</t>
  </si>
  <si>
    <t>Hours may vary depending on weather conditions.</t>
  </si>
  <si>
    <t>P-400-23121-980394</t>
  </si>
  <si>
    <t>All standard deductions required by law.</t>
  </si>
  <si>
    <t>H-400-23195-190814</t>
  </si>
  <si>
    <t>SET-UP AND CLEANING CREW</t>
  </si>
  <si>
    <t>EVENTS BY LUCY LLC</t>
  </si>
  <si>
    <t xml:space="preserve">1987 W 2135 S </t>
  </si>
  <si>
    <t xml:space="preserve">WOOD CROSS </t>
  </si>
  <si>
    <t xml:space="preserve">ESTRADA </t>
  </si>
  <si>
    <t>LUZ</t>
  </si>
  <si>
    <t xml:space="preserve">1978 W 2135 S </t>
  </si>
  <si>
    <t>SALONDEFIESTASARCOIRIS@YAHOO.COM</t>
  </si>
  <si>
    <t xml:space="preserve">LOPEZ </t>
  </si>
  <si>
    <t xml:space="preserve">VICTOR </t>
  </si>
  <si>
    <t xml:space="preserve">MANUEL </t>
  </si>
  <si>
    <t xml:space="preserve">2751 WASHINGTON BLVD </t>
  </si>
  <si>
    <t>SUITE 2</t>
  </si>
  <si>
    <t xml:space="preserve">OGDEN </t>
  </si>
  <si>
    <t>CENTRO DE SERVICIOS HISPANO</t>
  </si>
  <si>
    <t>240 N. REDWOOD RD</t>
  </si>
  <si>
    <t xml:space="preserve">NORTH SALT LAKE CITY </t>
  </si>
  <si>
    <t>P-400-23136-027061</t>
  </si>
  <si>
    <t>H-400-23239-298756</t>
  </si>
  <si>
    <t xml:space="preserve">Three (3) months of guest service experience in a resort, private club, tourism, or professional environment required. May be required to lift up to 50 lbs.
On-the-job training is provided.
Following Shifts available 7 days a week including weekends and holidays. 6a-1p, 7a-2p, 8a-3p, 9a-4p.
Wage Per Hour: $13.87 - $21.00
Overtime Possible Per Hour at $20.81  $31.50
Possible Wage Increase: Returning/lead roles offer up to $1.00/more per hour
</t>
  </si>
  <si>
    <t>Returning/lead roles offer up to $1.00/more per hour.</t>
  </si>
  <si>
    <t>P-400-23138-034595</t>
  </si>
  <si>
    <t>H-400-23252-333572</t>
  </si>
  <si>
    <t>Jondoug, LLC</t>
  </si>
  <si>
    <t>DBA North Conway Grand Hotel</t>
  </si>
  <si>
    <t>72 Common Court</t>
  </si>
  <si>
    <t>c/o Newport Hotel Group, 28 Jacome Way, Middletown RI 02842</t>
  </si>
  <si>
    <t>North Conway</t>
  </si>
  <si>
    <t xml:space="preserve">Must lift/carry 50 lbs., when necessary. Fluent  English skills required. Work schedule will vary and will include evenings, holidays, and Saturdays and Sundays. Work may be performed on any day of the week from Monday through Sunday. Example shifts: 6:00am to 1:00 pm, 10:00 am to 5:00 pm, and 4:00 pm to 11:00 pm. Shift hours may vary. Employer may offer more than the stated work hours depending on weather, business needs, and other conditions. Extreme heat, cold, rain, or drought may affect exact working hours.
</t>
  </si>
  <si>
    <t>Raises/bonuses offered at employer's discretion, based on individual factors such as performance, skill, and tenure.</t>
  </si>
  <si>
    <t>P-400-23186-167621</t>
  </si>
  <si>
    <t>Employer makes all payroll deductions required by law. Employer does not envision other workforce-wide payroll deductions. Limited shared seasonal housing maybe offered and optional on a first come first serve basis. Cost of housing if available is $125/week or less. If used, total cost of housing will be paid directly to the employer or rental unit by employee.  Employer may deduct retirement/savings plan contributions and/or health insurance premiums for workers voluntarily participating in plan(s).    No daily transportation to/from workers' home and primary worksite. Employer provides incidental transportation between multiple worksites as necessary. Such transportation complies with all applicable Federal, State, and local laws/regulations.</t>
  </si>
  <si>
    <t>H-400-23258-350391</t>
  </si>
  <si>
    <t>Great Eastern Purveyor's, Inc.</t>
  </si>
  <si>
    <t>4156 Delwebb Drive</t>
  </si>
  <si>
    <t>Mailing Address: P.O. Box 1227, Harrisonburg, VA 22803</t>
  </si>
  <si>
    <t>Massanutten</t>
  </si>
  <si>
    <t>132 Hotel Drive</t>
  </si>
  <si>
    <t>awthompson@massresort.com</t>
  </si>
  <si>
    <t xml:space="preserve">
Applicant must complete pre-employment background check.  
</t>
  </si>
  <si>
    <t>ROCKINGHAM</t>
  </si>
  <si>
    <t>Harrisonburg, VA</t>
  </si>
  <si>
    <t>Wage: $13.09 per hour, paid weekly.  See job description for additional detail.</t>
  </si>
  <si>
    <t>P-400-23207-217909</t>
  </si>
  <si>
    <t>Optional housing is offered on a first-come, first-serve basis for workers who are relocating to begin employment.  Cost of housing, if accepted, is $110.00 per week and includes utilities.  If used, total cost of housing will be deducted from paycheck.  A $100.00 refundable security deposit is required, to be deducted from first paycheck.</t>
  </si>
  <si>
    <t>KMeza@massresort.com</t>
  </si>
  <si>
    <t>H-400-23224-260191</t>
  </si>
  <si>
    <t>P-400-23113-957861</t>
  </si>
  <si>
    <t xml:space="preserve">Optional subsidized employee housing is available but limited. Biweekly cost is $215.00 to $300.00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</si>
  <si>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Fragomen, Del Rey, Bernsen &amp;Loewy,LLP</t>
  </si>
  <si>
    <t>H-400-23224-260229</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</si>
  <si>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Must be able to lift 50 lbs. 
Must be able to sit or stand for extended periods of time. 
Must be able to bend, twist, reach, push, pull, operate hand tools (may include operating industrial machinery), and motor vehicles.
Must be able to work in a non-climate controlled environment, will be exposed to severe inclement weather and varying degrees of extreme temperature. 
Must be able to be exposed to various industrial chemicals, cleaning agents, etc.
Must be able to be exposed to strong odors, and loud noise levels.
Employer will provide on-the-job training.
A single workweek will be used in computing wages due. Workers will be paid weekly. 
Public transportation within 5 miles of worksite. Employee responsible for their own transportation to and from the worksite.  
The employer will provide worker at no charge all tools, supplies, and equipment required to perform job. Uniform pieces provided at no cost to employee. </t>
  </si>
  <si>
    <t>P-400-23158-089274</t>
  </si>
  <si>
    <t>H-400-23213-228548</t>
  </si>
  <si>
    <t>H-400-23258-350396</t>
  </si>
  <si>
    <t>Mailing Address: P.O. Box 1227, Harrisonburg, VA, 22803</t>
  </si>
  <si>
    <t>Massnutten</t>
  </si>
  <si>
    <t>Wage: $13.09 - $14.50 per hour, paid weekly.  See job description for additional detail.</t>
  </si>
  <si>
    <t>P-400-23207-217916</t>
  </si>
  <si>
    <t>H-400-23184-163379</t>
  </si>
  <si>
    <t xml:space="preserve">WORKER MUST HAVE CPR CERTIFICATION PRIOR TO EMPLOYMENT.
THE EMPLOYEE IS EXPECTED TO WORK FROM 8:00AM UNTIL 3:00PM AND THEN FROM 5:00PM UNTIL 8:00PM MONDAY - FRIDAY AND THEN AN ADDITIONAL 5 HOURS ON SATURDAYS FROM 9:00AM UNTIL 3:00PM.
</t>
  </si>
  <si>
    <t xml:space="preserve">Employer intends to pay the DC minimum wage of $17.00 per hour. </t>
  </si>
  <si>
    <t>P-400-23118-974560</t>
  </si>
  <si>
    <t>HOUSING WILL BE PROVIDED TO THE EMPLOYEE AT THE EMPLOYEE’S OPTION AT A REASONABLE RATE FOR HOUSING AND UTILITIES, AND THIS RATE SHALL BE
DEDUCTED FROM WAGES OR THE WORKER CAN CHOOSE TO RECEIVE FULL WAGES AND PAY RENT/UTILITIES TO THE EMPLOYER FOR HOUSING IF THE WORKER
PREFERS THIS OPTION.</t>
  </si>
  <si>
    <t>H-400-23229-273692</t>
  </si>
  <si>
    <t xml:space="preserve">Dishwashers </t>
  </si>
  <si>
    <t xml:space="preserve">Anita's Enterprises Inc. </t>
  </si>
  <si>
    <t>1001 S. Parrott Ave.</t>
  </si>
  <si>
    <t>NUNEZ</t>
  </si>
  <si>
    <t>ANITA</t>
  </si>
  <si>
    <t>1001 S. PARROTT AVE.</t>
  </si>
  <si>
    <t xml:space="preserve">OKEECHOBEE </t>
  </si>
  <si>
    <t>anunez974@yahoo.com</t>
  </si>
  <si>
    <t>EDWARD</t>
  </si>
  <si>
    <t>6 BEACON STREET</t>
  </si>
  <si>
    <t>SUITE 1015</t>
  </si>
  <si>
    <t>BOSTON</t>
  </si>
  <si>
    <t>ewhite@immigrationed.com</t>
  </si>
  <si>
    <t>Law Office of Ed R White, P.C.</t>
  </si>
  <si>
    <t xml:space="preserve">Supreme Judicial Court </t>
  </si>
  <si>
    <t xml:space="preserve">Overtime possible but not guaranteed. </t>
  </si>
  <si>
    <t>P-400-23139-038535</t>
  </si>
  <si>
    <t>patty9930@gmail.com</t>
  </si>
  <si>
    <t>H-400-23225-260449</t>
  </si>
  <si>
    <t>Rapa Development LLC</t>
  </si>
  <si>
    <t>Black River Tavern</t>
  </si>
  <si>
    <t>403  Phoenix Street</t>
  </si>
  <si>
    <t>South Haven</t>
  </si>
  <si>
    <t>403 Phoenix Street</t>
  </si>
  <si>
    <t>blackrivertavern@gmail.com</t>
  </si>
  <si>
    <t>Does not need special requirements</t>
  </si>
  <si>
    <t>VAN BUREN</t>
  </si>
  <si>
    <t>Paid bi-weekly</t>
  </si>
  <si>
    <t>P-400-23109-947495</t>
  </si>
  <si>
    <t>maxxyscott@gmail.com</t>
  </si>
  <si>
    <t>H-400-23186-168514</t>
  </si>
  <si>
    <t>JaAmCo, LLC</t>
  </si>
  <si>
    <t>2733 E Battlefield Road</t>
  </si>
  <si>
    <t>#142</t>
  </si>
  <si>
    <t>Harlan</t>
  </si>
  <si>
    <t>clint.harlan.elite@gmail.com</t>
  </si>
  <si>
    <t>Ceniceros-Herrada</t>
  </si>
  <si>
    <t>Giovanny</t>
  </si>
  <si>
    <t>Edgar.ceniceros-herrada@huschblackwell.com</t>
  </si>
  <si>
    <t>Husch Blackwelll LLP</t>
  </si>
  <si>
    <t xml:space="preserve">Must be able to stand for the duration of shift.  Must be able to work in outside environments subject to extreme temperatures and climate variations.  Must be able to lift 50 lbs. Must be able to bend, stoop, lift, and stretch on a frequent basis.  Must be able to work Monday to Friday from 8 am to 5 pm.  All shifts may be required to arrive early, stay late, and to work weekends depending on customer needs.
</t>
  </si>
  <si>
    <t>4725 S Farm Road 223</t>
  </si>
  <si>
    <t>Rogersville</t>
  </si>
  <si>
    <t>P-400-23132-018900</t>
  </si>
  <si>
    <t>Employer will make all deductions from employee’s paycheck required by law.</t>
  </si>
  <si>
    <t>H-400-23198-192163</t>
  </si>
  <si>
    <t>Castro Labor Solutions LLC</t>
  </si>
  <si>
    <t>237 Red Rock Rd.</t>
  </si>
  <si>
    <t>Parrott</t>
  </si>
  <si>
    <t>caslabsol@yahoo.com</t>
  </si>
  <si>
    <t>Must be 18 due to state labor laws.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75lbs (possible 2-person).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</si>
  <si>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237 Red Rock Rd. (Report to Work)</t>
  </si>
  <si>
    <t>TERRELL</t>
  </si>
  <si>
    <t>Albany, GA</t>
  </si>
  <si>
    <t>P-400-23157-084996</t>
  </si>
  <si>
    <t>Optional, shared furnished housing available to the worker (including: utilities) at a monthly housing rate up to $140; if optional housing is agreed upon by the worker, monthly housing rate will be deducted from worker's paycheck incrementally (weekly). At Employer’s sole discretion: possible cash advances (if applicable/requested by worker, potential deduction from worker’s paycheck).</t>
  </si>
  <si>
    <t>H-400-23239-298817</t>
  </si>
  <si>
    <t>Steamboat Ski &amp; Resort Corporation</t>
  </si>
  <si>
    <t>Steamboat Resort</t>
  </si>
  <si>
    <t>2305 Mt. Werner Circle</t>
  </si>
  <si>
    <t>Steamboat Springs</t>
  </si>
  <si>
    <t>hejones@steamboat.com</t>
  </si>
  <si>
    <t xml:space="preserve">One year of relevant professional cooking experience. Ability to work at a high pace and be comfortable working with a variety of kitchen equipment. Must be minimum 18 years of age. Must be able to stand for long periods of time. Must be able to lift and carry up to 50 lbs. Must read, write, and speak fluently in English. Criminal background check pre-hire when residing in employee housing only.
On the Job Training is Provided.
Following Shifts available 7 days a week including weekends and holidays. 7:00am - 11pm, 7 days a week including weekends and holidays. (7am-3pm, 2pm-11pm) Hours may vary between outlet.
Wage Per Hour: $17.51 - $23.00. Overtime Possible Per Hour at $26.27 - $34.5.
Possible wage increase: Annual pay raises are offered for merit for all positions.  Cook positions may receive increases based on culinary experience.
</t>
  </si>
  <si>
    <t>ROUTT</t>
  </si>
  <si>
    <t>based on culinary experience.</t>
  </si>
  <si>
    <t>P-400-23139-038936</t>
  </si>
  <si>
    <t>All deductions required by law will be made.
Optional housing is offered on a first-come, first-serve basis for workers who are relocating to begin employment. Cost of housing, if accepted, is up to $700.00 per month. If used, monthly cost of housing may be deducted from paycheck. A partially refundable security deposit of $700.00 is required, to be paid directly to employer upon acceptance of housing (security deposit, plus a non-refundable administrative fee of $50.00).Employee shuttle transportation as well as public bus service available from employee housing to ski area base. Gondola transportation from base to restaurant locations also provided.Criminal background check pre-hire required when residing in employee housing only.Benefits: Free ski lift season passes for Alterra Mountain Company resorts, $25 ski lift season passes for Alterra Mountain Company resorts for dependents, 25%-50% Food &amp; Beverage discounts (based on location),...
Please see attached job order ..</t>
  </si>
  <si>
    <t>H-400-23184-164377</t>
  </si>
  <si>
    <t>Installer</t>
  </si>
  <si>
    <t>Insulation Workers, Floor, Ceiling, and Wall</t>
  </si>
  <si>
    <t>Hill Country Insulation LLC</t>
  </si>
  <si>
    <t>20105 Algreg Street</t>
  </si>
  <si>
    <t>leem@hcinsulation.com</t>
  </si>
  <si>
    <t xml:space="preserve">One (1) year of insulation/spray foam or related experience is required. Workers must be able to lift and carry up to sixty-five (65) lbs. for 75 yards. Workers must be able to work on ladders/stilts for a full shift. Workers must be able to handle cold and hot temperature extremes. Workers must be able to perform job functions while wearing full Personal Protective Equipment (PPE). On the job, training would be provided. The employer will conduct a background check.
</t>
  </si>
  <si>
    <t>P-400-23122-983263</t>
  </si>
  <si>
    <t>$60 a week for housing, optional.</t>
  </si>
  <si>
    <t>H-400-23215-236852</t>
  </si>
  <si>
    <t xml:space="preserve">EOS Hospitality OE Employee LLC </t>
  </si>
  <si>
    <t>Oceans Edge Resort &amp; Marina Key West</t>
  </si>
  <si>
    <t>5950 Peninsular Avenue</t>
  </si>
  <si>
    <t>Key West</t>
  </si>
  <si>
    <t>Croke</t>
  </si>
  <si>
    <t>kcroke@oceansedgekeywest.com</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</si>
  <si>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and drug screening.  
</t>
  </si>
  <si>
    <t>Wage: $19.00 - $20.00 per hour, paid bi-weekly. See job description for additional detail.</t>
  </si>
  <si>
    <t>P-400-23167-120512</t>
  </si>
  <si>
    <t xml:space="preserve">Optional housing is offered on a first-come, first-serve basis for workers who are relocating to begin employment.  Cost of housing and utilities, if accepted, is up to $1,000.00 per month.  If used, total cost of housing and utilities will be deducted from paycheck.  </t>
  </si>
  <si>
    <t>Seasonal@oceansedgekeywest.com</t>
  </si>
  <si>
    <t>H-400-23215-237539</t>
  </si>
  <si>
    <t xml:space="preserve">Must be able to lift 30 lbs. Employees expected daily schedule will be from 9am to 5pm, Monday to Friday, and then sometimes on the weekends for a set number of hours that might vary in their start time, Saturday (up to 4 hours) and Sunday (up to 4 hours). Employees should expect hours to vary, based on the needs of the two locations. There is a formal program for training new employees.
</t>
  </si>
  <si>
    <t>KS Turnpike Service area MM 65</t>
  </si>
  <si>
    <t>Towanda</t>
  </si>
  <si>
    <t>P-400-23174-141302</t>
  </si>
  <si>
    <t xml:space="preserve"> www.fnfdq.com</t>
  </si>
  <si>
    <t>H-400-23216-238185</t>
  </si>
  <si>
    <t>TRC Snow Management, Inc</t>
  </si>
  <si>
    <t>11220 Kinsman Rd</t>
  </si>
  <si>
    <t>Newbury</t>
  </si>
  <si>
    <t>Gibney</t>
  </si>
  <si>
    <t>brad@trclandscape.com</t>
  </si>
  <si>
    <t xml:space="preserve">The Supreme Court Of Ohio  </t>
  </si>
  <si>
    <t>P-400-23142-041729</t>
  </si>
  <si>
    <t>H-400-23185-165919</t>
  </si>
  <si>
    <t>Split Saw Operator</t>
  </si>
  <si>
    <t>Smithfield Meats</t>
  </si>
  <si>
    <t xml:space="preserve">Safety and sanitation training required. 
Work will EITHER be from 6:00am - 4:30pm OR 7:00am - 5:30pm
</t>
  </si>
  <si>
    <t xml:space="preserve">Wage rate determined by internal metrics. Workers may be eligible for plant-wide incentive program. </t>
  </si>
  <si>
    <t>P-400-23121-981576</t>
  </si>
  <si>
    <t>H-400-23215-236172</t>
  </si>
  <si>
    <t>Ski/Snowboard Instructor, Level III</t>
  </si>
  <si>
    <t xml:space="preserve">Must have current Level III certification with Professional Ski Instructors of America (PSIA), American Association of Snowboard Instructors (AASI), International Ski Instructors Association (ISIA), or equivalent organization. Must be able to work the full period of employment.
</t>
  </si>
  <si>
    <t>P-400-23113-957889</t>
  </si>
  <si>
    <t>H-400-23215-235236</t>
  </si>
  <si>
    <t>Wyndemere Country Club</t>
  </si>
  <si>
    <t>700 Wyndemere Way</t>
  </si>
  <si>
    <t>Executive Director of Operations</t>
  </si>
  <si>
    <t>levans@wyndemere.com</t>
  </si>
  <si>
    <t xml:space="preserve">One-year of server experience in a fine-dining or high-volume environment at a high-end restaurant, resort or private beach club required. Applicant must complete pre-employment background check and drug screening.
</t>
  </si>
  <si>
    <t>P-400-23122-986166</t>
  </si>
  <si>
    <t xml:space="preserve">The employer will make all deductions from the worker’s paycheck required by law. Additional deductions may include housing (if applicable).
Housing: Optional employee housing maybe available. Housing is on a first-come, first-serve basis for workers who are relocating to begin employment. If accepted, cost of housing is $24 per day. Cost of housing is paid via payroll deduction.
</t>
  </si>
  <si>
    <t>H-400-23185-166093</t>
  </si>
  <si>
    <t>Meat Processor - Intestine Removal</t>
  </si>
  <si>
    <t xml:space="preserve">1 month of safety/ppe/sanitation cleaning required. 
Workers will work from EITHER 6:30am - 3:00pm OR 3:00pm - 11:30pm OR 11:00pm - 7:30am. </t>
  </si>
  <si>
    <t xml:space="preserve">Exact wage rate determined by internal metrics and CBA negotiated terms. </t>
  </si>
  <si>
    <t>P-400-23122-983522</t>
  </si>
  <si>
    <t>H-400-23194-186770</t>
  </si>
  <si>
    <t>James E. Fraser</t>
  </si>
  <si>
    <t>Big Jim's Concessions</t>
  </si>
  <si>
    <t>9740 N. Dos Palos Rd.</t>
  </si>
  <si>
    <t>Firebaugh</t>
  </si>
  <si>
    <t xml:space="preserve">9740 N. Dos Palos Rd. </t>
  </si>
  <si>
    <t>reddev3@yahoo.com</t>
  </si>
  <si>
    <t>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t>
  </si>
  <si>
    <t>1366 N Street Firebaugh, Ca. 93622</t>
  </si>
  <si>
    <t>P-400-23159-093097</t>
  </si>
  <si>
    <t>H-400-23262-357598</t>
  </si>
  <si>
    <t xml:space="preserve">AUTOMOTIVE SERVICE ATTENDANTS </t>
  </si>
  <si>
    <t>Automotive and Watercraft Service Attendants</t>
  </si>
  <si>
    <t xml:space="preserve">ALPHA DIESEL AND TRUCKING REPAIR LLC </t>
  </si>
  <si>
    <t>4612 JOHNSON RD</t>
  </si>
  <si>
    <t>ODESSA</t>
  </si>
  <si>
    <t xml:space="preserve">MARTINEZ FLORES </t>
  </si>
  <si>
    <t xml:space="preserve">MARIO </t>
  </si>
  <si>
    <t>CESAR</t>
  </si>
  <si>
    <t xml:space="preserve">4612 JOHNSON  RD </t>
  </si>
  <si>
    <t>alphadieselrepairllc@gmail.com</t>
  </si>
  <si>
    <t>P-400-23209-221668</t>
  </si>
  <si>
    <t>H-400-23265-373130</t>
  </si>
  <si>
    <t>Caregiver</t>
  </si>
  <si>
    <t>Shrangri-La of West Melbourne ALF, LLC</t>
  </si>
  <si>
    <t>1511 Whitman Drive</t>
  </si>
  <si>
    <t>West Melbourne</t>
  </si>
  <si>
    <t>Leamy</t>
  </si>
  <si>
    <t>Immigration Counsel</t>
  </si>
  <si>
    <t>chuck_leamy@yahoo.com</t>
  </si>
  <si>
    <t>Drug test and background check is required for the job opportunity.</t>
  </si>
  <si>
    <t xml:space="preserve">West Melbourne </t>
  </si>
  <si>
    <t xml:space="preserve">Benefits included: Medical, Dental, Vacation, Holidays sick leave and travel allowance </t>
  </si>
  <si>
    <t>P-400-23143-045472</t>
  </si>
  <si>
    <t>Housing available on site at no cost to workers.</t>
  </si>
  <si>
    <t>an-np@hotmail.com</t>
  </si>
  <si>
    <t>H-400-23231-279093</t>
  </si>
  <si>
    <t>21 N Colombia St.</t>
  </si>
  <si>
    <t>Seaside</t>
  </si>
  <si>
    <t>CLATSOP</t>
  </si>
  <si>
    <t>P-400-23187-169493</t>
  </si>
  <si>
    <t xml:space="preserve">Employer will make all deductions from the worker’s paycheck required by law. Optional housing (valued at $150.00 per week) and local convenience travel (valued at $100.00 per week) are available at no cost to the worker. </t>
  </si>
  <si>
    <t>H-400-23236-291043</t>
  </si>
  <si>
    <t xml:space="preserve">Pet Groomer </t>
  </si>
  <si>
    <t xml:space="preserve">Highland Pets </t>
  </si>
  <si>
    <t xml:space="preserve">4235 Highland Drive </t>
  </si>
  <si>
    <t>Holladay</t>
  </si>
  <si>
    <t>Lassen</t>
  </si>
  <si>
    <t>Thais</t>
  </si>
  <si>
    <t>highlandpetsgrooming@gmail.com</t>
  </si>
  <si>
    <t xml:space="preserve">portuguese
spanish
</t>
  </si>
  <si>
    <t>P-400-23189-175609</t>
  </si>
  <si>
    <t>highlandpetscorporation@gmail.com</t>
  </si>
  <si>
    <t>H-400-23290-437438</t>
  </si>
  <si>
    <t>Peddler</t>
  </si>
  <si>
    <t>Frozen Desserts LLC</t>
  </si>
  <si>
    <t>Mister Softee</t>
  </si>
  <si>
    <t>39 Friends Ave.</t>
  </si>
  <si>
    <t>Haddonfield</t>
  </si>
  <si>
    <t>Durkin</t>
  </si>
  <si>
    <t>Manager/Member LLC</t>
  </si>
  <si>
    <t>frznde14@hotmail.com</t>
  </si>
  <si>
    <t>Cramer</t>
  </si>
  <si>
    <t>345 BOSTON POST RD</t>
  </si>
  <si>
    <t>SUDBURY</t>
  </si>
  <si>
    <t>peterjcramer@gmail.com</t>
  </si>
  <si>
    <t>Law Office of Peter J Cramer</t>
  </si>
  <si>
    <t>400 Stokes Ave</t>
  </si>
  <si>
    <t>Ewing</t>
  </si>
  <si>
    <t>Trenton, NJ</t>
  </si>
  <si>
    <t>P-400-23222-255659</t>
  </si>
  <si>
    <t>All deductions required by law.</t>
  </si>
  <si>
    <t>H-400-23290-435876</t>
  </si>
  <si>
    <t>Brown's Amusements, Inc.</t>
  </si>
  <si>
    <t>11428 E. Appleby Road</t>
  </si>
  <si>
    <t>{Mail: 550 W. Baseline Road Suite 102-353 Mesa, AZ 85210}</t>
  </si>
  <si>
    <t>eventsarizona@aol.com</t>
  </si>
  <si>
    <t>P-400-23229-272957</t>
  </si>
  <si>
    <t>H-400-23184-162996</t>
  </si>
  <si>
    <t>Snow Removal Worker</t>
  </si>
  <si>
    <t>Manfredi Enterprises</t>
  </si>
  <si>
    <t>36610 Valley Ridge Dr</t>
  </si>
  <si>
    <t>Eastlake</t>
  </si>
  <si>
    <t>Manfredi</t>
  </si>
  <si>
    <t>Domenic</t>
  </si>
  <si>
    <t>PO Box 241071</t>
  </si>
  <si>
    <t>Mayfield Hts</t>
  </si>
  <si>
    <t>manfredienterprises@gmail.com</t>
  </si>
  <si>
    <t>Ford</t>
  </si>
  <si>
    <t>13839 Braeburn Lane</t>
  </si>
  <si>
    <t>elizabeth@ebfordlaw.com</t>
  </si>
  <si>
    <t>Elizabeth B Ford, Attorney at Law LLC</t>
  </si>
  <si>
    <t xml:space="preserve">Supreme Court Of Ohio </t>
  </si>
  <si>
    <t xml:space="preserve">Ability to lift/carry 50 lbs Random drug/alcohol and background checks paid for by the employer and applied equally to all employees.  Ability to obtain a US driver's license. 
</t>
  </si>
  <si>
    <t>P-400-23115-964794</t>
  </si>
  <si>
    <t>H-400-23235-287465</t>
  </si>
  <si>
    <t>MEDICAL ADMINSTRATION ASSISTANT</t>
  </si>
  <si>
    <t>Medical Secretaries and Administrative Assistants</t>
  </si>
  <si>
    <t>DDP ENTERPRISE</t>
  </si>
  <si>
    <t>RECHARGE MEDICAL</t>
  </si>
  <si>
    <t>1456 CALIFORNIA ST</t>
  </si>
  <si>
    <t>SAN FRANCISCO</t>
  </si>
  <si>
    <t>NGUYEN</t>
  </si>
  <si>
    <t>PHILIPPE</t>
  </si>
  <si>
    <t>DOCTOR</t>
  </si>
  <si>
    <t>PTNGUYEN@DDPHEALTH.COM</t>
  </si>
  <si>
    <t xml:space="preserve">NEED TO SPEAK AND WRITE VIETNAMESE
</t>
  </si>
  <si>
    <t>P-400-23197-192102</t>
  </si>
  <si>
    <t>ptnguyen@ddphealth.com</t>
  </si>
  <si>
    <t>edd.ca.gov</t>
  </si>
  <si>
    <t>H-400-23220-245286</t>
  </si>
  <si>
    <t>Levy Premium Foodservice Limited Partnership</t>
  </si>
  <si>
    <t>980 N Michigan Avenue</t>
  </si>
  <si>
    <t>Sweeney</t>
  </si>
  <si>
    <t>Regional VP of Operations</t>
  </si>
  <si>
    <t>ssweeney@levyrestaurants.com</t>
  </si>
  <si>
    <t xml:space="preserve">One (1) year of culinary experience in a related field in a fine-dining or high-volume environment at a high-end restaurant, resort, or private club required.
Following Shifts available 7 days a week including weekends and holidays. Example shifts: 7:00am to 2:00pm, 9:00am to 4:00pm, or 2:00pm to 9:00pm. Shift available 7 days a week, hours may vary and include weekends and holidays. 
Wage Per Hour: $17.51 - $23.00 
Overtime Possible Per Hour at $26.27 - $34.50 
Possible Wage Increase: Wage increases based on merit and previous experience with our company. </t>
  </si>
  <si>
    <t>85 Parsenn Road</t>
  </si>
  <si>
    <t>Winter Park</t>
  </si>
  <si>
    <t>Wage increases based on merit and previous experience with our company.</t>
  </si>
  <si>
    <t>P-400-23136-026912</t>
  </si>
  <si>
    <t xml:space="preserve">All deductions required by law will be made.
Cost of housing, including utilities, is $430 - $700 per month. If used, total cost of housing, including utilities, will be deducted from paycheck. A $400 deposit ($300 refundable security deposit and a $100 non-refundable service fee) is required, in addition to the first month's rent, to be paid directly to employer upon acceptance of housing. 
Daily transportation provided to and from worksite for those living in employee housing (employee shuttle). 
Optional Deductions from Paycheck: Housing rent only Prehire criminal background check required. 
Benefits: Lift Ticket/Ski Pass for Other Resorts/Shift Meal/Free Ski Lessons/Retail Discounts </t>
  </si>
  <si>
    <t>SGordon@winterparkresort.com</t>
  </si>
  <si>
    <t>https://www.compassgroupcareers.com/</t>
  </si>
  <si>
    <t>H-400-23248-321896</t>
  </si>
  <si>
    <t xml:space="preserve">Crawfish Processor </t>
  </si>
  <si>
    <t>Aqua Farms Crawfish, Inc.</t>
  </si>
  <si>
    <t xml:space="preserve">2364 Basile Eunice Highway </t>
  </si>
  <si>
    <t xml:space="preserve">Basile </t>
  </si>
  <si>
    <t xml:space="preserve">LeJeune </t>
  </si>
  <si>
    <t>Brennon</t>
  </si>
  <si>
    <t>2364 Basile Eunice Highway</t>
  </si>
  <si>
    <t>bplaquafarms@yahoo.com</t>
  </si>
  <si>
    <t>Buehler</t>
  </si>
  <si>
    <t>sbuehler@bal.com</t>
  </si>
  <si>
    <t>No on-job training will be provided to workers.</t>
  </si>
  <si>
    <t>Employee may make either the listed hourly wage or the piece rate wage of $2.25/lb. may be offered, whichever is higher.</t>
  </si>
  <si>
    <t>P-400-23173-135934</t>
  </si>
  <si>
    <t xml:space="preserve">Employer will make all deductions from workers’ paycheck as required by law; deductions employer intends to make from paycheck, which are not required by law, if applicable, would be deductions for housing, if employee chooses voluntary housing option.  Voluntary, low-cost housing is available to workers for the option to board; $50.00/week is deducted from workers’ paychecks for workers who choose housing; housing is not mandatory.
</t>
  </si>
  <si>
    <t>H-400-23232-279311</t>
  </si>
  <si>
    <t>PACKAGING WORKERS</t>
  </si>
  <si>
    <t>Stafford County Flour Mills</t>
  </si>
  <si>
    <t>108 South Church Street</t>
  </si>
  <si>
    <t>Foote</t>
  </si>
  <si>
    <t>Derek</t>
  </si>
  <si>
    <t>dfootee.scfm@gmail.com</t>
  </si>
  <si>
    <t xml:space="preserve">Must be able to lift up to 50lbs repetitively. Must be able to read, write and speak in proficient English. 
</t>
  </si>
  <si>
    <t>108 S. Church Street</t>
  </si>
  <si>
    <t>STAFFORD</t>
  </si>
  <si>
    <t>P-400-23166-115786</t>
  </si>
  <si>
    <t>THE EMPLOYER WILL MAKE ALL DEDUCTIONS FROM WORKERS’ PAYCHECKS THAT ARE REQUIRED BY LAW. THE EMPLOYER WILL PROVIDE OPTIONAL HOUSING ACCOMMODATIONS FROM A THIRD-PARTY IF RELOCATING FOR THE POSITION AND NOT WITHIN REASONABLE TRANSPORT TO JOBSITE. IF EMPLOYER-ARRANGED HOUSING IS UTILIZED THE WORKER WILL BE DEDUCTED APPROXIMATELY $250 PER MONTH PLUS UTILITIES AND A SECURITY DEPOSIT.</t>
  </si>
  <si>
    <t>dfoote.scfm@gmail.com</t>
  </si>
  <si>
    <t>H-400-23213-228773</t>
  </si>
  <si>
    <t xml:space="preserve">1515 Mockingbird Lane </t>
  </si>
  <si>
    <t>Suite 420</t>
  </si>
  <si>
    <t>P-400-23109-949341</t>
  </si>
  <si>
    <t xml:space="preserve">At Employer’s sole discretion: possible cash advances ( lf applicable/requested by worker, potential deduction from workers’ paycheck.
</t>
  </si>
  <si>
    <t>H-400-23215-236766</t>
  </si>
  <si>
    <t>Cornejo Forestry Service, Inc.</t>
  </si>
  <si>
    <t>198 County Road 47</t>
  </si>
  <si>
    <t>Fayette</t>
  </si>
  <si>
    <t>Cornejo</t>
  </si>
  <si>
    <t>Mailing: PO Box 656 , Fayette, AL 35555</t>
  </si>
  <si>
    <t xml:space="preserve">No education or experience required. Requires physical stamina. Extensive walking over rough terrain. Work is in adverse weather. Must lift and carry 50 lbs. Production standard of 1750 trees correctly planted per 7 hour day after one week of on the job training.
</t>
  </si>
  <si>
    <t>Northwest Alabama nonmetropolitan area</t>
  </si>
  <si>
    <t>P-400-23135-020744</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</si>
  <si>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offers free daily transportation to/from worksite from designated pick-up location. Use of transportation is voluntary.       Employer provides incidental transportation between worksites as necessary.</t>
  </si>
  <si>
    <t>H-400-23279-414428</t>
  </si>
  <si>
    <t>2802 N Frazier St,</t>
  </si>
  <si>
    <t>P-400-23183-162045</t>
  </si>
  <si>
    <t>H-400-23194-185467</t>
  </si>
  <si>
    <t>1402 HWY 391 N</t>
  </si>
  <si>
    <t>North Little Rock</t>
  </si>
  <si>
    <t>P-400-23121-981871</t>
  </si>
  <si>
    <t>H-400-23215-236196</t>
  </si>
  <si>
    <t>SF Lodging Group, LLC</t>
  </si>
  <si>
    <t xml:space="preserve">Homewood Suites </t>
  </si>
  <si>
    <t xml:space="preserve">3260 W Avera Drive </t>
  </si>
  <si>
    <t>P-400-23166-115406</t>
  </si>
  <si>
    <t xml:space="preserve">All required federal, local and state deduction will be deducted from the workers pay. Optional employer arranged housing
available at a weekly payroll cost for up to $100/week.
</t>
  </si>
  <si>
    <t>H-400-23187-168944</t>
  </si>
  <si>
    <t>Mallory Neidich</t>
  </si>
  <si>
    <t>133 Wooster Street</t>
  </si>
  <si>
    <t>Apt. 6F</t>
  </si>
  <si>
    <t>Neidich</t>
  </si>
  <si>
    <t>Mallory</t>
  </si>
  <si>
    <t>tedkalborg@gmail.com</t>
  </si>
  <si>
    <t>P-400-23079-861725</t>
  </si>
  <si>
    <t>H-400-23184-162281</t>
  </si>
  <si>
    <t>Mauna Kea Resort LLC</t>
  </si>
  <si>
    <t>100 Holomoana Street</t>
  </si>
  <si>
    <t>Honolulu</t>
  </si>
  <si>
    <t>Eshleman</t>
  </si>
  <si>
    <t xml:space="preserve">Corporate Director of Human Resources </t>
  </si>
  <si>
    <t>s.eshleman@princehawaii.com</t>
  </si>
  <si>
    <t>Grzeca</t>
  </si>
  <si>
    <t>Gerard</t>
  </si>
  <si>
    <t>1434 West State Street</t>
  </si>
  <si>
    <t>clients@grzecalaw.com</t>
  </si>
  <si>
    <t>Grzeca Law Group, S.C.</t>
  </si>
  <si>
    <t>Wisconsin Supreme Court</t>
  </si>
  <si>
    <t xml:space="preserve">Must be able to lift, pull or push between 30 - 50 pounds of equipment or trash. Must be available to work all shifts, including weekends, evenings, overnights and holidays. All employees of the Hotel in this position are required to become members of the Labor Union (ILWU Local 142).
</t>
  </si>
  <si>
    <t>62-100 Kauna'oa Drive</t>
  </si>
  <si>
    <t>Kohala Coast</t>
  </si>
  <si>
    <t>Workers will be paid bi-weekly and will use single workweek as standard for computing</t>
  </si>
  <si>
    <t>P-400-23125-997580</t>
  </si>
  <si>
    <t>Federal Tax, State Tax, Social Security Tax and Medicare Tax.</t>
  </si>
  <si>
    <t>k.kajiyama@princehawaii.com</t>
  </si>
  <si>
    <t>H-400-23184-165513</t>
  </si>
  <si>
    <t xml:space="preserve"> Caliber Collision</t>
  </si>
  <si>
    <t>228 W Duarte Rd</t>
  </si>
  <si>
    <t>Monrovia</t>
  </si>
  <si>
    <t>P-400-23110-951098</t>
  </si>
  <si>
    <t>Employer will make all deductions as required by state and federal law. Housing costs will be subsidized for workers in part or fully reimbursed by a company check, separate from payroll check, if worker completes half the employment period. If partially subsidized, the cost to the worker will not exceed $125/week.</t>
  </si>
  <si>
    <t>H-400-23228-267469</t>
  </si>
  <si>
    <t>Requirements:  Six (6) months of maintenance experience in a high-end hotel, resort, or private club required. On-the-job training is provided.  Applicant must provide Pre-employment Criminal Background Check and Pre-employment Drug Test is required.
Shifts: Work schedule can vary and can include evening, weekend, and holiday hours. Work may be performed on any day of the week from Monday through Sunday.  Example shifts: 7:00am to 3:00pm, 2:00pm to 10:00pm, 11:00am to 7:00pm. Shift hours may vary.</t>
  </si>
  <si>
    <t>Additional, optional benefits may be offered to worker, for worker's sole benefit, including but not limited to medical, dental and vision insurance, short-term disability, long-term disability, 401k, and life insurance. If voluntarily elected by worker, employee costs/contributions for benefits will be deducted from paycheck.</t>
  </si>
  <si>
    <t>P-400-23184-165319</t>
  </si>
  <si>
    <t>H-400-23321-509355</t>
  </si>
  <si>
    <t>Ice Cream Vendor</t>
  </si>
  <si>
    <t>Mobile Ice Cream Corp. (RVA)</t>
  </si>
  <si>
    <t>13600 Permilla Springs Dr.</t>
  </si>
  <si>
    <t>JONA</t>
  </si>
  <si>
    <t>MIKLOS</t>
  </si>
  <si>
    <t>13600 PERMILLA SPRINGS ROAD</t>
  </si>
  <si>
    <t>MOBILEICECREAM@COMCAST.NET</t>
  </si>
  <si>
    <t>Able to lift/carry 50lbs, work bending &amp; standing in all weather. In many cases our company may contract with schools, care centers and/or other restricted access sites. State, local or other legal requirements may impose specific background or identification checks on all individuals working in those locations, both foreign and domestic alike. Final hiring decisions for any applicants found to have felonious convictions for violent (e.g. assault, rape, armed robbery etc) and/or drug- related offenses or status with regard to sex offender registration lists will be evaluated individually and in accordance with EEOC guidelines and other applicable laws.
Drivers may adjust their schedule based on established buying trends and may choose to take no more than two days off per week. All apps. must have or be able to obtain a current/valid state driver's license. Clean drive record req.</t>
  </si>
  <si>
    <t>13600 Permilla Springs Dr</t>
  </si>
  <si>
    <t>Min wage may be higher based on tenure, skills/abilities, and/or work perfromance</t>
  </si>
  <si>
    <t>P-400-23205-210375</t>
  </si>
  <si>
    <t>icecreaminfo@comcast.net</t>
  </si>
  <si>
    <t>H-400-23321-508901</t>
  </si>
  <si>
    <t>Edward M Inners &amp; Sons Amusements Inc</t>
  </si>
  <si>
    <t>Inners Shows</t>
  </si>
  <si>
    <t>4091 Oak Circle</t>
  </si>
  <si>
    <t>Franklinton</t>
  </si>
  <si>
    <t>Inners</t>
  </si>
  <si>
    <t>innersshows@gmail.com</t>
  </si>
  <si>
    <t xml:space="preserve">4091 Oak Circle </t>
  </si>
  <si>
    <t>P-400-23212-226239</t>
  </si>
  <si>
    <t>H-400-23307-476469</t>
  </si>
  <si>
    <t>Shooter and Lindsey Inc</t>
  </si>
  <si>
    <t>27271 Katy Freeway</t>
  </si>
  <si>
    <t>P.O. Box 516, Katy, TX 77492</t>
  </si>
  <si>
    <t>Mailing: P.O. Box 516, Katy, TX 77492</t>
  </si>
  <si>
    <t>kschmitt@shooterandlindsey.com</t>
  </si>
  <si>
    <t>Pre-hire background check required; Random drug testing during employment; Pre-employment drug testing required; Drug testing during employment for cause; Post-Accident Drug Testing,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t>
  </si>
  <si>
    <t>FORT BEND</t>
  </si>
  <si>
    <t>Potential raise/bonus as merited at employer's discretion. Affordable health care option which is subsidized in part.</t>
  </si>
  <si>
    <t>P-400-23186-167070</t>
  </si>
  <si>
    <t>Food Server</t>
  </si>
  <si>
    <t>Orr Contracting, Inc.</t>
  </si>
  <si>
    <t>156 East Main Street</t>
  </si>
  <si>
    <t>Barbie</t>
  </si>
  <si>
    <t>orrhouse@hughes.net</t>
  </si>
  <si>
    <t>4058 Sweetwater Road (Report to Work)</t>
  </si>
  <si>
    <t>P-400-23195-190102</t>
  </si>
  <si>
    <t>Giordano</t>
  </si>
  <si>
    <t>H-400-23336-539070</t>
  </si>
  <si>
    <t>P-400-23201-203720</t>
  </si>
  <si>
    <t>H-400-23292-443791</t>
  </si>
  <si>
    <t>BDG Trees, LLC - Beaumont, TX</t>
  </si>
  <si>
    <t>60 N. 11th st.</t>
  </si>
  <si>
    <t>P-400-23200-200448</t>
  </si>
  <si>
    <t>Food Concession Attendant</t>
  </si>
  <si>
    <t>Port Lavaca</t>
  </si>
  <si>
    <t>LINE COOK</t>
  </si>
  <si>
    <t>Hawley</t>
  </si>
  <si>
    <t>H-400-23280-416938</t>
  </si>
  <si>
    <t>ARH TREATS LLC</t>
  </si>
  <si>
    <t xml:space="preserve">830 FM 2537 </t>
  </si>
  <si>
    <t xml:space="preserve">Bishop </t>
  </si>
  <si>
    <t>kelly.bishop22@yahoo.com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</si>
  <si>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drug testing and criminal background check required, cost paid by employer and applied equally to all workers, US and foreign/H2B. Applicants must cooperate with and complete job application and interview truthfully.
This job order, including its wage and working terms and conditions, is intended contingent upon prevailing U.S. immigration law, including Department of Labor and Department of Homeland Security regulations.  If any such prevailing law is enjoined, invalidated, rescinded, superseded, vacated, or substantially modified, then the parties will re-negotiate in good faith any affected term.
</t>
  </si>
  <si>
    <t>1826 W. McDowell Rd.</t>
  </si>
  <si>
    <t>P-400-23172-133249</t>
  </si>
  <si>
    <t>Counter Attendants and Food Concessions</t>
  </si>
  <si>
    <t>Helen</t>
  </si>
  <si>
    <t>FLORENCE</t>
  </si>
  <si>
    <t>AGUADO</t>
  </si>
  <si>
    <t xml:space="preserve">Food Preparation </t>
  </si>
  <si>
    <t>Fair Weather Growers, LLC</t>
  </si>
  <si>
    <t>1146 Cromwell Ave</t>
  </si>
  <si>
    <t>Rocky Hill</t>
  </si>
  <si>
    <t xml:space="preserve">Requires four months of food preparation experience. Job requires basic English literacy, basic math skills and an understanding of U.S. currency. Must lift/carry 50 lbs., when necessary.  Saturday and Sunday work required, when necessary. Must possess or be able to obtain U.S. driver's license within 30 days of hire.
</t>
  </si>
  <si>
    <t>ROCKY HILL</t>
  </si>
  <si>
    <t>P-400-23171-126694</t>
  </si>
  <si>
    <t>billy@fairweathergrowers.com</t>
  </si>
  <si>
    <t>Efrain</t>
  </si>
  <si>
    <t>H-400-23336-539752</t>
  </si>
  <si>
    <t>PEAK LANDSCAPES LLC</t>
  </si>
  <si>
    <t>1594 E 320 N</t>
  </si>
  <si>
    <t>SPANISH FORK</t>
  </si>
  <si>
    <t>HUNTSMAN</t>
  </si>
  <si>
    <t>ALAN</t>
  </si>
  <si>
    <t>PROJECT MANAGER</t>
  </si>
  <si>
    <t>BUILD@PEAKLANDSCAPES.NET</t>
  </si>
  <si>
    <t xml:space="preserve">The job will require the worker to perform physical activities that require considerable use of arms, legs and moving the whole body, such as lifting, balancing, walking, extensive bending, stooping, squatting, reaching, pushing, and pulling. Must be able to lift 75 pounds.
</t>
  </si>
  <si>
    <t>Overtime hours are available as needed and vary from 1-10 hours. Saturday work may required when necessary.</t>
  </si>
  <si>
    <t>P-400-23251-332977</t>
  </si>
  <si>
    <t>H-400-23325-515755</t>
  </si>
  <si>
    <t>1 UTSA Cir</t>
  </si>
  <si>
    <t>Post-employment criminal background check, Pre-employment, post-injury/incident and reasonable suspicion drug test and e-verify required, cost paid by employer and applied equally to all workers, US and foreign/H2B. Must be able to work a 5-day schedule, may include weekends and holidays. Applicants must complete an employment application.</t>
  </si>
  <si>
    <t>P-400-23205-209997</t>
  </si>
  <si>
    <t>H-400-23279-414432</t>
  </si>
  <si>
    <t>ABC Professional Tree Services, Inc - Denton</t>
  </si>
  <si>
    <t>1701 Spencer Rd,</t>
  </si>
  <si>
    <t>Denton</t>
  </si>
  <si>
    <t>P-400-23183-162047</t>
  </si>
  <si>
    <t>Wise</t>
  </si>
  <si>
    <t>H-400-23307-477613</t>
  </si>
  <si>
    <t>Pamlico Pool Company Inc.</t>
  </si>
  <si>
    <t>2585 N. Columbia St.</t>
  </si>
  <si>
    <t>Milledgeville</t>
  </si>
  <si>
    <t>office@pamlicopools.com</t>
  </si>
  <si>
    <t>Random drug testing during employment; Pre-employment drug testing required, Able to lift 50lbs, No smoking in company vehicles, Monday-Friday, Schedule Varies, Some weekends may be required, End times vary, Additional overtime varies.
All drug testing is performed without regard to an employees citizenship or immigration status, and all testing is paid for by the company. See the additional document attached for further details about the administration of our drug testing policy.</t>
  </si>
  <si>
    <t>P-400-23215-237370</t>
  </si>
  <si>
    <t>H-400-23336-539195</t>
  </si>
  <si>
    <t>SIVILLI LANDSCAPE CONTRACTING CORP</t>
  </si>
  <si>
    <t>SIVILLI CONTRACTING</t>
  </si>
  <si>
    <t>57 ALBERTSON AVE</t>
  </si>
  <si>
    <t>ALBERTSON</t>
  </si>
  <si>
    <t>SIVILLI</t>
  </si>
  <si>
    <t>P-400-23194-185713</t>
  </si>
  <si>
    <t>JOE@SIVILLICONTRACTING.COM</t>
  </si>
  <si>
    <t>Shelley</t>
  </si>
  <si>
    <t>H-400-23307-476761</t>
  </si>
  <si>
    <t>G&amp;S SHOWS, Inc</t>
  </si>
  <si>
    <t>5550 Cerritos Avenue: Ste. E</t>
  </si>
  <si>
    <t>[Winter Address: 2480 Rubidoux Blvd. Riverside, CA 92509]</t>
  </si>
  <si>
    <t>Guadagno, Sr.</t>
  </si>
  <si>
    <t>Corporation President</t>
  </si>
  <si>
    <t>guadagnoandsons@aol.com</t>
  </si>
  <si>
    <t>P-400-23208-221298</t>
  </si>
  <si>
    <t>Boots</t>
  </si>
  <si>
    <t>Nava</t>
  </si>
  <si>
    <t>57 S. Main Street</t>
  </si>
  <si>
    <t>H-400-23307-476489</t>
  </si>
  <si>
    <t>Mead Tee &amp; Turf Care, Inc.</t>
  </si>
  <si>
    <t>3316 Hipsley Mill Road</t>
  </si>
  <si>
    <t>Woodbine</t>
  </si>
  <si>
    <t>MEAD</t>
  </si>
  <si>
    <t>TIFFANY</t>
  </si>
  <si>
    <t>3316 HIPSLEY MILL ROAD</t>
  </si>
  <si>
    <t>WOODBINE</t>
  </si>
  <si>
    <t>TMEAD@MEADTREE.COM</t>
  </si>
  <si>
    <t>Must be able to lift/carry 50lbs and work in both standing and squatting positions for extended periods and in all types of weather. Saturday work as needed. Upon offer of employment and prior to orientation, all new hires both U.S. and H-2B must submit to and pass employer-paid drug screening.</t>
  </si>
  <si>
    <t>min. wage rate may be higher based on tenure, skills/abilities, and/or work performance</t>
  </si>
  <si>
    <t>P-400-23205-210464</t>
  </si>
  <si>
    <t>tmead@meadtree.com</t>
  </si>
  <si>
    <t>H-400-23336-538888</t>
  </si>
  <si>
    <t>2035 E 14th Street</t>
  </si>
  <si>
    <t>P-400-23251-330749</t>
  </si>
  <si>
    <t>All deductions required by law are made from employee paychecks, such as income tax and social security, and no other deductions other than those required by law.</t>
  </si>
  <si>
    <t>vharofigueroa@Bartlett.com</t>
  </si>
  <si>
    <t>H-400-23321-509353</t>
  </si>
  <si>
    <t>Mobile Ice Cream Corp (FRED)</t>
  </si>
  <si>
    <t>32 Perchwood Dr.</t>
  </si>
  <si>
    <t>Unit #103</t>
  </si>
  <si>
    <t>32 PERCHWOOD DRIVE</t>
  </si>
  <si>
    <t>UNIT 103</t>
  </si>
  <si>
    <t>FREDERICKSBURG</t>
  </si>
  <si>
    <t>32 Perchwood Dr</t>
  </si>
  <si>
    <t>Unit 103</t>
  </si>
  <si>
    <t>FREDERICKSBURG CITY</t>
  </si>
  <si>
    <t>P-400-23205-210405</t>
  </si>
  <si>
    <t>Leo</t>
  </si>
  <si>
    <t>Clay</t>
  </si>
  <si>
    <t>Imperial</t>
  </si>
  <si>
    <t>H-400-23346-559880</t>
  </si>
  <si>
    <t>Main Street Landscape Company</t>
  </si>
  <si>
    <t>1312 West Main Street</t>
  </si>
  <si>
    <t>Oxley</t>
  </si>
  <si>
    <t>Barb</t>
  </si>
  <si>
    <t>barb@mainstreetlandscapecompany.com</t>
  </si>
  <si>
    <t xml:space="preserve">Mon-Fri. Some Saturdays required. Schedule may vary. Overtime varies. Able to lift 50lbs. Pre-hire background check required. All background checks are performed equally as to U.S. workers and H-2B workers, and all fees are paid for by the company. See the additional document attached for further details about the administration of our background check policy. Random drug testing during employment. Pre-employment drug testing required. Drug testing during employment for cause. Post-Accident Drug Testing. All drug testing is performed without regard to an employees citizenship or immigration status, and all testing is paid for by the company. See the additional document attached for further details about the administration of our drug testing policy.
</t>
  </si>
  <si>
    <t>Ste A</t>
  </si>
  <si>
    <t>Raise/bonus at employer's discretion. Opportunity for higher pay depending on experience.</t>
  </si>
  <si>
    <t>P-400-23193-184104</t>
  </si>
  <si>
    <t>Employer may make payroll deductions at employee's request. Employer facilitates voluntary housing arrangements upon worker request along with corresponding payroll deductions. Estimated deduction for furnished housing will be approximately $45/pay period &amp; includes all utilities pd. (Split evenly per number of occupants per month).</t>
  </si>
  <si>
    <t>H-400-23276-406498</t>
  </si>
  <si>
    <t>Mad Mountain Concessions</t>
  </si>
  <si>
    <t>44915 Road 619</t>
  </si>
  <si>
    <t>(Mail to: 42411 Windy Gap Dr., Ahwahnee, CA 93601)</t>
  </si>
  <si>
    <t>Ahwahnee</t>
  </si>
  <si>
    <t>Madaus</t>
  </si>
  <si>
    <t>CALIFORNIA</t>
  </si>
  <si>
    <t>madauswb@yahoo.com</t>
  </si>
  <si>
    <t>P-400-23195-189895</t>
  </si>
  <si>
    <t>madauswb@gmail.com</t>
  </si>
  <si>
    <t>H-400-23321-509927</t>
  </si>
  <si>
    <t>Dyna-Mist Irrigation Co.</t>
  </si>
  <si>
    <t>Dyna-Mist</t>
  </si>
  <si>
    <t>Plumlee</t>
  </si>
  <si>
    <t xml:space="preserve">40hr/wk 8hrs shifts b/w 6am–6pm, M-Su., as scheduled and some O.T. may be available. </t>
  </si>
  <si>
    <t>P-400-23240-299582</t>
  </si>
  <si>
    <t xml:space="preserve">Employer will make all deductions required by law from each paycheck.
Employer will advance against pay up to $75/day at the end of each work day for room and board at no interest for the first 2 weeks if needed and requested.
</t>
  </si>
  <si>
    <t>H-400-23326-519596</t>
  </si>
  <si>
    <t>Pro Lawn Service LLC</t>
  </si>
  <si>
    <t>548 Walnut Hill Rd.</t>
  </si>
  <si>
    <t>1925 Esther Dr.</t>
  </si>
  <si>
    <t>Centralia</t>
  </si>
  <si>
    <t>McCullough</t>
  </si>
  <si>
    <t>548 Walnut Hill Road</t>
  </si>
  <si>
    <t>1925 Esther Drive</t>
  </si>
  <si>
    <t>scott4126@me.com</t>
  </si>
  <si>
    <t>548 WALNUT HILL ROAD</t>
  </si>
  <si>
    <t>CENTRALIA</t>
  </si>
  <si>
    <t>East Central Illinois nonmetropolitan area</t>
  </si>
  <si>
    <t>Character limit: overtime is not guaranteed but if worked rate is paid at time and a half per hour above 40 h</t>
  </si>
  <si>
    <t>P-400-23170-124092</t>
  </si>
  <si>
    <t>Character limit: Shared housing available to only seasonal full-time employees, not offered to non-employees. Employees may make their own arrangements at their own expense. If they opt to live in employer provided housing rent (utilities included) charged at $60.00/week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t>
  </si>
  <si>
    <t>prolawnsvc@mvn.net</t>
  </si>
  <si>
    <t>H-400-23326-518954</t>
  </si>
  <si>
    <t>HELPER OF POOL LABORER</t>
  </si>
  <si>
    <t>Helpers--Pipelayers, Plumbers, Pipefitters, and Steamfitters</t>
  </si>
  <si>
    <t>HERDER PLUMBING INC</t>
  </si>
  <si>
    <t>3707 E SOUTHERN AVENUE</t>
  </si>
  <si>
    <t>SUITE 1039</t>
  </si>
  <si>
    <t>HERDER</t>
  </si>
  <si>
    <t>JEFF@HERDERPLUMBING.COM</t>
  </si>
  <si>
    <t xml:space="preserve">THREE MONTHS EXPERIENCE AS HELPER OF POOL LABORER IN RESIDENTIAL CONSTRUCTION SETTING. MUST BEND, LIFT AND SUSTAIN UP TO 50 LBS, WORK UNDER EXTREME WEATHER CONDITIONS. NO TRAVEL REQUIRED OUTSIDE METROPOLITAN AREA, NO EDUCATION REQUIRED, ON-THE-JOB TRAINING AVAILABLE. POST-HIRE DRUG TEST REQUIRED PAID BY EMPLOYER, ALL US AND GUEST WORKERS WILL BE SCREENED EQUALLY.
The Arizona State Workforce Agency website doesnt have the option for None in the education required field. The job offer for Helper of Pool laborer doesnt require education, for this reason ETA Form 9142 states such language. In order to be consistent with the job order we state "Some High School or less" in the ETA Form 9142 to indicate the educational requirement as High school or less.
</t>
  </si>
  <si>
    <t>If overtime is needed it will be paid at $26.75</t>
  </si>
  <si>
    <t>P-400-23288-432188</t>
  </si>
  <si>
    <t>Deductions by the law.
Shared group rental housing of $70 to $75 per week depending on housing location, and a refundable security deposit of $75; $30 per week company-provided transportation to and from housing if worker wants company housing and/or transport and it is available. Housing, if provided, will be in the Phoenix Metropolitan area.</t>
  </si>
  <si>
    <t>Jeff@herderplumbing.com</t>
  </si>
  <si>
    <t>KITCHEN STAFF</t>
  </si>
  <si>
    <t>FLYNN</t>
  </si>
  <si>
    <t>BUSINESS MANAGER</t>
  </si>
  <si>
    <t>H-400-23318-499968</t>
  </si>
  <si>
    <t>RUI Inc</t>
  </si>
  <si>
    <t>Village Gardener</t>
  </si>
  <si>
    <t>7955 S Porcupine Creek Rd</t>
  </si>
  <si>
    <t>Mailing: PO Box 9802, Jackson, WY 83002</t>
  </si>
  <si>
    <t>Mendes</t>
  </si>
  <si>
    <t>grow@villagegardener.com</t>
  </si>
  <si>
    <t>P-400-23228-269474</t>
  </si>
  <si>
    <t>Employer will make all deductions from the worker's paycheck required by law.  Option to repay advance pay via deduction from pay under agreed upon amount and frequency until paid in full. Option to deduct rent from pay at $675 per month or other agreed upon amount and frequency. Optional deductions will not drop the overall wages below the UDSOL minimum, if the deductions are too great they will not be made.</t>
  </si>
  <si>
    <t>https://www.wyomingatwork.com/vosnet/Default.aspx</t>
  </si>
  <si>
    <t>H-400-23282-418881</t>
  </si>
  <si>
    <t>TOSAMI RESTAURANT AND ENTERTAINMENT GROUP, INC.</t>
  </si>
  <si>
    <t>1410 East Southern Ave.</t>
  </si>
  <si>
    <t>Borquez</t>
  </si>
  <si>
    <t xml:space="preserve">Eduardo </t>
  </si>
  <si>
    <t>Consultant</t>
  </si>
  <si>
    <t>2642 E Thomas Rd</t>
  </si>
  <si>
    <t>eduardo@eduardoborquez.com</t>
  </si>
  <si>
    <t xml:space="preserve">Ankeny </t>
  </si>
  <si>
    <t xml:space="preserve">Jason </t>
  </si>
  <si>
    <t xml:space="preserve">E. </t>
  </si>
  <si>
    <t>130 North Central Ave</t>
  </si>
  <si>
    <t xml:space="preserve">Ste. 309 </t>
  </si>
  <si>
    <t>Jason@ankenylawcorp.com</t>
  </si>
  <si>
    <t>Ankeny Law</t>
  </si>
  <si>
    <t>Arizona</t>
  </si>
  <si>
    <t xml:space="preserve">Must be available to work weekends, evenings, and holidays. Must be able to lift, push, pull, and carry up to 50 pounds.
</t>
  </si>
  <si>
    <t>10685 W INDIAN SCHOOL RD.</t>
  </si>
  <si>
    <t>SUITE K</t>
  </si>
  <si>
    <t>AVONDALE</t>
  </si>
  <si>
    <t>P-400-23236-294757</t>
  </si>
  <si>
    <t xml:space="preserve">Employer will make all deductions from worker's paycheck required by law. </t>
  </si>
  <si>
    <t>manuel@eltatakisushi.com</t>
  </si>
  <si>
    <t>jason@ankenylawcorp.com</t>
  </si>
  <si>
    <t>Florence</t>
  </si>
  <si>
    <t>H-400-23307-476891</t>
  </si>
  <si>
    <t>Brookway Horticultural Services, Inc. - San Antonio</t>
  </si>
  <si>
    <t>7935 Fairbanks White Oak Road</t>
  </si>
  <si>
    <t>7953 FM 1346</t>
  </si>
  <si>
    <t>P-400-23208-220125</t>
  </si>
  <si>
    <t>Employer makes all payroll deductions required by law. Employer does not envision other workforce-wide payroll deductions. Voluntary advances and/or loans made to workers, if any, may be repaid by pre-authorized payroll deductions. Employer deducts reasonable fair market value cost of rent/utilities based on number of occupants for workers electing to reside in employer-provided housing (cost TBD).  Employer may deduct reasonable cost for lost/damaged tools or equipment resulting from worker negligence.  No daily transportation to/from workers' home and primary worksite. Employer provides incidental transportation between multiple worksites as necessary. Such transportation complies with all applicable Federal, State, and local laws/regulations.</t>
  </si>
  <si>
    <t>controller@brookway.com</t>
  </si>
  <si>
    <t>H-400-23317-497142</t>
  </si>
  <si>
    <t>Fallas Landscape LTD</t>
  </si>
  <si>
    <t>2255 Southview Dr</t>
  </si>
  <si>
    <t>Mailing: PO Box 865146, Plano, TX 75086</t>
  </si>
  <si>
    <t>wylie</t>
  </si>
  <si>
    <t>Fallas</t>
  </si>
  <si>
    <t>info@fallaslandscape.com</t>
  </si>
  <si>
    <t>P-400-23226-262433</t>
  </si>
  <si>
    <t>Employer will make all deductions from the worker's paycheck required by law.  (Note to CO regarding F.d. Item 4, employer is only assisting workers in finding housing, they are not providing housing).</t>
  </si>
  <si>
    <t>H-400-23300-461753</t>
  </si>
  <si>
    <t>The Quaglino Landscape Company, Inc. (QUA124A)</t>
  </si>
  <si>
    <t>23425 Hwy 435</t>
  </si>
  <si>
    <t>Abita Springs</t>
  </si>
  <si>
    <t>QUAGLINO</t>
  </si>
  <si>
    <t>23425 HWY 435</t>
  </si>
  <si>
    <t>ABITA SPRINGS</t>
  </si>
  <si>
    <t>angelo@quaglands.com</t>
  </si>
  <si>
    <t xml:space="preserve">Must be able to tolerate extreme temperatures, loud noises; lift heavy equipment and exhibit stamina. Must perform duties while sober. Employer-paid post-employment drug test may be administered.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Deductions: Furnished housing including cost of utilities provided at no more than $200/week for the first five months of contract.  Housing provided free at no charge for the remaining five months for those staying in housing employer-provided housing at least five months.  Housing is optional. 
</t>
  </si>
  <si>
    <t>P-400-23228-269368</t>
  </si>
  <si>
    <t xml:space="preserve">Furnished housing including cost of utilities provided at no more than $200/week for the first five months of contract.  Housing provided free at no charge for the remaining five months for those staying in housing employer-provided housing at least five months.  Housing is optional. </t>
  </si>
  <si>
    <t>INFO@QUAGLANDS.COM</t>
  </si>
  <si>
    <t>Account Manager</t>
  </si>
  <si>
    <t>H-400-23307-475916</t>
  </si>
  <si>
    <t>Texas Yard Pro, Inc.</t>
  </si>
  <si>
    <t>2199 Washington</t>
  </si>
  <si>
    <t>Mailing: PO Box 8988, Greenville, TX 75404</t>
  </si>
  <si>
    <t>Byrd</t>
  </si>
  <si>
    <t>ken@texasyardpro.com</t>
  </si>
  <si>
    <t>P-400-23228-269395</t>
  </si>
  <si>
    <t>Employer will make all deductions from the worker's paycheck required by law.  Option to have elected insurance deducted from pay or paid directly to carrier, cost and frequency dependent on elected insurance options and employee preferences. Option to deduct repayment of advance pay from pay under agreed upon amount and frequency until paid in full. Optional deductions will not drop the overall wages below the UDSOL minimum, if the deductions are too great they will not be made. Employer will assist workers, they are not providing housing.</t>
  </si>
  <si>
    <t>H-400-23292-443903</t>
  </si>
  <si>
    <t>SRP Unlimited, LLC</t>
  </si>
  <si>
    <t>5125 Highland Pointe Court</t>
  </si>
  <si>
    <t>[MAIL: 11705 Boyette Road, #71, Riverview, FL 33569]</t>
  </si>
  <si>
    <t>Reithoffer</t>
  </si>
  <si>
    <t>rhudka1@aol.com</t>
  </si>
  <si>
    <t>P-400-23256-343087</t>
  </si>
  <si>
    <t>P-400-23257-346283</t>
  </si>
  <si>
    <t xml:space="preserve">The employer will make all deductions from the worker’s paycheck required by law.  Optional housing (valued at $175.00 per week) and local convenience travel (valued at $25.00 per week) are available at no cost to the worker. </t>
  </si>
  <si>
    <t>H-400-23291-439862</t>
  </si>
  <si>
    <t>Diamond T Trailer Manufacturing Co</t>
  </si>
  <si>
    <t>429157 State Highway 3</t>
  </si>
  <si>
    <t>Rattan</t>
  </si>
  <si>
    <t>Teague</t>
  </si>
  <si>
    <t>pteague@diamondttrailer.com</t>
  </si>
  <si>
    <t>PUSHMATAHA</t>
  </si>
  <si>
    <t>P-400-23226-262400</t>
  </si>
  <si>
    <t>Employer will make all deductions from the worker's paycheck required by law.  Optional rent deduction - $50 per week. Optional deductions will not drop the overall wages below the UDSOL minimum, if the deductions are too great they will not be made.</t>
  </si>
  <si>
    <t>ABC Professional Tree Services, Inc - Clarksville</t>
  </si>
  <si>
    <t>1951 Wilma Rudolph Blvd,</t>
  </si>
  <si>
    <t>Chef</t>
  </si>
  <si>
    <t>Suite 7</t>
  </si>
  <si>
    <t>www.ohiomeansjobs.ohio.gov</t>
  </si>
  <si>
    <t>H-400-23311-485318</t>
  </si>
  <si>
    <t>Jaime Higgins Landscaping, Inc.</t>
  </si>
  <si>
    <t>361 Lawerence Road</t>
  </si>
  <si>
    <t>jph361@verizon.net</t>
  </si>
  <si>
    <t>20 Crozerville Road</t>
  </si>
  <si>
    <t>P-400-23222-254525</t>
  </si>
  <si>
    <t>Carter</t>
  </si>
  <si>
    <t>H-400-23326-519766</t>
  </si>
  <si>
    <t xml:space="preserve">No minimum education or experience required.
New employees are subject to pre-employment criminal background check, paid by employer and applied equally to all workers, U.S. and foreign/H-2B. 
Must be able to work a minimum 5-day workweek. 
Must be able to work weekends and holidays.
Applicants must complete an employment application.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</si>
  <si>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P-400-23187-170768</t>
  </si>
  <si>
    <t>Counter and Rental Clerks</t>
  </si>
  <si>
    <t>"N/A"</t>
  </si>
  <si>
    <t>H-400-23307-476814</t>
  </si>
  <si>
    <t>McFall &amp; Berry Special Landscape Services, Inc.</t>
  </si>
  <si>
    <t>5037-B Backlick Road</t>
  </si>
  <si>
    <t>Mailing: P.O. Box 1680, Annandale, VA 22003</t>
  </si>
  <si>
    <t>Annandale</t>
  </si>
  <si>
    <t xml:space="preserve">Berry </t>
  </si>
  <si>
    <t>Kristin</t>
  </si>
  <si>
    <t>kristin.berry@mcfallandberry.com</t>
  </si>
  <si>
    <t>Post-Accident Drug Testing, Able to lift 50lbs,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t>
  </si>
  <si>
    <t>21206 New Hampshire Ave</t>
  </si>
  <si>
    <t>Brookeville</t>
  </si>
  <si>
    <t>P-400-23224-259989</t>
  </si>
  <si>
    <t>Employer may make payroll deductions at employee's request. Employer facilitates voluntary housing arrangements upon worker request along with corresponding payroll deductions $130.00/bi-weekly for rent and utilities.</t>
  </si>
  <si>
    <t>steve.stickley@mcfallandberry.com</t>
  </si>
  <si>
    <t>Franzoni</t>
  </si>
  <si>
    <t xml:space="preserve">Keavy </t>
  </si>
  <si>
    <t>keavyraccoon@msn.com</t>
  </si>
  <si>
    <t>H-400-23330-522956</t>
  </si>
  <si>
    <t xml:space="preserve">Caretaker for Elderly </t>
  </si>
  <si>
    <t>Iman Sharif</t>
  </si>
  <si>
    <t>105 W. Walnut Street</t>
  </si>
  <si>
    <t>Long Beach</t>
  </si>
  <si>
    <t>Sharif-Session</t>
  </si>
  <si>
    <t>Iman</t>
  </si>
  <si>
    <t>isharif2008@gmail.com</t>
  </si>
  <si>
    <t xml:space="preserve">Must speak Egyptian Arabic in order to communicate with the patient.
</t>
  </si>
  <si>
    <t>P-400-23326-518797</t>
  </si>
  <si>
    <t>1936 N 81st Street</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</si>
  <si>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
</t>
  </si>
  <si>
    <t>H-400-23325-516023</t>
  </si>
  <si>
    <t>Yellowstone Landscape - Southeast, LLC_Lake Worth_Fort Lauderdale</t>
  </si>
  <si>
    <t>2269 2nd Ave North</t>
  </si>
  <si>
    <t>P-400-23236-293494</t>
  </si>
  <si>
    <t xml:space="preserve">Edward </t>
  </si>
  <si>
    <t>H-400-23321-509390</t>
  </si>
  <si>
    <t>Embassy Lawn &amp; Landscaping, Inc</t>
  </si>
  <si>
    <t>7094 Universal Avenue</t>
  </si>
  <si>
    <t xml:space="preserve">Kansas City </t>
  </si>
  <si>
    <t>JORDYN</t>
  </si>
  <si>
    <t>JULIE</t>
  </si>
  <si>
    <t>HUMAN RESOURCES MGR</t>
  </si>
  <si>
    <t>7094 UNIVERSAL AVENUE</t>
  </si>
  <si>
    <t>KANSAS CITY</t>
  </si>
  <si>
    <t>JJORDYN@EMBASSYLL.COM</t>
  </si>
  <si>
    <t>Must be able to lift/carry 50lbs, work in bending &amp; standing positions for extended periods in all weather. Upon offer of employment and prior to orientation, all new hires both U.S. and H-2B must submit to and pass employer-paid drug screening.</t>
  </si>
  <si>
    <t>Min wage may be higher based on tenure, skills/abilities and/or work performance</t>
  </si>
  <si>
    <t>P-400-23205-210390</t>
  </si>
  <si>
    <t>jjordyn@embassyll.com</t>
  </si>
  <si>
    <t>H-400-23282-417421</t>
  </si>
  <si>
    <t>Red Wood Forestry LLC</t>
  </si>
  <si>
    <t>1754 Warren Way</t>
  </si>
  <si>
    <t>Garcia-Cortez</t>
  </si>
  <si>
    <t>Griselda</t>
  </si>
  <si>
    <t>redwoodforestry22@gmail.com</t>
  </si>
  <si>
    <t>1754 Warren Way (Report to Work)</t>
  </si>
  <si>
    <t>P-400-23187-171371</t>
  </si>
  <si>
    <t>H-400-23336-538993</t>
  </si>
  <si>
    <t>P-400-23207-215988</t>
  </si>
  <si>
    <t>H-400-23309-479314</t>
  </si>
  <si>
    <t>Cicconi Landscape, Inc.</t>
  </si>
  <si>
    <t>112 Water Street</t>
  </si>
  <si>
    <t>Cicconi</t>
  </si>
  <si>
    <t>cicconilandscape@verizon.net</t>
  </si>
  <si>
    <t>P-400-23222-254506</t>
  </si>
  <si>
    <t>H-400-23307-475849</t>
  </si>
  <si>
    <t>8805 Telegraph Road (Report to Work)</t>
  </si>
  <si>
    <t>P-400-23220-249047</t>
  </si>
  <si>
    <t>Optional, shared, furnished housing available to the worker (including: utilities) at a weekly housing rate up to $160; if optional housing is agreed upon by the worker, housing rate will be deducted from worker's paycheck incrementally (weekly).
At Employer’s sole discretion: possible cash advances (if applicable/requested by worker, potential deduction from worker’s paycheck).</t>
  </si>
  <si>
    <t>Mgeorge@ruppertcompanies.com</t>
  </si>
  <si>
    <t>MUSKINGUM</t>
  </si>
  <si>
    <t>H-400-23316-496417</t>
  </si>
  <si>
    <t xml:space="preserve">Must lift/carry 50 lbs., when necessary. Saturday and Sunday work required, when necessary.  Post-hire random and upon suspicion of use drug testing required of foreign and domestic workers. Post-hire background checks may be required of foreign and domestic workers based on contract requirements. Employment eligibility (e-Verify) check required of foreign and domestic workers. Employer may offer more than the stated work hours depending on weather, business needs, and other conditions. Extreme heat, cold, rain, or drought may affect exact working hours.
</t>
  </si>
  <si>
    <t>H-400-23324-514600</t>
  </si>
  <si>
    <t>Maids</t>
  </si>
  <si>
    <t>Level 5 LLC</t>
  </si>
  <si>
    <t>1105 Central Ave</t>
  </si>
  <si>
    <t>PO Box 1150</t>
  </si>
  <si>
    <t>Maaske</t>
  </si>
  <si>
    <t>Employment reference, lift 20 lbs, 3 mo exp
35+ hours per week, 9:00am - 2:30pm, M - Sun. 15 min paid lunch break. Must clock out for 30-minute lunch break. Workdays/hours vary depending on hotel capacity.</t>
  </si>
  <si>
    <t xml:space="preserve">111 Talmadge </t>
  </si>
  <si>
    <t>P-400-23215-236850</t>
  </si>
  <si>
    <t>Employer will provide optional housing at no cost.
Employer will make all deductions required by law.  Other deductions may be taken at employee's written request, i.e. internet, cable, cash advances, medical expenses, etc. See addendum.</t>
  </si>
  <si>
    <t>Dina</t>
  </si>
  <si>
    <t>H-400-23336-539016</t>
  </si>
  <si>
    <t>BAUTISTA LANDSCAPING CORP</t>
  </si>
  <si>
    <t>366 RAILROAD AVENUE</t>
  </si>
  <si>
    <t>BAUTISTA LOPEZ</t>
  </si>
  <si>
    <t>JESUS</t>
  </si>
  <si>
    <t>P-400-23187-170252</t>
  </si>
  <si>
    <t>JESUS2012BAUTISTA@GMAIL.COM</t>
  </si>
  <si>
    <t>H-400-23336-538949</t>
  </si>
  <si>
    <t>Webbs Lawn Service LLC</t>
  </si>
  <si>
    <t>20 Whisk Drive</t>
  </si>
  <si>
    <t>White Stone</t>
  </si>
  <si>
    <t>info@webbslawnservice.net</t>
  </si>
  <si>
    <t xml:space="preserve">Lift/carry up to 50 pounds.  Employer paid drug test is Post Accident, Post Employment.   Employer paid post hire criminal background check required.   Work extended daily hours and weekends when necessary. 
</t>
  </si>
  <si>
    <t>1459 Ocran Road</t>
  </si>
  <si>
    <t>P-400-23177-143945</t>
  </si>
  <si>
    <t>Fuentes</t>
  </si>
  <si>
    <t>H-400-23300-461711</t>
  </si>
  <si>
    <t xml:space="preserve">Must have at least three (3) months of prior full-time experience in fine dining. Experience must be verifiable. Must pass a pre-hire background check, carried out equally between U.S. workers and H-2B workers. Must be available to work split-shifts, nights, weekends &amp; holidays as needed. Must be able to lift, pull, push, or carry up to 25 lbs or more, and walk or stand for long periods of time. Must maintain professional appearance and be articulate in English. 
</t>
  </si>
  <si>
    <t>P-400-23300-459939</t>
  </si>
  <si>
    <t xml:space="preserve">$160 deduction per week for workers who elect to use employer-provided housing. Employer will make all deductions requires by law. </t>
  </si>
  <si>
    <t>Dorado</t>
  </si>
  <si>
    <t>Damon</t>
  </si>
  <si>
    <t>Ogden's Design &amp; Plantings Inc</t>
  </si>
  <si>
    <t>650 N. COUNTRY RD</t>
  </si>
  <si>
    <t>ST. JAMES</t>
  </si>
  <si>
    <t>JUDITH</t>
  </si>
  <si>
    <t>P-400-23304-467895</t>
  </si>
  <si>
    <t>ogdens.com</t>
  </si>
  <si>
    <t>H-400-23184-163884</t>
  </si>
  <si>
    <t>Stan Sweeney LLC</t>
  </si>
  <si>
    <t>579 Bradley 71</t>
  </si>
  <si>
    <t>Hermitage</t>
  </si>
  <si>
    <t>Bortree</t>
  </si>
  <si>
    <t>Forester</t>
  </si>
  <si>
    <t>4687 Highway 63 South</t>
  </si>
  <si>
    <t>ssweeney@sat-co.net</t>
  </si>
  <si>
    <t>Planters will be required to plant 2000 trees per day. Weather may affect the number of hours available during a work week. Weekend work may be required due to weather delays during a work week.</t>
  </si>
  <si>
    <t>BRADLEY</t>
  </si>
  <si>
    <t>Employer may pay a piece rate of between 13.00 per acre and 57.00 per acre requiring the planting of 200 trees per acre up to 600 trees per acre but not less than 23.78 per hour when working in Arkansas or 16.20 per acre when working in Louisiana.</t>
  </si>
  <si>
    <t>P-400-23138-033322</t>
  </si>
  <si>
    <t>The employer will pay the cost of lodging pursuant to the FLSA to the extent such costs would otherwise reduce pay below the prevailing wage for the area of intended employment.</t>
  </si>
  <si>
    <t>H-400-23285-428626</t>
  </si>
  <si>
    <t>Fast Food and Counter Workers– Food Concessions (Mobile)</t>
  </si>
  <si>
    <t>Dizon's Food, LLC</t>
  </si>
  <si>
    <t>2699 McKelvey Road</t>
  </si>
  <si>
    <t>Maryland Heights</t>
  </si>
  <si>
    <t>Dizon</t>
  </si>
  <si>
    <t>Erasmo</t>
  </si>
  <si>
    <t>MISSOURI</t>
  </si>
  <si>
    <t>dizonsfood@gmail.com</t>
  </si>
  <si>
    <t>P-400-23235-287987</t>
  </si>
  <si>
    <t>H-400-23336-539256</t>
  </si>
  <si>
    <t>YARD WORKER</t>
  </si>
  <si>
    <t>STASI BROS ASPHALT CORP</t>
  </si>
  <si>
    <t>435 MAPLE AVE</t>
  </si>
  <si>
    <t>STASI</t>
  </si>
  <si>
    <t xml:space="preserve">435 MAPLE AVE </t>
  </si>
  <si>
    <t>1 MONTH EXPERIENCE AS YARD WORKER REQUIRED.</t>
  </si>
  <si>
    <t>478 GRAND BLVD</t>
  </si>
  <si>
    <t>P-400-23193-183009</t>
  </si>
  <si>
    <t>DIANEP@STASIBROTHERS.COM</t>
  </si>
  <si>
    <t>H-400-23338-540536</t>
  </si>
  <si>
    <t>EAST QUOGUE</t>
  </si>
  <si>
    <t>H-400-23184-165122</t>
  </si>
  <si>
    <t>Chris Vogel</t>
  </si>
  <si>
    <t>11106 Elk Park</t>
  </si>
  <si>
    <t>Vogel</t>
  </si>
  <si>
    <t xml:space="preserve">Manager </t>
  </si>
  <si>
    <t>avogel2207@aol.com</t>
  </si>
  <si>
    <t xml:space="preserve">TEXAS SUPREME COURT </t>
  </si>
  <si>
    <t>P-400-23128-000398</t>
  </si>
  <si>
    <t xml:space="preserve">Lodging and meals, if applicable. Worker is free to choose Employer provided accomodations and meals or can opt to choose their own lodging and source of daily meals. Employer will only deduct fair market value of lodging if worker chooses to accept employer lodging and meals. </t>
  </si>
  <si>
    <t>MONTAUK</t>
  </si>
  <si>
    <t>H-400-23336-538979</t>
  </si>
  <si>
    <t>Hartman Lawn Care, LLC</t>
  </si>
  <si>
    <t>Hartman Landscaping</t>
  </si>
  <si>
    <t>2165 South Rehl Rd</t>
  </si>
  <si>
    <t>Mailing: PO Box 2575, Zanesville, OH 43702</t>
  </si>
  <si>
    <t>Hartman</t>
  </si>
  <si>
    <t xml:space="preserve">Ruis </t>
  </si>
  <si>
    <t xml:space="preserve">Jodi </t>
  </si>
  <si>
    <t xml:space="preserve">Requires three months of previous landscape experience. 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Employer may offer more than the stated work hours depending on weather, business needs, and other conditions. Extreme heat, cold, rain, or drought may affect exact working hours.
</t>
  </si>
  <si>
    <t>P-400-23235-288086</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</si>
  <si>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   Employer may deduct retirement plan contributions for workers voluntarily participating in plan.  Employer provides incidental transportation between worksites as necessary. Such transportation complies with all applicable Federal, State, and local laws/regulations.</t>
  </si>
  <si>
    <t>sales@hartman-landscaping.com</t>
  </si>
  <si>
    <t>H-400-23275-404159</t>
  </si>
  <si>
    <t>Complete Landsculpture of Texas, L.P.</t>
  </si>
  <si>
    <t>Complete Landsculpture</t>
  </si>
  <si>
    <t>2000 Sandy Lane</t>
  </si>
  <si>
    <t>Urizar</t>
  </si>
  <si>
    <t>Nelly</t>
  </si>
  <si>
    <t>Senior Human Resource Manager</t>
  </si>
  <si>
    <t>nellyu@completelandsculpture.com</t>
  </si>
  <si>
    <t>cynthia@pesusa.com</t>
  </si>
  <si>
    <t xml:space="preserve">Must be able to lift 80 lbs.
Pre-employment criminal background check required, paid by employer and applied equally to all workers, U.S. and foreign/H2B.
Workers are subject to random and project specific post-employment drug testing, paid by employer and applied equally to all workers, U.S. and foreign/H2B.
Applicants must complete an employment application.
Required uniform provided at no charge to the worker. </t>
  </si>
  <si>
    <t>See Section F.a.4</t>
  </si>
  <si>
    <t>P-400-23165-109213</t>
  </si>
  <si>
    <t>Optional medical, dental, and vision insurance available, approximate cost $14.18 per week, deducted from paycheck if worker elects. Pay advance possible with management approval, paid back through payroll deductions if worker elects. Optional work boots available for purchase from approved vendor, cost can be payroll deducted if worker elects.</t>
  </si>
  <si>
    <t>Business Owner</t>
  </si>
  <si>
    <t>Williamson</t>
  </si>
  <si>
    <t>Fantasy Amusement Company, Inc.</t>
  </si>
  <si>
    <t>629 N. Forrest Avenue</t>
  </si>
  <si>
    <t>Arlington Heights</t>
  </si>
  <si>
    <t>mhj9090@comcast.net</t>
  </si>
  <si>
    <t>Peotone</t>
  </si>
  <si>
    <t>fantasyamusements.com</t>
  </si>
  <si>
    <t>Greenwood</t>
  </si>
  <si>
    <t>Janitorial</t>
  </si>
  <si>
    <t>H-400-23304-466513</t>
  </si>
  <si>
    <t>H-400-23307-476658</t>
  </si>
  <si>
    <t xml:space="preserve">Steward </t>
  </si>
  <si>
    <t xml:space="preserve">No minimum education or experience required. 
Must pass a post-employment criminal background check,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</si>
  <si>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P-400-23258-350940</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</si>
  <si>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</si>
  <si>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H-400-23303-465426</t>
  </si>
  <si>
    <t xml:space="preserve">Golden West Concessions, Inc. </t>
  </si>
  <si>
    <t>4957 COCONINO WAY</t>
  </si>
  <si>
    <t>Kasinak</t>
  </si>
  <si>
    <t>4957 Coconino Way</t>
  </si>
  <si>
    <t>kc_kasinak@yahoo.com</t>
  </si>
  <si>
    <t>200 East 2nd St</t>
  </si>
  <si>
    <t>P-400-23214-234363</t>
  </si>
  <si>
    <t xml:space="preserve">Employer will make all deductions from the worker’s paycheck required by law. Optional housing (valued at $175.00 per week) and local convenience travel (valued at $25.00 per week) are available at no cost to the worker.  </t>
  </si>
  <si>
    <t>Tracy</t>
  </si>
  <si>
    <t>Boguey Concessions LLC</t>
  </si>
  <si>
    <t>54905 Shady Lane</t>
  </si>
  <si>
    <t>Bogue</t>
  </si>
  <si>
    <t>bogueyl@gmail.com</t>
  </si>
  <si>
    <t>Wang</t>
  </si>
  <si>
    <t>H-400-23332-528521</t>
  </si>
  <si>
    <t>HOLY ANGELS RESIDENTIAL FACILITY</t>
  </si>
  <si>
    <t>25899 BEL AIRE DR</t>
  </si>
  <si>
    <t>HAYWARD</t>
  </si>
  <si>
    <t>ELENA</t>
  </si>
  <si>
    <t>HINAYO</t>
  </si>
  <si>
    <t>OWNER/ADMINISTRATOR</t>
  </si>
  <si>
    <t>RIVERA1724@AOL.COM</t>
  </si>
  <si>
    <t xml:space="preserve">First Aid Certification
Certification in Medication Administration
Dementia Care Training
</t>
  </si>
  <si>
    <t>25899 Bel Aire Dr</t>
  </si>
  <si>
    <t>Haywardd</t>
  </si>
  <si>
    <t>P-400-23332-527381</t>
  </si>
  <si>
    <t>NOT APPLICABLE</t>
  </si>
  <si>
    <t>Casey's Rides Inc.</t>
  </si>
  <si>
    <t>11044 US Hwy 431</t>
  </si>
  <si>
    <t>Secretary/Treasury</t>
  </si>
  <si>
    <t>caseysrides2020@gmail.com</t>
  </si>
  <si>
    <t>DAVIESS</t>
  </si>
  <si>
    <t>Owensboro, KY</t>
  </si>
  <si>
    <t>P-400-23236-293107</t>
  </si>
  <si>
    <t>jd4rides@bellsouth.net</t>
  </si>
  <si>
    <t>Chaska</t>
  </si>
  <si>
    <t>mwolfhll@gmail.com</t>
  </si>
  <si>
    <t>CARVER</t>
  </si>
  <si>
    <t>Property Masters Inc</t>
  </si>
  <si>
    <t>67 Pleasant Street</t>
  </si>
  <si>
    <t>Mailing: P.O. Box 19, Haworth, NJ 07641</t>
  </si>
  <si>
    <t>Haworth</t>
  </si>
  <si>
    <t>Reithmayr</t>
  </si>
  <si>
    <t>propmaster@optonline.net</t>
  </si>
  <si>
    <t xml:space="preserve">Monday-Friday, Saturdays are optional, end times may vary, schedule varies, overtime varies.
</t>
  </si>
  <si>
    <t>49 Atwood Place</t>
  </si>
  <si>
    <t>Tenafly</t>
  </si>
  <si>
    <t>Raise/bonus at employer's discretion. Opportunity for additional pay dependent upon experience and/or job performance.</t>
  </si>
  <si>
    <t>P-400-23200-201059</t>
  </si>
  <si>
    <t>Cohen</t>
  </si>
  <si>
    <t>Mira</t>
  </si>
  <si>
    <t>ecohen@gands-us.com</t>
  </si>
  <si>
    <t>Green and Spiegel US LLC</t>
  </si>
  <si>
    <t>H-400-23215-235232</t>
  </si>
  <si>
    <t xml:space="preserve">Snow Removal Laborer </t>
  </si>
  <si>
    <t xml:space="preserve">Statewide Snow Services LLC </t>
  </si>
  <si>
    <t>650 E Big Beaver Road, Suite F</t>
  </si>
  <si>
    <t>MacLeish II</t>
  </si>
  <si>
    <t>Single Member</t>
  </si>
  <si>
    <t>650 E Big Beaver Road</t>
  </si>
  <si>
    <t>danjr@macleishbuilding.com</t>
  </si>
  <si>
    <t>Supreme Court of New Jersey</t>
  </si>
  <si>
    <t xml:space="preserve">N/A
F.a.5 A-H.  (continued): 36 hours per week.  Monday - Sunday 7am-3pm. 10-20 hours OT possible per week.
</t>
  </si>
  <si>
    <t>¿650 E Big Beaver Road, Suite F</t>
  </si>
  <si>
    <t>P-400-23173-137381</t>
  </si>
  <si>
    <t>Optional board/lodging available at a cost to be deducted from pay if elected. $285.00 per month.</t>
  </si>
  <si>
    <t>H-400-23307-475863</t>
  </si>
  <si>
    <t>Quality Lawn &amp; Garden, Inc.</t>
  </si>
  <si>
    <t>6632 Christopher Drive</t>
  </si>
  <si>
    <t>Kaiser</t>
  </si>
  <si>
    <t>cdkaiser@qualitylawnandgarden.com</t>
  </si>
  <si>
    <t>6632 Christopher Drive (Report to Work)</t>
  </si>
  <si>
    <t>P-400-23192-179125</t>
  </si>
  <si>
    <t>Optional, shared housing available to the worker at a monthly housing rate up to $300.00; if optional housing is agreed upon by the worker, monthly housing rate will be deducted from worker's paycheck incrementally (weekly).</t>
  </si>
  <si>
    <t>info@qualitylawnandgarden.com</t>
  </si>
  <si>
    <t>H-400-23321-509034</t>
  </si>
  <si>
    <t>DreamScapes Lawn Maintenance Co., Inc</t>
  </si>
  <si>
    <t>4337 Dallas Acworth Hwy</t>
  </si>
  <si>
    <t>P. O. Box 801090</t>
  </si>
  <si>
    <t>Acworth</t>
  </si>
  <si>
    <t>dreamscapes445@gmail.com</t>
  </si>
  <si>
    <t>Lift/carry up to 50 pounds.  Employer paid drug test is Post Accident</t>
  </si>
  <si>
    <t>P-400-23219-242585</t>
  </si>
  <si>
    <t>Character limit: Shared housing available to only seasonal full-time employees, not offered to non-employees. Employees may make their own arrangements at their own expense. If they opt to live in employer provided housing rent (utilities included) charged at $87.50/week.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t>
  </si>
  <si>
    <t>generalinfo@thedreamscapes.com</t>
  </si>
  <si>
    <t>H-400-23306-475214</t>
  </si>
  <si>
    <t>Brander Enterprises, Inc.</t>
  </si>
  <si>
    <t>7645 Cattle Drive</t>
  </si>
  <si>
    <t>Santa Margarita</t>
  </si>
  <si>
    <t>Brander</t>
  </si>
  <si>
    <t>branderenterprisesinc@gmail.com</t>
  </si>
  <si>
    <t>7645 CATTLE DR.</t>
  </si>
  <si>
    <t>SANTA MARGARITA</t>
  </si>
  <si>
    <t>SAN LUIS OBISPO</t>
  </si>
  <si>
    <t>San Luis Obispo-Paso Robles-Arroyo Grande, CA</t>
  </si>
  <si>
    <t>P-400-23213-229027</t>
  </si>
  <si>
    <t>branderenterpriseshr@gmail.com</t>
  </si>
  <si>
    <t>H-400-23336-538951</t>
  </si>
  <si>
    <t>RICHLAND COUNTRY CLUB</t>
  </si>
  <si>
    <t>ONE CLUB DRIVE</t>
  </si>
  <si>
    <t>NASHVILLE</t>
  </si>
  <si>
    <t>HUFF</t>
  </si>
  <si>
    <t>JENNY</t>
  </si>
  <si>
    <t>DIRECTOR OF PERSONAL</t>
  </si>
  <si>
    <t>P-400-23264-368381</t>
  </si>
  <si>
    <t xml:space="preserve">HOUSING OPTIONAL AND AVAILABLE FOR $172.50/WK (UTILITIES, INTERNET, WASHER/DRYER RENTAL INCLUDED) WITH A $300 DEPOSIT. </t>
  </si>
  <si>
    <t>jhuff@richlandcc.com</t>
  </si>
  <si>
    <t>H-400-23229-273744</t>
  </si>
  <si>
    <t xml:space="preserve">The Petitioner will consider for employment any person who possesses at least three (3) months of experience at a high-end hotel, resort, or private club. Applicant must complete pre-employment background check.
</t>
  </si>
  <si>
    <t xml:space="preserve">Wage: $17.00 – $17.51 per hour, paid bi-weekly.   See job description. </t>
  </si>
  <si>
    <t>P-400-23178-147803</t>
  </si>
  <si>
    <t>ABC Professional Tree Services, Inc - Yorktown</t>
  </si>
  <si>
    <t xml:space="preserve">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Incidental limited travel and double time pay may be available under certain emergent conditions and holidays. Employer may offer more than the stated work hours depending on weather, business needs, and other conditions. Extreme heat, cold, rain, or drought may affect exact working hours.
 </t>
  </si>
  <si>
    <t>801 Old York-Hampton Hwy,</t>
  </si>
  <si>
    <t>Yorktown</t>
  </si>
  <si>
    <t>H-400-23184-164311</t>
  </si>
  <si>
    <t xml:space="preserve">New Orleans </t>
  </si>
  <si>
    <t>P-400-23125-997601</t>
  </si>
  <si>
    <t xml:space="preserve">All required taxes. If employee signs up for benefits (optional), those will be deducted. Amounts will very depending on the benefits chosen. Employer will assist workers securing board, lodging, or other facilities. Employer will make available hotel rooms for up to two weeks at no charge. Employer will also assist workers with the search tools to secure their own.
</t>
  </si>
  <si>
    <t>H-400-23326-520093</t>
  </si>
  <si>
    <t>GREEN VENTURES</t>
  </si>
  <si>
    <t>9310 FRANKLIN RD</t>
  </si>
  <si>
    <t>MURFREESBORO</t>
  </si>
  <si>
    <t>MANGRUM</t>
  </si>
  <si>
    <t>GREEN.VENTURES@LIVE.COM</t>
  </si>
  <si>
    <t xml:space="preserve">MUST HAVE VALID DRIVER'S LICENSE. MUST BE ABLE TO LIFT 50LBS. REPETITIVE MOVEMENTS, EXTENSIVE PUSHING/PULLING, EXTENSIVE WALKING AND FREQUENT STOOPING. Schedule varies, overtime available as needed.
</t>
  </si>
  <si>
    <t>P-400-23184-164916</t>
  </si>
  <si>
    <t>Wong</t>
  </si>
  <si>
    <t>H-400-23216-240843</t>
  </si>
  <si>
    <t>Housekeeping Houseperson</t>
  </si>
  <si>
    <t>Mt Olympus Water &amp; Theme Park Resort</t>
  </si>
  <si>
    <t>Six (6) months of experience working as a Housekeeping Houseperson.</t>
  </si>
  <si>
    <t>P-400-23172-131281</t>
  </si>
  <si>
    <t>H-400-23184-164355</t>
  </si>
  <si>
    <t>Housekeeper - Day Shift</t>
  </si>
  <si>
    <t>Mountain View Hospital</t>
  </si>
  <si>
    <t>2325 Coronado Street</t>
  </si>
  <si>
    <t>Hillyard</t>
  </si>
  <si>
    <t>Ned</t>
  </si>
  <si>
    <t>Chief Compliance Officer</t>
  </si>
  <si>
    <t>nhillyard@mvhospital.net</t>
  </si>
  <si>
    <t xml:space="preserve">Demonstrated basic computer skills.  Ability to utilize basic cleaning equipment (vacuum, mop, etc.).  Must be able to understand oral instructions and requests given in English, as well as understand written English instructions.
</t>
  </si>
  <si>
    <t>P-400-23108-944431</t>
  </si>
  <si>
    <t>lwilson3@mvhospital.net</t>
  </si>
  <si>
    <t>https://www.mountainviewhospital.org/employment-opportunities</t>
  </si>
  <si>
    <t>H-400-23231-279299</t>
  </si>
  <si>
    <t>RESTAURANT HELPER</t>
  </si>
  <si>
    <t>P-400-23152-068216</t>
  </si>
  <si>
    <t>THE EMPLOYER WILL MAKE ALL DEDUCTIONS FROM WORKERS’ PAYCHECKS THAT ARE REQUIRED BY LAW. THE EMPLOYER WILL PROVIDE OPTIONAL HOUSING ACCOMMODATIONS FROM A THIRD-PARTY IF RELOCATING FOR THE POSITION AND NOT WITHIN REASONABLE TRANSPORT TO JOBSITE. IF EMPLOYER-ARRANGED HOUSING IS UTILIZED THE WORKER WILL BE DEDUCTED APPROXIMATELY $400 PER MONTH, INCLUDING A $150 SECURITY DEPOSIT</t>
  </si>
  <si>
    <t>H-400-23279-414423</t>
  </si>
  <si>
    <t xml:space="preserve">Requires twelve months of Tree Trimmer/ Climber experience. 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Incidental limited travel and double time pay may be available under certain emergent conditions and holidays. Employer may offer more than the stated work hours depending on weather, business needs, and other conditions. Extreme heat, cold, rain, or drought may affect exact working hours.
</t>
  </si>
  <si>
    <t>P-400-23183-162041</t>
  </si>
  <si>
    <t>H-400-23184-163711</t>
  </si>
  <si>
    <t>Triple 7 Logistics, LLC</t>
  </si>
  <si>
    <t>4805 Little Cove Court</t>
  </si>
  <si>
    <t>Yolanda</t>
  </si>
  <si>
    <t>yolanda@triplesevenlogistics.com</t>
  </si>
  <si>
    <t>Garvish</t>
  </si>
  <si>
    <t>2983 Hardman Ct. NE</t>
  </si>
  <si>
    <t>egarvish@goimmigrationlaw.com</t>
  </si>
  <si>
    <t>GARVISH IMMIGRATION LAW GROUP LLC</t>
  </si>
  <si>
    <t xml:space="preserve">Minimum prerequisites: High school diploma or foreign equivalent plus one year of experience with corporate housekeeping
</t>
  </si>
  <si>
    <t>2828 Stockbridge Way</t>
  </si>
  <si>
    <t>P-400-23125-995715</t>
  </si>
  <si>
    <t>All deductions from the workers paycheck required by law will be applied.</t>
  </si>
  <si>
    <t>H-400-23229-273469</t>
  </si>
  <si>
    <t>Handal Racing LLC</t>
  </si>
  <si>
    <t>172 Crocus Avenue</t>
  </si>
  <si>
    <t>STE 1C</t>
  </si>
  <si>
    <t>Floral Park</t>
  </si>
  <si>
    <t>Montecino</t>
  </si>
  <si>
    <t>Eliacer</t>
  </si>
  <si>
    <t>eliacermontecino@yahoo.com</t>
  </si>
  <si>
    <t>P-400-23128-003084</t>
  </si>
  <si>
    <t>State and Federal Taxes; Optional offered housing at the backstretch of the track at no cost to the worker.</t>
  </si>
  <si>
    <t>H-400-23230-276734</t>
  </si>
  <si>
    <t>Commercial Truck Driver</t>
  </si>
  <si>
    <t>Rafael Chavez</t>
  </si>
  <si>
    <t>Rafael Trucking</t>
  </si>
  <si>
    <t>1207 South Scenic Drive</t>
  </si>
  <si>
    <t>Alamogordo</t>
  </si>
  <si>
    <t>rafaeltrucking72@gmail.com</t>
  </si>
  <si>
    <t>1207 South Scenic Drive (Report to Work)</t>
  </si>
  <si>
    <t>OTERO</t>
  </si>
  <si>
    <t>P-400-23159-090810</t>
  </si>
  <si>
    <t>H-400-23215-236856</t>
  </si>
  <si>
    <t xml:space="preserve"> EOS Hospitality OE Employee LLC </t>
  </si>
  <si>
    <t xml:space="preserve">The Petitioner will consider for employment any person who possesses at least three (3) months of experience at a high-end hotel, resort, or private club.  Applicant must complete pre-employment background check and drug screening.  
</t>
  </si>
  <si>
    <t>Wage: $17.00 - $19.00 per hour, paid bi-weekly.  See job description for additional detail.</t>
  </si>
  <si>
    <t>P-400-23167-120549</t>
  </si>
  <si>
    <t>H-400-23300-461291</t>
  </si>
  <si>
    <t>Construction Coordinator</t>
  </si>
  <si>
    <t>Hallberg Construction LLC</t>
  </si>
  <si>
    <t>581 Franci Rd</t>
  </si>
  <si>
    <t>PO Box 605</t>
  </si>
  <si>
    <t>Hallberg</t>
  </si>
  <si>
    <t>Bookkeeper/Office Manager</t>
  </si>
  <si>
    <t>robert@hallbergconstruction.net</t>
  </si>
  <si>
    <t xml:space="preserve">Capable of using a personal computer and programs.  Microsoft Office and email are necessary.
</t>
  </si>
  <si>
    <t>P-400-23299-459718</t>
  </si>
  <si>
    <t>H-400-23255-338933</t>
  </si>
  <si>
    <t>Allan Dennis Concessions, Inc.</t>
  </si>
  <si>
    <t xml:space="preserve">3484 County Road 2744 </t>
  </si>
  <si>
    <t>dennisconcessions@yahoo.com</t>
  </si>
  <si>
    <t>3484 County Road 2744</t>
  </si>
  <si>
    <t>Wage rate no less than $10.12 - $10.85/per hr based on location. OT wages vary: $15.18 - $16.28/per hr based on location</t>
  </si>
  <si>
    <t>P-400-23171-128570</t>
  </si>
  <si>
    <t>Employer assists non-local workers to secure worker-paid lodging, if necessary. Rental payments are paid by workers directly to property owner and are not payroll deducted. Employer makes all payroll deductions required by law. Employer does not envision other workforce-wide payroll deductions.</t>
  </si>
  <si>
    <t>H-400-23236-294189</t>
  </si>
  <si>
    <t>Requires three months of cooking experience. Must lift/carry 50 lbs., when necessary. Basic level English skills required. Work schedule will vary and will include evenings, holidays, and Saturdays and Sundays. Work may be performed on any day of the week from Monday through Sunday. Example shifts: 7:00am to 2:30 pm, 2:00 pm to 9:30 pm, and 4:30 pm to 12:00 am. Shift hours may vary. Employer may offer more than the stated work hours depending on weather, business needs, and other conditions. Extreme heat, cold, rain, or drought may affect exact working hours.</t>
  </si>
  <si>
    <t>P-400-23157-083467</t>
  </si>
  <si>
    <t xml:space="preserve">Emplyr makes all payrll deducts required by law. Emplyr does not envision other wrkforce-wide payrll deducts. If requested, emplyr helps non-local workers secure optional wrkr-paid lodging (not to exceed fair market value, based on number of occupants; cost TBD). Housing costs paid direct to landlrd and are not payrll deduct.   Emplyr offers free daily transport to/from wrksite from designated pick-up location. Use of transportation is voluntary.   Employer may deduct retirement/savings plan contributions and/or health insurance premiums for workers voluntarily participating in plan(s).  Employer provides incidental transportation between worksites as necessary. Such transportation complies with all applicable Federal, State, and local laws/regulations. Limited shared seasonal housing maybe offered and optional on a first come first serve basis. Cost of housing if available is $125/week or less. If used, total cost of housing will be paid directly to employer or rental unit. </t>
  </si>
  <si>
    <t>H-400-23251-331323</t>
  </si>
  <si>
    <t>Limelight Hotel</t>
  </si>
  <si>
    <t xml:space="preserve">Director of Human Resources </t>
  </si>
  <si>
    <t>100 North Tampa Street</t>
  </si>
  <si>
    <t>355 S. Monarch St.</t>
  </si>
  <si>
    <t>P-400-23191-178123</t>
  </si>
  <si>
    <t>Employer will make all deductions from the worker's paycheck as required by law. Optional employee housing available on a first-come, first-serve basis. Rent ranges from $450.00 to $900.00 per month depending on location (reasonable cost). Rent payable by cash or check directly to landlord.</t>
  </si>
  <si>
    <t>H-400-23186-167721</t>
  </si>
  <si>
    <t xml:space="preserve">Pass pre-employment police clearance; Able to communicate in English; post-employment drug testing. Employer requires pre-employment police clearance and post-employment drug testing to be carried out equally between the U.S. workers and the H-2B workers.
*Continuation to Section F.A.5 of ETA 9142 above: 40 hours a week will consist of 8 hour shifts that can vary as needed. Shift may vary from 6AM-11PM.
</t>
  </si>
  <si>
    <t>P-400-23107-939346</t>
  </si>
  <si>
    <t>Optional deductions include: housing fee of $170/week; $5 for security deposit/week. Any deductions required by law made from
biweekly paycheck.</t>
  </si>
  <si>
    <t>H-400-23217-241501</t>
  </si>
  <si>
    <t xml:space="preserve">Workdays varies applicants must be available to work any day of the week depending on weather.  Lifting 75-80 lbs. is common. May endure fast-paced walking, or standing for long periods, extended bending, and stooping, may work in extreme temps. Pre-employment drug screen required. Passed drug test cost will be reimbursed by employer. </t>
  </si>
  <si>
    <t>Shared housing may be available, if used, a deduction of $50.00 will be made weekly from the worker’s paycheck.</t>
  </si>
  <si>
    <t>H-400-23276-406932</t>
  </si>
  <si>
    <t>R. Franco Restoration Inc.</t>
  </si>
  <si>
    <t>11083 W. Stayton Rd SE</t>
  </si>
  <si>
    <t>Rosario</t>
  </si>
  <si>
    <t>rfrancorestoration@gmail.com</t>
  </si>
  <si>
    <t>Must be 18 due to state labor laws. Must show proof of legal authorization to work in the United States. Drug/alcohol/tobacco free work zone. Must walk substantially (up to 15 miles/day), also stoop, bend while carrying a pack (up to 50lbs) thru rough terrain (non-trail).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</si>
  <si>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11083 West Stayton Rd (Report to Work)</t>
  </si>
  <si>
    <t>P-400-23199-198181</t>
  </si>
  <si>
    <t>H-400-23198-195156</t>
  </si>
  <si>
    <t>BUILDING MAINTENANCE</t>
  </si>
  <si>
    <t>PANDA CHILD CARE</t>
  </si>
  <si>
    <t>581 NORTH REDWOOD ROAD</t>
  </si>
  <si>
    <t>SALT LAKE CITY</t>
  </si>
  <si>
    <t>GARAY</t>
  </si>
  <si>
    <t>1747 W SIR JEFFREY WAY</t>
  </si>
  <si>
    <t>PANDA060116@YAHOO.COM</t>
  </si>
  <si>
    <t>2751 WASHINGTON BLVD</t>
  </si>
  <si>
    <t>P-400-23157-083987</t>
  </si>
  <si>
    <t>H-400-23184-164910</t>
  </si>
  <si>
    <t>Loin Boner</t>
  </si>
  <si>
    <t>1 month safety/ppe/sanitation training required. 
Workers will work EITHER 6:15am - 2:30pm OR 3:00pm - 11:30pm</t>
  </si>
  <si>
    <t xml:space="preserve">Exact wage amount determined by internal metrics. Workers may be eligible for plant-wide incentive program. </t>
  </si>
  <si>
    <t>P-400-23121-979888</t>
  </si>
  <si>
    <t>H-400-23292-444114</t>
  </si>
  <si>
    <t>Painter</t>
  </si>
  <si>
    <t>Pioneer Management Inc</t>
  </si>
  <si>
    <t xml:space="preserve">Schedule: Monday through Sunday (schedule varies). Shifts: 7am-2pm or 12pm-7pm (shift hours may vary). Five rotating days. Employer will offer at least thirty-five (35) hours per week. </t>
  </si>
  <si>
    <t>424 Post Road</t>
  </si>
  <si>
    <t>P-400-23262-357251</t>
  </si>
  <si>
    <t>H-400-23200-198780</t>
  </si>
  <si>
    <t xml:space="preserve">Dining Room Attendants     </t>
  </si>
  <si>
    <t xml:space="preserve">Drug testing required upon suspicion during employment. </t>
  </si>
  <si>
    <t>Tipped Position.  Base rate is $12/hour plus tips guaranteed at least $12.20 per hour</t>
  </si>
  <si>
    <t>P-400-23163-098766</t>
  </si>
  <si>
    <t>H-400-23276-406201</t>
  </si>
  <si>
    <t xml:space="preserve">Bates Brothers Amusement Co. </t>
  </si>
  <si>
    <t>1506 Fernwood Road</t>
  </si>
  <si>
    <t>Wintersville</t>
  </si>
  <si>
    <t xml:space="preserve">Dallman </t>
  </si>
  <si>
    <t>braddallman@yahoo.com</t>
  </si>
  <si>
    <t>P-400-23172-132689</t>
  </si>
  <si>
    <t>Employer will make all deductions from worker’s paycheck required by law. Employer optional shared housing is provided at no cost to the worker ($120/wk), local convenience travel valued at ($20/wk.), and food available for wage credit and/or deduction, or any lesser amount to the maximum extent not prohibited by law.</t>
  </si>
  <si>
    <t>H-400-23247-318362</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</si>
  <si>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1-month hotel/resort housekeeping experience required
	Rotate/split shifts
	Supplies, work tools and equipment are provided free
	The employer will make all deductions from worker's paycheck required by law
	Must lift/carry 50 lbs., when necessary.  
	Supplies, work tools &amp; equipment are provided free
	No daily transportation to/from work provided.
	No on the job training provided. 
</t>
  </si>
  <si>
    <t>777 Casino Dr.</t>
  </si>
  <si>
    <t>Cherokee</t>
  </si>
  <si>
    <t>SWAIN</t>
  </si>
  <si>
    <t>P-400-23137-030568</t>
  </si>
  <si>
    <t>H-400-23229-272353</t>
  </si>
  <si>
    <t>Yellowstone Club Operations, LLC</t>
  </si>
  <si>
    <t>Yellowstone Club</t>
  </si>
  <si>
    <t>1 Yellowstone Club Trail</t>
  </si>
  <si>
    <t>PO Box 161097</t>
  </si>
  <si>
    <t>Witten</t>
  </si>
  <si>
    <t>International Recruiter</t>
  </si>
  <si>
    <t xml:space="preserve"> 1 Yellowstone Club Trail</t>
  </si>
  <si>
    <t>Erik.Witten@yellowstoneclub.com</t>
  </si>
  <si>
    <t xml:space="preserve">The Petitioner will consider for employment any person who possesses at least three (3) months of restaurant service experience in a fine-dining or high-volume environment at a high-end restaurant, resort, or private club.  
Applicant must complete pre-employment background check.
</t>
  </si>
  <si>
    <t>Wage: $17.00 - $22.00 per hour, paid bi-weekly.   Please see job description for additional information.</t>
  </si>
  <si>
    <t>P-400-23175-141835</t>
  </si>
  <si>
    <t>Optional housing is offered on a first-come, first-served basis for workers who are relocating to begin employment. Yellowstone Club has several housing venues and employees may choose their bed space &amp; location. Location availability is department dependent. The cost of housing is $210.00 - $625.00 biweekly depending on the location and room style selected. Depending on housing option availability, housing will be either single or double-room occupancy for Winter 2023. A few couples' options may be available, but limited. Gallatin Gateway Inn (GGI), offers Schack's Depot for its residents. Schack's Depot is an a la carte dining option for dinner service with an online pre-ordering platform.  Please see job description for additional information regarding benefits and deductions.</t>
  </si>
  <si>
    <t>H-400-23209-223367</t>
  </si>
  <si>
    <t>Graphic Designer</t>
  </si>
  <si>
    <t>Graphic Designers</t>
  </si>
  <si>
    <t>JZY Corp</t>
  </si>
  <si>
    <t>18 Guayama St</t>
  </si>
  <si>
    <t>Jessy</t>
  </si>
  <si>
    <t>Puerto Rico</t>
  </si>
  <si>
    <t>jzyofficialcorp@gmail.com</t>
  </si>
  <si>
    <t xml:space="preserve">Artist Certification from the Country where he/she comes from.
Speak Fluent English 
</t>
  </si>
  <si>
    <t>18 Guayama Street</t>
  </si>
  <si>
    <t>SALINAS</t>
  </si>
  <si>
    <t>Puerto Rico nonmetropolitan area</t>
  </si>
  <si>
    <t>P-400-23173-135555</t>
  </si>
  <si>
    <t>Social Security -
PR Tax -10% Tax hold
PR Labor Department</t>
  </si>
  <si>
    <t>licenciadatorres@gmail.com</t>
  </si>
  <si>
    <t>H-400-23255-339357</t>
  </si>
  <si>
    <t>John J Robb Public Racing Stables</t>
  </si>
  <si>
    <t>830 Morgan Station Road</t>
  </si>
  <si>
    <t>lbjrobb@aol.com</t>
  </si>
  <si>
    <t>Laurel Park</t>
  </si>
  <si>
    <t>RT 198 &amp; Racetrack Road</t>
  </si>
  <si>
    <t>Laurel</t>
  </si>
  <si>
    <t>P-400-23201-204930</t>
  </si>
  <si>
    <t xml:space="preserve">State and Federal Taxes, Optional
employer-offered housing in the backstretch at no cost to the worker. </t>
  </si>
  <si>
    <t>H-400-23215-236541</t>
  </si>
  <si>
    <t>Montage Deer Valley, LLC</t>
  </si>
  <si>
    <t>Montage Deer Valley</t>
  </si>
  <si>
    <t>9100 Marsac Ave</t>
  </si>
  <si>
    <t>Renschler</t>
  </si>
  <si>
    <t>Director of People</t>
  </si>
  <si>
    <t>melissa.renschler@montage.com</t>
  </si>
  <si>
    <t>jim@obhrlaw.com</t>
  </si>
  <si>
    <t xml:space="preserve">Court of Appeals </t>
  </si>
  <si>
    <t>While performing the duties of the job, the Housekeeper is required to stand, walk; handle or feel objects, tools, stoop, bend, kneel, crouch, crawl; talk, hear; reach with hands and arms. Occasionally required to climb or balance. The employee must regularly lift and/or move up to 10 pounds and sometimes lift and/or move up to 25 pounds. Exert physical effort in being able to clean several rooms or areas per shift.
Pre-employment background check is required and must be able to work holidays and weekends as needed.</t>
  </si>
  <si>
    <t>See F.a.4 for additional wage information.</t>
  </si>
  <si>
    <t>P-400-23151-065809</t>
  </si>
  <si>
    <t xml:space="preserve">Employer will make all deductions from worker’s paycheck as required by law and deduct approved cost of optional housing if worker elects. Employer may deduct cost of replacement nametag at $10 if lost by employee at no fault of employer. Employer will provide option for shared housing, the cost of which will vary based on location and amenities – from $307.50/month to $500/month – plus a $100.00 nonrefundable administrative fee. Rent is broken down into two monthly installments, spread out and deducted from bi-weekly paychecks.  </t>
  </si>
  <si>
    <t>H-400-23228-269668</t>
  </si>
  <si>
    <t>Engineering Technician</t>
  </si>
  <si>
    <t>Mechanical Engineering Technologists and Technicians</t>
  </si>
  <si>
    <t>P-400-23145-052619</t>
  </si>
  <si>
    <t>H-400-23186-168496</t>
  </si>
  <si>
    <t>Dean Innovations, Inc.</t>
  </si>
  <si>
    <t>6400 SE 101st Avenue, Ste. X4</t>
  </si>
  <si>
    <t>Huedepohl</t>
  </si>
  <si>
    <t>kelly@deanscom.com</t>
  </si>
  <si>
    <t>4949 Meadows Road, Ste. 600</t>
  </si>
  <si>
    <t xml:space="preserve">Must possess a valid Class A Commercial Driver's License (CDL) or obtain a valid Class A CDL within 60 days of hire.
Must have ability to lift/push/pull 50 lbs. throughout the daily shift. Clean motor vehicle record (proof of no moving violations in the last two (2) years). Must pass all pre-employment DOT requirements. Must have or acquire within 60 days demonstrated knowledge of the rules associated with the interstate DOT travel, both state and federal.
</t>
  </si>
  <si>
    <t>P-400-23112-957555</t>
  </si>
  <si>
    <t>The employer will make all deductions from the worker's paycheck as required by law.</t>
  </si>
  <si>
    <t>H-400-23185-165563</t>
  </si>
  <si>
    <t>2542 North Towne Ave</t>
  </si>
  <si>
    <t>P-400-23110-951284</t>
  </si>
  <si>
    <t>H-400-23245-318027</t>
  </si>
  <si>
    <t>East West Resorts, LLC</t>
  </si>
  <si>
    <t>East West Hospitality</t>
  </si>
  <si>
    <t>30 Benchmark Road, Suite 107</t>
  </si>
  <si>
    <t>PO Box 9690</t>
  </si>
  <si>
    <t>Greener</t>
  </si>
  <si>
    <t>ngreener@eastwest.com</t>
  </si>
  <si>
    <t xml:space="preserve">On-the-job training provided. Background check is required upon hire and is completed as part of new hire process.  Background check takes place post-hire and is carried out equally between all workers, including U.S. workers and H-2B/International workers.
</t>
  </si>
  <si>
    <t>30 Benchmark Road</t>
  </si>
  <si>
    <t>Suite 107</t>
  </si>
  <si>
    <t>P-400-23122-983239</t>
  </si>
  <si>
    <t>H-400-23186-166869</t>
  </si>
  <si>
    <t>The Scoular Company</t>
  </si>
  <si>
    <t>Scoular</t>
  </si>
  <si>
    <t>13660 California Street</t>
  </si>
  <si>
    <t>P.O. Box 542047</t>
  </si>
  <si>
    <t>Hasan</t>
  </si>
  <si>
    <t>Associate General Counsel</t>
  </si>
  <si>
    <t xml:space="preserve">13660 California Street </t>
  </si>
  <si>
    <t>jhasan@scoular.com</t>
  </si>
  <si>
    <t xml:space="preserve">Workers must pass customary pre-employment physical and drug screening.
</t>
  </si>
  <si>
    <t>1632 Main Street</t>
  </si>
  <si>
    <t>Goodland</t>
  </si>
  <si>
    <t>SHERMAN</t>
  </si>
  <si>
    <t>8 hrs of OT/week estimated based on hist avgs over period of need &amp; subject to change based on weather/business needs.</t>
  </si>
  <si>
    <t>P-400-23132-017411</t>
  </si>
  <si>
    <t>Ngoldsberry@scoular.com</t>
  </si>
  <si>
    <t>https://www.scoular.com/careers/</t>
  </si>
  <si>
    <t>H-400-23278-411516</t>
  </si>
  <si>
    <t>Victor Marcus, Inc.</t>
  </si>
  <si>
    <t>Vic Marcus Concessions</t>
  </si>
  <si>
    <t>28900 Triple Crown Rd</t>
  </si>
  <si>
    <t>(Mail: 3337 W. Florida Ave. PMB 243, Hemet CA 92545)</t>
  </si>
  <si>
    <t>Romoland</t>
  </si>
  <si>
    <t>Carole</t>
  </si>
  <si>
    <t>marcushotdog@yahoo.com</t>
  </si>
  <si>
    <t>28900 Triple Crown Road</t>
  </si>
  <si>
    <t>P-400-23182-161887</t>
  </si>
  <si>
    <t>H-400-23234-285252</t>
  </si>
  <si>
    <t>Retail Associate (Fast Food Worker)</t>
  </si>
  <si>
    <t>Leo's, Inc.</t>
  </si>
  <si>
    <t>Waffle Cabin</t>
  </si>
  <si>
    <t>20 Moonbrook Drive</t>
  </si>
  <si>
    <t>Rutland</t>
  </si>
  <si>
    <t>Heyrman</t>
  </si>
  <si>
    <t>Ingrid</t>
  </si>
  <si>
    <t>ingrid@wafflecabin.com</t>
  </si>
  <si>
    <t xml:space="preserve">Wage: $17.05 - $18.05 per hour plus tips, paid bi-weekly. Please see job description for additional information. </t>
  </si>
  <si>
    <t>P-400-23143-044515</t>
  </si>
  <si>
    <t xml:space="preserve">Optional housing is offered on a first-come, first-serve basis for workers who are relocating to begin employment for a use fee of up to $140.00 per week. Housing cost is paid directly to employers and includes utilities.  There is a $200.00 refundable deposit for housing that is paid directly to the employer upfront and will be refunded if the dwelling is left clean and undamaged. 
All deductions from paycheck required by law will be made.
</t>
  </si>
  <si>
    <t>H-400-23215-234839</t>
  </si>
  <si>
    <t>3 months of service experience in a fine-dining or high-volume environment at a high-end restaurant, resort, or private club required.
On-the-job training is provided.
Following Shifts available 7 days a week including weekends and holidays. 8a-3p,10a-5p, 12p-7p, 3p-10p.
Wage Per Hour: $15.33 - $21.00.
Overtime Possible Per Hour at $23.00 - $31.50.</t>
  </si>
  <si>
    <t>P-400-23138-034488</t>
  </si>
  <si>
    <t>H-400-23215-236064</t>
  </si>
  <si>
    <t>Teton Group, LLC</t>
  </si>
  <si>
    <t>Fairfield Inn and Suites</t>
  </si>
  <si>
    <t>2901 6th Ave SE</t>
  </si>
  <si>
    <t>P-400-23167-118300</t>
  </si>
  <si>
    <t>H-400-23256-341384</t>
  </si>
  <si>
    <t xml:space="preserve">Must have a minimum of six months of experience as a cook. Must be able to stand and/or walk for duration of shift. Must be able to lift, carry, and maneuver up to 75 pounds. Must pass a pre-employment drug test and criminal background check. IP Casino screens all applicants through drug tests and background checks, including domestic and H-2B visa employees. This includes seasonal and full-time annual positions and is applied to all applicants regardless of their national origin, race, or gender.
</t>
  </si>
  <si>
    <t>P-400-23181-157885</t>
  </si>
  <si>
    <t>The employer will make all deductions from the worker’s paycheck required by law. Additional deductions included optional employee housing.  Housing: Optional furnished employee housing with utilities is offered. Cost of housing is $475 per month and paid bi-weekly through payroll deductions. A one-time non-refundable incidental fee of $150 is also required.</t>
  </si>
  <si>
    <t>H-400-23244-316292</t>
  </si>
  <si>
    <t xml:space="preserve">HCT Member LLC </t>
  </si>
  <si>
    <t>Evergreen Lodge at Vail</t>
  </si>
  <si>
    <t>250 South Frontage Rd West</t>
  </si>
  <si>
    <t xml:space="preserve"> Gonzalez</t>
  </si>
  <si>
    <t>Guest Services Manager</t>
  </si>
  <si>
    <t>gabrielg@evergreenvail.com</t>
  </si>
  <si>
    <t>F.a.5 A-H. (cont.)
Work hours: 7AM  3PM or 2PM  10PM. Work may be performed on any day of the week from Monday through Sunday, including holidays.  Days off vary.</t>
  </si>
  <si>
    <t>P-400-23208-220955</t>
  </si>
  <si>
    <t xml:space="preserve">All deductions by law will be made. </t>
  </si>
  <si>
    <t>H-400-23244-316850</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</si>
  <si>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1-month hotel/resort housekeeping experience required
	Rotate/split shifts
	Supplies, work tools and equipment are provided free
	The employer will make all deductions from worker's paycheck required by law
	Must lift/carry 50 lbs., when necessary.  
	Supplies, work tools &amp; equipment are provided free
	No daily transportation to/from work provided.
	No on the job training provided.  
</t>
  </si>
  <si>
    <t>61 Hawks Cay Blvd</t>
  </si>
  <si>
    <t>Duck Key</t>
  </si>
  <si>
    <t>P-400-23137-030538</t>
  </si>
  <si>
    <t>•Employer will deduct any written preapproved deduction requested by employee 
Voluntary/Optional, Third-Party Rent/housing: Provided by a third party company
•Employer will make all deductions from worker's paycheck required by law. 
•Optional &amp; Voluntary 3rd party housing may be available at $150 - $175/ WK &amp; may be voluntarily payroll deducted biweekly
•Waterloo Hospitality could act as guarantor for timely rent payment however, lease is directly with 3rd party service provider &amp; between employees &amp; housing company as Waterloo Hospitality has no housing of its own
•Housing Deposits and/or a $250 nonrefundable administrative fee may be required if you choose the voluntary optional 3rd party housing
•Third party housing provider/landlord may require that the last 8 weeks of rent (covering June 21, 2024 to Aug 16 2024) be prepaid upfront or payroll deducted in installments of $150 per pay period until full payment is achieved. This pre-paid last 8 wks rent is nonrefundable</t>
  </si>
  <si>
    <t>H-400-23207-216414</t>
  </si>
  <si>
    <t>Advanced Guest Room Attendant</t>
  </si>
  <si>
    <t xml:space="preserve">Must have a minimum of 6 months of housekeeping experience. Must be able to lift 30 lbs. Must have ability to push vacuum while cleaning room and pull vacuum for distances of up to 150 feet.
</t>
  </si>
  <si>
    <t>P-400-23113-957747</t>
  </si>
  <si>
    <t>H-400-23240-301134</t>
  </si>
  <si>
    <t>Miller and LaHaye, LLC</t>
  </si>
  <si>
    <t>103 South Street</t>
  </si>
  <si>
    <t>LaHaye</t>
  </si>
  <si>
    <t>Silas</t>
  </si>
  <si>
    <t>Ferrell</t>
  </si>
  <si>
    <t>silaslahaye@gmail.com</t>
  </si>
  <si>
    <t>No on-job training will be provided to worker.</t>
  </si>
  <si>
    <t>Workers may earn above the hourly wage based on performance/experience</t>
  </si>
  <si>
    <t>P-400-23153-074971</t>
  </si>
  <si>
    <t xml:space="preserve">VOLUNTARY, LOW-COST HOUSING IS AVAILABLE FOR WORKERS FOR THE OPTION TO BOARD; $50.00/WEEK IS DEDUCTED FROM WORKERS' PAYCHECKS FOR WORKERS WHO CHOOSE HOUSING; HOUSING IS NOT MANDATORY. EMPLOYER WILL MAKE ALL DEDUCTIONS FROM WORKERS’ PAYCHECK AS REQUIRED BY LAW; DEDUCTIONS EMPLOYER INTENDS TO MAKE FROM PAYCHECK, WHICH ARE NOT REQUIRED BY LAW, IF APPLICABLE, WOULD BE DEDUCTIONS FOR HOUSING, AS DISCUSSED ABOVE, IF EMPLOYEE CHOOSES VOLUNTARY HOUSING OPTION. EMPLOYER MAY ALLOW DEDUCTIONS NOT REQUIRED BY LAW AS LONG AS ADVANCE PERMISSION IS GRANTED BY EMPLOYEE OR EMPLOYER WILL STATE THE SPECIFIC DEDUCTIONS.  </t>
  </si>
  <si>
    <t>H-400-23186-167528</t>
  </si>
  <si>
    <t xml:space="preserve">Gammer </t>
  </si>
  <si>
    <t xml:space="preserve">1 month safety/ppe/sanitation training required
Workers will work 1st OR 2nd Shift
1st Shift starts between 6:00am and 7:00am and lasts until around 3:00 or 4:30pm
2nd Shift starts between 3:00pm and 4:30pm and lasts until around 12:00am or 1:30am. </t>
  </si>
  <si>
    <t>Exact wage rate determined by internal metrics and CBA terms</t>
  </si>
  <si>
    <t>P-400-23124-991952</t>
  </si>
  <si>
    <t>H-400-23304-467434</t>
  </si>
  <si>
    <t>Design Scope LLC</t>
  </si>
  <si>
    <t>22 Mountain Ave.</t>
  </si>
  <si>
    <t xml:space="preserve">Suite C </t>
  </si>
  <si>
    <t>BLOOMFIELD</t>
  </si>
  <si>
    <t>ELEGBEDE</t>
  </si>
  <si>
    <t>suite C</t>
  </si>
  <si>
    <t>contact@designscopellc.com</t>
  </si>
  <si>
    <t xml:space="preserve">Must be detailed oriented and be able to precisely cut, measure, and modify the materials they work with. Must have dexterity to be able to use many different tools. Must also have hand-eye coordination to avoid injuring themselves or damaging materials. The individuals must have interpersonal skills in order to work in a team, cooperating with and assisting others, as well as interacting with customers. Must have physical strength in order to pick up equipment and materials. They must be able to stand, climb, or bend for many hours. Must be a problem solver because their will be lite independent work and will need some modification and making adjustments while onsite to complete the project. Must be able to read and write English to understand and follow instructions. Desire either some training in carpentry or attended schooling in carpentry. </t>
  </si>
  <si>
    <t>P-400-23297-452829</t>
  </si>
  <si>
    <t xml:space="preserve">federal and state taxes </t>
  </si>
  <si>
    <t>www.designscopellc.com</t>
  </si>
  <si>
    <t>H-400-23208-221030</t>
  </si>
  <si>
    <t>Temporary Drywall Installers</t>
  </si>
  <si>
    <t>Tapers</t>
  </si>
  <si>
    <t>America's Workforce Consultants, LLC</t>
  </si>
  <si>
    <t xml:space="preserve">337 Broadway Avenue </t>
  </si>
  <si>
    <t xml:space="preserve">Schriever </t>
  </si>
  <si>
    <t>America</t>
  </si>
  <si>
    <t>337 Broadway Avenue</t>
  </si>
  <si>
    <t>Schriever</t>
  </si>
  <si>
    <t>americawcla@gmail.com</t>
  </si>
  <si>
    <t>Workers must have experience installing drywall in a residential and commercial construction site and working with tools such as screw guns, drills, utility knives, T-square or straightedge, keyhole saws or jigsaw, drywall sandpaper, a drywall lift, and work on stilts.</t>
  </si>
  <si>
    <t>6130 LA-308</t>
  </si>
  <si>
    <t>Lockport,</t>
  </si>
  <si>
    <t>LAFOURCHE</t>
  </si>
  <si>
    <t>P-400-23083-876504</t>
  </si>
  <si>
    <t>All deductions from workers' paychecks required by law will be made.  
The employer will have furnished lodging available for workers with fully equipped kitchens to prepare daily meals. If the worker chooses to reside at lodging offered by the employer, the rent will be 140.00 p/month, including utilities, and will be deducted from the worker's paycheck. For workers who choose not to live at lodging offered by the employer and prefer to live elsewhere, the $140.00 p/month lodging fee will not be deducted from workers' paychecks.</t>
  </si>
  <si>
    <t>H-400-23275-404162</t>
  </si>
  <si>
    <t xml:space="preserve">2000 Sandy Lane </t>
  </si>
  <si>
    <t>Must be able to lift 80 lbs.
Pre-employment criminal background check required, paid by employer and applied equally to all workers, U.S. and foreign/H2B.
Workers are subject to random and project specific post-employment drug testing, paid by employer and applied equally to all workers, U.S. and foreign/H2B.
Applicants must complete an employment application.	
Required uniform provided at no charge to the worker.</t>
  </si>
  <si>
    <t>525 Westland Drive</t>
  </si>
  <si>
    <t>P-400-23165-109210</t>
  </si>
  <si>
    <t>H-400-23262-360237</t>
  </si>
  <si>
    <t xml:space="preserve">Must be able to lift and carry 75lbs of snow for 30 yds. Must be able to handle  temperature extremes. Some weekend work. 
</t>
  </si>
  <si>
    <t>P-400-23223-258057</t>
  </si>
  <si>
    <t>ny advances will be deducted with the consent of the employee. The employer will provide housing as an option to employees living outside the regular commuting distance. Employees who elect to live in the housing will have an additional $150/biweekly deducted Bi-weekly paycheck for rent and utilities. Optional daily transportation will be provided from and to worksite at no cost.</t>
  </si>
  <si>
    <t>H-400-23220-247464</t>
  </si>
  <si>
    <t>FS Vail Employment Inc.</t>
  </si>
  <si>
    <t>Four Seasons Resort and Residences Vail</t>
  </si>
  <si>
    <t>One Vail Road</t>
  </si>
  <si>
    <t>Beauchamp</t>
  </si>
  <si>
    <t>Jess</t>
  </si>
  <si>
    <t>jess.beauchamp@fourseasons.com</t>
  </si>
  <si>
    <t xml:space="preserve">Must have a minimum of one year of housekeeping experience. Must be able to lift 50 lbs.
</t>
  </si>
  <si>
    <t>P-400-23113-957748</t>
  </si>
  <si>
    <t>H-400-23215-235152</t>
  </si>
  <si>
    <t>Server/Locker Room Attendant</t>
  </si>
  <si>
    <t>Hoffmann Old Collier Golf Club, LLC</t>
  </si>
  <si>
    <t>The Old Collier Golf Club</t>
  </si>
  <si>
    <t>790 Main House Drive</t>
  </si>
  <si>
    <t>Nedelchev</t>
  </si>
  <si>
    <t>Ivo</t>
  </si>
  <si>
    <t>Clubhouse Manager</t>
  </si>
  <si>
    <t>INedelchev@theoldcolliergc.com</t>
  </si>
  <si>
    <t xml:space="preserve">The Petitioner will consider for employment any person who possesses at least three (3) months of experience in a fine-dining or high-volume environment at a high-end restaurant, resort, or private club.
Applicant must complete pre-employment background check and drug screening.
</t>
  </si>
  <si>
    <t>Wage: $20.00 - $24.00 per hour, paid bi-weekly.  See job description for additional information.</t>
  </si>
  <si>
    <t>P-400-23164-105693</t>
  </si>
  <si>
    <t xml:space="preserve">Housing is not offered.  
401K plan is offered to employees over 21 years old, after the employee works for one (1) year and at least 1,000 hours (does not have to be consecutive). If voluntarily elected by worker, employee costs/contributions for benefits will be deducted from paycheck.
</t>
  </si>
  <si>
    <t>H-400-23208-221336</t>
  </si>
  <si>
    <t>SNOW REMOVAL TECHNICIAN</t>
  </si>
  <si>
    <t>Yard Masters Snow Removal, Inc.</t>
  </si>
  <si>
    <t>3644 W Pioneer Road</t>
  </si>
  <si>
    <t>WADE</t>
  </si>
  <si>
    <t>BRYCE</t>
  </si>
  <si>
    <t xml:space="preserve">Must be at least 18 years of age. Must lift/carry 50 lbs., when necessary. Saturday and Sunday work required, when necessary. Work hours may include nights and overtime during emergencies and winter storm conditions. Must be able to perform manual, physical labor outside during all weather conditions (hot, cold, rain, snow, etc).
</t>
  </si>
  <si>
    <t xml:space="preserve">Raises/bonuses may be offered at company's discretion based on work performance, skill and tenure. </t>
  </si>
  <si>
    <t>P-400-23171-126310</t>
  </si>
  <si>
    <t>Employer will make all deductions required by law and no others without written consent from worker. The employer does not envision other workforce-wide payroll deductions. Potential elective deductions to be pre-authorized in writing if applicable are as follows: Employer will assist workers in securing board, lodging, or other facilities. Optional housing is available at a rate of $130 per pay period. Rent and utilities may be deducted from paycheck. Employer to provide first set of company hats, t-shirts, sweatshirts, jackets, protective gear, and safety coat free of charge. Option to purchase additional uniform items to be repaid by payroll deduction with employee pre approval.</t>
  </si>
  <si>
    <t>H-400-23184-164173</t>
  </si>
  <si>
    <t>Determination Issued - Certification (Returned)</t>
  </si>
  <si>
    <t>House Manager/Family Assistant</t>
  </si>
  <si>
    <t>Martin J. Brand</t>
  </si>
  <si>
    <t>655 Park Avenue</t>
  </si>
  <si>
    <t>Apt. 9E/10E</t>
  </si>
  <si>
    <t>Brand</t>
  </si>
  <si>
    <t>sonjabe@gmail.com</t>
  </si>
  <si>
    <t>POLLACK</t>
  </si>
  <si>
    <t>Conrad</t>
  </si>
  <si>
    <t>225 Broadway, 3rd Floor</t>
  </si>
  <si>
    <t>cep@ppid.com</t>
  </si>
  <si>
    <t xml:space="preserve">The above one year of experience must be as a House Manager.
</t>
  </si>
  <si>
    <t>P-400-23138-036204</t>
  </si>
  <si>
    <t>Housing (a private room on the employer’s premises) and utilities are provided at no cost to the employee.</t>
  </si>
  <si>
    <t>H-400-23272-393931</t>
  </si>
  <si>
    <t>Foley's Concessions</t>
  </si>
  <si>
    <t>15610 NE 16th Ave.</t>
  </si>
  <si>
    <t>(Mail to: PO Box 1299, 15610 NE 16th Ave., Starke, FL 32091)</t>
  </si>
  <si>
    <t>Starke</t>
  </si>
  <si>
    <t>foleysconcessions@yahoo.com</t>
  </si>
  <si>
    <t>BRADFORD</t>
  </si>
  <si>
    <t>P-400-23221-249914</t>
  </si>
  <si>
    <t>H-400-23185-165947</t>
  </si>
  <si>
    <t>Pork Tenderloin Processor (Puller)</t>
  </si>
  <si>
    <t xml:space="preserve">1 month of safety/ppe/sanitation training 
 </t>
  </si>
  <si>
    <t>P-400-23122-984349</t>
  </si>
  <si>
    <t>H-400-23198-193517</t>
  </si>
  <si>
    <t>STALL RACING LLC</t>
  </si>
  <si>
    <t>1905 W THOMPSON ST D361</t>
  </si>
  <si>
    <t>HAMMOND</t>
  </si>
  <si>
    <t>Stall</t>
  </si>
  <si>
    <t>Albert</t>
  </si>
  <si>
    <t>1905 W Thomas St D361</t>
  </si>
  <si>
    <t>stallracing@hotmail.com</t>
  </si>
  <si>
    <t>FAIR GROUNDS RACE COURSE</t>
  </si>
  <si>
    <t>1751 GENTILLY BLVD</t>
  </si>
  <si>
    <t>P-400-23123-988489</t>
  </si>
  <si>
    <t>State and Federal Taxes, Optional
employer-offered housing in the backstretch at no cost to the worker.</t>
  </si>
  <si>
    <t>H-400-23251-332510</t>
  </si>
  <si>
    <t xml:space="preserve">Garde Manger </t>
  </si>
  <si>
    <t xml:space="preserve">Bullrush Corporation </t>
  </si>
  <si>
    <t>The Foundry at Summit Pond</t>
  </si>
  <si>
    <t>63 Summit Path</t>
  </si>
  <si>
    <t>PO Box 7</t>
  </si>
  <si>
    <t>Cruickshank</t>
  </si>
  <si>
    <t>Talent Acquisition</t>
  </si>
  <si>
    <t>kelseyc@karrgroup.net</t>
  </si>
  <si>
    <t>The Petitioner will consider for employment any applicant who possesses at least twelve (12) months of culinary experience in a fine-dining or high-volume environment at a high-end restaurant, resort, or private club required. 
Schedule: 40 hours per week. Work schedule can vary and can include evening, weekend, and holiday hours. Work may be performed on any day of the week from Monday through Sunday.
Example shifts: 1:00pm - 9:00pm and 2:00pm - 10:00pm</t>
  </si>
  <si>
    <t xml:space="preserve">Wage: $17.60 - $19.00 per hour, paid bi-weekly.  Overtime is available at $26.40 - $28.50 per hour.  </t>
  </si>
  <si>
    <t>P-400-23177-144984</t>
  </si>
  <si>
    <t xml:space="preserve">Optional housing is offered on a first-come, first-serve basis for workers who are relocating to begin employment.  Cost of housing, if accepted, is $750.00 per month.  If used, total cost of housing will be deducted from paycheck.  The first two weeks’ rent plus a $375.00 refundable security deposit is required, to be paid directly to employer upon acceptance of housing.  Housing deposit will be refunded at employer’s sole discretion based upon the condition of the unit at move-out. </t>
  </si>
  <si>
    <t>H-400-23234-286410</t>
  </si>
  <si>
    <t xml:space="preserve">OTR TRUCK DRIVER </t>
  </si>
  <si>
    <t>JJ&amp; C Trucking LLC</t>
  </si>
  <si>
    <t>510 Grandview St</t>
  </si>
  <si>
    <t>MIddlesex</t>
  </si>
  <si>
    <t>Kant</t>
  </si>
  <si>
    <t>Josephine</t>
  </si>
  <si>
    <t>Caballar</t>
  </si>
  <si>
    <t xml:space="preserve">Administrative Assistant </t>
  </si>
  <si>
    <t>109 Daytona Avenue</t>
  </si>
  <si>
    <t>jckant@gmail.com</t>
  </si>
  <si>
    <t xml:space="preserve">Class A Commercial Drivers License. 
</t>
  </si>
  <si>
    <t>510 GRANDVIEW ST</t>
  </si>
  <si>
    <t xml:space="preserve">Subsidized housing for a year </t>
  </si>
  <si>
    <t>P-400-23233-283002</t>
  </si>
  <si>
    <t xml:space="preserve">Airfare from country of origin to the United States. 
Visa processing    $460 </t>
  </si>
  <si>
    <t>JJCABALLAR@YAHOO.COM</t>
  </si>
  <si>
    <t>jjcaballar@yahoo.com</t>
  </si>
  <si>
    <t>H-400-23200-198789</t>
  </si>
  <si>
    <t xml:space="preserve">Drug testing required upon suspicion during employment.
</t>
  </si>
  <si>
    <t>P-400-23163-098765</t>
  </si>
  <si>
    <t>H-400-23186-168513</t>
  </si>
  <si>
    <t>MITSOS LLC</t>
  </si>
  <si>
    <t>KRASI</t>
  </si>
  <si>
    <t>48 Gloucester Street</t>
  </si>
  <si>
    <t>Tsolakis</t>
  </si>
  <si>
    <t>Demetri</t>
  </si>
  <si>
    <t>Owner-General Manager</t>
  </si>
  <si>
    <t>322 Commonwealth Ave 3R</t>
  </si>
  <si>
    <t>dtsolakis@hotmail.com</t>
  </si>
  <si>
    <t>POWERS</t>
  </si>
  <si>
    <t>73 Chestnut Street</t>
  </si>
  <si>
    <t>wjpowers4@verizon.net</t>
  </si>
  <si>
    <t>William J. Powers Esq.</t>
  </si>
  <si>
    <t>MA SJC</t>
  </si>
  <si>
    <t xml:space="preserve">KNOWLEDGE AND HISTORY OF GREEK REGIONAL COOKING IN THESSALY, EPIRUS, MACEDONIA, THACE, STEREA, PELOPONNACE.
</t>
  </si>
  <si>
    <t>48 GLOUCESTER STREET</t>
  </si>
  <si>
    <t>P-400-23120-978332</t>
  </si>
  <si>
    <t>hello@Krasiboston.com</t>
  </si>
  <si>
    <t>Powers</t>
  </si>
  <si>
    <t>William J Powers, Esq.</t>
  </si>
  <si>
    <t>H-400-23272-396743</t>
  </si>
  <si>
    <t>Handy Andy Snow Removal</t>
  </si>
  <si>
    <t>140 G.H. Daniels Blvd</t>
  </si>
  <si>
    <t>kristen@thelandscapecenter.com</t>
  </si>
  <si>
    <t>Pooley</t>
  </si>
  <si>
    <t>P.O. Box 5130 (mailing address)</t>
  </si>
  <si>
    <t>0030 Benchmark Rd. Suite 201 (physical address)</t>
  </si>
  <si>
    <t>cpooley2009@gmail.com</t>
  </si>
  <si>
    <t>Law Office of Chris Pooley</t>
  </si>
  <si>
    <t>P-400-23200-202015</t>
  </si>
  <si>
    <t>Any applicable State, federal and local withholding.  Any employer-housing is not deducted from pay.</t>
  </si>
  <si>
    <t>Law Office of Chris Pooley, Esq.</t>
  </si>
  <si>
    <t>H-400-23243-314260</t>
  </si>
  <si>
    <t>1033 Woodland Drive (Report to Work)</t>
  </si>
  <si>
    <t>P-400-23199-198118</t>
  </si>
  <si>
    <t>H-400-23215-235835</t>
  </si>
  <si>
    <t xml:space="preserve">The Petitioner will consider for employment any person who possesses at least six (6) months of service experience in a fine-dining, high-volume environment at a high-end restaurant, resort, or private club. Applicant must complete pre-employment background check and drug screening.
</t>
  </si>
  <si>
    <t>Tipped position with guaranteed wage of $14.20 per hour, paid bi-weekly.  See job description.</t>
  </si>
  <si>
    <t>P-400-23124-993126</t>
  </si>
  <si>
    <t>H-400-23225-260347</t>
  </si>
  <si>
    <t>Requirements:  Six (6) months of housekeeping experience at a high-end hotel, resort, or private club required. On-the-job training is provided.    Applicant must complete Pre-employment Background Check.
Work schedule can vary and can include evening, weekend, and holiday hours.  Work may be performed on any day of the week from Monday through Sunday.  Example shifts: 7:30am to 4:00pm, 8:30am to 5:00pm, 9:00am to 5:30pm, 2:30pm to 11pm. Shift hours may vary.</t>
  </si>
  <si>
    <t>Employees are eligible to participate in a recognition program and may receive additional compensation, if recognized.
Additional, optional benefits may be offered to worker, for worker’s sole benefit, including but not limited to medical, dental and vision insurance, short-term disability, long-term disability, and life insurance. If voluntarily elected by worker, employee costs/contributions for benefits will be deducted from paycheck.</t>
  </si>
  <si>
    <t>P-400-23184-165347</t>
  </si>
  <si>
    <t>H-400-23187-171619</t>
  </si>
  <si>
    <t>ARTBOX LOGISTICS INTERNATIONAL CORP</t>
  </si>
  <si>
    <t>7219 NW 43RD ST</t>
  </si>
  <si>
    <t>+1 (754) 878-29</t>
  </si>
  <si>
    <t>+754 878 2921</t>
  </si>
  <si>
    <t>carolinewrightve@gmail.com</t>
  </si>
  <si>
    <t>Bustillos</t>
  </si>
  <si>
    <t>Diego</t>
  </si>
  <si>
    <t>PO Box 941529</t>
  </si>
  <si>
    <t>281 503 1455</t>
  </si>
  <si>
    <t>diego@bbalawgroup.com</t>
  </si>
  <si>
    <t>Bustillos, Bello and Associates PLLC</t>
  </si>
  <si>
    <t>New York Supreme Court</t>
  </si>
  <si>
    <t>The truck driver will drive with a Class A CDL license which authorizes him/her to drive any combination of vehicles with a gross combination weight rating of 26,001 pounds or more if the gross vehicle weight rating of the towed vehicle(s) exceeds 10,000 pounds. Class A CDL: Authorizes an individual to drive any combination of vehicles with a Gross Combined weight rating of 26,001 pounds or more if the Gross Vehicle Weight Rating of the vehicle(s) towed exceeds 10,000 pounds.</t>
  </si>
  <si>
    <t>Miami - Fort Lauderdale - West Palm Beach, FL</t>
  </si>
  <si>
    <t>P-400-22348-640878</t>
  </si>
  <si>
    <t>Bustillos, Bello &amp; Associates PLLC</t>
  </si>
  <si>
    <t>H-400-23199-198064</t>
  </si>
  <si>
    <t>HOLIDAY LIGHTING</t>
  </si>
  <si>
    <t>LEI Illuminations LLC</t>
  </si>
  <si>
    <t>11427 Todd</t>
  </si>
  <si>
    <t>Kami</t>
  </si>
  <si>
    <t>11427 Todd St</t>
  </si>
  <si>
    <t>kevin@KJPARTNERS.LAW</t>
  </si>
  <si>
    <t xml:space="preserve">Houston </t>
  </si>
  <si>
    <t>P-400-23152-071489</t>
  </si>
  <si>
    <t>As required by state and federal law.  Assistance finding board &amp; lodging is available, if needed, at no additional charge to the worker.</t>
  </si>
  <si>
    <t>www.workintexas.gov</t>
  </si>
  <si>
    <t>H-400-23235-288178</t>
  </si>
  <si>
    <t xml:space="preserve">The Petitioner will consider for employment any person who possesses at least three (3) months experience in a fine-dining or high-volume environment at a high-end restaurant, resort, or private club.
Applicant must complete pre-employment background check.
</t>
  </si>
  <si>
    <t>Wage: $15.00 - $17.00 per hour, paid bi-weekly.  See job description for additional information.</t>
  </si>
  <si>
    <t>P-400-23178-146066</t>
  </si>
  <si>
    <t>H-400-23193-184017</t>
  </si>
  <si>
    <t>CAPTAIN</t>
  </si>
  <si>
    <t xml:space="preserve">Mariner Sands Country Club </t>
  </si>
  <si>
    <t>6500 SE Mariner Sands Dr</t>
  </si>
  <si>
    <t>WINK</t>
  </si>
  <si>
    <t>KIMBERELY</t>
  </si>
  <si>
    <t>P-400-23156-079256</t>
  </si>
  <si>
    <t>HOUSING OPTIONAL AND AVAILABLE FOR $170/WK WITH A $300 REFUNDABLE DEPOSIT AND A $50NON-REFUNDABLE DEPOSIT</t>
  </si>
  <si>
    <t>kwink@marinersands.com</t>
  </si>
  <si>
    <t>H-400-23187-169635</t>
  </si>
  <si>
    <t>Concrete Laborer - Residential</t>
  </si>
  <si>
    <t>Armando Anguiano</t>
  </si>
  <si>
    <t>Anguiano Construction</t>
  </si>
  <si>
    <t>207 E. Coffey Avenue</t>
  </si>
  <si>
    <t>PO Box 162</t>
  </si>
  <si>
    <t>Ulysses</t>
  </si>
  <si>
    <t>Anguiano</t>
  </si>
  <si>
    <t>Manager/Owner</t>
  </si>
  <si>
    <t>anguianoconstruction@yahoo.com</t>
  </si>
  <si>
    <t>P-400-23151-064826</t>
  </si>
  <si>
    <t>H-400-23215-236158</t>
  </si>
  <si>
    <t>Hardscapes Plant Nursery, LLC</t>
  </si>
  <si>
    <t>1645 Mooresville Rd.</t>
  </si>
  <si>
    <t>Athens</t>
  </si>
  <si>
    <t>19645 Mooresville Rd.</t>
  </si>
  <si>
    <t>ejaimes3091@gmail.com</t>
  </si>
  <si>
    <t>MCKAY</t>
  </si>
  <si>
    <t>3007 COUNTY ROUTE 20</t>
  </si>
  <si>
    <t>info@h2expressinc.cm</t>
  </si>
  <si>
    <t>H2 Express, Inc</t>
  </si>
  <si>
    <t>1645 Mooresville Rd</t>
  </si>
  <si>
    <t>P-400-23140-040048</t>
  </si>
  <si>
    <t>H-400-23187-171818</t>
  </si>
  <si>
    <t>Light Truck Driver</t>
  </si>
  <si>
    <t>BLAZAR SOLUTIONS LLC</t>
  </si>
  <si>
    <t>433 N LOOP W</t>
  </si>
  <si>
    <t>+ 1 (754) 273-8</t>
  </si>
  <si>
    <t>+754 2738374</t>
  </si>
  <si>
    <t>pedro.blanco@agleon.com</t>
  </si>
  <si>
    <t>The driver must have a valid and current Class A Commercial Driver's License (CDL). The driver must also drive a tractor-trailer combination or a truck with a gross vehicle weight capacity of at least 26,001 pounds.
Class A CDL: Authorizes an individual to drive any combination of vehicles with a Gross Combined weight rating of 26,001 pounds or more if the Gross Vehicle Weight Rating of the vehicle(s) towed exceeds 10,000 pounds.</t>
  </si>
  <si>
    <t>P-400-23027-733708</t>
  </si>
  <si>
    <t>H-400-23212-225058</t>
  </si>
  <si>
    <t>Round Meadow Farm, LLC</t>
  </si>
  <si>
    <t>190 Park Lane</t>
  </si>
  <si>
    <t>Atherton</t>
  </si>
  <si>
    <t>Munkdale</t>
  </si>
  <si>
    <t>Margrethe</t>
  </si>
  <si>
    <t>4104 24th Street</t>
  </si>
  <si>
    <t>Unit 701</t>
  </si>
  <si>
    <t>pmmunk314@yahoo.com</t>
  </si>
  <si>
    <t>California State Supreme Court</t>
  </si>
  <si>
    <t>P-400-23160-095409</t>
  </si>
  <si>
    <t xml:space="preserve"> The employer will pay for any and all travel and housing costs during the entirety of any trips to and from the shows outside of the primary worksite.</t>
  </si>
  <si>
    <t>H-400-23212-227526</t>
  </si>
  <si>
    <t>Falcon Forestry Inc.</t>
  </si>
  <si>
    <t>930 Shafer Lane</t>
  </si>
  <si>
    <t>De Jesus Bravo</t>
  </si>
  <si>
    <t>Falconforestry@gmail.com</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</si>
  <si>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Outdoors, exposed to weather; must be capable of doing physically strenuous labor for long hours, occasionally in extreme heat or cold. Variable weather conditions apply; hours may fluctuate (+/-), possible downtime and/or OT.
</t>
  </si>
  <si>
    <t>930 Shafer Lane (Report to Work)</t>
  </si>
  <si>
    <t xml:space="preserve">H&amp;W Benefits may apply. Optional Housing available at no cost. Wage may vary. Based on Experience and/or location. </t>
  </si>
  <si>
    <t>P-400-23111-956894</t>
  </si>
  <si>
    <t>falconforestry@gmail.com</t>
  </si>
  <si>
    <t>H-400-23215-237119</t>
  </si>
  <si>
    <t>Casetta Management, LLC</t>
  </si>
  <si>
    <t>Marina Riviera</t>
  </si>
  <si>
    <t>1820 Hyperion Avenue</t>
  </si>
  <si>
    <t>Armbruster</t>
  </si>
  <si>
    <t>jennifer@casetta.com</t>
  </si>
  <si>
    <t xml:space="preserve">The Petitioner will consider for employment any person who possesses at least three (3) months of experience at a high-end hotel, resort, or private club. Applicant must complete pre-employment background check.  
</t>
  </si>
  <si>
    <t>40770 Big Bear Boulevard</t>
  </si>
  <si>
    <t>Big Bear Lake</t>
  </si>
  <si>
    <t>Wage: $18.00 per hour, paid bi-weekly. Overtime is available at $27.00 per hour. See job description for details.</t>
  </si>
  <si>
    <t>P-400-23173-135533</t>
  </si>
  <si>
    <t xml:space="preserve">Optional housing is offered on a first-come, first-serve basis for workers who are relocating to begin employment.  Cost of housing, if accepted, is up to $750.00-$850.00 per month.  If used, total cost of housing will be deducted from paycheck or paid directly to employer by employee.
All deductions from paycheck required by law will be made.  
</t>
  </si>
  <si>
    <t>H-400-23219-243269</t>
  </si>
  <si>
    <t>Preparation Cook, Restaurant</t>
  </si>
  <si>
    <t xml:space="preserve">Breaux's Super Check, Inc. </t>
  </si>
  <si>
    <t>Dwight's Restaurant</t>
  </si>
  <si>
    <t>4800 Johnston St.</t>
  </si>
  <si>
    <t>Breaux</t>
  </si>
  <si>
    <t>President-Owner</t>
  </si>
  <si>
    <t>4800 Johnston St</t>
  </si>
  <si>
    <t>dwight@dwights.us</t>
  </si>
  <si>
    <t>P-400-23163-101173</t>
  </si>
  <si>
    <t>Employer will make all deductions from the worker’s paycheck required by law.  The employer will provide no assistance in finding or securing housing.</t>
  </si>
  <si>
    <t>H-400-23276-406501</t>
  </si>
  <si>
    <t>W &amp; R Country Fair Cinnamon Rolls</t>
  </si>
  <si>
    <t>42411 Windy Gap Drive</t>
  </si>
  <si>
    <t>madausrk@yahoo.com</t>
  </si>
  <si>
    <t>42411 Windy Gap Dr.</t>
  </si>
  <si>
    <t>P-400-23195-189956</t>
  </si>
  <si>
    <t>H-400-23243-314209</t>
  </si>
  <si>
    <t>Helpers for Installation Workers</t>
  </si>
  <si>
    <t>441 West Main Street  (Report to Work)</t>
  </si>
  <si>
    <t>STANLY</t>
  </si>
  <si>
    <t>P-400-23199-198074</t>
  </si>
  <si>
    <t>H-400-23186-168587</t>
  </si>
  <si>
    <t>Laborer - Materials Mover</t>
  </si>
  <si>
    <t xml:space="preserve">Ability to operate mechanized equipment and driving vehicles such as wheel loaders, trucks, excavators, and bulldozers to load, unload, mix, and move landscape materials and associated products.  Must be able to understand oral instructions and requests given in English, as well as understand written English instructions.
</t>
  </si>
  <si>
    <t>6400 SW 101st Avenue, Ste. X4</t>
  </si>
  <si>
    <t>P-400-23112-957556</t>
  </si>
  <si>
    <t>H-400-23236-291169</t>
  </si>
  <si>
    <t>LANDSCAPE SOLUTIONS, INC.</t>
  </si>
  <si>
    <t>3955 West 700 South</t>
  </si>
  <si>
    <t>Harper</t>
  </si>
  <si>
    <t>info@letstalkdirt.com</t>
  </si>
  <si>
    <t>Raises and/or bonuses may be offered to any worker in the specified occupation, at the company's discretion.</t>
  </si>
  <si>
    <t>P-400-23168-121886</t>
  </si>
  <si>
    <t>AT EMPLOYEES' REQUEST AND EMPLOYER'S DISCRETION, EMPLOYER MAY PROVIDE EMPLOYEES WITH AN INTEREST-FREE LOAN OR CASH ADVANCE PRIOR TO THE COMMENCEMENT OF THE WORK PERIOD OR DURING THE WORK PERIOD. IN THIS EVENT, THE EMPLOYER MAY, WITH WRITTEN CONSENT AND BY REQUEST OF THE EMPLOYEE, SUBTRACT AN AMOUNT FROM THE EMPLOYEE'S PAYCHECK CONSISTENT WITH BOTH PARTIES' AGREED TERMS OF REPAYMENT FOR THE LOAN OR CASH ADVANCE. 
PLEASE NOTE, RAISES AND/OR BONUSES MAY BE OFFERED TO ANY WORKER IN THE SPECIFIED OCCUPATION, AT THE COMPANY'S SOLE DISCRETION, BASED ON INDIVIDUAL FACTORS INCLUDING WORK PERFORMANCE, SKILL AND TENURE.</t>
  </si>
  <si>
    <t>H-400-23331-523648</t>
  </si>
  <si>
    <t>Skilled Mason</t>
  </si>
  <si>
    <t>Vogel House and Building Movers, LLC</t>
  </si>
  <si>
    <t>Coastal Foundations</t>
  </si>
  <si>
    <t>105 Forest View Drive</t>
  </si>
  <si>
    <t>Havelock</t>
  </si>
  <si>
    <t>Murphy</t>
  </si>
  <si>
    <t>Robynlynn</t>
  </si>
  <si>
    <t>robyn@coastalfoundationsllc.com</t>
  </si>
  <si>
    <t xml:space="preserve">Skill set expected to lay block with mortar mix. </t>
  </si>
  <si>
    <t>28 Park Lane</t>
  </si>
  <si>
    <t>P-400-23226-262733</t>
  </si>
  <si>
    <t>robyn.coastalfoundations@gmail.com</t>
  </si>
  <si>
    <t>Vogel House &amp; Building Movers, LLC dba Coastal Foundations</t>
  </si>
  <si>
    <t>office.coastalfoundations@gmail.com</t>
  </si>
  <si>
    <t>VP of Finance</t>
  </si>
  <si>
    <t>chmoreno@bal.com</t>
  </si>
  <si>
    <t>H-400-23332-526823</t>
  </si>
  <si>
    <t>Simpson Garden Design, LLC</t>
  </si>
  <si>
    <t>8083 Cadys Woods Drive</t>
  </si>
  <si>
    <t>Hanover</t>
  </si>
  <si>
    <t>8083 CADYS WOODS LANE</t>
  </si>
  <si>
    <t>SIMPSONGARDENDESIGN@GMAIL.COM</t>
  </si>
  <si>
    <t>Must be able to lift/carry 50 lbs and work in both bending and standing positions for extended periods and in all types of weather.  Upon offer of emp. &amp; prior to orientation, all hires both U.S. and H-2B must submit to/pass employer-paid Drug &amp; Alcohol testing.</t>
  </si>
  <si>
    <t xml:space="preserve"> 8083 Caddys Woods Dr</t>
  </si>
  <si>
    <t>P-400-23205-210370</t>
  </si>
  <si>
    <t>only those required by law</t>
  </si>
  <si>
    <t>simpsongardendesign@gmail.com</t>
  </si>
  <si>
    <t>Forestall Company, Inc.</t>
  </si>
  <si>
    <t>2539 John Hawkins Parkway</t>
  </si>
  <si>
    <t>Suite 101179</t>
  </si>
  <si>
    <t>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</si>
  <si>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560 County Road 80 (Report to Work)</t>
  </si>
  <si>
    <t>ApplyatForestall@gmail.com</t>
  </si>
  <si>
    <t>H-400-23335-537052</t>
  </si>
  <si>
    <t>Landscaping Field Workers</t>
  </si>
  <si>
    <t>New Image Landscapes, LLC (NWI124A)</t>
  </si>
  <si>
    <t>Clipper Landscape, LLC</t>
  </si>
  <si>
    <t>117 Industial Dr.</t>
  </si>
  <si>
    <t>Mashpee</t>
  </si>
  <si>
    <t>Szarlan</t>
  </si>
  <si>
    <t>carolyn@clipperlandscape.com</t>
  </si>
  <si>
    <t xml:space="preserve">Must be able to tolerate extreme temperatures, loud noises; lift heavy equipment up to 50 lbs. and exhibit stamina.  Operate equipment while sober.  Post-employment employer-paid drug test may be administered. Punctuality.
Work days: M-F. Saturday is optional based on need. 
Hours per week: 50 hours
Work Schedule: 7-5pm, schedule may vary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optional housing is available. No family housing.
Deductions: Optional housing provided at market rate for low-income housing.
</t>
  </si>
  <si>
    <t>P-400-23264-366983</t>
  </si>
  <si>
    <t>Optional housing provided at market rate for low-income housing.</t>
  </si>
  <si>
    <t>https://jobquest.dcs.eol.mass.gov/jobquest/Employers/</t>
  </si>
  <si>
    <t>H-400-23336-539052</t>
  </si>
  <si>
    <t>CONTEMPORARY STONESCAPES LTD</t>
  </si>
  <si>
    <t>8 JULIET LANE</t>
  </si>
  <si>
    <t>NORTHPORT</t>
  </si>
  <si>
    <t>KESHET</t>
  </si>
  <si>
    <t>AVI</t>
  </si>
  <si>
    <t>1 MONTH EXPERIENCE AS GENERAL LABORER.</t>
  </si>
  <si>
    <t>P-400-23206-211882</t>
  </si>
  <si>
    <t>STONESCAPES@OPTONLINE.NET</t>
  </si>
  <si>
    <t>H-400-23325-516013</t>
  </si>
  <si>
    <t>Yellowstone Landscape - Southeast, LLC_Atlanta</t>
  </si>
  <si>
    <t>4806 Wright Drive, Suite B</t>
  </si>
  <si>
    <t>P-400-23236-293004</t>
  </si>
  <si>
    <t>Ethington</t>
  </si>
  <si>
    <t>landscapepro20@gmail.com</t>
  </si>
  <si>
    <t>H-400-23336-539660</t>
  </si>
  <si>
    <t>Lead Landscaper</t>
  </si>
  <si>
    <t>Perficut Companies, Inc. - Des Moines</t>
  </si>
  <si>
    <t>6550 NE 14th St.</t>
  </si>
  <si>
    <t xml:space="preserve">Requires three months of previous landscape experience. Must lift/carry 50 lbs., when necessary. Saturday and Sunday work required, when necessary. Employer-paid drug testing required of foreign and domestic workers prior to commencing work and post-hire upon suspicion of use and post-accident. Must possess or be able to obtain U.S. driver's license within 30 days of hire. Employer may offer more than the stated work hours depending on weather, business needs, and other conditions. Extreme heat, cold, rain, or drought may affect exact working hours.
</t>
  </si>
  <si>
    <t>6550 NE 14th St.,</t>
  </si>
  <si>
    <t>P-400-23202-205928</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</si>
  <si>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   Employer may deduct retirement/savings plan contributions and/or health insurance premiums for workers voluntarily participating in plan(s). Employer provides incidental transportation between worksites as necessary.</t>
  </si>
  <si>
    <t>H-400-23208-219479</t>
  </si>
  <si>
    <t>VETERINARIAN ASSISTANT</t>
  </si>
  <si>
    <t>Veterinary Assistants and Laboratory Animal Caretakers</t>
  </si>
  <si>
    <t>Steinbeck Country Equine Clinic, Inc.</t>
  </si>
  <si>
    <t>15881 Toro Hills Avenue</t>
  </si>
  <si>
    <t>EASTMAN</t>
  </si>
  <si>
    <t>ALEXANDRA</t>
  </si>
  <si>
    <t>15881 TORO HILLS AVENUE</t>
  </si>
  <si>
    <t>3303 HARRIS AVE</t>
  </si>
  <si>
    <t>15881 Toto Hills Avenue</t>
  </si>
  <si>
    <t>MONTEREY</t>
  </si>
  <si>
    <t>Salinas, CA</t>
  </si>
  <si>
    <t>shared housing available to only seasonal full time employees at fee of $30/wk</t>
  </si>
  <si>
    <t>P-400-23146-056858</t>
  </si>
  <si>
    <t>no deduction not required by law will be made that brings the workers hourly earnings below the FLSA minimum wage;&amp;,shared housing available to only seasonal full time employees at fee of $30/wk.Employer will make the following deductions from the worker's wages:all deductions required by law, optional rent fee (their choice), and any other reasonable deductions expressly authorized by the worker in writing</t>
  </si>
  <si>
    <t>http://www.caljobs.ca.gov</t>
  </si>
  <si>
    <t>Landscape laborers</t>
  </si>
  <si>
    <t>H-400-23307-475812</t>
  </si>
  <si>
    <t>EMSI, Inc.</t>
  </si>
  <si>
    <t>Environmental Management, Inc.</t>
  </si>
  <si>
    <t>8220 Industrial Pkwy</t>
  </si>
  <si>
    <t>Groman</t>
  </si>
  <si>
    <t>Associate Director of Employee Services</t>
  </si>
  <si>
    <t>agroman@landscapepros.com</t>
  </si>
  <si>
    <t>Must be able to lift 50 lbs.
Must be able to work a 5-day schedule, including weekends and holidays as necessary.
Post-employment and post-injury/incident drug testing required, cost paid by employer and applied equally to all workers, U.S. and foreign/H-2B.
Applicant must complete an employment application.
Required uniform provided at no charge to the worker.</t>
  </si>
  <si>
    <t>P-400-23180-154603</t>
  </si>
  <si>
    <t>Optional employee shared housing, including utilities, available at approximately $150-$250 per person per week, deducted from paycheck if worker elects. Employer will deduct for the reasonable fair market value cost of rent and utilities based on the number of occupants for workers who elect to live in employer-arranged housing. Deduction amount will vary depending on the number of occupants in the apartment.
Optional medical, dental, and vision insurance benefits available, ranging from $2-$49 per week depending on plan(s) selected. Cost of insurance deducted from paycheck if worker elects. 
Optional work boots and additional uniform pieces available to purchase through employer, cost deducted from paycheck if worker elects.</t>
  </si>
  <si>
    <t>Machine Feeders and Offbearers</t>
  </si>
  <si>
    <t>H-400-23300-461666</t>
  </si>
  <si>
    <t>SPA ATTENDANT</t>
  </si>
  <si>
    <t xml:space="preserve">Must have at least two (2) months of prior full-time service experience in a luxury hospitality setting. Experience must be verifiable. Must pass a pre-hire background check, carried out equally between U.S. workers and H-2B workers. Must be available to work split-shifts, nights, weekends &amp; holidays as needed. Must be able to lift, pull, push or carry up to 25 lbs or more, and walk or stand for long periods of time. Must maintain a professional appearance and be able to articulate in English. Must have excellent communication skills. Must be detailed/people-oriented and focused on genuine customer service. Must have the ability to multi-task and prioritize effectively. 
</t>
  </si>
  <si>
    <t>P-400-23300-459943</t>
  </si>
  <si>
    <t>H-400-23296-449582</t>
  </si>
  <si>
    <t>A Macchia Snow Removal Inc.</t>
  </si>
  <si>
    <t>160 South Central Ave.</t>
  </si>
  <si>
    <t>8 White Farm Road</t>
  </si>
  <si>
    <t>amacchiasnowremoval@gmail.com</t>
  </si>
  <si>
    <t xml:space="preserve">Supreme Court of NJ </t>
  </si>
  <si>
    <t>160 South Central Ave</t>
  </si>
  <si>
    <t>P-400-23174-139902</t>
  </si>
  <si>
    <t>SONOMA</t>
  </si>
  <si>
    <t>Santa Rosa, CA</t>
  </si>
  <si>
    <t>H-400-23307-476143</t>
  </si>
  <si>
    <t xml:space="preserve">Lawrence &amp; Companies, LLC. </t>
  </si>
  <si>
    <t>Providence Landscape Group</t>
  </si>
  <si>
    <t>4901 Brookshire Blvd.</t>
  </si>
  <si>
    <t>Gaddy</t>
  </si>
  <si>
    <t>tom.gaddy@plgnc.com</t>
  </si>
  <si>
    <t xml:space="preserve">Lift/carry up to 50 lbs. Lift, move and maneuver up to 50 pounds on a frequent basis, and up to 100 pounds on an infrequent basis. Work in extreme weather conditions, heat, cold, dry or rain; exposure to all kinds of weather while completing work assignments, i.e., rain, heat, sun, cold.
Employer paid drug test is Post Accident, Pre- Employment (new hires only), Upon Suspicion (Post Employment) Employer paid post hire criminal background check required. 
</t>
  </si>
  <si>
    <t>4901 Brookshire Blvd</t>
  </si>
  <si>
    <t>P-400-23166-115620</t>
  </si>
  <si>
    <t>Character limit: Shared housing available to only seasonal full-time employees, not offered to non-employees. Employees may make their own arrangements at their own expense. If they opt to live in employer provided housing rent (utilities included) charged at $200.00/week. Employee acknowledges that the Company will pay for certain living expenses (rent, lease payments, etc.) associated with the job duties of the employee. The Company pays these items in order for the employee to perform their job duties in advancement of the Company’s objectives.  It is the employee’s responsibility to know and comply with all rules and regulations for the leased property. The employee is responsible to notify the Company of any changes in the lease or rental amounts. The company shall not be liable for any fines or penalties incurred. The Company does not carry insurance, either property or liability, for the property or the personal belongings of the employee.  Should the employee leave the Co</t>
  </si>
  <si>
    <t>plginfo@plgnc.com</t>
  </si>
  <si>
    <t>https://plginfo@plgnc.com</t>
  </si>
  <si>
    <t>a.kruisman@mdlandscapinginc.com</t>
  </si>
  <si>
    <t>H-400-23276-406106</t>
  </si>
  <si>
    <t>P-400-23226-260547</t>
  </si>
  <si>
    <t>The employer will make all deductions from the employee's paycheck required by law.  Optional dormitory-style shared lodging is available to workers for which there is no cost or paycheck deduction to the workers. Food will be provided.</t>
  </si>
  <si>
    <t>H-400-23277-408642</t>
  </si>
  <si>
    <t>CHULA VISTA, INC.</t>
  </si>
  <si>
    <t>CHULA VISTA RESORT</t>
  </si>
  <si>
    <t>2501 RIVER ROAD</t>
  </si>
  <si>
    <t>Kaminski</t>
  </si>
  <si>
    <t>jeffk@chulavistaresort.com</t>
  </si>
  <si>
    <t xml:space="preserve">No previous experience required. Must complete American Red Cross Lifeguard course including all skills assessments and written exams. Chula Vista will pay for, organize, and scheduled lifeguard course(s) after initial department training. Chula Vista screens all applicants through a pre-employment criminal background checks, including all domestic and H-2B visa employees. This includes seasonal and full-time annual positions. These standards are applied to all applicants regardless of their national origin, race, or gender. We are also a Drug &amp; Alcohol Free employer. We do not require a pre-employment drug test, however we have a reasonable suspicion drug testing policy should we have any suspicion of on the job drug or alcohol use.
</t>
  </si>
  <si>
    <t>2501 River Road</t>
  </si>
  <si>
    <t>P-400-23173-136139</t>
  </si>
  <si>
    <t xml:space="preserve">The employer will make all deductions from the worker's paycheck required by law. 
Chula Vista does not provide housing, however, workers looking for convenient housing will be provided with information for a complex adjacent and within walking distance of the resort at 2600 River Road, Wisconsin Dells, WI 53965. This housing option is not required or mandatory and workers can elect to seek other accommodations if they wish. Workers will make their housing payments to the housing complex as per their agreed upon lease agreement. </t>
  </si>
  <si>
    <t>karenr@chulavistaresort.com</t>
  </si>
  <si>
    <t>SAN JOAQUIN</t>
  </si>
  <si>
    <t>Stockton-Lodi, CA</t>
  </si>
  <si>
    <t>H-400-23338-541901</t>
  </si>
  <si>
    <t xml:space="preserve">Fashion Designer/Tailor </t>
  </si>
  <si>
    <t>Tailors, Dressmakers, and Custom Sewers</t>
  </si>
  <si>
    <t>Monitor Formalwear</t>
  </si>
  <si>
    <t>1422 W Wilson Ave</t>
  </si>
  <si>
    <t>Rayan</t>
  </si>
  <si>
    <t>monitorformalwear@yahoo.com</t>
  </si>
  <si>
    <t>161 N Clark Street</t>
  </si>
  <si>
    <t>christina.w.abraham@gmail.com</t>
  </si>
  <si>
    <t xml:space="preserve">Abraham Law &amp; Consulting </t>
  </si>
  <si>
    <t>Northern District of Illinois</t>
  </si>
  <si>
    <t xml:space="preserve">Two years of full-time customer service work experience,  proven sewing and fitting experience, in-depth knowledge of alterations and tailoring, in-depth knowledge of various fabrics, fluent in both English and Spanish. </t>
  </si>
  <si>
    <t>P-400-23282-418481</t>
  </si>
  <si>
    <t>http://www.monitor-formalwear.com/</t>
  </si>
  <si>
    <t>Myrill</t>
  </si>
  <si>
    <t>Sophie</t>
  </si>
  <si>
    <t>Abraham Law &amp; Consulting</t>
  </si>
  <si>
    <t>sophie.abrahamlaw@gmail.com</t>
  </si>
  <si>
    <t>Julian</t>
  </si>
  <si>
    <t>H-400-23318-499999</t>
  </si>
  <si>
    <t>Focal Pointe of the Ozarks LLC</t>
  </si>
  <si>
    <t>1921 Ravinia Drive</t>
  </si>
  <si>
    <t>1235 E Cherokee St</t>
  </si>
  <si>
    <t>P-400-23268-378119</t>
  </si>
  <si>
    <t>Oakland</t>
  </si>
  <si>
    <t>GARRETT</t>
  </si>
  <si>
    <t>Ellisville</t>
  </si>
  <si>
    <t>Pacific</t>
  </si>
  <si>
    <t>Brenda</t>
  </si>
  <si>
    <t>H-400-23292-442832</t>
  </si>
  <si>
    <t>W and P Concessions, LLC</t>
  </si>
  <si>
    <t>Butcher Boys</t>
  </si>
  <si>
    <t>8348 Little Road #326</t>
  </si>
  <si>
    <t>New Port Richey</t>
  </si>
  <si>
    <t>Scannell</t>
  </si>
  <si>
    <t>Priscilla</t>
  </si>
  <si>
    <t>wpbutcherboys@gmail.com</t>
  </si>
  <si>
    <t>P-400-23257-347176</t>
  </si>
  <si>
    <t>H-400-23336-539656</t>
  </si>
  <si>
    <t xml:space="preserve">Must lift/carry 50 lbs., when necessary. Saturday and Sunday work required, when necessary. Employer-paid drug testing required of foreign and domestic workers prior to commencing work and post-hire upon suspicion of use and post-accident. Employer may offer more than the stated work hours depending on weather, business needs, and other conditions. Extreme heat, cold, rain, or drought may affect exact working hours.
</t>
  </si>
  <si>
    <t>P-400-23202-205923</t>
  </si>
  <si>
    <t>Kitchen Associate</t>
  </si>
  <si>
    <t>Prairie Berry LLC</t>
  </si>
  <si>
    <t>23837 HWY 385</t>
  </si>
  <si>
    <t>Hill City</t>
  </si>
  <si>
    <t>Villalobos</t>
  </si>
  <si>
    <t>Talent Acquisition Specialist</t>
  </si>
  <si>
    <t>23837 Hwy 385</t>
  </si>
  <si>
    <t>evelyn.villalobos@prairieberry.com</t>
  </si>
  <si>
    <t>P-400-23244-315644</t>
  </si>
  <si>
    <t>https://prairieberryfamily.com/careers/</t>
  </si>
  <si>
    <t>H-400-23333-531412</t>
  </si>
  <si>
    <t>GT Ground, Inc.</t>
  </si>
  <si>
    <t>6625 Ethan Lane</t>
  </si>
  <si>
    <t>Liotta</t>
  </si>
  <si>
    <t>P-400-23255-340244</t>
  </si>
  <si>
    <t>chris@gtground.com</t>
  </si>
  <si>
    <t>H-400-23336-539199</t>
  </si>
  <si>
    <t>NELSON COUNTY LAND MAINTENANCE LLC</t>
  </si>
  <si>
    <t>1414 BRYAN RD</t>
  </si>
  <si>
    <t>CANN</t>
  </si>
  <si>
    <t>CHERI</t>
  </si>
  <si>
    <t>P-400-23187-170208</t>
  </si>
  <si>
    <t>SANELSON4@YAHOO.COM</t>
  </si>
  <si>
    <t>H-400-23292-443211</t>
  </si>
  <si>
    <t>P-400-23199-197987</t>
  </si>
  <si>
    <t>Market Attendant</t>
  </si>
  <si>
    <t>P-400-23152-068917</t>
  </si>
  <si>
    <t>H-400-23291-438478</t>
  </si>
  <si>
    <t>Rotolo Consultants, Inc.</t>
  </si>
  <si>
    <t>RCI</t>
  </si>
  <si>
    <t>38001 Brownsvillage Rd</t>
  </si>
  <si>
    <t>Halstead</t>
  </si>
  <si>
    <t>ahalstead@rotoloconsultants.com</t>
  </si>
  <si>
    <t>Thurgood</t>
  </si>
  <si>
    <t>1334 E Chandler Blvd</t>
  </si>
  <si>
    <t>Ste 5 A-33</t>
  </si>
  <si>
    <t>jaime@ceslaborsolutions.com</t>
  </si>
  <si>
    <t>Corporate &amp; Employee Services</t>
  </si>
  <si>
    <t xml:space="preserve">Drug testing. Drug-testing requirement is applied "pre-hire." All drug testing will be carried out equally between the U.S. workers and the H-2B workers.
Work may include wknd/hol.
</t>
  </si>
  <si>
    <t>323 Lynn Dr</t>
  </si>
  <si>
    <t xml:space="preserve">Raises, bonuses, or incentives dependent on job performance. </t>
  </si>
  <si>
    <t>P-400-23251-332677</t>
  </si>
  <si>
    <t>The employer will make all deductions from the worker’s paycheck required by law.  Housing optional - $150/week (rent and utilities). $200 housing deposit, refundable based on weekly inspection.</t>
  </si>
  <si>
    <t>Charlton</t>
  </si>
  <si>
    <t>H-400-23307-475911</t>
  </si>
  <si>
    <t>Sanford &amp; Sons, Inc.</t>
  </si>
  <si>
    <t>5035 CR 1005</t>
  </si>
  <si>
    <t>Center</t>
  </si>
  <si>
    <t>Sanford</t>
  </si>
  <si>
    <t>scott@sanfordandsonslawncare.com</t>
  </si>
  <si>
    <t>Big Thicket Region of Texas nonmetropolitan area</t>
  </si>
  <si>
    <t>P-400-23228-269076</t>
  </si>
  <si>
    <t>Employer will make all deductions from the worker's paycheck required by law.  Option to deduct housing from pay at $150 a month. Optional deductions will not drop the overall wages below the UDSOL minimum, if the deductions are too great they will not be made.</t>
  </si>
  <si>
    <t>H-400-23307-475810</t>
  </si>
  <si>
    <t>J.D. Lawn Services, Inc.</t>
  </si>
  <si>
    <t>539 Craigs Corner Rd.</t>
  </si>
  <si>
    <t>Havre de Grace</t>
  </si>
  <si>
    <t>Donaldson</t>
  </si>
  <si>
    <t>jdlawnservinc@comcast.net</t>
  </si>
  <si>
    <t>539 Craigs Corner Rd. (Report to Work)</t>
  </si>
  <si>
    <t>P-400-23206-214370</t>
  </si>
  <si>
    <t>Optional, shared furnished housing available to the worker at a monthly housing rate up to $400.00; if optional housing is agreed upon by the worker, monthly housing rate will be deducted from worker's paycheck incrementally (bi-weekly).At Employer’s sole discretion: possible cash advances (if applicable/requested by worker, potential deduction from worker’s paycheck).</t>
  </si>
  <si>
    <t>STONEY BROOK LANDSCAPING LLC</t>
  </si>
  <si>
    <t>1680 US ROUTE 1</t>
  </si>
  <si>
    <t>DUNN</t>
  </si>
  <si>
    <t xml:space="preserve">1680 US ROUTE 1 </t>
  </si>
  <si>
    <t>TOM@STONEYBROOKLANDSCAPING.COM</t>
  </si>
  <si>
    <t>Vincent</t>
  </si>
  <si>
    <t>CLEARFIELD</t>
  </si>
  <si>
    <t>H-400-23336-539638</t>
  </si>
  <si>
    <t>The Edgewood Company, Inc.</t>
  </si>
  <si>
    <t>2350 Yellow Springs Road</t>
  </si>
  <si>
    <t xml:space="preserve">Requires three months of paver installer experience. Must lift/carry 50 lbs., when necessary. Saturday work required, when necessary. Employer-paid post-hire random drug testing required of foreign and domestic workers. Post-hire employment eligibility (e-Verify) check required of foreign and domestic workers. Employer may offer more than the stated work hours depending on weather, business needs, and other conditions. Extreme heat, cold, rain, or drought may affect exact working hours.
</t>
  </si>
  <si>
    <t>P-400-23254-335044</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</si>
  <si>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Voluntary advances and/or loans made to workers, if any, may be repaid by pre-authorized payroll deductions. Employer offers free daily transportation to/from worksite from designated pick-up location. Use of transportation is voluntary. Employer may deduct retirement/savings plan contributions and/or health insurance premiums for workers voluntarily participating in plan(s).  Upon separation from employment, employer may deduct cost for uniforms, tools, or other property not returned to employer.  Employer provides incidental transportation between worksites as necessary.</t>
  </si>
  <si>
    <t>2907 TV Road</t>
  </si>
  <si>
    <t>H-400-23307-476168</t>
  </si>
  <si>
    <t>Herker Building &amp; Lawn Maintenance, Inc. - Southern Office</t>
  </si>
  <si>
    <t>2 La France Way</t>
  </si>
  <si>
    <t>Herker</t>
  </si>
  <si>
    <t xml:space="preserve">Must lift/carry 50 lbs., when necessary. Saturday and Sunday work required, when necessary. Employer-paid post-hire upon suspicion of use and post-accident drug testing required of foreign and domestic workers. Post-hire background check required of all new hires, foreign and domestic. Employer may offer more than the stated work hours depending on weather, business needs, and other conditions. Extreme heat, cold, rain, or drought may affect exact working hours.
</t>
  </si>
  <si>
    <t>30657 Omar Rd,</t>
  </si>
  <si>
    <t>Frankford</t>
  </si>
  <si>
    <t>P-400-23188-173951</t>
  </si>
  <si>
    <t>H-400-23285-427077</t>
  </si>
  <si>
    <t xml:space="preserve">OT AND WEEKENDS REQUIRED. Be able to reach, bend, stoop and frequently lift up to 40 pounds containers of food preparation, materials and equipment.	May also require working in walk-in coolers &amp; freezers.	Be able to work in a standing position for long periods of time with risks of burns and cuts.   Workers will work 40 hours per week.  Saturday thru  Friday the schedule may vary but will fall between 4:00AM TO 12:30PM; 8:30PM TO 5:00PM, OR
3:00PM to 11:30PM .OT AND WEEKENDS REQUIRED. 6 months experience as Cook or line cook or closely related .
</t>
  </si>
  <si>
    <t xml:space="preserve"> MERIT BASED RAISES AVAILABLE AT EMPLOYER DISCRETION. </t>
  </si>
  <si>
    <t>P-400-23248-321967</t>
  </si>
  <si>
    <t xml:space="preserve">OPTIONAL EMPLOYER OWNED HOUSING AND MEALS/ $200.00 PER WEEK/ $400 PER PAY PERIOD . </t>
  </si>
  <si>
    <t>H-400-23311-483112</t>
  </si>
  <si>
    <t>A &amp; A Construction Company</t>
  </si>
  <si>
    <t>11271 Mosier Valley Road</t>
  </si>
  <si>
    <t>Mailing: P.O. Box 202212, Arlington, TX 76006</t>
  </si>
  <si>
    <t>Euless</t>
  </si>
  <si>
    <t>Esquivel</t>
  </si>
  <si>
    <t>irene@aaconstructionco.com</t>
  </si>
  <si>
    <t xml:space="preserve">Mon-Fri. Schedule may vary. Overtime varies. Able to lift 50lbs.
</t>
  </si>
  <si>
    <t>P-400-23194-187458</t>
  </si>
  <si>
    <t>H-400-23310-481237</t>
  </si>
  <si>
    <t>All Star Services of Tennessee LLC</t>
  </si>
  <si>
    <t>Aloft Nashville West End</t>
  </si>
  <si>
    <t>1145 Franklin Road</t>
  </si>
  <si>
    <t>P-400-23269-381375</t>
  </si>
  <si>
    <t xml:space="preserve">State and Federal Taxes, The cost of
optional housing will be $500.00. The
employer will deduct the cost of
optional housing charged by the 3rd
party for workers. The employer will
make all deductions from the worker’s
paycheck required by law but will
make no other deductions.
</t>
  </si>
  <si>
    <t>Cochranville</t>
  </si>
  <si>
    <t>Houghton</t>
  </si>
  <si>
    <t>H-400-23321-509397</t>
  </si>
  <si>
    <t>Dining Room Attendant/Busser</t>
  </si>
  <si>
    <t>Omni La Mansion Corporation</t>
  </si>
  <si>
    <t>Omni La Mansion del Rio</t>
  </si>
  <si>
    <t>112 College St</t>
  </si>
  <si>
    <t xml:space="preserve">No minimum education or experience required. 
Must be able to lift, push, and pull 50 lbs.
Must be able to obtain ServSafe Food Handlers and TABC certification.
Must pass a post-employment criminal background check, paid by employer and applied equally to all workers, U.S. and foreign/H-2B.
Must be able to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to/from worksite/housing via public bus transportation, 1 bus pass is provided by the employer at no cost to employee.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employee.  Employer will provide on-the-job training.
The employer guarantees to offer work for hours equal to at least three-fourths of the workdays in each 12-week period of the total employment period.
</t>
  </si>
  <si>
    <t>P-400-23199-196340</t>
  </si>
  <si>
    <t xml:space="preserve">A single workweek will be used in computing wages due. Pay received bi-weekly. Employer will make all deductions from the worker's paycheck required by law. Employer will assist in locating housing. </t>
  </si>
  <si>
    <t>ONSLOW</t>
  </si>
  <si>
    <t>Jacksonville, NC</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</si>
  <si>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provides incidental transportation between worksites as necessary. Employer may deduct reasonable costs for daily transportation to/from worksite from designated pick-up location. Use of employer-provided transportation is voluntary. Such transportation complies with all applicable Federal, State, and local laws/regulations.</t>
  </si>
  <si>
    <t xml:space="preserve">At the Park, Inc. </t>
  </si>
  <si>
    <t>Sushi Thai @ the Park</t>
  </si>
  <si>
    <t>Tangpontirak</t>
  </si>
  <si>
    <t>Iyaree</t>
  </si>
  <si>
    <t>IIyaree@outlook.com</t>
  </si>
  <si>
    <t>iiyaree@outlook.com</t>
  </si>
  <si>
    <t xml:space="preserve">Portland </t>
  </si>
  <si>
    <t>Employer may make payroll deductions at employee's request. Employer facilitates corresponding deductions for available health benefits. Employer facilitates voluntary housing arrangements</t>
  </si>
  <si>
    <t>H-400-23284-423538</t>
  </si>
  <si>
    <t>Mystras Concessions LLC</t>
  </si>
  <si>
    <t>5371 Layton Drive</t>
  </si>
  <si>
    <t>demetristrates1@gmail.com</t>
  </si>
  <si>
    <t xml:space="preserve">Hours, schedule, and days vary widely.  
Typically Wed-Sun, 4pm  11pm.  
Often 35-45 hours per week, may go up to 60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Subject to discharge for cause.  
</t>
  </si>
  <si>
    <t>Merit/bonus/sick/recruiting/tenure pay, savings program at employer's discretion. uniform provided at no cost</t>
  </si>
  <si>
    <t>P-400-23192-180144</t>
  </si>
  <si>
    <t>H-400-23201-203245</t>
  </si>
  <si>
    <t>Tile Setter Helper</t>
  </si>
  <si>
    <t>Dawkins Precision Flooring Installation LLC</t>
  </si>
  <si>
    <t>330 W Fort Morgan Rd</t>
  </si>
  <si>
    <t>Apt 3E</t>
  </si>
  <si>
    <t>Gulf Shore</t>
  </si>
  <si>
    <t>1204 Village Market Pl</t>
  </si>
  <si>
    <t>info@abpersonnelservices.com</t>
  </si>
  <si>
    <t>A &amp; B Personnel Services LLC</t>
  </si>
  <si>
    <t xml:space="preserve">Candidates need to have at leat 6 months experience as a tile setter helper and/or tile setter. Should be able to lift up to 60lbs, bend, pull, and help with bringing materials to and from job site. </t>
  </si>
  <si>
    <t>1261 Holland Street</t>
  </si>
  <si>
    <t>P-400-23154-076096</t>
  </si>
  <si>
    <t xml:space="preserve">All applicable payroll taxes will be deducted as required by the IRS.
Employer shall offer lodging at a rate of $125/week at the option of the employee, which shall be deducted from wages.
</t>
  </si>
  <si>
    <t>BUMBALOUGHS CONSTRUCTION</t>
  </si>
  <si>
    <t>884 STONE ROAD</t>
  </si>
  <si>
    <t>DOYLE</t>
  </si>
  <si>
    <t>BUMBALOUGH</t>
  </si>
  <si>
    <t>ROGER</t>
  </si>
  <si>
    <t>ROGERBUMBALOUGH@GMAIL.COM</t>
  </si>
  <si>
    <t>BDG Trees, LLC - Conroe, TX</t>
  </si>
  <si>
    <t>2802 N. Frazier St</t>
  </si>
  <si>
    <t>STE 200</t>
  </si>
  <si>
    <t>8045 Wacobee Dr</t>
  </si>
  <si>
    <t>Work schedules vary, typically 38 hours a week with 2 days off per week. Availability must include nights, weekends, and holidays.</t>
  </si>
  <si>
    <t xml:space="preserve">ROOM ATTENDANT </t>
  </si>
  <si>
    <t>Mullin Landscape Associates, LLC</t>
  </si>
  <si>
    <t>10356 River Road</t>
  </si>
  <si>
    <t>St. Rose</t>
  </si>
  <si>
    <t>Mullin Jr.</t>
  </si>
  <si>
    <t xml:space="preserve">Must possess a working knowledge of standard horticultural practices, including but not limited to planting, pruning, corrective pruning, and fertilization. Must be physically able to stand, walk, crouch, stoop,  kneel, reach, lift and/or move up to 80 pounds and tolerate occasional exposure to homeowner's pets. Smoke free workplace. Drug free workplace. Pre-employment, upon suspicion, and post- accident drug testing and background  checks will be carried out equally between U.S. workers and H-2B workers at employers expense. Negative results required prior to starting work. Background checks are conducted at the employers expense. Generally we do not employ persons convicted of sex related crimes, theft, violent crimes or drug related crimes. Individual circumstances are taken into consideration. Employer may offer more than the stated work hours depending on weather, business needs, and other conditions. Extreme heat, cold, rain, or drought may affect exact working hours.
</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</si>
  <si>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Uniform provided at no cost. Employer may deduct cost for voluntary purchase of additional uniforms for worker's benefit.   No daily transportation to/from workers' home and primary worksite. Employer provides incidental transportation between multiple worksites as necessary. Such transportation complies with all applicable Federal, State, and local laws/regulations.</t>
  </si>
  <si>
    <t>careers@mullinlandscape.com</t>
  </si>
  <si>
    <t>http://www.laworks.net/</t>
  </si>
  <si>
    <t>H-400-23324-513383</t>
  </si>
  <si>
    <t>Permian Basin Landscape Specialties, Inc.</t>
  </si>
  <si>
    <t>2427 E Hwy 80</t>
  </si>
  <si>
    <t>Potter</t>
  </si>
  <si>
    <t>Elisa</t>
  </si>
  <si>
    <t xml:space="preserve">Pre-hire drug testing required for all U.S. and foreign workers.
</t>
  </si>
  <si>
    <t>P-400-23289-434270</t>
  </si>
  <si>
    <t>susan@turfspec.com</t>
  </si>
  <si>
    <t>Purcellville</t>
  </si>
  <si>
    <t>Reinforcing Iron and Rebar Workers</t>
  </si>
  <si>
    <t>H-400-23307-475868</t>
  </si>
  <si>
    <t>1485 Satchel Paige Dr (Report to Work)</t>
  </si>
  <si>
    <t>P-400-23216-240580</t>
  </si>
  <si>
    <t>H-400-23321-511110</t>
  </si>
  <si>
    <t>Thoroughbred Contractors, LLC. (THR124A)</t>
  </si>
  <si>
    <t>1027 Mt Vernon Road</t>
  </si>
  <si>
    <t>Vice President/LLC Member</t>
  </si>
  <si>
    <t>mach1@abrconstruction.com</t>
  </si>
  <si>
    <t xml:space="preserve">Strong back, able to work in extreme temperatures and weather conditions. Must lift 50 lbs. Must pass random employer-paid, post-employment drug test if warranted.
Work days:  Monday- Saturday (5-6 days per week)
Hours per week: 40+ hours 
Work Schedule: 6:00 am to 5:00 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No family housing. 
Deductions: Optional housing provided at a cost of $90/week. No family housing. 
</t>
  </si>
  <si>
    <t>P-400-23264-366695</t>
  </si>
  <si>
    <t xml:space="preserve">Optional housing provided at a cost of $90/week. No family housing. 
</t>
  </si>
  <si>
    <t>edgardm@tbred.net</t>
  </si>
  <si>
    <t>Mableton</t>
  </si>
  <si>
    <t>RUSSELL</t>
  </si>
  <si>
    <t>H-400-23321-509132</t>
  </si>
  <si>
    <t>Landart America LLC</t>
  </si>
  <si>
    <t>12835 U.S. 82 West</t>
  </si>
  <si>
    <t>Mailing: P.O. Box 1438, Buda TX78610</t>
  </si>
  <si>
    <t>Whitesboro</t>
  </si>
  <si>
    <t>Esme@landartamerica.com</t>
  </si>
  <si>
    <t>P-400-23230-276345</t>
  </si>
  <si>
    <t>Employer will make all deductions from the worker's paycheck required by law. “(Note for the CO: Section F.d item 4 is marked yes as the employer will assist workers, they are not providing housing)”</t>
  </si>
  <si>
    <t>H-400-23321-509027</t>
  </si>
  <si>
    <t>Irrigation laborer</t>
  </si>
  <si>
    <t>American Irrigation Repair LLC</t>
  </si>
  <si>
    <t>3560 E University Ave</t>
  </si>
  <si>
    <t>justin@fixmyheads.com</t>
  </si>
  <si>
    <t>P-400-23227-265999</t>
  </si>
  <si>
    <t>H-400-23285-428068</t>
  </si>
  <si>
    <t>Triton Ventures, LLC</t>
  </si>
  <si>
    <t>7909 N Huetter Rd</t>
  </si>
  <si>
    <t>Oseguera</t>
  </si>
  <si>
    <t>tritonventures@yahoo.com</t>
  </si>
  <si>
    <t>Coeur D Alene</t>
  </si>
  <si>
    <t>ginnym@dpl.today</t>
  </si>
  <si>
    <t>Diverse Personnel Logistics LLC</t>
  </si>
  <si>
    <t>DRUG, ALCOHOL, TOBACCO FREE WORK ZONE; IF SUPERVISOR OBSERVES WORKER POSSIBLY UNDER INFLUENCE DRUGS/ALCOHOL EMPLOYER PAID TESTING,
FAILURE TO PARTICIPATE, FAILED TEST=DISMISSAL. MUST SHOW PROOF LEGAL AUTHORITY WORK IN U.S. MIN. AGE 18-YRS DUE TO TRAVEL.</t>
  </si>
  <si>
    <t>5124 W Prarie Ave</t>
  </si>
  <si>
    <t>P-400-23233-281455</t>
  </si>
  <si>
    <t>H-400-23325-516014</t>
  </si>
  <si>
    <t>Yellowstone Landscape - Southeast, LLC_Augusta</t>
  </si>
  <si>
    <t>702 McKnight Industrial Blvd</t>
  </si>
  <si>
    <t>702 McKnight Industrial Blvd,</t>
  </si>
  <si>
    <t>P-400-23236-293033</t>
  </si>
  <si>
    <t>Alejandra</t>
  </si>
  <si>
    <t>H-400-23282-417354</t>
  </si>
  <si>
    <t>FILE CLERK</t>
  </si>
  <si>
    <t>File Clerks</t>
  </si>
  <si>
    <t>RODNEY JEAN-BAPTISTE CPA, PHD</t>
  </si>
  <si>
    <t>FINANCETEC</t>
  </si>
  <si>
    <t>842 MORTON ST</t>
  </si>
  <si>
    <t>JEAN-BAPTISTE</t>
  </si>
  <si>
    <t>RODNEY@FINANCETEC.COM</t>
  </si>
  <si>
    <t>P-400-23241-302709</t>
  </si>
  <si>
    <t>rodney@financetec.com</t>
  </si>
  <si>
    <t>3102 Sun Valley Place (Report to Work)</t>
  </si>
  <si>
    <t>P-400-23235-289148</t>
  </si>
  <si>
    <t>H-400-23307-476377</t>
  </si>
  <si>
    <t>Fineline Landscape Construction and Maintenance Corporation</t>
  </si>
  <si>
    <t>7934 Newark Road</t>
  </si>
  <si>
    <t>Imlay City</t>
  </si>
  <si>
    <t>services@finelinelandscaping.com</t>
  </si>
  <si>
    <t>LAPEER</t>
  </si>
  <si>
    <t xml:space="preserve">Raises/Bonuses may be offered  to worker @ company's sole discretion based on work performance, skill, tenure. </t>
  </si>
  <si>
    <t>P-400-23207-217607</t>
  </si>
  <si>
    <t>Ledbetter</t>
  </si>
  <si>
    <t>H-400-23336-538941</t>
  </si>
  <si>
    <t>1584 S 580 E</t>
  </si>
  <si>
    <t>H-400-23304-466954</t>
  </si>
  <si>
    <t xml:space="preserve">Post-employment drug testing may occur based upon the employers reasonable suspicion drug use.
F.a.5A-H:
7:30 am  4pm, M-F, Sat-Sun as needed
</t>
  </si>
  <si>
    <t>P-400-23173-135179</t>
  </si>
  <si>
    <t>Lawn Maintenance Laborer</t>
  </si>
  <si>
    <t>Potential raise at employer's discretion</t>
  </si>
  <si>
    <t>Canton-Massillon, OH</t>
  </si>
  <si>
    <t>H-400-23321-508571</t>
  </si>
  <si>
    <t>Runyon Landscape Management, Inc.</t>
  </si>
  <si>
    <t>17517 Orrville Road</t>
  </si>
  <si>
    <t>runyonlandscape@yahoo.com</t>
  </si>
  <si>
    <t>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80lbs (possible 2-person).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</si>
  <si>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198 N. Eatherton Road (Report to Work)</t>
  </si>
  <si>
    <t>P-400-23213-228304</t>
  </si>
  <si>
    <t>H-400-23319-502327</t>
  </si>
  <si>
    <t xml:space="preserve">Guest Room Attendant </t>
  </si>
  <si>
    <t>Casino Vicksburg LLC</t>
  </si>
  <si>
    <t>Waterview Casino &amp; Hotel</t>
  </si>
  <si>
    <t>3990 Washington Street</t>
  </si>
  <si>
    <t>Rosia</t>
  </si>
  <si>
    <t xml:space="preserve">Mailing address: PO Box 820668 </t>
  </si>
  <si>
    <t>rwilson@waterviewcasino.com</t>
  </si>
  <si>
    <t>Cynthia@pesusa.com</t>
  </si>
  <si>
    <t>Must be at least 21 years of age.
Must be able to lift equipment, supplies, etc. of at least 30 lbs.
Post-employment criminal background check required, cost paid by employer and applied equally to all workers, U.S. and foreign/H-2B.
Post-employment and post-injury/incident drug testing, cost paid by employer and applied equally to all workers, U.S. and foreign/H-2B.
Must be able to work a 5-day schedule, including weekends and holidays as required.
Applicant must complete an employment application.
Required uniform provided at no charge to the worker.</t>
  </si>
  <si>
    <t>3990 Washington St</t>
  </si>
  <si>
    <t>P-400-23171-126928</t>
  </si>
  <si>
    <t>Optional employee shared housing, including utilities, is available at approximately $100 per person per week. Cost of housing will be deducted from the worker’s paycheck if the worker elects.</t>
  </si>
  <si>
    <t>Roberto</t>
  </si>
  <si>
    <t>Woodworking Machine Setters, Operators, and Tenders, Except Sawing</t>
  </si>
  <si>
    <t>H-400-23307-475826</t>
  </si>
  <si>
    <t>7013 Mableton Parkway (Report to Work)</t>
  </si>
  <si>
    <t>P-400-23228-267395</t>
  </si>
  <si>
    <t>Optional, shared furnished housing available to the worker (including: utilities) at a weekly housing rate up to $175; if optional housing is agreed upon by the worker, housing rate will be deducted from worker's paycheck incrementally (weekly).
At Employer’s sole discretion: possible cash advances (if applicable/requested by worker, potential deduction from worker’s paycheck).</t>
  </si>
  <si>
    <t>kpereira@ruppertcompanies.com</t>
  </si>
  <si>
    <t>Harrisonburg</t>
  </si>
  <si>
    <t xml:space="preserve">SOUTHAMPTON </t>
  </si>
  <si>
    <t>Irving</t>
  </si>
  <si>
    <t>Pay rate based on performance</t>
  </si>
  <si>
    <t>H-400-23336-539279</t>
  </si>
  <si>
    <t xml:space="preserve">BC HARDSCAPES LLC </t>
  </si>
  <si>
    <t>134 NE US 69 HIGHWAY</t>
  </si>
  <si>
    <t>CLAYCOMO</t>
  </si>
  <si>
    <t>GREGO</t>
  </si>
  <si>
    <t xml:space="preserve">134 NE US 69 HIGHWAY </t>
  </si>
  <si>
    <t>PAY SCALE IS BASED ON PERFORMANCE</t>
  </si>
  <si>
    <t>P-400-23206-214687</t>
  </si>
  <si>
    <t>RANDYGREGO@BCHARDSCAPES.COM</t>
  </si>
  <si>
    <t>H-400-23306-473906</t>
  </si>
  <si>
    <t>Polaris silver certified  tech  supervisor</t>
  </si>
  <si>
    <t>warrens</t>
  </si>
  <si>
    <t>P-400-23261-354718</t>
  </si>
  <si>
    <t>COCONINO</t>
  </si>
  <si>
    <t>Flagstaff, AZ</t>
  </si>
  <si>
    <t>1411 N. Grant Avenue</t>
  </si>
  <si>
    <t>H-400-23263-363303</t>
  </si>
  <si>
    <t>Herringswell Stables</t>
  </si>
  <si>
    <t>719 Training Center Drive</t>
  </si>
  <si>
    <t>Ian@herringswellstables.com</t>
  </si>
  <si>
    <t>P-400-23202-207213</t>
  </si>
  <si>
    <t>State and Federal Taxes; Optional employer-offered housing in the backstretch at no cost to the worker</t>
  </si>
  <si>
    <t>ian@herringswellstables.com</t>
  </si>
  <si>
    <t>H-400-23307-475870</t>
  </si>
  <si>
    <t>Landscape Workers</t>
  </si>
  <si>
    <t>5451 Wellington Road (Report to Work)</t>
  </si>
  <si>
    <t>P-400-23222-256300</t>
  </si>
  <si>
    <t>lsimber@ruppertcompanies.com</t>
  </si>
  <si>
    <t>Dowden</t>
  </si>
  <si>
    <t>resorth2bs@hhs1.com</t>
  </si>
  <si>
    <t>Raise/Bonus at employer's discretion.</t>
  </si>
  <si>
    <t>York Beach</t>
  </si>
  <si>
    <t>Pagosa Springs</t>
  </si>
  <si>
    <t>ARCHULETA</t>
  </si>
  <si>
    <t xml:space="preserve">¿Housekeeper </t>
  </si>
  <si>
    <t>Employer will use a single workweek as its standard for computing wages due.  Employees will be paid biweekly on Friday.</t>
  </si>
  <si>
    <t>Oliver</t>
  </si>
  <si>
    <t>Pence</t>
  </si>
  <si>
    <t>Hockessin</t>
  </si>
  <si>
    <t>HEATHER</t>
  </si>
  <si>
    <t xml:space="preserve">All deductions from the worker's paycheck required by law will be made. </t>
  </si>
  <si>
    <t>H-400-23184-162279</t>
  </si>
  <si>
    <t>Berry Contracting, LP</t>
  </si>
  <si>
    <t>Bay Ltd.</t>
  </si>
  <si>
    <t>1982 FM 2725</t>
  </si>
  <si>
    <t>GarciaP@bayltd.com</t>
  </si>
  <si>
    <t xml:space="preserve">Must pass pre-hire drug test and medical physical.  Must pass a written and functional pipe fitting test administered at the project worksite in Corpus Christi, Texas at employer's expense.  Must be able to lift and or/move a minimum of 50 lbs.  These requirements will be carried out equally between U.S. and H-2B workers.
</t>
  </si>
  <si>
    <t>Raises &amp; bonuses may be offered to any worker at the Company’s discretion, based on work performance, skill &amp; tenure.</t>
  </si>
  <si>
    <t>P-400-23095-906095</t>
  </si>
  <si>
    <t xml:space="preserve">None. No deductions will be made from pay other than those required by law from the workers' pay.
</t>
  </si>
  <si>
    <t>Bay-Resumes@Venice-Inc.com</t>
  </si>
  <si>
    <t>H-400-23326-519756</t>
  </si>
  <si>
    <t>BUSSER</t>
  </si>
  <si>
    <t xml:space="preserve">No minimum education or experience required.
New employees are subject to pre-employment criminal background check, paid by employer and applied equally to all workers, U.S. and foreign/H-2B. 
Applicants must complete an employment application.  
Must be able to work a minimum 5-day workweek. 
Must be able to work weekends and holidays.
Must be able to stand and bend repetitively during entire shift.
Employer will provide worker at no charge all tools, supplies, and equipment required to perform job. Required uniform provided at no cost to employee.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</si>
  <si>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P-400-23187-170717</t>
  </si>
  <si>
    <t>Stairhopper Movers LLC</t>
  </si>
  <si>
    <t>447 2nd Street</t>
  </si>
  <si>
    <t>Iorga</t>
  </si>
  <si>
    <t>Ramona</t>
  </si>
  <si>
    <t>mona@stairhoppers.com</t>
  </si>
  <si>
    <t>EVERETT CITY</t>
  </si>
  <si>
    <t>Raise at employer's discretion. Opportunity to earn more based on experience.</t>
  </si>
  <si>
    <t>move@stairhoppers.com</t>
  </si>
  <si>
    <t>June</t>
  </si>
  <si>
    <t>H-400-23321-509450</t>
  </si>
  <si>
    <t xml:space="preserve">No minimum education or experience required. 
Must be able to obtain ServSafe Food Handlers and TABC certification.
Must pass a post-employment criminal background check, paid by employer and applied equally to all workers, U.S. and foreign/H-2B.
Must be able to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to/from worksite/housing via public bus transportation, 1 bus pass is provided by the employer at no cost to employee.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employee. 
The employer guarantees to offer work for hours equal to at least three-fourths of the workdays in each 12-week period of the total employment period.
</t>
  </si>
  <si>
    <t>P-400-23199-196335</t>
  </si>
  <si>
    <t xml:space="preserve">A single workweek will be used in computing wages due. Pay received bi-weekly. 
Employer will make all deductions from the worker's paycheck required by law. Employer will assist in locating housing. 
</t>
  </si>
  <si>
    <t>H-400-23292-443445</t>
  </si>
  <si>
    <t>BDG Trees, LLC - Baton Rouge, LA</t>
  </si>
  <si>
    <t>15150 Florida Blvd</t>
  </si>
  <si>
    <t>P-400-23199-197622</t>
  </si>
  <si>
    <t>H-400-23307-476657</t>
  </si>
  <si>
    <t>CJ's Concrete Construction, LLC</t>
  </si>
  <si>
    <t>707 N. Hwy 36 Bypass</t>
  </si>
  <si>
    <t>Gatesville</t>
  </si>
  <si>
    <t>Smalley</t>
  </si>
  <si>
    <t>christi.mooney@cjsconcretellc.com</t>
  </si>
  <si>
    <t>Pre-hire background check required; Random drug testing during employment; Pre-employment drug testing required; Post-Accident Drug Testing, Able to lift 75lbs, Monday-Friday, schedule varies. Saturdays as needed,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</si>
  <si>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CORYELL</t>
  </si>
  <si>
    <t>P-400-23165-109026</t>
  </si>
  <si>
    <t>Production Laborer</t>
  </si>
  <si>
    <t>H-400-23227-267179</t>
  </si>
  <si>
    <t>ALFONSO GALLEGOS INC</t>
  </si>
  <si>
    <t>9551 N STATE ST</t>
  </si>
  <si>
    <t>GOMEZ</t>
  </si>
  <si>
    <t>BCSERVICES2631@ICLOUD.COM</t>
  </si>
  <si>
    <t xml:space="preserve">Drug, alcohol, tobacco-free work zone. Must show proof of legal status to work in U.S.  Must be 18+ years of age due to travel.
</t>
  </si>
  <si>
    <t>P-400-23172-132830</t>
  </si>
  <si>
    <t>Wickman Garden Village</t>
  </si>
  <si>
    <t>1345 S. Fort Ave</t>
  </si>
  <si>
    <t>Kristek</t>
  </si>
  <si>
    <t>dega14@icloud.com</t>
  </si>
  <si>
    <t>1345 S. Fort Ave (Report to Work)</t>
  </si>
  <si>
    <t>P-400-23215-237340</t>
  </si>
  <si>
    <t>Dega14@icloud.com</t>
  </si>
  <si>
    <t>H-400-23291-440185</t>
  </si>
  <si>
    <t>Tile Setter</t>
  </si>
  <si>
    <t>Kenjura Tile, Inc.</t>
  </si>
  <si>
    <t>1004 N Park St</t>
  </si>
  <si>
    <t>Kenjura</t>
  </si>
  <si>
    <t xml:space="preserve">Minimum age requirement is 18. May be required to take post hire random drug and/or alcohol tests, at no cost to the worker. Testing positive or failure to comply may result in immediate termination. </t>
  </si>
  <si>
    <t>P-400-23170-123389</t>
  </si>
  <si>
    <t>lorrie@kenjuratile.com</t>
  </si>
  <si>
    <t>H-400-23184-163272</t>
  </si>
  <si>
    <t xml:space="preserve">Nanny </t>
  </si>
  <si>
    <t>Bachstein Residence</t>
  </si>
  <si>
    <t>524 Bartram Road</t>
  </si>
  <si>
    <t>Vettraino Bachstein</t>
  </si>
  <si>
    <t>Homeowner</t>
  </si>
  <si>
    <t>melissa@bachstein.net</t>
  </si>
  <si>
    <t>1524 Delancey Street, 4th Flr</t>
  </si>
  <si>
    <t>Current CPR and First Aid certifications or willing to obtain certifications.
Exceptional patience with  fun and enthusiastic attitude.
Ability to perform physical tasks, including sitting on the floor, bending and standing.
Must pass a criminal background check and drug test.</t>
  </si>
  <si>
    <t>$14.13 per hour + room &amp; board Friday to Sunday.</t>
  </si>
  <si>
    <t>P-400-23086-879799</t>
  </si>
  <si>
    <t>The worker will be paid $14.13 per hour + room &amp; board from Friday to Sunday. Housing is optional.</t>
  </si>
  <si>
    <t>H-400-23215-237676</t>
  </si>
  <si>
    <t>Six (6) months of service experience in a fine-dining or high-volume environment at a high-end restaurant, resort, or private club required.  On-the-job training is provided.    Applicant must provide Pre-employment Criminal Background Check and Pre-employment Drug Test is required.
Min. 35 hrs/week. Shifts: Work schedule can vary and can include evening, weekend, and holiday hours. Work may be performed on any day of the week from Monday through Sunday. Example shifts: 7am - 2pm, 9am - 4pm, or 4pm- 11am. Shift hours may vary.</t>
  </si>
  <si>
    <t>Additional compensation in the form of a discretionary season-end bonus of up to $500.00</t>
  </si>
  <si>
    <t>P-400-23143-046910</t>
  </si>
  <si>
    <t>H-400-23229-274921</t>
  </si>
  <si>
    <t>Maids and Housekeping Cleaners</t>
  </si>
  <si>
    <t>Homecare by HPS, LLC</t>
  </si>
  <si>
    <t>40801 Hwy 6 &amp; 24, Suite 3 (physical)</t>
  </si>
  <si>
    <t>P.O. Box 7720 (mailing)</t>
  </si>
  <si>
    <t xml:space="preserve">Teresa </t>
  </si>
  <si>
    <t>40801 Hwy 6 &amp; 24, Suite 3, Avon CO 81620 (physical)</t>
  </si>
  <si>
    <t>PO Box 7720, Avon CO 81620 (mailing)</t>
  </si>
  <si>
    <t>tsanchez@hpsbest.com</t>
  </si>
  <si>
    <t xml:space="preserve">Must be able to stand, bend, kneel and reach high areas to clean, move up and down stairs and regularly lift and/or move up to 10 pounds.  Must be able to withstand exposure to chemicals used in cleaning products.  Team player with good attitude.  Will require criminal background check and reference check pre-hire.
F.a.5 A-H. (cont.)
Work week is Monday - Friday. May require some weekends.
</t>
  </si>
  <si>
    <t xml:space="preserve">40801 Hwy 6 &amp; 24, Suite 3 </t>
  </si>
  <si>
    <t>P-400-23156-078421</t>
  </si>
  <si>
    <t>H-400-23279-414424</t>
  </si>
  <si>
    <t>P-400-23183-162039</t>
  </si>
  <si>
    <t>H-400-23245-317968</t>
  </si>
  <si>
    <t>Material Handler/Warehouse</t>
  </si>
  <si>
    <t>Alfresco Home LLC</t>
  </si>
  <si>
    <t>1000 Armand Hammer Blvd</t>
  </si>
  <si>
    <t>Pottstown</t>
  </si>
  <si>
    <t>Cilio</t>
  </si>
  <si>
    <t>Executive Vice-President</t>
  </si>
  <si>
    <t>ac@alfrescohome.com</t>
  </si>
  <si>
    <t xml:space="preserve">Must be able to lift 75lbs. Monday-Friday, some Saturdays required, schedule varies, overtime varies. Pre-hire background check required; Random drug testing during employment.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</si>
  <si>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P-400-23180-153443</t>
  </si>
  <si>
    <t>khc@alfrescohome.com</t>
  </si>
  <si>
    <t>H-400-23276-406434</t>
  </si>
  <si>
    <t>Amusement &amp; Recreation Attendant &amp; Driver – Carnival</t>
  </si>
  <si>
    <t>Butler Amusements, Inc.</t>
  </si>
  <si>
    <t>8035 SW Cirrus Drive</t>
  </si>
  <si>
    <t>Suite #21-E</t>
  </si>
  <si>
    <t>Beaverton</t>
  </si>
  <si>
    <t>Moyer</t>
  </si>
  <si>
    <t>lrmoyer1@aol.com</t>
  </si>
  <si>
    <t xml:space="preserve">Must be in possession of a CDL Class A license (or foreign equivalent) valid for USA. Must be able to pass the US Department of Transportation Drug Screen and Physical. 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t>
  </si>
  <si>
    <t>305 Harrison Street</t>
  </si>
  <si>
    <t>P-400-23183-162000</t>
  </si>
  <si>
    <t xml:space="preserve">Employer will make all deductions from the worker’s paycheck required by law.  In addition, the employer intends to make the following deductions from the worker’s paycheck which are not required by law:   NONE Optional mobile housing (valued at $125.00 per week) and local convenience travel (valued at $25.00 per week) are available at no cost to the worker. </t>
  </si>
  <si>
    <t>sally@butleramusements.com</t>
  </si>
  <si>
    <t>www.butleramusements.com</t>
  </si>
  <si>
    <t>H-400-23219-244861</t>
  </si>
  <si>
    <t>B&amp;H Services, LLC</t>
  </si>
  <si>
    <t>90 Carefree Lane</t>
  </si>
  <si>
    <t>Lake Toxaway</t>
  </si>
  <si>
    <t>Member/ Admin Secretary</t>
  </si>
  <si>
    <t>bandhservices.bb@gmail.com</t>
  </si>
  <si>
    <t>Must be 18 due to insurance.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80lbs (possible 2-person). All applicants must be able, willing and qualified to perform work described and must be available for the entire period specified and work throughout all areas of intended employment.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</si>
  <si>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90 Carefree Lane (Report to Work)</t>
  </si>
  <si>
    <t xml:space="preserve">Lake Toxaway </t>
  </si>
  <si>
    <t>P-400-23144-049690</t>
  </si>
  <si>
    <t>Optional, shared housing available to the worker (including: Utilities) at a monthly housing rate up to $320; if optional housing is agreed upon by the worker, $80 will be deducted from worker's paycheck incrementally (weekly).At Employer’s sole discretion: possible cash advances (if applicable/requested by worker, potential deduction from worker’s paycheck).</t>
  </si>
  <si>
    <t>H-400-23210-224811</t>
  </si>
  <si>
    <t>Heavy and Tractor Trailer Truck Drivers</t>
  </si>
  <si>
    <t>OMMA TRUCKING INC.</t>
  </si>
  <si>
    <t xml:space="preserve"> 6012 N Country Rd 1147</t>
  </si>
  <si>
    <t>6012 N Country Rd 1147</t>
  </si>
  <si>
    <t>careers@ommatrucking.com</t>
  </si>
  <si>
    <t>Elizondo Leon</t>
  </si>
  <si>
    <t>Emmanuel</t>
  </si>
  <si>
    <t>3111 N. Central Ave.</t>
  </si>
  <si>
    <t>Suite #A201</t>
  </si>
  <si>
    <t>emmanuel@moraleslawyer.com</t>
  </si>
  <si>
    <t>Morales Law P.C.</t>
  </si>
  <si>
    <t xml:space="preserve">A CLASS A COMMERCIAL DRIVER'S LICENSE IS REQUIRED TO OPERATE ANY COMBINATION OF VEHICLES WITH A GROSS COMBINATION WEIGHT RATING (GVWR) OF 26,001 OR MORE POUNDS, PROVIDED THE TOWED VEHICLE IS HEAVIER THAN 10,000 POUNDS. 1 YEAR EXPERIENCE REQUIRED.
</t>
  </si>
  <si>
    <t>6012 N County Road 1147</t>
  </si>
  <si>
    <t>P-400-23123-986350</t>
  </si>
  <si>
    <t>www.ommatrucking.com</t>
  </si>
  <si>
    <t>H-400-23243-311828</t>
  </si>
  <si>
    <t>Ocean Gold Seafoods, Inc.</t>
  </si>
  <si>
    <t>1804 Nyhaus Street</t>
  </si>
  <si>
    <t>Westport</t>
  </si>
  <si>
    <t>Bale</t>
  </si>
  <si>
    <t>bbale@oceancos.com</t>
  </si>
  <si>
    <t xml:space="preserve">Days/Shifts may vary
Employer reserves the right to pay a higher wage rate or bonus to any worker in their sole discretion based on performance , skill, tenure, or experience. 
Up to 37 hours of overtime available per week as needed, but not guaranteed.
Optional employer housing will be available to the worker at a cost of $100/week. 
2 shifts - 7:00AM to 7:00PM or 7:00PM to 7:00AM 
Transportation to and from the worksite will be provided at no cost to the worker. 
</t>
  </si>
  <si>
    <t>P-400-23187-170405</t>
  </si>
  <si>
    <t>hr@oceancos.com</t>
  </si>
  <si>
    <t>H-400-23184-165490</t>
  </si>
  <si>
    <t>4600 E. La Palma Ave</t>
  </si>
  <si>
    <t>Anaheim</t>
  </si>
  <si>
    <t>P-400-23110-951021</t>
  </si>
  <si>
    <t>H-400-23184-164638</t>
  </si>
  <si>
    <t>Woody Mountain Forestry</t>
  </si>
  <si>
    <t>5917 E Calle Guadalupe</t>
  </si>
  <si>
    <t>paulbunyans@cox.net</t>
  </si>
  <si>
    <t xml:space="preserve">Must be 18 due to travel.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Must have 3 months Commercial Brushsaw/Chainsaw experience.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</si>
  <si>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5917 E Calle Guadalupe (Report to Work)</t>
  </si>
  <si>
    <t>H&amp;W Benefits may apply. Wage may vary based on experience and/or location</t>
  </si>
  <si>
    <t>P-400-23117-973056</t>
  </si>
  <si>
    <t>H-400-23240-301770</t>
  </si>
  <si>
    <t>P-400-23131-013220</t>
  </si>
  <si>
    <t xml:space="preserve">All deductions required by law.  
Assistance to obtain housing. If temporary worker is hired &amp; elects to use Hilton Inc.’s assistance in obtaining housing, cost of housing, $130.00/week, will be directly deducted from paycheck &amp; worker will reimburse Hilton, Inc. for combined utilities paid that exceed $300.00/ month. There is also a cleaning/damage deposit of $100.00 total deducted at $20.00/week for first 5 weeks. </t>
  </si>
  <si>
    <t>jwilliams@paradisefound.com</t>
  </si>
  <si>
    <t>H-400-23276-406645</t>
  </si>
  <si>
    <t>Prosecutive Landscaping</t>
  </si>
  <si>
    <t>over 40 hours per worked per week</t>
  </si>
  <si>
    <t>All required deductions required by law, federal, state, social security taxes.</t>
  </si>
  <si>
    <t>POULSEN</t>
  </si>
  <si>
    <t>DARREN</t>
  </si>
  <si>
    <t>PROSECUTIVE ENTERPRISE INC</t>
  </si>
  <si>
    <t>H-400-23234-285026</t>
  </si>
  <si>
    <t xml:space="preserve">The Petitioner will consider for employment any applicant who possesses at least six (6) months of culinary experience in a fine-dining or high-volume environment at a high-end restaurant, resort, or private club. Applicant must complete a pre-employment background check. 
</t>
  </si>
  <si>
    <t>Wage: $20.00 per hour, paid weekly. Please see job description for additional information.</t>
  </si>
  <si>
    <t>P-400-23182-161671</t>
  </si>
  <si>
    <t>H-400-23271-393005</t>
  </si>
  <si>
    <t>Caretaker, Inc.</t>
  </si>
  <si>
    <t>Caretaker</t>
  </si>
  <si>
    <t>741 N Monterey St</t>
  </si>
  <si>
    <t>Myers</t>
  </si>
  <si>
    <t>pmyers@caretakerinc.com</t>
  </si>
  <si>
    <t>P-400-23163-102053</t>
  </si>
  <si>
    <t>The employer will make all deductions from the worker’s paycheck required by law.</t>
  </si>
  <si>
    <t>H-400-23244-316924</t>
  </si>
  <si>
    <t>2311 E County Highway</t>
  </si>
  <si>
    <t>P-400-23137-030589</t>
  </si>
  <si>
    <t>H-400-23245-317909</t>
  </si>
  <si>
    <t>Front Office Agent</t>
  </si>
  <si>
    <t xml:space="preserve">Post-employment criminal background check and pre/post-employment/post injury or incident drug test required, cost paid by employer and applied equally to all workers, US and foreign/H2B. Must be able to work a 5-day schedule, including weekends and holidays as required. Applicant must complete an employment application. 
</t>
  </si>
  <si>
    <t>P-400-23159-089510</t>
  </si>
  <si>
    <t>H-400-23229-273196</t>
  </si>
  <si>
    <t>1000 S. Frontage Road W</t>
  </si>
  <si>
    <t>P-400-23113-957886</t>
  </si>
  <si>
    <t xml:space="preserve">Optional subsidized employee housing is available but limited. Bi-weekly cost is $185.00 to $310.00, depending on the unit type (i.e. number of beds in the unit and number of people living in the unit). Employee is responsible for paying housing cost biweekly. A license deposit of $250 is due prior to check-in. With employee's voluntary consent, housing costs may be deducted from paycheck. </t>
  </si>
  <si>
    <t>H-400-23191-178219</t>
  </si>
  <si>
    <t>FRUIT GRADER, SORTER &amp; PACKER</t>
  </si>
  <si>
    <t>YONDER FRUIT DISTRIBUTORS LLC</t>
  </si>
  <si>
    <t>301 ROUTE 66</t>
  </si>
  <si>
    <t>CHIARO</t>
  </si>
  <si>
    <t>SUSAN</t>
  </si>
  <si>
    <t xml:space="preserve">OFFICE MANAGER </t>
  </si>
  <si>
    <t>CHIAROSUE@YAHOO.COM</t>
  </si>
  <si>
    <t>MARCHESE</t>
  </si>
  <si>
    <t xml:space="preserve">MARY ANN </t>
  </si>
  <si>
    <t xml:space="preserve">59 MAIN STREET </t>
  </si>
  <si>
    <t xml:space="preserve">PO BOX 326 </t>
  </si>
  <si>
    <t>MILTON</t>
  </si>
  <si>
    <t>VALLEYGROWERSCO@GMAIL.COM</t>
  </si>
  <si>
    <t xml:space="preserve">VALLEY GROWERS CO-OP INC </t>
  </si>
  <si>
    <t xml:space="preserve">LIFT 50 LBS ON A CONTINUOUS BASIS THROUGHOUT THE DAY 
</t>
  </si>
  <si>
    <t xml:space="preserve">301 ROUTE 66 </t>
  </si>
  <si>
    <t>P-400-23128-002236</t>
  </si>
  <si>
    <t>YONDER FARMS FRUIT DISTRIBUTORS WILL PROVIDE HOUSING TO THE WORKERS WITHOUT ANY DEDUCTIONS FOR HOUSING/UTILITIES
The housing and utilities are optional.</t>
  </si>
  <si>
    <t>H-400-23185-166097</t>
  </si>
  <si>
    <t>Loin Puller</t>
  </si>
  <si>
    <t xml:space="preserve">Exact wage amount determined by internal metrics and negotiated CBA terms. </t>
  </si>
  <si>
    <t>P-400-23122-983600</t>
  </si>
  <si>
    <t>H-400-23248-320291</t>
  </si>
  <si>
    <t>H-400-23268-378536</t>
  </si>
  <si>
    <t>160 Portal Lane</t>
  </si>
  <si>
    <t>Sedona</t>
  </si>
  <si>
    <t>P-400-23178-147201</t>
  </si>
  <si>
    <t>H-400-23215-236933</t>
  </si>
  <si>
    <t xml:space="preserve">Houghton Enterprises, Inc. </t>
  </si>
  <si>
    <t>736 Street Rd.</t>
  </si>
  <si>
    <t xml:space="preserve">736 Street Rd. </t>
  </si>
  <si>
    <t>houghtoncarnival@aol.com</t>
  </si>
  <si>
    <t>P-400-23132-018169</t>
  </si>
  <si>
    <t xml:space="preserve">Employer will make all deductions from the worker’s paycheck required by law. Optional housing (valued at $150.00 per week) and local convenience travel (valued at $25.00 per week) are available at no cost to the worker. </t>
  </si>
  <si>
    <t>H-400-23240-301079</t>
  </si>
  <si>
    <t xml:space="preserve">Mon-Club Management, Inc. </t>
  </si>
  <si>
    <t>The Mountain Club on Loon</t>
  </si>
  <si>
    <t>90 Loon Mountain Road</t>
  </si>
  <si>
    <t>McIver</t>
  </si>
  <si>
    <t>President/General Manager</t>
  </si>
  <si>
    <t>jmciver@mtnclub.com</t>
  </si>
  <si>
    <t xml:space="preserve">The petitioner will consider for employment any person who possesses at least three (3) months of cleaning experience at a high-end hotel, resort, or private club.  
</t>
  </si>
  <si>
    <t>Wage: $16.50 - $22.50 per hour, paid weekly.  Please see job description for additional information.</t>
  </si>
  <si>
    <t>P-400-23186-166881</t>
  </si>
  <si>
    <t>Optional housing is offered on a first-come, first-serve basis for workers who are relocating to begin employment.  Cost of housing including utilities, Cable TV, linens, and a kitchen, if accepted, is $95.00 per week.  If used, total cost of housing will be deducted from paycheck.  A $100.00 security deposit is required, to be deducted in equal $25.00 installments from employee’s first four (4) paychecks.  Deposit will be returned to the employee based on the condition of the housing at the employer’s sole discretion, at the end of the employment period.</t>
  </si>
  <si>
    <t>H-400-23184-162242</t>
  </si>
  <si>
    <t>Venice Enterprises, Inc.</t>
  </si>
  <si>
    <t>1715 Peppervine Way</t>
  </si>
  <si>
    <t>Sugar Land</t>
  </si>
  <si>
    <t>Medardo</t>
  </si>
  <si>
    <t>Mike@Venice-usa.com</t>
  </si>
  <si>
    <t xml:space="preserve">1414 Valero Way </t>
  </si>
  <si>
    <t xml:space="preserve">Corpus Christi </t>
  </si>
  <si>
    <t>P-400-23110-951967</t>
  </si>
  <si>
    <t>Resumes@Venice-Inc.com</t>
  </si>
  <si>
    <t>H-400-23285-426454</t>
  </si>
  <si>
    <t>D &amp; C Pride of Texas Shows, Inc.</t>
  </si>
  <si>
    <t>Pride of Texas Shows</t>
  </si>
  <si>
    <t>2510 Leroy Parkway</t>
  </si>
  <si>
    <t>(Mail: PO Box 130, Elm Mott TX 76640)</t>
  </si>
  <si>
    <t>Elm Mott</t>
  </si>
  <si>
    <t>Barton</t>
  </si>
  <si>
    <t>chrisbbarton@msn.com</t>
  </si>
  <si>
    <t>501 East Escondido Road</t>
  </si>
  <si>
    <t>Kingsville</t>
  </si>
  <si>
    <t>KLEBERG</t>
  </si>
  <si>
    <t>P-400-23194-188051</t>
  </si>
  <si>
    <t xml:space="preserve">Employer will make all deductions from the worker’s paycheck required by law.  In addition, the employer intends to make the following deductions from the worker’s paycheck which are not required by law:   NONE Optional mobile housing (valued at $150.00 per week) and local convenience travel (valued at $25.00 per week) are available at no cost to the worker.  </t>
  </si>
  <si>
    <t>Chris@prideoftexasshowsinc.com</t>
  </si>
  <si>
    <t>H-400-23199-198541</t>
  </si>
  <si>
    <t>Moon Valley Nursery of Tennessee Retail, LLC - Franklin</t>
  </si>
  <si>
    <t xml:space="preserve">Saturday work required, when necessary. Hours and overtime required may vary based on weather conditions and project need.  On-the-job training will be provided. All tools/supplies req'd, provided at no cost.  Must lift/carry 50 LBS. when necessary. Travel to customer locations for installations within the Williamson County of Tennessee.
</t>
  </si>
  <si>
    <t>4114 Murfreesboro Road</t>
  </si>
  <si>
    <t>P-400-23158-088803</t>
  </si>
  <si>
    <t>H-400-23248-320719</t>
  </si>
  <si>
    <t>Little River Holdings LLC</t>
  </si>
  <si>
    <t>Talta Lodge</t>
  </si>
  <si>
    <t>3343 Mountain Road</t>
  </si>
  <si>
    <t>Wage: $15.97 - $19.00 per hour, paid weekly. Overtime is available at $23.96 - $28.50 per hour.</t>
  </si>
  <si>
    <t>P-400-23191-177851</t>
  </si>
  <si>
    <t>Optional housing is offered on a first-come, first-serve basis for workers who are relocating to begin employment. Cost of housing, if accepted, is $50.00 per week, including utilities. If used, total cost of housing will be deducted from paycheck.</t>
  </si>
  <si>
    <t>H-400-23248-320700</t>
  </si>
  <si>
    <t>Hunter OpCo, LLC</t>
  </si>
  <si>
    <t>Hunter Lodge</t>
  </si>
  <si>
    <t>7433 Main Street</t>
  </si>
  <si>
    <t>Hunter</t>
  </si>
  <si>
    <t>Wage: $16.19 - $19.00 per hour, paid weekly. Overtime is available at $24.29 - $28.50 per hour.</t>
  </si>
  <si>
    <t>P-400-23191-177358</t>
  </si>
  <si>
    <t>Optional housing is offered on a first-come, first-serve basis for workers who are relocating to begin employment. Cost of housing, if accepted, is $65.00 per week for a shared room with a full kitchen and access to laundry. The cost also includes one meal per day (breakfast). If used, total cost of housing will be deducted from paycheck.</t>
  </si>
  <si>
    <t>H-400-23236-292613</t>
  </si>
  <si>
    <t>Ninja Coach</t>
  </si>
  <si>
    <t>Coaches and Scouts</t>
  </si>
  <si>
    <t>Action Growth Partners LLC</t>
  </si>
  <si>
    <t>Action Athletics</t>
  </si>
  <si>
    <t>475 Washington Street</t>
  </si>
  <si>
    <t>Wellesley</t>
  </si>
  <si>
    <t>Brosey</t>
  </si>
  <si>
    <t>Culver</t>
  </si>
  <si>
    <t>nate@action-athletics.com</t>
  </si>
  <si>
    <t>Must be able to work with children and demonstrate obstacle/parkour techniques</t>
  </si>
  <si>
    <t>WELLESLEY</t>
  </si>
  <si>
    <t>P-400-23228-268674</t>
  </si>
  <si>
    <t>P-400-23236-292451</t>
  </si>
  <si>
    <t>info@action-athletics.com</t>
  </si>
  <si>
    <t>action-athletics.com</t>
  </si>
  <si>
    <t>H-400-23215-237780</t>
  </si>
  <si>
    <t xml:space="preserve">Six (6) months of culinary experience in a fine-dining or high-volume environment at a high-end restaurant, resort, or private club required.  On-the-job training is provided.    Applicant must provide Pre-employment Criminal Background Check and Pre-employment Drug Test is required.
Min. 35 hrs/week. Shifts: Work schedule can vary and can include evening, weekend, and holiday hours. Work may be performed on any day of the week from Monday through Sunday. Example shifts: 7am - 2pm, 9am - 4pm, or 4pm- 11am. Shift hours may vary. </t>
  </si>
  <si>
    <t>P-400-23143-046794</t>
  </si>
  <si>
    <t>H-400-23237-296895</t>
  </si>
  <si>
    <t>Lynn Chleborad Racing</t>
  </si>
  <si>
    <t>6561 NE 46th Street</t>
  </si>
  <si>
    <t>Chleborad</t>
  </si>
  <si>
    <t>tbtrainerlc@msn.com</t>
  </si>
  <si>
    <t>Oaklawn Racing and Gaming</t>
  </si>
  <si>
    <t>2705 Central Ave</t>
  </si>
  <si>
    <t>P-400-23128-003027</t>
  </si>
  <si>
    <t>State and Federal Taxes; Optional employer-offered housing in the backstretch at no cost to the worker.</t>
  </si>
  <si>
    <t>H-400-23215-234982</t>
  </si>
  <si>
    <t>P-400-23177-143131</t>
  </si>
  <si>
    <t>H-400-23292-444998</t>
  </si>
  <si>
    <t>Auto Detailer</t>
  </si>
  <si>
    <t>Frank's Detail, Inc.</t>
  </si>
  <si>
    <t>11801 West Colonial Drive</t>
  </si>
  <si>
    <t xml:space="preserve">Bldg. 3, </t>
  </si>
  <si>
    <t>Ocoee</t>
  </si>
  <si>
    <t>Yvette</t>
  </si>
  <si>
    <t>Bldg. 3</t>
  </si>
  <si>
    <t>dwilliams@franksdetail.com</t>
  </si>
  <si>
    <t>Malitz</t>
  </si>
  <si>
    <t>Jeanne</t>
  </si>
  <si>
    <t>1295 Scott Street</t>
  </si>
  <si>
    <t xml:space="preserve">San Diego </t>
  </si>
  <si>
    <t>info@malitzlaw.com</t>
  </si>
  <si>
    <t>Malitzlaw, Inc.</t>
  </si>
  <si>
    <t xml:space="preserve">Yes-Drug Screening and Background Checkpost-offer. Drivers License and/or knowledge of operating a vehicle. </t>
  </si>
  <si>
    <t>4900 Buffington Road</t>
  </si>
  <si>
    <t>$14.56/hr. Piece-Rate is $2.00 per car per person.</t>
  </si>
  <si>
    <t>P-400-23181-158999</t>
  </si>
  <si>
    <t xml:space="preserve">The Employer will make all deductions from the worker’s paycheck required by law including federal income tax, state income tax in states that have state income tax, local taxes, if applicable, Medicare (if applicable), Social Security (if applicable), Medical Insurance (if applicable) and selected ancillary insurance, 401(k) plan (if eligible and employee opts in), advances and overpayments. Housing deposits,  rent, housing application fee, and/or transportation. Employer may deduct damages to employer-provided tools/equipment where damage is beyond normal wear and tear and the employee agrees in writing to the deduction. Employer may deduct any other costs permitted or required by law (i.e. garnishments) to the extent applicable. </t>
  </si>
  <si>
    <t>H-400-23248-320352</t>
  </si>
  <si>
    <t>UNIT 11</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</si>
  <si>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12-month hotel/resort housekeeping experience required
	Rotate/split shifts
	Supplies, work tools and equipment are provided free
	The employer will make all deductions from worker's paycheck required by law
	Must lift/carry 50 lbs., when necessary.  
	Supplies, work tools &amp; equipment are provided free
	No daily transportation to/from work provided.
	No on the job training provided. 
	Must be 18 to apply
</t>
  </si>
  <si>
    <t xml:space="preserve">15 Highway 50, </t>
  </si>
  <si>
    <t>•	Raises and/or bonuses may be offered based on individual factors including work performance, skill, and tenure</t>
  </si>
  <si>
    <t>P-400-23142-042030</t>
  </si>
  <si>
    <t>H-400-23207-215289</t>
  </si>
  <si>
    <t>DAVID SEAN MCCARTHY</t>
  </si>
  <si>
    <t>1317 INLET PL</t>
  </si>
  <si>
    <t xml:space="preserve"> 1317 INLET PL</t>
  </si>
  <si>
    <t>Dmccarthy@nhgalaska.com</t>
  </si>
  <si>
    <t xml:space="preserve">The Nanny agrees that she will obtain Cardiopulmonary Resuscitation (CPR) Certification training for infants before or after arriving to the worksite. The Employer will compensate the nanny for the costs of any such certification.
Nanny will have to undertake driving lessons in the US, if they do not have a driver's license, or have a foreign driver's license.
Employees should expect hours to vary, based on the need of parents to be on the work on the weekends.
</t>
  </si>
  <si>
    <t>P-400-23165-111206</t>
  </si>
  <si>
    <t>Employer will make all deductions required by law. Employer will provide housing at no additional charge to the Employee.</t>
  </si>
  <si>
    <t>H-400-23220-248100</t>
  </si>
  <si>
    <t>Noda Racing Inc</t>
  </si>
  <si>
    <t>249 Claflin Blvd</t>
  </si>
  <si>
    <t>Franklin Square</t>
  </si>
  <si>
    <t>Noda</t>
  </si>
  <si>
    <t>orlandonoda321@gmail.com</t>
  </si>
  <si>
    <t>Aquaduct Race Track</t>
  </si>
  <si>
    <t>110-00 Rockaway Road</t>
  </si>
  <si>
    <t>South Ozone Oark</t>
  </si>
  <si>
    <t>QUEENS</t>
  </si>
  <si>
    <t>P-400-23123-988222</t>
  </si>
  <si>
    <t>State and Federal Taxes, Optional housing and utilities will be provided at the backstretch at no cost to the workers.</t>
  </si>
  <si>
    <t>H-400-23200-199607</t>
  </si>
  <si>
    <t>Winter Maintenance and Repair Workers</t>
  </si>
  <si>
    <t>Sharpe's Outdoor Services LLC</t>
  </si>
  <si>
    <t>2960 Harvest Dr</t>
  </si>
  <si>
    <t>Howell</t>
  </si>
  <si>
    <t>Sharpe</t>
  </si>
  <si>
    <t>2960 Harvest Dr.</t>
  </si>
  <si>
    <t>outdooremployment@gmail.com</t>
  </si>
  <si>
    <t>9776 Galatian Dr</t>
  </si>
  <si>
    <t>Whitmore Lake</t>
  </si>
  <si>
    <t>jessica@ihcpllc.com</t>
  </si>
  <si>
    <t>In-House Counsel, PLLC</t>
  </si>
  <si>
    <t xml:space="preserve">Ability to lift 50+ pounds and tolerate severe winter weather conditions. Schedule flexibility is a must in accordance to the weather and need. 	Must be able to tolerate extreme temperatures, loud noises, lift heavy equipment and exhibit stamina. Work will be performed at multiple work sites throughout the Howell area including the counties of Oakland and Livingston. Travel between the worker's residence and the main office is not compensated, however, worker will be paid during travel between work sites. Employer will provide all daily transportation from the main office at 2960 Harvest Dr. Howell, Michigan 48843 to and from the work sites. Employer will also provide each work crew with daily transportation between the work site locations in Livingston and Oakland counties which are all within a 10-mile radius of each other.
</t>
  </si>
  <si>
    <t>Workers will be paid no less than $21.07 per hour. Overtime hours may be available and will vary depending on weather or extra work not completed during a normal workday and will begin once the worker has worked more than 40 hours/week. Overtime will be paid at $31.61 per hour. The employer will make all deductions from the worker's paycheck required by law.</t>
  </si>
  <si>
    <t>P-400-23131-013435</t>
  </si>
  <si>
    <t xml:space="preserve">Shared lodging is available in employer-owned rental housing at a rate of $75 per person, per week for workers that cannot reasonably return to their original residence daily. In the event this option is utilized the amount of $150.00 will be deducted on a bi-weekly basis from the worker’s paycheck. </t>
  </si>
  <si>
    <t>www.sharpesoutdoorservices.com</t>
  </si>
  <si>
    <t>H-400-23250-328042</t>
  </si>
  <si>
    <t>P-400-23203-208301</t>
  </si>
  <si>
    <t>H-400-23212-227118</t>
  </si>
  <si>
    <t xml:space="preserve">Server Assistant </t>
  </si>
  <si>
    <t>Quail Creek Country Club, Inc.</t>
  </si>
  <si>
    <t>13300 Valewood Drive</t>
  </si>
  <si>
    <t>pgiraldo@quailcreekcc.com</t>
  </si>
  <si>
    <t xml:space="preserve">The Petitioner will consider for employment any applicant who possesses at least three (3) months of experience in a ne-dining or high-volume environment at a high-end restaurant, resort, or private club. Applicant must complete pre-employment drug screening. 
</t>
  </si>
  <si>
    <t>13300 Valewood Dr</t>
  </si>
  <si>
    <t>Tipped position with guaranteed wage of $14.33 per hour, paid bi-weekly.  See job description for additional detail.</t>
  </si>
  <si>
    <t>P-400-23167-119984</t>
  </si>
  <si>
    <t xml:space="preserve">Optional housing is offered on a first-come, first-serve basis for workers who are relocating to begin employment.  Cost of housing and utilities (including internet and renters insurance), if accepted, is $350 per bi-weekly pay period.  If used, total cost of housing will be deducted from paycheck.  A $350.00 refundable security deposit is required, to be deducted from paycheck in equal $87.50 installments from employee’s first four (4) paychecks.  
Additional, optional benefits may be offered to worker, for worker’s sole benefit, including but not limited to 401k.  If voluntarily elected by worker, employee costs/contributions for benefits will be deducted from paycheck. 
</t>
  </si>
  <si>
    <t>H-400-23221-250911</t>
  </si>
  <si>
    <t>Brookside Garden Center, LLC</t>
  </si>
  <si>
    <t>850 Flying Cloud Drive</t>
  </si>
  <si>
    <t xml:space="preserve">Wolf </t>
  </si>
  <si>
    <t>MWOLFHLL@GMAIL.COM</t>
  </si>
  <si>
    <t xml:space="preserve">Must be able to perform physical labor outdoors for up to 8 hours per day in all weather conditions, including cold, snow, heat, and rain. Some OT and weekends required when necessary. Must be able to lift up to 50 lbs.
</t>
  </si>
  <si>
    <t>P-400-23179-150609</t>
  </si>
  <si>
    <t>EMPLOYER WILL MAKE ALL DEDUCTIONS REQUIRED BY LAW AND NO OTHERS without
consent from worker. Employer will assist workers in securing board, lodging, or other facilities. Optional housing is available. Rent and utilities may be deducted from paycheck if elected.</t>
  </si>
  <si>
    <t>H-400-23215-236402</t>
  </si>
  <si>
    <t>Exceptional Stays, Inc</t>
  </si>
  <si>
    <t>Telluride Rentals</t>
  </si>
  <si>
    <t>209 E Colorado Ave.</t>
  </si>
  <si>
    <t>Bodin</t>
  </si>
  <si>
    <t>Polly</t>
  </si>
  <si>
    <t>Polly@nocturneluxuryvillas.com</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</si>
  <si>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Hours may fluctuate based on tourism peaks and valleys throughout the season (+/-), possible downtime and/or overtime. 
</t>
  </si>
  <si>
    <t>315 Adams Ranch Rd (Report to Work)</t>
  </si>
  <si>
    <t>Suite 2-2D</t>
  </si>
  <si>
    <t>P-400-23142-042081</t>
  </si>
  <si>
    <t>H-400-23241-305950</t>
  </si>
  <si>
    <t>Pesticide Handlers, Sprayers, and Applicators, Vegetation</t>
  </si>
  <si>
    <t>Bumgardners Landscape Management, Inc.</t>
  </si>
  <si>
    <t>7878 Blackwell Road</t>
  </si>
  <si>
    <t xml:space="preserve">Must pass post-hire drug screen and criminal background check.  Must be able to lift 50 lbs.
</t>
  </si>
  <si>
    <t>P-400-23192-181783</t>
  </si>
  <si>
    <t>Optional shared housing ($400/month) and local convenience travel ($30/week) are available for wage credit and/or deduction or any lesser amount to the maximum extent not prohibited by law.</t>
  </si>
  <si>
    <t>H-400-23198-194920</t>
  </si>
  <si>
    <t>J&amp;J Installation, LLC</t>
  </si>
  <si>
    <t>2175 Thomasville St</t>
  </si>
  <si>
    <t xml:space="preserve">Contreras </t>
  </si>
  <si>
    <t>jjinstallation2015@gmail.com</t>
  </si>
  <si>
    <t xml:space="preserve">Prolonged walking, standing, bending, stooping, and reaching.  All work is performed outdoors during all types of weather conditions.  The use or possession or being under the influence of illegal drugs or alcohol during working time is prohibited. Workers may be requested to submit to random drug or alcohol tests at no cost to the worker. Failure to comply with the request or testing positive may result in immediate termination.  All testing will occur post-hire and is not a part of the interview process.  Negative result required before beginning work.  Must not hinder another workers productivity.  Use of personal cell phone or other personal electronic device during working hours strictly prohibited except for work-related calls or emergencies and violation may result in immediate termination.  Must be able to lift and carry 50 lbs.  Must be able to lift 50 lbs. to shoulder height repetitively throughout the working day.  Requires three months verifiable prior work experience as a landscaping laborer.
</t>
  </si>
  <si>
    <t>Report to work address</t>
  </si>
  <si>
    <t>Raises, bonuses, and/or incentive pay may be offered at the employer’s sole discretion based on individual factors.</t>
  </si>
  <si>
    <t>P-400-23130-009511</t>
  </si>
  <si>
    <t xml:space="preserve">FICA, Medicare and income taxes as required by law.  The employer may make authorized deductions required by law; made under a court order; that are for the reasonable cost or fair value of board, lodging, and facilities furnished that primarily benefit the employee (if applicable) (board, lodging or other facilities are optional to the workers); that are amounts paid to third parties authorized by the employee or a collective bargaining agreement; repayment of cash advances or loans; repayment of overpayment of wages to the worker; payment for articles which the worker has voluntarily purchased from the employer; recovery of any loss to the employer due to the worker’s damage, beyond normal wear and tear, or loss of equipment where it is shown that the worker is responsible.  </t>
  </si>
  <si>
    <t>H-400-23215-236826</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</si>
  <si>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and drug screening. 
</t>
  </si>
  <si>
    <t xml:space="preserve">Wage: $17.22 - $26.00 per hour, paid bi-weekly.  Overtime is available at $25.83 - $39.00 per hour. </t>
  </si>
  <si>
    <t>P-400-23167-117877</t>
  </si>
  <si>
    <t>H-400-23184-164819</t>
  </si>
  <si>
    <t>Front Desk Attendants</t>
  </si>
  <si>
    <t>Adventure Time Rentals, LLC</t>
  </si>
  <si>
    <t>1146 Beaver Lodge Road</t>
  </si>
  <si>
    <t>Silverthorne</t>
  </si>
  <si>
    <t>Itzmer</t>
  </si>
  <si>
    <t xml:space="preserve">Silverthorne </t>
  </si>
  <si>
    <t>itzmerlopez@gmail.com</t>
  </si>
  <si>
    <t>Hurtado-Myers</t>
  </si>
  <si>
    <t>2077 N. Frontage Road W.</t>
  </si>
  <si>
    <t>Suite 112</t>
  </si>
  <si>
    <t>mitchelllfaison@gmail.com</t>
  </si>
  <si>
    <t>Hurtado Law, PLLC</t>
  </si>
  <si>
    <t>1705 Airport Road</t>
  </si>
  <si>
    <t>#2A</t>
  </si>
  <si>
    <t>Breckenridge</t>
  </si>
  <si>
    <t>P-400-23146-059100</t>
  </si>
  <si>
    <t>All state and federal deduction allow by law.
Employer will assist workers in obtaining housing at $50 week</t>
  </si>
  <si>
    <t>H-400-23292-445008</t>
  </si>
  <si>
    <t>8001 Jefferson Highway</t>
  </si>
  <si>
    <t>Maple Grove</t>
  </si>
  <si>
    <t>Piece-Rate is $2.00 per car per person.</t>
  </si>
  <si>
    <t>P-400-23181-159001</t>
  </si>
  <si>
    <t>H-400-23198-192490</t>
  </si>
  <si>
    <t>The TwinEagles Club, Inc.</t>
  </si>
  <si>
    <t>11725 Twin Eagles Boulevard</t>
  </si>
  <si>
    <t>Chaffee</t>
  </si>
  <si>
    <t>MChaffee@thetwineaglesclub.com</t>
  </si>
  <si>
    <t>The Petitioner will consider for employment any person who possesses at least six (6) months of culinary experience in a fine-dining or high-volume environment at a high-end restaurant, resort, or private club.
Successful applicant must pass pre-employment background check and drug screening.
workday schedule may vary and can include evening and weekend hours. Work performed on any day of the week from Monday through Sunday; shift 6:00am to 1:00pm or 10:00pm to 5:00pm or 4:00pm to 11:00pm. Shift hours may vary. It is unclear the number of workdays and total hourly work schedule per week</t>
  </si>
  <si>
    <t>Wage: $16.75 - $22.00 per hour, paid bi-weekly.  See job description for additional information.</t>
  </si>
  <si>
    <t>P-400-23140-040087</t>
  </si>
  <si>
    <t xml:space="preserve">Optional housing is offered on a first-come, first-serve basis for workers who are relocating to begin employment.  Cost of housing, if accepted, is $250.00 - $300.00 per bi-weekly pay period.  If used, total cost of housing will be deducted from paycheck.  A $250.00 – $300.00 refundable security deposit is required, to be deducted from paycheck in equal $125.00 – $150.00 installments from employee’s first two (2) paychecks.  Employee will forfeit the security deposit if the employee leaves before the petition end date.
Additional, optional benefits may be offered to worker, for worker’s sole benefit, including but not limited to medical, dental, vision and any other voluntary benefits available.  If voluntarily elected by worker, employee costs/contributions for benefits will be deducted from paycheck.  The TwinEagles Club also provides $25,000.00 worth of life insurance at no cost to the employee (effective the first (1st) of the month following 60 days of employment).
</t>
  </si>
  <si>
    <t>jowens@thetwineaglesclub.com</t>
  </si>
  <si>
    <t>H-400-23258-349061</t>
  </si>
  <si>
    <t>Production Worker Helper</t>
  </si>
  <si>
    <t xml:space="preserve">Must be able to lift and carry 25lbs for 25 yds, work in temperature extremes with high noise levels, prolonged standing, traverse production area, ascend or descend stairs or ladders, follow safety standards and wear protective equipment and work in fast-paced, dusty manufacturing environment. 
</t>
  </si>
  <si>
    <t>300 N Hwy 81 Bypass</t>
  </si>
  <si>
    <t>Wage rate may vary based on experience and/or merit. Up to 10 hours overtime may be available but not guaranteed.</t>
  </si>
  <si>
    <t>P-400-23150-062204</t>
  </si>
  <si>
    <t>ALL DEDUCTIONS FROM THE WORKER'S PAYCHECK WILL BE MADE AS REQUIRED BY LAW. THE EMPLOYER WILL USE A SINGLE WORKWEEK AS ITS STANDARD FOR COMPUTING WAGES AND PAY BI-WEEKLY BY CHECK. EMPLOYEES WHO ELECT TO LIVE IN THE HOUSING WILL HAVE $250 DEDUCTED PER BI-WEEKLY PERIOD. ANY ADVANCES WILL BE DEDUCTED WITH THE CONSENT OF THE EMPLOYEE.</t>
  </si>
  <si>
    <t>H-400-23248-320702</t>
  </si>
  <si>
    <t>433 Mountain Road Operating Company LLC</t>
  </si>
  <si>
    <t>Field Guide</t>
  </si>
  <si>
    <t>433 Mountain Road</t>
  </si>
  <si>
    <t xml:space="preserve">The petitioner will consider for employment any person who possesses at least three (3) months of experience at a high-end hotel, resort, or private club.  
</t>
  </si>
  <si>
    <t>P-400-23191-176941</t>
  </si>
  <si>
    <t>Optional housing is offered. Housing is limited and may not be available to all workers who might need it. Cost of housing, including utilities, if accepted, is $100.00 per week for a shared room with access to kitchen and laundry. If used, total cost of housing will be deducted from worker’s paycheck.</t>
  </si>
  <si>
    <t>H-400-23229-274641</t>
  </si>
  <si>
    <t>NOVA STONE LLC</t>
  </si>
  <si>
    <t>5409 CR 124</t>
  </si>
  <si>
    <t>SAN SABA</t>
  </si>
  <si>
    <t>NOVASTONELLC@GMAIL.COM</t>
  </si>
  <si>
    <t>P-400-23116-966833</t>
  </si>
  <si>
    <t>Employer will deduct all required federal, state and local taxes only.  Employer will assist workers in securing board, lodging, and other facilities only.</t>
  </si>
  <si>
    <t>novastonellc@gmail.com</t>
  </si>
  <si>
    <t>H-400-23215-234833</t>
  </si>
  <si>
    <t>Solitude Mountain Ski Area, LLC</t>
  </si>
  <si>
    <t>Solitude Mountain Resort</t>
  </si>
  <si>
    <t>12000 Big Cottonwood Canyon</t>
  </si>
  <si>
    <t>Solitude</t>
  </si>
  <si>
    <t>Hatcher</t>
  </si>
  <si>
    <t>Cassandra</t>
  </si>
  <si>
    <t>HR Recruiting Specialist</t>
  </si>
  <si>
    <t>c.hatcher@solitudemountain.com</t>
  </si>
  <si>
    <t>Capable of standing for extended periods of time and lifting up to 30 lbs.
1 year experience in housekeeping or as room attendant.
Post-Hire Background Check Required.
On-the-Job Training provided.
Shifts available 7 days a week including weekends and holidays. Multiple shifts available seven days a week including weekends and holidays between the hours of 7:00 AM-3:00 PM.
Hourly Wage: $17.25 - $21.25/hour.
Overtime Possible at $25.88 - $31.88/hour.
Possible Wage Increase: based on merit and past experience with our company.</t>
  </si>
  <si>
    <t>12000 E Big Cottonwood Canyon</t>
  </si>
  <si>
    <t>P-400-23138-034946</t>
  </si>
  <si>
    <t>All deductions required by law will be made.
No Housing or Assistance Provided.
Daily transportation to worksite provided through Employee Shuttle, UTA bus transit.
Optional Deductions from Paycheck: Lost or stolen ski pass and Nametags, ruined or lost uniform, 401K.
Post-Hire Background Check Required.
Benefits: Ski lift passes for employees and eligible dependents or 1 friend, discounts at all restaurants and retail. Three (3) free group ski lesson, with 3 days of ski rentals, discounts on lodging and day pass to other resorts in the area.</t>
  </si>
  <si>
    <t>H-400-23215-235060</t>
  </si>
  <si>
    <t>CLEANUP WORKER</t>
  </si>
  <si>
    <t>WM CENTRAL JERSEY INC</t>
  </si>
  <si>
    <t>BRINKMAN</t>
  </si>
  <si>
    <t>P-400-23122-984232</t>
  </si>
  <si>
    <t>DMURPHY@ONSITELM.COM</t>
  </si>
  <si>
    <t>H-400-23271-392319</t>
  </si>
  <si>
    <t>The Woodstock Resort Corporation</t>
  </si>
  <si>
    <t>Woodstock Inn &amp; Resort</t>
  </si>
  <si>
    <t>9 Cross Street</t>
  </si>
  <si>
    <t>Geiger</t>
  </si>
  <si>
    <t>Judith</t>
  </si>
  <si>
    <t>jag@woodstockinn.com</t>
  </si>
  <si>
    <t xml:space="preserve">The Petitioner will consider for employment any person who possesses at least three (3) months of experience in a fine-dining or high-volume environment at a high-end restaurant, resort, or private club.  
Applicant must complete pre-employment background check.  
</t>
  </si>
  <si>
    <t>14 The Green</t>
  </si>
  <si>
    <t>WOODSTOCK</t>
  </si>
  <si>
    <t>Tipped position with guaranteed wage of $21.49 per hour, paid bi-weekly. See job description for additional detail.</t>
  </si>
  <si>
    <t>P-400-23216-240733</t>
  </si>
  <si>
    <t xml:space="preserve">Optional housing is offered on a first-come, first-serve basis for workers who are relocating to begin employment.  Cost of housing, if accepted, is $55.00 per week and includes utilities and one meal per day.  If used, total cost of housing will be paid directly to employer.  A $100.00 refundable security deposit is required, to be paid directly to employer upon acceptance of housing. </t>
  </si>
  <si>
    <t>H-400-23276-407505</t>
  </si>
  <si>
    <t>P-400-23185-165981</t>
  </si>
  <si>
    <t>H-400-23285-428366</t>
  </si>
  <si>
    <t xml:space="preserve">Howes </t>
  </si>
  <si>
    <t>Optional employee housing available at a rate of $150/week to be deducted from paycheck if housing is elected.</t>
  </si>
  <si>
    <t>P-400-23261-355881</t>
  </si>
  <si>
    <t>H-400-23229-273739</t>
  </si>
  <si>
    <t>Wage: $17.00 – $17.51 per hour, paid bi-weekly.  See job description.</t>
  </si>
  <si>
    <t>P-400-23178-147801</t>
  </si>
  <si>
    <t>H-400-23248-319932</t>
  </si>
  <si>
    <t>Ski Instructor Level 3</t>
  </si>
  <si>
    <t xml:space="preserve">A current PSIA Level 3 Alpine Certification or foreign equivalent.
1500 hours (approximately 9 full-time months) of experience teaching alpine skiing.
On-the-job training is provided.
Hours Per Week: 35. Shifts available 7 days a week including weekends and holidays. Daytime shifts: 8:30am - 4pm, including weekends and holidays.
Wage: Per Hour: $22.47 - $51.45/hour. Overtime possible at hourly wage of $33.71 - $77.18 
Possible Wage Increase: Deer Valley offers pay raises based on performance and merit. Each employee receives a performance review at the end of each season, based on these reviews employees will receive a merit from 0% - 5% for the start of the next winter season. Employees may receive spot raises based on their performance.
Pre-employment background checks are completed in new hire onboarding with Human Resources. Drug screening is completed randomly, if there is a worksite injury, or if there is damage to Deer Valley property that is more than $150.
</t>
  </si>
  <si>
    <t>based on merit and experience.</t>
  </si>
  <si>
    <t>P-400-23138-034800</t>
  </si>
  <si>
    <t>All deductions required by law will be made.
Housing is offered &amp; optional. If accepted, cost is $119-$185.50/week, subject to change. If used, total cost of housing will be deducted from paycheck. A $250 partially refundable security deposit is required, to be paid directly to employer upon acceptance of housing. Up to $200 of deposit may be returned to the employee based on condition of housing, at the employer's sole discretion, at the end of the employment period. Will assist in finding third party housing by providing a list of available contacts in the Park City area that staff can contact directly.Daily transportation to and from the worksite is not provided. All worksites are accessible by the Park City Transit system.Optional deductions from paycheck offered for meals, 401K, health insurance, non-returned company items, housing rent &amp; fines, employee entertainment events and functions.Benefits: meal plans are $3.50/meal, ski lift passes are free, retail disc. ...See Job Order.</t>
  </si>
  <si>
    <t>khammel@deervalley.com</t>
  </si>
  <si>
    <t>H-400-23244-317359</t>
  </si>
  <si>
    <t>HFJ MASONRY &amp; LANDSCAPING LLC</t>
  </si>
  <si>
    <t>419 Rowayton Avenue</t>
  </si>
  <si>
    <t>Norwalk</t>
  </si>
  <si>
    <t>Corona</t>
  </si>
  <si>
    <t>hjf.masandland@gmail.com</t>
  </si>
  <si>
    <t>Syed</t>
  </si>
  <si>
    <t>Midhat</t>
  </si>
  <si>
    <t>60 Long Ridge Road</t>
  </si>
  <si>
    <t>Suite 202</t>
  </si>
  <si>
    <t>msyed@syedpc.com</t>
  </si>
  <si>
    <t>Law Offices of Midhat Syed LLC</t>
  </si>
  <si>
    <t>419  Rowayton Avenue</t>
  </si>
  <si>
    <t>P-400-23192-181904</t>
  </si>
  <si>
    <t>hfj.masandland@gmail.com</t>
  </si>
  <si>
    <t>H-400-23283-422199</t>
  </si>
  <si>
    <t>West Farms Crawfish, LLC</t>
  </si>
  <si>
    <t>1769 L'anse Meg Road</t>
  </si>
  <si>
    <t>1769 L'anse Meg  Road</t>
  </si>
  <si>
    <t>westfarmscrawfish@yahoo.com</t>
  </si>
  <si>
    <t xml:space="preserve">Must process at least 40 pounds of product per day to meet the minimum production standard within two weeks of employment.
</t>
  </si>
  <si>
    <t>P-400-23193-184698</t>
  </si>
  <si>
    <t xml:space="preserve">Employer will make all deductions for workers’ paycheck as required by law; deductions Employer intends to make from paycheck, which are not required by law, if applicable, would be deductions for housing, as discussed above, if employee choose voluntary housing option. Employer may allow deductions not required by law as long as advance permission is granted by employee or Employer will state the specific deductions.  Voluntary, low-cost housing is available to workers for the option to board; $50/week is deducted from workers’ paychecks for workers who choose housing; all utilities paid; housing is not mandatory.
</t>
  </si>
  <si>
    <t>H-400-23184-162316</t>
  </si>
  <si>
    <t>902 Cedar (Report to Work)</t>
  </si>
  <si>
    <t>P-400-23116-969268</t>
  </si>
  <si>
    <t>H-400-23280-416957</t>
  </si>
  <si>
    <t>Juicys LLC</t>
  </si>
  <si>
    <t>5380 Gulf of Mexico Dr</t>
  </si>
  <si>
    <t>Enright</t>
  </si>
  <si>
    <t>5380 Gulf of Mexico Dr Ste 105</t>
  </si>
  <si>
    <t>brett@magicmoney.com</t>
  </si>
  <si>
    <t>7400 E. Monte Cristo Ave.</t>
  </si>
  <si>
    <t>P-400-23194-188115</t>
  </si>
  <si>
    <t>employment@juicysfood.com</t>
  </si>
  <si>
    <t>H-400-23215-235778</t>
  </si>
  <si>
    <t>Tipped position with guaranteed wage of $15.78 per hour, paid bi-weekly. See job description for details.</t>
  </si>
  <si>
    <t>H-400-23243-312052</t>
  </si>
  <si>
    <t>Helper-Installation, Maintenance, &amp; Repair Workers</t>
  </si>
  <si>
    <t>Rice Belt Distributors, Inc.</t>
  </si>
  <si>
    <t>PO Box 1895</t>
  </si>
  <si>
    <t>1027 W Second Street</t>
  </si>
  <si>
    <t>Darrell</t>
  </si>
  <si>
    <t>ricebelt1@yahoo.com</t>
  </si>
  <si>
    <t xml:space="preserve">MUST BE ABLE TO LIFT BETWEEN 30-40LBS. WORK IS PERFORMED IN ALL TYPES OF WEATHER. MUST BE PHYSICALLY ABLE TO PERFORM JOB, MUST NOT HAVE A FEAR OF HEIGHTS, OR BE CLAUSTROPHOBIC. MUST BE AVAILABLE FOR THE ENTIRE SEASON, ABLE, WILLING, AND QUALIFIED TO PERFORM THE WORK. WORKER MAY BE REQUIRED TO TAKE A RANDOM DRUG TEST, POST-HIRE, AT NO COST TO WORKER. TESTING POSITIVE OR FAILURE TO COMPLY MAY RESULT IN IMMEDIATE TERMINATION OF EMPLOYMENT.  Minimum Age: 18.
</t>
  </si>
  <si>
    <t>P-400-23163-100456</t>
  </si>
  <si>
    <t>H-400-23239-298818</t>
  </si>
  <si>
    <t>Compliance with all company policies and procedures as well as any regulatory requirements. Must be a minimum 15 years of age. Lift approximately 50 lbs. on a regular basis. Stand for long periods of time. Criminal background check pre-hire when residing in employee housing only.
On the Job Training is Provided.
Following Shifts available 7 days a week including weekends and holidays. 7:00am - 11pm, 7 days a week including weekends and holidays. (7am-3pm, 2pm-11pm) Hours may vary between outlet.
Wage Per Hour: $14.96 - $21.00. Overtime Possible Per Hour at $22.44 - $31.5.
Possible wage increase: Annual pay raises are offered for merit for all positions.</t>
  </si>
  <si>
    <t>Annual pay raises are offered for merit for all positions.</t>
  </si>
  <si>
    <t>P-400-23139-038946</t>
  </si>
  <si>
    <t>All deductions required by law will be made.
Optional housing is offered on a first-come, first-serve basis for workers who are relocating to begin employment. Cost of housing, if accepted, is up to $700.00 per month. If used, monthly cost of housing may be deducted from paycheck. A partially refundable security deposit of $700.00 is required, to be paid directly to employer upon acceptance of housing (security deposit, plus a non-refundable administrative fee of $50.00).Employee shuttle transportation as well as public bus service available from employee housing to ski area base. Gondola transportation from base to restaurant locations also provided.Criminal background check pre-hire required when residing in employee housing only.Benefits: Free ski lift season passes for Alterra Mountain Company resorts, $25 ski lift season passes for Alterra Mountain Company resorts for dependents, 25%-50% F&amp;B discounts (based on location);hotel discounts, 30% retail discounts...
Pls. see job order</t>
  </si>
  <si>
    <t>H-400-23195-189751</t>
  </si>
  <si>
    <t>2644 N. 50 East</t>
  </si>
  <si>
    <t>Kokomo</t>
  </si>
  <si>
    <t>Kokomo, IN</t>
  </si>
  <si>
    <t>Overtime hours may be available and will be paid at the overtime wage rate of $40.26.</t>
  </si>
  <si>
    <t>H-400-23262-360506</t>
  </si>
  <si>
    <t>Earth Industries, LLC</t>
  </si>
  <si>
    <t>1017 Steamboat Dr.</t>
  </si>
  <si>
    <t>Bautista</t>
  </si>
  <si>
    <t>Jaime (Jim)</t>
  </si>
  <si>
    <t>earthindustriesllc@gmail.com</t>
  </si>
  <si>
    <t>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
***MUST HAVE 3 MONTHS COMMERCIAL BRUSHSAW/CHAINSAW EXPERIENCE. ***</t>
  </si>
  <si>
    <t>5041 Upton Road (Report to Work)</t>
  </si>
  <si>
    <t>P-400-23152-070675</t>
  </si>
  <si>
    <t>H-400-23226-261328</t>
  </si>
  <si>
    <t>Show Horse Groom</t>
  </si>
  <si>
    <t>Kiesner Training Inc.</t>
  </si>
  <si>
    <t>3418 Miser Station Road</t>
  </si>
  <si>
    <t>Kiesner</t>
  </si>
  <si>
    <t>Ashton</t>
  </si>
  <si>
    <t>ashtonkiesner@gmail.com</t>
  </si>
  <si>
    <t>Carrasco</t>
  </si>
  <si>
    <t>900 South Gay Street</t>
  </si>
  <si>
    <t>Suite 1400</t>
  </si>
  <si>
    <t>mcarrasco@emlaw.com</t>
  </si>
  <si>
    <t>Egerton McAfee Armistead &amp; Davis, P.C.</t>
  </si>
  <si>
    <t>Tennessee Supreme Court</t>
  </si>
  <si>
    <t>BLOUNT</t>
  </si>
  <si>
    <t>P-400-23180-155602</t>
  </si>
  <si>
    <t>The Employer will make all deductions from the workers' paychecks required by law but will make no other deductions.  The Employer will make apartments available to the workers for lodging during the period of employment, at no cost to the workers.  Utilities are also provided at no cost to the workers. Use of the apartments is optional for the workers, and no deductions will be made to the workers' pay for lodging or utilities.  Regardless of whether a worker uses the lodging, the Employer will only make deductions from the workers' paychecks that are required by law, but will make no other deductions.</t>
  </si>
  <si>
    <t>ASHTON@KIESNERTRAINING.COM</t>
  </si>
  <si>
    <t>https://www.kiesnertraining.com</t>
  </si>
  <si>
    <t>H-400-23219-243548</t>
  </si>
  <si>
    <t>Brighton Ski Resort</t>
  </si>
  <si>
    <t>8302 S Brighton Loop Road</t>
  </si>
  <si>
    <t>Perris</t>
  </si>
  <si>
    <t>aperris@brightonresort.com</t>
  </si>
  <si>
    <t>Penthouse</t>
  </si>
  <si>
    <t xml:space="preserve">Requirements: Current food handlers permit or the ability to get it within 30 days of hire. Ability to lift up to 25 lbs. unassisted and climb stairs throughout shift.
Schedule: 35 hours per week. Monday through Sunday (schedule varies). Work schedule can include evening, weekend, and holiday hours. Shift examples: 6:00am  1:00pm, 11:00am  6:00pm, or 2:00pm  9:00pm (shift hours may vary). 
</t>
  </si>
  <si>
    <t>8294-96 Brighton Loop Rd</t>
  </si>
  <si>
    <t>Employee benefits available. See attached job description.</t>
  </si>
  <si>
    <t>P-400-23157-082580</t>
  </si>
  <si>
    <t>H-400-23227-265691</t>
  </si>
  <si>
    <t>Northstar California</t>
  </si>
  <si>
    <t>P-400-23113-957864</t>
  </si>
  <si>
    <t xml:space="preserve">Optional subsidized employee housing isavailable but limited. Space may not be available for all employees. Biweekly cost is $310.00 to $330.00 depending on unit type (i.e. number of beds inunit and number of people living in unit). Employee is responsible for paying housing cost biweekly. A license deposit of $250 is due prior to check-in.With employee's voluntary consent, housing cost will be deducted from paycheck. </t>
  </si>
  <si>
    <t>H-400-23227-265678</t>
  </si>
  <si>
    <t xml:space="preserve">Requires one year of manufacturing experience. 
</t>
  </si>
  <si>
    <t xml:space="preserve">260 Highway 12 SE </t>
  </si>
  <si>
    <t>P-400-23179-151994</t>
  </si>
  <si>
    <t xml:space="preserve">The employer will make all deductions from the worker’s paycheck as required by law and will not make any deductions, which are not required by law. </t>
  </si>
  <si>
    <t>H-400-23190-175616</t>
  </si>
  <si>
    <t>RESTAURANT BUSSER</t>
  </si>
  <si>
    <t>CONIEFFE HOSPITALITY LLC</t>
  </si>
  <si>
    <t xml:space="preserve">12118 PANAMA CITY BEACH PKWY </t>
  </si>
  <si>
    <t>WITTER</t>
  </si>
  <si>
    <t>CONEIFFE</t>
  </si>
  <si>
    <t>12118 PANAMA CITY BEACH PKWY</t>
  </si>
  <si>
    <t>CONIEFFFEJOB@GMAIL.COM</t>
  </si>
  <si>
    <t>513 RICHARD JACKSON BLVD</t>
  </si>
  <si>
    <t xml:space="preserve">PANAMA CITY BEACH </t>
  </si>
  <si>
    <t>P-400-23144-050795</t>
  </si>
  <si>
    <t>all state and federal required tax deduction</t>
  </si>
  <si>
    <t>H-400-23276-406642</t>
  </si>
  <si>
    <t>BARISTA</t>
  </si>
  <si>
    <t>P-400-23170-124546</t>
  </si>
  <si>
    <t xml:space="preserve">  Employer will provide on-the-job training. A single workweek will be used to compute wages due. Pay received bi-weekly. Employer will make all deductions from the worker's paycheck required by law.  Employer will assist in locating housing. Public transportation within walking distance of the hotel. One optional meal during shift is available for $2, payroll deducted if worker elects.</t>
  </si>
  <si>
    <t>H-400-23214-231289</t>
  </si>
  <si>
    <t>Childcare Teacher Assistant</t>
  </si>
  <si>
    <t>Three (3) months experience working in a childcare or educational setting.
Post hire criminal background check required.
On-the-job training is provided.
Following Shifts available 7 days a week including weekends and holidays. 7a-2p, 8a-3p, 9a-4p.
Wage Per Hour: $15.80 - $21.00
Overtime Possible Per Hour at $23.70 - $31.50</t>
  </si>
  <si>
    <t>P-400-23138-034588</t>
  </si>
  <si>
    <t>H-400-23215-237582</t>
  </si>
  <si>
    <t>Three (3) months of experience at a high-end hotel, resort, or private club required.  On-the-job training is provided.    Applicant must provide Pre-employment Criminal Background Check and Pre-employment Drug Test is required.
Min. 35 hrs/week. Shifts: Work schedule can vary and can include evening, weekend, and holiday hours. Work may be performed on any day of the week from Monday through Sunday. Example shifts: 7am - 2pm, 9am - 4pm, or 4pm- 11am. Shift hours may vary.</t>
  </si>
  <si>
    <t>P-400-23143-046871</t>
  </si>
  <si>
    <t>H-400-23233-282413</t>
  </si>
  <si>
    <t>Davidson Hotel Company LLC</t>
  </si>
  <si>
    <t>Viewline Resort at Snowmass &amp; Wildwood</t>
  </si>
  <si>
    <t>Petri</t>
  </si>
  <si>
    <t>100 Elbert Lane</t>
  </si>
  <si>
    <t>P.O. Box 5009</t>
  </si>
  <si>
    <t>dpetri@viewlineresortsnowmass.com</t>
  </si>
  <si>
    <t>The Petitioner will consider for employment any person who possesses at least six (6) months of culinary experience in a fine-dining or high-volume environment at a high-end restaurant, resort, or private club.  
Applicant must complete pre-employment background check and drug screening.  
Schedule: 40 hours per week. Work schedule can vary and can include evening, weekend, and holiday hours. Work may be performed on any
day of the week from Monday through Sunday. Example shifts: 5:00AM - 1:00PM or 3:00PM - 11:00PM. Shift hours may vary.</t>
  </si>
  <si>
    <t>Wage: $21.00 - $24.00 per hour, paid bi-weekly.  Please see job description for additional information.</t>
  </si>
  <si>
    <t>P-400-23173-137424</t>
  </si>
  <si>
    <t xml:space="preserve">Optional housing is offered on a first-come, first-serve basis for workers who are relocating to begin employment.  Cost of housing, if accepted, is $800.00 per month and includes WiFi, cable, and three meals per day (light breakfast, full lunch, and full dinner).  If used, total cost of housing will be deducted from paycheck.  A $300.00 security deposit (of which $260.00 is refundable) is required, to be paid directly to employer upon acceptance of housing.
Additional, optional benefits may be offered to worker, for worker’s sole benefit, including but not limited to health insurance, 401k plan, and Ski Pass taxes.  If voluntarily elected by worker, employee costs/contributions for benefits will be deducted from paycheck.
</t>
  </si>
  <si>
    <t>H-400-23271-391473</t>
  </si>
  <si>
    <t xml:space="preserve">100 Elbert Lane, </t>
  </si>
  <si>
    <t>Piece rate is paid per room cleaned and varies from $3 for a small unit or suite to $39.9975 for a large unit or suite.</t>
  </si>
  <si>
    <t>P-400-23219-242467</t>
  </si>
  <si>
    <t xml:space="preserve">If hired, Employer is willing to facilitate housing accommodations through a third party or through Employer owned housing. Housing is limited to the period of time of temporary employment which is no more than nine (9) months and is on a first come first serve basis. Cost of housing if accepted, is no more than $150 per week payable to third party housing provider via voluntary payroll deduction as allowed by law. If housing is utilized, an agreement for housing will be required with the third-party provider. A security deposit of up to $200.00 is required, of which $50.00 is nonrefundable. Employee shall pay the deposit at $10.00 per week via voluntary payroll deduction (as allowed by law) until the deposit is paid in full, and in no event shall the total deposit payment exceed $200.00. If housing is left in good condition, $150.00 will be refunded to employee in the same method as paid. 
All deductions from paycheck required by law will be made. </t>
  </si>
  <si>
    <t>H-400-23229-273887</t>
  </si>
  <si>
    <t>Food Service Worker (HITP)</t>
  </si>
  <si>
    <t>Six Flags Great Adventure, LLC</t>
  </si>
  <si>
    <t>1 Six Flags Blvd.</t>
  </si>
  <si>
    <t>McClain</t>
  </si>
  <si>
    <t>bmcclain@sftp.com</t>
  </si>
  <si>
    <t xml:space="preserve">Days/shifts may vary
Optional employer housing is available to the worker at a cost of $100 per week. 
A pre-employmentcriminal background check will be required. 
Employer reserves the right to pay a higher wage rate or bonus to any worker in their sole discretion, based on performance, skill, tenure, or experience. 
Up to 15 hours of overtime per week is available to the worker, as needed, but not guaranteed.  
The first three weeks of employment will be at least 35 hours per week of paid on the job training. 
</t>
  </si>
  <si>
    <t xml:space="preserve">Overtime will be paid at a rate of $24.12/hr for working greater than 40 hours in any given week. </t>
  </si>
  <si>
    <t>P-400-23172-130761</t>
  </si>
  <si>
    <t xml:space="preserve">All deductions required by law will be made and no deductions not required by law will be made. </t>
  </si>
  <si>
    <t>sfgahr@sftp.com</t>
  </si>
  <si>
    <t>H-400-23231-279275</t>
  </si>
  <si>
    <t xml:space="preserve"> Ski &amp; Ride School Trainer</t>
  </si>
  <si>
    <t>Sierra at Tahoe Resort LLC</t>
  </si>
  <si>
    <t>1111 Sierra at Tahoe Rd</t>
  </si>
  <si>
    <t>Twin Bridges</t>
  </si>
  <si>
    <t>Stearns</t>
  </si>
  <si>
    <t>mstearns@sierraattahoe.com</t>
  </si>
  <si>
    <t xml:space="preserve">PSIA Level 3 Certification or equivalent certification and four seasons experience (16 months)
</t>
  </si>
  <si>
    <t>P-400-23188-174293</t>
  </si>
  <si>
    <t>www.sierraattahoe.com/employment</t>
  </si>
  <si>
    <t>H-400-23192-180590</t>
  </si>
  <si>
    <t>12324 Tamarac St.</t>
  </si>
  <si>
    <t>12324 Tamarac St</t>
  </si>
  <si>
    <t>P-400-23146-058281</t>
  </si>
  <si>
    <t>H-400-23245-317911</t>
  </si>
  <si>
    <t xml:space="preserve">Post-employment criminal background check and pre/post-employment/post injury or incident drug test required, cost paid by employer and applied equally to all workers, US and foreign/H2B. Must be able to work a 5-day schedule, including weekends and holidays as required. Applicant must complete an employment application
</t>
  </si>
  <si>
    <t>P-400-23159-089509</t>
  </si>
  <si>
    <t>H-400-23184-165463</t>
  </si>
  <si>
    <t>Gilcrest/Jewett Lumber Company</t>
  </si>
  <si>
    <t>Plum Building Systems</t>
  </si>
  <si>
    <t>1805 N. Main St.</t>
  </si>
  <si>
    <t>Osceola</t>
  </si>
  <si>
    <t>Parrino</t>
  </si>
  <si>
    <t>1805 N. Main Street</t>
  </si>
  <si>
    <t>rickp@plumbldg.com</t>
  </si>
  <si>
    <t>Must be able to lift and carry 75 lbs 75 yds and handle extreme temperatures.</t>
  </si>
  <si>
    <t>Wage rate may vary on experience and/or merit. Up to 10 hours of overtime may be available but not guaranteed.</t>
  </si>
  <si>
    <t>P-400-23129-005949</t>
  </si>
  <si>
    <t xml:space="preserve">Any advances will be deducted with the consent of the employee. The employer will provide housing as an option to employees living outside the regular commuting distance. Employees who elect to live in the housing will have an additional $75.50 deducted Weekly paycheck for rent and utilities. Optional daily transportation will be provided from and to worksite and the employer will deduct $10/weekly.
</t>
  </si>
  <si>
    <t>H-400-23215-235756</t>
  </si>
  <si>
    <t xml:space="preserve">The Petitioner will consider for employment any person who possesses at least three (3) months of experience at a high-end hotel, resort, or private club.  
Applicant must complete pre-employment background check and drug screening.
</t>
  </si>
  <si>
    <t>Wage: $16.08 - $18.00 per hour, paid bi-weekly.  See job description for additional detail.</t>
  </si>
  <si>
    <t>P-400-23159-090502</t>
  </si>
  <si>
    <t>H-400-23295-448647</t>
  </si>
  <si>
    <t>Accounting and Administrative Assistant</t>
  </si>
  <si>
    <t>Bookkeeping, Accounting, and Auditing Clerks</t>
  </si>
  <si>
    <t>ADESCO, LLC</t>
  </si>
  <si>
    <t>1963 Wild Thing Way</t>
  </si>
  <si>
    <t>South Naknek</t>
  </si>
  <si>
    <t>Bristol Bay Borough</t>
  </si>
  <si>
    <t>Zimin</t>
  </si>
  <si>
    <t>Maile</t>
  </si>
  <si>
    <t>Maile@adescoak.com</t>
  </si>
  <si>
    <t xml:space="preserve">Requirements:
	Minimum 18-yrs old.
	High school diploma or GED.
	A thorough understanding of, and abide by, all accounting/financial procedures and principles.
	Proficient in Adobe and Microsoft applications (Word, Excel and Outlook).
	Excellent organizational, time-management, verbal and written communication skills.
	Attention to detail with high level of accuracy and ability to multi-task.
	Solid ethical values, especially in the workplace.
</t>
  </si>
  <si>
    <t>Room/Board provided; airfare to South Naknek, AK at beginning of season and return airfare to originating city/town</t>
  </si>
  <si>
    <t>P-400-23251-333295</t>
  </si>
  <si>
    <t>Federal, state or local government payroll taxes.
Cash advances and/or personal items purchased using company funds (via credit card, check or cash), if any.</t>
  </si>
  <si>
    <t>www.adescoak.com</t>
  </si>
  <si>
    <t>H-400-23336-538998</t>
  </si>
  <si>
    <t>ASCAPE LANDSCAPING &amp; CONSTRUCTION CORP</t>
  </si>
  <si>
    <t>634 ROUTE 303</t>
  </si>
  <si>
    <t>BLAUVELT</t>
  </si>
  <si>
    <t>CHAITIN</t>
  </si>
  <si>
    <t>P-400-23206-214661</t>
  </si>
  <si>
    <t>ADAM@ASCAPELANDSCAPE.COM</t>
  </si>
  <si>
    <t>CANADIAN</t>
  </si>
  <si>
    <t>P-400-23207-215772</t>
  </si>
  <si>
    <t>H-400-23184-162300</t>
  </si>
  <si>
    <t>MUST BE ABLE TO OPERATE A TRACTOR AND MOWING EQUIPMENT, REPETITIVE MOVEMENTS, EXTENSIVE WALKING, EXPOSURE TO EXTREME TEMPERATURES.
SCHEDULE VARIES, OVERTIME AVAILABLE AS NEEDED.</t>
  </si>
  <si>
    <t>P-400-23125-997792</t>
  </si>
  <si>
    <t>rogerbumbalough@gmail.com</t>
  </si>
  <si>
    <t>H-400-23336-539478</t>
  </si>
  <si>
    <t>B &amp; K Carnival Company, Inc.</t>
  </si>
  <si>
    <t>815 West Myrtle Beach Hwy</t>
  </si>
  <si>
    <t>{Mail:  P O Box 28  Gresham, SC  29546}</t>
  </si>
  <si>
    <t>Johnsonville</t>
  </si>
  <si>
    <t>bitnerbeak@aol.com</t>
  </si>
  <si>
    <t>2704 Hwy 378 West</t>
  </si>
  <si>
    <t>Gresham</t>
  </si>
  <si>
    <t>P-400-23212-226380</t>
  </si>
  <si>
    <t>H-400-23307-475844</t>
  </si>
  <si>
    <t>2000 West Loop 340, Suite #203  (Report to Work)</t>
  </si>
  <si>
    <t>2000 West Loop 340, #203</t>
  </si>
  <si>
    <t>2000 West Loop 340, Suite 203  (Report to Work)</t>
  </si>
  <si>
    <t>MCLENNAN</t>
  </si>
  <si>
    <t>Waco, TX</t>
  </si>
  <si>
    <t>P-400-23195-188643</t>
  </si>
  <si>
    <t>Optional, shared housing available to the worker at a monthly housing rate up to $367.68; if optional housing is agreed upon by the worker, monthly housing rate will be deducted from worker's paycheck incrementally (bi-weekly).</t>
  </si>
  <si>
    <t>H-400-23320-508152</t>
  </si>
  <si>
    <t xml:space="preserve">S.L. Acquisitions Company </t>
  </si>
  <si>
    <t>Superior Landscapes</t>
  </si>
  <si>
    <t xml:space="preserve">2000 Lone Star Drive </t>
  </si>
  <si>
    <t xml:space="preserve">Wilschetz </t>
  </si>
  <si>
    <t>2000 Lone Star Drive</t>
  </si>
  <si>
    <t>swilschetz@superiorlandscapes.biz</t>
  </si>
  <si>
    <t xml:space="preserve">Applicants must complete an employment application.
</t>
  </si>
  <si>
    <t>P-400-23188-174915</t>
  </si>
  <si>
    <t xml:space="preserve">The employer will make all deductions from the worker's paycheck required by law. Employer will assist worker to find affordable housing.
The employer will provide daily transportation from the main worksite in Dallas among multiple worksite locations in Dallas, Collin and Tarrant counties.
The employer will provide worker at no charge all tools, supplies, and equipment required to perform job. Uniform provided at no charge to the worker.  
</t>
  </si>
  <si>
    <t>H-400-23321-511081</t>
  </si>
  <si>
    <t>Pleasant View Property Services, LLC (PLV124A)</t>
  </si>
  <si>
    <t>125 Cathedral St.</t>
  </si>
  <si>
    <t xml:space="preserve">Schultz	</t>
  </si>
  <si>
    <t>125 Cathedral St</t>
  </si>
  <si>
    <t>+1202.997.8784</t>
  </si>
  <si>
    <t>Peter@pleasant-view.com</t>
  </si>
  <si>
    <t xml:space="preserve">MUST BE ABLE TO TOLERATE EXTREME TEMPERATURES, LOUD NOISES; LIFT HEAVY EQUIPMENT up to 50 lbs, and stand or walk for upwards of 6 hours per day.  AND EXHIBIT STAMINA. OPERATE EQUIPMENT WHILE SOBER.  POST-EMPLOYMENT EMPLOYER-PAID DRUG TEST MAY BE ADMINISTERED. Must be available entire work contract.
Work days: Mon- Fri. May work Saturdays..  
Hours per week: 40
Work Schedule: 7am - 4pm. Hours vary.
All worksite locations are within driving distance of primary worksite location.  
Additional information about wage:
Employer may offer a raise or bonus depending on experience and merit.
Employer will pay the highest of all prevailing wages for each worksite location throughout the entire period of employment.
Pay Assurance: 
Daily Transportation provided to all worksite locations from primary worksite?  Yes 
Does employer offer a ride to primary worksite location to workers living within a reasonable
commute:  Yes. Transportation to the worksite provided within a reasonable distance. 
Overtime available?  Yes
On-the-Job Training provided?  Yes
Employer-Provided Tools and Equipment provided?  Yes. 
Board, Lodging or Other Facilities provided?:   Yes. 
Deductions: Optional Housing is $350/month/person. 
</t>
  </si>
  <si>
    <t>8420 Westphalia Rd.</t>
  </si>
  <si>
    <t>P-400-23263-362767</t>
  </si>
  <si>
    <t xml:space="preserve">Optional Housing is $350/month/person. </t>
  </si>
  <si>
    <t>H-400-23336-539821</t>
  </si>
  <si>
    <t>YANDELL CONSTRUCTION SERVICES, INC.</t>
  </si>
  <si>
    <t>409 Walker Road</t>
  </si>
  <si>
    <t>Yandell</t>
  </si>
  <si>
    <t>lee@yandellconstruction.com</t>
  </si>
  <si>
    <t xml:space="preserve">Must has valid drivers license. Must be able to lift 75 pounds. Schedule varies, overtime available as needed.
</t>
  </si>
  <si>
    <t>P-400-23186-166699</t>
  </si>
  <si>
    <t>H-400-23336-539085</t>
  </si>
  <si>
    <t>3 months experience necessary.</t>
  </si>
  <si>
    <t>P-400-23227-263931</t>
  </si>
  <si>
    <t>Carachilo, Inc.</t>
  </si>
  <si>
    <t>PO Box 289</t>
  </si>
  <si>
    <t>Mellisa</t>
  </si>
  <si>
    <t>bloomin1@verizon.net</t>
  </si>
  <si>
    <t>211 Ridge Avenue</t>
  </si>
  <si>
    <t>Tree Trimmer/ Climber Supervisor</t>
  </si>
  <si>
    <t>H-400-23257-345098</t>
  </si>
  <si>
    <t>P-400-23203-208294</t>
  </si>
  <si>
    <t>H-400-23317-497663</t>
  </si>
  <si>
    <t xml:space="preserve">Pool Attendant </t>
  </si>
  <si>
    <t xml:space="preserve">No minimum education or experience required. 
Must be able to work a minimum 5-day workweek.
Must be able to work weekends and holidays.
Must be able to lift 25 lbs.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</si>
  <si>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P-400-23226-262502</t>
  </si>
  <si>
    <t>H-400-23340-546580</t>
  </si>
  <si>
    <t xml:space="preserve">Shamrock Landscaping LLC </t>
  </si>
  <si>
    <t>325 Washington Avenue South #5</t>
  </si>
  <si>
    <t>Pat</t>
  </si>
  <si>
    <t>Hunsaker</t>
  </si>
  <si>
    <t xml:space="preserve">325 Washington Avenue South #5 </t>
  </si>
  <si>
    <t xml:space="preserve">Kent </t>
  </si>
  <si>
    <t>975 Carpenter Rd Ne</t>
  </si>
  <si>
    <t xml:space="preserve">Workers may be required to work outdoors in variable weather conditions and should have appropriate clothing.
Worker must possess requisite physical strength and endurance to repeat the process throughout the workday. Workers must work at a sustained, vigorous pace and make bona fide efforts to work efficiently and consistently that are reasonable under the climatic and other working conditions. 
Worker must be able to use and operate power tools and equipment, lift up to 50 pounds
</t>
  </si>
  <si>
    <t>184th Street SW</t>
  </si>
  <si>
    <t xml:space="preserve">Lynwood </t>
  </si>
  <si>
    <t>Employer will offer housing to workers. Housing is optional. $65 per week will be deducted from pay for those who accept</t>
  </si>
  <si>
    <t>P-400-23213-227958</t>
  </si>
  <si>
    <t>The employer will make the following deduction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and any other deductions expressly authorized by the worker in writing. Workers who accept employer provided housing will have $65 deducted from their weekly paycheck.</t>
  </si>
  <si>
    <t>lily@shamrockln.com</t>
  </si>
  <si>
    <t>H-400-23325-516030</t>
  </si>
  <si>
    <t>Yellowstone Landscape - Southeast, LLC_Port St. Lucie</t>
  </si>
  <si>
    <t>2665 SW Domina Road</t>
  </si>
  <si>
    <t>P-400-23236-293589</t>
  </si>
  <si>
    <t>H-400-23306-475301</t>
  </si>
  <si>
    <t>Fish Roe Technician</t>
  </si>
  <si>
    <t xml:space="preserve">N/A
F.a.5 and 6:
Will work 40 regular hours per week with up to 40 hours of overtime per week (every day, from 9:00 a.m. to 11:00 p.m., including overtime hours). Actual overtime hours and work schedules depend on fish availability. Regular pay is $20.06 - $37.00 per hour depending on experience (DOE), and overtime pay is $30.09 - $55.50 per hour (paid at time and a half). A single workweek will be used to compute wages due. Wages will be paid every 2 weeks. The employer will make all deductions from the workers paycheck required by law. 
The employer guarantees to offer work for hours equal to at least three-fourths of the workdays in each 12-week period of the total employment period.  
Work will be performed at land plant locations in Alaska in the following work itinerary: Kodiak from 1/20/2024 to 3/9/2024, Sitka from 3/10/2024 to 4/9/2024, Kodiak from 4/10/2024 to 6/4/2024, and Sitka from 6/5/2024 to 9/30/2024. All locations are within the same Alaska nonmetropolitan statistical area. The work itinerary is approximate and subject to change depending on fish availability. </t>
  </si>
  <si>
    <t>P-400-23207-218495</t>
  </si>
  <si>
    <t xml:space="preserve">None. No deduction of housing and meals as the employer will provide these at no cost to the worker if the worker stays in on-campus housing. 
Employer housing is optional. On-campus dormitory-style shared housing and meals at each work location will be provided by the employer at no cost to the worker, or its actual cost will be reimbursed within 7days upon receipt submission. The employer does not subsidize housing and meal costs if the worker chooses to stay in off-campus housing. If the worker chooses to stay in off-campus housing, they will be fully responsible for their own housing, meals, and daily transportation to and from the work location (commute). 
The transportation between the work locations described in the job order means the transportation in case the work location changes. This does not include the daily transportation (commute) between the work location and the worker's housing. The commute is unnecessary if the worker stays in the on-campus housing. </t>
  </si>
  <si>
    <t>H-400-23307-476368</t>
  </si>
  <si>
    <t xml:space="preserve">No minimum education or experience required.
Must be able to lift 50 lbs.
Applicant must complete an employment application.
Post-employment criminal background check required, cost paid by employer and applied equally to all workers, US &amp; Foreign/H2B. 
Must be able to work a minimum 5-day workweek. 
Must be able to work weekends and holidays.
The employer guarantees to offer work for hours equal to at least three-fourths of the workdays in each 12-week period of the total employment period.
H-2B workers will be reimbursed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</si>
  <si>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P-400-23172-133397</t>
  </si>
  <si>
    <t xml:space="preserve">A single workweek will be used to compute wages due. Pay received bi-weekly. 
The employer will provide on-the-job training.
Employer will make all deductions from the worker's paycheck required by law and deduct approved cost of housing if worker elects.  Optional employee-only shared housing is available at a rate of $140 per week, utilities included.
Transportation provided to/from housing/worksite at no cost to employee.  
Employer will provide worker at no charge all tools, supplies, equipment required to perform job. Required uniform provided at no cost to employee. One meal during shift provided at no cost to employee. 
</t>
  </si>
  <si>
    <t>H-400-23290-437012</t>
  </si>
  <si>
    <t>Robert Cory</t>
  </si>
  <si>
    <t>Heart of America Shows</t>
  </si>
  <si>
    <t>2315 SOUTH 25TH ST.</t>
  </si>
  <si>
    <t>HARLINGEN</t>
  </si>
  <si>
    <t>Cory</t>
  </si>
  <si>
    <t>heartofamericacarnival@hotmail.com</t>
  </si>
  <si>
    <t>P-400-23208-220775</t>
  </si>
  <si>
    <t>Suite 210</t>
  </si>
  <si>
    <t>H-400-23295-448625</t>
  </si>
  <si>
    <t>Scapes, Inc.</t>
  </si>
  <si>
    <t>2110 S College Rd</t>
  </si>
  <si>
    <t>Castille II</t>
  </si>
  <si>
    <t>Ignatius</t>
  </si>
  <si>
    <t>Mailing: PO Box 62378</t>
  </si>
  <si>
    <t>sylvia@scapesincla.com</t>
  </si>
  <si>
    <t>P-400-23250-328859</t>
  </si>
  <si>
    <t>Employer will make all deductions from the worker's paycheck required by law.  Option to deduct repayment of advance pay via deduction from pay based on agreed upon frequency and amount.  Option to deduct rent from pay at $70 per week. Optional deductions will not drop the overall wages below the UDSOL minimum, if the deductions are too great they will not be made.</t>
  </si>
  <si>
    <t>Morin's Landscaping, Inc.</t>
  </si>
  <si>
    <t>301 Depot Road</t>
  </si>
  <si>
    <t>Hollis</t>
  </si>
  <si>
    <t>Morin</t>
  </si>
  <si>
    <t>michele@morinslandscaping.com</t>
  </si>
  <si>
    <t xml:space="preserve">PRE-EMPLOYMENT DRUG TESTING REQUIRED. ABLE TO LIFT 50LBS. MON-SUN SCHEDULE, MUST BE ABLE TO WORK SATURDAYS &amp; SUNDAYS AS NEEDED, 7AM-4PM;
DAYS &amp; START/END TIMES MAY VARY BASED UPON WEATHER.
</t>
  </si>
  <si>
    <t>HOLLIS</t>
  </si>
  <si>
    <t>H-400-23269-383523</t>
  </si>
  <si>
    <t>Lead- Baked Goods</t>
  </si>
  <si>
    <t>Bakery Essencia, LLC</t>
  </si>
  <si>
    <t>Essencia Artisan Bakery</t>
  </si>
  <si>
    <t>4 N. 3rd Street</t>
  </si>
  <si>
    <t>Low</t>
  </si>
  <si>
    <t>rye.low@gmail.com</t>
  </si>
  <si>
    <t xml:space="preserve">Two years culinary degree in Pastry Arts or equivalent required. 
Must have at least two years experience performing these duties in a professional environment. 
Must be able to independently operate the following equipment observing safety guidelines:
- Dough sheeter, bread mixer machine, bread slicer, 60 qt. dough mixer, electrical bread oven, gas pastry oven
Have physical strength and stamina to spend long hours standing and performing repetitive motions.
Help monitor and order ingredients, supplies and equipment in consultation with other kitchen staff.
Be able to develop new seasonal recipes and menus and keep up with the latest trends.
Maintain food preparation standards in accordance with the dept. of health guidelines and maintain a workspace condition of readiness for inspections.
Advise the owner and manager of workplace problems within the scope of the role of Baker's assistant. 
Occasionally meet with customers to discuss custom-made desserts or baked goods for special occasions.
</t>
  </si>
  <si>
    <t>4 N 3rd Street</t>
  </si>
  <si>
    <t>P-400-23230-275485</t>
  </si>
  <si>
    <t>makiessencia@gmail.com</t>
  </si>
  <si>
    <t xml:space="preserve">Employer will not offer, provide, arrange or assist with housing for US or H-2B workers.   
The employer will make the following deductions from the worker's wages: all deductions required by law,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where it is shown that the worker is responsible, and any other reasonable deductions expressly authorized by the worker in writing. No deduction not required by law will be made that brings the workers hourly earnings below the FLSA Federal statutory minimum wage.  
</t>
  </si>
  <si>
    <t>Nursing Assistants</t>
  </si>
  <si>
    <t>H-400-23333-531042</t>
  </si>
  <si>
    <t>Modern Midways, Inc.</t>
  </si>
  <si>
    <t>491 E. Lincoln Hwy.</t>
  </si>
  <si>
    <t>(Mail to: 22901 Sherman Road, Steger, IL 60475)</t>
  </si>
  <si>
    <t>Briggs</t>
  </si>
  <si>
    <t>491 E. Lincoln Hwy</t>
  </si>
  <si>
    <t>(Mail to: 22901 Sherman Rd., Steger, IL 60475)</t>
  </si>
  <si>
    <t>modernmidways@aol.com</t>
  </si>
  <si>
    <t>P-400-23296-450588</t>
  </si>
  <si>
    <t xml:space="preserve">T &amp; J Concrete Foundations, Inc. </t>
  </si>
  <si>
    <t>25943 County Hwy O</t>
  </si>
  <si>
    <t>Cadott</t>
  </si>
  <si>
    <t>Bowe</t>
  </si>
  <si>
    <t>jon@t-jconcretefoundations.com</t>
  </si>
  <si>
    <t xml:space="preserve">MUST BE ABLE TO LIFT AND CARRY 80 LBS, 20 YDS. MUST PASS CRIMINAL BACKGROUND CHECK WHICH WILL BE CONDUCTED DURING THE PRE-HIRE PROCESS AND CARRIED OUT EQUALLY BETWEEN US AND H-2B WORKERS. PROPER AND ACCURATE USE OF TAPE MEASURE REQUIRED. WILL BE EXPOSED TO HEIGHTS, TEMPERATURE EXTREMES, STRENUOUS PHYSICAL ACTIVITY, AND REPETITIVE MOTIONS.
</t>
  </si>
  <si>
    <t>2973 100th Street</t>
  </si>
  <si>
    <t>Suite 5</t>
  </si>
  <si>
    <t>Urbandale</t>
  </si>
  <si>
    <t>Rodolfo</t>
  </si>
  <si>
    <t>H-400-23307-475821</t>
  </si>
  <si>
    <t>3517 Angier Avenue (Report to Work)</t>
  </si>
  <si>
    <t>Durham</t>
  </si>
  <si>
    <t>DURHAM</t>
  </si>
  <si>
    <t>P-400-23222-252798</t>
  </si>
  <si>
    <t>Optional, shared furnished housing available to the worker (including: utilities) at a weekly housing rate up to $100; if optional housing is agreed upon by the worker, housing rate will be deducted from worker's paycheck incrementally (weekly).
At Employer’s sole discretion: possible cash advances (if applicable/requested by worker, potential deduction from worker’s paycheck).</t>
  </si>
  <si>
    <t>ASanchez@ruppertcompanies.com</t>
  </si>
  <si>
    <t>H-400-23290-438071</t>
  </si>
  <si>
    <t>104 Longview St</t>
  </si>
  <si>
    <t>P-400-23251-332742</t>
  </si>
  <si>
    <t xml:space="preserve">The employer will make all deductions from the worker’s paycheck required by law.  Housing optional - $150/week (rent and utilities). $200 housing deposit, refundable based on weekly inspection.
</t>
  </si>
  <si>
    <t>H-400-23307-475796</t>
  </si>
  <si>
    <t>Seafood Packagers</t>
  </si>
  <si>
    <t>Gulf Fish</t>
  </si>
  <si>
    <t>5885 Highway 311</t>
  </si>
  <si>
    <t>Cao</t>
  </si>
  <si>
    <t>Hai</t>
  </si>
  <si>
    <t>hcao@jensentuna.com</t>
  </si>
  <si>
    <t>P-400-23202-206286</t>
  </si>
  <si>
    <t>SUITE 357</t>
  </si>
  <si>
    <t xml:space="preserve">TERRA LABOR CONSULTING GROUP LLC </t>
  </si>
  <si>
    <t>WATSON</t>
  </si>
  <si>
    <t>H-400-23307-475830</t>
  </si>
  <si>
    <t>41 RV Parkway (Report to Work)</t>
  </si>
  <si>
    <t>P-400-23216-239858</t>
  </si>
  <si>
    <t>Optional, shared, furnished housing available to the worker (including: utilities) at a weekly housing rate up to $140; if optional housing is agreed upon by the worker, housing rate will be deducted from worker's paycheck incrementally (weekly).
At Employer’s sole discretion: possible cash advances (if applicable/requested by worker, potential deduction from worker’s paycheck).</t>
  </si>
  <si>
    <t>jthomas@ruppertcompanies.com</t>
  </si>
  <si>
    <t>H-400-23320-507010</t>
  </si>
  <si>
    <t>Andre Oran Leger Inc</t>
  </si>
  <si>
    <t>Chez Francois Seafood</t>
  </si>
  <si>
    <t>139 Tissington Street</t>
  </si>
  <si>
    <t>Leger</t>
  </si>
  <si>
    <t>Andre</t>
  </si>
  <si>
    <t>chezfransfd@gmail.com</t>
  </si>
  <si>
    <t>140 N Second Street</t>
  </si>
  <si>
    <t>* Employer may require drug screen; post hire, employer paid. 
* Testing positive or failure to comply may result in immediate termination. 
* Must not be allergic to product and/or environment. 
* Employer may request employees to work some sat/sun, sometimes shift work may be required. 
* Unpaid breaks available in 30 min increments at employee discretion.</t>
  </si>
  <si>
    <t xml:space="preserve">See attached. </t>
  </si>
  <si>
    <t>P-400-23216-238849</t>
  </si>
  <si>
    <t>H-400-23336-539060</t>
  </si>
  <si>
    <t>BOAT CLEANER</t>
  </si>
  <si>
    <t>EAST BAY DETAILING INC</t>
  </si>
  <si>
    <t>19 HOWELL PLACE</t>
  </si>
  <si>
    <t>SPEONK</t>
  </si>
  <si>
    <t>Privitar</t>
  </si>
  <si>
    <t>19 Howell Place</t>
  </si>
  <si>
    <t>Speonk</t>
  </si>
  <si>
    <t>1 MONTH EXPERIENCE AS  BOAT CLEANER.</t>
  </si>
  <si>
    <t>P-400-23205-209189</t>
  </si>
  <si>
    <t>JAMIE@EASTBAYDETAILING.COM</t>
  </si>
  <si>
    <t>H-400-23336-539448</t>
  </si>
  <si>
    <t>Freddy's Lawn Service LLC</t>
  </si>
  <si>
    <t>14532 NW 23rd Street</t>
  </si>
  <si>
    <t>freddysmartinez30@gmail.com</t>
  </si>
  <si>
    <t xml:space="preserve">Able to lift 50lbs, M-F, Overtime Varies, Some Weekends required.
</t>
  </si>
  <si>
    <t>P-400-23233-280794</t>
  </si>
  <si>
    <t>H-400-23290-436513</t>
  </si>
  <si>
    <t>Paul Maurer Shows, LLC</t>
  </si>
  <si>
    <t>16081 Warren Ln</t>
  </si>
  <si>
    <t>[Mail:PO Box 3211, Huntington Beach, CA 92605]</t>
  </si>
  <si>
    <t>Huntington Beach</t>
  </si>
  <si>
    <t>16081 WARREN LANE</t>
  </si>
  <si>
    <t>[MAIL: PO BOX 3211. HUNTINGTON BEACH, CA 92605]</t>
  </si>
  <si>
    <t>HUNTINGTON BEACH</t>
  </si>
  <si>
    <t>paulfmaurer@yahoo.com</t>
  </si>
  <si>
    <t>16081 Warren Ln.</t>
  </si>
  <si>
    <t>P-400-23223-258021</t>
  </si>
  <si>
    <t>H-400-23332-527374</t>
  </si>
  <si>
    <t>[Mailing: 3101 SW 34th Ave. #905-203, OCALA, FL 34474]</t>
  </si>
  <si>
    <t>P-400-23206-214768</t>
  </si>
  <si>
    <t>H-400-23276-406218</t>
  </si>
  <si>
    <t>Reinforcing Metal Worker</t>
  </si>
  <si>
    <t>P-400-23226-260549</t>
  </si>
  <si>
    <t>H-400-23307-475860</t>
  </si>
  <si>
    <t>One Vision, LLC</t>
  </si>
  <si>
    <t>95 Main St.</t>
  </si>
  <si>
    <t>Stoltman Jr.</t>
  </si>
  <si>
    <t>Robert J.</t>
  </si>
  <si>
    <t>bob@1visioncorp.com</t>
  </si>
  <si>
    <t>95 Main St. (Report to Work)</t>
  </si>
  <si>
    <t>P-400-23203-208460</t>
  </si>
  <si>
    <t>Optional, shared furnished housing available to the worker at a monthly housing rate up to $300.00; if optional housing is agreed upon by the worker, monthly housing rate will be deducted from worker's paycheck incrementally (bi-weekly).At Employer’s sole discretion: possible cash advances (if applicable/requested by worker, potential deduction from worker’s paycheck).</t>
  </si>
  <si>
    <t>H-400-23313-492195</t>
  </si>
  <si>
    <t>Mabile's Trucking, Inc.</t>
  </si>
  <si>
    <t>Louisiana Wholeboiled</t>
  </si>
  <si>
    <t>39745 Bayou Pigeon Road</t>
  </si>
  <si>
    <t>Plaquemine</t>
  </si>
  <si>
    <t>Mabile</t>
  </si>
  <si>
    <t>Blaine</t>
  </si>
  <si>
    <t>mabilestrucking@bellsouth.net</t>
  </si>
  <si>
    <t xml:space="preserve">Extensive sitting and or standing repetitive movements; may be subject to random drug screening upon hire paid for by employer and/or drug screen paid for my employer if reasonable suspicions arise during employment--this is a drug free work area; must be able to lift 35 pounds; must be able to peel a minimum of five (5) pounds per hour.
</t>
  </si>
  <si>
    <t xml:space="preserve">Plaquemine </t>
  </si>
  <si>
    <t>Employee may earn above hourly wage based on piece rate performance, work performance, and/or experience.</t>
  </si>
  <si>
    <t>P-400-23221-250652</t>
  </si>
  <si>
    <t>Employer will make all deductions required by state and/or federal law. Employer will also deduct $50/week from the employee's paycheck for housing provided by employer, if the voluntary housing is chosen by employee.</t>
  </si>
  <si>
    <t>H-400-23263-363508</t>
  </si>
  <si>
    <t>Employees may make above hourly wage rate and/or receive bonuses based on piecerate, work experience and/or performance.</t>
  </si>
  <si>
    <t>P-400-23227-263962</t>
  </si>
  <si>
    <t>Employer will make all deductions from pay required by law. Employer will also deduct $125/week from employee's pay for employer provided housing, if applicable.</t>
  </si>
  <si>
    <t>leanna@boydsonestop.com</t>
  </si>
  <si>
    <t>H-400-23336-539569</t>
  </si>
  <si>
    <t>B. DeMichele, Inc.</t>
  </si>
  <si>
    <t>390 Parkmount Rd</t>
  </si>
  <si>
    <t>Media</t>
  </si>
  <si>
    <t>DeMichele</t>
  </si>
  <si>
    <t>Blase</t>
  </si>
  <si>
    <t>demicheleinc@verizon.net</t>
  </si>
  <si>
    <t>Pre-employment drug testing required, Drug testing during employment for cause, Able to lift 50lbs, M-F, Overtime potential, Weekends as needed.
All drug testing is performed without regard to an employees citizenship or immigration status, and all testing is paid for by the company. See the additional document attached for further details about the administration of our drug testing policy.</t>
  </si>
  <si>
    <t>P-400-23236-293294</t>
  </si>
  <si>
    <t>demicheleinc@comcast.net</t>
  </si>
  <si>
    <t>H-400-23321-508552</t>
  </si>
  <si>
    <t>GroundWorks, Inc.</t>
  </si>
  <si>
    <t>5236 Kincaid Ave.</t>
  </si>
  <si>
    <t>Netzberger</t>
  </si>
  <si>
    <t>groundworksla@groundworksla.com</t>
  </si>
  <si>
    <t>5236 Kincaid Ave. (Report to Work)</t>
  </si>
  <si>
    <t>P-400-23187-171200</t>
  </si>
  <si>
    <t>Optional, shared furnished housing available to the worker at a monthly housing rate up to $300; if optional housing is agreed upon by the worker, monthly housing rate will be deducted from worker's paycheck incrementally (weekly).At Employer’s sole discretion: possible cash advances (if applicable/requested by worker, potential deduction from worker’s paycheck).</t>
  </si>
  <si>
    <t>jobopenings@groundworksla.com</t>
  </si>
  <si>
    <t>H-400-23321-511191</t>
  </si>
  <si>
    <t>Concession worker</t>
  </si>
  <si>
    <t>Citrus Blast Concessions LLC (CBC124A)</t>
  </si>
  <si>
    <t>8908 Ranch Road 12</t>
  </si>
  <si>
    <t>Kibby</t>
  </si>
  <si>
    <t xml:space="preserve">Brandon </t>
  </si>
  <si>
    <t>Brandonkibby@yahoo.com</t>
  </si>
  <si>
    <t xml:space="preserve">POST-EMPLOYMENT, EMPLOYER-PAID DRUG TESTING MAY BE ADMINISTERED. MUST BE AVAILABLE AND WILLING TO TRAVEL EVERY 2-3 DAYS; WORK SCHEDULE VARIES.
Work days:  Sunday-Saturday, varies depending on location
Hours per week: 35
Work Schedule: 3pm - 11pm, varies
Basic Hourly Wage: Pay varies from $10.61/hr- $14.79/hr or depending on location.
Overtime Hourly Wage: Additional hours may be offered; however, employer is exempt from federal overtime pay according to Section 13(a)(3) of the FLSA. Employer will comply with any state or local overtime requirements if warranted.
Additional information about wage:
Employer may offer a raise or bonus depending on experience and merit.
Pay Assurance: 
Employer will pay the highest of all prevailing wages for each worksite location throughout the entire period of employment. 
Daily Transportation provided to all worksite locations from primary worksite?  Yes 
Does employer offer a ride to primary worksite location to workers living within a reasonable
commute:  Yes
Overtime available? N/A 
On-the-Job Training provided?  Yes
Employer-Provided Tools and Equipment provided?  Yes
Board, Lodging or Other Facilities provided?:  Yes. Bunk house provided with kitchenette and full baths.
Deductions: Optional housing provided free of charge.
</t>
  </si>
  <si>
    <t>3 NRG Park</t>
  </si>
  <si>
    <t>P-400-23270-387516</t>
  </si>
  <si>
    <t>Optional housing provided free of charge.</t>
  </si>
  <si>
    <t>H-400-23307-475832</t>
  </si>
  <si>
    <t>3208 Commander Drive</t>
  </si>
  <si>
    <t>3208 Commander Dr (Report to Work)</t>
  </si>
  <si>
    <t>P-400-23195-188606</t>
  </si>
  <si>
    <t>Optional, shared housing available to the worker at a monthly housing rate up to $404.64; if optional housing is agreed upon by the worker, monthly housing rate will be deducted from worker's paycheck incrementally (bi-weekly). Work uniforms will be provided without charge or deposit. However, a deduction may occur for lost, damaged, stolen, company property or uniforms not returned.</t>
  </si>
  <si>
    <t>H-400-23257-346168</t>
  </si>
  <si>
    <t>BDG Trees, LLC - Houston, TX</t>
  </si>
  <si>
    <t xml:space="preserve">2015 Ahrens Street </t>
  </si>
  <si>
    <t>P-400-23214-233919</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</si>
  <si>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Employer may deduct health insurance premiums for workers voluntarily participating in plan.</t>
  </si>
  <si>
    <t>Reithoffer Shows, Inc.</t>
  </si>
  <si>
    <t>9022 WIGGINS RD</t>
  </si>
  <si>
    <t>CEO/President</t>
  </si>
  <si>
    <t>rreithoffer@aol.com</t>
  </si>
  <si>
    <t>9022 Wiggins Rd</t>
  </si>
  <si>
    <t>P-400-23244-316137</t>
  </si>
  <si>
    <t>contact@reithoffershows.com</t>
  </si>
  <si>
    <t>H-400-23336-539145</t>
  </si>
  <si>
    <t>53 West Brookhaven Drive NE (Report to Work)</t>
  </si>
  <si>
    <t>P-400-23181-160755</t>
  </si>
  <si>
    <t>H-400-23325-516027</t>
  </si>
  <si>
    <t>Yellowstone Landscape - Southeast, LLC_Palm Coast</t>
  </si>
  <si>
    <t>3235 North State Street</t>
  </si>
  <si>
    <t>Bunnell</t>
  </si>
  <si>
    <t>3235 North State St,</t>
  </si>
  <si>
    <t>FLAGLER</t>
  </si>
  <si>
    <t>P-400-23236-293655</t>
  </si>
  <si>
    <t>H-400-23313-489322</t>
  </si>
  <si>
    <t>P-400-23193-183286</t>
  </si>
  <si>
    <t>H-400-23282-418659</t>
  </si>
  <si>
    <t>P-400-23236-294763</t>
  </si>
  <si>
    <t xml:space="preserve">The employer will make all deductions from the worker's paycheck as required by law. </t>
  </si>
  <si>
    <t>H-400-23321-511494</t>
  </si>
  <si>
    <t>Integrity Lawn Service LLC (INT124A)</t>
  </si>
  <si>
    <t>4918 Legend Drive</t>
  </si>
  <si>
    <t xml:space="preserve">Reid </t>
  </si>
  <si>
    <t xml:space="preserve">Jeff </t>
  </si>
  <si>
    <t>jeff.integrity1@gmail.com</t>
  </si>
  <si>
    <t xml:space="preserve">WALK, SIT, STAND, BEND, STOOP, REACH (OVER HEAD AND GROUND LEVEL), KNEEL REPETITIVELY FOR LONG PERIOD OF TIMES. LIFT UP TO 50 LBS, BEND, KNEEL, WALK, REACH ABOVE HEAD AND GROUND LEVEL AND STAND FOR LONG PERIOD OF TIMES.  Post-employment, Employer-paid drug test may be administered.  Must be available the entire work contract period.
Work days: M-F, may work Saturdays and Sundays, weather permitting 
Hours per week: 35
Work Schedule: 7:00 A.M. - 4:00 P.M., schedule may vary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No Family housing offered.
Deductions: Optional housing offered at $80/week.
</t>
  </si>
  <si>
    <t>24536 Hoo Shoo Too Road</t>
  </si>
  <si>
    <t>P-400-23271-392216</t>
  </si>
  <si>
    <t>Optional housing offered at $80/week.</t>
  </si>
  <si>
    <t>H-400-23245-318075</t>
  </si>
  <si>
    <t>The Green Gang, Inc</t>
  </si>
  <si>
    <t>6530 Michigan Rd</t>
  </si>
  <si>
    <t>Indianaplois</t>
  </si>
  <si>
    <t>McKee</t>
  </si>
  <si>
    <t>Jennie</t>
  </si>
  <si>
    <t>6490 Michigan Rd</t>
  </si>
  <si>
    <t>Valid drivers license, lift 50 lbs, clean driving record, employment reference
40+ hrs, 8a-5p, some Saturdays if needed, hours and workdays may vary depending on weather.</t>
  </si>
  <si>
    <t xml:space="preserve">Indianapolis </t>
  </si>
  <si>
    <t>P-400-23199-196780</t>
  </si>
  <si>
    <t>www.seasonaljobs.dol.gov</t>
  </si>
  <si>
    <t>H-400-23336-539072</t>
  </si>
  <si>
    <t>GROUNDSKEEPING</t>
  </si>
  <si>
    <t>ROTATING SHIFTS MON-SUN 6am-2pm, MUST WORK WEEKENDS AND HOLIDAYS</t>
  </si>
  <si>
    <t>P-400-23188-172673</t>
  </si>
  <si>
    <t>P.O. Box 137</t>
  </si>
  <si>
    <t>H-400-23307-475833</t>
  </si>
  <si>
    <t>3801 Centurion Drive (Report to Work)</t>
  </si>
  <si>
    <t>P-400-23223-259934</t>
  </si>
  <si>
    <t>Optional, shared, furnished housing available to the worker (including: utilities) at a weekly housing rate up to $121; if optional housing is agreed upon by the worker, housing rate will be deducted from worker's paycheck incrementally (weekly).
At Employer’s sole discretion: possible cash advances (if applicable/requested by worker, potential deduction from worker’s paycheck).</t>
  </si>
  <si>
    <t>larellano@ruppertcompanies.com</t>
  </si>
  <si>
    <t>H-400-23300-459999</t>
  </si>
  <si>
    <t>HERDER PLUMBING LLC</t>
  </si>
  <si>
    <t xml:space="preserve">THREE MONTHS OF EXPERIENCE AS HELPER OF POOL LABORER IN A RESIDENTIAL CONSTRUCTION SETTING. MUST BEND, LIFT AND SUSTAIN UP TO 50 LBS, WORK UNDER EXTREME WEATHER CONDITIONS. NO TRAVEL REQUIRED OUTSIDE THE METROPOLITAN AREA, NO EDUCATION REQUIRED, ON-THE-JOB TRAINING AVAILABLE. POST-HIRE DRUG TEST REQUIRED PAID BY THE EMPLOYER, ALL US AND GUEST WORKERS WILL BE SCREENED EQUALLY.
</t>
  </si>
  <si>
    <t>19801 SHINNING ISLE RUN</t>
  </si>
  <si>
    <t>If overtime is available it will be payed at $27.92</t>
  </si>
  <si>
    <t>P-400-23227-266215</t>
  </si>
  <si>
    <t>Deductions to paycheck required by law and may include shared group rental housing of $70 to $75 per week depending on housing location, and a refundable security deposit of $75; $30 per week company-provided transportation to and from housing if worker wants company housing and/or transport and it is available. Housing, if provided, will be in the Austin-Round Rock, TX Metropolitan area. If the worker completes 50% of the work contract period, employer will reimburse the worker for transportation and subsistence from the place of recruitment to the place of work. Upon completion of the work contract or where the worker is dismissed earlier, employer will provide or pay for worker’s reasonable costs of return transportation and subsistence back home or to the place the worker originally departed to work, except where the worker will not return due to subsequent employment with another employer.</t>
  </si>
  <si>
    <t>Engledow, Inc.</t>
  </si>
  <si>
    <t>1100 E. 116th St.</t>
  </si>
  <si>
    <t>Carmel</t>
  </si>
  <si>
    <t>tbaker@engledow.com</t>
  </si>
  <si>
    <t>Optional, shared furnished housing available to the worker (including: utilities) at a monthly housing rate up to $600.00; if optional housing is agreed upon by the worker, monthly housing rate will be deducted from worker's paycheck incrementally (bi-weekly).At Employer’s sole discretion: possible cash advances (if applicable/requested by worker, potential deduction from worker’s paycheck).</t>
  </si>
  <si>
    <t>H-400-23292-442012</t>
  </si>
  <si>
    <t>Snow cleaners</t>
  </si>
  <si>
    <t>KLM Capital LLC</t>
  </si>
  <si>
    <t>868 Vista St</t>
  </si>
  <si>
    <t>G Szabo</t>
  </si>
  <si>
    <t>Kalman</t>
  </si>
  <si>
    <t>868 Vista ST</t>
  </si>
  <si>
    <t>gszabo.kalman@gmail.com</t>
  </si>
  <si>
    <t>P-400-23206-212002</t>
  </si>
  <si>
    <t xml:space="preserve">Optional lodging expenses at the rate of $400/month will be deducted from the workers' pay on a daily prorated basis.
</t>
  </si>
  <si>
    <t>klmcapital.net</t>
  </si>
  <si>
    <t>H-400-23321-509440</t>
  </si>
  <si>
    <t>The Munie Company - LA</t>
  </si>
  <si>
    <t>1410 Exchange Rd.</t>
  </si>
  <si>
    <t>Ft. Polk</t>
  </si>
  <si>
    <t>VERNON</t>
  </si>
  <si>
    <t>P-400-23211-224898</t>
  </si>
  <si>
    <t>H-400-23349-570897</t>
  </si>
  <si>
    <t>Forklift Operator</t>
  </si>
  <si>
    <t>Tiger Landscaping Supply LLC</t>
  </si>
  <si>
    <t>21799 FM 2252</t>
  </si>
  <si>
    <t>Schertz</t>
  </si>
  <si>
    <t>Corporate@TigerLandscapingSupplyLLC.com</t>
  </si>
  <si>
    <t xml:space="preserve">Must have regular (non-commercial) driver's license of a class that allows the operation of a forklift.
Some overtime and weekend work may be required.  Hours may vary, depending on weather.  Must be able to perform manual, physical labor outside during all weather conditions (hot, cold, rain, snow, etc.).  Must be able to lift up to 80 lbs.
</t>
  </si>
  <si>
    <t>Overtime premium will be paid after 40 hours of work per week.</t>
  </si>
  <si>
    <t>P-400-23291-438765</t>
  </si>
  <si>
    <t>Employer will make all required federal, state, and local deductions.  Employer offers optional housing to employees.  If the employee choses optional housing, the employer will deduct $30 per week from the employee's paycheck, which will include housing and utilities.  Employer will assist workers in securing board, lodging, and other facilities, if they do not choose optional housing.</t>
  </si>
  <si>
    <t>corporate@tigerlandscapingsupplyllc.com</t>
  </si>
  <si>
    <t>H-400-23303-466256</t>
  </si>
  <si>
    <t xml:space="preserve">Some weekend work.  Must be able to lift and carry 75lbs for 50 yards. Must be able to handle temperature extremes.   
</t>
  </si>
  <si>
    <t>Wage rate may vary based on experience and/or merit. Overtime hours may be available but are not guaranteed.</t>
  </si>
  <si>
    <t>P-400-23268-379094</t>
  </si>
  <si>
    <t>All deductions from the worker’s paycheck will be made as required by law. Any advances will be deducted with the consent of the employee. The employer will provide housing as an option to employees living outside the regular commuting distance. Employees who elect to live in the housing will have an additional $115/weekly deducted Weekly paycheck for rent and utilities.</t>
  </si>
  <si>
    <t>H-400-23258-351965</t>
  </si>
  <si>
    <t>42 Pinon Causeway</t>
  </si>
  <si>
    <t>Piece rate is paid per room cleaned and varies from $3 for a small unit or suite to $92.97 for a large unit or suite.</t>
  </si>
  <si>
    <t>P-400-23178-147067</t>
  </si>
  <si>
    <t>H-400-23246-318171</t>
  </si>
  <si>
    <t>Paramount Properties Group LLC</t>
  </si>
  <si>
    <t>1000 John R Road, Ste 102</t>
  </si>
  <si>
    <t>PO Box 81291, Rochester MI 48308</t>
  </si>
  <si>
    <t>DIMAMBRO</t>
  </si>
  <si>
    <t>ALESANDRO</t>
  </si>
  <si>
    <t>1000 JOHN R ROAD, Ste. 102</t>
  </si>
  <si>
    <t>TROY</t>
  </si>
  <si>
    <t>tenantservices@atm1000llc.com</t>
  </si>
  <si>
    <t xml:space="preserve">Must be able to perform physical labor outdoors for up to 8 hours per day in all weather conditions, including cold, snow, heat, and rain. Some OT and weekends required. Must be able to lift up to 50 lbs. 
</t>
  </si>
  <si>
    <t xml:space="preserve">1000 John R Road </t>
  </si>
  <si>
    <t>Employer will use a single workweek as its standard for computing wages due. Employees will be paid weekly on Friday.</t>
  </si>
  <si>
    <t>P-400-23180-155984</t>
  </si>
  <si>
    <t>Employer will make all deductions required by law and no others without
written consent from worker. The employer does not envision other workforce-wide payroll deductions. Potential elective deductions to be pre-authorized in writing if applicable are as follows: Employer may offer interest-free personal loans, if requested. Some meals provided. Optional housing available. Rent may be deducted from paycheck if voluntarily elected. Repayment of personal loans, if any, may be repaid
incrementally through paycheck deductions.</t>
  </si>
  <si>
    <t>H-400-23296-448820</t>
  </si>
  <si>
    <t>KC Sprinkler Pros</t>
  </si>
  <si>
    <t>6812 Holmes Road</t>
  </si>
  <si>
    <t>kcsprinklerpros@gmail.com</t>
  </si>
  <si>
    <t>6812 Homes Road (Report to Work)</t>
  </si>
  <si>
    <t>P-400-23207-217535</t>
  </si>
  <si>
    <t>kcsprinklerspros@gmail.com</t>
  </si>
  <si>
    <t xml:space="preserve">The Petitioner will consider for employment any person who possesses at least six (6) months of culinary experience at a high-end restaurant, resort, or private club.
</t>
  </si>
  <si>
    <t>H-400-23338-540510</t>
  </si>
  <si>
    <t>Huncol, Inc.</t>
  </si>
  <si>
    <t>Turf Master</t>
  </si>
  <si>
    <t>1904 Tufton Ct.</t>
  </si>
  <si>
    <t>2476 Nimmo Pkwy, Suite 115, VA Beach, VA 23456</t>
  </si>
  <si>
    <t>VA Beach</t>
  </si>
  <si>
    <t>Batkins</t>
  </si>
  <si>
    <t>2476 Nimmo Pkwy, Suite 115, VA  Beach, VA 23456</t>
  </si>
  <si>
    <t>Turfmaster@rocketmail.com</t>
  </si>
  <si>
    <t xml:space="preserve">Lift/carry 75 lbs. Employer paid drug test is Upon Suspicion (Post Employment)
</t>
  </si>
  <si>
    <t>2532 Squadron Ct,</t>
  </si>
  <si>
    <t>P-400-23222-255507</t>
  </si>
  <si>
    <t xml:space="preserve">The employer will make the following deductions from the worker's wages: all deductions required by law,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where it is shown that the worker is responsible, and any other reasonable deductions expressly authorized by the worker in writing. No deduction not required by law will be made that brings the workers hourly earnings below the FLSA Federal statutory minimum wage. 
</t>
  </si>
  <si>
    <t>turfmaster@rocketmail.com</t>
  </si>
  <si>
    <t>H-400-23313-491889</t>
  </si>
  <si>
    <t>Arctaris Saddleback Ski Operations LLC</t>
  </si>
  <si>
    <t>976 Saddleback Mountain Road</t>
  </si>
  <si>
    <t>Rangeley</t>
  </si>
  <si>
    <t>Quimby</t>
  </si>
  <si>
    <t>liza.quimby@saddlebackmaine.com</t>
  </si>
  <si>
    <t>Zaman</t>
  </si>
  <si>
    <t>Tasneem</t>
  </si>
  <si>
    <t>815 Connecticut Avenue, NW</t>
  </si>
  <si>
    <t>tzaman@littler.com</t>
  </si>
  <si>
    <t>Littler Mendelson, P.C.</t>
  </si>
  <si>
    <t xml:space="preserve">N/A
Clarification to Hourly Work Schedule: Employer will offer 2 shifts, 7 days a week, requiring 4 teams to cover the full week. Team 1 will work Monday - Friday, Team 2 will work Wednesday - Sunday. The day shift is 6:00am - 3:00pm, and the night shift is 1:00pm -9:30pm.
</t>
  </si>
  <si>
    <t>FRANKLIN TOWN</t>
  </si>
  <si>
    <t xml:space="preserve">4 teams - 2 shifts per team M-F &amp; W-Su. 1st: 6a-3p, 2nd:1p-9:30p                                                      </t>
  </si>
  <si>
    <t>P-400-23270-386742</t>
  </si>
  <si>
    <t>Deductions from the Worker’s Paycheck: The employer will make all deductions from the worker’s paycheck required by law. Employer offers room and board in shared, dormitory housing and will deduct $125-$180 at a rate of $125-$180 per week for these expenses for employees who choose them. All deductions must be voluntary on the part of the employee and otherwise reasonable according to the Fair Labor Standards Act (FLSA) principles at 29 CFR Part 531.)</t>
  </si>
  <si>
    <t>jobs@saddlebackmaine.com</t>
  </si>
  <si>
    <t>https://www.saddlebackmaine.com/</t>
  </si>
  <si>
    <t>Helpers--Electricians</t>
  </si>
  <si>
    <t>H-400-23307-475814</t>
  </si>
  <si>
    <t>Rainscape</t>
  </si>
  <si>
    <t>2519 Topside Rd., Ste A</t>
  </si>
  <si>
    <t>Vice President Human Resource</t>
  </si>
  <si>
    <t>2519 Topside Road, Ste A (Report to Work)</t>
  </si>
  <si>
    <t>P-400-23249-322776</t>
  </si>
  <si>
    <t>Optional, shared housing available to the worker at a monthly housing rate up to $391.68; if optional housing is agreed upon by the worker, monthly housing rate will be deducted from worker's paycheck incrementally (bi-weekly).</t>
  </si>
  <si>
    <t>Rajesh</t>
  </si>
  <si>
    <t>Stable Attendant</t>
  </si>
  <si>
    <t>First Blue LLC</t>
  </si>
  <si>
    <t>91 Kennedy Avenue</t>
  </si>
  <si>
    <t>Bluepoint</t>
  </si>
  <si>
    <t>Weinfurt</t>
  </si>
  <si>
    <t>Sheridan</t>
  </si>
  <si>
    <t>Director of Finance and Administration</t>
  </si>
  <si>
    <t>H-400-23336-539122</t>
  </si>
  <si>
    <t>MGD HORTICULTURAL SERVICES INC</t>
  </si>
  <si>
    <t>2505 DEEP HOLE DRIVE</t>
  </si>
  <si>
    <t xml:space="preserve">2505 DEEP HOLE DRIVE </t>
  </si>
  <si>
    <t>P-400-23199-196028</t>
  </si>
  <si>
    <t>CONMEGMAC@ICLOUD.COM</t>
  </si>
  <si>
    <t>H-400-23316-496412</t>
  </si>
  <si>
    <t>Ride Venture LLC</t>
  </si>
  <si>
    <t>614 S. Business IH35 Ste C #34</t>
  </si>
  <si>
    <t>Vander Vorste</t>
  </si>
  <si>
    <t>rideventure2018@gmail.com</t>
  </si>
  <si>
    <t>731 Engel Road</t>
  </si>
  <si>
    <t>P-400-23235-288643</t>
  </si>
  <si>
    <t>H-400-23321-509780</t>
  </si>
  <si>
    <t>Evoke Hotel Management LLC</t>
  </si>
  <si>
    <t>Red Sands Hotel &amp; Spa</t>
  </si>
  <si>
    <t>670 E Highway 24 </t>
  </si>
  <si>
    <t>ac@evokehotels.com</t>
  </si>
  <si>
    <t xml:space="preserve">670 East Highway 24 </t>
  </si>
  <si>
    <t>P-400-23179-152470</t>
  </si>
  <si>
    <t>Optional, shared furnished housing available to the worker (including: Wifi and coin operated laundry) at a monthly housing rate up to $250; if optional housing is agreed upon by the worker, monthly housing rate will be deducted from worker's paycheck incrementally (bi-weekly).At Employer’s sole discretion: possible cash advances (if applicable/requested by worker, potential deduction from worker’s paycheck).</t>
  </si>
  <si>
    <t>Must pass a pre-employment criminal background check, paid by employer and applied equally to all workers, U.S. and foreign/H-2B. Must be able to work weekends and holidays, when required. Multiple shifts offered based on business needs. Applicants must complete an employment application. Employer may offer more than the stated work hours depending on weather, business needs, and other conditions. Extreme heat, cold, rain, or drought may affect exact working hours.</t>
  </si>
  <si>
    <t>WINDSOR</t>
  </si>
  <si>
    <t>H-400-23321-508572</t>
  </si>
  <si>
    <t>Conroy Lawn &amp; Landscape, LLC</t>
  </si>
  <si>
    <t>1458 Highway 100</t>
  </si>
  <si>
    <t>Conroy</t>
  </si>
  <si>
    <t>conroylawns@gmail.com</t>
  </si>
  <si>
    <t>1458 Highway 100 (Report to Work)</t>
  </si>
  <si>
    <t>P-400-23212-225337</t>
  </si>
  <si>
    <t>Optional, shared housing available to the worker at a monthly housing rate up to $300.00; if optional housing is agreed upon by the worker, monthly housing rate will be deducted from worker's paycheck incrementally (bi-weekly).At Employer’s sole discretion: possible cash advances (if applicable/requested by worker, potential deduction from worker’s paycheck).</t>
  </si>
  <si>
    <t>office@conroylawnandlandscape.com</t>
  </si>
  <si>
    <t>H-400-23307-475820</t>
  </si>
  <si>
    <t>12601 Rock Hill-Pineville Road (Report to Work)</t>
  </si>
  <si>
    <t>Pineville</t>
  </si>
  <si>
    <t>P-400-23221-252774</t>
  </si>
  <si>
    <t>Optional, shared, furnished housing available to the worker at a weekly housing rate up to $121; if optional housing is agreed upon by the worker,  housing rate will be deducted from worker's paycheck incrementally (weekly).
At Employer’s sole discretion: possible cash advances (if applicable/requested by worker, potential deduction from worker’s paycheck).</t>
  </si>
  <si>
    <t>PChristie@ruppertcompanies.com</t>
  </si>
  <si>
    <t>Leominster</t>
  </si>
  <si>
    <t>Conway</t>
  </si>
  <si>
    <t>H-400-23325-518646</t>
  </si>
  <si>
    <t>Creative Image BMP LLC</t>
  </si>
  <si>
    <t>Creative Image</t>
  </si>
  <si>
    <t>1515 Production Drive</t>
  </si>
  <si>
    <t>Kennedy</t>
  </si>
  <si>
    <t>dkennedy@creativeimagellc.com</t>
  </si>
  <si>
    <t xml:space="preserve">No minimum education or experience required.
Must be able to lift 50 lbs.
Must pass a post-employment criminal background check, paid by employer and applied equally to all workers, U.S. and foreign/H-2B.
Must pass a post-employment/post-injury/incident drug test, paid by employer and applied equally to all workers, U.S. and foreign/H-2B.
Must be able to work at least 5-day work schedule, including weekends and holidays as required.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from housing to and from the main worksite in Burlington. Employer will then provide daily transportation among multiple worksite locations in Hamilton, Butler, Clermont, and Warren, OH, Dearborn, IN, and Boone, Campbell, and Kenton, KY.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t>
  </si>
  <si>
    <t>P-400-23200-199478</t>
  </si>
  <si>
    <t xml:space="preserve">A single workweek will be used in computing wages due. Pay will be received weekly. 
The employer will make all deductions from the worker's paycheck required by law. 
Optional employee shared housing, including utilities, available at a rate of approximately $130-150 per week. Cost of housing payroll deducted if worker elects. Uniform provided at no charge to worker. Optional uniform laundering available, approximate cost $10 per week, payroll deducted if worker elects.
Daily transportation provided from housing to and from the main worksite in Burlington. Employer will then provide daily transportation among multiple worksite locations in Hamilton, Butler, Clermont, and Warren, OH, Dearborn, IN, and Boone, Campbell, and Kenton, KY.
</t>
  </si>
  <si>
    <t>www.ky.usnlx.com</t>
  </si>
  <si>
    <t>PEREZ</t>
  </si>
  <si>
    <t>H-400-23307-478533</t>
  </si>
  <si>
    <t>Banquet Supervisor</t>
  </si>
  <si>
    <t>Must have clear communication skills. Must have the ability to supervise multiple meal functions simultaneously. Must speak/understand English. 
40 hrs/wk, work 5 days/wk, M-Sun, shift times will vary between 5:30am10:00pm, workdays/hours may vary depending on hotel capacity</t>
  </si>
  <si>
    <t>P-400-23208-218637</t>
  </si>
  <si>
    <t>Employer will provide optional housing to workers and deduct $175/paycheck for rent.
Employer may charge the worker for reasonable costs related to the worker's refusal or negligent failure to return any property furnished by the employer or due to such worker's willful damage or destruction of such property. Deductions may be taken per employee's request.
See Addendum.</t>
  </si>
  <si>
    <t>H-400-23263-363539</t>
  </si>
  <si>
    <t>P.J.G. PROPERTY MAINTENANCE INC.</t>
  </si>
  <si>
    <t>655 SCOTT ROAD</t>
  </si>
  <si>
    <t>PIPERSVILLE</t>
  </si>
  <si>
    <t>GREVY</t>
  </si>
  <si>
    <t>MUST VERIFY PRIOR EMPLOYMENT.</t>
  </si>
  <si>
    <t>1654 N. 57TH STREET</t>
  </si>
  <si>
    <t>P-400-23177-142878</t>
  </si>
  <si>
    <t xml:space="preserve">CASH ADVANCES AND/OR LOANS MADE TO WORKERS, IF ANY, MAY BE REPAID BY AUTHORIZED PAYROLL DEDUCTIONS. </t>
  </si>
  <si>
    <t>paul.grevy@pjgpm.com</t>
  </si>
  <si>
    <t>www.pacareerlinkpa.gov</t>
  </si>
  <si>
    <t>H-400-23349-570926</t>
  </si>
  <si>
    <t>FP LEGACY LANDSCAPING</t>
  </si>
  <si>
    <t>9710 SHALLOWFORD DR.</t>
  </si>
  <si>
    <t>9710 SHALLOWFORD DR</t>
  </si>
  <si>
    <t>CORPORATE@FPLEGACYLANDSCAPING.COM</t>
  </si>
  <si>
    <t xml:space="preserve">Must have a normal (non-commercial) driver's license sufficient to be able to operate a forklift.
Some overtime and weekend work may be required.  Hours may vary, depending on weather.  Must be able to perform manual, physical labor outside during all weather conditions (hot, cold, rain, snow, etc.).  Must be able to lift up to 80 lbs.
</t>
  </si>
  <si>
    <t>P-400-23291-438764</t>
  </si>
  <si>
    <t>corporate@fplegacylandscaping.com</t>
  </si>
  <si>
    <t>H-400-23277-410787</t>
  </si>
  <si>
    <t>Ormic Concessions, Inc.</t>
  </si>
  <si>
    <t>8922 Frances Street</t>
  </si>
  <si>
    <t>[Mailing Address: 15 Calle Anacua Brownsville, TX 78521]</t>
  </si>
  <si>
    <t>OLMITO</t>
  </si>
  <si>
    <t>Patriarca</t>
  </si>
  <si>
    <t>oneck10699@aol.com</t>
  </si>
  <si>
    <t xml:space="preserve">15 Calle Anacua </t>
  </si>
  <si>
    <t>P-400-23229-272705</t>
  </si>
  <si>
    <t>Employer will make all deductions from the worker’s paycheck required by law. Optional mobile housing (valued at $150.00 per week) and local convenience travel (valued at $25.00 per week) are available at no cost to the worker.</t>
  </si>
  <si>
    <t>kceno99601@hmail.com</t>
  </si>
  <si>
    <t>Yoder</t>
  </si>
  <si>
    <t>Diamond Property Services, LLC.</t>
  </si>
  <si>
    <t>510 S Turley Ave</t>
  </si>
  <si>
    <t>Ismael</t>
  </si>
  <si>
    <t>dpsismael@gmail.com</t>
  </si>
  <si>
    <t>Burton</t>
  </si>
  <si>
    <t>H-400-23321-509285</t>
  </si>
  <si>
    <t>Embassy Site Management</t>
  </si>
  <si>
    <t>6603 West Columbine Road</t>
  </si>
  <si>
    <t>Dir. Human Resources</t>
  </si>
  <si>
    <t>COLORADO SPRINGS</t>
  </si>
  <si>
    <t>P-400-23272-394453</t>
  </si>
  <si>
    <t>Meridian</t>
  </si>
  <si>
    <t>H-400-23336-539198</t>
  </si>
  <si>
    <t>NELSON LAND SERVICE STL LLC</t>
  </si>
  <si>
    <t>945 CLAYCREST DRIVE</t>
  </si>
  <si>
    <t xml:space="preserve">ST CHARLES </t>
  </si>
  <si>
    <t>P-400-23198-193214</t>
  </si>
  <si>
    <t>scott@nelsonland.org</t>
  </si>
  <si>
    <t>H-400-23321-508560</t>
  </si>
  <si>
    <t>Architectural and Civil Drafters</t>
  </si>
  <si>
    <t>Wells Landscaping &amp; Lawn Care, Inc.</t>
  </si>
  <si>
    <t>16625 Old Chesterfield Rd.</t>
  </si>
  <si>
    <t xml:space="preserve">Wells </t>
  </si>
  <si>
    <t>wellslandscaping@charter.net</t>
  </si>
  <si>
    <t>16625 Old Chesterfield Rd. (Report to Work)</t>
  </si>
  <si>
    <t>P-400-23192-179145</t>
  </si>
  <si>
    <t>Optional, shared housing available to the worker at a monthly housing rate up to $430.00; if optional housing is agreed upon by the worker, monthly housing rate will be deducted from worker's paycheck incrementally (bi-weekly).At Employer’s sole discretion: possible cash advances (if applicable/requested by worker, potential deduction from worker’s paycheck).</t>
  </si>
  <si>
    <t>Alaska Premier Assisted Living LLC</t>
  </si>
  <si>
    <t>PO BOX 212845</t>
  </si>
  <si>
    <t>andre@assistedlivingak.com</t>
  </si>
  <si>
    <t>9119 LITTLE BROOK ST</t>
  </si>
  <si>
    <t>H-400-23307-476457</t>
  </si>
  <si>
    <t>ENGINEER</t>
  </si>
  <si>
    <t xml:space="preserve">No minimum education or experience required.
Workers are subject to post-employment criminal background checks, paid by employer and applied equally to all workers, U.S. and foreign/H-2B. 
Must be able to work a minimum 5-day workweek. 
Must be able to work weekends and holidays. 
Applicant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</si>
  <si>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P-400-23188-173165</t>
  </si>
  <si>
    <t xml:space="preserve">Employer will provide on the job training. A single workweek will be used to compute wages due. Pay received bi-weekly.  
Employer will make all deductions from the worker's paycheck required by law. 
Optional employee shard housing available, including utilities, approx. $150.00 per week, plus $300.00 deposit required ($100.00 non-refundable, $200.00 refundable). Transportation provided between employer’s housing and worksite at approx. $20 per week. Meals available for purchase at approx. $3.00 per meal. Housing, meals, and transportation payroll deducted if employee elects.
</t>
  </si>
  <si>
    <t>H-400-23290-435544</t>
  </si>
  <si>
    <t>C. Schuster Properties LLC</t>
  </si>
  <si>
    <t>2044 Rose Lane</t>
  </si>
  <si>
    <t>Schuster</t>
  </si>
  <si>
    <t>Some O.T. &amp; weekends may be available.</t>
  </si>
  <si>
    <t>P-400-23249-323629</t>
  </si>
  <si>
    <t xml:space="preserve">Employer will use a single workweek for computing wages due. Pay will be weekly. Bonuses and extra compensation may be offered based on performance and at the discretion of the employer.
Employer offers room and board in shared housing. If the worker chooses to utilize said housing, they will be responsible for paying $60 per week as it will NOT be deducted from their pay.
Employer will make all deductions required by law from each paycheck.
</t>
  </si>
  <si>
    <t>candcschuster@yahoo.com</t>
  </si>
  <si>
    <t>H-400-23336-538901</t>
  </si>
  <si>
    <t>Front Desk Specialist</t>
  </si>
  <si>
    <t>P-400-23295-448740</t>
  </si>
  <si>
    <t>Cancun Mexican Restaurant LLC</t>
  </si>
  <si>
    <t>Cancun Mexican Restaurant</t>
  </si>
  <si>
    <t>camarena.lilibeth@icloud.com</t>
  </si>
  <si>
    <t>4252 S Alameda</t>
  </si>
  <si>
    <t>H-400-23261-355213</t>
  </si>
  <si>
    <t>Slots Shift Manager/Manager on Duty</t>
  </si>
  <si>
    <t xml:space="preserve">Virgin Islands Gaming Key Employee License
Fluent in English. Must be 21 years old and able to obtain a VI Gaming License. Must have knowledge of Title 31.
1 unpaid meal break.  </t>
  </si>
  <si>
    <t>P-400-23183-162071</t>
  </si>
  <si>
    <t>All deductions from the worker's paycheck required by law will be made, including but not limited to VI Income Tax, Social Security, Medicare. Amounts unknown as it depends on hours worked. 
"Optional" There will be a deduction of $300 per month for housing ($150 per bi-weekly pay period).</t>
  </si>
  <si>
    <t>P-400-23242-307803</t>
  </si>
  <si>
    <t>mthlandscaping@gmail.com</t>
  </si>
  <si>
    <t>SANILAC</t>
  </si>
  <si>
    <t>O'Hara</t>
  </si>
  <si>
    <t>Criminal background check (post hire, pre-employment). Must be able to perform all listed job duties.</t>
  </si>
  <si>
    <t>H-400-23215-234857</t>
  </si>
  <si>
    <t>P-400-23143-045045</t>
  </si>
  <si>
    <t>H-400-23321-508574</t>
  </si>
  <si>
    <t xml:space="preserve">Paladina Landscaping &amp; Lawn Care, Inc. </t>
  </si>
  <si>
    <t xml:space="preserve">Lift/carry up to 50 pounds.  MonSat; work extended daily hours as needed and 5 hours on Saturdays.   Employer paid drug test is Random (post-employment). 
</t>
  </si>
  <si>
    <t>H-400-23325-516016</t>
  </si>
  <si>
    <t>Yellowstone Landscape - Southeast, LLC_Daytona</t>
  </si>
  <si>
    <t>1077 Derbyshire Rd</t>
  </si>
  <si>
    <t>1077 Derbyshire Rd,</t>
  </si>
  <si>
    <t>P-400-23236-293101</t>
  </si>
  <si>
    <t>H-400-23215-234847</t>
  </si>
  <si>
    <t>Level 3+ Ski Instructor</t>
  </si>
  <si>
    <t>PSIA level (3) three certification is required.
May be required to lift up to 50 lbs. Three (3) months of guest service experience in a resort, private club, tourism, or professional environment required.
Post hire criminal background check required.
On-the-job training is provided.
Following Shifts available 7 days a week including weekends and holidays. 7a-2p,8a-3p, 9a-4p.
Wage Per Hour: $24.51 - $30.00.
Overtime Possible Per Hour at $36.77 - $45.00.
Possible Wage Increase: pay increases up to $5/hour for additional certifications.</t>
  </si>
  <si>
    <t>pay increases up to $5/hour for additional certifications</t>
  </si>
  <si>
    <t>P-400-23138-034530</t>
  </si>
  <si>
    <t>All deductions required by law will be made.
Optional housing is offered on a first-come, first-serve basis for workers who are relocating to begin employment. Cost of housing, if accepted, is $125.00 per week.  If used, total cost of housing will be paid directly to employer by employee.  A $125.00 refundable security deposit is required, to be paid directly to employer upon acceptance of housing.
Daily transportation to and from worksite is provided for workers living in employee housing.
Post hire criminal background check required.
Optional Deductions from Paycheck: optional 401(k).
Benefits: Meal and retail discounts, free ski lift pass.</t>
  </si>
  <si>
    <t>H-400-23322-511876</t>
  </si>
  <si>
    <t>39509 SW I-55 Service Road (Report to Work)</t>
  </si>
  <si>
    <t>Ponchatoula</t>
  </si>
  <si>
    <t>P-400-23240-301722</t>
  </si>
  <si>
    <t>H-400-23216-241279</t>
  </si>
  <si>
    <t>Cashier/Food Attendant</t>
  </si>
  <si>
    <t>Each employees expected daily schedule will be for 9 hours shifts Monday to Friday, between the hours of 7:00 a.m. and 11:00 p.m., and then there may also be weekend shifts, Saturday and Sunday, of four hours, between the hours of 7:00 a.m. and 11:00 p.m. Shifts would be created well in advance, so all Employees have time to plan their schedule.</t>
  </si>
  <si>
    <t>P-400-23150-063255</t>
  </si>
  <si>
    <t>Employer will make all deductions required by law. The Employer will facilitate housing by helping workers
find housing, but the workers will be responsible for paying for their own housing once that housing is found.</t>
  </si>
  <si>
    <t>H-400-23321-509121</t>
  </si>
  <si>
    <t>13306 Wright Rd</t>
  </si>
  <si>
    <t>P-400-23229-273920</t>
  </si>
  <si>
    <t>H-400-23332-527413</t>
  </si>
  <si>
    <t>Giordana Rock</t>
  </si>
  <si>
    <t>865 Lily St</t>
  </si>
  <si>
    <t>Monterey</t>
  </si>
  <si>
    <t>Rock</t>
  </si>
  <si>
    <t>Giordana</t>
  </si>
  <si>
    <t>Giordanarock@gmail.com</t>
  </si>
  <si>
    <t>Ferrante</t>
  </si>
  <si>
    <t>1273 Bound Brook Road</t>
  </si>
  <si>
    <t>Suite 16</t>
  </si>
  <si>
    <t>Middlesex</t>
  </si>
  <si>
    <t>asflaw21@gmail.com</t>
  </si>
  <si>
    <t>Law Offices of Andrea S Ferrante</t>
  </si>
  <si>
    <t xml:space="preserve">Ability to speak two or more languages with a preference for Italian
Experience with montessori or school methodology
two to three years of prior experience as a Nanny overall
prior experience with being a Nanny to twins
</t>
  </si>
  <si>
    <t>P-400-23158-086295</t>
  </si>
  <si>
    <t>https://www.caljobs.ca.gov/vosnet/jobbanks/jobdetails.aspx?enc=9B8/uT7</t>
  </si>
  <si>
    <t>Bravo</t>
  </si>
  <si>
    <t>H-400-23305-469450</t>
  </si>
  <si>
    <t>Housekeeper/Transport Driver</t>
  </si>
  <si>
    <t>Sunrise Temporary Help &amp; Housekeeping Services LLC</t>
  </si>
  <si>
    <t>5151 Monroe Street</t>
  </si>
  <si>
    <t>STE 250B</t>
  </si>
  <si>
    <t>Toledo</t>
  </si>
  <si>
    <t>Williams Currie</t>
  </si>
  <si>
    <t>Ann Marie</t>
  </si>
  <si>
    <t>C.E.O/Director of Operations</t>
  </si>
  <si>
    <t>michelle@sunrisehskp.com</t>
  </si>
  <si>
    <t xml:space="preserve">Must have a Valid Ohio Driver's License or International License with H2B Visa exception, (or ability to obtain USA drivers license) and an acceptable driving record. Must be able to read, write, speak, and understand the English language.
High school diploma or equivalent.
Two years driving experience.
Clean driving record.
</t>
  </si>
  <si>
    <t>P-400-23250-328472</t>
  </si>
  <si>
    <t>Room &amp; Boarding $400 per month including all utilities.
Transportation $15.00 daily to and from work location if applicable.</t>
  </si>
  <si>
    <t>info@sunrisehskp.com</t>
  </si>
  <si>
    <t>www.sunrisehskp.com</t>
  </si>
  <si>
    <t>H-400-23208-221566</t>
  </si>
  <si>
    <t>Mammoth Mountain Ski Area, LLC</t>
  </si>
  <si>
    <t>10001 Minaret Road</t>
  </si>
  <si>
    <t>P.O. Box 24</t>
  </si>
  <si>
    <t>Mammoth Lakes</t>
  </si>
  <si>
    <t>Rowan</t>
  </si>
  <si>
    <t>Ski School Director</t>
  </si>
  <si>
    <t>srowan@mammothresorts.com</t>
  </si>
  <si>
    <t xml:space="preserve">Must have a valid Professional Ski Instructor of America (PSIA) Level 3 Certification or international equivalence.
</t>
  </si>
  <si>
    <t>MONO</t>
  </si>
  <si>
    <t>P-400-23139-038678</t>
  </si>
  <si>
    <t>srowan@mammothmountain.com</t>
  </si>
  <si>
    <t>http://www.mammothmountain.com</t>
  </si>
  <si>
    <t>RUSK</t>
  </si>
  <si>
    <t>H-400-23184-165507</t>
  </si>
  <si>
    <t>Up to 1 month of Safety and sanitation training may be required depending on experience.
Workers will work EITHER 3:00am - 11:59am OR 12:00pm - 8:59pm OR 9:00pm - 2:59am</t>
  </si>
  <si>
    <t>424 E. Railroad St.</t>
  </si>
  <si>
    <t>SAMPSON</t>
  </si>
  <si>
    <t xml:space="preserve">Exact wage rate dependent on internal metrics. Possible eligibility for company-wide incentive program. </t>
  </si>
  <si>
    <t>P-400-23121-979533</t>
  </si>
  <si>
    <t>Hess</t>
  </si>
  <si>
    <t>Busser</t>
  </si>
  <si>
    <t>H-400-23307-475825</t>
  </si>
  <si>
    <t>Shelton Landscape Maintenance, Inc.</t>
  </si>
  <si>
    <t>1515A Lonedell Industrial Ct</t>
  </si>
  <si>
    <t>Deschler</t>
  </si>
  <si>
    <t>clay@shelton-landscape.com</t>
  </si>
  <si>
    <t>Must be able to lift up to 50 lbs.
Must be able to work a 5-day schedule including Saturdays and holidays when necessary.
Applicant must complete an employment application.
Required uniform provided at no charge to worker.</t>
  </si>
  <si>
    <t>P-400-23271-388644</t>
  </si>
  <si>
    <t>H-400-23250-326231</t>
  </si>
  <si>
    <t>Sunrise Property Maintenance, Inc.</t>
  </si>
  <si>
    <t>10301 S Silver Willow Dr</t>
  </si>
  <si>
    <t>sunrisepm@msn.com</t>
  </si>
  <si>
    <t xml:space="preserve">Must be 18 due to equipment use. Must show proof of legal authorization to work in the United States. Drug/alcohol/tobacco free work zone. Perform physical activities such as: lift, balance, walk, stoop, handle, position, move, push, pull, carry objects up to 100lbs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t>
  </si>
  <si>
    <t>P-400-23203-208296</t>
  </si>
  <si>
    <t>H-400-23247-318345</t>
  </si>
  <si>
    <t>Waterloo Hospitality Inc</t>
  </si>
  <si>
    <t>320 80th St</t>
  </si>
  <si>
    <t>2550 Golden Nugget Blvd</t>
  </si>
  <si>
    <t>P-400-23137-030267</t>
  </si>
  <si>
    <t>•Employer will make all deductions from worker's paycheck required by law. 
•Employer will deduct any written preapproved deduction requested by employee 
Voluntary/Optional, Third-Party Rent/housing: Provided by a third party company
•Optional &amp; Voluntary 3rd party housing may be available at $125 - $150/ WK &amp; may be voluntarily payroll deducted biweekly
•Waterloo Hospitality could act as guarantor for timely rent payment however, lease is directly with 3rd party service provider &amp; between employees &amp; housing company as Waterloo Hospitality has no housing of its own
•Housing Deposits and/or a $250 nonrefundable administrative fee may be required if you choose the voluntary optional 3rd party housing
•Third party housing provider/landlord may require that the last 8 weeks of rent (covering July 21, 2024 to Sept 15 2024) be prepaid upfront or payroll deducted in installments of $150 per pay period until full payment is achieved. This pre-paid last 8 wks rent is nonrefundable</t>
  </si>
  <si>
    <t>H-400-23227-265608</t>
  </si>
  <si>
    <t>VR NE HOLDINGS, LLC</t>
  </si>
  <si>
    <t>Okemo Mountain Resort</t>
  </si>
  <si>
    <t>77 Okemo Ridge Road</t>
  </si>
  <si>
    <t>111 Jackson Gore Road</t>
  </si>
  <si>
    <t>P-400-23113-957854</t>
  </si>
  <si>
    <t>OPTIONAL SUBSIDIZED EMPLOYEE HOUSING IS AVAILABLE BUT LIMITED. BIWEEKLY COST IS $255.00 TO $285.00 DEPENDING ON UNIT TYPE (I.E. NUMBER OF BEDS IN UNIT AND NUMBER OF PEOPLE LIVING IN UNIT). EMPLOYEE IS RESPONSIBLE FOR PAYING HOUSING COST BIWEEKLY. A LICENSE DEPOSIT OF $250 IS DUE PRIOR TO CHECK-IN. WITH EMPLOYEE'S VOLUNTARY CONSENT, HOUSING COST WILL BE DEDUCTED FROM PAYCHECK.</t>
  </si>
  <si>
    <t>H-400-23229-272935</t>
  </si>
  <si>
    <t>Landscape Care LLC</t>
  </si>
  <si>
    <t xml:space="preserve">6 Cranbrooke Ct. </t>
  </si>
  <si>
    <t>Saint Peters</t>
  </si>
  <si>
    <t>Ricardo@landscapecarestl.com</t>
  </si>
  <si>
    <t>5335 Gutermuth Rd.</t>
  </si>
  <si>
    <t>Saint Charles</t>
  </si>
  <si>
    <t>1/2 hr for lunch. Some O.T. may be available but not guaranteed. Wage w/in wage range based on experience &amp; performance.</t>
  </si>
  <si>
    <t>P-400-23184-165053</t>
  </si>
  <si>
    <t>H-400-23215-236628</t>
  </si>
  <si>
    <t>Commercial Solutions LLC</t>
  </si>
  <si>
    <t>Debarges Crawfish, Crazy Cajun LLC, Rosie Jo's LLC</t>
  </si>
  <si>
    <t>1807 Andrews Street</t>
  </si>
  <si>
    <t>PO BOX 469 IOTA LA 70543 Mailing Address</t>
  </si>
  <si>
    <t xml:space="preserve">3461 Branch Hwy </t>
  </si>
  <si>
    <t>PO BOX 469 IOTA LA 70543 MAILING ADDRESS</t>
  </si>
  <si>
    <t>Branch</t>
  </si>
  <si>
    <t xml:space="preserve">Must be able to work weekends
Must be able to lift up 50lbs, stoop, bend, sit, walk, kneel, reach (over head or ground level) for prolong period
Once hired worker may be required to take a random drug test (at no cost to worker) 
Testing positive or Failure to comply with testing may result in immediate termination from employment 
The standard work schedule is from 7:00 am until 4:00 pm Monday through Friday; Saturday and Sunday work required, when necessary, Employer will offer 35 Hours per work week- Overtime is offered but not guaranteed - Employer may offer more hours than the stated work hours, depending on product/seafood availability , business needs and other conditions. 
</t>
  </si>
  <si>
    <t>P-400-23156-078207</t>
  </si>
  <si>
    <t xml:space="preserve">Employer will make all deductions from the worker’s paycheck required by Federal, State and Local Law. 
Housing: Employer offers Voluntary shared housing available and is offered to any worker Living outside a normal commuting area, housing will be deducted from worker. Paid directly to employer weekly or deducted from paycheck - Housing cost $70.00 Weekly –. No Family housing offered
Workers are responsible for daily transportation Employer will not provide each work crew with daily transportation to and from the worksites location throughout: #1 – Commercial Solutions dba Debarges Crawfish 1807 Andrews Street Alexandria LA 71303 - #2 Crazy Cajun LLC  - 6300 Old Shreveport Hwy Pine Ville, LA 71360 #3 Rosie Jo’s LLC – 3140 MacArthur Drive Alexandria LA 71301 
</t>
  </si>
  <si>
    <t>H-400-23220-248012</t>
  </si>
  <si>
    <t xml:space="preserve">Three (3) months of experience at a high-end hotel, resort, or private club required.  Schedule: 35 hours per week. Monday through Sunday (schedule varies). Work schedule can include evening, weekend, and holiday hours. Shifts: 8:45am  3:45pm; 8:00am  3:00pm; or 1:00pm  8:00pm (shift hours may vary).  </t>
  </si>
  <si>
    <t>Piece-rate position based on number of rooms cleaned. See job description for additional details.</t>
  </si>
  <si>
    <t>P-400-23138-033597</t>
  </si>
  <si>
    <t>Optional housing is offered for workers who are relocating to begin employment on a first come, first serve basis. Cost of housing, if elected, is $91-$140.00 per week, to be deducted from paycheck if housing is elected. A one time, partially refundable $150.00 security deposit is required to be paid directly to employer upon acceptance of housing. A $50 non-refundable cleaning fee is included in the security deposit. 
Additional, optional benefits may be offered to worker, for worker’s sole benefit, including but not limited to 401k. If voluntarily elected by worker, employee costs/contributions for benefits will be deducted from paycheck.
Employer will make all deductions from the worker’s paycheck required by law.</t>
  </si>
  <si>
    <t>H-400-23211-224955</t>
  </si>
  <si>
    <t>Balmoral Farm, Inc</t>
  </si>
  <si>
    <t>13160 Riviera Ranch Rd</t>
  </si>
  <si>
    <t>Barmen</t>
  </si>
  <si>
    <t>1781 Old Ranch Road</t>
  </si>
  <si>
    <t>tbar@me.com</t>
  </si>
  <si>
    <t xml:space="preserve">Travel and transportation is a business necessity and requirement.
Reference checks will be conducted and are a hiring requirement.
</t>
  </si>
  <si>
    <t>P-400-23160-095327</t>
  </si>
  <si>
    <t>H-400-23222-254831</t>
  </si>
  <si>
    <t>Housekeeping Room Attendant</t>
  </si>
  <si>
    <t xml:space="preserve">No formal education, training or experience required.  On-the-job training will be provided.
Pre-employment criminal background check.
</t>
  </si>
  <si>
    <t>P-400-23139-039626</t>
  </si>
  <si>
    <t xml:space="preserve">https://www.boynemountain.com/employment </t>
  </si>
  <si>
    <t>H-400-23212-227747</t>
  </si>
  <si>
    <t>Ski Instructor Level 3 Trainer</t>
  </si>
  <si>
    <t>Ski and Snowboard School Director</t>
  </si>
  <si>
    <t xml:space="preserve">Must have a valid Professional Ski Instructors of America (PSIA) Level 3 Certification or international equivalence.
</t>
  </si>
  <si>
    <t>P-400-23139-038728</t>
  </si>
  <si>
    <t>http:www.mammothmountain.com</t>
  </si>
  <si>
    <t>H-400-23228-270576</t>
  </si>
  <si>
    <t>BVR, LLC</t>
  </si>
  <si>
    <t>Bolton Valley Resort</t>
  </si>
  <si>
    <t xml:space="preserve">4302 Bolton Valley Access Road </t>
  </si>
  <si>
    <t>Bolton</t>
  </si>
  <si>
    <t>Deschenes</t>
  </si>
  <si>
    <t xml:space="preserve">Leanne </t>
  </si>
  <si>
    <t xml:space="preserve">HR Manager </t>
  </si>
  <si>
    <t>4302 Bolton Valley Access Road</t>
  </si>
  <si>
    <t>ldeschenes@boltonvalley.com</t>
  </si>
  <si>
    <t xml:space="preserve">This job requires continuous movement, regularly bending, lifting, pushing. Must be flexible, communicate effectively, speak clear English, be a team player. Must be able to lift 50 lbs.  See F.a.4.
</t>
  </si>
  <si>
    <t>Bolton Valley Resorts</t>
  </si>
  <si>
    <t>P-400-23187-170129</t>
  </si>
  <si>
    <t>No involuntary deductions will be made from worker’s pay. Optional, two-bedroom apartments with double occupancy located in Burlington, VT, available, first come first served while available, for a weekly fee of $150 per week plus utilities.</t>
  </si>
  <si>
    <t>Leanne@boltonvalley.com</t>
  </si>
  <si>
    <t>https://www.boltonvalley.com/jobs/</t>
  </si>
  <si>
    <t>H-400-23213-228599</t>
  </si>
  <si>
    <t>Snowshoe Mountain, Inc.</t>
  </si>
  <si>
    <t>Snowshoe Mountain Resort</t>
  </si>
  <si>
    <t>Patti</t>
  </si>
  <si>
    <t>President, COO</t>
  </si>
  <si>
    <t>rjuneau@snowshoemountain.com</t>
  </si>
  <si>
    <t xml:space="preserve">3 months experience in Room Attendant or Housekeeping at a high-end hotel, resort or private club.
Must pass post-hire criminal background check.
On the Job Training Will Be Provided Job location
Following Shifts available 7 days a week including weekends and holidays.
Flexible schedule with hours between 6AM and 2AM. Required to be able to work weekends, holidays, morning, day and evening shifts.
Wage Per Hour:$11.20 - $16.50 regular. Overtime Possible Per Hour at $16.80 - $24.75.
Returning employees in the same position are eligible for merit based on their last seasons performance review scores; increase can be as low as 0% and up to 6% of their base wage. </t>
  </si>
  <si>
    <t>merit based on their last seasons performance review scores</t>
  </si>
  <si>
    <t>P-400-23128-003254</t>
  </si>
  <si>
    <t>All deductions required by law will be made.
Optional Employee Housing available with rent between $300 -$600/month based on accommodations to be paid online; housing deposit of $250 to be paid online also.
Daily Transportation to the Worksite Is Provided.
Optional Deductions from Paycheck: 401K. Criminal background check required post-hire.
Benefits: Season Pass; Free Rentals (Some restrictions apply); Friends and Family Lift Tickets: Purchase discounts; 401K Available for any
employee over the age of 21; Pro Deals with top industry brands (specific links and information available at HR after hire).</t>
  </si>
  <si>
    <t>rjuneau@snowshoemounatin.com</t>
  </si>
  <si>
    <t>H-400-23232-279393</t>
  </si>
  <si>
    <t>Sureme Court</t>
  </si>
  <si>
    <t>P-400-23113-957870</t>
  </si>
  <si>
    <t xml:space="preserve">Optional subsidized employee housing is available but limited. Biweekly cost is $255.00 to $285.00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</si>
  <si>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H-400-23198-195097</t>
  </si>
  <si>
    <t>Moon Valley Nursery Vegas Retail, LLC - Clark</t>
  </si>
  <si>
    <t xml:space="preserve">Saturday work required, when necessary. Hours and overtime required may vary based on weather conditions and project need.  On-the-job training will be provided. All tools/supplies req'd, provided at no cost.  Must lift/carry 50 LBS. when necessary. Travel to customer locations for installations within the Clark County of Nevada.
</t>
  </si>
  <si>
    <t>9040 S. Eastern Avenue</t>
  </si>
  <si>
    <t>P-400-23158-088950</t>
  </si>
  <si>
    <t>H-400-23229-274922</t>
  </si>
  <si>
    <t>DHC Tahoe Holdings LLC</t>
  </si>
  <si>
    <t>Lake Tahoe Resort Hotel</t>
  </si>
  <si>
    <t>4130 Lake Tahoe Boulevard</t>
  </si>
  <si>
    <t xml:space="preserve">South Lake Tahoe </t>
  </si>
  <si>
    <t>lturner@tahoeresorthotel.com</t>
  </si>
  <si>
    <t xml:space="preserve">40 Speen Street </t>
  </si>
  <si>
    <t>Pabian Law, LLC</t>
  </si>
  <si>
    <t>Wage: $19.00 - $22.28 per hour, paid bi-weekly.  See attached job description for details.</t>
  </si>
  <si>
    <t>P-400-23181-159037</t>
  </si>
  <si>
    <t xml:space="preserve">Optional housing with utilities included is offered on a first-come, first-serve basis for workers who are relocating to begin employment.  Cost of housing, if accepted, is $300.00 per month. If used, total cost of housing will be deducted from paycheck.  </t>
  </si>
  <si>
    <t>dclifton@tahoeresorthotel.com</t>
  </si>
  <si>
    <t>H-400-23198-193836</t>
  </si>
  <si>
    <t>C &amp; H REFORESTERS INC.</t>
  </si>
  <si>
    <t>925 ELLENDALE AVE</t>
  </si>
  <si>
    <t>ALEJANDRE</t>
  </si>
  <si>
    <t>DELFINO</t>
  </si>
  <si>
    <t>FINO94.DA@GMAIL.COM</t>
  </si>
  <si>
    <t>Drug, alcohol, tobacco free work zone; should supervisor observe possibility of under influence drugs or alcohol then employer paid testing will commence, failure to participate or failed test equals dismissal. Proof of legal authority to work in U.S.  Must be at least 18 years old due to travel</t>
  </si>
  <si>
    <t>925 E ELLENDALE AVE</t>
  </si>
  <si>
    <t>P-400-23159-091887</t>
  </si>
  <si>
    <t xml:space="preserve">All deductions required by law done by employer. Carpool contributions are optional and not a condition of employment: Carpool contributions up to $35 per wk. Company makes available company vehicle after hrs for reasonable personal use; contributions up to $35 per wk to help cover costs of personal use will be deducted based on mileage. </t>
  </si>
  <si>
    <t>fino94.da@gmail.com</t>
  </si>
  <si>
    <t>H-400-23211-224953</t>
  </si>
  <si>
    <t>Acres West</t>
  </si>
  <si>
    <t>23200 Mulholland Hwy</t>
  </si>
  <si>
    <t>Calabasas</t>
  </si>
  <si>
    <t>Giffin</t>
  </si>
  <si>
    <t>Marian</t>
  </si>
  <si>
    <t>mariangiffin@hotmail.com</t>
  </si>
  <si>
    <t>85555 Airport Blvd.</t>
  </si>
  <si>
    <t>P-400-23160-095314</t>
  </si>
  <si>
    <t>Optional lodging &amp; daily transportation to/from worksite will be provided to the workers at no charge. The employer will pay 100% of all housing and travel costs. These costs will not be deducted from the workers' pay.</t>
  </si>
  <si>
    <t>H-400-23263-364303</t>
  </si>
  <si>
    <t>SHORT ORDER COOKS</t>
  </si>
  <si>
    <t>IKLW LLC</t>
  </si>
  <si>
    <t xml:space="preserve">ISLAND KITCHEN </t>
  </si>
  <si>
    <t>1712 SOUTH DIXIE HIGHWAY</t>
  </si>
  <si>
    <t>LAKE WORTH</t>
  </si>
  <si>
    <t>COHEN</t>
  </si>
  <si>
    <t>ZACHARY</t>
  </si>
  <si>
    <t>ZACH@ISLANDKITCHEN.COM</t>
  </si>
  <si>
    <t>ANTIOCH ASSOCIATES USA II INC</t>
  </si>
  <si>
    <t xml:space="preserve">1712 SOUTH DIXIE HIGHWAY </t>
  </si>
  <si>
    <t>P-400-23221-250591</t>
  </si>
  <si>
    <t xml:space="preserve">Lodging may be available through employer.  If housing is provided by employer, employee cost for housing is $150 per week and is paid directly by employee to employer each pay period.  Housing is optional.  </t>
  </si>
  <si>
    <t>zach@islandkitchen.com</t>
  </si>
  <si>
    <t>H-400-23216-239074</t>
  </si>
  <si>
    <t>Haybale Heights Campground &amp; Resort</t>
  </si>
  <si>
    <t>4355 87th Ave NE</t>
  </si>
  <si>
    <t>Mailing: 8378 Hwy 2</t>
  </si>
  <si>
    <t>Mertens</t>
  </si>
  <si>
    <t>Valid driver's license
48 hrs/week, Mon-Sat, 7am-4pm, hours and workdays may vary depending on weather.</t>
  </si>
  <si>
    <t>P-400-23094-901698</t>
  </si>
  <si>
    <t>Employer may assist in locating optional housing.
Employer may charge the worker for reasonable costs related to the worker's refusal or negligent failure to return any property furnished by the employer or due to such worker's willful damage or destruction of such property. Deductions may be taken per employee's request. SEE ADDENDUM.</t>
  </si>
  <si>
    <t>https://www.haybaleheights.com/contact-us/index.html</t>
  </si>
  <si>
    <t>H-400-23184-163396</t>
  </si>
  <si>
    <t>Electrical Supervisor</t>
  </si>
  <si>
    <t>TK Electric LLC</t>
  </si>
  <si>
    <t>5431 Perimeter Pkwy</t>
  </si>
  <si>
    <t>SangHyun</t>
  </si>
  <si>
    <t>5284 Sophia Downs CT</t>
  </si>
  <si>
    <t>tkelectric2820@gmail.com</t>
  </si>
  <si>
    <t>4 years experience as Electrician for industrial projects</t>
  </si>
  <si>
    <t>1500 Hyundai Blvd</t>
  </si>
  <si>
    <t>P-400-23146-057328</t>
  </si>
  <si>
    <t>H-400-23236-294011</t>
  </si>
  <si>
    <t>Jesse.Stewart@hawkscay.com</t>
  </si>
  <si>
    <t>P-400-23144-049217</t>
  </si>
  <si>
    <t>H-400-23215-234986</t>
  </si>
  <si>
    <t>TALENT AND HOUSING SPECIALIST</t>
  </si>
  <si>
    <t>P-400-23177-143149</t>
  </si>
  <si>
    <t>H-400-23184-163787</t>
  </si>
  <si>
    <t xml:space="preserve">Exact wage rate dependent on internal metrics. Workers may be eligible for plant-wide incentive program. </t>
  </si>
  <si>
    <t>P-400-23121-979690</t>
  </si>
  <si>
    <t>H-400-23262-359762</t>
  </si>
  <si>
    <t>TC Dugan Enterprises Inc.</t>
  </si>
  <si>
    <t>Crutchee's Cream</t>
  </si>
  <si>
    <t>5142 Delaney Court</t>
  </si>
  <si>
    <t>Dugan</t>
  </si>
  <si>
    <t>Wanda</t>
  </si>
  <si>
    <t>tcduganenterprises@yahoo.com</t>
  </si>
  <si>
    <t>P-400-23187-171594</t>
  </si>
  <si>
    <t>H-400-23276-406583</t>
  </si>
  <si>
    <t>Chris Guadango</t>
  </si>
  <si>
    <t>So Cal rides</t>
  </si>
  <si>
    <t>15011 Genoa Cr.</t>
  </si>
  <si>
    <t>Guadagno</t>
  </si>
  <si>
    <t xml:space="preserve">Huntington Beach </t>
  </si>
  <si>
    <t>cowboycrs@aol.com</t>
  </si>
  <si>
    <t>P-400-23229-274424</t>
  </si>
  <si>
    <t>cowboyscrs@aol.com</t>
  </si>
  <si>
    <t>H-400-23207-217338</t>
  </si>
  <si>
    <t>Waterlefe Master POA, Inc</t>
  </si>
  <si>
    <t>995 Fish Hook Cove</t>
  </si>
  <si>
    <t>VALLETTA</t>
  </si>
  <si>
    <t>HOUSING OPTIONAL AND AVAILABLE FOR $250-$300/PAYCHECK WITH A $250 REFUNDABLE DEPOSIT.</t>
  </si>
  <si>
    <t>P-400-23167-117931</t>
  </si>
  <si>
    <t>gm@waterlefefl.com</t>
  </si>
  <si>
    <t>H-400-23286-430104</t>
  </si>
  <si>
    <t>Pacific Seafood Group - (WA)</t>
  </si>
  <si>
    <t>16797 SE 130th Avenue</t>
  </si>
  <si>
    <t>Pickett</t>
  </si>
  <si>
    <t>Talent Acquisition Director</t>
  </si>
  <si>
    <t>cpickett@pacificseafood.com</t>
  </si>
  <si>
    <t xml:space="preserve">Days/shifts will vary. 
Employer reserves the right to pay a higher wage rate or bonus to any worker in their sole discretion, based on performance, skill, tenure, or experience. 
Employer is offering up to 44 hours of overtime per week as needed, but not guaranteed. 
First 3 weeks of employment will include 35+ hours per week of paid on the job training. 
A pre-employment criminal background check will be required. 
Optional employer housing is available at a cost of $15/day.
 Transportation to and from the worksite will be provided at no cost to the worker. 
</t>
  </si>
  <si>
    <t>1980 Nyhus St</t>
  </si>
  <si>
    <t>North Westport</t>
  </si>
  <si>
    <t>P-400-23228-268031</t>
  </si>
  <si>
    <t>recruiting@pacificseafood.com</t>
  </si>
  <si>
    <t>careers.fish</t>
  </si>
  <si>
    <t>H-400-23289-433059</t>
  </si>
  <si>
    <t>H-400-23215-237903</t>
  </si>
  <si>
    <t xml:space="preserve">The Petitioner will consider for employment any person who possesses at least three (3) months of experience in a fine-dining or high-volume environment at a high-end restaurant, resort, or private club.  Applicant must complete pre-employment drug screening.  Applicant must be willing to obtain a Safe Serve Certification provided by employer. 
</t>
  </si>
  <si>
    <t>Tipped position with guaranteed wage of $14.33 per hour, paid bi-weekly.  See job description for additional details.</t>
  </si>
  <si>
    <t>P-400-23169-122588</t>
  </si>
  <si>
    <t>H-400-23213-228633</t>
  </si>
  <si>
    <t xml:space="preserve">3 months experience in Room Attendant or Housekeeping at a high-end hotel, resort or private club.
Must pass post-hire criminal background check.
On the Job Training Will Be Provided.
Following Shifts available 7 days a week including weekends and holidays. Flexible schedule with hours between 6AM and 2AM. Required to be able to work weekends, holidays, morning, day and evening shifts. 
Wage Per Hour:$11.20 - $16.50 regular. 
Overtime Possible Per Hour at $16.80 - $24.75.
Returning employees in the same position are eligible for merit based on their last seasons performance review scores; increase can be as low as 0% and upto 6% of their base wage. </t>
  </si>
  <si>
    <t>All deductions required by law will be made.
Optional Employee Housing available with rent between $300 -$600/month based on accommodations to be paid online; housing deposit of $250 to be paid online also. 
Daily Transportation to the Worksite Is Provided. 
Optional Deductions from Paycheck: 401K. Criminal background check required post-hire. 
Benefits: Season Pass; Free Rentals (Some restrictions apply); Friends and Family Lift Tickets: Purchase discounts; 401K Available for any employee over the age of 21; Pro Deals with top industry brands (specific links and information available at HR after hire).</t>
  </si>
  <si>
    <t>H-400-23224-260205</t>
  </si>
  <si>
    <t xml:space="preserve">Facility Maintenance </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</si>
  <si>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Must be able to stand, sit, and reach with hands and arms. 
Must be able to walk and stoop, kneel, crouch, or crawl.
Must be able to lift 20 lbs and move up to 75 lbs.
Must be able to be exposed to severe weather conditions such as rain, wind and other harsh climatic conditions. 
Must be able to work in environment where noise level may exceed the moderate threshold. 
Must be able to be exposed to various industrial chemicals, cleaning agents, etc. 
Must be able to be exposed to strong odors.
Employer will provide on-the-job training.
A single workweek will be used in computing wages due. Workers will be paid weekly. 
Public transportation within 5 miles of worksite. Employee responsibe for their own transportation to and from the worksite.  
The employer will provide worker at no charge all tools, supplies, and equipment required to perform job. Uniform pieces provided at no cost to employee. 
</t>
  </si>
  <si>
    <t>P-400-23158-089285</t>
  </si>
  <si>
    <t>H-400-23249-325065</t>
  </si>
  <si>
    <t>Valley Rain Construction Corp.</t>
  </si>
  <si>
    <t>1614 E Curry Rd</t>
  </si>
  <si>
    <t>Brodland</t>
  </si>
  <si>
    <t>Carin</t>
  </si>
  <si>
    <t>HR/Payroll Specialist</t>
  </si>
  <si>
    <t>cbrodland@valleyrain.com</t>
  </si>
  <si>
    <t xml:space="preserve">Work may include wknd/hol.
</t>
  </si>
  <si>
    <t>P-400-23163-102059</t>
  </si>
  <si>
    <t>H-400-23258-352137</t>
  </si>
  <si>
    <t>1 Corey Road</t>
  </si>
  <si>
    <t>Hancock</t>
  </si>
  <si>
    <t>Piece rate is paid per room cleaned and varies from $4 for a small unit or suite to $32 for a large unit or suite</t>
  </si>
  <si>
    <t>P-400-23178-147097</t>
  </si>
  <si>
    <t>H-400-23186-168855</t>
  </si>
  <si>
    <t xml:space="preserve">Must pass employer administered electrical test with objective standards. Work on Saturdays may be required.
</t>
  </si>
  <si>
    <t>P-400-23137-031910</t>
  </si>
  <si>
    <t>None. The employer will provide lodging for the worker for the duration of 10 months. The employer will not make any deductions from the worker's payment for lodging.</t>
  </si>
  <si>
    <t>H-400-23215-234863</t>
  </si>
  <si>
    <t>P-400-23137-029679</t>
  </si>
  <si>
    <t>H-400-23263-362511</t>
  </si>
  <si>
    <t>D&amp;T Crawfish, LLC</t>
  </si>
  <si>
    <t>3140 Veterans Memorial Drive</t>
  </si>
  <si>
    <t>Abbeville</t>
  </si>
  <si>
    <t>Benoit</t>
  </si>
  <si>
    <t>Tricia</t>
  </si>
  <si>
    <t>dandtcrawfish@aol.com</t>
  </si>
  <si>
    <t xml:space="preserve">Employees are required to adhere to company's production standard of 4 lbs. per hour worked. Employees unable to achieve the production standard stated in the contract will not be allowed to work over the minimum amount of hours offered. Employees producing lower than the production standard for an extended period of time with no improvement may be subject to job termination at the discretion of management. 
</t>
  </si>
  <si>
    <t>Workers may make over the hourlywage based on piece rate performance($2.25/lb.) if higher than prevailing wage</t>
  </si>
  <si>
    <t>P-400-23158-087026</t>
  </si>
  <si>
    <t>EMPLOYER WILL MAKE ALL DEDUCTIONS FROM WORKER'S PAYCHECK AS REQUIRED BY LAW; DEDUCTIONS EMPLOYER INTENDED TO MAKE FROM PAYCHECK, WHICH ARE NOT REQUIRED BY LAW, IF APPLICABLE, WOULD BE DEDUCTIONS FOR HOUSING, ($50.00/WEEK), IF EMPLOYEE CHOOSES VOLUNTARY HOUSING OPTION. EMPLOYER MAY ALLOW DEDUCTIONS NOT REQUIRED BY LAW AS LONG AS ADVANCE PERMISSION IS GRANTED BY EMPLOYEE OR EMPLOYER WILL STATE THE SPECIFIC DEDUCTIONS.</t>
  </si>
  <si>
    <t>H-400-23187-169425</t>
  </si>
  <si>
    <t>Sale Associate</t>
  </si>
  <si>
    <t>Alpaca International Inc.</t>
  </si>
  <si>
    <t>206 Main Street</t>
  </si>
  <si>
    <t>Boccaccio</t>
  </si>
  <si>
    <t>Zorka</t>
  </si>
  <si>
    <t>alpacainternational@verizon.net</t>
  </si>
  <si>
    <t>497 W 4800 S</t>
  </si>
  <si>
    <t>Ste 200</t>
  </si>
  <si>
    <t>stevenr@utahimm.com</t>
  </si>
  <si>
    <t>Lawrence &amp; Lawrence PLLC</t>
  </si>
  <si>
    <t>Must be willing to learn the history and tradition of Alpaca.</t>
  </si>
  <si>
    <t>614 Main Street</t>
  </si>
  <si>
    <t>P-400-23136-025738</t>
  </si>
  <si>
    <t xml:space="preserve">All State and Withholding requirements for H2b workers and if worker chooses shared lodging, $250 will be deducted per month at the rate of $125 per pay check.  </t>
  </si>
  <si>
    <t>www.alpacainternational.net</t>
  </si>
  <si>
    <t>H-400-23215-235785</t>
  </si>
  <si>
    <t xml:space="preserve">Boat Attendant </t>
  </si>
  <si>
    <t xml:space="preserve">The Petitioner will consider for employment any person who possesses at least six (6) months of experience at a high-end or high-volume hotel, resort, or private club.  Applicant must complete pre-employment drug screening. 
</t>
  </si>
  <si>
    <t>Wage: $16.35 - $17.50 per hour, paid bi-weekly. See job description for additional detail.</t>
  </si>
  <si>
    <t>P-400-23158-088301</t>
  </si>
  <si>
    <t>H-400-23249-323827</t>
  </si>
  <si>
    <t>House Keepers</t>
  </si>
  <si>
    <t>Exuberant Hospitality Group</t>
  </si>
  <si>
    <t>807 B SW 3rd Avenue</t>
  </si>
  <si>
    <t>Kerr</t>
  </si>
  <si>
    <t>Kimone</t>
  </si>
  <si>
    <t>Executive Manager</t>
  </si>
  <si>
    <t>807 B SW 3rd Ave</t>
  </si>
  <si>
    <t>Marion County</t>
  </si>
  <si>
    <t>hr@exubgroup.com</t>
  </si>
  <si>
    <t>P-400-23130-009816</t>
  </si>
  <si>
    <t>www.exubgroup.com</t>
  </si>
  <si>
    <t>H-400-23185-165582</t>
  </si>
  <si>
    <t>2020 Taylor Rd</t>
  </si>
  <si>
    <t>P-400-23110-951337</t>
  </si>
  <si>
    <t>H-400-23193-184462</t>
  </si>
  <si>
    <t>ORSI</t>
  </si>
  <si>
    <t>P-400-23156-079102</t>
  </si>
  <si>
    <t>HOUSING OPTIONAL AND AVAILABLE FOR $170/WK WITH A $300 REFUNDABLE DEPOSIT AND A $50 NON-REFUNDABLE DEPOSIT.</t>
  </si>
  <si>
    <t>H-400-23215-234901</t>
  </si>
  <si>
    <t>Naples Edgewater LLC</t>
  </si>
  <si>
    <t xml:space="preserve">Edgewater Beach Resort </t>
  </si>
  <si>
    <t>1901 Gulf Shore Blvd N</t>
  </si>
  <si>
    <t>RADLER</t>
  </si>
  <si>
    <t>Laura.Radler@edgewaternaples.com</t>
  </si>
  <si>
    <t>P-400-23137-029804</t>
  </si>
  <si>
    <t xml:space="preserve">•	Deductions required by law will be payroll deducted. 
•	Employee housing is not provided however optional 3rd party housing may be available at $150/wk depending on location and may be voluntarily payroll deducted biweekly. Housing deposits and/or a $150 nonrefundable admin/cleaning fee may be required if you choose the optional housing option. 
</t>
  </si>
  <si>
    <t>H-400-23233-282404</t>
  </si>
  <si>
    <t xml:space="preserve">Maintenance Engineer </t>
  </si>
  <si>
    <t>The Petitioner will consider for employment any person who possesses at least six (6) months of experience at a high-end hotel, resort, or private club.  
Applicant must complete pre-employment background check and drug screening.  
Schedule: 40 hours per week. Work schedule can vary and can include evening, weekend, and holiday hours. Work may be performed on any
day of the week from Monday through Sunday. Example shifts: 7:00AM - 3:00PM or 3:00PM - 11:00PM. Shift hours may vary</t>
  </si>
  <si>
    <t>Wage: $22.00 - $24.00 per hour, paid bi-weekly.  Please see job description for additional information.</t>
  </si>
  <si>
    <t>P-400-23173-137412</t>
  </si>
  <si>
    <t xml:space="preserve">Optional housing is offered on a first-come, first-serve basis for workers who are relocating to begin employment.  Cost of housing, if accepted, is $800.00 per month and includes WiFi, cable, and three meals per day (light breakfast, full lunch, and full dinner).  If used, total cost of housing will be deducted from paycheck.  A $300.00 security deposit (of which $260.00 is refundable) is required, to be paid directly to employer upon acceptance of housing.
Additional, optional benefits may be offered to worker, for worker’s sole benefit, including but not limited to health insurance, 401k plan, and Ski Pass taxes.  If voluntarily elected by worker, employee costs/contributions for benefits will be deducted from paycheck.
</t>
  </si>
  <si>
    <t>H-400-23185-166076</t>
  </si>
  <si>
    <t>Bacon Arranger</t>
  </si>
  <si>
    <t xml:space="preserve">1 month of safety/sanitation/PPE training required. 
Workers will work EITHER 6:30am - 3:00pm OR 3:00pm - 11:30pm OR 11:00pm - 7:30am. </t>
  </si>
  <si>
    <t xml:space="preserve">Exact wage rate will be determined by internal metrics and CBA. </t>
  </si>
  <si>
    <t>P-400-23122-983297</t>
  </si>
  <si>
    <t>H-400-23293-447234</t>
  </si>
  <si>
    <t>H-400-23245-317932</t>
  </si>
  <si>
    <t xml:space="preserve">Post-employment criminal background check and pre/post-employment/post injury or incident drug test required, cost paid by employer and applied equally to all workers, US and foreign/H2B. Must be able to work a 5-day schedule, including weekends and holidays as required. Applicant must complete an employment application. 
</t>
  </si>
  <si>
    <t>P-400-23159-089513</t>
  </si>
  <si>
    <t>Employer will make all deductions from the worker's paycheck required by law.
Employer is currently in the process of locating and securing employee housing. If Employer is able to secure housing prior to the employment start date, optional employee only housing will be made available. Employer will deduct for the reasonable fair market value cost of rent and utilities based on number of occupants for workers who elect to live in employer-offered housing. Voluntary pay deductions for the cost of housing (including deposit, if required) and utilities will be pre-authorized in writing. If Employer is unable to locate and secure housing prior to the employment start date, the employer will assist worker to find appropriate, affordable housing.  Optional medical, dental, vision and life insurance available. Optional long term and short-term disability available.  Insurance and disability costs vary depending on plan(s) selected by worker. Optional onsite employee parking available at app</t>
  </si>
  <si>
    <t>H-400-23248-320701</t>
  </si>
  <si>
    <t xml:space="preserve">Lake Placid Bluebird Holdings LLC </t>
  </si>
  <si>
    <t>Wage: $16.01 - $19.00 per hour, paid weekly. Overtime is available at $24.02- $28.50 per hour.</t>
  </si>
  <si>
    <t>P-400-23192-179062</t>
  </si>
  <si>
    <t>Optional housing is offered on a first-come, first-serve basis for workers who are relocating to begin employment. Cost of housing, if accepted, is $71.05 per week for a single bed in a shared room with access to kitchen and laundry. Cost includes one meal per day (breakfast). 
 If used, total cost of housing will be deducted from paycheck.</t>
  </si>
  <si>
    <t>H-400-23228-270002</t>
  </si>
  <si>
    <t>Lasting Legacy, LLC</t>
  </si>
  <si>
    <t>dba Elk Country Inn</t>
  </si>
  <si>
    <t>480 W Pearl Ave</t>
  </si>
  <si>
    <t>Mailing: P.O. Box 575, Jackson, WY 83001</t>
  </si>
  <si>
    <t>Means</t>
  </si>
  <si>
    <t xml:space="preserve">Must lift/carry 50 lbs. when necessary and frequently work on hands and knees. Work schedule is at least 5 days/week with  work days varying by week to include Saturday and Sunday.
</t>
  </si>
  <si>
    <t>P-400-23125-998127</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</si>
  <si>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may deduct retirement plan contributions for workers voluntarily participating in plan.</t>
  </si>
  <si>
    <t>laura@townsquareinns.com</t>
  </si>
  <si>
    <t>H-400-23212-225839</t>
  </si>
  <si>
    <t>TIER 1 CUSTOMER TECHNICAL SUPPORT</t>
  </si>
  <si>
    <t>Computer and Information Systems Managers</t>
  </si>
  <si>
    <t>Courtland Technology Industry Inc. (CTI)</t>
  </si>
  <si>
    <t>11350 RANDOM HILLS ROAD</t>
  </si>
  <si>
    <t>CLIFF</t>
  </si>
  <si>
    <t>42831 APPALOOSA TRAIL COURT</t>
  </si>
  <si>
    <t>CHANTILLY</t>
  </si>
  <si>
    <t>CITI2019@courtlandtech.com</t>
  </si>
  <si>
    <t xml:space="preserve">* Computer networking, basic troubleshooting, customer service communication
* Multiple language speaking </t>
  </si>
  <si>
    <t>SUITE 800</t>
  </si>
  <si>
    <t>P-400-23206-214713</t>
  </si>
  <si>
    <t>* Payroll taxes will be deducted according to the applied federal and state law.</t>
  </si>
  <si>
    <t>sales@courtlandtech.com</t>
  </si>
  <si>
    <t>www.courtlandtech.com</t>
  </si>
  <si>
    <t>H-400-23215-237081</t>
  </si>
  <si>
    <t xml:space="preserve">Three (3) months of experience at a high-end hotel, resort, or private club required.  On-the-job training is provided.    Applicant must provide Pre-employment Criminal Background Check and Pre-employment Drug Test is required. 
Min. 35 hrs/week. Shifts: Work schedule can vary and can include evening, weekend, and holiday hours. Work may be performed on any day of the week from Monday through Sunday. Example shifts: 7am - 2pm, 9am - 4pm, or 4pm- 11am. Shift hours may vary. </t>
  </si>
  <si>
    <t>P-400-23143-046843</t>
  </si>
  <si>
    <t>H-400-23228-267418</t>
  </si>
  <si>
    <t>Shifts: Work schedule can vary and can include evening, weekend, and holiday hours.  Work may be performed on any day of the week from Monday through Sunday.  Example shifts: 8:00AM  4:00PM or 10:00AM  6:00PM. Shift hours may vary.</t>
  </si>
  <si>
    <t>P-400-23184-165251</t>
  </si>
  <si>
    <t>H-400-23230-276842</t>
  </si>
  <si>
    <t xml:space="preserve">Must be capable of regular periodic lifting of at least 30 lbs.
</t>
  </si>
  <si>
    <t>P-400-23125-996758</t>
  </si>
  <si>
    <t>Standard federal, state, and local deductions. Discounted bus pass provided if worker requires daily transportation to and from worksite. Costs deducted from paycheck if purchased by employee</t>
  </si>
  <si>
    <t>H-400-23233-280431</t>
  </si>
  <si>
    <t>Drywall Hangers</t>
  </si>
  <si>
    <t>Ramm Drywall Inc.</t>
  </si>
  <si>
    <t>1 W Highbanks Rd</t>
  </si>
  <si>
    <t>Debary</t>
  </si>
  <si>
    <t>Storm</t>
  </si>
  <si>
    <t>Assistant</t>
  </si>
  <si>
    <t>1 W. Highbanks Rd</t>
  </si>
  <si>
    <t>stormsmith123@hotmail.com</t>
  </si>
  <si>
    <t xml:space="preserve">Experience with hanging drywall
</t>
  </si>
  <si>
    <t>P-400-23188-175063</t>
  </si>
  <si>
    <t>Lodging</t>
  </si>
  <si>
    <t>rob@rammdrywall.com</t>
  </si>
  <si>
    <t>H-400-23281-417198</t>
  </si>
  <si>
    <t>Extreme Food and Beverage, Inc.</t>
  </si>
  <si>
    <t xml:space="preserve">585 North State </t>
  </si>
  <si>
    <t>UKIAH</t>
  </si>
  <si>
    <t>Delahoyde</t>
  </si>
  <si>
    <t>585 North State</t>
  </si>
  <si>
    <t>fivestarphil21@yahoo.com</t>
  </si>
  <si>
    <t>Ukiah</t>
  </si>
  <si>
    <t>P-400-23220-246357</t>
  </si>
  <si>
    <t>H-400-23188-175269</t>
  </si>
  <si>
    <t>CONSTRUCTION WORKERS</t>
  </si>
  <si>
    <t>KANTERRA STONE WORLD LLC</t>
  </si>
  <si>
    <t>455 S ARIZONA AVENUE</t>
  </si>
  <si>
    <t>CHANDLER</t>
  </si>
  <si>
    <t>FLORES</t>
  </si>
  <si>
    <t>ABRAHAM</t>
  </si>
  <si>
    <t>4346 S PONDEROSA DRIVE</t>
  </si>
  <si>
    <t>GILBERT</t>
  </si>
  <si>
    <t>info@kanterrastone.com</t>
  </si>
  <si>
    <t>VOIGTMANN</t>
  </si>
  <si>
    <t>FREDRICK</t>
  </si>
  <si>
    <t>21700 OXNARD STREET</t>
  </si>
  <si>
    <t>SUITE 730</t>
  </si>
  <si>
    <t>WOODLAND HILLS</t>
  </si>
  <si>
    <t>FRED@IGVLAW.COM</t>
  </si>
  <si>
    <t>Law Office of Fred Voigtmann</t>
  </si>
  <si>
    <t>CA Supreme Court</t>
  </si>
  <si>
    <t>P-400-23152-069721</t>
  </si>
  <si>
    <t>abrahamf2566@gmail.com</t>
  </si>
  <si>
    <t>H-400-23249-324414</t>
  </si>
  <si>
    <t>THOROUGHBRED HORSE GROOM</t>
  </si>
  <si>
    <t>The Stachowski Farm Inc</t>
  </si>
  <si>
    <t>3154 Lady Bug Lane</t>
  </si>
  <si>
    <t>Stachowski</t>
  </si>
  <si>
    <t>rnf@ohioequinelaw.com</t>
  </si>
  <si>
    <t>P-400-23125-997840</t>
  </si>
  <si>
    <t>H-400-23225-260354</t>
  </si>
  <si>
    <t>Three (3) months of experience at a high-end hotel, resort, or private club required. On-the-job training is provided.    Applicant must complete Pre-employment Background Check.
Shifts: Work schedule can vary and can include evening, weekend, and holiday hours.  Work may be performed on any day of the week from Monday through Sunday. Example shifts: 7:00am to 3:30pm, 10:00am to 6:30pm, 2:00pm to 10:00pm. Shift hours may vary.</t>
  </si>
  <si>
    <t>See job duties.
Additional, optional benefits may be offered to worker, for worker's sole benefit, including but not limited to medical, dental and vision insurance, short-term disability, long-term disability, and life insurance. If voluntarily elected by worker, employee costs/contributions for benefits will be deducted from paycheck.</t>
  </si>
  <si>
    <t>P-400-23184-165375</t>
  </si>
  <si>
    <t>H-400-23186-167441</t>
  </si>
  <si>
    <t>General Production Worker</t>
  </si>
  <si>
    <t>1 month of safety/ppe/sanitation training required
Workers will work EITHER 1st or 2nd shift. 
1st Shift generally starts between 6:15am and 7:00am and ends between 3:00pm and 4:30pm
2nd Shift generally starts between 3:00pm and 4:30pm and ends between 11:45 and 1:00am</t>
  </si>
  <si>
    <t>P-400-23122-983006</t>
  </si>
  <si>
    <t>H-400-23255-338861</t>
  </si>
  <si>
    <t>AUTO BODY REPAIRER</t>
  </si>
  <si>
    <t>J&amp;E AUTO BODY, INC</t>
  </si>
  <si>
    <t>36839 BANKSIDE DR</t>
  </si>
  <si>
    <t>CATHEDRAL CITY</t>
  </si>
  <si>
    <t>SOLIS FUENTES</t>
  </si>
  <si>
    <t>EDGAR</t>
  </si>
  <si>
    <t>FIELD WORKER</t>
  </si>
  <si>
    <t>P-400-23160-095702</t>
  </si>
  <si>
    <t>H-400-23215-235965</t>
  </si>
  <si>
    <t>Nail Forestry Services, INC</t>
  </si>
  <si>
    <t>733-B Highway 6 East</t>
  </si>
  <si>
    <t>Nail</t>
  </si>
  <si>
    <t>Supervisor/President</t>
  </si>
  <si>
    <t>733 b Highway 6 East</t>
  </si>
  <si>
    <t xml:space="preserve">CONSTANT BENDING AND STOOPING. 1 HR LUNCH PAID. AFTER WEEK MUST BE ABLE TO PLANT 2000 SEEDLINGS PER 8 HRS. WILL FREQUENTLY LIFT AND CARRY 50 LBS. NO OVERTIME PROMISED.
</t>
  </si>
  <si>
    <t>P-400-23107-939206</t>
  </si>
  <si>
    <t>nail2534@bellsouth.net</t>
  </si>
  <si>
    <t>H-400-23209-224116</t>
  </si>
  <si>
    <t>Katie Mitchell Stanley</t>
  </si>
  <si>
    <t>Coast to Coast Entertainment, LLC</t>
  </si>
  <si>
    <t>7031 Furay Ave</t>
  </si>
  <si>
    <t>candykate21@yahoo.com</t>
  </si>
  <si>
    <t>Overtime, if any, calculated and paid as per applicable regulations.</t>
  </si>
  <si>
    <t>P-400-23170-123661</t>
  </si>
  <si>
    <t>The employer will make all deductions from the worker’s paycheck required by law.  In addition, the employer intends to make the following deductions from the worker’s paycheck which are not required by law:   NONE</t>
  </si>
  <si>
    <t>H-400-23245-317908</t>
  </si>
  <si>
    <t>P-400-23159-089514</t>
  </si>
  <si>
    <t>Employer will make all deductions from the worker's paycheck required by law. Employer is currently in the process of locating and securing employee housing. If Employer is able to secure housing prior to the employment start date, optional employee only housing will be made available. Employer will deduct for the reasonable fair market value cost of rent and utilities based on number of occupants for workers who elect to live in employer-offered housing. Voluntary pay deductions for the cost of housing (including deposit, if required) and utilities will be pre-authorized in writing. If Employer is unable to locate and secure housing prior to the employment start date, the employer will assist worker to find appropriate, affordable housing.  Optional medical, dental, vision and life insurance available. Optional long term and short-term disability available.  Insurance and disability costs vary depending on plan(s) selected by worker. Optional onsite employee parking available at appox</t>
  </si>
  <si>
    <t>H-400-23215-235801</t>
  </si>
  <si>
    <t>Pelican Sound Golf &amp; River Club, Inc.</t>
  </si>
  <si>
    <t>4569 Pelican Sound Boulevard</t>
  </si>
  <si>
    <t>elong@psgrc.org</t>
  </si>
  <si>
    <t xml:space="preserve">The Petitioner will consider for employment any person who possesses at least six (6) months of culinary experience in a fine-dining or high-volume environment at a high-end restaurant, resort, or private club.  Applicant must complete pre-employment drug screening.  
</t>
  </si>
  <si>
    <t>4561 Pelican Sound Boulevard</t>
  </si>
  <si>
    <t>Wage: $16.07 - $22.50 per hour, paid bi-weekly.  Please see job description.</t>
  </si>
  <si>
    <t>P-400-23174-140683</t>
  </si>
  <si>
    <t xml:space="preserve">Optional housing is offered on a first-come, first-serve basis for workers who are relocating to begin employment.  Cost of housing including utilities, if accepted, is $275.00 per bi-weekly pay period.  If used, total cost of housing will be deducted from paycheck.  A $400.00 refundable security deposit is required, to be deducted from paycheck in equal $100.00 installments from employee’s first four (4) paychecks.  
Additional, optional benefits may be offered to worker, for worker’s sole benefit, including but not limited to 401K after one (1) year of employment.  If voluntarily elected by worker, employee costs/contributions for benefits will be deducted from paycheck.
</t>
  </si>
  <si>
    <t>tchilders@psgrc.org</t>
  </si>
  <si>
    <t>H-400-23229-272146</t>
  </si>
  <si>
    <t>Taos Ski Valley, Inc.</t>
  </si>
  <si>
    <t>116 Sutton Place</t>
  </si>
  <si>
    <t>P.O. Box 90</t>
  </si>
  <si>
    <t>Taos Ski Valley</t>
  </si>
  <si>
    <t>Senior Human Resources Manager</t>
  </si>
  <si>
    <t xml:space="preserve">116 Sutton Place </t>
  </si>
  <si>
    <t>lori.rangel@skitaos.com</t>
  </si>
  <si>
    <t xml:space="preserve">The Petitioner will consider for employment any person who possesses at least three (3) months of housekeeping experience in a high-end hotel, resort, or private club.
</t>
  </si>
  <si>
    <t>TAOS</t>
  </si>
  <si>
    <t>Northern New Mexico nonmetropolitan area</t>
  </si>
  <si>
    <t xml:space="preserve">Wage: $17.10 - $19.25 per hour, paid bi-weekly.  See job description for details. </t>
  </si>
  <si>
    <t>P-400-23177-143314</t>
  </si>
  <si>
    <t xml:space="preserve">Housing is offered and optional on a first-come, first-served basis.  Cost of housing, if accepted, is $650.00 - $1,200.00 per month, and includes utilities.  If used, total cost of housing will be paid directly to employer by employee, or employee can choose to have housing deducted from paycheck.  A refundable security deposit of $325.00 (dependent on location and occupancy of housing) is required, to be paid directly to employer upon acceptance of housing.  Deposit may be returned to the employee based on the condition of the housing, at the employer’s sole discretion, at the end of the employment period.  </t>
  </si>
  <si>
    <t>jobs@skitaos.com</t>
  </si>
  <si>
    <t>H-400-23215-237297</t>
  </si>
  <si>
    <t xml:space="preserve">The Petitioner will consider for employment any person who possesses at least six (6) months of experience at a high-end restaurant, resort, or private club.
</t>
  </si>
  <si>
    <t xml:space="preserve">Wage: $22.00 - $23.00 per hour, paid bi-weekly. Overtime is available at $33.00 - $34.50 per hour. See job description. </t>
  </si>
  <si>
    <t>P-400-23178-145287</t>
  </si>
  <si>
    <t>H-400-23185-166148</t>
  </si>
  <si>
    <t>Hall Quality Hospitality, LLC</t>
  </si>
  <si>
    <t>2719 Hollywood Blvd,</t>
  </si>
  <si>
    <t>Suite 1987</t>
  </si>
  <si>
    <t>2719 Hollywood BLVD</t>
  </si>
  <si>
    <t>yanique@halllawofficepa.com</t>
  </si>
  <si>
    <t>8747 NW 50th Street</t>
  </si>
  <si>
    <t>Lauderhill</t>
  </si>
  <si>
    <t xml:space="preserve">Kevon O. Miller P. A. </t>
  </si>
  <si>
    <t>P-400-23123-986450</t>
  </si>
  <si>
    <t>Employer provides workers lodging and charges $120-$150 per week for rent and/or
utilities. (OPTIONAL)
Daily transportation to and from the worksite(s) will be provided to the workers from  a centralized designated daily pick-up location. The employer will charge workers $20 per week per round trip. (OPTIONAL)</t>
  </si>
  <si>
    <t>hallqualityhospitality@gmail.com</t>
  </si>
  <si>
    <t>Kevon O. Miller, P.A.</t>
  </si>
  <si>
    <t>H-400-23228-269760</t>
  </si>
  <si>
    <t>Meat Processor</t>
  </si>
  <si>
    <t>Riverview Meat Company, LLC</t>
  </si>
  <si>
    <t>312 W. Pearl Street</t>
  </si>
  <si>
    <t>Cynthiana</t>
  </si>
  <si>
    <t>Mulberry</t>
  </si>
  <si>
    <t>122 East Pike Street</t>
  </si>
  <si>
    <t>mulberrylaw@bellsouth.net</t>
  </si>
  <si>
    <t>KREBS</t>
  </si>
  <si>
    <t>GLEN</t>
  </si>
  <si>
    <t>250 West Main Street</t>
  </si>
  <si>
    <t>GKREBS@WYATTFIRM.COM</t>
  </si>
  <si>
    <t>Wyatt Tarrant Combs LLP</t>
  </si>
  <si>
    <t>Supreme Court of Kentucky</t>
  </si>
  <si>
    <t xml:space="preserve">Must be willing and able to stand on feet for most of the day and to lift 30 pounds.  Employer will offer at least 40 hours of work per week, Monday through Friday, between 7:30 a.m. and 4:00 p.m. 
</t>
  </si>
  <si>
    <t>P-400-23170-123394</t>
  </si>
  <si>
    <t>Employer will make all deductions from workers' paychecks as required by law.</t>
  </si>
  <si>
    <t>H-400-23229-273427</t>
  </si>
  <si>
    <t>A Ferris Allen III</t>
  </si>
  <si>
    <t>13330 Longleaf Drive</t>
  </si>
  <si>
    <t>ferrisafa@aol.com</t>
  </si>
  <si>
    <t>P-400-23125-997933</t>
  </si>
  <si>
    <t>H-400-23184-163591</t>
  </si>
  <si>
    <t>Highland Falls Country Club</t>
  </si>
  <si>
    <t>One Club Drive</t>
  </si>
  <si>
    <t>Wilmoth</t>
  </si>
  <si>
    <t>Onifer</t>
  </si>
  <si>
    <t>Food and Beverage Director</t>
  </si>
  <si>
    <t>owilmoth@clubhfcc.com</t>
  </si>
  <si>
    <t>P-400-23123-987849</t>
  </si>
  <si>
    <t>Owilmoth@clubhfcc.com</t>
  </si>
  <si>
    <t>H-400-23244-314601</t>
  </si>
  <si>
    <t xml:space="preserve">Jerid Cleaning Services </t>
  </si>
  <si>
    <t xml:space="preserve">3338 Tweedy Blvd. </t>
  </si>
  <si>
    <t>South Gate</t>
  </si>
  <si>
    <t>Benito</t>
  </si>
  <si>
    <t>419 E. 30TH Street</t>
  </si>
  <si>
    <t>jeridcleaningservices@gmail.com</t>
  </si>
  <si>
    <t>General Cleaning Knowledge , Familiar with Cleaning Supplies and teamplayer.</t>
  </si>
  <si>
    <t>P-400-23188-172335</t>
  </si>
  <si>
    <t>H-400-23225-260405</t>
  </si>
  <si>
    <t xml:space="preserve">Senior Pipe Fitters </t>
  </si>
  <si>
    <t>WELLINS INC</t>
  </si>
  <si>
    <t>6420 ATLANTIC BLVD SUITE 500</t>
  </si>
  <si>
    <t>KYONG</t>
  </si>
  <si>
    <t>Gwinnett</t>
  </si>
  <si>
    <t>info@wellinsinc.com</t>
  </si>
  <si>
    <t>CLAYTON</t>
  </si>
  <si>
    <t>The work experience should be related to HVAC construction or related field.</t>
  </si>
  <si>
    <t>P-400-23124-991754</t>
  </si>
  <si>
    <t>www.wellinsinc.com</t>
  </si>
  <si>
    <t>H-400-23185-165934</t>
  </si>
  <si>
    <t xml:space="preserve">Workers will work a shift that is expected to start no earlier than 6:00 and end no later than 5:15pm. 
Up to 1 month of safety/ppe/sanitation cleaning is required. </t>
  </si>
  <si>
    <t xml:space="preserve">Exact wage rate to be determined by internal metrics and CBA terms. </t>
  </si>
  <si>
    <t>P-400-23122-983039</t>
  </si>
  <si>
    <t>H-400-23194-187646</t>
  </si>
  <si>
    <t>sUPREME cOURT OF MISSOURI</t>
  </si>
  <si>
    <t xml:space="preserve">MUST BE ABLE TO PERFORM ALL JOB DUTIES AS OF THE DATE OF HIRE. </t>
  </si>
  <si>
    <t>all federal, state, and local taxes.</t>
  </si>
  <si>
    <t>H-400-23185-165942</t>
  </si>
  <si>
    <t>Picnic Processing</t>
  </si>
  <si>
    <t xml:space="preserve">1 month of safety/ppe/sanitation training is required. 
Work schedule expected from 6:00am - 2:30pm, but sometimes workers may work until 4:30pm. </t>
  </si>
  <si>
    <t>P-400-23122-984283</t>
  </si>
  <si>
    <t>H-400-23184-162794</t>
  </si>
  <si>
    <t>One Love Hospitality and Landscape Services LLC</t>
  </si>
  <si>
    <t>349 THOMAS DR</t>
  </si>
  <si>
    <t>349 Thomas Drive</t>
  </si>
  <si>
    <t>QUINCY</t>
  </si>
  <si>
    <t>ONELOVEHOSPITALITY17@GMAIL.COM</t>
  </si>
  <si>
    <t>second shift: 12pm to 8pm</t>
  </si>
  <si>
    <t>1002 PARKWAY</t>
  </si>
  <si>
    <t>Guaranteed 45 work days for each 12-week (60 days period of work).</t>
  </si>
  <si>
    <t>P-400-23130-010473</t>
  </si>
  <si>
    <t>All employees are required to pay a housing deposit of $250 which will be deducted in $50.00 increments starting with the first paycheck until the deposit is paid in full. At the end of the season employer will reimburse deposit based on the damage and repair cost to housing and furnishing.  Assistance with shared lodging is available at $135/week if elected. Transportation to and from worksite provided at a cost of $32/week if elected. If elected, Lodging and Transportation costs will be deducted from paycheck. Employer will make all deductions from paycheck as required by law.</t>
  </si>
  <si>
    <t>onelovehospitality17@gmail.com</t>
  </si>
  <si>
    <t>H-400-23276-406572</t>
  </si>
  <si>
    <t>No minimum education or experience required. 
Workers are subject to post-employment criminal background checks,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t>
  </si>
  <si>
    <t>P-400-23179-151195</t>
  </si>
  <si>
    <t xml:space="preserve">Employer will provide on-the-job training.
A single workweek will be used in computing wages due. Pay received bi-weekly. 
Employer will make all deductions from the worker's paycheck required by law. 
Optional employee shared housing available, including utilities, at approx $125-$175 per week. Housing deposit of $300 required ($100 non-refundable). Housing within walking distance from resort. Optional employee meals available during shift for purchase for approx $2.00 per meal. Housing, deposit, and meals available for payroll deduction if employee elects.
</t>
  </si>
  <si>
    <t>employflorida.com</t>
  </si>
  <si>
    <t>H-400-23276-406634</t>
  </si>
  <si>
    <t>No minimum education or experience required. Must pass a post-employment criminal background check, paid by employer and applied equally to all workers, U.S. and foreign/H-2B.  Must be able to work a minimum 5-day workweek. Must be able to work weekends and holidays. Applicants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Employer will provide worker at no charge all tools, supplies, and equipment required to perform job. Uniform provided at no cost to employee.  Employer guarantees to offer work for hours equal to at least three-fourths of the workdays in each 12-week period of the total employment period. Employer will reimburse H-2B workers in the first workweek for all visa, visa processing, border crossing, and other related fees, including those mandated by the government (excluding passport fees).</t>
  </si>
  <si>
    <t>Employer may increase wage based on experience, change in market conditions and/or provide additional pay for performance
$15.00 per hour plus service charge</t>
  </si>
  <si>
    <t>P-400-23170-124533</t>
  </si>
  <si>
    <t xml:space="preserve">Employer will provide on-the-job training. A single workweek will be used to compute wages due. Pay received bi-weekly. Employer will make all deductions from the worker's paycheck required by law.  Employer will assist in locating housing. Public transportation within walking distance of the hotel. One optional meal during shift is available for $2, payroll deducted if worker elects. </t>
  </si>
  <si>
    <t>H-400-23213-230608</t>
  </si>
  <si>
    <t>waiter &amp; waitress</t>
  </si>
  <si>
    <t>Steve &amp; Vee Inc</t>
  </si>
  <si>
    <t>Brick Oven Cafe</t>
  </si>
  <si>
    <t>2805 Williams Blvd</t>
  </si>
  <si>
    <t>504 466 2097</t>
  </si>
  <si>
    <t>Owner / GM</t>
  </si>
  <si>
    <t>504 453 2139</t>
  </si>
  <si>
    <t>brickovencafe@bellsouth.net</t>
  </si>
  <si>
    <t>Resaurant is open 11AM-10PM sothere are 2 shifts a days. she may have lunch or dinner shifts or a split, if needed</t>
  </si>
  <si>
    <t>2805 William Blvd</t>
  </si>
  <si>
    <t>New Orleans-Metairie, LA MSA</t>
  </si>
  <si>
    <t xml:space="preserve">$2.13 per hour plus Tips, or at least a minimum of $12.15 per hour.
</t>
  </si>
  <si>
    <t>P-400-23157-083698</t>
  </si>
  <si>
    <t>All usual federal and state tax deductible applicable to the filing status indicated on the W4 and L4</t>
  </si>
  <si>
    <t>H-400-23254-334871</t>
  </si>
  <si>
    <t xml:space="preserve">BEP/Lyman LLC </t>
  </si>
  <si>
    <t>Lyman Roofing and Siding</t>
  </si>
  <si>
    <t>5320 West 23rd Street</t>
  </si>
  <si>
    <t>St. Louis Park</t>
  </si>
  <si>
    <t>Oetjen</t>
  </si>
  <si>
    <t xml:space="preserve">5320 West 23rd Street </t>
  </si>
  <si>
    <t>ken.oetjen@lymanrs.com</t>
  </si>
  <si>
    <t xml:space="preserve">Must be able to lift and carry 75 lbs for 75 yards. Must have class A or international commercial drivers license, good driving record and driving skills required. Must have, or be willing to obtain, NCCCO Boom Certification. The company will provide necessary training and certification class.
Workers must be able to work 1st and 2nd shifts as needed and will be required to join the Union, pay unions dues and be subject to the terms, requirements, shift differential, agreed upon wage rates and listed wages rates of the collective bargain agreement. 
Must be able to handle temperature extremes. 
</t>
  </si>
  <si>
    <t>P-400-23181-158938</t>
  </si>
  <si>
    <t>Any advances will be deducted with the consent of the employee. The employer will provide housing as an option to employees living outside the regular commuting distance. Employees who elect to live in the housing will have an additional $82.50 deducted Weekly paycheck for rent and utilities. Optional daily transportation will be provided from and to worksite and the employer will deduct $12.50 weekly. Other deductions, such as union dues will be made. Other deductions may be taken per employee's request.</t>
  </si>
  <si>
    <t>H-400-23188-174590</t>
  </si>
  <si>
    <t>FamilyFocus LLC</t>
  </si>
  <si>
    <t>3729 White Trillium Dr E</t>
  </si>
  <si>
    <t>Saginaw</t>
  </si>
  <si>
    <t>Nikita</t>
  </si>
  <si>
    <t xml:space="preserve"> 3729 White Trillium Dr E</t>
  </si>
  <si>
    <t>nikki_roy1@hotmail.com</t>
  </si>
  <si>
    <t>SAGINAW</t>
  </si>
  <si>
    <t>Saginaw, MI</t>
  </si>
  <si>
    <t>P-400-23124-994405</t>
  </si>
  <si>
    <t xml:space="preserve">Employer will make all deductions required by law. Lodging will be available in employer-owned housing at no additional cost to the employee.
</t>
  </si>
  <si>
    <t>H-400-23219-242703</t>
  </si>
  <si>
    <t>Master Design Landscape Co.</t>
  </si>
  <si>
    <t>1416 6th Ave</t>
  </si>
  <si>
    <t>Rock Island</t>
  </si>
  <si>
    <t>Gomez</t>
  </si>
  <si>
    <t xml:space="preserve">Rock Island </t>
  </si>
  <si>
    <t>masterdesignlandscape8@gmail.com</t>
  </si>
  <si>
    <t>Kriezelman</t>
  </si>
  <si>
    <t>ROCK ISLAND</t>
  </si>
  <si>
    <t>P-400-23181-161013</t>
  </si>
  <si>
    <t>H-400-23199-198232</t>
  </si>
  <si>
    <t>1 Ashley Way</t>
  </si>
  <si>
    <t>Arcadia</t>
  </si>
  <si>
    <t>TREMPEALEAU</t>
  </si>
  <si>
    <t>P-400-23150-063396</t>
  </si>
  <si>
    <t>H-400-23191-176999</t>
  </si>
  <si>
    <t>P-400-23130-008783</t>
  </si>
  <si>
    <t>H-400-23187-169098</t>
  </si>
  <si>
    <t>Utility Laborer</t>
  </si>
  <si>
    <t>Zachry Underground and Utility Services, Inc.</t>
  </si>
  <si>
    <t>306 W. North Loop Rd.</t>
  </si>
  <si>
    <t>Westenskow</t>
  </si>
  <si>
    <t>jasonwestenskow@zachrycorp.com</t>
  </si>
  <si>
    <t xml:space="preserve">Must be able to pass pre-employment drug test, random drug testing, and drug testing upon suspicion. Must be able to lift and carry up to 75 lbs. for up to 75 yards.
</t>
  </si>
  <si>
    <t>P-400-23139-036820</t>
  </si>
  <si>
    <t>Employer will make all deductions required by law. Employer will assist in securing temporary housing and may offer a stipend.</t>
  </si>
  <si>
    <t>H-400-23185-165588</t>
  </si>
  <si>
    <t xml:space="preserve">Must be able to lift/carry objects over 50lbs.  Position requires occasional physical activity such as reaching below and above shoulder level, kneeling, bending, squatting and stooping to inspect repairs.
Must be ok with exposure to fumes, chemicals, dust, and high levels of noise.
Must have visual acuity to determine accuracy and thoroughness of work assigned
</t>
  </si>
  <si>
    <t>9439 Greenback Ln</t>
  </si>
  <si>
    <t>Orangevale</t>
  </si>
  <si>
    <t>P-400-23110-951366</t>
  </si>
  <si>
    <t xml:space="preserve">Employer will make all deductions as required by state and federal law. Employer provided shared housing
is offered and housing is optional. Housing costs will be subsidized for workers in part or fully reimbursed
by a company check, separate from payroll check, if worker completes half the employment period. If
partially subsidized, the cost to the worker will not exceed $125/week. </t>
  </si>
  <si>
    <t>H-400-23200-198657</t>
  </si>
  <si>
    <t>General Service Technician</t>
  </si>
  <si>
    <t>IAR, Inc.</t>
  </si>
  <si>
    <t>Import Auto Repair</t>
  </si>
  <si>
    <t>6735 Atlanta Hwy</t>
  </si>
  <si>
    <t>Blanton</t>
  </si>
  <si>
    <t>6735 Atlanta Hwy.</t>
  </si>
  <si>
    <t>austin@importautorepairs.com</t>
  </si>
  <si>
    <t>P-400-23158-088227</t>
  </si>
  <si>
    <t>Orza</t>
  </si>
  <si>
    <t>Olivia</t>
  </si>
  <si>
    <t>Orza Global Immigration LLC</t>
  </si>
  <si>
    <t>oorza@orzalaw.com</t>
  </si>
  <si>
    <t>H-400-23212-226995</t>
  </si>
  <si>
    <t xml:space="preserve">The Petitioner will consider for employment any applicant who possesses at least six (6) months of culinary experience in a fine-dining or high-volume environment at a high-end restaurant, resort, or private club. Applicant must complete pre-employment drug screening. 
</t>
  </si>
  <si>
    <t>Wage: $19.00 - $25.00 per hour, paid bi-weekly.  See job description for additional detail.</t>
  </si>
  <si>
    <t>P-400-23167-119980</t>
  </si>
  <si>
    <t xml:space="preserve">Optional housing is offered on a first-come, first-serve basis for workers who are relocating to begin employment.  Cost of housing and utilities (including internet and renters insurance), if accepted, is $350 per bi-weekly pay period.  If used, total cost of housing will be deducted from paycheck.  A $350.00 refundable security deposit is required, to be deducted from paycheck in equal $87.50 installments from employee’s first four (4) paychecks.  
Additional, optional benefits may be offered to worker, for worker’s sole benefit, including but not limited to 401k.  If voluntarily elected by worker, employee costs/contributions for benefits will be deducted from paycheck.
</t>
  </si>
  <si>
    <t>I</t>
  </si>
  <si>
    <t>Owner/CEO</t>
  </si>
  <si>
    <t>AIKEN</t>
  </si>
  <si>
    <t>H-400-23336-539703</t>
  </si>
  <si>
    <t>Grounds Maintenance Specialists</t>
  </si>
  <si>
    <t>DJ's Outdoor Creations, LLC</t>
  </si>
  <si>
    <t>25 Timothy Lane</t>
  </si>
  <si>
    <t>Seratch</t>
  </si>
  <si>
    <t xml:space="preserve">Requires three months of previous landscape experience. Must lift/carry 50 lbs., when necessary. Saturday and Sunday work required, when necessary. Employer-paid drug testing required of foreign and domestic workers prior to commencing work and post-hire post-accident. Employer may offer more than the stated work hours depending on weather, business needs, and other conditions. Extreme heat, cold, rain, or drought may affect exact working hours.
</t>
  </si>
  <si>
    <t>25 Timothy Lane,</t>
  </si>
  <si>
    <t>P-400-23206-212989</t>
  </si>
  <si>
    <t>Dseratch@hotmail.com</t>
  </si>
  <si>
    <t xml:space="preserve">Able to lift/carry 50lbs.
</t>
  </si>
  <si>
    <t>H-400-23321-508947</t>
  </si>
  <si>
    <t>McFall &amp; Berry Landscape Management, Inc</t>
  </si>
  <si>
    <t>5037B Backlick Rd</t>
  </si>
  <si>
    <t>Mailing: PO Box 1680, Annandale, VA 22003</t>
  </si>
  <si>
    <t>Post-Accident Drug Testing, Able to lift 50lbs,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t>
  </si>
  <si>
    <t>7700 Bakers Dr.</t>
  </si>
  <si>
    <t>P-400-23224-259992</t>
  </si>
  <si>
    <t>christopher.jones@mcfallandberry.com</t>
  </si>
  <si>
    <t>LUZERNE</t>
  </si>
  <si>
    <t>ABC Professional Tree Services, Inc - Amelia</t>
  </si>
  <si>
    <t>3443 OH-132,</t>
  </si>
  <si>
    <t>H-400-23290-436799</t>
  </si>
  <si>
    <t>Mid-America Lawn Maintenance Co. Inc.</t>
  </si>
  <si>
    <t>11427 Warnen Road</t>
  </si>
  <si>
    <t>Keppel</t>
  </si>
  <si>
    <t>Curt</t>
  </si>
  <si>
    <t>cknd72@gmail.com</t>
  </si>
  <si>
    <t>11427 Warnen Rd (Report to Work)</t>
  </si>
  <si>
    <t>P-400-23201-205088</t>
  </si>
  <si>
    <t>info@midamericalawn.com</t>
  </si>
  <si>
    <t xml:space="preserve">The Petitioner will consider for employment any person who possesses at least three (3) months of experience in a fine-dining or high-volume environment at a high-end restaurant, resort, or private club. 
</t>
  </si>
  <si>
    <t>H-400-23283-420796</t>
  </si>
  <si>
    <t>Pence's, LLC</t>
  </si>
  <si>
    <t>Pence's Concessions</t>
  </si>
  <si>
    <t>10010 US Highway 6</t>
  </si>
  <si>
    <t>lpence@pencescarmelcorn.com</t>
  </si>
  <si>
    <t>Wage rate is no less than $10.28/hr-$13.89/hr based on location.</t>
  </si>
  <si>
    <t>P-400-23247-318631</t>
  </si>
  <si>
    <t xml:space="preserve">Employer will provide without charge company-specific uniform, as applicable, and all tools, supplies and equipment necessary to perform duties assigned. Employer assists non-local workers to secure worker-paid lodging, if necessary. Rental payments are paid by workers directly to property owner and are not payroll deducted. Employer makes all payroll deductions required by law. Employer does not envision other workforce-wide payroll deductions. 
</t>
  </si>
  <si>
    <t>H-400-23340-547689</t>
  </si>
  <si>
    <t>Swartz Mowing Inc</t>
  </si>
  <si>
    <t>Swartz Mowing</t>
  </si>
  <si>
    <t>87 Elk Lick Road</t>
  </si>
  <si>
    <t>Olympia</t>
  </si>
  <si>
    <t>Swartz</t>
  </si>
  <si>
    <t>swartz@kih.net</t>
  </si>
  <si>
    <t xml:space="preserve">Requirements: Lift 50 pounds and bend or stand for all or most of work shift.
</t>
  </si>
  <si>
    <t>P-400-23335-536562</t>
  </si>
  <si>
    <t xml:space="preserve">By mutual agreement, an OPTIONAL loan/advance up to $500 USD/worker for personal expenses, and OPTIONAL housing is available for up to $500/ month/worker. Payment of loan/advance or monthly rent will be deducted from workers’ paychecks. </t>
  </si>
  <si>
    <t>H-400-23275-406015</t>
  </si>
  <si>
    <t>Decorative Enterprises, Inc.</t>
  </si>
  <si>
    <t>Burnham</t>
  </si>
  <si>
    <t>tracy@decorativeinc.com</t>
  </si>
  <si>
    <t xml:space="preserve">Must be 18 due to equipment use. Must show proof of legal authorization to work in the United States. Drug/alcohol/tobacco free work zone. Perform physical activities such as: lift, balance, walk, stoop, handle, position, move, push, pull, carry objects up to 100lbs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Overtime and weekends may be available depending on weather and work load.
</t>
  </si>
  <si>
    <t>P-400-23236-291095</t>
  </si>
  <si>
    <t>H-400-23336-539881</t>
  </si>
  <si>
    <t>LIVE-IN CAREGIVER I-III</t>
  </si>
  <si>
    <t>CO-Owner of Alaska Premier Assisted Living LLC</t>
  </si>
  <si>
    <t>9119 Little Brook Street</t>
  </si>
  <si>
    <t xml:space="preserve">¿ Wage should be $12.25 per 8 hours and $18.37 per 8 hrs overtime, to daily rate of
$245.00 per day with 8 hrs Sleep Time
</t>
  </si>
  <si>
    <t>P-400-23298-456487</t>
  </si>
  <si>
    <t>Federal Income Tax deductions</t>
  </si>
  <si>
    <t>H-400-23321-508931</t>
  </si>
  <si>
    <t>LANDSCAPE ART INC</t>
  </si>
  <si>
    <t>2303 DICKINSON AVE</t>
  </si>
  <si>
    <t>LEAGUE CITY</t>
  </si>
  <si>
    <t>DUBISKI</t>
  </si>
  <si>
    <t>REBECCA</t>
  </si>
  <si>
    <t>DEBBIEO@LANDSCAPEARTINC.COM</t>
  </si>
  <si>
    <t>FEDERATION OF EMPLOYERS AND WORKERS OF AMERCIA</t>
  </si>
  <si>
    <t xml:space="preserve">Able to lift 50lbs, Random drug testing during employment, Pre-employment drug testing required, M-F, Overtime varies, Some Saturdays as needed. 
All drug testing is performed without regard to an employees citizenship or immigration status, and all testing is paid for by the company. See the additional document attached for further details about the administration of our drug testing policy.
</t>
  </si>
  <si>
    <t>2303 Dickinson Avenue</t>
  </si>
  <si>
    <t>Opp to earn more with exp. Potential raise/bonus at employer's discretion. 401K offered. Percent of health care offered.</t>
  </si>
  <si>
    <t>P-400-23206-214013</t>
  </si>
  <si>
    <t>Employer may make payroll deductions at employee's request. Employer facilitates corresponding deductions for available health benefits. Employer facilitates voluntary housing arrangements upon worker request along with corresponding payroll deductions up to $250.00/bi-weekly.</t>
  </si>
  <si>
    <t>debbieo@landscapeartinc.com</t>
  </si>
  <si>
    <t>H-400-23250-329176</t>
  </si>
  <si>
    <t>Pruner</t>
  </si>
  <si>
    <t>Burkholder PHC</t>
  </si>
  <si>
    <t>424 Daniele Way</t>
  </si>
  <si>
    <t>Burkholder</t>
  </si>
  <si>
    <t xml:space="preserve">Must lift/carry 50 lbs., when necessary. Saturday and Sunday work required, when necessary. Post-hire upon suspicion of use and post-accident drug testing required of foreign and domestic workers. Employer may offer more than the stated work hours depending on weather, business needs, and other conditions. Extreme heat, cold, rain, or drought may affect exact working hours.
</t>
  </si>
  <si>
    <t>359 Paoli Pike</t>
  </si>
  <si>
    <t>P-400-23153-074733</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</si>
  <si>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Employer may deduct retirement/savings plan contributions and/or health insurance premiums for workers voluntarily participating in plan(s). No daily transportation to/from work provided. Such transportation complies with all applicable Federal, State, and local laws/regulations.</t>
  </si>
  <si>
    <t>H-400-23309-479313</t>
  </si>
  <si>
    <t>McDonald Lawn and Landscape Contractors, Inc.</t>
  </si>
  <si>
    <t>20 Tall Oaks Drive, Hockessin, DE 19707; P.O. Box 332</t>
  </si>
  <si>
    <t>Yorklyn</t>
  </si>
  <si>
    <t>mcdonaldlawn@comcast.net</t>
  </si>
  <si>
    <t>1068 Yorklyn Road</t>
  </si>
  <si>
    <t>P-400-23222-254443</t>
  </si>
  <si>
    <t>H-400-23307-476165</t>
  </si>
  <si>
    <t>Herker Building &amp; Lawn Maintenance, Inc.</t>
  </si>
  <si>
    <t>2 LaFrance Way,</t>
  </si>
  <si>
    <t>P-400-23188-173934</t>
  </si>
  <si>
    <t>H-400-23336-539022</t>
  </si>
  <si>
    <t>ESCONDIDO GOLF &amp; LAKE CLUB</t>
  </si>
  <si>
    <t>9090 HIGHWAY 2147</t>
  </si>
  <si>
    <t>HORSESHOE BAY</t>
  </si>
  <si>
    <t>DUBREUIL</t>
  </si>
  <si>
    <t>DAN</t>
  </si>
  <si>
    <t>P-400-23257-345234</t>
  </si>
  <si>
    <t>H-400-23336-539158</t>
  </si>
  <si>
    <t>PATTEN GROUNDS CARE INC</t>
  </si>
  <si>
    <t>397 CLAYTON ROAD</t>
  </si>
  <si>
    <t>PATTEN</t>
  </si>
  <si>
    <t>PAY RATES ARE BASED ON PERFORMANCE</t>
  </si>
  <si>
    <t>P-400-23198-192817</t>
  </si>
  <si>
    <t>JOHN@PATTENGROUNDSCARE.COM</t>
  </si>
  <si>
    <t>LUIS</t>
  </si>
  <si>
    <t>Valentino</t>
  </si>
  <si>
    <t>H-400-23284-425540</t>
  </si>
  <si>
    <t xml:space="preserve">Seafood Processing Technician (Pollock Roe) </t>
  </si>
  <si>
    <t xml:space="preserve">Nissui USA, Inc. </t>
  </si>
  <si>
    <t>15400 NE 90th Street, Suite 100</t>
  </si>
  <si>
    <t>Redmond</t>
  </si>
  <si>
    <t xml:space="preserve">Matsui </t>
  </si>
  <si>
    <t>Keisuke</t>
  </si>
  <si>
    <t xml:space="preserve">Secretary and Treasurer </t>
  </si>
  <si>
    <t>nissuiusa@unisea.com</t>
  </si>
  <si>
    <t xml:space="preserve">Must possess 24 months of pollock roe processing experience with technical knowledge of pollock roe processing and ability to work independently. Must be able to grade pollock roe products according to established grading rules and must be able to quickly identify and resolve any problems that arise during pollock roe processing operations.  Applications and/or resumes must include required work experience and information must be verifiable.  Must be willing to work 12 or more hours per day, 6 days per week, depending on fish availability. Up to 72 hours per week with minimum guarantee of 35 hours per week.
</t>
  </si>
  <si>
    <t>Unisea Plant</t>
  </si>
  <si>
    <t>88 Salmon Way</t>
  </si>
  <si>
    <t>Dutch Harbor</t>
  </si>
  <si>
    <t>ALEUTIANS WEST</t>
  </si>
  <si>
    <t>P-400-23192-179345</t>
  </si>
  <si>
    <t>Employer will make all deductions from the worker’s paycheck required by law, including applicable state or federal taxes.  No other deductions will be made except as requested, approved by worker for health insurance or other employee benefits. Employer-provided housing is optional.</t>
  </si>
  <si>
    <t>H-400-23300-462334</t>
  </si>
  <si>
    <t>Longhorn Builders LLC</t>
  </si>
  <si>
    <t>1483 honey mesquite</t>
  </si>
  <si>
    <t>rodriguez</t>
  </si>
  <si>
    <t>ever</t>
  </si>
  <si>
    <t>ivan</t>
  </si>
  <si>
    <t>5908 N Mersington Ave</t>
  </si>
  <si>
    <t>gladstone</t>
  </si>
  <si>
    <t>ever@longhornbuildersllctx.com</t>
  </si>
  <si>
    <t xml:space="preserve">driver's license
</t>
  </si>
  <si>
    <t>1 5th Artillery</t>
  </si>
  <si>
    <t>Fort Leavenworth</t>
  </si>
  <si>
    <t>LEAVENWORTH</t>
  </si>
  <si>
    <t>P-400-23255-339552</t>
  </si>
  <si>
    <t xml:space="preserve">Employer offers room and board in shared, dormitory housing and will deduct $140 per person per week for these expenses for employees who choose them. </t>
  </si>
  <si>
    <t>H-400-23318-501232</t>
  </si>
  <si>
    <t>Executive Landscape</t>
  </si>
  <si>
    <t>Flower Mound</t>
  </si>
  <si>
    <t>H-400-23313-489295</t>
  </si>
  <si>
    <t>P-400-23209-222948</t>
  </si>
  <si>
    <t>Ruskin</t>
  </si>
  <si>
    <t>Vazquez</t>
  </si>
  <si>
    <t>H-400-23338-543155</t>
  </si>
  <si>
    <t>Christiansen Amusements, Inc</t>
  </si>
  <si>
    <t>611 Weatherstone Way</t>
  </si>
  <si>
    <t>Mail to: P.O. Box 997, Escondido, CA 92033</t>
  </si>
  <si>
    <t>stacybe5@gmail.com</t>
  </si>
  <si>
    <t>538 Maple Street</t>
  </si>
  <si>
    <t>Romona</t>
  </si>
  <si>
    <t>P-400-23286-430357</t>
  </si>
  <si>
    <t>Solon</t>
  </si>
  <si>
    <t>ABC Professional Tree Services, Inc - Corpus Christi</t>
  </si>
  <si>
    <t>14353 Cooperative Ave,</t>
  </si>
  <si>
    <t>40 Kebo Street</t>
  </si>
  <si>
    <t>H-400-23331-523998</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</si>
  <si>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75lbs (possible 2-person).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
</t>
  </si>
  <si>
    <t>Optional, shared furnished housing available to the worker (including: utilities) at a housing rate up to $150 per pay period; if optional housing is agreed upon by the worker, $150 will be deducted from worker's bi-weekly paycheck. At Employer’s sole discretion: possible cash advances (if applicable/requested by worker, potential deduction from worker’s paycheck).</t>
  </si>
  <si>
    <t>NOLAN</t>
  </si>
  <si>
    <t>H-400-23321-509646</t>
  </si>
  <si>
    <t xml:space="preserve">No minimum education or experience required. 
Must be able to lift, push, and pull 50 lbs.
Must be able to obtain ServSafe Food Handlers and TABC certification.
Must pass a post-employment criminal background check,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 in the first workweek for all visa, visa processing, border crossing, and other related fees, including those mandated by the government (excluding passport fees).
The employer will provide workers at no charge all tools, supplies, and equipment required to perform job. Uniform provided at no charge to worker. 
The employer guarantees to offer work for hours equal to at least three-fourths of the workdays in each 12-week period of the total employment period.
</t>
  </si>
  <si>
    <t>P-400-23199-196278</t>
  </si>
  <si>
    <t>Employer will provide on-the-job training. A single workweek will be used in computing wages due. Pay received bi-weekly. 
Employer will make all deductions from the worker's paycheck required by law. Employer will assist in locating housing. 
Daily transportation provided to/from worksite/housing via public bus transportation, 1 bus pass provided by the employer at no cost to the worker.</t>
  </si>
  <si>
    <t>H-400-23290-437622</t>
  </si>
  <si>
    <t xml:space="preserve">Lawn Maintenance and Landscaping </t>
  </si>
  <si>
    <t>Accent Lawn Care Services LLC (ACC124A)</t>
  </si>
  <si>
    <t>43106 W Pleasant Ridge Rd</t>
  </si>
  <si>
    <t>Lightfoot</t>
  </si>
  <si>
    <t>Marian Melody</t>
  </si>
  <si>
    <t>Accentlawn1@aol.com</t>
  </si>
  <si>
    <t xml:space="preserve">Must perform duties while sober. Employer-paid post-employment drug test may be administered. Knowledge of small equipment usage, irrigation knowledge preferred.
Work days:  Mon - Fri; Saturdays may be required.
 Hours per week: 40 hours
Work Schedule: 7 am - 4 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Optional housing available.
Deductions: Rent will be deducted from paycheck at $90/week for optional housing.
</t>
  </si>
  <si>
    <t>421 Ozone Park Drive</t>
  </si>
  <si>
    <t>P-400-23248-319845</t>
  </si>
  <si>
    <t>Rent will be deducted from paycheck at $90/week for optional housing.</t>
  </si>
  <si>
    <t>accentlawn1@aol.com</t>
  </si>
  <si>
    <t>H-400-23321-508575</t>
  </si>
  <si>
    <t>Palmyra Professional Lawn Management, LLC</t>
  </si>
  <si>
    <t>1245 West Terra</t>
  </si>
  <si>
    <t>Bourland</t>
  </si>
  <si>
    <t>matt@palmyrapro.com</t>
  </si>
  <si>
    <t>1245 West Terra Ln. (Report to Work)</t>
  </si>
  <si>
    <t>P-400-23213-228267</t>
  </si>
  <si>
    <t>H-400-23336-539243</t>
  </si>
  <si>
    <t xml:space="preserve">SCHWARTZ BROS LANDSCAPE SOLUTIONS INC </t>
  </si>
  <si>
    <t>659 MUIRFIELD DRIVE</t>
  </si>
  <si>
    <t>SCHWARTZ</t>
  </si>
  <si>
    <t>659 MURFIELD DRIVE</t>
  </si>
  <si>
    <t>P-400-23194-185738</t>
  </si>
  <si>
    <t>admin@schwartzlawncare.com</t>
  </si>
  <si>
    <t>BDG Trees, LLC - Navasota, TX</t>
  </si>
  <si>
    <t>9460 N Hwy 6 Loop</t>
  </si>
  <si>
    <t>Navasota</t>
  </si>
  <si>
    <t>GRIMES</t>
  </si>
  <si>
    <t>H-400-23308-479144</t>
  </si>
  <si>
    <t>Paradise landscaping, LLC</t>
  </si>
  <si>
    <t>200 Chatham Road</t>
  </si>
  <si>
    <t>paradiselandscaping@outlook.com</t>
  </si>
  <si>
    <t>P-400-23222-254569</t>
  </si>
  <si>
    <t>H-400-23307-475855</t>
  </si>
  <si>
    <t>Grizzly Bear Lawn Care</t>
  </si>
  <si>
    <t>1836 Old US Hwy 40</t>
  </si>
  <si>
    <t>Henage</t>
  </si>
  <si>
    <t>Scott C.</t>
  </si>
  <si>
    <t>officemgr@grizzlybearlawncare.com</t>
  </si>
  <si>
    <t>1836 Old US Hwy 40 (Report to Work)</t>
  </si>
  <si>
    <t>P-400-23203-208432</t>
  </si>
  <si>
    <t>Optional, shared housing available to the worker at a monthly housing rate up to $200.00; if optional housing is agreed upon by the worker, monthly housing rate will be deducted from worker's paycheck incrementally (bi-weekly).At Employer’s sole discretion: possible cash advances (if applicable/requested by worker, potential deduction from worker’s paycheck).</t>
  </si>
  <si>
    <t>AC Landscaping Ltd</t>
  </si>
  <si>
    <t>1500 OSBORN AVE</t>
  </si>
  <si>
    <t>P.O. BOX 466, WADING RIVER, NY 11792</t>
  </si>
  <si>
    <t>Cardone</t>
  </si>
  <si>
    <t>aclandscapingltd.com</t>
  </si>
  <si>
    <t>H-400-23336-538889</t>
  </si>
  <si>
    <t>Holiday Inn Club Vacations -  Holiday Hills</t>
  </si>
  <si>
    <t>2380 East Highway 76</t>
  </si>
  <si>
    <t xml:space="preserve">Must be able to lift 50 lbs. Must be able to sit or stand for extended period of time. Must be able to bend, twist, reach, pull, push, operate hand or power tools or equipment.  Must pass a pre-employment criminal background check, paid by employer and applied equally to all workers, U.S. and foreign/H-2B.Must be able to work weekends and holidays, when required.  Must be able to work outdoors in a non-climate-controlled environment. Multiple shifts offered based on business needs. Applicants must complete an employment application. Employer may offer more than the stated work hours depending on weather, business needs, and other conditions. Extreme heat, cold, rain, or drought may affect exact working hours. 
</t>
  </si>
  <si>
    <t>P-400-23294-448580</t>
  </si>
  <si>
    <t>H-400-23307-478886</t>
  </si>
  <si>
    <t>Must have 3 (three) months of experience and be able to lift up to 60lbs. Employer provides transportation to and from all worksites at no cost.</t>
  </si>
  <si>
    <t>2824 W. FM 2147</t>
  </si>
  <si>
    <t>Marble Falls</t>
  </si>
  <si>
    <t>BURNET</t>
  </si>
  <si>
    <t>P-400-23261-353947</t>
  </si>
  <si>
    <t>H-400-23336-539268</t>
  </si>
  <si>
    <t>JOHNSONS GROUND MAINTENANCE</t>
  </si>
  <si>
    <t>5502 DILLON ROAD</t>
  </si>
  <si>
    <t>HIGH RIDGE</t>
  </si>
  <si>
    <t>P-400-23198-192934</t>
  </si>
  <si>
    <t>generallawnllc@gmail.com</t>
  </si>
  <si>
    <t>H-400-23296-448819</t>
  </si>
  <si>
    <t>Envision Lawn and Tree, LLC</t>
  </si>
  <si>
    <t>40 W. Concord</t>
  </si>
  <si>
    <t>Edmondson</t>
  </si>
  <si>
    <t>admin@envisionlawnandtree.com</t>
  </si>
  <si>
    <t>9812 E. 56th Street (Report to Work)</t>
  </si>
  <si>
    <t>Raytown</t>
  </si>
  <si>
    <t>P-400-23207-217321</t>
  </si>
  <si>
    <t>https://jobs.mo.gov/career-centers</t>
  </si>
  <si>
    <t>Plant City</t>
  </si>
  <si>
    <t>Employer will make all deductions from the worker’s paycheck required by law.  For those employees who do not maintain a residence within normal commuting distance, on an optional basis, employer will assist those employees who opt in, in securing housing.  Employee will make payment directly to the landlord.</t>
  </si>
  <si>
    <t>H-400-23321-509915</t>
  </si>
  <si>
    <t>The Decor Group Of Northern KY</t>
  </si>
  <si>
    <t xml:space="preserve">2942 Park St. </t>
  </si>
  <si>
    <t>List</t>
  </si>
  <si>
    <t>mlist@decorgroupnky.com</t>
  </si>
  <si>
    <t>2942 Park Street  (Report to Work)</t>
  </si>
  <si>
    <t>P-400-23244-317216</t>
  </si>
  <si>
    <t>Optional, shared furnished housing available to the worker (including: Gas and electric, water and sanitation and internet, garbage pick up and laundry) at a monthly housing rate up to $600; if optional housing is agreed upon by the worker, monthly housing rate will be deducted from worker's paycheck incrementally (weekly).At Employer’s sole discretion: possible cash advances (if applicable/requested by worker, potential deduction from worker’s paycheck).</t>
  </si>
  <si>
    <t>office@decorgroupnky.com</t>
  </si>
  <si>
    <t>H-400-23321-509024</t>
  </si>
  <si>
    <t>construction laborer</t>
  </si>
  <si>
    <t>L. F. Mahoney, Inc.</t>
  </si>
  <si>
    <t>4721 Harford Road</t>
  </si>
  <si>
    <t>P. O. Box 3687</t>
  </si>
  <si>
    <t>Mahoney</t>
  </si>
  <si>
    <t>williammahoney@lfmahoney.com</t>
  </si>
  <si>
    <t xml:space="preserve">Lift/carry up to 50 pounds. Employer paid drug test is Post Accident, Random (post-employment) 
</t>
  </si>
  <si>
    <t>P-400-23165-108812</t>
  </si>
  <si>
    <t>Character Limit: Shared housing available to only seasonal full-time employees, not offered to non-employees. Employees may make their own arrangements at their own expense. If they opt to live in employer provided housing rent (utilities included) charged at $50.00/week.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t>
  </si>
  <si>
    <t>POWESHIEK</t>
  </si>
  <si>
    <t>H-400-23289-432884</t>
  </si>
  <si>
    <t>Deggeller Foods, Inc.</t>
  </si>
  <si>
    <t>3350 SW Deggeller Court</t>
  </si>
  <si>
    <t>Deggeller</t>
  </si>
  <si>
    <t>cdeggeller@gmail.com</t>
  </si>
  <si>
    <t xml:space="preserve">Hours, schedule, and days vary widely.  
Typically Wed-Sun, 4pm  11pm.  
Often 35-45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t>
  </si>
  <si>
    <t>9067 Southern Blvd.</t>
  </si>
  <si>
    <t>West Palm Beach</t>
  </si>
  <si>
    <t>Merit/bonus/sick/recruiting/tenure pay, savings program at employer's discretion. uniform provided at no charge</t>
  </si>
  <si>
    <t>P-400-23193-183381</t>
  </si>
  <si>
    <t>jamiedeggeller@aol.com</t>
  </si>
  <si>
    <t>H-400-23319-502376</t>
  </si>
  <si>
    <t>Green Teams, Inc.</t>
  </si>
  <si>
    <t>731 Industrial Blvd.</t>
  </si>
  <si>
    <t xml:space="preserve">Must lift/carry 50 lbs., when necessary.  Saturday and Sunday work required, when necessary.  Post-hire upon suspicion of use and post-accident drug testing required of foreign and domestic workers.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</si>
  <si>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P-400-23242-308528</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</si>
  <si>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Voluntary advances and/or loans made to workers, if any, may be repaid by pre-authorized payroll deductions.    Employer may deduct retirement/savings plan contributions and/or health insurance premiums for workers voluntarily participating in plan(s). Uniform provided at no cost. Employer may deduct cost for voluntary purchase of additional uniforms for worker's benefit.   No daily transportation to/from workers' home and primary worksite. Employer provides incidental transportation between multiple worksites as necessary. Such transportation complies with all applicable Federal, State, and local laws/regulations.</t>
  </si>
  <si>
    <t>Wanda@greenteamsinc.com</t>
  </si>
  <si>
    <t>H-400-23263-363381</t>
  </si>
  <si>
    <t>Navarro Landscape, LLC.</t>
  </si>
  <si>
    <t>2506 West 440 South</t>
  </si>
  <si>
    <t>navalandscape12@gmail.com</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</si>
  <si>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and/or overtime.
</t>
  </si>
  <si>
    <t>177 North 2830 West</t>
  </si>
  <si>
    <t>P-400-23214-234309</t>
  </si>
  <si>
    <t>H-400-23300-461086</t>
  </si>
  <si>
    <t>OBI Seafoods, LLC</t>
  </si>
  <si>
    <t>1100 W Ewing St</t>
  </si>
  <si>
    <t xml:space="preserve">Seattle </t>
  </si>
  <si>
    <t>Kraakmo</t>
  </si>
  <si>
    <t>Kristopher</t>
  </si>
  <si>
    <t>HR Director, Operations</t>
  </si>
  <si>
    <t>1100 W Ewing Street</t>
  </si>
  <si>
    <t>kris.kraakmo@obiseafoods.com</t>
  </si>
  <si>
    <t xml:space="preserve">No minimum education or experience is required. 
New employees are subject to post-employment drug testing, paid by employer and applied equally to all workers, U.S. and foreign/H-2B. 
All workers are subject to post injury/incident drug testing, paid by employer and applied equally to all workers, U.S. and foreign/H-2B. 
New employees are subject to pre-employment criminal background check, paid by employer and applied equally to all workers, U.S. and foreign/H-2B. 
Must be at least 18 years of age.
Must be able to work a potential 7-day workweek.
Must be able to work weekends and holidays as required.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PPE provided (raingear, boots, eye and ear protection, gloves) at no cost to employee. 
The employer guarantees to offer work for hours equal to at least three-fourths of the workdays in each 12-week period of the total employment period.
</t>
  </si>
  <si>
    <t>621 Shelikof Street</t>
  </si>
  <si>
    <t>Kodiak Island</t>
  </si>
  <si>
    <t>Employer may increase wage or provide bonuses based on experience, skill, market conditions, performance or tenure.</t>
  </si>
  <si>
    <t>P-400-23179-149680</t>
  </si>
  <si>
    <t>Basic wage rate: $17.15 to $18.06 per hour. If Kodiak, AK resident, employer offers $0.50 per hour in addition to basic wage rate. Employer may increase wage or provide bonus based on experience, skill, market conditions, and/or provide additional pay for performance and tenure. Overtime hours may be available at $25.73 to $27.09 per hour. An overtime premium will be paid when required by Federal, State, or local law, including at time-and-a-half after 8 hours in any given day, or greater than 40 hours in any given workweek.
Optional employee-shared housing, including utilities, is available at no cost to employee. Optional meals during shift are available for $15 per day if employee works at least 8 hours in that day, payroll deducted if worker elects. Employees with 4+ years of seniority with the company are exempt from meal deduction if work over 8 hours per day. Daily transportation provided between employee housing and worksite at no cost to employee.</t>
  </si>
  <si>
    <t>www.obiseafoods.com</t>
  </si>
  <si>
    <t>H-400-23333-530723</t>
  </si>
  <si>
    <t>NMP Golf Construction Corp - FL</t>
  </si>
  <si>
    <t>25 Bishop Avenue Suite A-2</t>
  </si>
  <si>
    <t>Poirier</t>
  </si>
  <si>
    <t>3715 Golf Rd</t>
  </si>
  <si>
    <t>P-400-23292-442437</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</si>
  <si>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t>
  </si>
  <si>
    <t>hr@nmpgolf.com</t>
  </si>
  <si>
    <t>H-400-23285-427550</t>
  </si>
  <si>
    <t>Butcher - Livestock cutter</t>
  </si>
  <si>
    <t>Turkish Depot Foreign Trade Corporation</t>
  </si>
  <si>
    <t>Turkish Depot Meat Plant &amp; Sdaughterhouse</t>
  </si>
  <si>
    <t>120 Bridge St</t>
  </si>
  <si>
    <t>Lock Haven</t>
  </si>
  <si>
    <t>Bagriyanik</t>
  </si>
  <si>
    <t>Muhittan</t>
  </si>
  <si>
    <t>President/owner</t>
  </si>
  <si>
    <t>info@turkishdepot.com</t>
  </si>
  <si>
    <t>Some kind of certifacation in meat processimg</t>
  </si>
  <si>
    <t>PWD  P-400-23156-080002</t>
  </si>
  <si>
    <t>P-400-23156-080002</t>
  </si>
  <si>
    <t>H-400-23336-538985</t>
  </si>
  <si>
    <t>ANANDHAM LANDSCAPING CORP</t>
  </si>
  <si>
    <t>173 PENINSULA PATH</t>
  </si>
  <si>
    <t>CASTANEDA</t>
  </si>
  <si>
    <t>VALENTINA</t>
  </si>
  <si>
    <t>PO BOX 960, SOUTHAMPTON NY 11969</t>
  </si>
  <si>
    <t>P-400-23188-172678</t>
  </si>
  <si>
    <t>ANANDHAMLANDSCAPING@GMAIL.COM</t>
  </si>
  <si>
    <t>H-400-23310-479933</t>
  </si>
  <si>
    <t xml:space="preserve">Hours, schedule, and days vary widely.  
Typically Wed-Sun, 4pm  11pm.  
Often 35-45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Work outside in all weather.
The job requires the applicant to obtain all necessary government authorizations to work, such as an H-2B worker visa for foreign workers, which will be issued by the United States Embassy in the home country, and after which the applicant will be regarded as recruited at that time and place. 
Must cooperate with and complete job application and interview, and any supplied information must be truthful and complete. Must comply with grooming requirements and dress code. Must be willing to work up to 7 days/week. Subject to discharge for cause.
</t>
  </si>
  <si>
    <t>806 SE Route 1604</t>
  </si>
  <si>
    <t>P-400-23194-186459</t>
  </si>
  <si>
    <t>Optional mobile housing ($175/week) is provided.  The employer will pay the cost of housing to the extent such cost would reduce the pay below the offered (straight) wage rate for the areas of intended employment, but is otherwise available for wage credit and/or deduction above the offered (straight) wage rate, or any lesser amount to the maximum extent not prohibited by law. Local convenience travel ($25/week) and food (varies) is available for wage credit and/or deduction, or any lesser amount to the maximum extent not prohibited by law.</t>
  </si>
  <si>
    <t>Bean</t>
  </si>
  <si>
    <t>H-400-23242-309975</t>
  </si>
  <si>
    <t>Head Beverage Crafter</t>
  </si>
  <si>
    <t>Eggspresso</t>
  </si>
  <si>
    <t>1981 sunny crest drive</t>
  </si>
  <si>
    <t>suite 100</t>
  </si>
  <si>
    <t>fullerton</t>
  </si>
  <si>
    <t>kwon</t>
  </si>
  <si>
    <t>joo hee</t>
  </si>
  <si>
    <t>1981 sunny crest ave</t>
  </si>
  <si>
    <t>jhchristy@hotmail.com</t>
  </si>
  <si>
    <t xml:space="preserve">Ability to speak Korean
Ability to craft Einspanner lattes
Create new Einspanner lattes
Properly train other employees to make Einspanner lattes
</t>
  </si>
  <si>
    <t>P-400-23203-208269</t>
  </si>
  <si>
    <t>H-400-23305-469805</t>
  </si>
  <si>
    <t>Paul's Concessions, Inc.</t>
  </si>
  <si>
    <t xml:space="preserve">24719 Player Oaks </t>
  </si>
  <si>
    <t>(Mail to: PO Box 591100, San Antonio, TX 78259)</t>
  </si>
  <si>
    <t>Nemeth</t>
  </si>
  <si>
    <t>24719 Player Oaks</t>
  </si>
  <si>
    <t>paulsconcessions@aol.com</t>
  </si>
  <si>
    <t>1213 Terry Shamsie Blvd.</t>
  </si>
  <si>
    <t>Robstown</t>
  </si>
  <si>
    <t>P-400-23184-164008</t>
  </si>
  <si>
    <t>H-400-23336-539538</t>
  </si>
  <si>
    <t>LaPointe Landscapes LLC</t>
  </si>
  <si>
    <t>River's Edge Landscapes</t>
  </si>
  <si>
    <t>123 Easy Lane</t>
  </si>
  <si>
    <t>Bluemont</t>
  </si>
  <si>
    <t>LaPointe</t>
  </si>
  <si>
    <t>office@riversedgelandscapes.com</t>
  </si>
  <si>
    <t xml:space="preserve">Able to lift 60lbs.  Monday-Friday, Saturdays as needed, schedule varies, overtime varies. Pre-hire background check required.
All background checks are performed equally as to U.S. workers and H-2B workers, and all fees are paid for by the company. See the additional document attached for further details about the administration of our background check policy.
</t>
  </si>
  <si>
    <t>512 Jack Enders Blvd</t>
  </si>
  <si>
    <t>Berryville</t>
  </si>
  <si>
    <t>P-400-23213-229693</t>
  </si>
  <si>
    <t>H-400-23201-204606</t>
  </si>
  <si>
    <t>HANNA'S BAKERY, INC.</t>
  </si>
  <si>
    <t>231 E ARMY TRAIL RD</t>
  </si>
  <si>
    <t>BLOOMINGDALE</t>
  </si>
  <si>
    <t>TURCZYNSKA</t>
  </si>
  <si>
    <t>EWA</t>
  </si>
  <si>
    <t xml:space="preserve">BLOOMINGDALE </t>
  </si>
  <si>
    <t>ewat60108@gmail.com</t>
  </si>
  <si>
    <t xml:space="preserve">4901 W.  Irving Park Road </t>
  </si>
  <si>
    <t>Floor 2</t>
  </si>
  <si>
    <t>Info@immig-lawyer.com</t>
  </si>
  <si>
    <t>P-400-23165-109335</t>
  </si>
  <si>
    <t>ewik200@yahoo.coM</t>
  </si>
  <si>
    <t>PACHECO</t>
  </si>
  <si>
    <t>DELIA</t>
  </si>
  <si>
    <t>H-400-23320-508362</t>
  </si>
  <si>
    <t>The Munie Company - FL</t>
  </si>
  <si>
    <t>2757 Ash Drive</t>
  </si>
  <si>
    <t>Eglin AFB</t>
  </si>
  <si>
    <t>P-400-23211-224880</t>
  </si>
  <si>
    <t>Plymouth Meeting</t>
  </si>
  <si>
    <t>H-400-23292-443027</t>
  </si>
  <si>
    <t>P-400-23200-200421</t>
  </si>
  <si>
    <t>H-400-23315-496243</t>
  </si>
  <si>
    <t>Sunrise of Nashville, Inc.</t>
  </si>
  <si>
    <t>2707 Larmon Drive</t>
  </si>
  <si>
    <t>Wellerding</t>
  </si>
  <si>
    <t xml:space="preserve">Requires three months of previous landscape experience. Must lift/carry 50 lbs., when necessary. Saturday work required, when necessary. Employer-paid post-hire upon suspicion of use and post-accident drug testing required of foreign and domestic workers. Post-hire employment eligibility (e-Verify) check required of foreign and domestic workers. Driver's license check required for workers who drive company vehicles. Employer may offer more than the stated work hours depending on weather, business needs, and other conditions. Extreme heat, cold, rain, or drought may affect exact working hours.
 </t>
  </si>
  <si>
    <t>2707 Larmon Dr,</t>
  </si>
  <si>
    <t>P-400-23202-205940</t>
  </si>
  <si>
    <t>Emplyr makes all payroll deducts req’d by law. Emplyr doesn’t envision other workforce-wide payroll deducts. If requested emplyr helps non-local wrkrs secure optional wrkr-paid lodging. Emplyr deducts fair market value cost of rent/utilities based on # of occupants for wrkrs electing to reside in emplyr-provided housing (cost TBD). Vol. advances/loans made to wrkrs may be repaid by pre-authorized payroll deducts. Emplyr may deduct retirement/savings plan contributions/health insurance premiums for wrkrs vol. participating in plans. Uniform provided @ no cost. Emplyr may deduct cost for vol. purchase of additional uniforms for wrkr's benefit. Employees may vol. authorize deductions for snacks/drinks. Such purchases are optional &amp; for employee’s benefit. No daily transport to/from wrkrs' home &amp; primary worksite. Emplyr provides incidental transport between multiple worksites as necessary. Such transport complies with all applicable Federal, State, and local laws/regulations.</t>
  </si>
  <si>
    <t>jobs.sunrisenash@gmail.com</t>
  </si>
  <si>
    <t>H-400-23279-414456</t>
  </si>
  <si>
    <t>P-400-23183-162077</t>
  </si>
  <si>
    <t>H-400-23334-532286</t>
  </si>
  <si>
    <t>431 Atlas Drive (Report to Work)</t>
  </si>
  <si>
    <t>P-400-23220-247455</t>
  </si>
  <si>
    <t>H-400-23324-514593</t>
  </si>
  <si>
    <t>All deductions from the worker's paycheck required by law.</t>
  </si>
  <si>
    <t>Rodrigo</t>
  </si>
  <si>
    <t>H-400-23336-539227</t>
  </si>
  <si>
    <t>BUTTERCUP FARM &amp; GARDEN INC</t>
  </si>
  <si>
    <t>17 BEACH RD</t>
  </si>
  <si>
    <t>CARDERO</t>
  </si>
  <si>
    <t>17 HAYBEACH RD</t>
  </si>
  <si>
    <t xml:space="preserve">SHELTER ISLAND HTS </t>
  </si>
  <si>
    <t xml:space="preserve">17 HAYBEACH ROAD </t>
  </si>
  <si>
    <t>P-400-23206-212359</t>
  </si>
  <si>
    <t>VICKIE@BUTTERCUPDESIGNGROUP.COM</t>
  </si>
  <si>
    <t>Carey</t>
  </si>
  <si>
    <t>H-400-23336-539665</t>
  </si>
  <si>
    <t>Perficut Companies, Inc. - Eastern Iowa</t>
  </si>
  <si>
    <t>425 41st Ave Dr. SW</t>
  </si>
  <si>
    <t>425 41st Ave. Dr. SW,</t>
  </si>
  <si>
    <t>P-400-23202-205890</t>
  </si>
  <si>
    <t>H-400-23307-476494</t>
  </si>
  <si>
    <t>Underwood Brothers Inc</t>
  </si>
  <si>
    <t>AAA Landscape</t>
  </si>
  <si>
    <t>3747 E Southern Ave</t>
  </si>
  <si>
    <t>Underwood</t>
  </si>
  <si>
    <t>Phoeniz</t>
  </si>
  <si>
    <t>b.castaneda@aaalandscape.com</t>
  </si>
  <si>
    <t xml:space="preserve">Able to lift 50lbs. Able to perform physical labor in the heat. Monday-Friday, some Saturdays required, schedule may vary, overtime varies. Pre-hire background check required; Pre-employment drug testing required.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 </t>
  </si>
  <si>
    <t>P-400-23236-293719</t>
  </si>
  <si>
    <t>Employer may make payroll deductions at employee's request. Employer facilitates corresponding deductions for available health benefits. Employer facilitates voluntary housing arrangements upon worker request along with corresponding payroll deductions, $150.00/weekly</t>
  </si>
  <si>
    <t>H-400-23318-499601</t>
  </si>
  <si>
    <t>Ground Maintenance Workers</t>
  </si>
  <si>
    <t>Windswept Dunes, LLC</t>
  </si>
  <si>
    <t>11 Club House Drive East</t>
  </si>
  <si>
    <t>Nickens</t>
  </si>
  <si>
    <t>724 Tournament Lane,</t>
  </si>
  <si>
    <t>P-400-23185-166083</t>
  </si>
  <si>
    <t>wsdunes@aol.com</t>
  </si>
  <si>
    <t>H-400-23276-406191</t>
  </si>
  <si>
    <t>P-400-23226-260551</t>
  </si>
  <si>
    <t>H-400-23336-539128</t>
  </si>
  <si>
    <t xml:space="preserve">MAGNOLIA LANDSCAPING INC </t>
  </si>
  <si>
    <t>46 NORTH SHORE ROAD</t>
  </si>
  <si>
    <t>COPPOLA</t>
  </si>
  <si>
    <t>P-400-23199-195929</t>
  </si>
  <si>
    <t>COPPOLA19@OPTONLINE.NET</t>
  </si>
  <si>
    <t>H-400-23336-539289</t>
  </si>
  <si>
    <t>HANK'S QUALITY CARE INC</t>
  </si>
  <si>
    <t>1080 STONECASTLE DRIVE</t>
  </si>
  <si>
    <t>BEALLER</t>
  </si>
  <si>
    <t>151 ECOLOGY DRIVE</t>
  </si>
  <si>
    <t>P-400-23238-298491</t>
  </si>
  <si>
    <t>hanksincq@aol.com</t>
  </si>
  <si>
    <t>H-400-23318-499599</t>
  </si>
  <si>
    <t>GroundsPRO LLC - West Chester</t>
  </si>
  <si>
    <t>9405 Sutton Place</t>
  </si>
  <si>
    <t xml:space="preserve">Must lift/carry 50 lbs., when necessary. Saturday and Sunday work required, when necessary. Employer-paid post-hire upon suspicion of use and post-accident drug testing required of foreign and domestic workers. Must have the ability to work outside in all weather conditions. Work schedule is at least 5 days per week with exact daily work hours varying by day and work days varying by week to include Saturday and Sunday. We will offer at least 40 hours in a typical workweek. Hours in excess of 40 will vary depending on staff, production quotas, and other factors to be evaluated on a daily basis. Employer may offer more than the stated work hours depending on weather, business needs, and other conditions. Extreme heat, cold, rain, or drought may affect exact working hours.
</t>
  </si>
  <si>
    <t>9405 Sutton Place,</t>
  </si>
  <si>
    <t>P-400-23192-179321</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</si>
  <si>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   Employer may deduct health insurance premiums for workers voluntarily participating in plan. Uniform provided at no cost. Employer may deduct cost for lost/damaged uniforms resulting from worker negligence, or voluntary purchase of additional uniforms for worker's benefit.  Employer offers pro rated vacation hours and paid sick time. Employer provides incidental transportation between worksites as necessary.</t>
  </si>
  <si>
    <t>twilson@groundspro.com</t>
  </si>
  <si>
    <t>H-400-23307-477007</t>
  </si>
  <si>
    <t>GroundSystems, Inc. - Hamilton</t>
  </si>
  <si>
    <t>sporn1121@maslabor.com</t>
  </si>
  <si>
    <t>11315 Williamson Rd</t>
  </si>
  <si>
    <t>P-400-23199-198000</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</si>
  <si>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Employer may deduct health insurance premiums for workers voluntarily participating in plan.    No daily transportation to/from workers' home and primary worksite. Employer provides incidental transportation between multiple worksites as necessary. Such transportation complies with all applicable Federal, State, and local laws/regulations.</t>
  </si>
  <si>
    <t>H-400-23313-489806</t>
  </si>
  <si>
    <t>Groundskeeper/Amusement Attendant</t>
  </si>
  <si>
    <t>Alstede Farms, LLC</t>
  </si>
  <si>
    <t>Alstede Farms</t>
  </si>
  <si>
    <t>1 Alstede Farms Lane</t>
  </si>
  <si>
    <t>Mailing: P.O. Box 278, Chester, NJ 07930</t>
  </si>
  <si>
    <t>Alstede</t>
  </si>
  <si>
    <t>kurt@alstedefarms.com</t>
  </si>
  <si>
    <t>Mon-Sun, 40 hrs/wk. Schedule/shifts vary. Hours &amp; start/end times vary. Weekends &amp; holidays are required. Overtime is required, but varies. Able to lift 75lbs. Must be at least 18 years old. Must be able to stand for up to 12 hours per day. Pre-hire background check required. All background checks are performed equally as to U.S. workers and H-2B workers, and all fees are paid for by the company. See the additional document attached for further details about the administration of our background check policy. Random drug testing during employment. All drug testing is performed without regard to an employees citizenship or immigration status, and all testing is paid for by the company. See the additional document attached for further details about the administration of our drug testing policy.</t>
  </si>
  <si>
    <t>P-400-23233-281867</t>
  </si>
  <si>
    <t>Employer may make payroll deductions at employee's request. Employer facilitates voluntary housing arrangements upon worker request along with corresponding payroll deductions of $225/pay period.</t>
  </si>
  <si>
    <t>info@alstedefarms.com</t>
  </si>
  <si>
    <t>P-400-23183-162038</t>
  </si>
  <si>
    <t>Otterbacher</t>
  </si>
  <si>
    <t>South Bend</t>
  </si>
  <si>
    <t>Cleburne</t>
  </si>
  <si>
    <t>Eden</t>
  </si>
  <si>
    <t>717 SE 12th COURT</t>
  </si>
  <si>
    <t xml:space="preserve">Broomfield </t>
  </si>
  <si>
    <t>H-400-23184-163623</t>
  </si>
  <si>
    <t>Wickenburg Landscape &amp; Irrigation, Inc.</t>
  </si>
  <si>
    <t>Wickenburg Landscape</t>
  </si>
  <si>
    <t>51020 U.S. Hwy 60 89</t>
  </si>
  <si>
    <t>Wickenburg</t>
  </si>
  <si>
    <t>51020 US Hwy 60 89</t>
  </si>
  <si>
    <t>nash@wickenburglandscape.com</t>
  </si>
  <si>
    <t>750 Lawrence St</t>
  </si>
  <si>
    <t>bwang@bwanglaw.com</t>
  </si>
  <si>
    <t>Benjamin Beijing Wang, P.C.</t>
  </si>
  <si>
    <t>Oregon Supreme Court</t>
  </si>
  <si>
    <t xml:space="preserve">Applicants must be at least 18 years old to travel.  Show proof of legal authority to work in the U.S. All applicants must be able, willing, qualified to perform the work described and must be available for the entire period specified.  The position requires lifting/carrying items up to 50 lbs.  Drug/alcohol free work zone.  Pre-hire drug/alcohol testing will be conducted at the employer's expense. </t>
  </si>
  <si>
    <t>P-400-23122-984460</t>
  </si>
  <si>
    <t>All usual deductions will be made from payroll in compliance with state and federal regulations.</t>
  </si>
  <si>
    <t>office@wickenburglandscape.com</t>
  </si>
  <si>
    <t>H-400-23185-165678</t>
  </si>
  <si>
    <t>CRIMINAL BACKGROUND CHECKS TO BE CONDUCTED PRE-HIRE.
second shift -12pm to 8pm</t>
  </si>
  <si>
    <t>3849 Parkway</t>
  </si>
  <si>
    <t>P-400-23130-010720</t>
  </si>
  <si>
    <t>Assistance with shared lodging is available at $135/week if elected. Transportation to and from worksite provided at a cost of $32/week if elected. If elected, Lodging and Transportation costs will be deducted from paycheck. Employer will make all deductions from paycheck as required by law. All employees are required to pay a housing deposit of $250 which will be deducted in $50.00 increments starting with the first paycheck until the deposit is paid in full. At the end of the season employer will reimburse deposit based on the damage and repair cost to housing and furnishing.</t>
  </si>
  <si>
    <t>H-400-23336-539046</t>
  </si>
  <si>
    <t>CURTI &amp; ASSOCIATES LTD</t>
  </si>
  <si>
    <t>9 YELLOWSTONE DRIVE</t>
  </si>
  <si>
    <t xml:space="preserve">WEST NYACK </t>
  </si>
  <si>
    <t>CURTI</t>
  </si>
  <si>
    <t>P-400-23205-211849</t>
  </si>
  <si>
    <t>KCURTI@CURTILANDSCAPING.COM</t>
  </si>
  <si>
    <t>H-400-23228-267431</t>
  </si>
  <si>
    <t xml:space="preserve">Requirements:  Three (3) months of service experience in a fine-dining or high-volume environment at a high-end restaurant, resort, or private club required. On-the-job training is provided.  Applicant must provide Pre-employment Criminal Background Check and Pre-employment Drug Test is required.
Shifts: Work schedule can vary and can include evening, weekend, and holiday hours.  Work may be performed on any day of the week from Monday through Sunday.  Example shifts: 6:00am to 2:00pm, or 2:00pm to 10:00pm. Shift hours may vary.
</t>
  </si>
  <si>
    <t xml:space="preserve">Additional, optional benefits may be offered to worker, for worker’s sole benefit, including but 
not limited to medical, dental and vision insurance, short-term disability, long-term disability,  
401k,  and  life  insurance.  If  voluntarily  elected  by  worker,  employee
costs/contributions for benefits will be deducted from paycheck.
</t>
  </si>
  <si>
    <t>P-400-23184-165260</t>
  </si>
  <si>
    <t>H-400-23275-404170</t>
  </si>
  <si>
    <t>Yard Mechanic</t>
  </si>
  <si>
    <t>Must be able to lift equipment up to 80 lbs.
Pre-employment criminal background check required, paid by employer and applied equally to all workers, U.S. and foreign/H2B.
Workers are subject to random and project specific post-employment drug testing, paid by employer and applied equally to all workers, U.S. and foreign/H2B.
Applicants must complete an employment application.
Required uniform provided at no charge to the worker.</t>
  </si>
  <si>
    <t>See Section F.a.4.</t>
  </si>
  <si>
    <t>P-400-23165-109212</t>
  </si>
  <si>
    <t>Optional medical, dental, and vision insurance available, approximate cost $14.18 per week deducted from paycheck if worker elects. Pay advance possible with management approval, paid back through payroll deductions if worker elects. Optional work boots available for purchase from approved vendor, cost can be payroll deducted if worker elects.</t>
  </si>
  <si>
    <t>H-400-23321-510584</t>
  </si>
  <si>
    <t>Peace River Concessions, LLC.</t>
  </si>
  <si>
    <t>1830 IRONWOOD CT</t>
  </si>
  <si>
    <t>VENICE</t>
  </si>
  <si>
    <t>Dills</t>
  </si>
  <si>
    <t>dolole@aol.com</t>
  </si>
  <si>
    <t>P-400-23236-294535</t>
  </si>
  <si>
    <t>Karina</t>
  </si>
  <si>
    <t>H-400-23216-239970</t>
  </si>
  <si>
    <t>J &amp; L Snow Removal, Inc</t>
  </si>
  <si>
    <t>11650 Cambridge Drive</t>
  </si>
  <si>
    <t>2220 Lost Nation Rd</t>
  </si>
  <si>
    <t xml:space="preserve">$51.25 Housing deduction per pay per worker but only for workers who choose to live at the employer provided housing. </t>
  </si>
  <si>
    <t>P-400-23142-041713</t>
  </si>
  <si>
    <t>$51.25 Housing deduction per pay per worker but only for workers who choose to live at the employer-provided housing. Possible raises, bonuses, or incentives are dependent on tenure with the company, experience, or job performance.</t>
  </si>
  <si>
    <t>H-400-23215-234822</t>
  </si>
  <si>
    <t>Race Teams Coach</t>
  </si>
  <si>
    <t xml:space="preserve"> Teams Development Manager</t>
  </si>
  <si>
    <t>kcooksey@palisadestahoe.com</t>
  </si>
  <si>
    <t xml:space="preserve">	Level 100 US Ski and Snowboard or equivalent 
	Current Coach/Alpine Official Membership US Ski &amp; Snowboard with US Ski &amp; Snowboard
Level 100 US Ski and Snowboard or equivalent with 3 months coaching
experience. 3 years Alpine racing experience. 3 months ski-coaching or instruction experience. Experience with basic digital/electronic coaching tools.
Post-hire criminal background check required. Coaches must hold or join (port-hire) a US SKi and Snowboard Coach Membership (paid for by the employer)
-Coaches must complete online SafeSport Ed and certification (Part of the US Ski and Snowboard membership)  &lt; https://uscenterforsafesport.org/&gt; post-hire.
Following Shift available 7:30am-4:00pm (2 days off midweek) including weekends and holidays.
Wage Per Hour: $25.41-$35.00
Overtime Possible Per Hour at $38.12-$52.50
Possible wage increase based on certifications and verifiable experience in the field.</t>
  </si>
  <si>
    <t>based on certifications and verifiable experience in the field.</t>
  </si>
  <si>
    <t>P-400-23128-002693</t>
  </si>
  <si>
    <t>All deductions required by law will be made.
No housing provided. Will assist in finding housing with third-party landlords.
Daily Transportation provided through Employee Shuttle and/or Public Transit (TART).
Travel between job sites in the Tahoe Basin Area all within normal commuting distance.
Benefits: Free skiing + riding privileges to 14 iconic resorts including Palisades Tahoe, Mammoth Mountain, Steamboat, Solitude and more! 401(k) plan with generous company match. Free lift tickets, plus 50% off lift tickets. 25%-50% discount at Food &amp; Beverage locations at Olympic Valley and Alpine Meadows 30% discount at Palisades Tahoe operated retail stores, including The North Face, Oakley and more Employee Assistance Program (EAP)</t>
  </si>
  <si>
    <t>H-400-23184-163359</t>
  </si>
  <si>
    <t xml:space="preserve">Electrical Technician (Electrician) </t>
  </si>
  <si>
    <t>Changwon America, Inc.</t>
  </si>
  <si>
    <t>6625 The Corners Pkwy</t>
  </si>
  <si>
    <t>Seo</t>
  </si>
  <si>
    <t>HyunChul</t>
  </si>
  <si>
    <t>President &amp; General Manager</t>
  </si>
  <si>
    <t>goodonya@hanmail.net</t>
  </si>
  <si>
    <t xml:space="preserve">Nelson, Mullins, Riley &amp; Scarborough </t>
  </si>
  <si>
    <t>24 Months as an Electrician for industrial projects</t>
  </si>
  <si>
    <t>10484 US-280</t>
  </si>
  <si>
    <t>Ellabell</t>
  </si>
  <si>
    <t>P-400-23146-057310</t>
  </si>
  <si>
    <t>All deductions from pay required by law. The employer-provided housing is at no cost to the worker or employee.</t>
  </si>
  <si>
    <t>H-400-23228-268426</t>
  </si>
  <si>
    <t>Ski and Snowboard Instructor Level 3</t>
  </si>
  <si>
    <t>tking@palisadestahoe.com</t>
  </si>
  <si>
    <t xml:space="preserve">Valid Professional Ski Instructor of America (PSIA) Level 3 Certification or equivalent in home country.
Must understand and abide by company procedures set forth by our Human Resource department. Valid Professional Ski Instructor of America (PSIA) Level 3 Certification or equivalent in home country. Post-hire Criminal Background Check and reference check required.
Following Shift available 7 hrs/day for 5 days a week (2 days off midweek) including weekends and holidays. 8:00am - 4:00 pm. 2 days off mid week.
Wage Per Hour: $24.56 - $35.24.
Possible wage increase based on years of service and merit based on prior seasons evaluation.
Overtime Possible Per Hour at $36.84 - $52.86.
</t>
  </si>
  <si>
    <t>1901 Chamonix Place</t>
  </si>
  <si>
    <t>based on years of service and merit based on prior seasons evaluation.</t>
  </si>
  <si>
    <t>P-400-23138-034855</t>
  </si>
  <si>
    <t>All deductions required by law will be made.
No housing provided. Will assist in finding housing with third-party landlords.
Daily Transportation not provided. Free Local Transit system provides transport.
Post-hire Criminal Background Check and reference check required.
Benefits: Winter Season ski pass, 2 Complimentary lift tickets (friends and family), 30%-50% at Food and beverage locations, 30% off at retail shops, and discount rates at village lodging.</t>
  </si>
  <si>
    <t>Tking@palisadestahoe.com</t>
  </si>
  <si>
    <t>H-400-23223-259705</t>
  </si>
  <si>
    <t xml:space="preserve">4252 S Alameda </t>
  </si>
  <si>
    <t xml:space="preserve">3 months of experience. </t>
  </si>
  <si>
    <t>P-400-23167-120874</t>
  </si>
  <si>
    <t>H-400-23215-237927</t>
  </si>
  <si>
    <t>Champion Hotels LLC</t>
  </si>
  <si>
    <t>3048 N. Grand Blvd</t>
  </si>
  <si>
    <t>Harshil</t>
  </si>
  <si>
    <t>3048 N Grand Blvd</t>
  </si>
  <si>
    <t>harshil@championhotels.com</t>
  </si>
  <si>
    <t>4521 SW 15th Street</t>
  </si>
  <si>
    <t>P-400-23166-116538</t>
  </si>
  <si>
    <t>H-400-23250-329417</t>
  </si>
  <si>
    <t>[2820 N Pinal Ave. Casa Grande, AZ 85122]</t>
  </si>
  <si>
    <t>Member-President</t>
  </si>
  <si>
    <t>[2820 N PINAL AVE. CASA GRANDE, AZ 85122]</t>
  </si>
  <si>
    <t>CASA GRANDE</t>
  </si>
  <si>
    <t>P-400-23214-232822</t>
  </si>
  <si>
    <t xml:space="preserve">Employer will make all deductions from the worker’s paycheck required by law.  Optional housing (valued at $75.00 per week) and local convenience travel (valued at $25.00 per week) are available at no cost to the worker. </t>
  </si>
  <si>
    <t>Mattfeldtequipmentco@gmail.com</t>
  </si>
  <si>
    <t>H-400-23234-285359</t>
  </si>
  <si>
    <t>Westgroup Teton Employer, LLC</t>
  </si>
  <si>
    <t>Hotel Terra &amp; Teton Mountain Lodge</t>
  </si>
  <si>
    <t>3335 West Village Drive</t>
  </si>
  <si>
    <t>doug.hill@tetonresorts.com</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</si>
  <si>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t>
  </si>
  <si>
    <t>Wage: $18.00-$22.00 per hour, paid bi-weekly. Please see job description for additional information.</t>
  </si>
  <si>
    <t>P-400-23182-161675</t>
  </si>
  <si>
    <t xml:space="preserve">Optional housing is offered on a first-come, first-serve basis to workers who are relocating.  Cost of housing, if accepted, is $200.00 - $300.00 per bi-weekly pay period.  If used, total cost of housing will be deducted from paycheck.  Additional deductions may be taken from paycheck, only if voluntarily elected by worker, including the following: the cost for replacement of lost name tag and the cost for replacement of a lost bus pass.
</t>
  </si>
  <si>
    <t>H-400-23215-237584</t>
  </si>
  <si>
    <t>Sandknop Farm Enterprises LLC</t>
  </si>
  <si>
    <t>1141 Ashley Ln.</t>
  </si>
  <si>
    <t>Commerce</t>
  </si>
  <si>
    <t>Sandknop</t>
  </si>
  <si>
    <t>cjsandknop@gmail.com</t>
  </si>
  <si>
    <t>P-400-23116-968290</t>
  </si>
  <si>
    <t>Erick</t>
  </si>
  <si>
    <t>erick@actionvisa.com</t>
  </si>
  <si>
    <t>H-400-23250-329427</t>
  </si>
  <si>
    <t xml:space="preserve">Tim &amp; Tom's Midways, Inc. </t>
  </si>
  <si>
    <t>[MAIL: 111230 Carmon St. Riverview, FL 33578]</t>
  </si>
  <si>
    <t>jnjtampa@yahoo.com</t>
  </si>
  <si>
    <t>P-400-23208-219956</t>
  </si>
  <si>
    <t>H-400-23215-237249</t>
  </si>
  <si>
    <t>Employer will make all deductions required by law. Employees expected daily schedule will be from 9am to 5pm, Monday to Friday, and then sometimes on the weekends for a set number of hours that might vary in their start time, Saturday (up to 4 hours) and Sunday (up to 4 hours). Employees should expect hours to vary. There is a formal program for training new employees.</t>
  </si>
  <si>
    <t>P-400-23174-141324</t>
  </si>
  <si>
    <t>H-400-23241-304703</t>
  </si>
  <si>
    <t>van der Walt Trucking LLC</t>
  </si>
  <si>
    <t>199 4th Ave E</t>
  </si>
  <si>
    <t>Wing</t>
  </si>
  <si>
    <t>van der Walt</t>
  </si>
  <si>
    <t xml:space="preserve">Heidi </t>
  </si>
  <si>
    <t>vanderwalttrucking@gmail.com</t>
  </si>
  <si>
    <t>Goldenberg</t>
  </si>
  <si>
    <t>Sonseere</t>
  </si>
  <si>
    <t>50 South Sixth Street</t>
  </si>
  <si>
    <t>mpls-niv@dorsey.com</t>
  </si>
  <si>
    <t>Dorsey &amp; Whitney</t>
  </si>
  <si>
    <t xml:space="preserve">Applicant must complete and pass the Entry Level Driver Training program and obtain a Commercial Drivers License.
</t>
  </si>
  <si>
    <t>P-400-23157-080776</t>
  </si>
  <si>
    <t>H-400-23215-236015</t>
  </si>
  <si>
    <t>Sioux Falls Lodging Associates, LLC</t>
  </si>
  <si>
    <t>TownPlace Suites</t>
  </si>
  <si>
    <t xml:space="preserve">Aberdeen </t>
  </si>
  <si>
    <t>6400 S Connie Ave</t>
  </si>
  <si>
    <t>P-400-23167-118368</t>
  </si>
  <si>
    <t>H-400-23245-317923</t>
  </si>
  <si>
    <t>Mac Contracting, Inc.</t>
  </si>
  <si>
    <t>1528 South Point Road</t>
  </si>
  <si>
    <t>Belmont</t>
  </si>
  <si>
    <t>McHenry III</t>
  </si>
  <si>
    <t>maccontracting@yahoo.com</t>
  </si>
  <si>
    <t>5524 Union Road</t>
  </si>
  <si>
    <t>Gastonia</t>
  </si>
  <si>
    <t>P-400-23200-200449</t>
  </si>
  <si>
    <t>H-400-23248-321023</t>
  </si>
  <si>
    <t>Westward Seafoods, Inc.</t>
  </si>
  <si>
    <t>3015 112th Ave</t>
  </si>
  <si>
    <t>VP of HR</t>
  </si>
  <si>
    <t>andrew.brown@wsi.us</t>
  </si>
  <si>
    <t xml:space="preserve">Up to 44 hours of overtime per week available, as needed, but not guaranteed.
Employer reserves the right to pay a higher wage rate or bonus to any worker, in their sole discretion, based on performance, skill, tenure, or experience.
The first three weeks of employment will include paid on the job training. 
Workers must be able to work long period of time on their feet, cold, wet environment.
Pre-employment drug test will be required.
Optional employer-provided housing is available for $15/day-$25/day based on Alaska State guidelines.
The employer will provide transportation to and from worksite at no cost to workers.
Days/shifts may vary. </t>
  </si>
  <si>
    <t>1200 Captains Bay Road</t>
  </si>
  <si>
    <t xml:space="preserve">Unalaska </t>
  </si>
  <si>
    <t xml:space="preserve">Overtime will be paid at $25.73/hr for working greater than 8 hours in any day, or greater than 40 hours in any week. </t>
  </si>
  <si>
    <t>P-400-23187-170470</t>
  </si>
  <si>
    <t>recruiting@wsi.us</t>
  </si>
  <si>
    <t>https://recruiting2.ultipro.com/WES1015WSEA/JobBoard/233903b4-7e86-45c</t>
  </si>
  <si>
    <t>H-400-23254-337326</t>
  </si>
  <si>
    <t>Cleaning Worker</t>
  </si>
  <si>
    <t>Manifest Contracting LLC</t>
  </si>
  <si>
    <t>West Lake Tahoe Cleaning</t>
  </si>
  <si>
    <t>3200 N Lake Blvd., Unit 18</t>
  </si>
  <si>
    <t>Tahoe City</t>
  </si>
  <si>
    <t>Beller</t>
  </si>
  <si>
    <t>3200 Lake Boulevard, Unit 18</t>
  </si>
  <si>
    <t>josh@westlaketahoecleaning.com</t>
  </si>
  <si>
    <t xml:space="preserve">This position requires standing, sitting, and walking for an extended period of time; pushing, pulling, and lifting items up to 20 lbs.; bending, stooping, squatting, kneeling, and twisting; and reaching overhead and below the waist. Applicants must be at least 18 years old to travel.  Show proof of legal authority to work in the U.S.  All applicants must be able, willing, qualified to perform the work described and must be available for the entire period specified. Drug/alcohol free work zone.  Pre-hire drug/alcohol testing will be conducted at the employers expense.  
</t>
  </si>
  <si>
    <t>P-400-23170-123765</t>
  </si>
  <si>
    <t xml:space="preserve">All usual deductions from payroll will be made in accordance with state and federal law </t>
  </si>
  <si>
    <t>H-400-23245-317956</t>
  </si>
  <si>
    <t>Millers Automotive Repair, Inc.</t>
  </si>
  <si>
    <t>348 Highway 13</t>
  </si>
  <si>
    <t>millerautomotive99@yahoo.com</t>
  </si>
  <si>
    <t xml:space="preserve">Employee may be subject to drug screening upon hire paid for by employer and if any reasonable suspicions arise during the performance of work. This is a drug free workplace.
Weekly work hours may vary, and employees may be asked to work overtime hours and/or on a Saturday based on workload and customer demand. 
</t>
  </si>
  <si>
    <t>ST LANDRY</t>
  </si>
  <si>
    <t>P-400-23139-039553</t>
  </si>
  <si>
    <t>Employer will deduct $100 per week for housing if the employee chooses to live in the employer provided housing. Employer provided housing is NOT mandatory.</t>
  </si>
  <si>
    <t>H-400-23184-162372</t>
  </si>
  <si>
    <t>EXERCISE TRAINERS AND GROUP FITNESS INSTRUCTORS</t>
  </si>
  <si>
    <t>Exercise Trainers and Group Fitness Instructors</t>
  </si>
  <si>
    <t xml:space="preserve">JOURNEY MOVEMENT &amp; DANCE </t>
  </si>
  <si>
    <t xml:space="preserve">118 N SPRING ST </t>
  </si>
  <si>
    <t>KOZAK</t>
  </si>
  <si>
    <t>JAN</t>
  </si>
  <si>
    <t>ADMINISTRATIVE COORDINATOR</t>
  </si>
  <si>
    <t>118 N Spring Street</t>
  </si>
  <si>
    <t>JOURNEYMOVEMENTDANCE@GMAIL.COM</t>
  </si>
  <si>
    <t>SCHEDULE VARIES, OVERTIME AVAILABLE AS NEEDED</t>
  </si>
  <si>
    <t>118 N Spring St</t>
  </si>
  <si>
    <t>P-400-23096-911847</t>
  </si>
  <si>
    <t>H-400-23275-404908</t>
  </si>
  <si>
    <t xml:space="preserve">MP Forestry, Inc. </t>
  </si>
  <si>
    <t>3621 Table Rock Road</t>
  </si>
  <si>
    <t>Maclovio</t>
  </si>
  <si>
    <t>mpforest187@hotmail.com</t>
  </si>
  <si>
    <t xml:space="preserve">Must be 18 due to travel. Must show proof of legal authorization to work in the United States. Drug/alcohol/tobacco free work zone. Must walk substantially (up to 15 miles/day), also stoop, bend while carrying a pack (up to 45lbs) thru rough terrain (non-trail).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
</t>
  </si>
  <si>
    <t>3621 Table Rock Road (Report to Work)</t>
  </si>
  <si>
    <t>P-400-23181-160684</t>
  </si>
  <si>
    <t>H-400-23212-225657</t>
  </si>
  <si>
    <t>Printing and Packaging Worker</t>
  </si>
  <si>
    <t>KJ Branding and Design Company Ltd.</t>
  </si>
  <si>
    <t>DTC Corporate Center III</t>
  </si>
  <si>
    <t>4845 Pearl East Circle</t>
  </si>
  <si>
    <t>Boulder</t>
  </si>
  <si>
    <t>Dixon-Kitchens</t>
  </si>
  <si>
    <t>1942 Broadway</t>
  </si>
  <si>
    <t>STE 314C</t>
  </si>
  <si>
    <t>admin@kjbrandingdesign.com</t>
  </si>
  <si>
    <t>High School Diploma</t>
  </si>
  <si>
    <t>P-400-23136-024023</t>
  </si>
  <si>
    <t>Taxes required by the Federal and State Government</t>
  </si>
  <si>
    <t>www.kjbrandingdesign.com</t>
  </si>
  <si>
    <t>H-400-23248-321326</t>
  </si>
  <si>
    <t>777 Casino DR</t>
  </si>
  <si>
    <t>P-400-23142-042076</t>
  </si>
  <si>
    <t>•Employer will make all deductions from worker's paycheck required by law. 
•Employer will deduct any written preapproved deduction requested by employee 
Voluntary/Optional, Third-Party Rent/housing: Provided by a third party company
•Optional &amp; Voluntary 3rd party housing may be available at $125 to $150 / wk &amp; may be voluntarily payroll deducted biweekly
•Waterloo Hospitality could act as guarantor for timely rent payment however, lease is directly with 3rd party service provider &amp; between employees &amp; housing company as Waterloo Hospitality has no housing of its own
•Housing Deposits and/or a $250 nonrefundable administrative fee may be required if you choose the voluntary optional 3rd party housing
•Third party housing provider/landlord may require that the last 8 weeks of rent (covering July 21, 2024 to Sept 15 2024) be prepaid upfront or payroll deducted in installments of $150 per pay period until full payment is achieved. This pre-paid last 8 wks rent is nonrefundable</t>
  </si>
  <si>
    <t>H-400-23198-194755</t>
  </si>
  <si>
    <t>KNL Equipment Lease Co.</t>
  </si>
  <si>
    <t>1785 Pacific Ave.</t>
  </si>
  <si>
    <t>Handy</t>
  </si>
  <si>
    <t>Leif</t>
  </si>
  <si>
    <t>P-400-23136-027708</t>
  </si>
  <si>
    <t>tiffany@simplifiedlandscape.com</t>
  </si>
  <si>
    <t>H-400-23215-237135</t>
  </si>
  <si>
    <t>Wage: $17.22 - $22.00 per hour, paid bi-weekly.   See job description for additional information.</t>
  </si>
  <si>
    <t>P-400-23173-136457</t>
  </si>
  <si>
    <t>Optional housing is offered for workers who are relocating to begin employment.  Cost of housing, if accepted, is $1500.00 per month including utilities.  If used, total cost of housing will be deducted from paycheck.  Additional, optional benefits may be offered to worker, for worker’s sole benefit, including but not limited to health, dental, and vision insurance.  If voluntarily elected by worker, employee costs/contributions for benefits will be deducted from paycheck.</t>
  </si>
  <si>
    <t>H-400-23248-320310</t>
  </si>
  <si>
    <t>Wage: $17.20 - $35.00 per hour, paid bi-weekly. See job description for additional information.</t>
  </si>
  <si>
    <t>H-400-23236-293898</t>
  </si>
  <si>
    <t>Jesse_Stewart@hawkscay.com</t>
  </si>
  <si>
    <t>P-400-23144-049210</t>
  </si>
  <si>
    <t xml:space="preserve">•	Optional housing subject to availability $95-$140/wk &amp; will be deducted biweekly plus all deductions required by law. </t>
  </si>
  <si>
    <t>H-400-23244-315340</t>
  </si>
  <si>
    <t>Brooks Concessions LLC</t>
  </si>
  <si>
    <t xml:space="preserve">423 Naples Court </t>
  </si>
  <si>
    <t>{Mail: 1527 Gause Blvd. 300 Slidell, LA. 70458}</t>
  </si>
  <si>
    <t>423 Naples Court</t>
  </si>
  <si>
    <t>{Mail:  1527 Gause Blvd.  300 Slidell, LA.  70458}</t>
  </si>
  <si>
    <t>michelebviv@yahoo.com</t>
  </si>
  <si>
    <t>P-400-23166-114584</t>
  </si>
  <si>
    <t xml:space="preserve">Employer will make all deductions from the worker’s paycheck required by law.  
Optional housing (valued at $125.00 per week) and local convenience travel (valued at $25.00 per week) are available at no cost to the worker. </t>
  </si>
  <si>
    <t>H-400-23228-267923</t>
  </si>
  <si>
    <t>Assembly and/or Sewing</t>
  </si>
  <si>
    <t>Concote Corp</t>
  </si>
  <si>
    <t>Insul-Fab</t>
  </si>
  <si>
    <t>600 Freeport Parkway</t>
  </si>
  <si>
    <t>suite 150</t>
  </si>
  <si>
    <t>Coppell</t>
  </si>
  <si>
    <t>Ellis</t>
  </si>
  <si>
    <t>600 Freeport Parkway, Suite 150</t>
  </si>
  <si>
    <t>donnae@concote.com</t>
  </si>
  <si>
    <t>must pass background check and drug screen</t>
  </si>
  <si>
    <t>P-400-23180-153620</t>
  </si>
  <si>
    <t>Federal withholding
Medicare
Social Security
Health, Dental, Vision and Supplemental Life if elected when eligible (after 60 days to the first of the month)</t>
  </si>
  <si>
    <t>concote.com</t>
  </si>
  <si>
    <t>H-400-23215-236851</t>
  </si>
  <si>
    <t>Housekeeping Associate</t>
  </si>
  <si>
    <t>Noble House Ocean Key, LLC</t>
  </si>
  <si>
    <t>Ocean Key Resort &amp; Spa</t>
  </si>
  <si>
    <t>0 Duval Street</t>
  </si>
  <si>
    <t>Voshol</t>
  </si>
  <si>
    <t>avoshol@oceankey.com</t>
  </si>
  <si>
    <t xml:space="preserve">The petitioner will consider for employment any person who possesses at least three (3) months of experience at a high-end hotel, resort, or private club.  
Applicant must complete pre-employment background check.
</t>
  </si>
  <si>
    <t>Tipped position with base wage of $18.00 per hour, paid bi-weekly.  Please see job description for more information.</t>
  </si>
  <si>
    <t>P-400-23166-113165</t>
  </si>
  <si>
    <t>Optional housing is offered on a first-come, first-serve basis for workers who are relocating to begin employment.  Cost of housing, if accepted, is $250.00 per bi-weekly pay period.  If used, total cost of housing will be deducted from paycheck.  A $100.00 refundable security deposit is required, to be deducted from first paycheck.  
Additional, optional benefits may be offered to worker, for worker’s sole benefit, including but not limited to health insurance, 401k, and accrued time off based on employee handbook.  If voluntarily elected by worker, employee costs/contributions for benefits will be deducted from paycheck.</t>
  </si>
  <si>
    <t>okrcareers@oceankey.com</t>
  </si>
  <si>
    <t>H-400-23206-215057</t>
  </si>
  <si>
    <t>Team member</t>
  </si>
  <si>
    <t>Daisy and Noodle LLC</t>
  </si>
  <si>
    <t>Dog Wash Spa Cedar Parks</t>
  </si>
  <si>
    <t>601 E Whitestone Blvd #238</t>
  </si>
  <si>
    <t>Cedar Parks</t>
  </si>
  <si>
    <t>Maylene</t>
  </si>
  <si>
    <t xml:space="preserve">Assistant </t>
  </si>
  <si>
    <t xml:space="preserve">PO Box 175 </t>
  </si>
  <si>
    <t>admin@dogwashspa.com</t>
  </si>
  <si>
    <t xml:space="preserve">Subsidized housing, meals, and travel will be provided for the foreign workers. </t>
  </si>
  <si>
    <t>P-400-23163-101686</t>
  </si>
  <si>
    <t>$500 a month which will include the travel, lodging, and food experiences!</t>
  </si>
  <si>
    <t>H-400-23215-235503</t>
  </si>
  <si>
    <t>PO BOX 161097</t>
  </si>
  <si>
    <t xml:space="preserve">The Petitioner will consider for employment any person who possesses at least three (3) months of housekeeping experience at a high-end hotel, resort, or private club.  
Applicant must complete pre-employment background check.
</t>
  </si>
  <si>
    <t>Wage: $18.50 - $25.00 per hour, paid bi-weekly.  Please see job description for additional information.</t>
  </si>
  <si>
    <t>P-400-23139-037352</t>
  </si>
  <si>
    <t>Optional housing is offered on a first-come, first-served basis for workers who are relocating to begin employment. Yellowstone Club has several housing venues and employees may choose their bed space &amp; location. Location availability is department dependent. The cost of housing is $210.00 - $625.00 biweekly depending on the location and room style selected. Depending on housing option availability, housing will be either single or double-room occupancy for Winter 2023. A few couples' options may be available, but limited. Gallatin Gateway Inn (GGI), offers Schack's Depot for its residents. Schack's Depot is an a la carte dining option for dinner service with an online pre-ordering platform.  Please see job description for additional information regarding deductions for housing and benefits.</t>
  </si>
  <si>
    <t>H-400-23187-171980</t>
  </si>
  <si>
    <t>Production assistant</t>
  </si>
  <si>
    <t>Hawaiian King Candies LLC</t>
  </si>
  <si>
    <t>Hawaiian King Candies</t>
  </si>
  <si>
    <t>550 Paiea Street</t>
  </si>
  <si>
    <t>Suite 501</t>
  </si>
  <si>
    <t>Jaavaa</t>
  </si>
  <si>
    <t>Batdelger</t>
  </si>
  <si>
    <t>bjaavaa@hawaiianking.com</t>
  </si>
  <si>
    <t>Batzogs</t>
  </si>
  <si>
    <t>Uyanga</t>
  </si>
  <si>
    <t>PO Box 25783</t>
  </si>
  <si>
    <t>uyanga.qualitylife@gmail.com</t>
  </si>
  <si>
    <t>Quality Life LLC</t>
  </si>
  <si>
    <t xml:space="preserve">550 Paiea Street </t>
  </si>
  <si>
    <t>P-400-23124-991291</t>
  </si>
  <si>
    <t xml:space="preserve">only State and Federal taxes required by law. No after deductions.  </t>
  </si>
  <si>
    <t>aloha@hawaiianking.com</t>
  </si>
  <si>
    <t>www.hawaiianking.com</t>
  </si>
  <si>
    <t>H-400-23215-234954</t>
  </si>
  <si>
    <t>P-400-23143-045023</t>
  </si>
  <si>
    <t>H-400-23265-372282</t>
  </si>
  <si>
    <t>San-Jon Enterprises,LLC</t>
  </si>
  <si>
    <t xml:space="preserve">1702 SE 30th St. </t>
  </si>
  <si>
    <t>Mail: 3848 Sun City Center Blvd Ste 104 #76 Ruskin FL 33573</t>
  </si>
  <si>
    <t>Class</t>
  </si>
  <si>
    <t>Libby</t>
  </si>
  <si>
    <t>jclfoods@icloud.com</t>
  </si>
  <si>
    <t>1702 SE 30th St.</t>
  </si>
  <si>
    <t>P-400-23199-197298</t>
  </si>
  <si>
    <t xml:space="preserve">Employer will make all deductions from the worker’s paycheck required by law. Optional mobile housing (valued at $125.00 per week) and local convenience travel (valued at $25.00 per week) are available at no cost to the worker.  </t>
  </si>
  <si>
    <t>H-400-23236-294284</t>
  </si>
  <si>
    <t>Arnett Racing Stables</t>
  </si>
  <si>
    <t>525 Rosinante</t>
  </si>
  <si>
    <t>Arnett</t>
  </si>
  <si>
    <t>arnettracingstables@hotmail.com</t>
  </si>
  <si>
    <t>Tampa Bay Downs</t>
  </si>
  <si>
    <t>11225 Race Track Road</t>
  </si>
  <si>
    <t>Tampa Bay</t>
  </si>
  <si>
    <t>P-400-23128-002080</t>
  </si>
  <si>
    <t>H-400-23241-305951</t>
  </si>
  <si>
    <t>Mira T Wiswell</t>
  </si>
  <si>
    <t>3893 Beth Park Drive</t>
  </si>
  <si>
    <t>Wiswell</t>
  </si>
  <si>
    <t>Tenerife</t>
  </si>
  <si>
    <t xml:space="preserve">Banker </t>
  </si>
  <si>
    <t>mira.wiswell@gmail.com</t>
  </si>
  <si>
    <t>P-400-23199-197314</t>
  </si>
  <si>
    <t>We will provide breakfast, lunch and lodging and only make the mandatory payroll deductions as required by law.</t>
  </si>
  <si>
    <t>H-400-23192-181621</t>
  </si>
  <si>
    <t>HOLIDAY LIGHTING LABORER</t>
  </si>
  <si>
    <t>ILLUMINATION DESIGN LLC</t>
  </si>
  <si>
    <t>1515 RIVERSIDE AVENUE</t>
  </si>
  <si>
    <t>PROVO</t>
  </si>
  <si>
    <t>P-400-23144-050260</t>
  </si>
  <si>
    <t xml:space="preserve">Employer will use a single workweek for computing wages due. Pay will be biweekly. Pay per Piece rate. Assistance finding lodging is available, if needed, at no additional charge to the worker. Employer will make all deductions required by law from each paycheck. 
</t>
  </si>
  <si>
    <t>H-400-23229-273085</t>
  </si>
  <si>
    <t>Groundskeeper/ Laborer</t>
  </si>
  <si>
    <t>Pine Needle Express LLC</t>
  </si>
  <si>
    <t>219 Peace Lane</t>
  </si>
  <si>
    <t>Godwin</t>
  </si>
  <si>
    <t>heather.godwin@plylerfarms.com</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</si>
  <si>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heat or cold. Variable weather conditions apply; hours may fluctuate (+/-), possible downtime and/or OT.
</t>
  </si>
  <si>
    <t>219 Peace Lane (Report to Work)</t>
  </si>
  <si>
    <t>P-400-23138-036565</t>
  </si>
  <si>
    <t>Optional, shared furnished housing available to the worker (including: Satellite TV) at a monthly housing rate up to $275.00; if optional housing is agreed upon by the worker, monthly housing rate will be deducted from worker's paycheck incrementally (weekly).At Employer’s sole discretion: possible cash advances (if applicable/requested by worker, potential deduction from worker’s paycheck).</t>
  </si>
  <si>
    <t>judith.mills@pnexpressllc.com</t>
  </si>
  <si>
    <t>H-400-23215-235891</t>
  </si>
  <si>
    <t xml:space="preserve">The Petitioner will consider for employment any person who possesses at least three (3) months of experience in a fine-dining or high-volume environment at a high-end restaurant, resort, or private club. Applicant must complete pre-employment background check and drug screening.
</t>
  </si>
  <si>
    <t>Tipped position with guaranteed wage of $11.54 per hour, paid bi-weekly.  See job description.</t>
  </si>
  <si>
    <t>P-400-23124-993120</t>
  </si>
  <si>
    <t>H-400-23215-237900</t>
  </si>
  <si>
    <t>P-400-23143-046939</t>
  </si>
  <si>
    <t>Optional housing is offered for workers who are relocating to begin employment.  Cost of housing, if accepted, is $125.00 per week.  If used, total cost of housing will be deducted from paycheck.  A $100.00 refundable security deposit is required, to be deducted from paycheck in equal installments from employee’s paycheck. Daily transportation to and from worksite is provided for those living in employee housing. All deductions from worker’s paycheck required by law will be made.</t>
  </si>
  <si>
    <t>H-400-23199-198283</t>
  </si>
  <si>
    <t>Michael M Moore</t>
  </si>
  <si>
    <t>1596 Neshaminy Valley Dr</t>
  </si>
  <si>
    <t>M1000MM@Hotmail.com</t>
  </si>
  <si>
    <t>P-400-23164-106887</t>
  </si>
  <si>
    <t>m1000mm@hotmail.com</t>
  </si>
  <si>
    <t>H-400-23186-167560</t>
  </si>
  <si>
    <t>Hog Gutter (Viscera)</t>
  </si>
  <si>
    <t xml:space="preserve">1 month safety/ppe/sanitation training required
Workers will work EITHER 1st or 2nd shift
1st shift starts around 6:00am and last until around 3:15pm
2nd shift starts around 3:15pm and lasts until around 12:30am. </t>
  </si>
  <si>
    <t>P-400-23124-992099</t>
  </si>
  <si>
    <t>H-400-23290-435910</t>
  </si>
  <si>
    <t>Mid American Carnival LLC</t>
  </si>
  <si>
    <t>2813 Elsworth Lane</t>
  </si>
  <si>
    <t>Moore Jr</t>
  </si>
  <si>
    <t>Rickey</t>
  </si>
  <si>
    <t>rickeymoore@yahoo.com</t>
  </si>
  <si>
    <t>1083  FM 491</t>
  </si>
  <si>
    <t>Lyford</t>
  </si>
  <si>
    <t>WILLACY</t>
  </si>
  <si>
    <t>P-400-23220-246499</t>
  </si>
  <si>
    <t>H-400-23236-294485</t>
  </si>
  <si>
    <t>3 months of housekeeping experience at a high-end hotel, resort, or private club required.
May need to lift and carry up to 50 pounds and walk between buildings, as necessary.
On-the-job training is provided.
Shifts available 7 days a week including weekends and holidays. Multiple shifts and start times between 6 AM to 10 PM, including weekends and holidays.
Wage Per Hour:  $13.65 - $26.92 based on experience and merit.
Overtime possible at hourly wage of $20.48 - $40.38.
Possible Wage Increase: Deer Valley offers pay raises based on performance and merit. Each employee receives a performance review at the end of each season, based on these reviews employees will receive a merit from 0% - 5% for the start of the next winter season. Employee's may receive spot raises based on their performance.
Pre-employment background checks are completed in new hire onboarding with Human Resources. Drug screening is completed randomly, if there is a worksite injury, or if there is damage to Deer Valley property that is more than $150.</t>
  </si>
  <si>
    <t>based on performance and merit.¿</t>
  </si>
  <si>
    <t>P-400-23138-034739</t>
  </si>
  <si>
    <t>All deductions required by law will be made. Housing is offered and opt. Cost of housing, if accepted, is $119-$185.50/wk, subject to change. If used,total cost of housing will be deducted from paycheck. A $250 partially refundable security dep. is required, to be paid directly to employer upon acceptance of housing. Up to $200 of deposit may be returned to the employee based on condition of housing, at the employer's sole discretion, at the end of the emp. period. Will assist in finding 3rd party housing by providing a list of avail contacts in the Park City area that staff can contact directly. Daily trans. to and from the worksite is not provided. All worksites are accessible by the Park City Transit system.
Opt. deduct. from paycheck offered for meals,401K, health ins., non-returned company items, housing rent &amp; fines, employee entertainment events and functions. Benefits: meal plans are $3.50/meal, ski lift passes are free, retail discounts range from 10-20% off in all DV outlets.</t>
  </si>
  <si>
    <t>eseelander@deervalley.com</t>
  </si>
  <si>
    <t>H-400-23243-313571</t>
  </si>
  <si>
    <t>The Little Nell</t>
  </si>
  <si>
    <t xml:space="preserve">Must be able to work weekends.
</t>
  </si>
  <si>
    <t>See F.a.4. under "Terms and Conditions of Employment".</t>
  </si>
  <si>
    <t>P-400-23130-011565</t>
  </si>
  <si>
    <t>EMPLOYER WILL MAKE ALL DEDUCTIONS FROM THE WORKER'S PAYCHECK AS REQUIRED BY LAW. OPTIONAL EMPLOYEE HOUSING AVAILABLE ON A FIRST-COME, FIRST-SERVE BASIS. RENT RANGES FROM $450.00 TO $900.00 PER MONTH DEPENDING ON LOCATION (REASONABLE COST). RENT PAYABLE BY CASH OR CHECK DIRECTLY TO LANDLORD.</t>
  </si>
  <si>
    <t>H-400-23219-243767</t>
  </si>
  <si>
    <t>Director of Children's Ski and Snowboard School</t>
  </si>
  <si>
    <t>Valid Professional Ski Instructor of America (PSIA) Level 3 Certification or equivalent in home country.
Must understand and abide by company procedures set forth by our Human Resource department. Valid Professional Ski Instructor of America (PSIA) Level 3 Certification or equivalent in home country. Post-hire Criminal Background Check and reference check required.
Following Shift available 7 hrs/day for 5 days a week (2 days off midweek) including weekends and holidays. 8:00am - 4:00 pm. 2 days off mid week.
Wage Per Hour: $24.56 - $35.23
Overtime Possible Per Hour at $36.84 - $52.85
Possible wage increase based on years of service and merit based on prior seasons evaluation</t>
  </si>
  <si>
    <t>Possible wage increase based on years of service and merit based on prior seasons evaluation.</t>
  </si>
  <si>
    <t>P-400-23138-034843</t>
  </si>
  <si>
    <t>H-400-23186-167783</t>
  </si>
  <si>
    <t>EFH Inc.</t>
  </si>
  <si>
    <t>Cutty Sark Motel</t>
  </si>
  <si>
    <t>58 Long Beach Ave</t>
  </si>
  <si>
    <t>Adamson</t>
  </si>
  <si>
    <t xml:space="preserve">Director of Operations  </t>
  </si>
  <si>
    <t>brittany@cuttysarkmotel.com</t>
  </si>
  <si>
    <t>This job requires 1 month of prior experience handling manual tasks related to housekeeping.</t>
  </si>
  <si>
    <t>P-400-23150-062691</t>
  </si>
  <si>
    <t xml:space="preserve">Employer will NOT be providing housing, only assisting with finding and/or securing housing. Employer will only be making deductions that are required by law. 
</t>
  </si>
  <si>
    <t>H-400-23224-260234</t>
  </si>
  <si>
    <t>Front House Food &amp; Beverage Associate/Dining Room Attendant</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</si>
  <si>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Must be 21 years of age. 
Must be able to sit or stand for extended periods of time. 
Must be able to bend, twist, reach, push, pull, and operate hand tools (may include operating industrial machinery). 
Must be able to work in a non-climate-controlled environment. 
Must be able work in severe inclement weather and varying degrees of extreme temperature. 
Must be able to be exposed to various industrial chemicals, cleaning agents, etc. 
Must be able to be exposed to strong odors, and loud noise levels.
Employer will provide on-the-job training.
A single workweek will be used in computing wages due. Workers will be paid weekly. 
Public transportation within 5 miles of worksite. Employee responsible for their own transportation to and from the worksite.  
The employer will provide worker at no charge all tools, supplies, and equipment required to perform job. Uniform pieces provided at no cost to employee. 
</t>
  </si>
  <si>
    <t>P-400-23158-089258</t>
  </si>
  <si>
    <t xml:space="preserve">
Employer will make all deductions from the worker's paycheck required by law and deduct approved cost of housing if worker elects. Optional employee only shared housing, utilities, Wifi, cable included, approx. $110-$130/week.</t>
  </si>
  <si>
    <t>https://www.employnv.gov/</t>
  </si>
  <si>
    <t>H-400-23215-235846</t>
  </si>
  <si>
    <t>M &amp; M Vail Inc.</t>
  </si>
  <si>
    <t>El Sabor</t>
  </si>
  <si>
    <t>660 West Lionshead Place</t>
  </si>
  <si>
    <t>Garfinkel</t>
  </si>
  <si>
    <t>kyle.garfinkel@gmail.com</t>
  </si>
  <si>
    <t xml:space="preserve">F.a.5 A-H. (cont.)
Work may be performed on any day of the week from Monday through Sunday, including holidays.  Days off vary. Shifts available: 8am  4pm or 3pm  11pm. 
</t>
  </si>
  <si>
    <t>P-400-23156-078458</t>
  </si>
  <si>
    <t xml:space="preserve">All deductions required by the law will be made.
</t>
  </si>
  <si>
    <t>Kyle.Garfinkel@gmail.com</t>
  </si>
  <si>
    <t>H-400-23216-241313</t>
  </si>
  <si>
    <t>nanny/childcare worker</t>
  </si>
  <si>
    <t>Michelle Guest</t>
  </si>
  <si>
    <t>333 El Camino Del Mar</t>
  </si>
  <si>
    <t>No Applicable</t>
  </si>
  <si>
    <t>Guest</t>
  </si>
  <si>
    <t>michellecarter108@gmail.com</t>
  </si>
  <si>
    <t>P-400-23132-018483</t>
  </si>
  <si>
    <t>The Employer will make all
deductions from the worker’s paycheck that are required by law. Lodging will be available in
employer-owned housing at no additional cost to the employee.</t>
  </si>
  <si>
    <t>H-400-23236-294161</t>
  </si>
  <si>
    <t xml:space="preserve">Must lift/carry 50 lbs., when necessary. Fluent English skills required. Work schedule will vary and will include evenings, holidays, and Saturdays and Sundays. Work may be performed on any day of the week from Monday through Sunday. Example shifts: 7:00am to 2:30 pm, 2:00 pm to 9:30 pm, and 11:00 pm to 6:30 am. Shift hours may vary. Employer may offer more than the stated work hours depending on weather, business needs, and other conditions. Extreme heat, cold, rain, or drought may affect exact working hours.
</t>
  </si>
  <si>
    <t>P-400-23157-082043</t>
  </si>
  <si>
    <t>Emplyr makes all payrll deducts required by law. Emplyr does not envision othr workforce-wide payrll deducts. If requested, emplyr helps non-local wrkrs secure optional wrkr-paid lodging (not to exceed fair market value, based on number of occupants; cost TBD). Housing costs paid directly to landlrd and are not payrll deduct. Emplyr offers free daily transport to/from worksite from designated pick-up location. Use of transport is voluntary.   Emplyr may deduct retirement/savings plan contributions and/or health insurance premiums for wrkrs voluntarily participating in plan(s).    Employer provides incidental transportation between worksites as necessary. Such transportation complies with all applicable Federal, State, and local laws/regulations. Limited shared seasonal housing maybe offered and optional on a first come first serve basis. Cost of housing if available is $125/week or less. If used, total cost of housing will be paid directly to the employer or rental.</t>
  </si>
  <si>
    <t>H-400-23277-408653</t>
  </si>
  <si>
    <t>Snow Remover</t>
  </si>
  <si>
    <t xml:space="preserve">Moon Clinton Nursery LLC </t>
  </si>
  <si>
    <t>Keene</t>
  </si>
  <si>
    <t xml:space="preserve">Colleen </t>
  </si>
  <si>
    <t>moonclintonnursery@gmail.com</t>
  </si>
  <si>
    <t xml:space="preserve">Must be able to work a 5 day work week, including weekends/holidays as required.
Applicant must complete an employment application.
Must be able to lift 50 pounds. Must be able to obtain class C drivers license.
</t>
  </si>
  <si>
    <t>P-400-23237-297940</t>
  </si>
  <si>
    <t>Employer will make all deductions from the worker's paycheck required by law and deduct approved cost of housing if worker elects. Optional employee only shared housing, utilities included; approximate cost $95 per week. 
Transportation provided between employee only shared housing and main worksite and then to multiple worksites within Allegheny, Beaver, Washington and Butler Counties, PA.
Employer will provide worker at no charge all tools, supplies, and equipment required to perform job. Required uniform provided.</t>
  </si>
  <si>
    <t>H-400-23268-378687</t>
  </si>
  <si>
    <t>Insider</t>
  </si>
  <si>
    <t>Big Daddys Lakewood LLC</t>
  </si>
  <si>
    <t>Big Daddy's Pizza</t>
  </si>
  <si>
    <t>850 Wadsworth Blvd</t>
  </si>
  <si>
    <t>SHRESTHA</t>
  </si>
  <si>
    <t>DIPENDRA</t>
  </si>
  <si>
    <t xml:space="preserve">850 WADSWORTH BLVD </t>
  </si>
  <si>
    <t>LAKEWOOD</t>
  </si>
  <si>
    <t>dipshree@hotmail.com</t>
  </si>
  <si>
    <t xml:space="preserve">can handle kitchen floor and customer support </t>
  </si>
  <si>
    <t xml:space="preserve">850 Wadsworth Blvd </t>
  </si>
  <si>
    <t>P-400-23228-270835</t>
  </si>
  <si>
    <t>850bdp@gmail.com</t>
  </si>
  <si>
    <t>H-400-23250-328800</t>
  </si>
  <si>
    <t>Harmony Villas One Inc.</t>
  </si>
  <si>
    <t>3525 Murrell Road</t>
  </si>
  <si>
    <t>Corporate Counsel</t>
  </si>
  <si>
    <t>105 Depot Street</t>
  </si>
  <si>
    <t>Drug test and background check is required for the job opportunity</t>
  </si>
  <si>
    <t>P-400-23143-045481</t>
  </si>
  <si>
    <t>information@harmonyvillasalf.com</t>
  </si>
  <si>
    <t>www.harmonyvillasalf.com</t>
  </si>
  <si>
    <t>H-400-23215-234849</t>
  </si>
  <si>
    <t xml:space="preserve">LBRM LLC </t>
  </si>
  <si>
    <t>THE RESORT AT LONGBOAT KEY CLUB</t>
  </si>
  <si>
    <t>220 SANDS POINT RD</t>
  </si>
  <si>
    <t>LONGBOAT KEY</t>
  </si>
  <si>
    <t>ROWE</t>
  </si>
  <si>
    <t>THERESE</t>
  </si>
  <si>
    <t>Therese.rowe@longboatkeyclub.com</t>
  </si>
  <si>
    <t>P-400-23144-049042</t>
  </si>
  <si>
    <t>H-400-23279-414435</t>
  </si>
  <si>
    <t>P-400-23183-162049</t>
  </si>
  <si>
    <t>H-400-23208-218595</t>
  </si>
  <si>
    <t>Assistant Caregiver</t>
  </si>
  <si>
    <t xml:space="preserve">Vintage Hills, Inc. </t>
  </si>
  <si>
    <t xml:space="preserve">3649 East Feather Ave. </t>
  </si>
  <si>
    <t>Bentz</t>
  </si>
  <si>
    <t>marie@azvintagehome.com</t>
  </si>
  <si>
    <t>3111 N. Central Ave. Ste. A201</t>
  </si>
  <si>
    <t>Morales Law, P.C.</t>
  </si>
  <si>
    <t xml:space="preserve">Basic Life Support (BLS) Certification
Negative Tuberculosis (TB) Test 
</t>
  </si>
  <si>
    <t>3649 East Feather Ave.</t>
  </si>
  <si>
    <t>P-400-23123-986358</t>
  </si>
  <si>
    <t>azvintagehome.com</t>
  </si>
  <si>
    <t>Morales Law PC</t>
  </si>
  <si>
    <t>H-400-23221-249080</t>
  </si>
  <si>
    <t>Tailors, Dressmakers and Custom Sewers</t>
  </si>
  <si>
    <t>CV Wilkerson, LLC</t>
  </si>
  <si>
    <t xml:space="preserve">DBA Ace Tailors </t>
  </si>
  <si>
    <t>701 S Lamar Boulevard</t>
  </si>
  <si>
    <t>Wilkerson</t>
  </si>
  <si>
    <t>Consuela</t>
  </si>
  <si>
    <t xml:space="preserve">701 S. Lamar Blvd.   </t>
  </si>
  <si>
    <t>7514 N Mopac Expressway</t>
  </si>
  <si>
    <t>office@legalnets.com</t>
  </si>
  <si>
    <t>Sam Haddad, Attorney at Law</t>
  </si>
  <si>
    <t>Applicants must have a minimum of 3 months of employment experience operating an industrial sewing machine to make alterations to garments.</t>
  </si>
  <si>
    <t>701 S. Lamar Blvd.</t>
  </si>
  <si>
    <t>P-400-23178-148738</t>
  </si>
  <si>
    <t>vwilkerson@acetailors.com</t>
  </si>
  <si>
    <t>H-400-23226-261481</t>
  </si>
  <si>
    <t>Euro Snack, Inc.</t>
  </si>
  <si>
    <t>Landauro</t>
  </si>
  <si>
    <t>P.O. Box 1150</t>
  </si>
  <si>
    <t>Carnelian Bay</t>
  </si>
  <si>
    <t>plandauro@eurosnack.com</t>
  </si>
  <si>
    <t>Melia-Acevedo</t>
  </si>
  <si>
    <t>Rosa</t>
  </si>
  <si>
    <t>Cristina</t>
  </si>
  <si>
    <t xml:space="preserve">1065 W Morse Blvd </t>
  </si>
  <si>
    <t>rosa@heninclark.com</t>
  </si>
  <si>
    <t>Catherine R Henin Clark PA</t>
  </si>
  <si>
    <t>No special requirements. The hours schedule mentions at F.a.5 A-H and F.a.6.a. and b is Monday through Sunday shift rotation from 8 AM to 1 PM and 1 PM to 6 PM for a total of 35 hours per week.</t>
  </si>
  <si>
    <t>Village at Northstar</t>
  </si>
  <si>
    <t>Opt.gift card program 50%off Eurosnack Food&amp;Drinks&amp;Pay Comments:Salary+Tips+$300 bonus at end for completion of full szn</t>
  </si>
  <si>
    <t>P-400-23166-114040</t>
  </si>
  <si>
    <t>H-400-23242-306353</t>
  </si>
  <si>
    <t>Lodge Attendant</t>
  </si>
  <si>
    <t xml:space="preserve">On-the-job training is provided.
Following Shifts available 7 days a week including weekends and holidays. 3:00pm - 11:30pm, including weekends and holidays
Wage Per Hour:  $15.17 - $25.32. Overtime possible at hourly wage of $22.76 - $37.98
Possible Wage Increase: Deer Valley offers pay raises based on performance and merit.  Each employee receives a performance review at the end of each season, based on these reviews employees will receive a merit from 0% - 5% for the start of the next winter season.  Employee's may receive spot raises based on their performance.
</t>
  </si>
  <si>
    <t>P-400-23138-034778</t>
  </si>
  <si>
    <t>All deductions required by law will be made.Housing is offered &amp; optional.Cost of housing, if accepted,is $119-$185.50/wk,subject to change.If used,total cost of housing will be deducted from paycheck. A $250 partially refundable sec.deposit is req., to be paid directly to employer upon acceptance of housing. Up to $200 of deposit may be returned to the employee based on condition of housing,at the employer's sole discretion,at the end of the employment period.We assist in finding third party housing by providing a list of avail contacts in the Park City area that staff can contact directly.All worksites are accessible by the Park City Transit system.Optional deductions from paycheck offered for meals,401K,health insurance, non-returned company items,housing rent &amp; fines,employee entertainment events &amp; functions. Benefits: meal plans are $3.50/meal, ski lift passes are free, retail discounts range from 10-20% off in all Deer Valley outlets. Please see attached job order ...</t>
  </si>
  <si>
    <t>amacias@deervalley.com</t>
  </si>
  <si>
    <t>H-400-23224-260240</t>
  </si>
  <si>
    <t>Tractor-Trailer Truck Driver</t>
  </si>
  <si>
    <t>Magana Labor Services, Inc.</t>
  </si>
  <si>
    <t>2896 West Telegraph Road</t>
  </si>
  <si>
    <t>Fillmore</t>
  </si>
  <si>
    <t>miguel@maganalabor.com</t>
  </si>
  <si>
    <t>9450 SW Gemini Dr. (ECM #65112)</t>
  </si>
  <si>
    <t>h2a@sesolabor.com</t>
  </si>
  <si>
    <t>Seso, Inc.</t>
  </si>
  <si>
    <t>Job Requirements: Truck drivers must be able to drive commercial trucks with 6 months of field harvest truck driving experience. Each worker is expected to drive vehicles efficiently and safely through all types of roadways. Workers must be able to operate tractors, trailers, semi-trailers, and have adequate knowledge to make minor adjustments or repairs to these vehicles. Must be able to perform regular maintenance tasks such as adding fuel, and adding fluids as needed. Must be able to work at heights for long periods of time while tarping loads and must have forklift driving experience. Must have a CDL or equivalent license, pass a required driver's license background check, and mandated drug and alcohol test in compliance with DOT policies. Truck drivers must have and maintain a suitable driving record and be ensured by the employer's insurance company. Proficiency in English and Spanish is required for training and safety purposes (i.e. workers must listen to, understand and follow instructions of Employer supervisors and managers). This job will entail extensive sitting, and repetitive movement. Daily travel to various locations in the counties of employment.
Training: Training will be provided for 30 days from each workers initial date of employment. The employer will provide on-the-job training in the proper use and maintenance of tools, supplies, or equipment required in the performance of work.</t>
  </si>
  <si>
    <t>1041 Bardsdale Ave.</t>
  </si>
  <si>
    <t>P-400-23135-021437</t>
  </si>
  <si>
    <t>The employer will make no deductions from the worker's paycheck other than those required by law.</t>
  </si>
  <si>
    <t>H-400-23228-267476</t>
  </si>
  <si>
    <t>Sushi Cook</t>
  </si>
  <si>
    <t>Supreme  Court</t>
  </si>
  <si>
    <t>Requirements:  Six (6) months of experience in a sushi preparation environment required. On-the-job training is provided.    Applicant must provide Pre-employment Criminal Background Check and Pre-employment Drug Test is required.
Shifts: Work schedule can vary and can include evening, weekend, and holiday hours.  Work may be performed on any day of the week from Monday through Sunday.  Example shifts: 3:00pm to 11:00pm. Shift hours may vary.</t>
  </si>
  <si>
    <t>P-400-23184-165331</t>
  </si>
  <si>
    <t>H-400-23229-272200</t>
  </si>
  <si>
    <t>Valet Attendant</t>
  </si>
  <si>
    <t xml:space="preserve"> PO Box 161097</t>
  </si>
  <si>
    <t xml:space="preserve">The Petitioner will consider for employment any person who possesses at least six (6) months of guest service experience at a high-end hotel, resort, or private club. 
Applicant must complete pre-employment background check.  
Applicant must possess a valid U.S. or international drivers license prior to arrival in the United States and have a clean driving record.  Must be at least 18 years or older to work in ski valet, 20 years old or older to park cars, and 25 years old or older to do member shuttles due to insurance requirements.
</t>
  </si>
  <si>
    <t>Wage: $19.00 - $24.00 per hour, paid bi-weekly.  See job description for additional information.</t>
  </si>
  <si>
    <t>P-400-23175-141840</t>
  </si>
  <si>
    <t>Optional housing is offered on a first-come, first-served basis for workers who are relocating to begin employment. Yellowstone Club has several housing venues and employees may choose their bed space &amp; location. Location availability is department dependent. The cost of housing is $210.00 - $625.00 biweekly depending on the location and room style selected. Depending on housing option availability, housing will be either single or double-room occupancy for Winter 2023. A few couples' options may be available, but limited. Gallatin Gateway Inn (GGI), offers Schack's Depot for its residents. Schack's Depot is an a la carte dining option for dinner service with an online pre-ordering platform. Please see job description for additional information regarding benefits and deductions.</t>
  </si>
  <si>
    <t>H-400-23184-162378</t>
  </si>
  <si>
    <t>Repeated heavy lifting is required. Applicants must be of physical character able to display strength and dexterity in both arms and hands, exhibit trunk strength using abdominal and lower back muscles continually over time, as well as be able to spend the majority of the work day standing without giving out. Position requires the ability to understand and follow verbal and written directions with exactness and integrity. No experience or prior training/education required. Applicants will be trained in proper wearing and use of safety guidelines, tools, and equipment including hand tools, forklifts, hearing protection, safety glasses, steel toed boots, and gloves, and will be required to comply with exactness.</t>
  </si>
  <si>
    <t>P-400-23081-870015</t>
  </si>
  <si>
    <t>Deductions from pay will be limited to required federal and state taxes as well as any voluntarily elected employee benefits.</t>
  </si>
  <si>
    <t>H-400-23194-186054</t>
  </si>
  <si>
    <t>Ground Keeping Laborers</t>
  </si>
  <si>
    <t>Vincenzo Trucking</t>
  </si>
  <si>
    <t>70 North Plains Industrial Road</t>
  </si>
  <si>
    <t>Wallingford</t>
  </si>
  <si>
    <t>Gaglio</t>
  </si>
  <si>
    <t>Connecticut</t>
  </si>
  <si>
    <t>repair@cariatitruck.com</t>
  </si>
  <si>
    <t xml:space="preserve">Must be psychically fit to perform manual labor </t>
  </si>
  <si>
    <t>WALLINGFORD</t>
  </si>
  <si>
    <t>P-400-23153-073214</t>
  </si>
  <si>
    <t>CT income tax if applicable
Fed Income tax if applicable</t>
  </si>
  <si>
    <t>H-400-23229-272305</t>
  </si>
  <si>
    <t xml:space="preserve">The Petitioner will consider for employment any person who possesses at least six (6) months of restaurant service experience in a fine-dining or high-volume environment at a high-end restaurant, resort, or private club.  
Applicant must complete pre-employment background check.
</t>
  </si>
  <si>
    <t>Wage: $12.00 - $17.00 per hour, paid bi-weekly.  See job description for additional information.</t>
  </si>
  <si>
    <t>P-400-23175-141836</t>
  </si>
  <si>
    <t>H-400-23259-352625</t>
  </si>
  <si>
    <t>DBA Best Western Desert Inn</t>
  </si>
  <si>
    <t>133 N.  Canyon Street</t>
  </si>
  <si>
    <t>Mailing: P.O. Box 340, West Yellowstone, MT 59758</t>
  </si>
  <si>
    <t>baker1135@maslabor.com</t>
  </si>
  <si>
    <t>133 N. Canyon Street</t>
  </si>
  <si>
    <t>P-400-23153-072723</t>
  </si>
  <si>
    <t>Employer makes all payroll deductions required by law. Employer does not envision other workforce-wide payroll deductions. Optional lodging available at no cost to all non-local workers.</t>
  </si>
  <si>
    <t>haily@bestwesterndesertinn.com</t>
  </si>
  <si>
    <t>H-400-23290-435857</t>
  </si>
  <si>
    <t>Evans United Shows, Inc.</t>
  </si>
  <si>
    <t>2997 NW Plotsky</t>
  </si>
  <si>
    <t>(Mail: PO Box 126, Plattsburg MO 64477)</t>
  </si>
  <si>
    <t>Plattsburg</t>
  </si>
  <si>
    <t>(PO Box 126, Plattsburg MO 64477)</t>
  </si>
  <si>
    <t>erinevans44@aol.com</t>
  </si>
  <si>
    <t>P-400-23195-191166</t>
  </si>
  <si>
    <t>H-400-23304-469234</t>
  </si>
  <si>
    <t>Tideline Ocean and Resort Spa</t>
  </si>
  <si>
    <t>212-324-7280</t>
  </si>
  <si>
    <t>Supreme Court of NC</t>
  </si>
  <si>
    <t>Must have at least three (3) months of prior full-time experience as a housekeeper in a luxury hospitality setting. Experience must be verifiable. Must pass a pre-hire background check, carried out equally between U.S. workers and H-2B workers. Must be available to work split-shifts, nights, weekends &amp; holidays as needed. Must be able to lift, pull, push, or carry up to 25 lbs or more, and walk or stand for long periods of time. Must maintain professional appearance.</t>
  </si>
  <si>
    <t>P-400-23148-059556</t>
  </si>
  <si>
    <t>H-400-23230-277643</t>
  </si>
  <si>
    <t>Buserperson/Food Runner/Server Assistant</t>
  </si>
  <si>
    <t>The Petitioner will consider for employment any person who possesses at least three (3) months of experience in a fine-dining or high-volume environment at a high-end restaurant, resort, or private club.  Applicant must hold "Servesafe" Certification.  Not mandatory upon hire, but preferred, will help obtain.  Applicant must complete pre-employment drug screening.  work schedule can vary and can include evening, weekend, and holiday hours. Work may be performed on any day of the week from Monday through Sunday. Example shifts: 8:00am - 3:00pm, 9:00am - 4:00pm, or 7:00am - 2:00pm. Shift hours may vary.</t>
  </si>
  <si>
    <t xml:space="preserve">Tipped position with guaranteed wage of $13.59 per hour.  Please see job description for additional information. </t>
  </si>
  <si>
    <t>P-400-23181-159020</t>
  </si>
  <si>
    <t xml:space="preserve">Housing is offered and optional.  Optional housing is offered on a first-come, first-serve basis. Cost of housing, if accepted, is $700.00 per month.  If used, total cost of housing will be deducted from paycheck. A $350.00 refundable security deposit is required, to be deducted from the first paycheck. 
Additional, optional benefits may be offered to worker, for worker's sole benefit, including but not limited to Medical, Dental, Vision, 401K, STD, LTD, Life Insurance, Critical Illness, Accident Insurance, Hospital Indemnity, FSA, HSA, Legal Insurance, Automobile and Home Insurance, and Pet Insurance.  Please see job description for additional information.
</t>
  </si>
  <si>
    <t>H-400-23216-240823</t>
  </si>
  <si>
    <t>Laundry Attendants</t>
  </si>
  <si>
    <t>Six (6) months of experience in the job offered as a Laundry Attendants.</t>
  </si>
  <si>
    <t>P-400-23172-131067</t>
  </si>
  <si>
    <t>H-400-23263-361981</t>
  </si>
  <si>
    <t>P-400-23205-208698</t>
  </si>
  <si>
    <t>H-400-23262-358905</t>
  </si>
  <si>
    <t>First-Line Supervisors of Retail Sales Workers</t>
  </si>
  <si>
    <t>Sierra Classics &amp; Imports LLC</t>
  </si>
  <si>
    <t>525 Kietzke Ln</t>
  </si>
  <si>
    <t>renodavid1953@aol.com</t>
  </si>
  <si>
    <t>Sakhia, Esq,</t>
  </si>
  <si>
    <t xml:space="preserve">Naim </t>
  </si>
  <si>
    <t>Haroon</t>
  </si>
  <si>
    <t>101 E Park Blvd</t>
  </si>
  <si>
    <t>nhs@sakhialawgroup.com</t>
  </si>
  <si>
    <t>Sakhia Law Group</t>
  </si>
  <si>
    <t>P-400-23215-237730</t>
  </si>
  <si>
    <t>Regula federal and state deductions.</t>
  </si>
  <si>
    <t>https://www.sierraclassics.com</t>
  </si>
  <si>
    <t>Sakhia</t>
  </si>
  <si>
    <t>Naim Haroon</t>
  </si>
  <si>
    <t>H-400-23230-276033</t>
  </si>
  <si>
    <t>Temporary Lift/Parking Operations Attendant</t>
  </si>
  <si>
    <t xml:space="preserve">3 months prior experience at hotel, resort, ski facility, private club amusement, water or theme park.
Basic English speaking and reading  skills. 
</t>
  </si>
  <si>
    <t>P-400-23125-995223</t>
  </si>
  <si>
    <t xml:space="preserve">•	Workers have the option of employer-provided housing up to $150 per week and no less than $135 per week and if elected, employer will deduct costs from worker’s paycheck. Workers also have the option of securing their own lodging.
•	Employer will make all deductions from the worker’s paycheck required by law and any non-legally required payroll deductions permitted under the law and requested by Employee.
</t>
  </si>
  <si>
    <t>H-400-23215-235815</t>
  </si>
  <si>
    <t xml:space="preserve">The Petitioner will consider for employment any person who possesses at least three (3) months of experience in a fine-dining or high-volume environment at a high-end restaurant, resort, or private club.  Applicant must complete pre-employment drug screening.  
</t>
  </si>
  <si>
    <t>Tipped position with guaranteed wage of $15.70 per hour, paid bi-weekly.  Please see job description.</t>
  </si>
  <si>
    <t>P-400-23174-140674</t>
  </si>
  <si>
    <t>H-400-23215-234846</t>
  </si>
  <si>
    <t>P-400-23144-049045</t>
  </si>
  <si>
    <t>H-400-23215-234875</t>
  </si>
  <si>
    <t xml:space="preserve">Intrawest Hospitality Management, Inc. </t>
  </si>
  <si>
    <t>Winter Park Resort</t>
  </si>
  <si>
    <t>Arrington</t>
  </si>
  <si>
    <t>Training &amp; Recruitment Manager</t>
  </si>
  <si>
    <t>tarrington@winterparkresort.com</t>
  </si>
  <si>
    <t xml:space="preserve">Six (6) months experience in the job or related at a high-end hotel, resort, or private club required.
Applicant must complete pre-employment background check.
Work schedule can vary and may include evening, weekend, and holidays hours. Example shift: 9:00am to 4:00pm. Shift hours may vary. 
Wage Per Hour: $18 - $28.07 
Overtime Possible at $27 - $42.11 
We offer pay raises for returning staff if their experience and skillset meets the requirements for a higher wage. </t>
  </si>
  <si>
    <t>We offer pay raises for returning staff if their experience and skillset meets the requirements for a higher wage.</t>
  </si>
  <si>
    <t>P-400-23125-997666</t>
  </si>
  <si>
    <t>All deductions required by law will be made.
Optional housing is offered on a first-come, first-serve basis for workers who are relocating to begin employment. Move-in costs will include security fee ("deposit") and one month license fee ("rent"). Cost of housing is $600 - $800 per month, including utilities. The security fee will be equal to one month license fee and is due within seven days of housing Daily transportation to and from worksite is provided for those living in employee housing (employee shuttle). 
Pre-employment background and rehire status (if previously employed by Alterra). 
Rent will be deducted on a bi-weekly basis from paycheck. 
Benefits: Free ski pass, 50% off rentals, free ski lessons, 30% off retail items, free gym passes, 50% off F&amp;B grab and go, 25% off sit down dining.</t>
  </si>
  <si>
    <t>www.winterparkresort.com</t>
  </si>
  <si>
    <t>H-400-23228-269525</t>
  </si>
  <si>
    <t>Cook Short Order</t>
  </si>
  <si>
    <t>Salvo's LLC</t>
  </si>
  <si>
    <t>7742 Highway 23</t>
  </si>
  <si>
    <t>Belle Chasse</t>
  </si>
  <si>
    <t>Vujnovich</t>
  </si>
  <si>
    <t>No overtime</t>
  </si>
  <si>
    <t>PLAQUEMINES</t>
  </si>
  <si>
    <t>P-400-23165-109997</t>
  </si>
  <si>
    <t>salvosseafood@yahoo.com</t>
  </si>
  <si>
    <t>H-400-23215-235748</t>
  </si>
  <si>
    <t xml:space="preserve">Wage: $18.00 per hour, paid bi-weekly.  Overtime is available at $27.00 per hour.   See job description for details. </t>
  </si>
  <si>
    <t>H-400-23233-281628</t>
  </si>
  <si>
    <t>Construction worker (More than 2 years of experience)</t>
  </si>
  <si>
    <t>GRMorales Contractor llc</t>
  </si>
  <si>
    <t>GRMorales contractor llc</t>
  </si>
  <si>
    <t>504 Indian Trail Rd</t>
  </si>
  <si>
    <t>Suite 201D</t>
  </si>
  <si>
    <t>Liburn</t>
  </si>
  <si>
    <t>gwinnett</t>
  </si>
  <si>
    <t>Girarte ortega</t>
  </si>
  <si>
    <t>504 indian trail suite 201-d</t>
  </si>
  <si>
    <t>gwnett</t>
  </si>
  <si>
    <t>grmoralesconstruction@gmail.com</t>
  </si>
  <si>
    <t>determining your job ability, you will be granted your training ORCHA rules</t>
  </si>
  <si>
    <t>P-400-23135-022084</t>
  </si>
  <si>
    <t>the payroll company is in charge edp w-2 deduction</t>
  </si>
  <si>
    <t>www.grmoralescontractorllc.com</t>
  </si>
  <si>
    <t>H-400-23271-392420</t>
  </si>
  <si>
    <t>Ronning Landscaping, Inc.</t>
  </si>
  <si>
    <t>535 E McKellips Rd</t>
  </si>
  <si>
    <t>Ste #127</t>
  </si>
  <si>
    <t>Mesa</t>
  </si>
  <si>
    <t>Ronning</t>
  </si>
  <si>
    <t>robert@ronninglandscaping.com</t>
  </si>
  <si>
    <t>535 E McKellips Road</t>
  </si>
  <si>
    <t>P-400-23163-102084</t>
  </si>
  <si>
    <t>H-400-23229-273674</t>
  </si>
  <si>
    <t xml:space="preserve">Cooks </t>
  </si>
  <si>
    <t>Nunez</t>
  </si>
  <si>
    <t xml:space="preserve">1001 S. Parrott Ave. </t>
  </si>
  <si>
    <t xml:space="preserve">Okeechobee </t>
  </si>
  <si>
    <t xml:space="preserve">Possible overtime but not guaranteed. </t>
  </si>
  <si>
    <t>P-400-23139-038527</t>
  </si>
  <si>
    <t>H-400-23214-233243</t>
  </si>
  <si>
    <t xml:space="preserve">One Love Brewery </t>
  </si>
  <si>
    <t xml:space="preserve">25 South Mountain Dr </t>
  </si>
  <si>
    <t>PO Box 304</t>
  </si>
  <si>
    <t>SNYDER</t>
  </si>
  <si>
    <t xml:space="preserve">co founder </t>
  </si>
  <si>
    <t xml:space="preserve">25 South Mountain Rd </t>
  </si>
  <si>
    <t xml:space="preserve">PO box 304 </t>
  </si>
  <si>
    <t>jennifer@onelovebrewery.com</t>
  </si>
  <si>
    <t xml:space="preserve">Serve Safe 
</t>
  </si>
  <si>
    <t>P-400-23175-141582</t>
  </si>
  <si>
    <t xml:space="preserve">Federal taxes and if utilizing housing a $100 per week housing deduction is applied. </t>
  </si>
  <si>
    <t>www.onelovebrewery.com</t>
  </si>
  <si>
    <t>one love brewery</t>
  </si>
  <si>
    <t>H-400-23276-406444</t>
  </si>
  <si>
    <t>Maintenance and Repair Workers - Carnival</t>
  </si>
  <si>
    <t>P-400-23183-162002</t>
  </si>
  <si>
    <t>H-400-23200-198791</t>
  </si>
  <si>
    <t>P-400-23163-098771</t>
  </si>
  <si>
    <t>EMPLOYER WILL MAKE ALL DEDUCTIONS FROM THE WORKER'S PAYCHECK AS REQUIRED BY LAW. WORKERS HAVE THE OPTION TO LIVE IN EMPLOYER PROVIDED HOUSING AT $170 WEEKLY. TRANSPORTATION TO AND FROM WORK IS AVAILABLE AT NO CHARGE. HOUSING COSTS WILL BE PAYROLL DEDUCTED IF EMPLOYEE ELECTS TO MAKE USE OF THEM</t>
  </si>
  <si>
    <t>H-400-23263-361189</t>
  </si>
  <si>
    <t>Painter Laborer</t>
  </si>
  <si>
    <t>Outdoor Design Studio, LLC.</t>
  </si>
  <si>
    <t>3084 Thorpe Rd</t>
  </si>
  <si>
    <t>Rempfer</t>
  </si>
  <si>
    <t>chad@outdoordesignstudios.com</t>
  </si>
  <si>
    <t>Maritza Navarete</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</si>
  <si>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t>
  </si>
  <si>
    <t>P-400-23193-182218</t>
  </si>
  <si>
    <t>Employer will make all deductions required by law from each paycheck. 
Optional shared housing may be available – if used, rent will be $200/month</t>
  </si>
  <si>
    <t>H-400-23215-236165</t>
  </si>
  <si>
    <t>Dickinson Lodging Associates, LLC</t>
  </si>
  <si>
    <t>110 14th St. W</t>
  </si>
  <si>
    <t>P-400-23167-118409</t>
  </si>
  <si>
    <t>H-400-23276-406655</t>
  </si>
  <si>
    <t xml:space="preserve">No minimum education or experience required. Must pass a post-employment criminal background check, paid by employer and applied equally to all workers, U.S. and foreign/H-2B.  Must be able to work a minimum 5-day workweek. Must be able to work weekends and holidays. Applicants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Employer will provide worker at no charge all tools, supplies, and equipment required to perform job. Uniform provided at no cost to employee.  Employer guarantees to offer work for hours equal to at least three-fourths of the workdays in each 12-week period of the total employment period. Employer will reimburse H-2B workers in the first workweek for all visa, visa processing, border crossing, and other related fees, including those mandated by the government (excluding passport fees).
</t>
  </si>
  <si>
    <t>P-400-23178-148373</t>
  </si>
  <si>
    <t xml:space="preserve">Employer will provide on-the-job training. A single workweek will be used to compute wages due. Pay received bi-weekly. Employer will make all deductions from the worker's paycheck required by law. Employer will assist in locating housing. Public transportation within walking distance of resort. One optional meal during shift available for $2, payroll deducted if worker elects. </t>
  </si>
  <si>
    <t>H-400-23285-426658</t>
  </si>
  <si>
    <t>Pollock Roe Technician</t>
  </si>
  <si>
    <t>3015 112th Avenue NE</t>
  </si>
  <si>
    <t xml:space="preserve">Vice President of Human Resources and Administration </t>
  </si>
  <si>
    <t>3015 112TH AVENUE NE</t>
  </si>
  <si>
    <t xml:space="preserve">Must possess 24 months of pollock roe processing experience and knowledge of Japanese fish market requirements for fish roe products.  Applications and/or resumes must include required work experience and information must be verifiable.  40 hours per week with minimum guarantee of 35 hours per week. 
</t>
  </si>
  <si>
    <t>1829 Ballyhoo Road</t>
  </si>
  <si>
    <t>Depending on experience, plus health insurance and potential for bonus.</t>
  </si>
  <si>
    <t>P-400-23193-184451</t>
  </si>
  <si>
    <t>Employer will make all deductions from the worker’s paycheck required by law, including applicable state or federal taxes.  No other deductions will be made except as requested or approved by worker for health insurance or other employee benefits. Employer-provided housing is optional.</t>
  </si>
  <si>
    <t>H-400-23236-294638</t>
  </si>
  <si>
    <t xml:space="preserve">12 months of culinary experience in a fine-dining or high-volume environment at a high-end restaurant, resort, or private club required.
On-the-job training is provided.
Following Shifts available 7 days a week including weekends and holidays. 6:00am - 2:00pm, 8:00am - 4:00pm, 1:00pm - 10:00pm, 1:00pm - 9:30pm, 7:00am - 3:00pm, 9:00pm - 6:00am, including weekend and holidays.
Wage Per Hour:  $14.93 - $29.62/hour. Overtime possible at hourly wage of $22.40 - $44.43.
Possible Wage Increase: Deer Valley offers pay raises based on performance and merit.  Each employee receives a performance review at the end of each season, based on these reviews employees will receive a merit from 0% - 5% for the start of the next winter season.  Employee's may receive spot raises based on their performance.
Pre-employment background checks are completed in new hire onboarding with Human Resources. Drug screening is completed randomly, if there is a worksite injury, or if there is damage to Deer Valley property that is more than $150.
</t>
  </si>
  <si>
    <t>P-400-23138-034757</t>
  </si>
  <si>
    <t>All deductions required by law will be made. Housing is offered and opt. Cost of housing, if accepted, is $119-$185.50/wk, subject to change. If used, total cost of housing will be deducted from paycheck. A $250 partially refundable security dep. is required, to be paid directly to employer upon acceptance of housing. Up to $200 of deposit may be returned to the employee based on condition of housing, at the employer's sole discretion, at the end of the emp. period. Will assist in finding 3rd party housing by providing a list of avail contacts in the Park City area that staff can contact directly. Daily trans. to and from the worksite is not provided. All worksites are accessible by the Park City Transit system.
Opt. deduct. from paycheck offered for meals,401K, health ins., non-returned company items, housing rent &amp; fines, employee entertainment events and functions. Benefits: meal plans are $3.50/meal, ski lift passes are free, retail discounts range from 10-20% off in all DV outlets</t>
  </si>
  <si>
    <t>H-400-23184-163832</t>
  </si>
  <si>
    <t>Don Stewart Stables</t>
  </si>
  <si>
    <t>312 NE 4th Ave</t>
  </si>
  <si>
    <t>Pogue</t>
  </si>
  <si>
    <t>kimmypogue@yahoo.com</t>
  </si>
  <si>
    <t>8745 NW 30th Ave</t>
  </si>
  <si>
    <t>P-400-23128-003302</t>
  </si>
  <si>
    <t>H-400-23277-408524</t>
  </si>
  <si>
    <t>Must be 18 due to hazardous materials. 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120lbs (possible 2-person).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</si>
  <si>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1662 Gause Blvd (Report to Work)</t>
  </si>
  <si>
    <t>P-400-23200-200155</t>
  </si>
  <si>
    <t>H-400-23215-235056</t>
  </si>
  <si>
    <t>10420 WASHINGTON PALM WAY</t>
  </si>
  <si>
    <t>$2.64/ hour plus tips but not less than $14.03/hour</t>
  </si>
  <si>
    <t>P-400-23096-910693</t>
  </si>
  <si>
    <t>OPTIONAL HOUSING AVAILABLE FOR $250.00/MONTH TO BE DEDUCTED BI-WEEKLY FROM PAY CHECK</t>
  </si>
  <si>
    <t>KHESS@OGBLY.COM</t>
  </si>
  <si>
    <t>H-400-23285-426446</t>
  </si>
  <si>
    <t>First Class Attractions, Inc.</t>
  </si>
  <si>
    <t>7377 Timberpoint Ct</t>
  </si>
  <si>
    <t>(Mail: 802 W. Main St, Carbondale IL 62901)</t>
  </si>
  <si>
    <t>Schoendienst</t>
  </si>
  <si>
    <t>loreleijuno@gmail.com</t>
  </si>
  <si>
    <t>P-400-23182-161888</t>
  </si>
  <si>
    <t>H-400-23198-193435</t>
  </si>
  <si>
    <t>Line/Prep Cook</t>
  </si>
  <si>
    <t>Sugarbush Mountain Resort</t>
  </si>
  <si>
    <t>1840 Sugarbush Access Road</t>
  </si>
  <si>
    <t>Annemarie</t>
  </si>
  <si>
    <t>atodd@sugarbush.com</t>
  </si>
  <si>
    <t>1840 Sugarbush Access Raad</t>
  </si>
  <si>
    <t>P-400-23123-990122</t>
  </si>
  <si>
    <t xml:space="preserve">State and Federal Taxes, The cost of optional housing will be $450.00. Employer will deduct the cost of optional
housing charged by the 3rd party for workers. All deductions from pay req by law. </t>
  </si>
  <si>
    <t>H-400-23241-305082</t>
  </si>
  <si>
    <t xml:space="preserve">VALID DRIVER'S LICENSE OR ELIGIBLE TO OBTAIN ONE WITHIN 30 DAYS OF THE DATE OF HIRE; ABLE TO LIFT 50 POUNDS; </t>
  </si>
  <si>
    <t>1122 900 W 75 N</t>
  </si>
  <si>
    <t>H-400-23186-167504</t>
  </si>
  <si>
    <t>Ham Boner (Body Boner - Hog)</t>
  </si>
  <si>
    <t>1 month of safety/ppe/sanitation training required
Workers will work from approximately EITHER 6:15am - 3:00pm OR 3:00pm to 12:45am</t>
  </si>
  <si>
    <t>P-400-23124-991892</t>
  </si>
  <si>
    <t xml:space="preserve">The employer will make all deductions from the worker's paycheck required by law. </t>
  </si>
  <si>
    <t>H-400-23185-165970</t>
  </si>
  <si>
    <t>Hog Shackler</t>
  </si>
  <si>
    <t>P-400-23122-984510</t>
  </si>
  <si>
    <t>H-400-23195-190246</t>
  </si>
  <si>
    <t>Fiesta Bamba Mexican Restaurant</t>
  </si>
  <si>
    <t xml:space="preserve">60 S Cascade Dr. </t>
  </si>
  <si>
    <t>mariaf540@gmail.com</t>
  </si>
  <si>
    <t>25 Woods Lake Rd Suite 405</t>
  </si>
  <si>
    <t xml:space="preserve">Must have 12 months experience of cooking foods Mexican specialties. 
</t>
  </si>
  <si>
    <t>No Overtime offered</t>
  </si>
  <si>
    <t>P-400-23157-081704</t>
  </si>
  <si>
    <t>All deductions from the worker's paycheck that the employer is required to make by law and all deduction not required by law that the employer will make from the worker's paycheck. Optional housing available with 3 meals a day at $75/weekly deduction.
Todas las deducciones del cheque de pago del trabajador que el empleador debe hacer por ley y todas las deducciones no requerido por ley que el empleador hará del cheque de pago del trabajador.</t>
  </si>
  <si>
    <t>H-400-23256-341383</t>
  </si>
  <si>
    <t>Custodians</t>
  </si>
  <si>
    <t xml:space="preserve">Must be able to stand and walk for extended periods for majority of shift. Must be able to push, pull, and lift up to 100 pounds. Must pass a pre-employment drug test and criminal background check. IP Casino screens all applicants through drug tests and background checks, including domestic and H-2B visa employees. This includes seasonal and full-time annual positions and is applied to all applicants regardless of their national origin, race, or gender.
</t>
  </si>
  <si>
    <t>P-400-23181-157874</t>
  </si>
  <si>
    <t xml:space="preserve">The employer will make all deductions from the worker’s paycheck required by law. Additional deductions included optional employee housing. Housing: Optional furnished employee housing with utilities is offered. Cost of housing is $475 per month and paid bi-weekly through payroll deductions. A one-time non-refundable incidental fee of $150 is also required.
</t>
  </si>
  <si>
    <t>H-400-23250-329125</t>
  </si>
  <si>
    <t xml:space="preserve">The Petitioner will consider for employment any person who possesses at least three (3) months of housekeeping experience at a high-end hotel, resort, or private club.
Applicant must complete pre-employment background check.
</t>
  </si>
  <si>
    <t>Tipped position with base wage of $16.00 - $17.00 per hour, paid bi-weekly.   See job description.</t>
  </si>
  <si>
    <t>P-400-23178-146067</t>
  </si>
  <si>
    <t>H-400-23279-414455</t>
  </si>
  <si>
    <t>P-400-23183-162076</t>
  </si>
  <si>
    <t>H-400-23186-168816</t>
  </si>
  <si>
    <t>200 Worden Avenue West</t>
  </si>
  <si>
    <t xml:space="preserve">Ladysmith </t>
  </si>
  <si>
    <t>P-400-23136-026043</t>
  </si>
  <si>
    <t>All deductions from the worker’s paycheck will be made as required by law.  Any advances will be deducted with the consent of the employee. The employer will provide housing as an option to employees living outside the regular commuting distance.
Employees who elect to live in the housing will have an additional $150 deducted per monthly paycheck for rent and utilities.</t>
  </si>
  <si>
    <t>H-400-23321-508945</t>
  </si>
  <si>
    <t>9501 Beman Woods Way</t>
  </si>
  <si>
    <t>Potomac</t>
  </si>
  <si>
    <t>P-400-23224-259993</t>
  </si>
  <si>
    <t>danielle.mcfall@mcfallandberry.com</t>
  </si>
  <si>
    <t>H-400-23332-525954</t>
  </si>
  <si>
    <t>HBH Land Group, LLC</t>
  </si>
  <si>
    <t>U.S. Lawns of Myrtle Beach</t>
  </si>
  <si>
    <t>7887 Moss Creek Road</t>
  </si>
  <si>
    <t>Self</t>
  </si>
  <si>
    <t>Morgan.self@uslawnsmb.net</t>
  </si>
  <si>
    <t>7887 Moss Creek Road (Report to Work)</t>
  </si>
  <si>
    <t>P-400-23214-232763</t>
  </si>
  <si>
    <t>Optional, shared furnished housing available to the worker at a monthly housing rate up to $475/month; if optional housing is agreed upon by the worker, monthly housing rate will be deducted from worker's paycheck incrementally (weekly).
At Employer’s sole discretion: possible cash advances (if applicable/requested by worker, potential deduction from worker’s paycheck).</t>
  </si>
  <si>
    <t>Kirkwood</t>
  </si>
  <si>
    <t>H-400-23320-505551</t>
  </si>
  <si>
    <t>322 Captain Wylly Road</t>
  </si>
  <si>
    <t>Jekyll Island</t>
  </si>
  <si>
    <t>P-400-23244-316490</t>
  </si>
  <si>
    <t>H-400-23307-475888</t>
  </si>
  <si>
    <t>Richmond &amp; Associates Landscaping, Ltd.</t>
  </si>
  <si>
    <t>1410 Westway Circle</t>
  </si>
  <si>
    <t xml:space="preserve">Must be able to lift 50 lbs.  
Applicants must complete an employment application. 
Must be able to work weekends and holidays as required.
</t>
  </si>
  <si>
    <t>P-400-23178-148067</t>
  </si>
  <si>
    <t xml:space="preserve">The employer will make all deductions from the worker's paycheck required by law. Employer will assist worker to find affordable housing. Optional medical insurance available, approximately $7.96-$378.97 per week depending on coverage. Optional dental insurance available approx $8.67-29.60 per week depending on coverage, vision insurance available approx $1.58-$4.44 per week depending on coverage and accidental insurance available, approx $4.73-$15.94 per week depending on coverage. Employer also offers Life and Critical Illness insurance, pricing depends on age and if employee is a tabacco user or not. Cost of insurance payroll deducted if worker chooses to enroll.
Daily transportation provided between the employer’s worksites and among multiple worksite locations in Dallas, Collin, Ellis, Denton and Tarrant counties.
The employer will provide worker at no charge all tools, supplies, and equipment required to perform job. Uniform provided at no charge to the worker.  
</t>
  </si>
  <si>
    <t>H-400-23320-506992</t>
  </si>
  <si>
    <t>2544 Willow Point Road</t>
  </si>
  <si>
    <t>Alexander City</t>
  </si>
  <si>
    <t>P-400-23244-316671</t>
  </si>
  <si>
    <t>Savage</t>
  </si>
  <si>
    <t>H-400-23321-509036</t>
  </si>
  <si>
    <t>BYM Enterprises LLC</t>
  </si>
  <si>
    <t>3415 Beltline Park Dr</t>
  </si>
  <si>
    <t>Mailing: PO Box 16146, Mobile, AL 36617</t>
  </si>
  <si>
    <t>Torres Montoya</t>
  </si>
  <si>
    <t>jbtm_2004@hotmail.com</t>
  </si>
  <si>
    <t>P-400-23272-396545</t>
  </si>
  <si>
    <t>https://joblink.alabama.gov</t>
  </si>
  <si>
    <t>H-400-23321-509282</t>
  </si>
  <si>
    <t>Lawnmasters of Shreveport</t>
  </si>
  <si>
    <t>601 Mt. Zion Road</t>
  </si>
  <si>
    <t>CJ</t>
  </si>
  <si>
    <t>601 MT. ZION ROAD</t>
  </si>
  <si>
    <t>SHREVEPORT</t>
  </si>
  <si>
    <t>CJ@LAWNMASTERSINC.COM</t>
  </si>
  <si>
    <t xml:space="preserve">Must be able to lift/carry 50lbs, work bending &amp; standing pos. for ext. periods in extreme heat/cold. Upon offer of emp. but prior to orientation, all hires must submit to/pass an employer-paid drug screen. </t>
  </si>
  <si>
    <t>P-400-23205-210382</t>
  </si>
  <si>
    <t>cj@lawnmastersinc.com</t>
  </si>
  <si>
    <t>H-400-23320-505562</t>
  </si>
  <si>
    <t>P-400-23221-252392</t>
  </si>
  <si>
    <t>Defiance</t>
  </si>
  <si>
    <t>H-400-23282-419448</t>
  </si>
  <si>
    <t>Baader Technician (Maintenance worker, Machinery)</t>
  </si>
  <si>
    <t xml:space="preserve">North Pacific Seafoods, Inc. </t>
  </si>
  <si>
    <t>329 Katlian St.</t>
  </si>
  <si>
    <t xml:space="preserve">Leauri </t>
  </si>
  <si>
    <t>VP of HR and Admin</t>
  </si>
  <si>
    <t>Leaurimoore@npsi.us</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</si>
  <si>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Delivery and availability of seafood product from fisherman may result in possible downtimes due to weather conditions. 
Must possess 12 months of experience adjusting, maintaining, repairing and calibrating Baader 212 equipment
</t>
  </si>
  <si>
    <t>627 Shelikof St</t>
  </si>
  <si>
    <t>P-400-23209-222962</t>
  </si>
  <si>
    <t>Optional, shared furnished housing available to the worker at a monthly housing rate up to $465; if optional housing is agreed upon by the worker, monthly housing rate will be deducted from worker's paycheck incrementally (bi-weekly).At Employer’s sole discretion: possible cash advances (if applicable/requested by worker, potential deduction from worker’s paycheck).</t>
  </si>
  <si>
    <t>LeauriMoore@npsi.us</t>
  </si>
  <si>
    <t>H-400-23336-539037</t>
  </si>
  <si>
    <t>DAYS VARY MONDAY- SATURDAY.</t>
  </si>
  <si>
    <t>P-400-23206-214642</t>
  </si>
  <si>
    <t>H-400-23307-475913</t>
  </si>
  <si>
    <t>Southwest Nursery and Supply, LLC</t>
  </si>
  <si>
    <t>Southwest Wholesale Nursery</t>
  </si>
  <si>
    <t>2220 Sandy Lake Rd.</t>
  </si>
  <si>
    <t>Taber</t>
  </si>
  <si>
    <t>staber@southwestnursery.com</t>
  </si>
  <si>
    <t>P-400-23228-269019</t>
  </si>
  <si>
    <t>Roland</t>
  </si>
  <si>
    <t>H-400-23321-509047</t>
  </si>
  <si>
    <t>Delbosque Landscaping, Inc.</t>
  </si>
  <si>
    <t>510 S. Clark St.</t>
  </si>
  <si>
    <t>Mailing: PO Box 2437, Rockwall, TX 75087</t>
  </si>
  <si>
    <t>Delbosque</t>
  </si>
  <si>
    <t>info@delbosquelandscaping.com</t>
  </si>
  <si>
    <t>P-400-23228-269111</t>
  </si>
  <si>
    <t>Employer will make all deductions from the worker's paycheck required by law.  (Note for the CO: Section F.d item 4 is marked yes as the employer will assist workers, they are not providing housing. )</t>
  </si>
  <si>
    <t>H-400-23313-491940</t>
  </si>
  <si>
    <t xml:space="preserve">976 Saddleback Mountain Road </t>
  </si>
  <si>
    <t xml:space="preserve">N/A
Clarification to Hourly Work Schedule: Employer will offer 2 shifts, 7 days a week, requiring 4 teams to cover the full week. Team 1 will work Monday - Friday, Team 2 will work Wednesday - Sunday. The day shift is 6:00am - 3:00pm, and the night shift is 1:00pm -9:30pm.
</t>
  </si>
  <si>
    <t>4 teams, 2shifts- M-F &amp; W-Sun. 1st Shift 6a-3p, 2nd shift : 1p-9:30p</t>
  </si>
  <si>
    <t>P-400-23270-386744</t>
  </si>
  <si>
    <t>The employer will make all deductions from the worker’s paycheck required by law. Employer offers room and board in shared, dormitory housing and will deduct $125-$180 at a rate of $125-$180 per week for these expenses for employees who choose them. All deductions must be voluntary on the part of the employee and otherwise reasonable according to the Fair Labor Standards Act (FLSA) principles at 29 CFR Part 531.</t>
  </si>
  <si>
    <t>www.saddlebackmaine.com/careers</t>
  </si>
  <si>
    <t>H-400-23302-463018</t>
  </si>
  <si>
    <t>Autumn Ridge Landscaping</t>
  </si>
  <si>
    <t>8940 Greenfield Road</t>
  </si>
  <si>
    <t>Loretto</t>
  </si>
  <si>
    <t>Grygelko</t>
  </si>
  <si>
    <t>Ability to lift 50lbs
40+ hrs, 7a-5p, M-Sat, hours and workdays may vary depending on weather.</t>
  </si>
  <si>
    <t>P-400-23167-117689</t>
  </si>
  <si>
    <t xml:space="preserve">Optional housing available for $300/mo deduction.
Employer will make all deductions required by law.  Other deductions may be taken at employee's written request, i.e. internet, cable, cash advances, medical expenses, etc. See addendum.
</t>
  </si>
  <si>
    <t>JACKSONVILLE</t>
  </si>
  <si>
    <t>Perfect Cuts of Austin, LLC</t>
  </si>
  <si>
    <t>13561 Pond Springs Road</t>
  </si>
  <si>
    <t>WEBB</t>
  </si>
  <si>
    <t>Laredo, TX</t>
  </si>
  <si>
    <t xml:space="preserve">Construction Laborer </t>
  </si>
  <si>
    <t xml:space="preserve"> Triple V Concrete Construction Inc</t>
  </si>
  <si>
    <t>6 West Central Street</t>
  </si>
  <si>
    <t>PO Box 107</t>
  </si>
  <si>
    <t>Vanderwerf</t>
  </si>
  <si>
    <t>Layne</t>
  </si>
  <si>
    <t>triplevconcrete@hotmail.com</t>
  </si>
  <si>
    <t>H-400-23336-538943</t>
  </si>
  <si>
    <t>WAYNE WOOD INC</t>
  </si>
  <si>
    <t>54-2 MARINER DRIVE</t>
  </si>
  <si>
    <t>SWIATOCHA</t>
  </si>
  <si>
    <t xml:space="preserve">54-2 MARINER DRIVE </t>
  </si>
  <si>
    <t>P-400-23192-179122</t>
  </si>
  <si>
    <t>wayne@waynewoodinc.com</t>
  </si>
  <si>
    <t>H-400-23307-477146</t>
  </si>
  <si>
    <t>TAS, INC. (TAS124A)</t>
  </si>
  <si>
    <t>DBA Todd Armstrong Shows</t>
  </si>
  <si>
    <t>5348 Vegas Drive</t>
  </si>
  <si>
    <t>#269</t>
  </si>
  <si>
    <t>Armstrong</t>
  </si>
  <si>
    <t>18470 GARY PLAYER DR</t>
  </si>
  <si>
    <t>armstrongshows@aol.com</t>
  </si>
  <si>
    <t xml:space="preserve">Post-employment random drug testing &amp; background checks may be required, at no cost to the worker. The job requires the applicant to be qualified, ready, willing, able, &amp; available to perform during the entire employment at the designated worksite; to enter into &amp; comply with employment contract; to follow workplace rules; &amp; to meet job performance standards.
Work days: Wed - Sun. Varies
Hours per week: 40
Work Schedule: 1pm - 10pm. Varies
Itinerary starts in Harris county. Work will be performed at various locations (see list of all counties included in itinerary for reference). 
Additional information about wage:
Employer may offer a raise or bonus depending on experience and merit.
Pay Assurance: 
Employer will pay the highest of all prevailing wages for each worksite location throughout the entire period of employment. 
Daily Transportation provided to all worksite locations from primary worksite?  Yes
Does employer offer a ride to primary worksite location to workers living within a reasonable commute: Yes 
Overtime available? N/A
On-the-Job Training provided? Yes 
Employer-Provided Tools and Equipment provided? Yes
Board, Lodging or Other Facilities provided?: Yes  
Deductions:  Housing provided free of charge. Optional.
Overtime Clause: Additional hours may be offered; however, employer is exempt from federal overtime pay according to Section 13(a)(3) of the FLSA. Employer will comply with any state or local overtime requirements if warranted.
</t>
  </si>
  <si>
    <t>12300 North Freeway</t>
  </si>
  <si>
    <t>P-400-23222-254363</t>
  </si>
  <si>
    <t>Housing provided free of charge. Optional.</t>
  </si>
  <si>
    <t>H-400-23261-354874</t>
  </si>
  <si>
    <t>R &amp; E Forestry, Inc.</t>
  </si>
  <si>
    <t>1701 N. Church St.</t>
  </si>
  <si>
    <t>erframon@yahoo.com</t>
  </si>
  <si>
    <t xml:space="preserve">Must show proof of legal authorization to work in the United States. Drug/alcohol/tobacco free work zone. Must walk substantially (up to 15 miles/day), also stoop, bend while carrying a pack (up to 40lbs) thru rough terrain (non-trail).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
</t>
  </si>
  <si>
    <t>111 N. Lakeside Drive (Report to Work)</t>
  </si>
  <si>
    <t>De Queen</t>
  </si>
  <si>
    <t>P-400-23198-192889</t>
  </si>
  <si>
    <t>H-400-23325-516012</t>
  </si>
  <si>
    <t>Florida Landscape Consultants, LLC</t>
  </si>
  <si>
    <t>9506 N. Trask Street</t>
  </si>
  <si>
    <t>Vice President of HR</t>
  </si>
  <si>
    <t>9506 North Trask St,</t>
  </si>
  <si>
    <t>P-400-23236-292870</t>
  </si>
  <si>
    <t>Emplyr makes all payroll deducts req’d by law. Emplyr doesnt envision other workforce-wide payroll deducts. If requested emplyr helps non-local wrkrs secure opt’l wrkr-paid lodging. Emplyr deducts reasonable fair market value cost of rent/utilities based on # of occupants electing to reside in emplyr-provided housing (cost TBD). Voluntary advances/loans made to workers may be repaid by pre-authorized payroll deducts. Emplyr deducts for reasonable cost of negligent damage to lodging facilities. Emplyr may deduct retirement/savings plan contributions/health ins. premiums for workers voluntarily participating in plans. Uniform provided @ no cost. Emplyr may deduct cost for voluntary purchase of add’l uniforms for worker's benefit. Emplyr may also deduct for Voluntary Boot Purchase Program. Employer provides incidental transport between worksites. Employer offers free daily transportation to/from worksite from designated pick-up location. Use of transportation is voluntary.</t>
  </si>
  <si>
    <t>H-400-23336-539021</t>
  </si>
  <si>
    <t xml:space="preserve">38 CARRIAGE WAY </t>
  </si>
  <si>
    <t>P-400-23198-192887</t>
  </si>
  <si>
    <t>H-400-23290-436756</t>
  </si>
  <si>
    <t>R and J Concessions, LLC</t>
  </si>
  <si>
    <t>5783 Center Ring Rd</t>
  </si>
  <si>
    <t>[Winter Address: 5115 NW Lovett Rd, Greenville, FL 32331]</t>
  </si>
  <si>
    <t>5783 Center Ring, Rd.</t>
  </si>
  <si>
    <t>P-400-23240-300966</t>
  </si>
  <si>
    <t>ATHENS</t>
  </si>
  <si>
    <t>H-400-23336-539699</t>
  </si>
  <si>
    <t>Campbell Landscaping, LLC</t>
  </si>
  <si>
    <t>817 McKinley Ave NW</t>
  </si>
  <si>
    <t xml:space="preserve">Requires three months of previous landscape experience. Must lift/carry 50 lbs., when necessary.  Saturday work required, when necessary.  Post-hire drug testing required of foreign and domestic workers upon suspicion of use. Post-hire employment eligibility (e-Verify) check required of foreign and domestic workers. Employer may offer more than the stated work hours depending on weather, business needs, and other conditions. Extreme heat, cold, rain, or drought may affect exact working hours.
</t>
  </si>
  <si>
    <t>817 McKinley Ave NW,</t>
  </si>
  <si>
    <t>P-400-23254-334671</t>
  </si>
  <si>
    <t>Emplyr makes all payroll deducts req’d by law. Emplyr doesn’t envision other workforce-wide payroll deductions. If requested emplyr helps non-local wrkrs secure optional worker-paid lodging. Emplyr deducts reasonable fair market value cost of rent/utilities based on # of occupants electing to reside in emplyr-provided housing (cost TBD). Voluntary advances/loans made to wrkrs may be repaid by preauthorized payroll deductions. Uniform provided @ no cost. Emplyr may deduct cost for lost/damaged uniforms resulting from wrkr negligence or voluntary purchase of add’l uniforms for wrkr's benefit. Emplyr may deduct for voluntary weekly uniform laundering program for wrkr's benefit. Company offers paid holidays after 90 days, voucher toward purchase of new boots &amp; company paid short term disability policy. Emplyr provides incidental transport between worksites as necessary &amp; offers free daily transport to/from worksite from designated pick-up location. Use of transport voluntary.</t>
  </si>
  <si>
    <t>HR@CampbellLandscaping.com</t>
  </si>
  <si>
    <t>H-400-23336-539042</t>
  </si>
  <si>
    <t>BOTANIC NURSERY INC</t>
  </si>
  <si>
    <t>120 MERCHANTS PATH</t>
  </si>
  <si>
    <t>PO BOX 316</t>
  </si>
  <si>
    <t>JAWIN</t>
  </si>
  <si>
    <t>RON</t>
  </si>
  <si>
    <t>SLIDING SCALE $20.81-23.00 P/HR REG &amp; $31.22-34.50 P/HR OT BASED ON EXPERIENCE, BONUS AVAILABLE BASED ON EXPERIENCE.</t>
  </si>
  <si>
    <t>P-400-23206-214158</t>
  </si>
  <si>
    <t>RONJAWIN@GMAIL.COM</t>
  </si>
  <si>
    <t>H-400-23321-509092</t>
  </si>
  <si>
    <t xml:space="preserve">Southeast Straw Co. Inc. </t>
  </si>
  <si>
    <t xml:space="preserve"> Southeast Straw Co Installation Services </t>
  </si>
  <si>
    <t>9311 Lee Road 146</t>
  </si>
  <si>
    <t>Opelika</t>
  </si>
  <si>
    <t xml:space="preserve">Carleton </t>
  </si>
  <si>
    <t>office@southeaststraw.com</t>
  </si>
  <si>
    <t xml:space="preserve">Must be willing to work in hot climates. Post-employment drug testing may occur based upon the employers reasonable suspicion of an employees drug use. 
F.a.5 A-H. (continued):
8-hour workday. M-F 7am-4pm (1 hr lunch), overtime needed (an average of 8 - 10 hours of overtime may be available per week)
</t>
  </si>
  <si>
    <t>88 Smith Road</t>
  </si>
  <si>
    <t>P-400-23201-202797</t>
  </si>
  <si>
    <t xml:space="preserve">Optional board/lodging available at a cost to be deducted from pay if elected. Cost of housing: $60/ week </t>
  </si>
  <si>
    <t>Arizona Supreme Court</t>
  </si>
  <si>
    <t>H-400-23307-475925</t>
  </si>
  <si>
    <t>Pineda Post &amp; Poles, Inc</t>
  </si>
  <si>
    <t>81 Old Hwy. 7</t>
  </si>
  <si>
    <t>Grangeville</t>
  </si>
  <si>
    <t>Pineda</t>
  </si>
  <si>
    <t>Eloy</t>
  </si>
  <si>
    <t>President of Pineda</t>
  </si>
  <si>
    <t>81 Old Highway 7</t>
  </si>
  <si>
    <t>Pinedapoles@live.com</t>
  </si>
  <si>
    <t>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Work is performed outdoors, exposed to weather; must be capable of doing physically strenuous labor for long hours, occasionally in extreme heat or cold. Variable weather conditions apply; hours may fluctuate (+/-), possible downtime and/or overtime.</t>
  </si>
  <si>
    <t>IDAHO</t>
  </si>
  <si>
    <t>P-400-23191-178396</t>
  </si>
  <si>
    <t>pinedapoles@live.com</t>
  </si>
  <si>
    <t>Electric Motor, Power Tool, and Related Repairers</t>
  </si>
  <si>
    <t>Manteca</t>
  </si>
  <si>
    <t>H-400-23297-452195</t>
  </si>
  <si>
    <t>Occupational Health and Safety Consultant - Spanish</t>
  </si>
  <si>
    <t>Occupational Health and Safety Specialists</t>
  </si>
  <si>
    <t>Progressive Safety Innovations, LLC</t>
  </si>
  <si>
    <t>9708 1st St</t>
  </si>
  <si>
    <t>Boone</t>
  </si>
  <si>
    <t>Owner Business Admin</t>
  </si>
  <si>
    <t>9708 First St</t>
  </si>
  <si>
    <t>psillc@me.com</t>
  </si>
  <si>
    <t xml:space="preserve">Must speak fluent Spanish and be available to travel intermittently however frequently in Texas and Mexico 
</t>
  </si>
  <si>
    <t>P-400-23245-318056</t>
  </si>
  <si>
    <t>progressivesafety.org</t>
  </si>
  <si>
    <t>H-400-23337-539996</t>
  </si>
  <si>
    <t>Powers and Thomas Midway Entertainment, LLC</t>
  </si>
  <si>
    <t>7741 Bonaventure Dr</t>
  </si>
  <si>
    <t>Mailing Address: PO Box 11341 Wilmington, NC 28404</t>
  </si>
  <si>
    <t>Co Owner</t>
  </si>
  <si>
    <t>pgamtracy@yahoo.com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</si>
  <si>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 post-injury or incident and reasonable suspicion drug test required, paid by employer and applied equally to all workers, U.S. and foreign/H-2B. Applicants must cooperate with and complete job application and interview truthfully.</t>
  </si>
  <si>
    <t>375 Western Blvd</t>
  </si>
  <si>
    <t>P-400-23262-358240</t>
  </si>
  <si>
    <t>P-400-23179-151764</t>
  </si>
  <si>
    <t xml:space="preserve">Employer will make all deductions from worker’s paycheck required by law. Employer’s optional shared housing ($120/wk.) is available for wage credit and/or deduction, or any lesser amount to the maximum extent not prohibited by law. Employer will pay the cost of this housing to the extent such cost would reduce pay below the offered wage rate for the areas of intended employment. Local convenience travel valued at ($20/wk.), and food available for wage credit and/or deduction, or any lesser amount to the maximum extent not prohibited by law. Employer offers optional employee savings plan, elected contribution payroll deducted if employee enrolls. </t>
  </si>
  <si>
    <t>LANE</t>
  </si>
  <si>
    <t>H-400-23307-476597</t>
  </si>
  <si>
    <t xml:space="preserve">No minimum education or experience required. 
Must pass a post-employment criminal background check,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</si>
  <si>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P-400-23198-193713</t>
  </si>
  <si>
    <t xml:space="preserve">A single workweek will be used in computing wages due. Workers will be paid bi-weekly. 
Employer will make all deductions from the worker's paycheck required by law. 
Public transportation available 2 miles from worksite. The employer will assist in locating housing. Optional one meal available per shift at approx. $1 per meal, payroll deducted if worker elects. 
</t>
  </si>
  <si>
    <t>H-400-23296-449352</t>
  </si>
  <si>
    <t>5577 WEST 240 NORTH</t>
  </si>
  <si>
    <t>HURRICANE</t>
  </si>
  <si>
    <t>Some O.T. &amp; Weekends may be available.</t>
  </si>
  <si>
    <t>Workers will not be paid anything less than the equivalent of prevailing wage rate of $18.34</t>
  </si>
  <si>
    <t>P-400-23146-056817</t>
  </si>
  <si>
    <t>H-400-23336-539141</t>
  </si>
  <si>
    <t>MARINE VILLAGE RESORT</t>
  </si>
  <si>
    <t>370 CANADA STREET</t>
  </si>
  <si>
    <t>DITTRICH</t>
  </si>
  <si>
    <t>KATHLEAN</t>
  </si>
  <si>
    <t>P-400-23188-172695</t>
  </si>
  <si>
    <t>DITTRICHKTD@YAHOO.COM</t>
  </si>
  <si>
    <t>H-400-23307-477224</t>
  </si>
  <si>
    <t>Mover/Driver</t>
  </si>
  <si>
    <t xml:space="preserve">M-F. Schedule varies. Weekends may be required. Overtime varies. Able to lift 75lbs. Must have or be able to obtain a valid non-CDL driver's license and meet company qualification standards to achieve qualification status. Motor Vehicle History Report required. 1 month training required for proper packing, lifting, carrying. Pre-hire background check required. All background checks are performed equally as to U.S. workers and H-2B workers, and all fees are paid for by the company. See the additional document attached for further details about the administration of our background check policy. Random drug testing during employment. Pre-employment drug testing required. Drug testing during employment for cause. Post-Accident Drug Testing. All drug testing is performed without regard to an employees citizenship or immigration status, and all testing is paid for by the company. See the additional document attached for further details about the administration of our drug testing policy.
</t>
  </si>
  <si>
    <t>P-400-23201-202624</t>
  </si>
  <si>
    <t>H-400-23336-539153</t>
  </si>
  <si>
    <t>1105 Waterfall Dr (Report to Work)</t>
  </si>
  <si>
    <t>P-400-23181-160752</t>
  </si>
  <si>
    <t>H-400-23336-539047</t>
  </si>
  <si>
    <t>P-400-23187-169913</t>
  </si>
  <si>
    <t>HOUSING OPTIONAL AND AVAILABLE FOR $50/BIWEEKLY WITH A $250 REFUNDABLE DEPOSIT.</t>
  </si>
  <si>
    <t>H-400-23336-539127</t>
  </si>
  <si>
    <t>Palacios Fisheries, Inc.</t>
  </si>
  <si>
    <t>Captain Anrulfo</t>
  </si>
  <si>
    <t xml:space="preserve">1819 Perryman </t>
  </si>
  <si>
    <t>P-400-23181-160698</t>
  </si>
  <si>
    <t>H-400-23323-512618</t>
  </si>
  <si>
    <t>C &amp; K Lawn Services, LLC</t>
  </si>
  <si>
    <t>3000 Ackerman Rd.</t>
  </si>
  <si>
    <t>Mailing: 1503 Hearthstone, San Antonio, TX 78258</t>
  </si>
  <si>
    <t>Kirby</t>
  </si>
  <si>
    <t>Covin</t>
  </si>
  <si>
    <t>office@candklawnservices.com</t>
  </si>
  <si>
    <t>Able to lift 50lbs, Pre-hire background check required; Post-Accident Drug Testing, Monday-Friday, Some Saturdays may be required, Schedule may vary, start/end times may vary,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</si>
  <si>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P-400-23205-209195</t>
  </si>
  <si>
    <t>H-400-23321-509029</t>
  </si>
  <si>
    <t>Frank Sharum Landscape Design, Inc.</t>
  </si>
  <si>
    <t xml:space="preserve">10012 Hwy 71 </t>
  </si>
  <si>
    <t>PO Box 6524 Fort Smith AR 72906</t>
  </si>
  <si>
    <t>Fort Smith</t>
  </si>
  <si>
    <t>Sharum</t>
  </si>
  <si>
    <t>10012 Hwy 71</t>
  </si>
  <si>
    <t>P. O. Box 6524, Fort Smith, AR 72906</t>
  </si>
  <si>
    <t xml:space="preserve">Lift/carry up to 50 pounds. Job requires physical stamina in adverse conditions (hot/cold weather, poisonous plants, insects and snakes.) Applicant must be 18 years of age and complete a company application.
Employer paid drug test is Post Accident, Post Employment
</t>
  </si>
  <si>
    <t>10012 HWY 71 SOUTH</t>
  </si>
  <si>
    <t>FORT SMITH</t>
  </si>
  <si>
    <t>SEBASTIAN</t>
  </si>
  <si>
    <t>Fort Smith, AR-OK</t>
  </si>
  <si>
    <t>Character Limit:overtime is not guaranteed but if worked rate is paid at time and a half per hour above 40 hou</t>
  </si>
  <si>
    <t>P-400-23171-129005</t>
  </si>
  <si>
    <t>The employer will make the following deductions from the worker's wages: all deductions required by law,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where it is shown that the worker is responsible, and any other reasonable deductions expressly authorized by the worker in writing. No deduction not required by law will be made that brings the workers hourly earnings below the FLSA Federal statutory minimum wage.</t>
  </si>
  <si>
    <t>H-400-23325-516220</t>
  </si>
  <si>
    <t>Hwy Maintenance Worker</t>
  </si>
  <si>
    <t>Vizcaino, LP</t>
  </si>
  <si>
    <t>2210 W. 16th Street</t>
  </si>
  <si>
    <t>Vizcaino</t>
  </si>
  <si>
    <t>martha@vizcainolp.com</t>
  </si>
  <si>
    <t xml:space="preserve">Mon-Fri. Some Saturdays required. Schedule may vary. Overtime varies. Able to lift 50lbs. Random drug testing during employment. Pre-employment drug testing required. Drug testing during employment for cause. Post-Accident Drug Testing. All drug testing is performed without regard to an employees citizenship or immigration status, and all testing is paid for by the company. See the additional document attached for further details about the administration of our drug testing policy.
</t>
  </si>
  <si>
    <t>Bonus at employer's discretion.</t>
  </si>
  <si>
    <t>P-400-23221-249763</t>
  </si>
  <si>
    <t>Employer facilitates corresponding deductions for available health benefits.</t>
  </si>
  <si>
    <t>H-400-23321-509503</t>
  </si>
  <si>
    <t xml:space="preserve">No minimum education or experience required. 
Must pass a post-employment criminal background check, paid by employer and applied equally to all workers, U.S. and foreign/H-2B.
Must be able to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to/from worksite/housing via public bus transportation, 1 bus pass provided by the employer at no cost to employee.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employee. 
The employer guarantees to offer work for hours equal to at least three-fourths of the workdays in each 12-week period of the total employment period.
</t>
  </si>
  <si>
    <t>P-400-23199-196308</t>
  </si>
  <si>
    <t>VANESSA</t>
  </si>
  <si>
    <t>H-400-23326-518908</t>
  </si>
  <si>
    <t>Tracy's Concessions Inc.</t>
  </si>
  <si>
    <t xml:space="preserve">11585 E. Hwy 11 </t>
  </si>
  <si>
    <t>(Mail to: P.O. Box 25, Hughes Springs, TX 75656)</t>
  </si>
  <si>
    <t>Scudday Duck</t>
  </si>
  <si>
    <t>Owner/ President</t>
  </si>
  <si>
    <t>11585 E. Hwy 11</t>
  </si>
  <si>
    <t>duckfood4u@yahoo.com</t>
  </si>
  <si>
    <t>P-400-23202-206993</t>
  </si>
  <si>
    <t>H-400-23322-512060</t>
  </si>
  <si>
    <t>Ledden Palimeno Landscaping &amp; Maintenance Co Inc</t>
  </si>
  <si>
    <t>102 Blackwood Barnsboro Rd</t>
  </si>
  <si>
    <t>Sewell</t>
  </si>
  <si>
    <t>Palimeno</t>
  </si>
  <si>
    <t>102 Blackwood Barnsboro Road</t>
  </si>
  <si>
    <t>lisah@leddenpalimeno.com</t>
  </si>
  <si>
    <t>Able to lift 70lbs, Drug testing during employment for cause, Mon-Fri,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t>
  </si>
  <si>
    <t>P-400-23186-167028</t>
  </si>
  <si>
    <t>Ready-Mix and Heavy Truck Driver</t>
  </si>
  <si>
    <t xml:space="preserve">499 North 4th Street </t>
  </si>
  <si>
    <t xml:space="preserve">Shelbina </t>
  </si>
  <si>
    <t>26733 135th Avenue</t>
  </si>
  <si>
    <t>CR 233</t>
  </si>
  <si>
    <t xml:space="preserve">LaBelle </t>
  </si>
  <si>
    <t>H-400-23333-529934</t>
  </si>
  <si>
    <t xml:space="preserve">No minimum education or experience required.
Must be able to lift 50 lbs.
Must pass a post-employment criminal background check, paid by employer and applied equally to all workers, U.S. and foreign/H-2B.
Workers subject to post-accident/reasonable cause drug testing, paid by employer and applied equally to all workers, U.S. and foreign/H-2B.
Must be able to work a 5-day workweek.
Must be able to work weekends and holidays as required.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provide daily transportation from main worksite in Apex to and from multiple worksite locations in Wake, Guilford, Chatham, Orange, Harnett, Franklin, Johnston, and Durham Counties, NC.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The employer guarantees to offer work for hours equal to at least three-fourths of the workdays in each 12-week period of the total employment period.
</t>
  </si>
  <si>
    <t>2271 Hollands Chapel Rd</t>
  </si>
  <si>
    <t>P-400-23230-278010</t>
  </si>
  <si>
    <t>H-400-23282-419194</t>
  </si>
  <si>
    <t>Vehicle Cleaner</t>
  </si>
  <si>
    <t>Northern Alaska Tour Company</t>
  </si>
  <si>
    <t xml:space="preserve"> 3820 University Ave S</t>
  </si>
  <si>
    <t>Fairbanks</t>
  </si>
  <si>
    <t>3820 University Ave S</t>
  </si>
  <si>
    <t>Natch2bvisa@gmail.com</t>
  </si>
  <si>
    <t>3820 University Ave South</t>
  </si>
  <si>
    <t>FAIRBANKS NORTH STAR</t>
  </si>
  <si>
    <t>Fairbanks, AK</t>
  </si>
  <si>
    <t>P-400-23236-293676</t>
  </si>
  <si>
    <t>work@northernalaska.com</t>
  </si>
  <si>
    <t>https://www.northernalaskajobs.com/apply</t>
  </si>
  <si>
    <t>Cedar City</t>
  </si>
  <si>
    <t>FISHER</t>
  </si>
  <si>
    <t>H-400-23318-499993</t>
  </si>
  <si>
    <t>Focal Pointe of St. Louis, LLC</t>
  </si>
  <si>
    <t>11950 Missouri Bottom Rd</t>
  </si>
  <si>
    <t>Hazelwood</t>
  </si>
  <si>
    <t>P-400-23226-262663</t>
  </si>
  <si>
    <t>Employer will make all deductions from the worker's paycheck required by law.  Optional elective uniform Cleaning deduction $18.50 per pay period Optional deductions will not drop the overall wages below the UDSOL minimum, if the deductions are too great they will not be made. (Note for the CO: Section F.d item 4 is marked yes as the employer will assist workers, they are not providing housing)</t>
  </si>
  <si>
    <t>I.</t>
  </si>
  <si>
    <t>H-400-23353-577698</t>
  </si>
  <si>
    <t>H-400-23304-467961</t>
  </si>
  <si>
    <t>Big G´s Food Service LLC.</t>
  </si>
  <si>
    <t>4663 S. UNION RD.</t>
  </si>
  <si>
    <t>[MAIL: P.O. Box 292983 Dayton, OH 45429]</t>
  </si>
  <si>
    <t>[MAIL: P.O. Box 292983, Dayton, OH 45429]</t>
  </si>
  <si>
    <t>gmorris311@gmail.com</t>
  </si>
  <si>
    <t>2327 S. Aragon Ave.</t>
  </si>
  <si>
    <t>Kettering</t>
  </si>
  <si>
    <t>P-400-23207-217213</t>
  </si>
  <si>
    <t>Krista</t>
  </si>
  <si>
    <t>H-400-23336-538939</t>
  </si>
  <si>
    <t>Roque Landscaping Corp</t>
  </si>
  <si>
    <t>101 N Summit Blvd</t>
  </si>
  <si>
    <t>P.O. Box 298, Westhampton NY 11978</t>
  </si>
  <si>
    <t>Roque</t>
  </si>
  <si>
    <t>101 North Summit Blvd</t>
  </si>
  <si>
    <t>P-400-23186-166642</t>
  </si>
  <si>
    <t>roquelandscaping.org</t>
  </si>
  <si>
    <t>H-400-23321-511379</t>
  </si>
  <si>
    <t>Tree Trimmer Groundsman</t>
  </si>
  <si>
    <t>GEH, LLC (GEH324A)</t>
  </si>
  <si>
    <t>DBA Elite Yard Services</t>
  </si>
  <si>
    <t>73482 Military Road</t>
  </si>
  <si>
    <t>Huhn</t>
  </si>
  <si>
    <t>Glynn</t>
  </si>
  <si>
    <t>glynnhuhn@att.net</t>
  </si>
  <si>
    <t xml:space="preserve">Post-employment drug screening may be administered at employer's expense, must be able to lift 50 lbs, be on feet all day, work in extreme temperatures, bending, lifting frequently AND EXHIBIT STAMINA. OPERATE EQUIPMENT WHILE SOBER. Must be available entire work contract.
Work days:  M-F. May work on Saturday depending on weather.
Hours per week: 40 hours
Work Schedule: 7am-3pm, schedule varies.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Will assist finding housing
Deductions: N/A 
</t>
  </si>
  <si>
    <t>P-400-23284-425049</t>
  </si>
  <si>
    <t>holden.m.huhn@gmail.com</t>
  </si>
  <si>
    <t>H-400-23321-509244</t>
  </si>
  <si>
    <t>Wentworth Nursery</t>
  </si>
  <si>
    <t>41170 Oakville Rd</t>
  </si>
  <si>
    <t>WENTWORTH</t>
  </si>
  <si>
    <t>41170 OAKVILLE ROAD</t>
  </si>
  <si>
    <t>MECHANICSVILLE</t>
  </si>
  <si>
    <t>HOWARDW@WENTWORTH.COM</t>
  </si>
  <si>
    <t>Must beable to lift/carry 50lbs and work in both bending and standing positions for extended periods of time and in all types of weather.  In many cases our company may contract with schools, care centers and/or other restricted access sites.
State, local or other legal requirements may impose specific background or identification checks on all
individuals working in those locations, both foreign and domestic alike. Final hiring decisions for any
applicants found to have felonious convictions for violent (e.g. assault, rape, armed robbery, etc) and/or drug-related
offenses or a status with regard to sex offender registration lists will be evaluated individually and in
accordance with EEOC guidelines and other applicable laws.</t>
  </si>
  <si>
    <t>ST MARY'S</t>
  </si>
  <si>
    <t>California-Lexington Park, MD</t>
  </si>
  <si>
    <t>P-400-23205-210471</t>
  </si>
  <si>
    <t>howardw@wentworthnursery.com</t>
  </si>
  <si>
    <t>H-400-23296-449250</t>
  </si>
  <si>
    <t>Strates Shows, Inc.</t>
  </si>
  <si>
    <t>10600 S ORANGE AVE</t>
  </si>
  <si>
    <t>E. Jay</t>
  </si>
  <si>
    <t>jay@strates.com</t>
  </si>
  <si>
    <t xml:space="preserve">Hours, schedule, and days vary widely.  
Typically Wed-Sun, 4pm  11pm.  
Often 35-45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t>
  </si>
  <si>
    <t>10600 S Orange Aveune</t>
  </si>
  <si>
    <t>P-400-23193-182845</t>
  </si>
  <si>
    <t xml:space="preserve">Optional mobile housing ($150/week) is provided.  The employer will pay the cost of housing to the extent such costs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  </t>
  </si>
  <si>
    <t>stratescarnivalcompany.com</t>
  </si>
  <si>
    <t>PAINTER HELPER</t>
  </si>
  <si>
    <t>JIM FIELD &amp; SONS PAINTING INC</t>
  </si>
  <si>
    <t>14 PLANK ROAD</t>
  </si>
  <si>
    <t>FIELD</t>
  </si>
  <si>
    <t xml:space="preserve">14 PLANK ROAD </t>
  </si>
  <si>
    <t>P-400-23200-199745</t>
  </si>
  <si>
    <t>JFSPAINTING1@OPTONLINE.NET</t>
  </si>
  <si>
    <t>H-400-23345-556814</t>
  </si>
  <si>
    <t xml:space="preserve">Must be able to lift 50 lbs. Must be able to sit or stand for extended period of time. Must be able to bend, twist, reach, pull, push, operate hand or power tools or equipment.  Must pass a pre-employment criminal background check, paid by employer and applied equally to all workers, U.S. and foreign/H-2B. Must be able to work weekends and holidays, when required.  Must be able to work outdoors in a non-climate-controlled environment. Multiple shifts offered based on business needs. Applicants must complete an employment application. Employer may offer more than the stated work hours depending on weather, business needs, and other conditions. Extreme heat, cold, rain, or drought may affect exact working hours.
</t>
  </si>
  <si>
    <t>H-400-23336-539218</t>
  </si>
  <si>
    <t>SUN CASTLE RESORT</t>
  </si>
  <si>
    <t>3178 LAKE SHORE DRIVE</t>
  </si>
  <si>
    <t xml:space="preserve">DITTRICH </t>
  </si>
  <si>
    <t>P-400-23188-172728</t>
  </si>
  <si>
    <t>H-400-23336-539203</t>
  </si>
  <si>
    <t>S &amp; S NELSON LAND SERVICE INC</t>
  </si>
  <si>
    <t xml:space="preserve">LAKE OZARK </t>
  </si>
  <si>
    <t>P-400-23194-186131</t>
  </si>
  <si>
    <t>nelsonlandserv@yahoo.com</t>
  </si>
  <si>
    <t>Fast Food Cooks</t>
  </si>
  <si>
    <t>H-400-23336-539208</t>
  </si>
  <si>
    <t>New River Landscaping</t>
  </si>
  <si>
    <t>4178 Sinclair St.</t>
  </si>
  <si>
    <t>Blakeley</t>
  </si>
  <si>
    <t>newriverlandscapingwest@gmail.com</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</si>
  <si>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
</t>
  </si>
  <si>
    <t>4178 Sinclair Drive (Report to Work)</t>
  </si>
  <si>
    <t>H-400-23303-465945</t>
  </si>
  <si>
    <t>Mawa’s Kitchen</t>
  </si>
  <si>
    <t>305 Aspen Airport Business Center, Suite F</t>
  </si>
  <si>
    <t>McQueen</t>
  </si>
  <si>
    <t>Mawa</t>
  </si>
  <si>
    <t>Mawa@Mawaskitchen.com</t>
  </si>
  <si>
    <t xml:space="preserve">F.a.5 A-H. (continued)
Work hours: 7:30AM - 3:30PM. Work may be performed on any day of the week from Monday through Sunday, including holidays. Days off vary. Multiple Shifts available: 7:30AM - 3:30PM, or split shift from 11AM-3PM and 5PM - 9PM. </t>
  </si>
  <si>
    <t>P-400-23257-347330</t>
  </si>
  <si>
    <t>H-400-23275-405826</t>
  </si>
  <si>
    <t xml:space="preserve">Crawfish Peeler </t>
  </si>
  <si>
    <t xml:space="preserve">Crawfish Processing, LLC </t>
  </si>
  <si>
    <t xml:space="preserve">1142 Front Street Lot 2 </t>
  </si>
  <si>
    <t xml:space="preserve">Cottonport </t>
  </si>
  <si>
    <t xml:space="preserve">Bernard </t>
  </si>
  <si>
    <t>1142 Front Street Lot 2</t>
  </si>
  <si>
    <t>custserv@jbernardseafood.net</t>
  </si>
  <si>
    <t xml:space="preserve">Random drug screening upon hire (paid for by employer); post-accident drug screen as required by insurance. 
</t>
  </si>
  <si>
    <t>Cottonport</t>
  </si>
  <si>
    <t>AVOYELLES</t>
  </si>
  <si>
    <t>May make above hourly wage rate based on piece rate performance; piece rate of $2.50 per lb. if higher  than PWD</t>
  </si>
  <si>
    <t>P-400-23188-174609</t>
  </si>
  <si>
    <t xml:space="preserve">Employer will make all deductions for workers’ paycheck as required by law; deductions Employer intends to make from paycheck, which are not required by law, if applicable, would be deductions for housing, as discussed above, if employee choose voluntary housing option. Employer may allow deductions not required by law as long as advance permission is granted by employee or Employer will state the specific deductions.  Employer does provide boarding options. Voluntary, low-cost housing is available to workers for the option to board; $240/month is deducted from workers’ paychecks for workers who choose housing; all utilities paid; housing is not mandatory.
</t>
  </si>
  <si>
    <t>H-400-23321-508937</t>
  </si>
  <si>
    <t>Cousins Lawn Service LLC</t>
  </si>
  <si>
    <t>Cousins Lawn Service</t>
  </si>
  <si>
    <t>1310 Lindbergh St</t>
  </si>
  <si>
    <t>Owner/Managing Member</t>
  </si>
  <si>
    <t>cousinlawns@yahoo.com</t>
  </si>
  <si>
    <t xml:space="preserve">Able to lift 50lbs, M-F,  Overtime potential, Some Saturdays as needed
</t>
  </si>
  <si>
    <t>P-400-23229-274662</t>
  </si>
  <si>
    <t>cousinslawnservicellc@gmail.com</t>
  </si>
  <si>
    <t>H-400-23335-536692</t>
  </si>
  <si>
    <t>UNITED LANDSCAPE SERVICES, INC (UNL124A)</t>
  </si>
  <si>
    <t>729 Bellaire Ave</t>
  </si>
  <si>
    <t>MCFARLANE</t>
  </si>
  <si>
    <t>SUE ELLEN</t>
  </si>
  <si>
    <t>729 BELLAIRE AVE</t>
  </si>
  <si>
    <t>sem@unitedlandscape.net</t>
  </si>
  <si>
    <t xml:space="preserve">Must be able to tolerate extreme temperatures, loud noises; lift heavy equipment and exhibit stamina.  MUST PASS EMPLOYER-PAID POST-EMPLOYMENT DRUG TEST if assessed.
Work days: Mon - Friday - weather dependent. Occasional Saturday work (if rainout has caused us to fall behind.) 
Hours per week: 40
Work Schedule: 7:30 am to 4:00 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No. Worksite is accessible by city bus; may give rides for extreme situations
Overtime available?  Yes
On-the-Job Training provided?  Yes
Employer-Provided Tools and Equipment provided?  Yes
Board, Lodging or Other Facilities provided?:   No. Employer does not offer housing.
Deductions: N/A 
</t>
  </si>
  <si>
    <t>729 Bellaire Ave.</t>
  </si>
  <si>
    <t>P-400-23264-366567</t>
  </si>
  <si>
    <t>H-400-23336-539246</t>
  </si>
  <si>
    <t>PRO CARE LANDSCAPING LLC</t>
  </si>
  <si>
    <t>1902 WAYBRIDGE LANE</t>
  </si>
  <si>
    <t>FENTON</t>
  </si>
  <si>
    <t>WEHNER</t>
  </si>
  <si>
    <t>P-400-23198-192520</t>
  </si>
  <si>
    <t>eric@pro-carelandscaping.com</t>
  </si>
  <si>
    <t>H-400-23269-381835</t>
  </si>
  <si>
    <t>MVSB Realty LLC</t>
  </si>
  <si>
    <t>154 Sturbridge RD</t>
  </si>
  <si>
    <t>Simonelli</t>
  </si>
  <si>
    <t>Maryann</t>
  </si>
  <si>
    <t>PO Box 1740</t>
  </si>
  <si>
    <t>mvsbrealty@gmail.com</t>
  </si>
  <si>
    <t xml:space="preserve">Ability to pass drug and/or background checks. Must provide references to tourism related work experience. Seasonal or nature based hospitality work experience preferred. Must demonstrate excellent English language skills, bi-lingual is a plus. </t>
  </si>
  <si>
    <t>P-400-23234-285557</t>
  </si>
  <si>
    <t>https://kcc.ky.gov</t>
  </si>
  <si>
    <t>H-400-23320-508058</t>
  </si>
  <si>
    <t>Shipping, Receiving, and Inventory Clerk</t>
  </si>
  <si>
    <t>Shipping, Receiving, and Inventory Clerks</t>
  </si>
  <si>
    <t>Free and Noble Supply Inc</t>
  </si>
  <si>
    <t xml:space="preserve">Free and Noble Supplies </t>
  </si>
  <si>
    <t>4770 East 48th Street</t>
  </si>
  <si>
    <t>Tumaneng</t>
  </si>
  <si>
    <t>Ramel</t>
  </si>
  <si>
    <t>Parangan</t>
  </si>
  <si>
    <t>rameltumaneng@yahoo.com</t>
  </si>
  <si>
    <t>A person who can read, write and speak fluently. He/ She is also willing to be trained and can easily adopt with the company's policies.</t>
  </si>
  <si>
    <t>P-400-23284-425306</t>
  </si>
  <si>
    <t>Not applicable.</t>
  </si>
  <si>
    <t>www.freeandnoblesupplies.com</t>
  </si>
  <si>
    <t>H-400-23321-508559</t>
  </si>
  <si>
    <t xml:space="preserve">Angelotta Landscaping, Inc. </t>
  </si>
  <si>
    <t>28975 Cannon Rd</t>
  </si>
  <si>
    <t>P. O. Box 22042, Beachwood, OH 44122</t>
  </si>
  <si>
    <t>Angelotta</t>
  </si>
  <si>
    <t>28975 Cannon Road</t>
  </si>
  <si>
    <t>thomas.angelotta@outlook.com</t>
  </si>
  <si>
    <t xml:space="preserve">Lift/carry up to 50 pounds.  Work extended daily hours and weekends when necessary.    Employer paid drug test is Random (post-employment). 
</t>
  </si>
  <si>
    <t>Character Limit:  overtime is not guaranteed but if worked rate is paid at time and a half per hour above 40 h</t>
  </si>
  <si>
    <t>P-400-23166-115582</t>
  </si>
  <si>
    <t>H-400-23279-414437</t>
  </si>
  <si>
    <t>ABC Professional Tree Services, Inc - Hot Springs</t>
  </si>
  <si>
    <t>5321 Central Ave,</t>
  </si>
  <si>
    <t>P-400-23195-190936</t>
  </si>
  <si>
    <t>Henry</t>
  </si>
  <si>
    <t>H-400-23336-539490</t>
  </si>
  <si>
    <t>Heath Outdoor, LLC</t>
  </si>
  <si>
    <t>True North Landscaping</t>
  </si>
  <si>
    <t>1302 Columbia Ave.</t>
  </si>
  <si>
    <t>Hurst</t>
  </si>
  <si>
    <t xml:space="preserve">Requires three months of previous landscape experience. Must lift/carry 50 lbs., when necessary.  Saturday and Sunday work required, when necessary.  Post-hire post-accident drug testing required of foreign and domestic workers. Employer may offer more than the stated work hours depending on weather, business needs, and other conditions. Extreme heat, cold, rain, or drought may affect exact working hours.
</t>
  </si>
  <si>
    <t>1302 Columbia Ave</t>
  </si>
  <si>
    <t>P-400-23259-352689</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</si>
  <si>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Voluntary advances and/or loans made to workers, if any, may be repaid by pre-authorized payroll deductions.   Employer may deduct retirement/savings plan contributions and/or health insurance premiums for workers voluntarily participating in plan(s). Employer provides incidental transportation between worksites as necessary. No daily transportation to/from workers' home and primary worksite. Such transportation complies with all applicable Federal, State, and local laws/regulations.</t>
  </si>
  <si>
    <t>info@heathoutdoor.net</t>
  </si>
  <si>
    <t>H-400-23336-538911</t>
  </si>
  <si>
    <t>Simpson Lawn Care, LLC</t>
  </si>
  <si>
    <t>2320 Coyote Run</t>
  </si>
  <si>
    <t>dsimp623@gmail.com</t>
  </si>
  <si>
    <t>2320  (Report to Work)</t>
  </si>
  <si>
    <t>Coyote Run</t>
  </si>
  <si>
    <t>P-400-23262-359704</t>
  </si>
  <si>
    <t>Optional, shared housing available to the worker (including: Utilizes) at a monthly housing rate up to $550; if optional housing is agreed upon by the worker, monthly housing rate will be deducted from worker's paycheck incrementally (bi-weekly).</t>
  </si>
  <si>
    <t>H-400-23278-413761</t>
  </si>
  <si>
    <t>H-400-23337-540018</t>
  </si>
  <si>
    <t>Solarshield Remodelers, Inc</t>
  </si>
  <si>
    <t>1701 3rd Ave.</t>
  </si>
  <si>
    <t>Marketing Mrg./Salesman</t>
  </si>
  <si>
    <t>1701 3rd. Ave.</t>
  </si>
  <si>
    <t>suegreen5756@gmail.com</t>
  </si>
  <si>
    <t xml:space="preserve">Lift/carry up to 130 pounds.  Not afraid of heights.  Work extended daily hours and weekends when necessary.   After 14 days on the job training, workers will be certified and must maintain that level of craftmanship. Ability to legally drive company vehicles preferred. Ability to communicate in English preferred. Workers will not be afraid of heights.
</t>
  </si>
  <si>
    <t>1701 3rd Avenue</t>
  </si>
  <si>
    <t>BLAIR</t>
  </si>
  <si>
    <t>Altoona, PA</t>
  </si>
  <si>
    <t>P-400-23222-255381</t>
  </si>
  <si>
    <t xml:space="preserve">Shared housing available to only seasonal full-time employees, not offered to non-employees. Employees may make their own arrangements at their own expense. If they opt to live in employer provided housing rent (utilities included) charged at $175.00/week.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</si>
  <si>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rgreen@atlanticbbn.net</t>
  </si>
  <si>
    <t>H-400-23336-538886</t>
  </si>
  <si>
    <t>Holiday Inn Club Vacations - Apple Mountain</t>
  </si>
  <si>
    <t>200 Apple Seed Ct</t>
  </si>
  <si>
    <t>Clarkesville</t>
  </si>
  <si>
    <t xml:space="preserve">Must pass a pre-employment criminal background check, paid by employer and applied equally to all workers, U.S. and foreign/H-2B. Must be able to work weekends and holidays, when required. Must be able to work with various standard household cleaning agents. Multiple shifts offered based on business needs. Applicants must complete an employment application. Employer may offer more than the stated work hours depending on weather, business needs, and other conditions. Extreme heat, cold, rain, or drought may affect exact working hours.
 </t>
  </si>
  <si>
    <t>HABERSHAM</t>
  </si>
  <si>
    <t>P-400-23294-448543</t>
  </si>
  <si>
    <t>H-400-23339-543353</t>
  </si>
  <si>
    <t xml:space="preserve">¿Caribbean Quality Cleaning Services </t>
  </si>
  <si>
    <t>498 Aleta Ave</t>
  </si>
  <si>
    <t xml:space="preserve">None
F.a.5 A-H.
7-hour workday. 8am-4pm Mon-Sun; varying shifts with 2 days off. OT hours possible </t>
  </si>
  <si>
    <t>207 Miracle Strip Pkwy SW</t>
  </si>
  <si>
    <t>P-400-23305-471240</t>
  </si>
  <si>
    <t>Admin Assistant</t>
  </si>
  <si>
    <t>H-400-23319-502318</t>
  </si>
  <si>
    <t>PO Box 820668</t>
  </si>
  <si>
    <t xml:space="preserve">Must be at least 21 years of age.
Must be able to lift 50 lbs.
Post-employment criminal background check required, cost paid by employer and applied equally to all workers, U.S. and foreign/H-2B. 
Post-employment and post-injury/incident drug testing, cost paid by employer and applied equally to all workers, U.S. and foreign/H-2B. 
Must be able to work a 5-day schedule, including weekends and holidays as required.
Applicant must complete an employment application.
Required uniform provided at no charge to the worker.
</t>
  </si>
  <si>
    <t>Please See Section F.a.4.</t>
  </si>
  <si>
    <t>P-400-23171-126844</t>
  </si>
  <si>
    <t xml:space="preserve">Optional employee shared housing, including utilities, is available at approximately $100 per person per week. Cost of housing will be deducted from the worker's paycheck if the worker elects.
</t>
  </si>
  <si>
    <t>H-400-23307-477841</t>
  </si>
  <si>
    <t>JDK ASSOCIATES, INC.</t>
  </si>
  <si>
    <t>2425 W. AMMANN RD.</t>
  </si>
  <si>
    <t>BULVERDE</t>
  </si>
  <si>
    <t>KENNEY</t>
  </si>
  <si>
    <t>STEVE@JDKINC.COM</t>
  </si>
  <si>
    <t xml:space="preserve">MUST BE ABLE TO LIFT 60 POUNDS. Schedule varies, overtime available as needed.
</t>
  </si>
  <si>
    <t>P-400-23250-328304</t>
  </si>
  <si>
    <t>H-400-23321-508556</t>
  </si>
  <si>
    <t>Alamo Amusements, Inc</t>
  </si>
  <si>
    <t>722 Colwyn Pass</t>
  </si>
  <si>
    <t>alamoamusements@msn.com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</si>
  <si>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criminal background check and post-employment / post-injury or incident and reasonable suspicion drug test required, cost paid by employer and applied to all workers, US and foreign/H2B. Applicants must cooperate with and complete job application and interview truthfully.</t>
  </si>
  <si>
    <t>4902 Roosevelt Ave</t>
  </si>
  <si>
    <t>P-400-23173-137638</t>
  </si>
  <si>
    <t>H-400-23321-510434</t>
  </si>
  <si>
    <t>Yosemite Bug, LLC</t>
  </si>
  <si>
    <t xml:space="preserve">Yosemite Bug Rustic Mountain Resort </t>
  </si>
  <si>
    <t>6979A Highway 140</t>
  </si>
  <si>
    <t>PO Box 81</t>
  </si>
  <si>
    <t>Midpines</t>
  </si>
  <si>
    <t>douglas@yosemitebug.com</t>
  </si>
  <si>
    <t>MUST BE ABLE
TO LIFT 50 LBS. TO SHOULDER HEIGHT REPETITIVELY THROUGHOUT THE WORKING DAY. MUST BE 18 YEARS OF AGE. DRUG/ALCOHOL/TOBACCO FREE WORK ZONE.
MUST COMMIT TO WORK THE ENTIRE CONTRACT PERIOD.</t>
  </si>
  <si>
    <t xml:space="preserve">Employer may offer a higher wage or bonus to a worker due to work performance, skill or tenure.  </t>
  </si>
  <si>
    <t>P-400-23250-327009</t>
  </si>
  <si>
    <t>The employer will make the following deductions from the worker’s wages:  FICA, Medicare and income taxes as required by law.  The employer may make authorized deductions required by law; made under a court order; that are for the reasonable cost or fair value of board, lodging, and facilities furnished that primarily benefit the employee (if applicable) (board, lodging or other facilities are optional to the workers); that are amounts paid to third parties authorized by the employee or a collective bargaining agreement; repayment of cash advances or loans; repayment of overpayment of wages to the worker; payment for articles which the worker has voluntarily purchased from the employer; recovery of any loss to the employer due to the worker’s damage, beyond normal wear and tear, or loss of equipment where it is shown that the worker is responsible.</t>
  </si>
  <si>
    <t>douglas@yosemitbug.com</t>
  </si>
  <si>
    <t>H-400-23304-466511</t>
  </si>
  <si>
    <t>Baker Landscaping &amp; Concrete, LLC</t>
  </si>
  <si>
    <t>5215 Old State Hwy 21</t>
  </si>
  <si>
    <t>adam@bakerlandscaping.net</t>
  </si>
  <si>
    <t>5215 Old State Hwy 21 (Report to Work)</t>
  </si>
  <si>
    <t>P-400-23236-291064</t>
  </si>
  <si>
    <t>Optional, shared housing available to the worker at a monthly housing rate up to $425; if optional housing is agreed upon by the worker, monthly housing rate will be deducted from worker's paycheck incrementally (bi-weekly). At Employer’s sole discretion: possible cash advances (if applicable/requested by worker, potential deduction from worker’s paycheck).</t>
  </si>
  <si>
    <t>nspangler@bakerlandscaping.net</t>
  </si>
  <si>
    <t>H-400-23307-476477</t>
  </si>
  <si>
    <t xml:space="preserve">No minimum education or experience required.
Workers are subject to post-employment criminal background checks, paid by employer and applied equally to all workers, U.S. and foreign/H-2B. 
Must be able to work a minimum 5-day work week. 
Must be able to work weekends and holidays. 
Applicant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</si>
  <si>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P-400-23188-173136</t>
  </si>
  <si>
    <t xml:space="preserve">A single workweek will be used to compute wages due. Pay received bi-weekly.  
Employer will make all deductions from the worker's paycheck required by law.
Optional employee shard housing available, including utilities, approx. $150.00 per week, plus $300.00 deposit required ($100.00 non-refundable, $200.00 refundable). Transportation provided between employer’s housing and worksite at approx. $20 per week. Meals available for purchase at approx. $3.00 per meal. Housing, meals, and transportation payroll deducted if employee elects.
</t>
  </si>
  <si>
    <t>H-400-23305-469582</t>
  </si>
  <si>
    <t>Villegas Enterprises Inc</t>
  </si>
  <si>
    <t>Outdoor Solutions</t>
  </si>
  <si>
    <t>7131 Jamesson Court</t>
  </si>
  <si>
    <t>Tony@outdoorsolutionscolumbus.com</t>
  </si>
  <si>
    <t>7131 Jamesson Court (Report to Work)</t>
  </si>
  <si>
    <t>P-400-23200-200163</t>
  </si>
  <si>
    <t>kristin@outdoorsolutionscolumbus.com</t>
  </si>
  <si>
    <t>H-400-23243-313520</t>
  </si>
  <si>
    <t>2 N Shore Dr North</t>
  </si>
  <si>
    <t>Sherburn</t>
  </si>
  <si>
    <t>Southeast Minnesota nonmetropolitan area</t>
  </si>
  <si>
    <t>P-400-23146-056875</t>
  </si>
  <si>
    <t>All deductions will be made as required by law. Any advances will be deducted with the consent of the employee. The employer will provide housing as an option to employees living outside the regular commuting distance. Employees who elect to live in the housing will have an additional $250.00 deducted per bi-weekly paycheck for rent and utilities.</t>
  </si>
  <si>
    <t>Macomb</t>
  </si>
  <si>
    <t>LONGVIEW</t>
  </si>
  <si>
    <t>Allyson</t>
  </si>
  <si>
    <t>Duanesburg</t>
  </si>
  <si>
    <t>H-400-23320-507541</t>
  </si>
  <si>
    <t>4761 Valley Springs Drive</t>
  </si>
  <si>
    <t>P-400-23271-392630</t>
  </si>
  <si>
    <t>H-400-23304-466793</t>
  </si>
  <si>
    <t>Lakeside Concessions LLC</t>
  </si>
  <si>
    <t>12168 East 173rd Street S.</t>
  </si>
  <si>
    <t>Webbers Falls</t>
  </si>
  <si>
    <t>DeRamus</t>
  </si>
  <si>
    <t>Suzanne</t>
  </si>
  <si>
    <t xml:space="preserve">12168 East 173rd Street S. </t>
  </si>
  <si>
    <t xml:space="preserve">Webbers Falls </t>
  </si>
  <si>
    <t>lconcessions@yahoo.com</t>
  </si>
  <si>
    <t>MUSKOGEE</t>
  </si>
  <si>
    <t>P-400-23212-225938</t>
  </si>
  <si>
    <t>Employer will make all deductions from the worker’s paycheck required by law.  In addition, the employer intends to make the following deductions from the worker’s paycheck which are not required by law:   NONE Optional mobile housing (valued at $125.00 per week) and local convenience travel (valued at $25.00 per week) are available at no cost to the worker.</t>
  </si>
  <si>
    <t>H-400-23320-505561</t>
  </si>
  <si>
    <t>P-400-23221-252387</t>
  </si>
  <si>
    <t>H-400-23205-211796</t>
  </si>
  <si>
    <t>885 N Henderson Rd</t>
  </si>
  <si>
    <t>Rushville</t>
  </si>
  <si>
    <t>RUSH</t>
  </si>
  <si>
    <t>P-400-23167-120259</t>
  </si>
  <si>
    <t>All deductions from the worker's paycheck will be made as required by law. The employer will provide housing as an option to the employees. Employees who elect to live in the housing will have an additional $175.00 deducted per bi-weekly paycheck for rent and utilities. Any advances will be deducted with the consent of the employee.</t>
  </si>
  <si>
    <t>H-400-23184-162290</t>
  </si>
  <si>
    <t xml:space="preserve">1982 FM 2725 </t>
  </si>
  <si>
    <t xml:space="preserve">Must pass pre-hire drug test and medical physical.  Must pass a written and functional welding test administered at the project worksite in Corpus Christi, Texas at employer's expense.  Must be able to lift and or/move a minimum of 50 lbs.  These requirements will be carried out equally between U.S. and H-2B workers.
</t>
  </si>
  <si>
    <t>P-400-23095-906033</t>
  </si>
  <si>
    <t>H-400-23185-165976</t>
  </si>
  <si>
    <t xml:space="preserve">Exact wate rate to be determined by internal metrics and CBA terms. </t>
  </si>
  <si>
    <t>P-400-23122-984586</t>
  </si>
  <si>
    <t>H-400-23235-290143</t>
  </si>
  <si>
    <t>5550 Cerritos Avenue Ste. E</t>
  </si>
  <si>
    <t>2480 Rubidoux Blvd</t>
  </si>
  <si>
    <t>Rubidoux</t>
  </si>
  <si>
    <t>P-400-23163-102216</t>
  </si>
  <si>
    <t>Daingerfield</t>
  </si>
  <si>
    <t>Helpers - Electricians</t>
  </si>
  <si>
    <t>E&amp;T Electric LLC</t>
  </si>
  <si>
    <t>229 9th Avenue</t>
  </si>
  <si>
    <t>REGALADO</t>
  </si>
  <si>
    <t>tony@eandtelectric.com</t>
  </si>
  <si>
    <t>11080 Archer Road</t>
  </si>
  <si>
    <t>P-400-23172-132890</t>
  </si>
  <si>
    <t>None.  Work days:  Monday through Friday hours 7 AM to 4 PM with 1 hour off for lunch.</t>
  </si>
  <si>
    <t>hr@eandtelectric.com</t>
  </si>
  <si>
    <t>H-400-23325-516031</t>
  </si>
  <si>
    <t>Yellowstone Landscape - Southeast, LLC_St. Augustine</t>
  </si>
  <si>
    <t>1965 State Road 207</t>
  </si>
  <si>
    <t>1965 State Road 207,</t>
  </si>
  <si>
    <t>P-400-23236-293686</t>
  </si>
  <si>
    <t>H-400-23317-497658</t>
  </si>
  <si>
    <t>LIFEGUARD</t>
  </si>
  <si>
    <t xml:space="preserve">Must be Lifeguard Certified (including CPR and First Aide).
No minimum education or experience required. 
Must be able to work a minimum 5-day workweek.
Must be able to work weekends and holidays.
Must be able to lift 25 lbs.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</si>
  <si>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Employer may increase wage based on performance, experience, tenure, or market conditions.</t>
  </si>
  <si>
    <t>P-400-23173-135175</t>
  </si>
  <si>
    <t>resorth2bs@HHS1.COM</t>
  </si>
  <si>
    <t>H-400-23321-508570</t>
  </si>
  <si>
    <t>Junior Construction Company, Inc.</t>
  </si>
  <si>
    <t>6501 County Road 1205</t>
  </si>
  <si>
    <t>Cuellar</t>
  </si>
  <si>
    <t>juniorconstruction@aol.com</t>
  </si>
  <si>
    <t>6501 County Road 1205 (Report to Work)</t>
  </si>
  <si>
    <t>P-400-23188-175354</t>
  </si>
  <si>
    <t>H-400-23269-382018</t>
  </si>
  <si>
    <t>Hyatt Regency Portland at the Oregon Convention Center</t>
  </si>
  <si>
    <t>375 NE Holladay St</t>
  </si>
  <si>
    <t>Hasib</t>
  </si>
  <si>
    <t>Isma</t>
  </si>
  <si>
    <t>Director of Colleague Experience</t>
  </si>
  <si>
    <t>isma.hasib@hyatt.com</t>
  </si>
  <si>
    <t xml:space="preserve">24 months of previous line cook experience. Must be able to work multiple stations in the kitchen.  
</t>
  </si>
  <si>
    <t>P-400-23179-151264</t>
  </si>
  <si>
    <t>All deductions required by state and local law.  Additional deductions include union dues as set by the collective bargaining agreement in effect; health insurance premiums as applicable.</t>
  </si>
  <si>
    <t>https://worksourceoregon.org/</t>
  </si>
  <si>
    <t>Hammerhead/Horizontal Drill Operator</t>
  </si>
  <si>
    <t>Earth Drillers, Except Oil and Gas</t>
  </si>
  <si>
    <t xml:space="preserve">1 yr. of experience in construction operations involving drilling and boring machines operation; 1 yr. of experience in reading and interpreting engineering plans/specifications; able to sit, stand, bend, walk and drive or ride in a vehicle for long periods of time; able to understand and implement construction safety procedures; eligible for CDL Class A license; able to work in all weather conditions.
</t>
  </si>
  <si>
    <t>Ardmore Area</t>
  </si>
  <si>
    <t>P-400-23118-977423</t>
  </si>
  <si>
    <t>H-400-23184-164269</t>
  </si>
  <si>
    <t>Assembler/Packer</t>
  </si>
  <si>
    <t>Request Foods, Inc.</t>
  </si>
  <si>
    <t>3460 John F. Donnelly Dr.</t>
  </si>
  <si>
    <t>Zink</t>
  </si>
  <si>
    <t>Senior Director of People Services</t>
  </si>
  <si>
    <t>marzin@requestfoods.com</t>
  </si>
  <si>
    <t>Warner Norcross + Judd, LLP</t>
  </si>
  <si>
    <t xml:space="preserve">Extensive standing and repetitive motion; lifting up to 15 pounds. 
</t>
  </si>
  <si>
    <t xml:space="preserve"> Typical hours are 7:00 AM to 3:30 pm and 3:30 PM to 12:30 AM.  Specific hours will vary depending on production volume.</t>
  </si>
  <si>
    <t>P-400-23116-968464</t>
  </si>
  <si>
    <t xml:space="preserve">Employer offers shared, dormitory housing to active workers and will deduct $80 per person per week from the worker's paycheck for these expenses for workers who choose them. The employer will make all required deductions from the worker's paycheck as required by law.  </t>
  </si>
  <si>
    <t>www.requestfoods.com</t>
  </si>
  <si>
    <t>H-400-23208-219341</t>
  </si>
  <si>
    <t>1521 Ski Hill Road</t>
  </si>
  <si>
    <t>P-400-23113-957867</t>
  </si>
  <si>
    <t>H-400-23186-168741</t>
  </si>
  <si>
    <t>Sandra Mercado</t>
  </si>
  <si>
    <t>2219 Terry Avenue</t>
  </si>
  <si>
    <t>Mercado</t>
  </si>
  <si>
    <t>Owner, Sole Proprietor</t>
  </si>
  <si>
    <t>swithts@gmail.com</t>
  </si>
  <si>
    <t>Eugenia</t>
  </si>
  <si>
    <t>5700 Tennyson Pkwy.</t>
  </si>
  <si>
    <t>eponce@lawponce.com</t>
  </si>
  <si>
    <t>The Ponce Law Office, P.C.</t>
  </si>
  <si>
    <t>P-400-23121-981433</t>
  </si>
  <si>
    <t>Lodging will be optionally available in employer owned housing at no additional cost to the employee.</t>
  </si>
  <si>
    <t>PONCE</t>
  </si>
  <si>
    <t>The Ponce Law Office, P.C</t>
  </si>
  <si>
    <t>H-400-23229-273418</t>
  </si>
  <si>
    <t>House Attendants</t>
  </si>
  <si>
    <t>P-400-23157-082482</t>
  </si>
  <si>
    <t>H-400-23228-269054</t>
  </si>
  <si>
    <t>VR US HOLDINGS II, LLC</t>
  </si>
  <si>
    <t>Stowe Mountain Resort</t>
  </si>
  <si>
    <t>5781 Mountain Road</t>
  </si>
  <si>
    <t xml:space="preserve">Must be able to stand for extended periods of time. Must be able to lift up to 40 pounds. 
</t>
  </si>
  <si>
    <t xml:space="preserve"> 5800 Mountain Road</t>
  </si>
  <si>
    <t>P-400-23113-957877</t>
  </si>
  <si>
    <t>Optional subsidized employee housing is available but limited. Space may not be available for all employees Biweekly cost is $240.00 to $285.00 depending on unit type (i.e. number of beds in unit and number of people living in unit). Employee is responsible for paying housing cost biweekly. A license deposit of $250 is due prior to check-in. With employee's voluntary consent, housing cost will be deducted from paycheck</t>
  </si>
  <si>
    <t>H-400-23228-267452</t>
  </si>
  <si>
    <t>Requirements:  Six (6) months of housekeeping experience in a high-end hotel, resort, or private club required. On-the-job training is provided.    Applicant must provide Pre-employment Criminal Background Check and Pre-employment Drug Test is required.
Shifts: Work schedule can vary and can include evening, weekend, and holiday hours. Work may be performed on any day of the week from Monday through Sunday. Example shifts: 8:30am to 4:30pm, or 7:00am to 3:00pm, 8:00am to 4:00 pm, or 3:00pm to 11:00pm. Shift hours may vary.</t>
  </si>
  <si>
    <t>P-400-23184-165296</t>
  </si>
  <si>
    <t>H-400-23285-428278</t>
  </si>
  <si>
    <t>P-400-23261-355985</t>
  </si>
  <si>
    <t>H-400-23184-162498</t>
  </si>
  <si>
    <t>Ileana Y Lili</t>
  </si>
  <si>
    <t>1280 Ocean View</t>
  </si>
  <si>
    <t>Paan-Palma</t>
  </si>
  <si>
    <t>Emilia</t>
  </si>
  <si>
    <t>1280 Ocean View Ave</t>
  </si>
  <si>
    <t xml:space="preserve">No ed, exp, or training req'd. 35hr/wk, no overtime promised.
</t>
  </si>
  <si>
    <t>P-400-23107-939291</t>
  </si>
  <si>
    <t>emilypalma9702@gmail.com</t>
  </si>
  <si>
    <t>H-400-23249-323754</t>
  </si>
  <si>
    <t>Cajun Central, Inc.</t>
  </si>
  <si>
    <t>4435 Whiteville Road</t>
  </si>
  <si>
    <t>Ville Platte</t>
  </si>
  <si>
    <t>Floyed</t>
  </si>
  <si>
    <t>annfloyed@centralcrawfish.com</t>
  </si>
  <si>
    <t xml:space="preserve">Two-week training period is provided by employer; employees are required to adhere to company's production standard of 5 lbs. per hour worked; employees unable to achieve the production standard stated in the contract will not be allowed to work over the minimum amount of hours offered. Employees producing lower than the production standard for an extended period of time with no improvement may be subject to job termination at the discretion of management.
</t>
  </si>
  <si>
    <t>May be paid piece rate wage of $2.15/lb. if higher than hourly wage; Possible $10/day bonus if min 5 lbs peeled</t>
  </si>
  <si>
    <t>P-400-23180-153746</t>
  </si>
  <si>
    <t xml:space="preserve">Employer will make all deductions for workers’ paycheck as required by law; deductions. Employer may allow deductions not required by law as long as advance permission is granted by employee or Employer will state the specific deductions.  Voluntary no-cost housing is available to workers for the option to
board; no married housing will be available, as men and woman must live in separate
housing
</t>
  </si>
  <si>
    <t>H-400-23187-169120</t>
  </si>
  <si>
    <t>John W. Sadler Racing, Inc.</t>
  </si>
  <si>
    <t xml:space="preserve">12223 Highland Ave. </t>
  </si>
  <si>
    <t>#106-578</t>
  </si>
  <si>
    <t>Rancho Cucamonga</t>
  </si>
  <si>
    <t>Sadler</t>
  </si>
  <si>
    <t>12223 Highland Ave  # 106-578</t>
  </si>
  <si>
    <t>johnwsadler10@yahoo.com</t>
  </si>
  <si>
    <t>4516 South 700 East</t>
  </si>
  <si>
    <t>Suite 280</t>
  </si>
  <si>
    <t>This job requires a split shift from 5:00 a.m. to 11:00 a.m. and return in the afternoon to feed and bath the horses from 4:00 p.m. to 5:00 p.m.</t>
  </si>
  <si>
    <t>Santa Anita Racetrack</t>
  </si>
  <si>
    <t>285 W Huntington Drive</t>
  </si>
  <si>
    <t>P-400-23149-060502</t>
  </si>
  <si>
    <t>The employer will make all deductions from the worker's paycheck required by law including any federal, state, and local income tax withholding as well as FICA.</t>
  </si>
  <si>
    <t>johnsadlerstables@gmail.com</t>
  </si>
  <si>
    <t>H-400-23229-273447</t>
  </si>
  <si>
    <t>P-400-23157-082498</t>
  </si>
  <si>
    <t>H-400-23227-264777</t>
  </si>
  <si>
    <t>Temporary Front Desk Agent</t>
  </si>
  <si>
    <t xml:space="preserve">Basic reading and speaking skills in English. Additional worksites: Grand Summit, 97 Summit Drive, Newry, ME 04261; Jordan, 27 Grand Avenue, Newry, ME 04261; and, Snow Cap Inn, 9 Snow Cap Road, Newry, ME 04261
</t>
  </si>
  <si>
    <t xml:space="preserve">35 hours/week, 0-10 OT hours/week, OT varies (OT must be pre-approved); 5-hour shifts; 5-6 days/week (Sun- Sat, schedule varies and includes evenings and weekends; business is open 7 days/week); Shifts are between 6:00 am to 11:00 pm.
</t>
  </si>
  <si>
    <t>P-400-23125-995234</t>
  </si>
  <si>
    <t>•	Workers also have the option of securing their own lodging. Workers have the option of employer-provided housing for $140.00 per week, and if elected, employer will deduct costs from worker’s paycheck. 
•	Employer will make all deductions from the worker’s paycheck required by law and any non-legally required payroll deductions permitted under the law and requested by Employee.</t>
  </si>
  <si>
    <t>H-400-23228-269009</t>
  </si>
  <si>
    <t>P-400-23113-957871</t>
  </si>
  <si>
    <t>Optional subsidized employee housing is available but limited. Space may not be available for all employees Biweekly cost is $240.00 to $285.00 depending on unit type (i.e. number of beds in unit and number of people living in unit). Employee is responsible for paying housing cost biweekly. A license deposit of $250 is due prior to check-in. With employee's voluntary consent, housing cost will be deducted from paycheck.</t>
  </si>
  <si>
    <t>H-400-23213-230122</t>
  </si>
  <si>
    <t>Boreas Realty</t>
  </si>
  <si>
    <t>6076 Lindsey LN</t>
  </si>
  <si>
    <t>Rowbotham</t>
  </si>
  <si>
    <t>P-400-23158-087609</t>
  </si>
  <si>
    <t>All deductions required by law. Assistance finding and securing lodging is available, if needed,  at no additional charge to worker.</t>
  </si>
  <si>
    <t>mrowbotham@cncllc.org</t>
  </si>
  <si>
    <t>H-400-23231-279298</t>
  </si>
  <si>
    <t xml:space="preserve">ABILITY TO WALK AND MOVE/LIFT UP TO 50 LBS. AND BE TOLERANT OF COLD WEATHER.
</t>
  </si>
  <si>
    <t>P-400-23152-068208</t>
  </si>
  <si>
    <t>H-400-23184-162494</t>
  </si>
  <si>
    <t>Helpers: Brick/Blockmason, Stonemason &amp; Tile/Marble Setters</t>
  </si>
  <si>
    <t>RJ MASONRY, INC.</t>
  </si>
  <si>
    <t>Applicants must be of physical character able to display strength and dexterity in both arms and hands, exhibit trunk strength using abdominal and lower back muscles continually over time, as well as be able to spend the majority of the work day outdoors, in all weather, standing without giving out. Repeated heavy lifting is required. Position requires the ability to understand and follow verbal and written directions with exactness and integrity. No experience or prior training/education required. Applicants will be trained in proper wearing and use of safety guidelines, tools, and equipment including hand tools, forklifts, hearing protection, safety glasses, steel toed boots, and gloves, and will be required to comply with exactness. A worker in this position will be working at various job sites in Wasatch, Summit, Salt Lake, Utah, and Cache counties.</t>
  </si>
  <si>
    <t>P-400-23081-870026</t>
  </si>
  <si>
    <t>H-400-23209-224203</t>
  </si>
  <si>
    <t>SURVEY ASSISTANT</t>
  </si>
  <si>
    <t>Survey Researchers</t>
  </si>
  <si>
    <t xml:space="preserve">NATIONAL UNION OF NON PROFIT DOMINICAN REPUBLIC INC. </t>
  </si>
  <si>
    <t>2070 grand concourse Suite 1</t>
  </si>
  <si>
    <t>BRONX</t>
  </si>
  <si>
    <t>POZO CUESTA</t>
  </si>
  <si>
    <t>FELIX</t>
  </si>
  <si>
    <t xml:space="preserve">DIRECTOR </t>
  </si>
  <si>
    <t>info@nonprofitdr.org</t>
  </si>
  <si>
    <t>EXPERIENCE IN NON-PROFIT PROGRAMS</t>
  </si>
  <si>
    <t>Bronx</t>
  </si>
  <si>
    <t>P-400-23149-060457</t>
  </si>
  <si>
    <t>no deductions will be made to the worker</t>
  </si>
  <si>
    <t>Nonprofitdr.org</t>
  </si>
  <si>
    <t>H-400-23198-195149</t>
  </si>
  <si>
    <t>CHILD CARE ASSISTANT</t>
  </si>
  <si>
    <t>P-400-23160-096116</t>
  </si>
  <si>
    <t>H-400-23184-164644</t>
  </si>
  <si>
    <t xml:space="preserve">3 mos. exp. in heavy construction equipment operations; able to sit, stand, bend, walk and drive or ride in a vehicle for long periods of time; understand and implement construction safety procedures; able to work in all weather conditions. 40 hours/week, Mon-Sun, 8:00am to 5:00pm (schedule varies),  18 years old age requirement.
</t>
  </si>
  <si>
    <t>H-400-23191-175806</t>
  </si>
  <si>
    <t>Angela's International, LLC.</t>
  </si>
  <si>
    <t>6278 Mooring Line Circle</t>
  </si>
  <si>
    <t>[Mail: 1700 Duanesburg Road, Duanesburg, NY 12056}</t>
  </si>
  <si>
    <t>Apollo Beach</t>
  </si>
  <si>
    <t>Viscusi</t>
  </si>
  <si>
    <t>Tonio</t>
  </si>
  <si>
    <t>{Mail: 1700 Duanesburg Road  Duanesburg, NY 12056}</t>
  </si>
  <si>
    <t>tonio@angelasconcessions.com</t>
  </si>
  <si>
    <t>1700 Duanesburg Road</t>
  </si>
  <si>
    <t>P-400-23138-033816</t>
  </si>
  <si>
    <t>Optional housing (valued at $175.00 per week) and local convenience travel (valued at $25.00 per week) are available at no cost to the worker.  Employer will make all deductions from the worker’s paycheck required by law.  In addition, the employer intends to make the following deductions from the worker’s paycheck which are not required by law:   NONE</t>
  </si>
  <si>
    <t>H-400-23221-251045</t>
  </si>
  <si>
    <t>OC Forestry, Inc.</t>
  </si>
  <si>
    <t xml:space="preserve">1702 W. Main St. </t>
  </si>
  <si>
    <t>1702 W. Main St.</t>
  </si>
  <si>
    <t>ocforestry@hotmail.com</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</si>
  <si>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
*Must have 3 months Commercial Brushsaw/Chainsaw Experience. *
</t>
  </si>
  <si>
    <t>1702 W Main St.  (Report to Work)</t>
  </si>
  <si>
    <t>P-400-23130-011726</t>
  </si>
  <si>
    <t>H-400-23243-312095</t>
  </si>
  <si>
    <t>UB Holding LLC</t>
  </si>
  <si>
    <t>2325 Strunks Road</t>
  </si>
  <si>
    <t>Shakoppe</t>
  </si>
  <si>
    <t xml:space="preserve">Acevedo Avila </t>
  </si>
  <si>
    <t xml:space="preserve">2325 Strunks Road </t>
  </si>
  <si>
    <t>acevedob97@yahoo.com</t>
  </si>
  <si>
    <t xml:space="preserve">Must lift/carry 50 lbs., when necessary.  Saturday and Sunday work required, when necessary.  Must be able to perform manual, physical labor outside during all weather conditions (hot, cold, rain, snow, etc.).
</t>
  </si>
  <si>
    <t>P-400-23158-086493</t>
  </si>
  <si>
    <t>Employer will make all deductions required by law and no others without written consent from worker. The employer does not envision other workforce-wide payroll deductions. Potential elective deductions to be pre-authorized in writing if applicable are as follows: employer to provide company specific washable uniforms at no cost to the worker. Employer may provide contact information for potential housing options to workers. Employer may pay workers for unworked holidays but it will be at employer discretion.</t>
  </si>
  <si>
    <t>H-400-23184-164351</t>
  </si>
  <si>
    <t>Motley-Motley, Inc.</t>
  </si>
  <si>
    <t>6901 SR270</t>
  </si>
  <si>
    <t xml:space="preserve">Must pass employer paid drug post-accident drug test. Must be able to lift and carry 50 lbs frequently. 3 months of heavy machine operating or related experience required.
</t>
  </si>
  <si>
    <t>P-400-23122-983386</t>
  </si>
  <si>
    <t xml:space="preserve">Employer will provide housing with $100 payroll deduction per paycheck. Employer will make all deductions as required by state and federal law.
</t>
  </si>
  <si>
    <t>H-400-23245-317931</t>
  </si>
  <si>
    <t>Pool &amp; Beach Attendant</t>
  </si>
  <si>
    <t>P-400-23159-089508</t>
  </si>
  <si>
    <t>H-400-23186-168340</t>
  </si>
  <si>
    <t>cherichfacey@gmail.com</t>
  </si>
  <si>
    <t>None.
F.a.5 A-H: Sun-Sat 8am  4pm; 40 hrs/week.</t>
  </si>
  <si>
    <t>P-400-23139-039482</t>
  </si>
  <si>
    <t>Optional housing available at $450/month to be deducted from pay if elected. Optional transportation available at $70/week to be deducted from pay if elected.</t>
  </si>
  <si>
    <t>H-400-23215-235847</t>
  </si>
  <si>
    <t>Garfinkel’s Ent Ltd.</t>
  </si>
  <si>
    <t xml:space="preserve">Garfinkel’s </t>
  </si>
  <si>
    <t xml:space="preserve">536 E Lionshead Circle </t>
  </si>
  <si>
    <t>Dunlap</t>
  </si>
  <si>
    <t>Operator</t>
  </si>
  <si>
    <t>536 E Lionshead Circle</t>
  </si>
  <si>
    <t>garfsoffice@gmail.com</t>
  </si>
  <si>
    <t>2077 North Frontage Rd., Ste 111 Vail CO 81657 (physical)</t>
  </si>
  <si>
    <t>PO Box 3487 Vail CO 81658 (mailing)</t>
  </si>
  <si>
    <t>F.a.5 A-H. (cont.)
Work may be performed on any day of the week from Monday through Sunday, including holidays.  Days off vary. Shifts available: 8am  4pm or 3pm  11pm. 
F.a.7. (cont)
High school diploma/GED or equivalent required</t>
  </si>
  <si>
    <t>P-400-23156-078457</t>
  </si>
  <si>
    <t>H-400-23245-318036</t>
  </si>
  <si>
    <t>Eternally Grateful, LLC</t>
  </si>
  <si>
    <t>dba Limitless Snow &amp; Ice Maintenance</t>
  </si>
  <si>
    <t>7741 Hudson Park Dr</t>
  </si>
  <si>
    <t>Dohner</t>
  </si>
  <si>
    <t xml:space="preserve">Must lift/carry 50 lbs., when necessary.  Saturday and Sunday work required, when necessary. Workers with valid U.S. drivers license may operate a vehicle (driving is not a requirement of all workers in the position). Employer may offer more than the stated work hours depending on weather, business needs, and other conditions. Extreme heat, cold, rain, or drought may affect exact working hours.
</t>
  </si>
  <si>
    <t>P-400-23177-144144</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</si>
  <si>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No daily transportation to/from workers' home and primary worksite. Employer provides incidental transportation between multiple worksites as necessary. Such transportation complies with all applicable Federal, State, and local laws/regulations.</t>
  </si>
  <si>
    <t>gregdohner@gmail.com</t>
  </si>
  <si>
    <t>H-400-23229-273702</t>
  </si>
  <si>
    <t>Tree Trimmers, Pruners &amp; Landscape Laborers</t>
  </si>
  <si>
    <t>La La Enterprises, LLC</t>
  </si>
  <si>
    <t>9132 Palmer</t>
  </si>
  <si>
    <t>Ponder</t>
  </si>
  <si>
    <t>Co Managing Member</t>
  </si>
  <si>
    <t>info@lalallc.com</t>
  </si>
  <si>
    <t xml:space="preserve">Employer paid post hire drug test required. 
Employer paid post hire background check. 
</t>
  </si>
  <si>
    <t>P-400-23132-018297</t>
  </si>
  <si>
    <t>Delany</t>
  </si>
  <si>
    <t>charlotte@actionvisa.com</t>
  </si>
  <si>
    <t>H-400-23282-418290</t>
  </si>
  <si>
    <t xml:space="preserve">Apollo Beach </t>
  </si>
  <si>
    <t>P-400-23198-193075</t>
  </si>
  <si>
    <t>H-400-23276-406454</t>
  </si>
  <si>
    <t>Wade Shows, Inc.</t>
  </si>
  <si>
    <t>4277 E M-36</t>
  </si>
  <si>
    <t>(Mail: PO Box 51730, Livonia MI 48151)</t>
  </si>
  <si>
    <t>Pinckney</t>
  </si>
  <si>
    <t>P-400-23182-161882</t>
  </si>
  <si>
    <t>Joanna@wadeshowsinc.com</t>
  </si>
  <si>
    <t>H-400-23199-195475</t>
  </si>
  <si>
    <t>Marshfield Forest Service, Inc.</t>
  </si>
  <si>
    <t>302 Main St.</t>
  </si>
  <si>
    <t>Armenta</t>
  </si>
  <si>
    <t>marshfieldforestservice@gmail.com</t>
  </si>
  <si>
    <t>302 Main St. (Report to Work)</t>
  </si>
  <si>
    <t>Wage may vary based on Experience and/or location worked. Optional, shared housing available at no cost to the worker.</t>
  </si>
  <si>
    <t>P-400-23122-984678</t>
  </si>
  <si>
    <t>H-400-23199-197394</t>
  </si>
  <si>
    <t>SiteWorks Holding Co., Inc.</t>
  </si>
  <si>
    <t>2915 W Fairview St</t>
  </si>
  <si>
    <t>Fedor</t>
  </si>
  <si>
    <t>Executive Director of Corp Affairs</t>
  </si>
  <si>
    <t>lfedor@siteworksllc.net</t>
  </si>
  <si>
    <t>P-400-23124-994860</t>
  </si>
  <si>
    <t xml:space="preserve">The employer will make all deductions from the worker’s paycheck required by law. </t>
  </si>
  <si>
    <t>mniehold@siteworksllc.net</t>
  </si>
  <si>
    <t>H-400-23215-235240</t>
  </si>
  <si>
    <t>255 Dyson Rd.</t>
  </si>
  <si>
    <t>Haines City</t>
  </si>
  <si>
    <t>P-400-23122-984082</t>
  </si>
  <si>
    <t>The employer will make all deductions from the worker’s paycheck required by law, and the following: optional housing; optional daily transportation; and optional Individual Health Insurance.
Housing: Optional worker housing may available. Cost of housing is an estimated cost of up to $120 per week. Prices may vary based on type of accommodations available. If used, cost of housing will be deducted from paycheck (bi-weekly).
Daily Transportation: Optional daily transportation to and from worksite for workers who elect to stay at employee housing property located by the housing agent, is available for a fee of $3 per day. Fee is paid bi-weekly and via payroll deduction. All other employees are responsible for their own transportation to and from the worksite.
Benefits: Optional Individual Health Insurance is available at a cost of $63.47, paid bi-weekly and via payroll deduction.</t>
  </si>
  <si>
    <t>H-400-23199-197555</t>
  </si>
  <si>
    <t>Luci's at the Grove LLC</t>
  </si>
  <si>
    <t>7400 N. Via Paseo Del Sur</t>
  </si>
  <si>
    <t>Schnitzer</t>
  </si>
  <si>
    <t>Robyn</t>
  </si>
  <si>
    <t>Payroll Human Resources Manager</t>
  </si>
  <si>
    <t>7400 N Via Paseo Del Sur</t>
  </si>
  <si>
    <t>payrollgoddessfinancials@gmail.com</t>
  </si>
  <si>
    <t>Bajpai</t>
  </si>
  <si>
    <t>Mala</t>
  </si>
  <si>
    <t>Rani</t>
  </si>
  <si>
    <t>24654 N Lake Pleasant Pkwy</t>
  </si>
  <si>
    <t>Suite 103-103</t>
  </si>
  <si>
    <t>mbklawoffice@gmail.com</t>
  </si>
  <si>
    <t>Law Office of Mala Bajpai</t>
  </si>
  <si>
    <t>Hours vary 5-10 hours/day; 40-50 hours/week; Overtime paid; Combined Weekday/Weekend Shifts</t>
  </si>
  <si>
    <t>P-400-23152-067587</t>
  </si>
  <si>
    <t xml:space="preserve">Standard federal and state withholding. </t>
  </si>
  <si>
    <t>brittany@lucisuc.com</t>
  </si>
  <si>
    <t>https://lucisurbanconcepts.com</t>
  </si>
  <si>
    <t>H-400-23276-406490</t>
  </si>
  <si>
    <t>North American Midway Entertainment-Amusement South, LLC</t>
  </si>
  <si>
    <t>250 Farrow Drive</t>
  </si>
  <si>
    <t>7217 Nundy Avenue</t>
  </si>
  <si>
    <t>P-400-23182-161879</t>
  </si>
  <si>
    <t>H-400-23215-235951</t>
  </si>
  <si>
    <t xml:space="preserve">Must be able to stand for extended periods of time.  Must be able to lift up to 40 pounds. 
</t>
  </si>
  <si>
    <t>P-400-23113-957875</t>
  </si>
  <si>
    <t>H-400-23194-188185</t>
  </si>
  <si>
    <t>Grand Pacific Resorts. Inc.</t>
  </si>
  <si>
    <t>5900 Pasteur Court, Suite 200</t>
  </si>
  <si>
    <t>lburgos@gpresorts.com</t>
  </si>
  <si>
    <t xml:space="preserve">No education or experience required. Must be able to stand/walk for up to 8 hours. Must also be able to sit, stoop, kneel, crouch, &amp; crawl. The employee must regularly lift and/or move up to 50 pounds, and occasionally lift and/or move up to 75 pounds. Pre-employment Criminal Background Check required.
Shifts: 8:30am  4:00pm. (5 rotating days including weekends). </t>
  </si>
  <si>
    <t>1909 Chamonix Pl</t>
  </si>
  <si>
    <t>P-400-23139-039525</t>
  </si>
  <si>
    <t xml:space="preserve">Shared, subsidized housing available.  Housing is optional and, if elected, will cost approx. $150 per week and will be deducted from payroll. Utilities included. All deductions from worker’s paycheck required by law will be made. 
</t>
  </si>
  <si>
    <t>https://www.caljobs.com/</t>
  </si>
  <si>
    <t>H-400-23184-162483</t>
  </si>
  <si>
    <t>Applicants must be of physical character able to display strength and dexterity in both arms and hands, exhibit
trunk strength using abdomi nal and lower back muscles continually over time, as well as be able to spend the
majority of the work day, outdoors in all weather, standing without giving out. Position requires the abil ity to
understand and follow verbal and written directions with exactness and integrity. Applicants will be trained in
proper wearing and use of safety guidel ines, tools, and equ ipment includ ing hand tools, forklifts, hearing
protection, safety glasses, steel toed boots, and gloves and will be required to comply with exactness.</t>
  </si>
  <si>
    <t>P-400-23083-874654</t>
  </si>
  <si>
    <t>H-400-23184-162264</t>
  </si>
  <si>
    <t>Tile Installer</t>
  </si>
  <si>
    <t>Constructora La Raza, Inc.</t>
  </si>
  <si>
    <t>Doctor Emilio Antique DU31</t>
  </si>
  <si>
    <t>Toa Baja</t>
  </si>
  <si>
    <t>Perez Mejias</t>
  </si>
  <si>
    <t>Severiano</t>
  </si>
  <si>
    <t>Doctor Emilio Antique BU31</t>
  </si>
  <si>
    <t>Toa Bja</t>
  </si>
  <si>
    <t>constructoralaraza@hotmail.com</t>
  </si>
  <si>
    <t>421 Ave. Munoz Rivera, Ste. 308</t>
  </si>
  <si>
    <t>Cond. Midtown</t>
  </si>
  <si>
    <t>Heavy lifting
Long periods of time standing, knealing and/or bending
Dust in working areas
Work under severe weather, specially under the sun
Regarding the work schedule, workers will have one hour break during the work day.</t>
  </si>
  <si>
    <t>Dorado Beach East</t>
  </si>
  <si>
    <t>Ste. 120, Carretera 693</t>
  </si>
  <si>
    <t>DORADO</t>
  </si>
  <si>
    <t>San Juan-Carolina-Caguas, PR</t>
  </si>
  <si>
    <t>P-400-23087-882858</t>
  </si>
  <si>
    <t>All deductions required by law will be made. No other deduction will be made. Amounts not known.</t>
  </si>
  <si>
    <t>contructoralaraza@hotmail.com</t>
  </si>
  <si>
    <t>H-400-23290-436669</t>
  </si>
  <si>
    <t>Robert Ellis</t>
  </si>
  <si>
    <t>Ellis Concessions</t>
  </si>
  <si>
    <t>243 Birchwood Street</t>
  </si>
  <si>
    <t>bellisconcessions@yahoo.com</t>
  </si>
  <si>
    <t xml:space="preserve">243 Birchwood Street </t>
  </si>
  <si>
    <t xml:space="preserve">Manteca </t>
  </si>
  <si>
    <t>P-400-23198-193400</t>
  </si>
  <si>
    <t>H-400-23196-191890</t>
  </si>
  <si>
    <t>RALEIGH</t>
  </si>
  <si>
    <t>P-400-23157-083775</t>
  </si>
  <si>
    <t>H-400-23184-163452</t>
  </si>
  <si>
    <t>10211 N. El Mirage Road</t>
  </si>
  <si>
    <t>P-400-23122-983840</t>
  </si>
  <si>
    <t>H-400-23271-392365</t>
  </si>
  <si>
    <t xml:space="preserve">The Petitioner will consider for employment any person who possesses at least six (6)months of culinary experience in a fine-dining or high-volume environment at a high-end restaurant, resort, or private club.  
Applicant must complete pre-employment background check.  
</t>
  </si>
  <si>
    <t>Wage: $18.77 - $21.00 per hour, paid bi-weekly.  Overtime is available at $28.16 - $31.50 per hour.</t>
  </si>
  <si>
    <t>P-400-23219-244528</t>
  </si>
  <si>
    <t>H-400-23215-235061</t>
  </si>
  <si>
    <t>CONCERT RENAISSANCE LLC</t>
  </si>
  <si>
    <t>THE CLUB AT RENAISSANCE</t>
  </si>
  <si>
    <t>12801 RENAISSANCE WAY</t>
  </si>
  <si>
    <t>$15.70/HR PLUS GRATUITIES</t>
  </si>
  <si>
    <t>P-400-23165-108977</t>
  </si>
  <si>
    <t>H-400-23200-199288</t>
  </si>
  <si>
    <t xml:space="preserve">Powder River Pools, LLC </t>
  </si>
  <si>
    <t>13113 S. Lil Old Land</t>
  </si>
  <si>
    <t>Newbold</t>
  </si>
  <si>
    <t>13113 S. Lil Old Ln</t>
  </si>
  <si>
    <t>CRAIG@UTAHLANDSCULPTURE.COM</t>
  </si>
  <si>
    <t>Immigration@KJPARTNERS.LAW</t>
  </si>
  <si>
    <t>KJ PARTNERS , LLP</t>
  </si>
  <si>
    <t>13113 lil Old Ln</t>
  </si>
  <si>
    <t>P-400-23158-086651</t>
  </si>
  <si>
    <t xml:space="preserve">Employer will use a single workweek for computing wages due. Pay will be biweekly. 
Assistance finding lodging is available, if needed, at no additional charge to the worker. 
Employer will make all deductions required by law from each paycheck 
</t>
  </si>
  <si>
    <t>CRAIG@UTAHSCULPTURE.COM</t>
  </si>
  <si>
    <t>H-400-23245-317919</t>
  </si>
  <si>
    <t>Assistant Food &amp; Beverage Server</t>
  </si>
  <si>
    <t>P-400-23159-089507</t>
  </si>
  <si>
    <t>Employer will make all deductions from the worker's paycheck required by law. Employer is currently in the process of locating and securing employee housing. If Employer is able to secure housing prior to the employment start date, optional employee only housing will be made available. Employer will deduct for the reasonable fair market value cost of rent and utilities based on number of occupants for workers who elect to live in employer-offered housing. Voluntary pay deductions for the cost of housing (including deposit, if required) and utilities will be pre-authorized in writing. If Employer is unable to locate and secure housing prior to the employment start date, the employer will assist worker to find appropriate, affordable housing.  Optional medical, dental, vision and life insurance available. Optional long term and short-term disability available.  Insurance and disability costs vary depending on plan(s) selected by worker. Optional onsite employee parking available at appro</t>
  </si>
  <si>
    <t>H-400-23201-204376</t>
  </si>
  <si>
    <t>GT Landworks, LLC</t>
  </si>
  <si>
    <t>139 Howard Lane</t>
  </si>
  <si>
    <t>Gemma</t>
  </si>
  <si>
    <t xml:space="preserve">11009 Alterra Parkway </t>
  </si>
  <si>
    <t>Texas Sureme Court</t>
  </si>
  <si>
    <t>P-400-23137-031116</t>
  </si>
  <si>
    <t>All Deductions required by law. Assistance finding and securing lodging is available.</t>
  </si>
  <si>
    <t>gabriel@torreslctx.com</t>
  </si>
  <si>
    <t>H-400-23240-301384</t>
  </si>
  <si>
    <t>Bocage Crawfish, LLC</t>
  </si>
  <si>
    <t>6118 Egan Highway</t>
  </si>
  <si>
    <t>Hanks</t>
  </si>
  <si>
    <t>H2B@bocagecrawfish.com</t>
  </si>
  <si>
    <t xml:space="preserve">Worker may be required to take a random drug test, post-hire, Employer will pay. Testing positive or failure to comply may result in immediate termination of employment. Must be able to carry/lift 40lbs. Must not be allergic to product and/or environment. Extensive sitting and/or standing. Must peel 4lbs per hour. 
</t>
  </si>
  <si>
    <t>May earn above hourly wage based on piece rate performance of $2.50 per lb., if higher than prevailing wage.</t>
  </si>
  <si>
    <t>P-400-23153-074726</t>
  </si>
  <si>
    <t xml:space="preserve">EMPLOYER WILL MAKE ALL DEDUCTIONS FROM WORKERS’ PAYCHECK AS REQUIRED BY LAW; DEDUCTIONS EMPLOYER INTENDS TO MAKE FROM PAYCHECK, WHICH ARE NOT REQUIRED BY LAW, IF APPLICABLE, WOULD BE DEDUCTIONS FOR HOUSING; $65.00/WEEK, IF EMPLOYEE CHOOSES VOLUNTARY HOUSING OPTION. HOUSING IS NOT MANDATORY. EMPLOYER MAY ALLOW DEDUCTIONS NOT REQUIRED BY LAW AS LONG AS ADVANCE PERMISSION IS GRANTED BY EMPLOYEE OR EMPLOYER WILL STATE THE SPECIFIC DEDUCTIONS.
</t>
  </si>
  <si>
    <t>h2bjobs@bocagecrawfish.com</t>
  </si>
  <si>
    <t>H-400-23224-260233</t>
  </si>
  <si>
    <t>Fitter</t>
  </si>
  <si>
    <t xml:space="preserve">Supreme Court Appellate Division </t>
  </si>
  <si>
    <t>The work experience should be related to plant construction.</t>
  </si>
  <si>
    <t>P-400-23124-991739</t>
  </si>
  <si>
    <t>H-400-23196-191889</t>
  </si>
  <si>
    <t>P-400-23109-949281</t>
  </si>
  <si>
    <t>At Employer’s sole discretion: possible cash advances ( lf applicable/requested by worker, potential deduction from workers paycheck.</t>
  </si>
  <si>
    <t>https://employgeorgia.com/jobseekers</t>
  </si>
  <si>
    <t>H-400-23249-323151</t>
  </si>
  <si>
    <t>DAMON DILODOVICO RACING STABLE, LLC</t>
  </si>
  <si>
    <t>17965 Cypress Drive</t>
  </si>
  <si>
    <t>#451</t>
  </si>
  <si>
    <t>Cobb Island</t>
  </si>
  <si>
    <t>Dilodovico</t>
  </si>
  <si>
    <t>ddamon990@aol.com</t>
  </si>
  <si>
    <t>P-400-23198-195055</t>
  </si>
  <si>
    <t xml:space="preserve">Standard deductions required as by law. Employer-provided housing is "optional". </t>
  </si>
  <si>
    <t>H-400-23279-414426</t>
  </si>
  <si>
    <t>P-400-23183-162044</t>
  </si>
  <si>
    <t>H-400-23184-163601</t>
  </si>
  <si>
    <t>Smoky Mountain Gunite, LP</t>
  </si>
  <si>
    <t>172 Commerce Pl</t>
  </si>
  <si>
    <t>Jasper</t>
  </si>
  <si>
    <t>Steelman</t>
  </si>
  <si>
    <t>smokymtngunite@gmail.com</t>
  </si>
  <si>
    <t>P-400-23128-003301</t>
  </si>
  <si>
    <t>H-400-23276-406493</t>
  </si>
  <si>
    <t>Big DD LLC</t>
  </si>
  <si>
    <t xml:space="preserve">19905 Manecke Road </t>
  </si>
  <si>
    <t xml:space="preserve">Brooksville </t>
  </si>
  <si>
    <t>Danton</t>
  </si>
  <si>
    <t>19905 Manecke Road</t>
  </si>
  <si>
    <t>Brooksville</t>
  </si>
  <si>
    <t>wlp20@aol.com</t>
  </si>
  <si>
    <t>HERNANDO</t>
  </si>
  <si>
    <t>P-400-23182-161883</t>
  </si>
  <si>
    <t>H-400-23229-274105</t>
  </si>
  <si>
    <t>Seasons Change Landscape Management LLC</t>
  </si>
  <si>
    <t>1273 W. 12400 S.</t>
  </si>
  <si>
    <t>Carlsen</t>
  </si>
  <si>
    <t>Kacie</t>
  </si>
  <si>
    <t>kcarlsen@forevergreenmaint.com</t>
  </si>
  <si>
    <t>1/2 hr. for lunch.  Some O.T. may be available, but not guaranteed.</t>
  </si>
  <si>
    <t>P-400-23139-039353</t>
  </si>
  <si>
    <t>H-400-23184-165047</t>
  </si>
  <si>
    <t>Hillcrest Avenue Area</t>
  </si>
  <si>
    <t>BIBB</t>
  </si>
  <si>
    <t>Macon, GA</t>
  </si>
  <si>
    <t>H-400-23199-196901</t>
  </si>
  <si>
    <t>Deckhands</t>
  </si>
  <si>
    <t>Miller Seafood Company, INC</t>
  </si>
  <si>
    <t>515 Fulton Street</t>
  </si>
  <si>
    <t>Port LaVaca</t>
  </si>
  <si>
    <t xml:space="preserve">Miller </t>
  </si>
  <si>
    <t>515 Fulton St</t>
  </si>
  <si>
    <t xml:space="preserve">No ed, exp, or training required. Hours vary due to weather and other Acts of God. Performance bonus may be paid.
</t>
  </si>
  <si>
    <t>P-400-23107-939220</t>
  </si>
  <si>
    <t>curtismillerseafood@gmail.com</t>
  </si>
  <si>
    <t>H-400-23184-163385</t>
  </si>
  <si>
    <t>Electrical Technician (Electrician)</t>
  </si>
  <si>
    <t>5341 Perimeter Pkwy</t>
  </si>
  <si>
    <t>2 years experience as Electrician for industrial projects</t>
  </si>
  <si>
    <t>P-400-23146-057316</t>
  </si>
  <si>
    <t>H-400-23214-231293</t>
  </si>
  <si>
    <t>3 months experience in guest service environment.
On-the-job training is provided.
Following Shifts available 7 days a week including weekends and holidays. 7a-2p, 8a-3p, 9a-4p
Wage Per Hour: $15.70 - $21.00
Overtime Possible Per Hour at $23.55 - $31.50</t>
  </si>
  <si>
    <t>P-400-23138-034609</t>
  </si>
  <si>
    <t>H-400-23198-192251</t>
  </si>
  <si>
    <t>Daycare Teacher</t>
  </si>
  <si>
    <t xml:space="preserve">Tykarah Infant and Toddler Daycare </t>
  </si>
  <si>
    <t xml:space="preserve">Mindful Munchkins Academy </t>
  </si>
  <si>
    <t>1536 Crescent Rd</t>
  </si>
  <si>
    <t>Pitt-Wade</t>
  </si>
  <si>
    <t xml:space="preserve">Tykarah </t>
  </si>
  <si>
    <t>312 N Highland Ave</t>
  </si>
  <si>
    <t>Nyack</t>
  </si>
  <si>
    <t>twade@mindfulmunchkins.org</t>
  </si>
  <si>
    <t xml:space="preserve">Childcare experience 
Teaching Experience </t>
  </si>
  <si>
    <t xml:space="preserve">Clifton Park </t>
  </si>
  <si>
    <t>P-400-23173-134372</t>
  </si>
  <si>
    <t>https://www.indeed.com/m/viewjob?jk=d9508a3e6fa300bc</t>
  </si>
  <si>
    <t>H-400-23220-246754</t>
  </si>
  <si>
    <t>Bay Area Landscape Nursery, LLC</t>
  </si>
  <si>
    <t>5901 LaCosta Drive</t>
  </si>
  <si>
    <t>Hoffman</t>
  </si>
  <si>
    <t>Esther</t>
  </si>
  <si>
    <t>P-400-23167-118972</t>
  </si>
  <si>
    <t xml:space="preserve">Assistance finding lodging is available, and optional, at no additional charge to the worker.  </t>
  </si>
  <si>
    <t>sales@bayareanursery.com</t>
  </si>
  <si>
    <t>H-400-23229-272162</t>
  </si>
  <si>
    <t xml:space="preserve">The Petitioner will consider for employment any person who possesses at least one (1) year of culinary experience in a fine-dining or high-volume environment at a high-end restaurant, resort, or private club. 
</t>
  </si>
  <si>
    <t xml:space="preserve">Wage: $23.00 - $25.00 per hour, paid bi-weekly.  See job description for details. </t>
  </si>
  <si>
    <t>P-400-23177-143315</t>
  </si>
  <si>
    <t>H-400-23199-197121</t>
  </si>
  <si>
    <t>Love Beets Production, LLC</t>
  </si>
  <si>
    <t>1150 Lee Road</t>
  </si>
  <si>
    <t>Leanne</t>
  </si>
  <si>
    <t>leanne.khoury@lovebeetsusa.com</t>
  </si>
  <si>
    <t xml:space="preserve">Must be able to lift up to 50lbs. Ability to bend, reach, sit, stoop, stand and walk for long periods of time.  Schedule and hours vary, rotating shifts: 6:00am-2:30pm, 2:30pm-11:00pm, 11:00pm-6:30am.  Saturday required, when necessary.  40 hour per week, overtime varies.
</t>
  </si>
  <si>
    <t>P-400-23157-083722</t>
  </si>
  <si>
    <t>All deductions from the worker's paycheck required by law will be made.   Employer will assist workers with securing housing, but employer will not provide housing.</t>
  </si>
  <si>
    <t>H-400-23230-278109</t>
  </si>
  <si>
    <t>Aramark Sports and Entertainment Services LLC - Togwotee Mountain Lodge</t>
  </si>
  <si>
    <t>DBA Togwotee Mountain Lodge</t>
  </si>
  <si>
    <t>2400 Market Street</t>
  </si>
  <si>
    <t>Klein</t>
  </si>
  <si>
    <t xml:space="preserve">Requires three months of cook experience. Lift/carry and push/pull up to 25 lbs and stand for 8 hour shift. Basic level English skills required. Adheres to Aramark safety policies and procedures including proper food safety and sanitation. Must be available for two shifts: 6AM - 2PM and 2PM - 10PM. Saturday and Sunday work required, when necessary. Employer paid post-hire background check and employment eligibility (e-Verify) check required of foreign and domestic workers.
</t>
  </si>
  <si>
    <t>27655 US-26</t>
  </si>
  <si>
    <t>P-400-23139-038812</t>
  </si>
  <si>
    <t>maat-andrew@aramark.com</t>
  </si>
  <si>
    <t>H-400-23184-165481</t>
  </si>
  <si>
    <t xml:space="preserve"> Caliber Holdings LLC</t>
  </si>
  <si>
    <t>2541 W La Palma Ave</t>
  </si>
  <si>
    <t>P-400-23110-950998</t>
  </si>
  <si>
    <t>H-400-23207-218402</t>
  </si>
  <si>
    <t>J&amp;I Plumbing and Heating Services LLC</t>
  </si>
  <si>
    <t>1664 Yampa Ave #26</t>
  </si>
  <si>
    <t>jiplumbinghtg@gmail.com</t>
  </si>
  <si>
    <t xml:space="preserve">Must be able to lift and carry 75 lbs for 75 yards. Some weekend work. Must be able to handle temperature extremes.
</t>
  </si>
  <si>
    <t>MOFFAT</t>
  </si>
  <si>
    <t xml:space="preserve"> Wage rate may vary on experience and/or merit.Up to 10 hours of overtime may be available but not guaranteed.</t>
  </si>
  <si>
    <t>P-400-23171-126152</t>
  </si>
  <si>
    <t>Any advances will be deducted with the consent of the employee. The employer will provide housing as an option to employees living outside the regular commuting distance. Employees who elect to live in the housing will have an additional $50 deducted Weekly paycheck for rent and utilities.</t>
  </si>
  <si>
    <t>H-400-23199-198153</t>
  </si>
  <si>
    <t>DAVIE</t>
  </si>
  <si>
    <t>P-400-23150-063365</t>
  </si>
  <si>
    <t>H-400-23194-185908</t>
  </si>
  <si>
    <t>Lopez Grassmaster, LLC</t>
  </si>
  <si>
    <t>7314 Market Street Ext</t>
  </si>
  <si>
    <t>Chavez-Sanchez</t>
  </si>
  <si>
    <t>Esmeralda</t>
  </si>
  <si>
    <t>Bortnyk</t>
  </si>
  <si>
    <t xml:space="preserve">Must lift/carry 50 lbs., when necessary. Saturday work required, when necessary.  Employer may offer more than the stated work hours depending on weather, business needs, and other conditions. Extreme heat, cold, rain, or drought may affect exact working hours.
</t>
  </si>
  <si>
    <t>7314 Market Street Ext,</t>
  </si>
  <si>
    <t>P-400-23131-013710</t>
  </si>
  <si>
    <t>H-400-23212-224980</t>
  </si>
  <si>
    <t>Sonoma Horse Park</t>
  </si>
  <si>
    <t>Riverside Equestrian Center</t>
  </si>
  <si>
    <t>7600 Lakeville Hwy</t>
  </si>
  <si>
    <t>Petaluma</t>
  </si>
  <si>
    <t>Herman</t>
  </si>
  <si>
    <t>3125 Jackson St.</t>
  </si>
  <si>
    <t>ashleyherman22@gmail.com</t>
  </si>
  <si>
    <t>Travel is a business necessity and requirement.
Reference checks will be conducted and are a hiring requirement.</t>
  </si>
  <si>
    <t>Supplemental compensation will be offered for work performance.</t>
  </si>
  <si>
    <t>P-400-23160-095443</t>
  </si>
  <si>
    <t xml:space="preserve">The employer will pay for any and all travel and optional housing costs during the entirety of any trips to and from the shows outside of the primary worksite. </t>
  </si>
  <si>
    <t>H-400-23276-406683</t>
  </si>
  <si>
    <t>Solem Concessions, Inc.</t>
  </si>
  <si>
    <t>951 Hillwind Road NE</t>
  </si>
  <si>
    <t>Solem</t>
  </si>
  <si>
    <t>solemconcessions@yahoo.com</t>
  </si>
  <si>
    <t xml:space="preserve">Hours, schedule, and days vary widely.  
Typically Wed-Sun, 3pm  11pm.  
Often 35-45 hours per week, may go up to 60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Subject to discharge for cause.  
</t>
  </si>
  <si>
    <t>19192 540th Avenue</t>
  </si>
  <si>
    <t>MOWER</t>
  </si>
  <si>
    <t>P-400-23191-176977</t>
  </si>
  <si>
    <t>Optional mobile housing ($100/week)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($20/week), laundry facility ($20/week), and occasional monthly food/meals (varies) is available for wage credit and/or deduction, or any lesser amount to the maximum extent not prohibited by law.</t>
  </si>
  <si>
    <t>H-400-23229-272273</t>
  </si>
  <si>
    <t>Spa Attendant</t>
  </si>
  <si>
    <t xml:space="preserve">The Petitioner will consider for employment any person who possesses at least six (6) months of guest service experience at a high-end hotel, resort, or private club.
Applicant must complete pre-employment background check.
</t>
  </si>
  <si>
    <t>Wage: $18.00 - $23.00 per hour, paid bi-weekly.  Please see job description for additional information.</t>
  </si>
  <si>
    <t>P-400-23175-141838</t>
  </si>
  <si>
    <t>H-400-23215-234829</t>
  </si>
  <si>
    <t>Ability to obtain and maintain a current, valid state-required licenses and or certifications such as Food Handler's Permit and Sips and Tips.
	1 year of cook and kitchen experience is required.
	Capable of standing for extended periods of time and lifting up to 40 lbs. Willing to work flexible work schedules that may include nights, holidays, and weekends.
	Ability to obtain and maintain a current, valid state-required licenses and or certifications such as Food Handlers Permit and Sips and Tips.
	Post-Hire Background Check Required.
On-The-Job Training Will Be Provided.
Shifts available 7 days a week including weekends and holidays. Multiple shifts available seven days a week including weekends and holidays between the hours of 6:00 AM-11:00 PM.
Hourly Wage: $15.20 - $21.25/hour
Overtime Possible at $22.80 - $31.88/hour.
Possible Wage Increase: based on merit and past experience with our company.</t>
  </si>
  <si>
    <t>P-400-23138-034951</t>
  </si>
  <si>
    <t>All deductions required by law will be made.
No Housing or Assistance Provided.
Daily transportation to worksite provided through Employee Shuttle, UTA bus transit.
Optional Deductions from Paycheck: Lost or stolen ski pass and Nametags, ruined or lost uniform, 401k.
Benefits: Ski lift passes for employees and eligible dependents or 1 friend, discounts at all restaurants and retail. 3 free group ski lesson, with 3 days of ski rentals, discounts on lodging and day pass to other resorts in the area.</t>
  </si>
  <si>
    <t>H-400-23276-406427</t>
  </si>
  <si>
    <t>P-400-23183-161999</t>
  </si>
  <si>
    <t>H-400-23185-166113</t>
  </si>
  <si>
    <t xml:space="preserve">Hog Head Splitter </t>
  </si>
  <si>
    <t xml:space="preserve">1 month of safety/ppe/sanitation training required. 
Workers will work from EITHER 6:30am - 3:00pm OR 3:00pm - 11:30pm OR 11:00pm - 7:30am </t>
  </si>
  <si>
    <t xml:space="preserve">Exact wage amount will depend on internal metrics and existing CBA. </t>
  </si>
  <si>
    <t>P-400-23122-983755</t>
  </si>
  <si>
    <t>H-400-23229-272828</t>
  </si>
  <si>
    <t>DENPOS, LLC</t>
  </si>
  <si>
    <t>SEESAWS LODGE</t>
  </si>
  <si>
    <t>51 SEESAWS RUN W</t>
  </si>
  <si>
    <t>PERU</t>
  </si>
  <si>
    <t>PRINS</t>
  </si>
  <si>
    <t>ROTATING SHIFTS AND HOURS MON-SUN 2PM-12AM. MUST WORK WEEKENDS AND HOLIDAYS.</t>
  </si>
  <si>
    <t>BENNINGTON</t>
  </si>
  <si>
    <t>PAY IS $6.59 P/HR PLUS TIPS BUT NO LESS THAN $15.85 P/HR/ HOUSING IS AVAILABLE $150. P/WK DEDUCTED BIWKLY</t>
  </si>
  <si>
    <t>P-400-23125-995177</t>
  </si>
  <si>
    <t>Optional HOUSING IS AVAILABLE $150. 00/WEEK SINGLE &amp; $75.00/WEEK DOUBLE OCCUPANCY TO BE DEDUCTED BIWEEKLY FROM PAYCHECK.</t>
  </si>
  <si>
    <t>KIM@SEESAWLODGE.COM</t>
  </si>
  <si>
    <t>H-400-23249-325888</t>
  </si>
  <si>
    <t>Spire Hospitality, LLC</t>
  </si>
  <si>
    <t>High Peaks Resort</t>
  </si>
  <si>
    <t>4600 Fuller Drive</t>
  </si>
  <si>
    <t>Suite #100</t>
  </si>
  <si>
    <t>Coppola</t>
  </si>
  <si>
    <t>Coordinator, People &amp; Culture</t>
  </si>
  <si>
    <t>2384 Saranac Avenue</t>
  </si>
  <si>
    <t>ecoppola@highpeaksresort.com</t>
  </si>
  <si>
    <t xml:space="preserve">The Petitioner will consider for employment any person who possesses at least three (3) months of experience in a fine-dining or high-volume environment at a high-end restaurant, resort, or private club. Applicant must complete pre-employment background check.  
</t>
  </si>
  <si>
    <t>Tipped position with guaranteed wage of $19.71 per hour, paid weekly. See job description for additional detail.</t>
  </si>
  <si>
    <t>P-400-23198-192668</t>
  </si>
  <si>
    <t>Housing is not offered, but employer will assist employees in securing local housing.</t>
  </si>
  <si>
    <t>H-400-23249-325889</t>
  </si>
  <si>
    <t xml:space="preserve">Coordinator, People &amp; Culture </t>
  </si>
  <si>
    <t xml:space="preserve">The Petitioner will consider for employment any person who possesses at least six (6) months of experience in a high-end hotel, resort, or private club. Applicant must complete pre-employment background check.  
</t>
  </si>
  <si>
    <t xml:space="preserve">Wage: $17.42 - $19.00 per hour, paid weekly.  Overtime may be available, if needed, at $26.13 - $28.50 per hour.  </t>
  </si>
  <si>
    <t>P-400-23198-192671</t>
  </si>
  <si>
    <t>H-400-23289-435129</t>
  </si>
  <si>
    <t>Fair Ride Entertainment, LLC</t>
  </si>
  <si>
    <t>9912 PENINSULAR DR</t>
  </si>
  <si>
    <t>[PO BOX 1931 GIBSONTON, FL 33534]</t>
  </si>
  <si>
    <t>Joeyweaver08@gmail.com</t>
  </si>
  <si>
    <t>P-400-23243-314129</t>
  </si>
  <si>
    <t>myersmidways@yahoo.com</t>
  </si>
  <si>
    <t>H-400-23209-221688</t>
  </si>
  <si>
    <t>Engine Compressor Supply CO INC</t>
  </si>
  <si>
    <t>6800 North Sam Houston Parkway West</t>
  </si>
  <si>
    <t>Manager Director</t>
  </si>
  <si>
    <t>cflores@ecsupply.com</t>
  </si>
  <si>
    <t>P.O. Box 941529</t>
  </si>
  <si>
    <t>Bustillos Bello &amp; Associates PLLC</t>
  </si>
  <si>
    <t>New York State Supreme Court</t>
  </si>
  <si>
    <t xml:space="preserve">The driver must have a valid and current Class A Commercial Driver's License (CDL). The
driver must also drive a tractor-trailer combination or a truck with a gross vehicle weight
capacity of at least 26,001 pounds.
</t>
  </si>
  <si>
    <t>P-400-23157-082094</t>
  </si>
  <si>
    <t xml:space="preserve">Diego </t>
  </si>
  <si>
    <t xml:space="preserve">J </t>
  </si>
  <si>
    <t>H-400-23229-275334</t>
  </si>
  <si>
    <t>Full Cleaning Vail Services LLC</t>
  </si>
  <si>
    <t>140 Steamboat Drive (physical)</t>
  </si>
  <si>
    <t>PO Box 774, Edwards, CO 81632 (mailing)</t>
  </si>
  <si>
    <t>Romero Sanchez</t>
  </si>
  <si>
    <t>tsukishiro4@hotmail.com</t>
  </si>
  <si>
    <t xml:space="preserve">Must be able to stand, bend, kneel and reach high areas to clean, move up and down stairs and regularly lift and/or move up to 10 pounds.  Must be able to withstand exposure to chemicals used in cleaning products.  Team player with good attitude. 
F.a.5 A-H. (cont.) 
Work week is Monday  Fridays. May require some weekends. 
</t>
  </si>
  <si>
    <t>140 Steamboat Drive</t>
  </si>
  <si>
    <t>P-400-23156-078466</t>
  </si>
  <si>
    <t>fullcleaningvailservices@outlook.com</t>
  </si>
  <si>
    <t>H-400-23284-425443</t>
  </si>
  <si>
    <t xml:space="preserve">Great American Ventures, Inc. </t>
  </si>
  <si>
    <t>SEIVERS CONCESSIONS</t>
  </si>
  <si>
    <t>141 AMSTERDAM ROAD</t>
  </si>
  <si>
    <t>seiversconcessions@yahoo.com</t>
  </si>
  <si>
    <t>141 Amsterdam Rd.</t>
  </si>
  <si>
    <t>P-400-23248-320177</t>
  </si>
  <si>
    <t xml:space="preserve">The employer will make all deductions from the worker’s paycheck required by law.  Optional housing (valued at $150.00 per week) and local convenience travel (valued at $25.00 per week) are available at no cost to the worker. </t>
  </si>
  <si>
    <t>H-400-23248-319894</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</si>
  <si>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1-month hotel/resort housekeeping experience required
	Rotate/split shifts
	Supplies, work tools and equipment are provided free
	The employer will make all deductions from worker's paycheck required by law
	Must lift/carry 50 lbs., when necessary.  
	Supplies, work tools &amp; equipment are provided free
	No daily transportation to/from work provided.
	No on the job training provided. 
	Must be 18 to apply
</t>
  </si>
  <si>
    <t>15 Highway 50</t>
  </si>
  <si>
    <t>P-400-23137-030435</t>
  </si>
  <si>
    <t>H2BHIRES@GMAIL.COM</t>
  </si>
  <si>
    <t>H-400-23229-273729</t>
  </si>
  <si>
    <t xml:space="preserve">The Petitioner will consider for employment any person who possesses at least three (3) months of cleaning experience at a high-end hotel, resort, or private club.  Applicant must complete pre-employment background check. 
</t>
  </si>
  <si>
    <t>Wage: $17.00 – $18.23 per hour, paid bi-weekly.   See job description.</t>
  </si>
  <si>
    <t>P-400-23178-147791</t>
  </si>
  <si>
    <t>H-400-23248-320708</t>
  </si>
  <si>
    <t xml:space="preserve">Sunapee Bluebird Holdings LLC </t>
  </si>
  <si>
    <t>Bluebird Sunapee</t>
  </si>
  <si>
    <t>1403 New Hampshire Rte 103</t>
  </si>
  <si>
    <t>No experience is required.</t>
  </si>
  <si>
    <t>NEWBURY</t>
  </si>
  <si>
    <t>Wage: $15.77 - $19.00 per hour, paid weekly. Overtime is available at $23.66- $28.50 per hour.</t>
  </si>
  <si>
    <t>P-400-23192-179522</t>
  </si>
  <si>
    <t>Optional housing is offered on a first-come, first-serve basis for workers who are relocating to begin employment. Cost of housing and utilities, if accepted, is $75.00 per week for a single bed in a shared room with access to kitchen and laundry. If used, total cost of housing will be deducted from paycheck.</t>
  </si>
  <si>
    <t>H-400-23227-264771</t>
  </si>
  <si>
    <t>Temporary Housekeeper</t>
  </si>
  <si>
    <t xml:space="preserve">PO Box 4500 </t>
  </si>
  <si>
    <t xml:space="preserve">Candidate must have basic language skills in English.  Additional worksites: Grand Summit, 97 Summit Drive, Newry, ME 04261;  Jordan, 27 Grand Avenue, Newry, ME 04261; and, Snow Cap Inn, 9 Snow Cap Road, Newry, ME 04261.
</t>
  </si>
  <si>
    <t>15 South Ridge Road</t>
  </si>
  <si>
    <t>P-400-23125-995230</t>
  </si>
  <si>
    <t>H-400-23215-234835</t>
  </si>
  <si>
    <t>Snowsports Instructor Level III</t>
  </si>
  <si>
    <t>PSIA/AASI Level 1,2 or 3 certification.
PSIA/AASI membership or equivalent.
Must have sight, speech, and hearing abilities sufficient to learn skills, follow and provide directions.
Must be available to work holidays and weekends.
Previous experience with teaching/coaching/mentoring children &amp; adult.
Post-Hire Background Check Required.
Multiple shifts available five days a week including weekends and holidays between the hours of 8:00 AM-
5:00 PM.
Hourly Wage: $22.74 - $23.33/hour.
Overtime Possible at $34.11 - $35.00/hour.
Possible Wage Increase: based on merit and past experience with our company.</t>
  </si>
  <si>
    <t>P-400-23138-035091</t>
  </si>
  <si>
    <t xml:space="preserve">All deductions required by law will be made.
No Housing or Assistance Provided.
Daily transportation to worksite provided through Employee Shuttle, UTA bus transit.
Optional Deductions from Paycheck: Lost or stolen ski pass and Nametags, ruined or lost uniform, 401K.
Post-Hire Background Check Required.
Benefits: Ski lift passes for employees and eligible dependents or 1 friend, discounts at all restaurants and retail. Three (3) free group ski lesson, with 3 days of ski rentals, discounts on lodging and day pass to other resorts in the area.
</t>
  </si>
  <si>
    <t>H-400-23215-235706</t>
  </si>
  <si>
    <t>H-400-23184-163202</t>
  </si>
  <si>
    <t>Nanny and Household Assistant</t>
  </si>
  <si>
    <t>Anna C Graber PhD</t>
  </si>
  <si>
    <t>2327 Gordon Avenue</t>
  </si>
  <si>
    <t>St Paul</t>
  </si>
  <si>
    <t>So</t>
  </si>
  <si>
    <t>Pakhin</t>
  </si>
  <si>
    <t>Employer’s Spouse</t>
  </si>
  <si>
    <t>perrypso@gmail.com</t>
  </si>
  <si>
    <t>P-400-22297-547800</t>
  </si>
  <si>
    <t>H-400-23326-520426</t>
  </si>
  <si>
    <t>P-400-23248-319906</t>
  </si>
  <si>
    <t>H-400-23319-504372</t>
  </si>
  <si>
    <t>Foret Contracting Group, LLC</t>
  </si>
  <si>
    <t>354 West Main Street</t>
  </si>
  <si>
    <t>Thibodaux</t>
  </si>
  <si>
    <t>MAILING: P.O. Box 70, Thibodaux, LA 70302</t>
  </si>
  <si>
    <t>rforet@foretgroup.com</t>
  </si>
  <si>
    <t>Must be able to lift 50 lbs.
Must pass a post-employment criminal background check and post-employment, post-injury/incident drug test, paid by employer and applied equally to all workers, US and foreign/H2B.
Applicants must complete an employment application.
Workers who drive company vehicles must be able to obtain a State of Louisiana Class D Drivers License.</t>
  </si>
  <si>
    <t>P-400-23198-193917</t>
  </si>
  <si>
    <t xml:space="preserve">The employer will make all deductions from the worker's paycheck required by law. Optional employee shared housing available at approximately $100 per week, including utilities. No deposit required. Cost of housing payroll deducted if worker elects. Optional medical, dental and vision insurance available, cost varies depending on plan(s) selected. Cost of insurance payroll deducted if worker elects. Optional simple IRA available, contribution payroll deducted if worker elects. Employer offers an optional one-time pay advance up to $200, paid back through payroll deductions if worker elects.
Daily transportation provided from the main worksite in Thibodaux among multiple worksites in Lafourche Parish and Terrebonne Parish.
The employer will provide worker at no charge all tools, supplies, and equipment required to perform job. Uniform provided at no charge to the worker.  
</t>
  </si>
  <si>
    <t>H-400-23336-539151</t>
  </si>
  <si>
    <t xml:space="preserve">PETER BARYLSKI LANDSCAPING INC </t>
  </si>
  <si>
    <t>28 FARMSTEAD LANE</t>
  </si>
  <si>
    <t>BARYLSKI</t>
  </si>
  <si>
    <t>SLIDING SCALE $20.81-$23. P/HR REG &amp; $31.22-$34.50 OT BASED ON PERFORMANCE. BONUSES AT END OF SEASON BASED ON PERFORMANC</t>
  </si>
  <si>
    <t>P-400-23198-192720</t>
  </si>
  <si>
    <t>PETERBARYLSKI@GMAIL.COM</t>
  </si>
  <si>
    <t>Food Service Workers</t>
  </si>
  <si>
    <t>H-400-23307-476967</t>
  </si>
  <si>
    <t>Chick Landscaping, Inc</t>
  </si>
  <si>
    <t xml:space="preserve">9710 Lark Trail </t>
  </si>
  <si>
    <t>Chick</t>
  </si>
  <si>
    <t>Darin</t>
  </si>
  <si>
    <t xml:space="preserve"> May be required to take post hire random drug and/or alcohol tests, at no cost to the worker. Testing positive or failure to comply may result in immediate termination. </t>
  </si>
  <si>
    <t>P-400-23200-200920</t>
  </si>
  <si>
    <t xml:space="preserve">The employer will make the following deductions as applicable: FICA, Federal/State Taxes, court ordered child support, garnishments and liens according to individual circumstances, all as required by law, repayments of cash advances or loans, &amp; repayment of over payment of wages to the worker. Any willful damage to or loss of equipment/tools will be deducted from workers found to have been responsible for such damage. Other deductions may be made if expressly authorized by the worker in writing. Employer facilitates corresponding deductions for available health benefits. Employer facilitates voluntary housing arrangements and corresponding payroll deduction, $120-200/month.  </t>
  </si>
  <si>
    <t>renee@chicklandscaping.com</t>
  </si>
  <si>
    <t>H-400-23347-564677</t>
  </si>
  <si>
    <t>H-400-23319-502371</t>
  </si>
  <si>
    <t>Majestic Mississippi LLC</t>
  </si>
  <si>
    <t>Fitzgeralds Casino and Hotel</t>
  </si>
  <si>
    <t>711 Lucky Ln</t>
  </si>
  <si>
    <t>Robinsonville</t>
  </si>
  <si>
    <t>Katandra</t>
  </si>
  <si>
    <t>Sr. Director of Finance</t>
  </si>
  <si>
    <t>kwilson@fitzgeraldstunica.com</t>
  </si>
  <si>
    <t xml:space="preserve">Must be at least 21 years of age.
Post-employment criminal background check required, cost paid by employer and applied equally to all workers, U.S. and foreign/H-2B.
Must be able to work at least a 5-day schedule, including weekends and holidays as required.
Applicant must complete an employment application.
Required uniform shirt provided at no charge to worker.
</t>
  </si>
  <si>
    <t>TUNICA</t>
  </si>
  <si>
    <t>P-400-23171-127031</t>
  </si>
  <si>
    <t>www.mississippiworks.gov</t>
  </si>
  <si>
    <t>H-400-23321-509097</t>
  </si>
  <si>
    <t>1022 Black Creek Blvd</t>
  </si>
  <si>
    <t>P-400-23201-202827</t>
  </si>
  <si>
    <t xml:space="preserve"> Optional board/lodging available at a cost to be deducted from pay if elected. Cost of housing: $60/ week </t>
  </si>
  <si>
    <t>H-400-23324-514595</t>
  </si>
  <si>
    <t>The Sleek Greek</t>
  </si>
  <si>
    <t>7942 West Bell Road #C5-469</t>
  </si>
  <si>
    <t>Bliss</t>
  </si>
  <si>
    <t>mbliss23@yahoo.com</t>
  </si>
  <si>
    <t>6956 W. Crocus Drive</t>
  </si>
  <si>
    <t>Peoria</t>
  </si>
  <si>
    <t>P-400-23199-196873</t>
  </si>
  <si>
    <t>P-400-23288-432227</t>
  </si>
  <si>
    <t>H-400-23336-539515</t>
  </si>
  <si>
    <t>American Lawn Sprinkler Co. Inc</t>
  </si>
  <si>
    <t>31 Park Avenue</t>
  </si>
  <si>
    <t>Englishtown</t>
  </si>
  <si>
    <t>ianm@americanlawnandsprinkler.com</t>
  </si>
  <si>
    <t xml:space="preserve">Able to lift 50lbs. Monday-Friday, some Saturdays may be required, schedule varies, overtime varies. 3 months experience required in landscape services
</t>
  </si>
  <si>
    <t>P-400-23198-192674</t>
  </si>
  <si>
    <t>Employer may make payroll deductions at employee's request. Employer facilitates corresponding deductions for available health benefits. Employer facilitates voluntary housing arrangements upon request</t>
  </si>
  <si>
    <t>www.americanlawnandsprinkler.com</t>
  </si>
  <si>
    <t>H-400-23336-539002</t>
  </si>
  <si>
    <t xml:space="preserve">1040 SCUTTLE HOLE ROAD </t>
  </si>
  <si>
    <t>UP TO 15 HRS OT WHEN AVAILABLE. OPTIONAL HOUSING IS AVAILABLE INCLUDING UTILITIES AT NO COST TO EMPLOYEE</t>
  </si>
  <si>
    <t>P-400-23207-215972</t>
  </si>
  <si>
    <t>OPTIONAL HOUSING IS AVAILABLE INCLUDING UTILITIES AT NO COST TO EMPLOYEE.</t>
  </si>
  <si>
    <t>H-400-23307-475822</t>
  </si>
  <si>
    <t>4425 Lilburn Industrial Way (Report to Work)</t>
  </si>
  <si>
    <t>Lilburn</t>
  </si>
  <si>
    <t>P-400-23228-267389</t>
  </si>
  <si>
    <t>Optional, shared, furnished housing available to the worker (including: utilities) at a weekly housing rate up to $175; if optional housing is agreed upon by the worker, housing rate will be deducted from worker's paycheck incrementally (weekly).
At Employer’s sole discretion: possible cash advances (if applicable/requested by worker, potential deduction from worker’s paycheck).</t>
  </si>
  <si>
    <t>psantamaria@ruppertcompanies.com</t>
  </si>
  <si>
    <t>H-400-23313-489311</t>
  </si>
  <si>
    <t>P-400-23193-183332</t>
  </si>
  <si>
    <t>H-400-23307-476320</t>
  </si>
  <si>
    <t>Laborers and Freight, Stock,and Material Movers,Hand 53-7062</t>
  </si>
  <si>
    <t>ALLSTAR TENTS &amp; EVENTS, INC.</t>
  </si>
  <si>
    <t>176 Bettis Academy Road</t>
  </si>
  <si>
    <t>Graniteville</t>
  </si>
  <si>
    <t>Fanning</t>
  </si>
  <si>
    <t>mike@asrtents.com</t>
  </si>
  <si>
    <t xml:space="preserve">Random drug testing may be required, at no cost to the worker. The job requires the applicant to be qualified, ready, willing, able, &amp; available to perform during the entire employment at all the designated worksite; and to follow workplace rules.
</t>
  </si>
  <si>
    <t>176  Bettis Academy Road</t>
  </si>
  <si>
    <t>Potential pay increases based upon length of time on the job, quantity and quality of work produced, dependability and a</t>
  </si>
  <si>
    <t>P-400-23234-284555</t>
  </si>
  <si>
    <t xml:space="preserve">Employer will make all deductions from the worker’s paycheck required by law.  
In addition, the employer intends to make the following deductions from the worker’s paycheck which are not required by law:  
If the employee opts in on optional housing, the negotiated and agreed upon housing fee will be deducted from pay. For those employees who do not maintain a residence within normal commuting distance, on an optional basis, employer will assist those employees who opt in, in securing housing and contracting for utilities.  Employer and employee will execute an agreement whereby the employer prepays the rent, utilities, security deposits and other applicable charges for the housing and utilities.  These expenses (on a prorated basis) will be deducted from the employee’s paycheck as per the executed agreement. 
</t>
  </si>
  <si>
    <t>mary@asrtents.com</t>
  </si>
  <si>
    <t>H-400-23336-538896</t>
  </si>
  <si>
    <t xml:space="preserve">Holiday Inn Club Vacations - Holiday Hills </t>
  </si>
  <si>
    <t xml:space="preserve">Must pass a pre-employment criminal background check, paid by employer and applied equally to all workers, U.S. and foreign/H-2B. Must be able to work weekends and holidays, when required. Must be able to work with various standard household cleaning agents. Multiple shifts offered based on business needs. Applicants must complete an employment application. Employer may offer more than the stated work hours depending on weather, business needs, and other conditions. Extreme heat, cold, rain, or drought may affect exact working hours. 
</t>
  </si>
  <si>
    <t>P-400-23294-448554</t>
  </si>
  <si>
    <t>H-400-23336-539468</t>
  </si>
  <si>
    <t>construction laborers</t>
  </si>
  <si>
    <t>P-400-23268-378907</t>
  </si>
  <si>
    <t>Character limit: Shared housing available to only seasonal full-time employees, not offered to non-employees. Employees may make their own arrangements at their own expense. If they opt to live in employer provided housing rent (utilities included) charged at $50/per week per worker.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
  </si>
  <si>
    <t>H-400-23307-476231</t>
  </si>
  <si>
    <t>Morris J. Vivona Amusement Co. Inc.</t>
  </si>
  <si>
    <t>(Mail to:666 Plainsboro Road Suite 1271 Plainsboro NJ 08536)</t>
  </si>
  <si>
    <t>Vivona Jr.</t>
  </si>
  <si>
    <t>Dominic</t>
  </si>
  <si>
    <t>dominicvivona@gmail.com</t>
  </si>
  <si>
    <t>P-400-23220-246771</t>
  </si>
  <si>
    <t>marcovivona@hotmail.com</t>
  </si>
  <si>
    <t>H-400-23336-539129</t>
  </si>
  <si>
    <t>Manorville Landscaping Inc</t>
  </si>
  <si>
    <t>71 Mariner Drive</t>
  </si>
  <si>
    <t>MONTOYA</t>
  </si>
  <si>
    <t xml:space="preserve">71 Mariner Drive </t>
  </si>
  <si>
    <t>P-400-23199-195820</t>
  </si>
  <si>
    <t>MANORVILLELAND@OPTONLINE.NET</t>
  </si>
  <si>
    <t>H-400-23307-476384</t>
  </si>
  <si>
    <t>Aimbridge Employee Service Corp</t>
  </si>
  <si>
    <t>The Island</t>
  </si>
  <si>
    <t>1500 Miracle Strip Parkway</t>
  </si>
  <si>
    <t>Swaim</t>
  </si>
  <si>
    <t>General Manger</t>
  </si>
  <si>
    <t>connection01@hotmail.com</t>
  </si>
  <si>
    <t>P-400-23199-197686</t>
  </si>
  <si>
    <t>Deductions: $90 per week for lodging and utilities only if worker elects to live in
provided shared housing.</t>
  </si>
  <si>
    <t>www.Careersourceokaloosawalton.com</t>
  </si>
  <si>
    <t>H-400-23319-504587</t>
  </si>
  <si>
    <t>Machine operator</t>
  </si>
  <si>
    <t>Paper Goods Machine Setters, Operators, and Tenders</t>
  </si>
  <si>
    <t>Free and Noble Supplies</t>
  </si>
  <si>
    <t xml:space="preserve">4770 East 48th Street </t>
  </si>
  <si>
    <t xml:space="preserve">The person is willing to learn and handle machine operation. </t>
  </si>
  <si>
    <t>P-400-23284-424238</t>
  </si>
  <si>
    <t>Nothing to be deducted.</t>
  </si>
  <si>
    <t>H-400-23313-489131</t>
  </si>
  <si>
    <t>Facility Services Company of Maryland, Inc.</t>
  </si>
  <si>
    <t>14607 Rothgeb Drive</t>
  </si>
  <si>
    <t>Andalla</t>
  </si>
  <si>
    <t xml:space="preserve">Must lift/carry 50 lbs., when necessary.   Employer-paid drug test required of foreign and domestic workers prior to commencing work. Employer may offer more than the stated work hours depending on weather, business needs, and other conditions. Extreme heat, cold, rain, or drought may affect exact working hours.
</t>
  </si>
  <si>
    <t>P-400-23268-379891</t>
  </si>
  <si>
    <t>rockville.fsc.hire@gmail.com</t>
  </si>
  <si>
    <t>H-400-23307-476446</t>
  </si>
  <si>
    <t xml:space="preserve">DINING ROOM ATTENDANT </t>
  </si>
  <si>
    <t xml:space="preserve">No minimum education or experience required.
Workers are subject to post-employment criminal background checks, paid by employer and applied equally to all workers, U.S. and foreign/H-2B. 
Must be able to work a minimum 5-day workweek. 
Must be able to work weekends and holidays. 
Applicant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</si>
  <si>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P-400-23188-173161</t>
  </si>
  <si>
    <t>same</t>
  </si>
  <si>
    <t>H-400-23307-475883</t>
  </si>
  <si>
    <t>Bay Country Services LLC</t>
  </si>
  <si>
    <t>Bay Country Landscape</t>
  </si>
  <si>
    <t>227 S. Bridge Street</t>
  </si>
  <si>
    <t>Bathon</t>
  </si>
  <si>
    <t>Mailing Address: PO Box 671, Elkton, MD 21922</t>
  </si>
  <si>
    <t>wbathon@baycountrylandscape.com</t>
  </si>
  <si>
    <t xml:space="preserve">Must be able to work a 5-day schedule, including Saturdays as needed.
Applicants must complete an employment application.
Required uniform provided at no charge to the worker.  
</t>
  </si>
  <si>
    <t>P-400-23173-138023</t>
  </si>
  <si>
    <t xml:space="preserve">The employer will make all deductions from the worker's paycheck required by law.  
Optional employee shared housing available, including utilities, at approximately $100 per week. Cost of housing deducted from paycheck if worker elects. 
Daily transportation provided between the employer’s arranged housing and their worksites in Elkton and Smyrna. The employer will then provide daily transportation among multiple worksites in Cecil, Kent and New Castle counties. 
The employer will provide worker at no charge all tools, supplies, and equipment required to perform job. 
</t>
  </si>
  <si>
    <t>H-400-23318-501071</t>
  </si>
  <si>
    <t>All In Leasing Co.</t>
  </si>
  <si>
    <t>Metro West Lawn &amp; Landscape</t>
  </si>
  <si>
    <t>1901 S. Old Hwy 94</t>
  </si>
  <si>
    <t>dustin@metrowestlawn.com</t>
  </si>
  <si>
    <t>1901 S. Old Hwy 94 (Report to Work)</t>
  </si>
  <si>
    <t>P-400-23181-160671</t>
  </si>
  <si>
    <t>H-400-23321-509186</t>
  </si>
  <si>
    <t>J &amp; L Lawns and Landscaping LLC</t>
  </si>
  <si>
    <t>7149 Millville Mays Landing Rd.</t>
  </si>
  <si>
    <t>Milmay</t>
  </si>
  <si>
    <t>hattysburg@aol.com</t>
  </si>
  <si>
    <t xml:space="preserve">Monday-Friday, possible Saturdays, schedule varies, overtime varies
</t>
  </si>
  <si>
    <t>7149 Millville Mays Landing Rd</t>
  </si>
  <si>
    <t>Opportunity for additional pay depending on experience.</t>
  </si>
  <si>
    <t>P-400-23213-228916</t>
  </si>
  <si>
    <t>H-400-23336-539164</t>
  </si>
  <si>
    <t>P-400-23192-179127</t>
  </si>
  <si>
    <t>H-400-23292-444174</t>
  </si>
  <si>
    <t>General maintenance worker</t>
  </si>
  <si>
    <t>Schedule: Monday through Sunday (schedule varies). Shifts: 7am-2pm or 12pm-7pm (shift hours may vary). Five rotating days. Employer will offer at least thirty-five (35) hours per week</t>
  </si>
  <si>
    <t xml:space="preserve">Bar Harbor </t>
  </si>
  <si>
    <t>P-400-23236-292241</t>
  </si>
  <si>
    <t>H-400-23321-510003</t>
  </si>
  <si>
    <t>Sonora Landscape, LLC</t>
  </si>
  <si>
    <t>16722 S Elwood Ave, Ste A</t>
  </si>
  <si>
    <t>Glenpool</t>
  </si>
  <si>
    <t>Gallardo</t>
  </si>
  <si>
    <t xml:space="preserve">40+ hrs/wk, 7am-4pm, Mon-Fri possible Sat when needed, workdays/hours may vary depending on weather.
</t>
  </si>
  <si>
    <t>t a minimum, both domestic and foreign workers will earn the prevailing hourly wage; however, the employer SEE ADDENDUM</t>
  </si>
  <si>
    <t>P-400-23207-217548</t>
  </si>
  <si>
    <t>Employer may charge the worker for reasonable costs related to the worker's refusal or negligent failure to return any property furnished by the employer or due to such worker's willful damage or destruction of such property. Deductions may be taken per employee's request. See Addendum</t>
  </si>
  <si>
    <t>gglawn12@yahoo.com</t>
  </si>
  <si>
    <t>H-400-23325-518052</t>
  </si>
  <si>
    <t>Windridge Landscaping Co, Inc.</t>
  </si>
  <si>
    <t>7150 Rockfish Valley Hwy</t>
  </si>
  <si>
    <t>HOWE</t>
  </si>
  <si>
    <t>7150 ROCKFISH VALLEY HIGHWAY</t>
  </si>
  <si>
    <t>AFTON</t>
  </si>
  <si>
    <t>CHOWE@WINDRIDGELANDSCAPING.COM</t>
  </si>
  <si>
    <t>MUST BE ABLE TO LIFT/CARRY 50LBS AND WORK IN BOTH BENDING AND STANDING POSITIONS FOR EXTENDED PERIODS OF TIME AND IN ALL TYPES OF WEATHER.</t>
  </si>
  <si>
    <t>MIN WAGE MAY BE HIGHER BASED ON TENURE, SKILLS/ABILITIES, AND/OR WORK PERFORMANCE</t>
  </si>
  <si>
    <t>P-400-23289-433572</t>
  </si>
  <si>
    <t>ONLY THOSE REQUIRED BY LAW</t>
  </si>
  <si>
    <t>WORKFORCE ADVANTAGE</t>
  </si>
  <si>
    <t>H-400-23303-466042</t>
  </si>
  <si>
    <t>Interstate Building Materials, Inc.</t>
  </si>
  <si>
    <t>Interstate Windows &amp; Door Co</t>
  </si>
  <si>
    <t>3000 N Township Boulevard</t>
  </si>
  <si>
    <t>Pittston Twp.</t>
  </si>
  <si>
    <t>Pupa III</t>
  </si>
  <si>
    <t>3000 N Township Blvd</t>
  </si>
  <si>
    <t>jpupa@interstatebldg.com</t>
  </si>
  <si>
    <t xml:space="preserve">MUST BE ABLE TO LIFT UP TO 50 POUNDS, WORK UP FROM 45 TO 50 HOURS PER WEEK, 6 DAYS A WEEK, MUST BE ON TIME DAILY. TIME OFF DURING THIS PERIOD IS EXTREMELY LIMITED. POST-EMPLOYMENT RANDOM DRUG TESTING AND BACKGROUND CHECKS MAY BE REQUIRED, AT NO COST TO THE WORKER. NO MINIMUM EDUCATION OR EXPERIENCE REQUIRED, ON-THE-JOB TRAINING WILL BE PROVIDED. THE JOB REQUIRES THE APPLICANT TO BE QUALIFIED, READY, WILLING, ABLE AND AVAILABLE TO PERFORM DURING THE ENTIRE EMPLOYMENT AT THE DESIGNATED WORKSITE; TO ENTER INTO AND COMPLY WITH EMPLOYMENT CONTRACT; TO FOLLOW WORKPLACE RULES; AND TO MEET JOB PERFORMANCE STANDARDS.
</t>
  </si>
  <si>
    <t>Pittston Township</t>
  </si>
  <si>
    <t>P-400-23249-324561</t>
  </si>
  <si>
    <t>www.interstatebldg.com</t>
  </si>
  <si>
    <t>H-400-23336-539534</t>
  </si>
  <si>
    <t>Perfect Landscapes LLC</t>
  </si>
  <si>
    <t>21625 Cascades Parkway</t>
  </si>
  <si>
    <t>Mailing: P.O. Box 604, Ashburn, VA 20146</t>
  </si>
  <si>
    <t>info@perfectlandscapes.com</t>
  </si>
  <si>
    <t>Able to lift 50lbs, Random drug testing during employment; Pre-employment drug testing required, Monday-Friday, Some weekends may be required, overtime varies.
All drug testing is performed without regard to an employees citizenship or immigration status, and all testing is paid for by the company. See the additional document attached for further details about the administration of our drug testing policy.</t>
  </si>
  <si>
    <t>P-400-23208-219196</t>
  </si>
  <si>
    <t>H-400-23336-539045</t>
  </si>
  <si>
    <t>CREATIVE DESIGN LANDSCAPING INC</t>
  </si>
  <si>
    <t>123 STEPHEN HANDS PATH</t>
  </si>
  <si>
    <t>GILHOOLEY</t>
  </si>
  <si>
    <t>P-400-23206-211855</t>
  </si>
  <si>
    <t>CDHAMPTONS@GMAIL.COM</t>
  </si>
  <si>
    <t>H-400-23320-507075</t>
  </si>
  <si>
    <t>P-400-23244-316675</t>
  </si>
  <si>
    <t>H-400-23307-476076</t>
  </si>
  <si>
    <t>Worman Forest Management, LLC</t>
  </si>
  <si>
    <t xml:space="preserve">2055 E. Grandview Dr. </t>
  </si>
  <si>
    <t>Worman</t>
  </si>
  <si>
    <t>info@Wormanforestry.com</t>
  </si>
  <si>
    <t xml:space="preserve">Must be 18 due to travel. Must show proof of legal authorization to work in the United States. Drug/alcohol/tobacco free work zone. Must walk substantially (up to 15 miles/day), also stoop, bend while carrying a pack (up to 60lbs) thru rough terrain (non-trail).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
</t>
  </si>
  <si>
    <t>2055 E Grandview Dr. (Report to Work)</t>
  </si>
  <si>
    <t>P-400-23198-193308</t>
  </si>
  <si>
    <t>info@wormanforestry.com</t>
  </si>
  <si>
    <t>H-400-23307-476756</t>
  </si>
  <si>
    <t>Anderson Contractors LLC</t>
  </si>
  <si>
    <t>3327 Point Pleasant Rd.</t>
  </si>
  <si>
    <t>7720 Mcville Rd, Burlington, KY 41005</t>
  </si>
  <si>
    <t>P-400-23269-382490</t>
  </si>
  <si>
    <t>H-400-23313-489273</t>
  </si>
  <si>
    <t xml:space="preserve">Food and Beverage Supervisor </t>
  </si>
  <si>
    <t xml:space="preserve">Must be minimum of 18 years old. Must be able to supervise up to 15 employees. Must be able to work at least a 5-day schedule, including weekends and holidays as required Upholds the core values and policies &amp; procedures of the resort. Post-Employment Criminal Background check is required, cost paid by employer and applied equally to all workers, U.S. and foreign/H-2B. Applicants must complete an employment application. 
</t>
  </si>
  <si>
    <t>P-400-23193-183568</t>
  </si>
  <si>
    <t>H-400-23336-539040</t>
  </si>
  <si>
    <t xml:space="preserve">BEDOYA BROTHERS LANDSCAPING INC </t>
  </si>
  <si>
    <t xml:space="preserve">150 RABBIT RUN </t>
  </si>
  <si>
    <t>BEDOYA</t>
  </si>
  <si>
    <t>150 RABBIT RUN</t>
  </si>
  <si>
    <t>P-400-23206-214578</t>
  </si>
  <si>
    <t>INFO@BEDOYABROTHERS.COM</t>
  </si>
  <si>
    <t>H-400-23300-461600</t>
  </si>
  <si>
    <t>ROOM ATTENDANT</t>
  </si>
  <si>
    <t xml:space="preserve">Must have at least three (3) months of prior full-time experience as a housekeeper in a luxury hospitality setting. Experience must be verifiable. Must pass a pre-hire background check, carried out equally between U.S. workers and H-2B workers. Must be available to work split-shifts, nights, weekends &amp; holidays as needed. Must be able to lift, pull, push, or carry up to 25 lbs or more, and walk or stand for long periods of time. Must maintain professional appearance. </t>
  </si>
  <si>
    <t>P-400-23300-459933</t>
  </si>
  <si>
    <t>H-400-23336-539049</t>
  </si>
  <si>
    <t>CURTI'S LANDSCAPING INC</t>
  </si>
  <si>
    <t>169 ROUTE 303</t>
  </si>
  <si>
    <t>VALLEY COTTAGE</t>
  </si>
  <si>
    <t>P-400-23205-211838</t>
  </si>
  <si>
    <t>H-400-23325-515760</t>
  </si>
  <si>
    <t>Yellowstone Landscape-Central, Inc.</t>
  </si>
  <si>
    <t>Yellowstone Landscape Inc.</t>
  </si>
  <si>
    <t>500 Huffines Blvd</t>
  </si>
  <si>
    <t>Mailing: 3235 N. State Street, PO Box 849, Bunnell, FL 32110</t>
  </si>
  <si>
    <t>P-400-23254-335678</t>
  </si>
  <si>
    <t>Employer will make all deductions from the worker's paycheck required by law.
Optional Medical/Dental/Vision/Accident/Critical Illness insurance and 401K available. Insurance costs vary depending on plan(s) selected by workers. Cost of Medical, Dental, Vision, Accident, and critical Illness insurance and 401K is voluntary and deducted from paycheck if worker elects.</t>
  </si>
  <si>
    <t>H-400-23298-454997</t>
  </si>
  <si>
    <t>Ring &amp; Ring, Inc.</t>
  </si>
  <si>
    <t>Wright's Amusements Company</t>
  </si>
  <si>
    <t>13002 CO RD. 102</t>
  </si>
  <si>
    <t>[MAIL:PO BOX 1000, ELBERT, CO 80106]</t>
  </si>
  <si>
    <t>wrightsamusements@yahoo.com</t>
  </si>
  <si>
    <t>13002 Co. Rd. 102</t>
  </si>
  <si>
    <t>Elbert</t>
  </si>
  <si>
    <t>P-400-23214-233754</t>
  </si>
  <si>
    <t>DINING ROOM ATTENDANTS</t>
  </si>
  <si>
    <t>H-400-23321-511250</t>
  </si>
  <si>
    <t>Motorcoach Operator</t>
  </si>
  <si>
    <t>Bus Drivers, Transit and Intercity</t>
  </si>
  <si>
    <t>ST Charters and Buses, Inc.</t>
  </si>
  <si>
    <t>8511 Co Rd 208</t>
  </si>
  <si>
    <t>Lecona</t>
  </si>
  <si>
    <t>cfo@spacetoursgroup.com</t>
  </si>
  <si>
    <t xml:space="preserve">-	Must have a CDL Class A or B with valid Passenger Endorsement or foreign equivalent.
-	Must meet DOT physical qualifications.
-	Must not have failed any DOT-certified random drug tests in the past 3 years.
-	Must observe all Federal Motor Carrier Safety Administration (FMCSA) rules and regulations
-	Must have at least 1 year of related experience. 
-	Must pass a pre-employment drug test and background check per DOL requirements for CDL Operator. Drug test and background checks are paid for by the employer. 
-	Must have a high school diploma, GED, or foreign equivalent. </t>
  </si>
  <si>
    <t>605 Grey Street</t>
  </si>
  <si>
    <t>P-400-23265-372066</t>
  </si>
  <si>
    <t>The employer will conduct bi-weekly payroll deductions for the reasonable cost or fair value of board, lodging, and facilities furnished. The offered housing is optional for workers. Additionally, the Employer will make all deductions required by law.</t>
  </si>
  <si>
    <t>H-400-23336-538914</t>
  </si>
  <si>
    <t>Fertilawn Inc</t>
  </si>
  <si>
    <t>P.O. Box 630</t>
  </si>
  <si>
    <t>10 Quogue Plaza Trail, Quogue NY 11959</t>
  </si>
  <si>
    <t>10 Quogue Plaza Trail</t>
  </si>
  <si>
    <t>P-400-23184-164009</t>
  </si>
  <si>
    <t>fertilawnusa.com</t>
  </si>
  <si>
    <t>Operating Manager</t>
  </si>
  <si>
    <t>H-400-23298-455099</t>
  </si>
  <si>
    <t>Mariani Enterprises LLC</t>
  </si>
  <si>
    <t>¿Siciliano Landscape Company</t>
  </si>
  <si>
    <t>247 Bridge Ave, Suite 6</t>
  </si>
  <si>
    <t>Red Bank</t>
  </si>
  <si>
    <t>Siciliano</t>
  </si>
  <si>
    <t xml:space="preserve">247 Bridge Avenue </t>
  </si>
  <si>
    <t>karen@sicilianolandscape.com</t>
  </si>
  <si>
    <t>NONE
F.a.5 A-H
7:30am-4pm; M-F; OT hours possible and may vary.
7:30am-4pm; 8-hour workday with daily half hour lunch break; 40 hours/week. M-F; OT hours possible and may vary.</t>
  </si>
  <si>
    <t>P-400-23258-350274</t>
  </si>
  <si>
    <t>H-400-23336-539093</t>
  </si>
  <si>
    <t>1270 E. 450 South  (Report to Work)</t>
  </si>
  <si>
    <t>BARTHOLOMEW</t>
  </si>
  <si>
    <t>Columbus, IN</t>
  </si>
  <si>
    <t>P-400-23243-312253</t>
  </si>
  <si>
    <t>H-400-23307-476207</t>
  </si>
  <si>
    <t>James River Grounds Management</t>
  </si>
  <si>
    <t>3127 Ballard Avenue</t>
  </si>
  <si>
    <t xml:space="preserve">Lift/carry up to 50 pounds.  Show past certification for herbicide and fertilizer application (as required by the Commonwealth of VA).  Work in bending and standing positions for extended periods in all types of weather (extreme heat &amp; cold).   Employer paid drug test is Pre-Employment, Random (post-employment), Post Accident, Upon Suspicion (Post Employment).  Employer paid post hire criminal background check required. 
</t>
  </si>
  <si>
    <t>Character limit:  overtime is not guaranteed but if worked rate is paid at time and a half per hour above 40 ho</t>
  </si>
  <si>
    <t>P-400-23165-108804</t>
  </si>
  <si>
    <t>Character Limit:  Shared housing available to only seasonal full-time employees, not offered to non-employees. Employees may make their own arrangements at their own expense. If they opt to live in employer provided housing rent (utilities included) charged at $87.50/week.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optional ACA health insurance, holiday pay,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t>
  </si>
  <si>
    <t xml:space="preserve">https://jrgm.com/join-our-team/ </t>
  </si>
  <si>
    <t>H-400-23319-504478</t>
  </si>
  <si>
    <t>M.A.W. Snow Removal, LLC</t>
  </si>
  <si>
    <t>4720 Caprice Dr.</t>
  </si>
  <si>
    <t>Agnew</t>
  </si>
  <si>
    <t>maw_officemanager@yahoo.com</t>
  </si>
  <si>
    <t xml:space="preserve">Other requirements:  Post-employment random drug testing and background checks may be required, at no cost to the worker.  The job requires the applicant to be qualified, ready, willing, able, and available to perform during the entire employment at all the designated worksites.
</t>
  </si>
  <si>
    <t>P-400-23282-419013</t>
  </si>
  <si>
    <t xml:space="preserve">Employer will make all deductions from the worker’s paycheck required by law. On an optional basis, the employer will assist those employees who opt in, in securing housing. Payment for this housing and any included utilities will be deducted from the workers’ pay. This deduction is estimated to be $0.00 per week. </t>
  </si>
  <si>
    <t>H-400-23279-414425</t>
  </si>
  <si>
    <t>P-400-23183-162042</t>
  </si>
  <si>
    <t>H-400-23321-509159</t>
  </si>
  <si>
    <t>The Pond Depot, Inc.</t>
  </si>
  <si>
    <t>Sublime Water Gardens</t>
  </si>
  <si>
    <t>1295 Bridle Bit Road</t>
  </si>
  <si>
    <t>Mailing: P.O. Box 271628, Flower Mound, TX 75027</t>
  </si>
  <si>
    <t>Addy</t>
  </si>
  <si>
    <t>liz@sublimewatergarden.com</t>
  </si>
  <si>
    <t>P-400-23226-263346</t>
  </si>
  <si>
    <t>Employer will make all deductions from the worker's paycheck required by law.  Option to deduct vehicle expense if elected from pay $25-50 per weekend, deducted from weekly check when selected. Optional deductions will not drop the overall wages below the UDSOL minimum, if the deductions are too great they will not be made. (Note for the CO: Section F.d item 4 is marked yes as the employer will assist workers, they are not providing housing)</t>
  </si>
  <si>
    <t>New Smyrna Beach</t>
  </si>
  <si>
    <t>Nicely</t>
  </si>
  <si>
    <t>Garth</t>
  </si>
  <si>
    <t>garth0480@yahoo.com</t>
  </si>
  <si>
    <t>Poston</t>
  </si>
  <si>
    <t>LAWRENCE</t>
  </si>
  <si>
    <t>H-400-23336-539570</t>
  </si>
  <si>
    <t>West Coast Landscape and Lawns LLC</t>
  </si>
  <si>
    <t>3880 76th Ave. North, Unit A</t>
  </si>
  <si>
    <t>Mailing: P.O. Box 5648, Clearwater, FL 33758</t>
  </si>
  <si>
    <t>Pinellas Park</t>
  </si>
  <si>
    <t>tsalvador@westcoastlawns.com</t>
  </si>
  <si>
    <t>Pre-hire background check required; Random drug testing during employment; Pre-employment drug testing required; Drug testing during employment for cause; Post-Accident Drug Testing, Able to lift 50lbs, Monday-Friday, Some weekends may be required, schedule varies,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</si>
  <si>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P-400-23255-339921</t>
  </si>
  <si>
    <t>Upon employee's request, payroll deductions may be made, at employer's discretion. Employer facilitates corresponding deductions for available health benefits. Employer facilitates voluntary housing arrangements along with corresponding payroll deduction of $300-$500/month depending on number of occupants in unit for rent and utilities.</t>
  </si>
  <si>
    <t>H-400-23307-476518</t>
  </si>
  <si>
    <t>Salado Green Solutions, LLC</t>
  </si>
  <si>
    <t>Green Solutions, LLC</t>
  </si>
  <si>
    <t>3950 State Hwy 95</t>
  </si>
  <si>
    <t>Talbert</t>
  </si>
  <si>
    <t>john.talbert@greensolutions.biz</t>
  </si>
  <si>
    <t xml:space="preserve">Random drug testing during employment; Drug testing during employment for cause; Post-Accident Drug Testing; Able to lift 50lbs, Must be able to work in inclement weather, Monday-Friday, Some weekends required, schedule varies,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
</t>
  </si>
  <si>
    <t>raise/bonus at employer's discretion. Opportunity for higher pay depending on experience.</t>
  </si>
  <si>
    <t>P-400-23200-201276</t>
  </si>
  <si>
    <t>H-400-23218-241899</t>
  </si>
  <si>
    <t>Insulated Concrete Form Foreman</t>
  </si>
  <si>
    <t xml:space="preserve"> Nine (9) months of 2-year work experience must be supervisory.
 Post-employment drug tests required after incidents or on reasonable suspicion paid by employer. Background check required.
 May be required to lift up to 80 lbs.
 Requires both office and outdoor work.
   - Basic office work will include sitting, walking, climbing stairs, kneeling, bending, and operating office equipment that is hand operated. 
   - Job site work will require frequent exposure to the outdoors, some in extreme weather conditions, with physical requirements, including walking, climbing stairs, scaffolding, maneuvering around small obstacles, moving through cramped quarters, etc.
</t>
  </si>
  <si>
    <t>P-400-23181-159154</t>
  </si>
  <si>
    <t xml:space="preserve">None besides those required by law. </t>
  </si>
  <si>
    <t>Van Der Hout, LLP</t>
  </si>
  <si>
    <t>1 hr. lunch. Wage range based on experience and performance. Some O.T. and weekends may be available but not guaranteed.</t>
  </si>
  <si>
    <t>Champlain Beef Company Inc.</t>
  </si>
  <si>
    <t>9679 State Route 4</t>
  </si>
  <si>
    <t>Cuomo</t>
  </si>
  <si>
    <t>champlainbeef@gmail.com</t>
  </si>
  <si>
    <t>All mandatory State and Federal deductions.</t>
  </si>
  <si>
    <t>H-400-23215-235055</t>
  </si>
  <si>
    <t>STEWARDS</t>
  </si>
  <si>
    <t>P-400-23096-910666</t>
  </si>
  <si>
    <t>OPTIONAL HOUSING AVAILABLE FOR $250.00/MONTH TO BE DEDUCTED BI-WEEKLY FROM PAYCHECK</t>
  </si>
  <si>
    <t>H-400-23215-235750</t>
  </si>
  <si>
    <t>SMHG Management LLC</t>
  </si>
  <si>
    <t>Powder Mountain Resort</t>
  </si>
  <si>
    <t>3923 Wolf Creek Drive</t>
  </si>
  <si>
    <t>Loveless</t>
  </si>
  <si>
    <t>Dixie</t>
  </si>
  <si>
    <t>P.O. Box 1119</t>
  </si>
  <si>
    <t>dloveless@powdermountain.com</t>
  </si>
  <si>
    <t xml:space="preserve">The Petitioner will consider for employment any person who possesses at least three (3) months of housekeeping experience at rental houses, condos, lodges, hotels, or event spaces.
</t>
  </si>
  <si>
    <t>6965 E Powder Mountain Road (Hwy 158)</t>
  </si>
  <si>
    <t>Wage: $18.00 – $21.00 per hour, paid bi-weekly.  See job description for additional information.</t>
  </si>
  <si>
    <t>P-400-23166-113700</t>
  </si>
  <si>
    <t>Housing is not offered.  
All deductions from paycheck required by law will be made</t>
  </si>
  <si>
    <t>H-400-23307-476348</t>
  </si>
  <si>
    <t xml:space="preserve">No minimum education or experience required.
Applicant must complete an employment application.  
Post-employment criminal background check required, cost paid by employer and applied equally to all workers, US &amp; Foreign/H2B.
Must be able to work a minimum 5-day workweek.
Must be able to work weekends and holidays.
The employer guarantees to offer work for hours equal to at least three-fourths of the workdays in each 12-week period of the total employment period.
H-2B workers will be reimbursed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</si>
  <si>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P-400-23172-133363</t>
  </si>
  <si>
    <t>H-400-23242-308440</t>
  </si>
  <si>
    <t>InnSeason Resorts Pollard Brook</t>
  </si>
  <si>
    <t>P-400-23145-054369</t>
  </si>
  <si>
    <t>Housing-$65.00/week</t>
  </si>
  <si>
    <t>H-400-23307-475809</t>
  </si>
  <si>
    <t>Lake Charles Country Club</t>
  </si>
  <si>
    <t>3350 Country Club Dr.</t>
  </si>
  <si>
    <t>McCallum</t>
  </si>
  <si>
    <t>chrismccallums@yahoo.com</t>
  </si>
  <si>
    <t>P-400-23192-179111</t>
  </si>
  <si>
    <t>Optional, shared housing available to the worker at a monthly housing rate up to $400.00; if optional housing is agreed upon by the worker, monthly housing rate will be deducted from worker's paycheck incrementally (bi-weekly).</t>
  </si>
  <si>
    <t>H-400-23261-355220</t>
  </si>
  <si>
    <t>Table Games Dealer</t>
  </si>
  <si>
    <t>Gambling Dealers</t>
  </si>
  <si>
    <t>Virgin Islands Gaming License
Fluent in English. Must be 21 years old and able to obtain a VI Gaming License. Strong math skills for computing payoffs.
1 hour unpaid meal break.</t>
  </si>
  <si>
    <t>P-400-23183-162075</t>
  </si>
  <si>
    <t>All deductions from the worker's paycheck required by law will be made, including but not limited to VI Income Tax, Social Security, Medicare. Amounts unknown as it depends on hours worked. 
"Optional" There will be a deduction of $300 per month for housing ($150 per bi-weekly pay period).</t>
  </si>
  <si>
    <t>H-400-23186-166884</t>
  </si>
  <si>
    <t>International Maintenance Services, LLC</t>
  </si>
  <si>
    <t>634 E King Ave # 1007</t>
  </si>
  <si>
    <t>Schanze</t>
  </si>
  <si>
    <t>Thomas.schanze@imi-eag.com</t>
  </si>
  <si>
    <t xml:space="preserve">A high school diploma or GED and 2 years experience as a pipefitter in an industrial environment.  Ability to pass a blueprint reading test. Ability to perform basic pipe fitting functions and processes.  Ability to complete background check, drug and alcohol testing.
</t>
  </si>
  <si>
    <t>401k available</t>
  </si>
  <si>
    <t>P-400-23128-001467</t>
  </si>
  <si>
    <t>Employer will make all deductions from the worker's paycheck as required by law.</t>
  </si>
  <si>
    <t>info@intmainserv.com</t>
  </si>
  <si>
    <t>H-400-23336-539089</t>
  </si>
  <si>
    <t>JOSE FLORES LANDSCAPING INC</t>
  </si>
  <si>
    <t>63 DREXEL AVENUE</t>
  </si>
  <si>
    <t>P-400-23200-199447</t>
  </si>
  <si>
    <t>JOSEFLORESLANDSCAPING@GMAIL.COM</t>
  </si>
  <si>
    <t>H-400-23233-282171</t>
  </si>
  <si>
    <t>Johnson Resort Properties</t>
  </si>
  <si>
    <t>dba Rustic Inn Creekside Resort &amp; Spa</t>
  </si>
  <si>
    <t>475 N. Cache St</t>
  </si>
  <si>
    <t>Mailing: PO Box 14250, Jackson, WY 83002</t>
  </si>
  <si>
    <t xml:space="preserve">Saturday and Sunday work required, when necessary.  Must lift/carry  50 lbs., when necessary.
</t>
  </si>
  <si>
    <t>475 N Cache St.</t>
  </si>
  <si>
    <t>P-400-23179-149746</t>
  </si>
  <si>
    <t xml:space="preserve">Employer makes all payroll deductions required by law. Employer does not envision other workforce-wide payroll deductions. Uniform provided at no cost. Employer may deduct replacement cost for lost/damaged uniform resulting from worker negligence.   No daily transportation to/from workers' home and primary worksite. </t>
  </si>
  <si>
    <t>hunter@resortjh.com</t>
  </si>
  <si>
    <t>H-400-23307-476681</t>
  </si>
  <si>
    <t>Amberscapes, Inc.</t>
  </si>
  <si>
    <t>R.L. Shelley's Lawn Service</t>
  </si>
  <si>
    <t>3114 N. Mechanic Street</t>
  </si>
  <si>
    <t>Mailing: P.O. Box 1574, El Campo, TX 77437</t>
  </si>
  <si>
    <t>El Campo</t>
  </si>
  <si>
    <t>gayleshelley@yahoo.com</t>
  </si>
  <si>
    <t xml:space="preserve">Able to lift 50lbs, Monday-Friday, Schedule Varies, some Saturdays required, Additional overtime varies
</t>
  </si>
  <si>
    <t>WHARTON</t>
  </si>
  <si>
    <t>P-400-23235-289298</t>
  </si>
  <si>
    <t>H-400-23256-344695</t>
  </si>
  <si>
    <t>FEDERAL, STATE ,SOCIAL SECURITY TAX AND MEDICARE TAX ACCORDING TO IRS REGULATION</t>
  </si>
  <si>
    <t>H-400-23290-435862</t>
  </si>
  <si>
    <t>C.W.M. Independent Rides, LLC</t>
  </si>
  <si>
    <t>1083 FM 491</t>
  </si>
  <si>
    <t>txjanie@hotmail.com</t>
  </si>
  <si>
    <t>P-400-23220-246386</t>
  </si>
  <si>
    <t>yardnote100@gmail.com</t>
  </si>
  <si>
    <t>H-400-23229-272618</t>
  </si>
  <si>
    <t>Service Assistant</t>
  </si>
  <si>
    <t>Venice Pier Group, Inc.</t>
  </si>
  <si>
    <t>Sharky's on the Pier and Fin's at Sharky's</t>
  </si>
  <si>
    <t xml:space="preserve">205 Base Avenue E. </t>
  </si>
  <si>
    <t>Pachota</t>
  </si>
  <si>
    <t>hr@sharkysonthepier.com</t>
  </si>
  <si>
    <t xml:space="preserve">The Petitioner will consider for employment any person who possesses at least three (3) months of experience in a fine-dining or high-volume environment at a high-end restaurant, resort,
or private club.
</t>
  </si>
  <si>
    <t>1600 S. Harbor Drive</t>
  </si>
  <si>
    <t>Wage: Tipped position with guaranteed wage of $15.00 per hour, paid bi-weekly.  See job description.</t>
  </si>
  <si>
    <t>P-400-23139-037558</t>
  </si>
  <si>
    <t>Optional housing is offered on a first-come, first-serve basis for workers who are relocating to begin employment.  Cost of housing, including utilities, if accepted, is $165.00 - $225.00 per week.  If used, total cost of housing will be paid directly to employer by employee.  A $400.00 refundable security deposit and $100.00 non-refundable cleaning fee is required, which may be paid directly to employer upon acceptance of housing or deducted from first paycheck.</t>
  </si>
  <si>
    <t>H-400-23198-193467</t>
  </si>
  <si>
    <t>Timothy L Keefe</t>
  </si>
  <si>
    <t>1201 Onley</t>
  </si>
  <si>
    <t>Sandy Spring</t>
  </si>
  <si>
    <t>Keefe</t>
  </si>
  <si>
    <t>PO Box 186</t>
  </si>
  <si>
    <t>tlkracing@yahoo.com</t>
  </si>
  <si>
    <t>RT 198 &amp; Racetrack Road, Laurel, MD 20724.</t>
  </si>
  <si>
    <t>P-400-23163-100213</t>
  </si>
  <si>
    <t>State and Federal Taxes, Optional employer offered housing in the backstretch at no cost to the worker.</t>
  </si>
  <si>
    <t>H-400-23276-406557</t>
  </si>
  <si>
    <t>C &amp; C CONCESSIONS, INC.</t>
  </si>
  <si>
    <t>2700 FIRST ST.</t>
  </si>
  <si>
    <t>LA VERNE</t>
  </si>
  <si>
    <t>jennifer@candcconcessions.com</t>
  </si>
  <si>
    <t>P-400-23227-265399</t>
  </si>
  <si>
    <t>H-400-23193-184890</t>
  </si>
  <si>
    <t>The Ritz-Carlton Hotel Company, LLC</t>
  </si>
  <si>
    <t>The Ritz-Carlton Lake Tahoe</t>
  </si>
  <si>
    <t>13031 Ritz-Carlton Highlands Court</t>
  </si>
  <si>
    <t>wendy.hunter@ritzcarlton.com</t>
  </si>
  <si>
    <t xml:space="preserve">No education required.  Six months related experience required. Must be able to stand, sit, or walk for an extended period of time or for an entire work shift. Reach overhead and below the knees, including bending, twisting, pulling, and stooping. Move, lift, carry, push, pull, and place objects weighing less than or equal to 25 pounds without assistance. Pre-employment Criminal Background Check.  On the job training provided. Shifts: 6:00AM  2:30PM; 9:00AM  5:30PM; 2:30PM  11:00PM; 10:30PM  7:00AM. (5 rotating days including weekends).
</t>
  </si>
  <si>
    <t>P-400-23121-981903</t>
  </si>
  <si>
    <t xml:space="preserve">Shared subsidized housing may be available. Housing is optional and, if elected, will cost approx. $550 to $825 per month payable directly to the landlord. All deductions from worker’s paycheck required by law will be made. </t>
  </si>
  <si>
    <t>H-400-23200-198660</t>
  </si>
  <si>
    <t>Cleaning Crew Member</t>
  </si>
  <si>
    <t>Mint Commercial Cleaning LLC</t>
  </si>
  <si>
    <t>901 S Francis St.</t>
  </si>
  <si>
    <t>Emilio</t>
  </si>
  <si>
    <t>info@mintprocleaning.com</t>
  </si>
  <si>
    <t>FAURE WENGER</t>
  </si>
  <si>
    <t>KARINE</t>
  </si>
  <si>
    <t>ISABELLE</t>
  </si>
  <si>
    <t>P.O. BOX 910129</t>
  </si>
  <si>
    <t>MarinaVallecillo@Fragomen.com</t>
  </si>
  <si>
    <t>Fragomen, Del Rey, Bernsen and Loewy, LLP</t>
  </si>
  <si>
    <t>Position requires the following skills: Read and interpret written and oral instructions for operating safety rules, maintenance and procedure manuals; Pass criminal background check; 21 years of age; Ability to lift and move more than 50 pounds; and Ability to work under minimum supervision in commercial places.</t>
  </si>
  <si>
    <t>MONITEAU</t>
  </si>
  <si>
    <t>P-400-23121-979745</t>
  </si>
  <si>
    <t>None. *The Employer can assist employees with resources to secure housing, however, the employee will be responsibility for paying the cost of housing.*</t>
  </si>
  <si>
    <t>H-400-23248-320002</t>
  </si>
  <si>
    <t>SPIRE Hospitality, LLC</t>
  </si>
  <si>
    <t>Topnotch Resort</t>
  </si>
  <si>
    <t>Pyplacz</t>
  </si>
  <si>
    <t>Mylene</t>
  </si>
  <si>
    <t>Director of People &amp; Culture</t>
  </si>
  <si>
    <t>4000 Mountain Road</t>
  </si>
  <si>
    <t>mpyplacz@topnotchresort.com</t>
  </si>
  <si>
    <t xml:space="preserve">The petitioner will consider for employment any person who possesses at least three (3) months of experience at a high-end hotel, resort, or private club required. Applicant must complete pre-employment background check. Work schedule can vary and can include evening, weekend, and holiday hours. Work may be performed on any day of the week from Monday through Sunday. Example shifts: 8:00am to 4:00pm or 2:00pm to 10:00pm. Shift hours may vary.
</t>
  </si>
  <si>
    <t>Wage: $15.97 - $18.00 per hour, paid bi-weekly. See job description for details.</t>
  </si>
  <si>
    <t>P-400-23195-190185</t>
  </si>
  <si>
    <t>Optional housing is offered on a first-come, first-serve basis for workers who are relocating to begin employment. Cost of housing, if accepted, is $475.00 for a shared room or $950.00 for a single room per month. If used, total cost of housing will be paid directly to employer by employee. All deductions from paycheck required by law will be made.</t>
  </si>
  <si>
    <t>H-400-23237-295950</t>
  </si>
  <si>
    <t>KYD LLC</t>
  </si>
  <si>
    <t>2655 S Cobb Dr SE Ste 1</t>
  </si>
  <si>
    <t>SMYRNA</t>
  </si>
  <si>
    <t>Alli</t>
  </si>
  <si>
    <t>Oluwatoyin</t>
  </si>
  <si>
    <t>Basirat</t>
  </si>
  <si>
    <t>2440 NORWOOD DR SE</t>
  </si>
  <si>
    <t>toyin@kyd.llc</t>
  </si>
  <si>
    <t>P-400-23182-161900</t>
  </si>
  <si>
    <t>Tax deductions as applicable by law. Housing will be provided at no cost to the employee.</t>
  </si>
  <si>
    <t>www.kydllc.org</t>
  </si>
  <si>
    <t>H-400-23194-185291</t>
  </si>
  <si>
    <t>CONSTRUCTION HELPERS</t>
  </si>
  <si>
    <t xml:space="preserve">Bending Iron Rod. Must have at least 1 month experience.
</t>
  </si>
  <si>
    <t>P-400-23133-019658</t>
  </si>
  <si>
    <t>H-400-23215-235697</t>
  </si>
  <si>
    <t>Deck Hands</t>
  </si>
  <si>
    <t>Able to lift 60lbs, Random drug testing during employment, Working conditions may include excessive heat and/or cold, rainy days and cold weather on deck. Lodging &amp; meals are paid by employer for work done in Calhoun County (if required), Monday-Friday, overtime varies.
All drug testing is performed without regard to an employees citizenship or immigration status, and all testing is paid for by the company. See the additional document attached for further details about the administration of our drug testing policy.</t>
  </si>
  <si>
    <t>Prevailing Wage Amount or $4/sack harvested, whichever is greater</t>
  </si>
  <si>
    <t>P-400-23124-992338</t>
  </si>
  <si>
    <t>H-400-23228-267443</t>
  </si>
  <si>
    <t>Requirements:  Six (6) months of guest service experience in a high-end hotel, resort, or private club required. On-the-job training is provided.    Applicant must provide Pre-employment Criminal Background Check and Pre-employment Drug Test is required.
Shifts: Work schedule can vary and can include evening, weekend, and holiday hours. Work may be performed on any day of the week from Monday through Sunday.  Example shifts: 6:00am to 2:00pm, or 2:00pm to 10:00pm. Shift hours may vary.</t>
  </si>
  <si>
    <t>P-400-23184-165276</t>
  </si>
  <si>
    <t>H-400-23228-270434</t>
  </si>
  <si>
    <t>Housekeeping Cleaners</t>
  </si>
  <si>
    <t>Roxxy's Cleaning LLC</t>
  </si>
  <si>
    <t>901 W Beaver Creek Blvd</t>
  </si>
  <si>
    <t>Unit #102</t>
  </si>
  <si>
    <t>Koncan</t>
  </si>
  <si>
    <t>Leonora</t>
  </si>
  <si>
    <t>Roxxyclean@yahoo.com</t>
  </si>
  <si>
    <t xml:space="preserve">Must be 18 due to insurance.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and qualified to perform work described and must be available for the entire period specified and work throughout all areas of intended employment.  Hours may fluctuate based on tourism peaks and valleys throughout the season (+/-), possible downtime and/or overtime. </t>
  </si>
  <si>
    <t>901 W Beaver Creek Blvd (Report to Work)</t>
  </si>
  <si>
    <t>P-400-23121-979752</t>
  </si>
  <si>
    <t>H-400-23188-175270</t>
  </si>
  <si>
    <t>Verde Landscaping, Inc.</t>
  </si>
  <si>
    <t>17249 NW 174th Way</t>
  </si>
  <si>
    <t>Alachua</t>
  </si>
  <si>
    <t>verdelandscapinginc@hotmail.com</t>
  </si>
  <si>
    <t>17249 NW 174th Way (Report to Work)</t>
  </si>
  <si>
    <t>ALACHUA</t>
  </si>
  <si>
    <t>Gainesville, FL</t>
  </si>
  <si>
    <t>P-400-23151-065691</t>
  </si>
  <si>
    <t>H-400-23254-336308</t>
  </si>
  <si>
    <t xml:space="preserve"> Snow Removal Worker</t>
  </si>
  <si>
    <t>QUALITY GREEN TOTAL MAINTENANCE , LLC</t>
  </si>
  <si>
    <t>925 BEREA INDUSTRIAL PARKWAY, STE 30</t>
  </si>
  <si>
    <t>BEREA</t>
  </si>
  <si>
    <t>PATTERSON</t>
  </si>
  <si>
    <t>QUALITYGREENSCAPE@GMAIL.COM</t>
  </si>
  <si>
    <t xml:space="preserve">Able to lift and carry 50 pounds , some OT and weekends required.  Hours may vary. Paid Holidays after 30 days.
</t>
  </si>
  <si>
    <t>MERIT BASED RAISES AVAILABLE AT EMPLOYER DISCRETION.</t>
  </si>
  <si>
    <t>P-400-23207-217098</t>
  </si>
  <si>
    <t>H-400-23199-197893</t>
  </si>
  <si>
    <t>FOK Contractors LLC</t>
  </si>
  <si>
    <t>22512 RIVERWOOD DR</t>
  </si>
  <si>
    <t>CLAREMORE</t>
  </si>
  <si>
    <t xml:space="preserve">Assistance finding lodging is available, if needed, at no additional charge to the worker. </t>
  </si>
  <si>
    <t>P-400-23156-077627</t>
  </si>
  <si>
    <t xml:space="preserve">As required by state and federal law.  Assistance finding lodging is available, if needed, at no additional charge to the worker. </t>
  </si>
  <si>
    <t>H-400-23187-169053</t>
  </si>
  <si>
    <t xml:space="preserve">MUST BE ABLE TO PASS DEPARTMENT OF TRANSPORTATION PHYSICAL. MUST BE ABLE TO LIFT AND CARRY 40 LBS 30 FEET. CLASS B LICENSE REQUIRED, CLASS A OR INTERNATIONAL COMMERCIAL DRIVER'S LICENSE EQUIVALENT PREFERRED. GOOD DRIVING RECORD AND DRIVING SKILLS REQUIRED. MUST BE 21 YEARS OF AGE OR OLDER. MUST PASS PRE-EMPLOYMENT DRUG AND ALCOHOL TESTING. MUST BE ABLE TO HANDLE TEMPERATURE EXTREMES. NO PRIOR EDUCATION AND EXPERIENCE REQUIRED. WILL TRAVEL FROM BATCH TO WORK SITES.
</t>
  </si>
  <si>
    <t>Wage may vary based on experience and/or merit. Up to 20 hrs of overtime available.</t>
  </si>
  <si>
    <t>P-400-23131-014023</t>
  </si>
  <si>
    <t>Employers will provide optional housing to the employees. Employees who elect to live in the housing will have an additional $300 deducted bi-weekly for rent and utilities. Any advances will be deducted with the consent of the employee.</t>
  </si>
  <si>
    <t>H-400-23234-284035</t>
  </si>
  <si>
    <t>Carnival Americana, Inc.</t>
  </si>
  <si>
    <t>6245 Rufe Snow Dr 28061</t>
  </si>
  <si>
    <t>Watauga</t>
  </si>
  <si>
    <t>Cockerham</t>
  </si>
  <si>
    <t>alan@carnivalamericana.com</t>
  </si>
  <si>
    <t xml:space="preserve">Hours, schedule, and days vary widely.  
Typically Wed-Sun, 4pm  11pm.  
Often 35-45 hours per week, may go up to 45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t>
  </si>
  <si>
    <t>5610 Lake Ridge Pkwy</t>
  </si>
  <si>
    <t>P-400-23193-182950</t>
  </si>
  <si>
    <t>Optional mobile housing ($125/week)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t>
  </si>
  <si>
    <t>info@carnivalamericana.com</t>
  </si>
  <si>
    <t>H-400-23231-279229</t>
  </si>
  <si>
    <t xml:space="preserve">Must have current Level III certification w/ Professional Ski Instructors of America (PSIA), International Ski Instructors Association (ISIA), or equivalent organization. Must be able to work the full period of employment.
</t>
  </si>
  <si>
    <t>P-400-23114-960801</t>
  </si>
  <si>
    <t>H-400-23215-237898</t>
  </si>
  <si>
    <t xml:space="preserve">The Petitioner will consider for employment any person who possesses at least three (3) months of experience in a fine-dining or high-volume environment at a high-end restaurant, resort, or private club.   Applicant must complete pre-employment drug screening.  Applicant must be willing to obtain a Safe Serve Certification provided by employer. 
</t>
  </si>
  <si>
    <t>Tipped position with guaranteed wage of $17.26 per hour, paid bi-weekly.  See job description for additional details.</t>
  </si>
  <si>
    <t>P-400-23169-122586</t>
  </si>
  <si>
    <t>H-400-23224-260151</t>
  </si>
  <si>
    <t>Tovar Snow Professionals</t>
  </si>
  <si>
    <t>195 Penny Ave.</t>
  </si>
  <si>
    <t>East Dundee</t>
  </si>
  <si>
    <t>mcervantes@tovarsnow.com</t>
  </si>
  <si>
    <t>Wheelwright</t>
  </si>
  <si>
    <t>111 South Main Street</t>
  </si>
  <si>
    <t>tim.wheelwright@dentons.com</t>
  </si>
  <si>
    <t>Dentons Durham Jones Pinegar P.C.</t>
  </si>
  <si>
    <t>U.S. Supreme Court</t>
  </si>
  <si>
    <t xml:space="preserve">Physical Requirements:
1) Required to walk, stand, climb, balance, stoop, kneel, crouch, crawl, lift, grasp, carry, push, and pull.
2) Must be able to shovel snow for long periods of time.
3) Must be able to lift and/or move 50 plus pounds.
4) Specific vision abilities required by this job include close vision, distance vision, color vision, peripheral vision, depth perception, and the ability to adjust focus.
F.A.5-F.A.6. : HOURS AVERAGE 35 PER WEEK; NORMAL SCHEDULE 10 AM TO 5 PM, MUST BE AVAILABLE 24/7 ON-CALL AS NEEDED (WHEN THERE IS 30% CHANCE OR MORE FOR A STORM, WORKERS MUST BE ABLE TO MAKE IT OUT TO WHERE THEY ARE NEEDED TO LABOR IN LESS THAN TWO HOURS FROM WHEN THEY ARE NOTIFIED TO REPORT AT THE LOCATION.
</t>
  </si>
  <si>
    <t>2175 S 3140 W</t>
  </si>
  <si>
    <t>West Valley City</t>
  </si>
  <si>
    <t>P-400-23130-010197</t>
  </si>
  <si>
    <t>Optional employer-sourced rental housing is offered on a first-come, first-serve basis for workers who are relocating to begin employment. Cost of housing including utilities, if accepted, is up to $150.00 weekly. If used, total cost of housing will be deducted from paycheck. Workers will be responsible for any damage incurred to sourced rental housing.</t>
  </si>
  <si>
    <t>H-400-23234-284456</t>
  </si>
  <si>
    <t>Raccoon Hauling, Inc.</t>
  </si>
  <si>
    <t>416 Adamston Road</t>
  </si>
  <si>
    <t xml:space="preserve">None.
F.a.5A-H: M-F, 8:00am  4:00pm; OT available up to 10 hours. </t>
  </si>
  <si>
    <t>P-400-23131-014552</t>
  </si>
  <si>
    <t>H-400-23202-207145</t>
  </si>
  <si>
    <t>Floor Layers, Except Carpet, Wood, and Hard Tiles</t>
  </si>
  <si>
    <t>Decor Flooring and Finishing LLC</t>
  </si>
  <si>
    <t>2394 E Lenox Ct</t>
  </si>
  <si>
    <t>Zimolag</t>
  </si>
  <si>
    <t>2394 E Lenox Ct.</t>
  </si>
  <si>
    <t>decorflooringandfinishing@gmail.com</t>
  </si>
  <si>
    <t>P-400-23144-051577</t>
  </si>
  <si>
    <t>The Employer will make all deductions from the worker’s paycheck that are required by law. The Employer will facilitate housing by helping workers find housing.</t>
  </si>
  <si>
    <t>H-400-23249-323143</t>
  </si>
  <si>
    <t>P-400-23159-090920</t>
  </si>
  <si>
    <t>H-400-23186-166913</t>
  </si>
  <si>
    <t>General Production - Meat Packers</t>
  </si>
  <si>
    <t>Smithfield Packaged Meats Corporation</t>
  </si>
  <si>
    <t>1400 N Weber Ave</t>
  </si>
  <si>
    <t>1 month of safety/ppe/sanitation training required. 
Workers will work from 1st 2nd or 3rd shift with state/end time ranges of: 
Start 1st: 5:30am - 8:30am
End 1st: 2:30pm - 6:30pm
Start 2nd: 2:30pm - 6:30pm
End 2nd: 10:30pm - 3:30am
Start 3rd: 10:30pm
End 3rd: 7:00am</t>
  </si>
  <si>
    <t xml:space="preserve">Exact wage rate dependent on internal metrics and CBA terms. </t>
  </si>
  <si>
    <t>P-400-23143-047668</t>
  </si>
  <si>
    <t>H-400-23280-416946</t>
  </si>
  <si>
    <t xml:space="preserve">Trinity Concessions, LLC </t>
  </si>
  <si>
    <t xml:space="preserve">4950 West Southern Avenue </t>
  </si>
  <si>
    <t xml:space="preserve">Laveen </t>
  </si>
  <si>
    <t xml:space="preserve">Pickett </t>
  </si>
  <si>
    <t>joy@rcsfun.com</t>
  </si>
  <si>
    <t xml:space="preserve">
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criminal background check and post-employment / post-injury or incident and reasonable suspicion drug test required, cost paid by employer and applied to all workers, US and foreign/H2B. Applicants must cooperate with and complete job application and interview truthfully.
</t>
  </si>
  <si>
    <t>P-400-23173-135573</t>
  </si>
  <si>
    <t>H-400-23185-165901</t>
  </si>
  <si>
    <t>Brisket Saw Operator</t>
  </si>
  <si>
    <t>Kansas City Sausage Co</t>
  </si>
  <si>
    <t>Smithfield Foods</t>
  </si>
  <si>
    <t>1800 Maury St</t>
  </si>
  <si>
    <t xml:space="preserve">Safety and sanitation training required. 
Workers will work from 6:00am-4:30pm OR 7:00am - 5:30pm. </t>
  </si>
  <si>
    <t xml:space="preserve">Wage rate determined by internal metrics. Workers may be eligible for plant-wide incentives. </t>
  </si>
  <si>
    <t>P-400-23121-981601</t>
  </si>
  <si>
    <t>H-400-23185-165551</t>
  </si>
  <si>
    <t>4156 Avenida De La Plata</t>
  </si>
  <si>
    <t>Oceanside</t>
  </si>
  <si>
    <t>P-400-23110-951228</t>
  </si>
  <si>
    <t>Employer will make all deductions as required by state and federal law. Employer provided shared housing
is offered and housing is optional. Housing costs will be subsidized for workers in part or fully reimbursed
by a company check, separate from payroll check, if worker completes half the employment period. If
partially subsidized, the cost to the worker will not exceed $125/week</t>
  </si>
  <si>
    <t>H-400-23294-448412</t>
  </si>
  <si>
    <t>PAN Concessions LLC</t>
  </si>
  <si>
    <t>25939 Streisand Street</t>
  </si>
  <si>
    <t>(Mail: 999 E Basse Rd #180-480, San Antonio TX 78209)</t>
  </si>
  <si>
    <t xml:space="preserve">25939 Streisand Street </t>
  </si>
  <si>
    <t>panmidwayent@yahoo.com</t>
  </si>
  <si>
    <t>P-400-23213-229378</t>
  </si>
  <si>
    <t>panmidwayent@gmail.com</t>
  </si>
  <si>
    <t>H-400-23248-320503</t>
  </si>
  <si>
    <t>SOUTHEAST THOROUGHBRED RACING, LLC</t>
  </si>
  <si>
    <t>47 Manning Cove Road</t>
  </si>
  <si>
    <t>Malta</t>
  </si>
  <si>
    <t>wimottrace@gmail.com</t>
  </si>
  <si>
    <t>P-400-23201-203176</t>
  </si>
  <si>
    <t xml:space="preserve">Standard deductions required as by law.
The employer’s offered housing is optional. </t>
  </si>
  <si>
    <t>H-400-23276-406496</t>
  </si>
  <si>
    <t xml:space="preserve"> Fast Food and Counter Workers – Mobile Food Concessions</t>
  </si>
  <si>
    <t>CM LLC</t>
  </si>
  <si>
    <t>(MAIL: PO BOX 2659, RIVERVIEW FL 33568)</t>
  </si>
  <si>
    <t>SPRINGHILL</t>
  </si>
  <si>
    <t>(Mail to: PO Box 2659, Riverview, FL 33568)</t>
  </si>
  <si>
    <t>wadebigdog1@aol.com</t>
  </si>
  <si>
    <t>P-400-23182-161884</t>
  </si>
  <si>
    <t xml:space="preserve">Employer will make all deductions from the worker’s paycheck required by law.  In addition, the employer intends to make the following deductions from the worker’s paycheck which are not required by law:   NONE Optional mobile housing (valued at $175.00 per week) and local convenience travel (valued at $25.00 per week) are available for wage credit and/or deduction, or any lesser amount to the maximum extent allowed by law.  The employer will pay the cost of lodging to the extent such costs would reduce pay below the legally required minimum wage rate for the areas of intended employment.  </t>
  </si>
  <si>
    <t>H-400-23256-341300</t>
  </si>
  <si>
    <t>Mississippi Delta Shows, LLC  (MIS124A)</t>
  </si>
  <si>
    <t xml:space="preserve">Must be able to lift at least 50 lbs. Have manual dexterity. Be able to evaluate and problem-solve.   Be available entire work contract. Post-employment, employer-paid drug test may be administered.
Work days: Typically Monday through Friday; days vary 
Hours per week:  35 
Work Schedule: 8:00 a.m. - 3:00 p.m; schedule may vary 
Pay Frequency: Weekly
Additional information about wage:
Employer may offer a raise or bonus depending on experience and merit.
Pay Assurance: 
Daily Transportation provided to all worksite locations from primary worksite?  No
Does employer offer a ride to primary worksite location to workers living within a reasonable
commute:  Yes
Overtime available?  Yes
On-the-Job Training provided?  Yes
Employer-Provided Tools and Equipment provided?  Yes
Board, Lodging or Other Facilities provided?:   Yes, optional housing.
Deductions: Housing is offered at market rate or up to $1000/worker. Housing is optional. 
</t>
  </si>
  <si>
    <t>P-400-23214-233656</t>
  </si>
  <si>
    <t xml:space="preserve">Housing is offered at market rate or up to $1000/worker. Housing is optional. </t>
  </si>
  <si>
    <t>H-400-23186-168079</t>
  </si>
  <si>
    <t xml:space="preserve">Jewelry Brand Ambassador </t>
  </si>
  <si>
    <t>HFNY Group Corp.</t>
  </si>
  <si>
    <t>Effy Jewelry</t>
  </si>
  <si>
    <t>7 West 45th Street</t>
  </si>
  <si>
    <t>11th Floor</t>
  </si>
  <si>
    <t>Nabavian</t>
  </si>
  <si>
    <t>Rama</t>
  </si>
  <si>
    <t>V.P. Global Business Development</t>
  </si>
  <si>
    <t>rama@effyjewelry.com</t>
  </si>
  <si>
    <t>Bhavnani</t>
  </si>
  <si>
    <t>Manju</t>
  </si>
  <si>
    <t>8549 Wilshire Blvd</t>
  </si>
  <si>
    <t>Suite 1422</t>
  </si>
  <si>
    <t>manju@bhavnanilaw.com</t>
  </si>
  <si>
    <t>Law Offices of Manju Bhavnani</t>
  </si>
  <si>
    <t xml:space="preserve">12 months experience with high end jewelry sales
</t>
  </si>
  <si>
    <t>Workers will be paid an hourly wage plus sliding scale commission from 0.5%-4% based on discounts of the item.</t>
  </si>
  <si>
    <t>P-400-23140-040300</t>
  </si>
  <si>
    <t>jobs@effyjewelry.com</t>
  </si>
  <si>
    <t>H-400-23257-348512</t>
  </si>
  <si>
    <t>Bullitt Host LLC</t>
  </si>
  <si>
    <t>Holiday Inn Express, LLC</t>
  </si>
  <si>
    <t>365 Brenton Way</t>
  </si>
  <si>
    <t>Hillview</t>
  </si>
  <si>
    <t>simarajesh1@gmail.com</t>
  </si>
  <si>
    <t>Katrina</t>
  </si>
  <si>
    <t>17400  Dallas Parkway</t>
  </si>
  <si>
    <t>katrina.moore@akulalaw.com</t>
  </si>
  <si>
    <t>Akula &amp; Associates, P.C.</t>
  </si>
  <si>
    <t>BULLITT</t>
  </si>
  <si>
    <t>P-400-23138-034334</t>
  </si>
  <si>
    <t xml:space="preserve">Standard deductions as required by law. </t>
  </si>
  <si>
    <t>H-400-23256-343309</t>
  </si>
  <si>
    <t>AG Professional Services LLC</t>
  </si>
  <si>
    <t>Ally Professional Services</t>
  </si>
  <si>
    <t>935 Cliff Street</t>
  </si>
  <si>
    <t>Brookville</t>
  </si>
  <si>
    <t>Kozlowski</t>
  </si>
  <si>
    <t>shelly@allypros.com</t>
  </si>
  <si>
    <t xml:space="preserve">No minimum education or experience required. Must be able to lift 50 lbs. Must pass a post-employment criminal background check, paid by employer and applied equally to all workers, U.S. and foreign/H-2B. Must pass a post-employment/post-injury/incident drug test, paid by employer and applied equally to all workers, U.S. and foreign/H-2B. Must be able to work minimum 5-day workweek. Must be able to work weekends and holidays as required. Applicants must complete an employment application. The employer will provide on-the-job training. A single workweek will be used in computing wages due. Workers will be paid weekly. The employer will make all deductions from the worker's paycheck required by law. Optional employee shared housing available, including utilities, at a rate of approximately $130 per week. Cost of housing payroll deducted if worker elects. Uniform provided at no charge to worker. Optional uniform laundering available, approximate cost $10 per week payroll deducted if worker elects.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Daily transportation provided to/from housing/worksite at no cost to employee. Employer will then provide daily transportation among multiple work site locations in Hamilton, Butler, Clermont, and Warren, OH, Dearborn, IN, and Boone, Campbell, and Kenton, KY.The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The employer guarantees to offer work for hours equal to at least three-fourths of the workdays in each 12-week period of the total employment period.
</t>
  </si>
  <si>
    <t>P-400-23165-109924</t>
  </si>
  <si>
    <t>The employer will make all deductions from the worker's paycheck required by law. Optional employee shared housing available, including utilities, at a rate of approximately $130 per week. Cost of housing payroll deducted if worker elects. Uniform provided at no charge to worker. Optional uniform laundering available, approximate cost $10 per Daily transportation provided to/from housing/worksite at no cost to employee. Employer will then provide daily transportation among multiple work site locations in Hamilton, Butler, Clermont, and Warren, OH, Dearborn, IN, and Boone, Campbell, and Kenton, KY.week payroll deducted if worker elects.</t>
  </si>
  <si>
    <t>H-400-23263-360713</t>
  </si>
  <si>
    <t>RESORT GROUP, LLC</t>
  </si>
  <si>
    <t>MOUNTAIN RESORTS / SIMPLY STEAMBOAT / RESORT GROUP</t>
  </si>
  <si>
    <t>2150 RESORT DRIVE</t>
  </si>
  <si>
    <t xml:space="preserve">STEAMBOAT SPRINGS </t>
  </si>
  <si>
    <t>VP of Benefits &amp; Risk Management</t>
  </si>
  <si>
    <t>2150 Resort Drive</t>
  </si>
  <si>
    <t>dfisher@resortgroup.com</t>
  </si>
  <si>
    <t xml:space="preserve">Shifts: start 8 AM - 10 AM, 6-8 hour shifts, Mon-Sun, 1 day off/week vary. 36 hrs/week
Criminal background check  - same as all US Citizen Applicants and work-authorized applicants
</t>
  </si>
  <si>
    <t>Hours over 40 in a workweek will be calculated at time &amp; a half for overtime in accordance with Colorado COMPS order#38</t>
  </si>
  <si>
    <t>P-400-23192-178814</t>
  </si>
  <si>
    <t>We will make all deductions required by law (ie. federal and state income taxes, social security taxes). We will make a deduction for a bi-weekly occupancy fee at our employer-provided housing at a rate of $275.00 each bi-weekly period the employee resides there.  Any past due and unpaid weekly occupancy fees will also be collected via pay deduction.  It is the employee's option to elect to reside in our employer-provided housing, if an employee does not reside at our employer-provided housing, no deductions for housing will occur. No other deductions will be made from pay, except statutory taxes.</t>
  </si>
  <si>
    <t>work@resortgroup.com</t>
  </si>
  <si>
    <t>www.resortgroupjobs.com</t>
  </si>
  <si>
    <t>H-400-23215-236395</t>
  </si>
  <si>
    <t>Naples Yacht Club, Inc.</t>
  </si>
  <si>
    <t>700 14th Avenue South</t>
  </si>
  <si>
    <t>Anneris</t>
  </si>
  <si>
    <t>hr@naplesyc.com</t>
  </si>
  <si>
    <t>Wage: $25.00 per hour, paid weekly.  See job description for additional detail.</t>
  </si>
  <si>
    <t>P-400-23168-121719</t>
  </si>
  <si>
    <t xml:space="preserve">
Optional housing is offered on a first-come, first-serve basis for workers who are relocating to begin employment.  Cost of housing, if accepted, is $175.00 - $210.00 per week.  If used, total cost of housing will be deducted from paycheck.  Employees may, however, be eligible to receive a daily housing stipend of $10.00.
</t>
  </si>
  <si>
    <t>H-400-23184-163748</t>
  </si>
  <si>
    <t>Elizabeth Dwoskin</t>
  </si>
  <si>
    <t>4100 Redwood Rd., #20A-509</t>
  </si>
  <si>
    <t>DWOSKIN</t>
  </si>
  <si>
    <t>dwoskin.nannysearch@gmail.com</t>
  </si>
  <si>
    <t>4202 Gregory Street</t>
  </si>
  <si>
    <t>P-400-23116-968739</t>
  </si>
  <si>
    <t>H-400-23283-419908</t>
  </si>
  <si>
    <t>Wolf Creek Ski Corporation</t>
  </si>
  <si>
    <t>Wolf Creek Ski Area</t>
  </si>
  <si>
    <t>PO Box 2800</t>
  </si>
  <si>
    <t>McGiffin</t>
  </si>
  <si>
    <t>Carol</t>
  </si>
  <si>
    <t>PO Box 2287</t>
  </si>
  <si>
    <t>Santa Fe</t>
  </si>
  <si>
    <t>mcgiffin10@gmail.com</t>
  </si>
  <si>
    <t>experience in producing baked goods for food service</t>
  </si>
  <si>
    <t>157001 East Highway 160</t>
  </si>
  <si>
    <t>During the winter season overtime pay begins at 56 hours. WCSA pays time-and-a-half above 56 hours per weekly pay period</t>
  </si>
  <si>
    <t>P-400-23282-419569</t>
  </si>
  <si>
    <t>based on weekly income
FWT
SWT</t>
  </si>
  <si>
    <t>admin@wolfcreekski.com</t>
  </si>
  <si>
    <t>https://wolfcreekski.com/employment/</t>
  </si>
  <si>
    <t>H-400-23194-186878</t>
  </si>
  <si>
    <t>ITV Inc</t>
  </si>
  <si>
    <t>The Inn at Tomichi Village</t>
  </si>
  <si>
    <t>41883 US HWY 50</t>
  </si>
  <si>
    <t>Gunnison</t>
  </si>
  <si>
    <t>41883 US  HWY 50</t>
  </si>
  <si>
    <t>bookkeeper@kinsaleproperties.com</t>
  </si>
  <si>
    <t>MUST BE PLEASANT IN DEALING WITH GUESTS AND CO-WORKERS
MUST BE PHYSICALLY CAPABLE OF PERFORMING BASIC CHORES, INCLUDING THE ABILITY TO LIFT CASE GOODS WEIGHING UP TO 50LBS
MUST BE ABLE TO ENDURE PROLONGED WALKING AND STANDING
ABILITY TO COMMUNICATE EFFECTIVELY WITH OTHER EMPLOYEES, AS WELL AS GUESTS
ABILITY TO FOLLOW INSTRUCTIONS, DIRECTIONS, AND MEET DEADLINES</t>
  </si>
  <si>
    <t>Housing is provided for $75 per week</t>
  </si>
  <si>
    <t>P-400-23156-078148</t>
  </si>
  <si>
    <t>$75.00 per week for housing, no other deductions besides normal State and Federal Taxes</t>
  </si>
  <si>
    <t>https://www.theinntv.com/</t>
  </si>
  <si>
    <t>H-400-23184-165048</t>
  </si>
  <si>
    <t>Ham Skinner</t>
  </si>
  <si>
    <t>Up to 1 month of PPE, machinery and general safety and sanitation training may be required depending on experience.
Workers will work EITHER 6:15am - 2:30pm OR 3:00pm - 11:30pm</t>
  </si>
  <si>
    <t xml:space="preserve">Exact wage rate determined by internal metrics. Workers may be eligible for plant-wide incentives programs. </t>
  </si>
  <si>
    <t>P-400-23121-980049</t>
  </si>
  <si>
    <t>H-400-23215-235151</t>
  </si>
  <si>
    <t>Oyster Shuckers/Processors</t>
  </si>
  <si>
    <t>Bay Fresh Oyster Co, Inc.</t>
  </si>
  <si>
    <t>2490 Ave. L.</t>
  </si>
  <si>
    <t>San Leon</t>
  </si>
  <si>
    <t>Bigval21@aol.com</t>
  </si>
  <si>
    <t xml:space="preserve">Lift/carry up to 50 pounds.  Piece rate is paid at $1.35/lb shucked meat or guaranteed prevailing wage whichever is higher.   No infectious diseases; seafood allergies may be fatal.  
</t>
  </si>
  <si>
    <t>2490 Ave. L</t>
  </si>
  <si>
    <t>P-400-23097-914052</t>
  </si>
  <si>
    <t xml:space="preserve">Employer will not offer, provide, arrange or assist with housing for US or H-2B workers.   
The employer will make the following deductions from the worker's wages: all deductions required by law,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where it is shown that the worker is responsible, and any other reasonable deductions expressly authorized by the worker in writing. No deduction not required by law will be made that brings the workers hourly earnings below the FLSA Federal statutory minimum wage.  </t>
  </si>
  <si>
    <t>H-400-23279-414420</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</si>
  <si>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may deduct retirement/savings plan contributions and/or health insurance premiums for workers voluntarily participating in plan(s).  No daily transportation to/from workers' home and primary worksite. Employer provides incidental transportation between multiple worksites as necessary. Such transportation complies with all applicable Federal, State, and local laws/regulations.</t>
  </si>
  <si>
    <t>H-400-23229-272827</t>
  </si>
  <si>
    <t>3 MONTHS EXPERIENCE REQUIRED. ROTATING SHIFTS AND HOURS MON-SUN 8AM-11PM. MAY GET UP TO 20 HOURS OVERTIME IF AVAILABLE, MUST WORK WEEKENDS AND HOLIDAYS.</t>
  </si>
  <si>
    <t>SLIDING SCALE $18.37-$20. P/HR BASED ON PERFORMANCE. HOUSING AVAIL $150. P/WK DEDUCTED BIWKLY FROM PAY</t>
  </si>
  <si>
    <t>P-400-23125-995175</t>
  </si>
  <si>
    <t>HOUSING IS OPTIONAL &amp; AVAILABLE FOR 150.00/WEEK DEDUCTED FROM PAY CHECK ON A BI-WEEKLY BASIS.</t>
  </si>
  <si>
    <t>KIM@SEESAWSLODGE.COM</t>
  </si>
  <si>
    <t>H-400-23281-417255</t>
  </si>
  <si>
    <t xml:space="preserve">Landscaping and Groundskeeping Workers </t>
  </si>
  <si>
    <t>AMERICAN FORESTRY LLC</t>
  </si>
  <si>
    <t>119 S MERIDIAN ST</t>
  </si>
  <si>
    <t>FERNANDEZ</t>
  </si>
  <si>
    <t>1107 S SHANK ST</t>
  </si>
  <si>
    <t>MICHELLECASILLAS1981@GMAIL.COM</t>
  </si>
  <si>
    <t>DRUG, ALCOHOL, TOBACCO FREE WORK ZONE; IF SUPERVISOR OBSERVES WORKER POSSIBLY UNDER INFLUENCE DRUGS/ALCOHOL EMPLOYER PAID TESTING,
FAILURE TO PARTICIPATE, FAILED TEST=DISMISSAL. MUST SHOW PROOF LEGAL AUTHORITY WORK IN U.S. MIN. AGE 18-YRS DUE TO TRAVEL. NO MINIMAL ED. EXP.
REQD. ALL WORK DONE W/APEX PROVIDED TOOLS, SUPPLIES, EQUIP W/O CHARGE OR DEPOSIT IN ACCORDANCE</t>
  </si>
  <si>
    <t>1107 S SHANK ST (report to work)</t>
  </si>
  <si>
    <t>Wage may vary per area</t>
  </si>
  <si>
    <t>P-400-23242-309434</t>
  </si>
  <si>
    <t xml:space="preserve">All deductions required by law done by employer. Employer offers assistance locating lodging by supplying list public accommodation options, cost varies by location. Workers not reqd. to stay such housing. Employer pays cost of lodging to extent reqd. by law. </t>
  </si>
  <si>
    <t>H-400-23229-273683</t>
  </si>
  <si>
    <t>Breck Commercial Laundry LLC</t>
  </si>
  <si>
    <t>330 Warren Avenue</t>
  </si>
  <si>
    <t xml:space="preserve">None
F.a.5 A-H:
M-Sun (days vary, including weekends); 9am  5pm; OT available </t>
  </si>
  <si>
    <t>P-400-23178-147781</t>
  </si>
  <si>
    <t xml:space="preserve">Optional employee housing available at a rate of $400/month, to be deducted from pay if elected. </t>
  </si>
  <si>
    <t>H-400-23215-237394</t>
  </si>
  <si>
    <t>Employees expected daily schedule will be from 9am to 5pm, Monday to Friday, and then sometimes on the weekends for a set number of hours that might vary in their start time, Saturday (up to 4 hours) and Sunday (up to 4 hours). Employees should expect hours to vary. There is a formal program for training new employees.</t>
  </si>
  <si>
    <t>P-400-23174-141313</t>
  </si>
  <si>
    <t>H-400-23280-416948</t>
  </si>
  <si>
    <t xml:space="preserve">Paradise Management, LLC </t>
  </si>
  <si>
    <t xml:space="preserve">15042 S 47th Street </t>
  </si>
  <si>
    <t>Leavitt</t>
  </si>
  <si>
    <t>Vivian</t>
  </si>
  <si>
    <t xml:space="preserve">Managing Member </t>
  </si>
  <si>
    <t>vimar78@aol.com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</si>
  <si>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criminal background check, Pre-employment and post-employment Drug Testing required, cost paid by employer and applied equally to all workers, US and foreign/H2B. Applicants must cooperate with and complete job application and interview truthfully.</t>
  </si>
  <si>
    <t>P-400-23172-133878</t>
  </si>
  <si>
    <t>Employer will make all deductions from worker’s paycheck required by law. Employer’s optional shared housing ($120/wk.) is available
for wage credit and/or deduction, or any lesser amount to the maximum extent not prohibited by law. Employer will pay the cost of this housing to the extent such cost would reduce pay below the offered wage rate for the areas of intended employment. Local convenience travel valued at ($20/wk.), and food available for wage credit and/or deduction, or any lesser amount to the maximum extent not prohibited by law.</t>
  </si>
  <si>
    <t>H-400-23276-406449</t>
  </si>
  <si>
    <t>.  Amusement &amp; Recreation Attendant – Traveling Carnival</t>
  </si>
  <si>
    <t>{Mail: 42-215 Washington St., Ste A 428 Palm Desert CA92211)</t>
  </si>
  <si>
    <t>{Mail:42-215Washington St, Ste A 428  Palm Desert CA  92211)</t>
  </si>
  <si>
    <t>boguey1@gmail.com</t>
  </si>
  <si>
    <t>P-400-23183-162027</t>
  </si>
  <si>
    <t>H-400-23220-247977</t>
  </si>
  <si>
    <t>Public Area Attendant</t>
  </si>
  <si>
    <t xml:space="preserve">Three (3) months of prior work experience required. Schedule: 35 hours per week. Monday through Sunday (schedule varies). Work schedule can include evening, weekend, and holiday hours. Shifts examples: 7:00am  2:00pm, 3:00pm  10:00pm, or 1:00pm  8:00pm (shift hours may vary). 
</t>
  </si>
  <si>
    <t>Eligible for bonus, optional benefits and housing. See attached job description.</t>
  </si>
  <si>
    <t>P-400-23138-033625</t>
  </si>
  <si>
    <t>H-400-23215-234859</t>
  </si>
  <si>
    <t>P-400-23143-045054</t>
  </si>
  <si>
    <t>H-400-23215-234865</t>
  </si>
  <si>
    <t>P-400-23137-029703</t>
  </si>
  <si>
    <t>H-400-23184-163378</t>
  </si>
  <si>
    <t>5 years of experience as Electrician for industrial projects</t>
  </si>
  <si>
    <t>1530 FM973</t>
  </si>
  <si>
    <t>P-400-23146-057329</t>
  </si>
  <si>
    <t>H-400-23195-191121</t>
  </si>
  <si>
    <t>4820 Newton</t>
  </si>
  <si>
    <t>Yucca Valley</t>
  </si>
  <si>
    <t>P-400-23132-018523</t>
  </si>
  <si>
    <t>H-400-23277-410704</t>
  </si>
  <si>
    <t>P-400-23242-307239</t>
  </si>
  <si>
    <t>H-400-23227-265384</t>
  </si>
  <si>
    <t>Citrus Harvesting, Inc.</t>
  </si>
  <si>
    <t>PO Box 2119</t>
  </si>
  <si>
    <t>2695 East Main Street</t>
  </si>
  <si>
    <t>Wauchula</t>
  </si>
  <si>
    <t>jason@jlcfarms.com</t>
  </si>
  <si>
    <t xml:space="preserve">Requires the equivalent of a commercial drivers' license (CDL). Workers will haul citrus from farms to citrus packing housing, the first point of processing, fresh or citrus processing plants. Workers will be required to follow appropriate safety procedures for transporting goods, inspect loads to ensure cargo is secure, secure cargo for transport as appropriate, and inspect motor vehicles. Workers may be required to maintain logs to record operational data. Must be able to lift at least 70lbs, when necessary. Work is performed in all types of weather. Must be physically able to perform job. Must be available for the entire season, able, willing, and qualified to perform the work. 1 year positive verifiable experience required in job offered. Worker may be required to take a drug test, post hire, at no cost to worker. Post accident, upon suspicion, and random drug testing is required, all post hire.
</t>
  </si>
  <si>
    <t>HARDEE</t>
  </si>
  <si>
    <t>P-400-23186-168093</t>
  </si>
  <si>
    <t>All Local, State, &amp; Federal Taxes, including Social Security, &amp; Medicare Taxes will be deducted from employees as required by the law.  If necessary, any advances of pay, loans, and/or rents (where applicable)will be deducted according to a pre-authorized agreement between employer and employee. Local housing for rent at $70/week which includes utilities if desired.</t>
  </si>
  <si>
    <t>H-400-23191-177144</t>
  </si>
  <si>
    <t>P-400-23130-008813</t>
  </si>
  <si>
    <t>H-400-23230-278292</t>
  </si>
  <si>
    <t>Smugglers' Notch Management Company, Ltd.</t>
  </si>
  <si>
    <t>Smugglers' Notch Resort</t>
  </si>
  <si>
    <t>4323 VT Route 108 South</t>
  </si>
  <si>
    <t>smcdowell@smuggs.com</t>
  </si>
  <si>
    <t xml:space="preserve">The Petitioner will consider for employment any person who possesses at least three (3) months of housekeeping experience at a high-end hotel, resort, or private club.  
Applicant must complete pre-employment background check.  
</t>
  </si>
  <si>
    <t>Wage: Piece-rate position paid on a basis of rooms cleaned. See job description for additional detail.</t>
  </si>
  <si>
    <t>P-400-23181-157568</t>
  </si>
  <si>
    <t xml:space="preserve">Optional shared housing is offered to non-local employees. Cost of housing, if accepted, is $105.00 per week. Total cost of housing will be paid directly to employer by employee.  A $200.00 refundable security deposit is required, to be paid directly to employer upon acceptance of housing.  </t>
  </si>
  <si>
    <t>H-400-23184-162223</t>
  </si>
  <si>
    <t>13657 S 193rd  Circle (Report to Work)</t>
  </si>
  <si>
    <t>P-400-23116-968910</t>
  </si>
  <si>
    <t>H-400-23279-414448</t>
  </si>
  <si>
    <t>P-400-23183-162072</t>
  </si>
  <si>
    <t>H-400-23259-352752</t>
  </si>
  <si>
    <t>Maintenance Coordinator</t>
  </si>
  <si>
    <t>Wesley and Marcelo Home Improvement Inc.</t>
  </si>
  <si>
    <t>39 Lawrence Ln</t>
  </si>
  <si>
    <t xml:space="preserve"> Coelho Barbosa</t>
  </si>
  <si>
    <t>Marcelo</t>
  </si>
  <si>
    <t>marcelohomeimprov@outlook.com</t>
  </si>
  <si>
    <t>P-400-23206-214947</t>
  </si>
  <si>
    <t xml:space="preserve">Social Security, Medicare, Fed income Tax, MA Income Tax, MA PFL, MA PML </t>
  </si>
  <si>
    <t>www.indeed.com</t>
  </si>
  <si>
    <t>H-400-23264-368788</t>
  </si>
  <si>
    <t>LG Forestry Inc.</t>
  </si>
  <si>
    <t>497 Wilson Rd.</t>
  </si>
  <si>
    <t>Josefina</t>
  </si>
  <si>
    <t>lgforestry.17@gmail.com</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</si>
  <si>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
</t>
  </si>
  <si>
    <t>497 Wilson Rd. (Report to Work)</t>
  </si>
  <si>
    <t>P-400-23167-121151</t>
  </si>
  <si>
    <t>H-400-23235-288100</t>
  </si>
  <si>
    <t>Trimper's Rides of Ocean City, Inc.</t>
  </si>
  <si>
    <t>700 S Atlantic Avenue</t>
  </si>
  <si>
    <t>PO  Box 157</t>
  </si>
  <si>
    <t>scott@trimperrides.com</t>
  </si>
  <si>
    <t xml:space="preserve">Hours, schedule, and days vary widely.  
Typically Mon-Fri; 8am-5pm. No overtime expected.
Often 35-40 hours per week, may go up to 40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t>
  </si>
  <si>
    <t xml:space="preserve">Ocean City </t>
  </si>
  <si>
    <t>P-400-23128-002292</t>
  </si>
  <si>
    <t>Employer has negotiated with a local provider a discounted rate of $150/week for optional shared housing.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t>
  </si>
  <si>
    <t>trimperrides.com</t>
  </si>
  <si>
    <t>H-400-23226-263396</t>
  </si>
  <si>
    <t>Live-In Nanny/Housekeeper</t>
  </si>
  <si>
    <t>Rose Anne Camilo Valera</t>
  </si>
  <si>
    <t>4297 Arbor Bay</t>
  </si>
  <si>
    <t>Woodbury</t>
  </si>
  <si>
    <t>Valera</t>
  </si>
  <si>
    <t>Rose Anne</t>
  </si>
  <si>
    <t>Camilo</t>
  </si>
  <si>
    <t>Corporate Trust Services Account Manager</t>
  </si>
  <si>
    <t>camiloroseanne@gmail.com</t>
  </si>
  <si>
    <t xml:space="preserve">Tagalog &amp; English
</t>
  </si>
  <si>
    <t>P-400-23191-176244</t>
  </si>
  <si>
    <t>Employer agrees to provide room and board without deduction from employee's salary. The
employer will make all deductions from the worker’s paycheck required by law.</t>
  </si>
  <si>
    <t>H-400-23230-276851</t>
  </si>
  <si>
    <t>Neal@landscapeconsultantsandcontractors.com</t>
  </si>
  <si>
    <t>Lift and sustain 20 lbs. No education/experience required. On-the-job training available. Poss. raises, bonuses, or incentives dependent on tenure w/company, experience, or job performance.</t>
  </si>
  <si>
    <t>10000 Havana St</t>
  </si>
  <si>
    <t>Possible Saturday work.</t>
  </si>
  <si>
    <t>P-400-23154-076387</t>
  </si>
  <si>
    <t>All required deductions by law will be taken from the workers' paycheck.</t>
  </si>
  <si>
    <t>alvaro@landscapeconsultantsandcontractors.com</t>
  </si>
  <si>
    <t>H-400-23215-236149</t>
  </si>
  <si>
    <t>Gold Dust Lodging Group, LLC</t>
  </si>
  <si>
    <t>205 6th Ave  SE</t>
  </si>
  <si>
    <t xml:space="preserve">205 6th Ave SE </t>
  </si>
  <si>
    <t>22 Lee Street</t>
  </si>
  <si>
    <t>Deadwood</t>
  </si>
  <si>
    <t>P-400-23167-118459</t>
  </si>
  <si>
    <t>H-400-23200-199626</t>
  </si>
  <si>
    <t>Niemann</t>
  </si>
  <si>
    <t>Directory of Sales and Marketing</t>
  </si>
  <si>
    <t>Wage: Tipped position with guaranteed wage of $22.81 per hour, paid semi-monthly. See job description for details.</t>
  </si>
  <si>
    <t>P-400-23142-043043</t>
  </si>
  <si>
    <t>H-400-23186-168857</t>
  </si>
  <si>
    <t>Industrial Engineer</t>
  </si>
  <si>
    <t>Industrial Engineers</t>
  </si>
  <si>
    <t>Tanimura &amp; Antle Fresh Foods, Inc.</t>
  </si>
  <si>
    <t>1 Harris Road</t>
  </si>
  <si>
    <t>Vice President &amp; General Counsel Labor</t>
  </si>
  <si>
    <t>carmenp@taproduce.com</t>
  </si>
  <si>
    <t xml:space="preserve">Bachelors degree or equivalent in engineering including Mechanical or Industrial Engineering.  Five years of engineering experience involving agricultural equipment, including bespoke equipment. Must have knowledge of specific agricultural equipment and practices.  Must have a strong working knowledge of Solidworks.  Must speak conversational Spanish to communicate with co-workers and customers. Demonstrated ability to address and solve engineering problems and deadlines.  Ability to work with multi-disciplined teams, prioritize and manage projects.  Must be willing to travel to field sites and participate in occasional meetings that are brief in duration and to work in outside environments that can be hot, cold, windy and rainy.  Demonstrated ability to maintain good project records, handle multiple projects simultaneously, and report project statuses and summaries to projects teams and senior management. Promotes a positive Company image, and supports the Plant Tape efforts. Must be able to maintain and abide by confidentiality obligations.  This position requires the ability to work in a variety of agricultural environments both indoors (e.g., plant work - - factory floor, office work) and outside (e.g., field locations) as they directly relate to the use and engineering of the agricultural transplant equipment and machinery.
</t>
  </si>
  <si>
    <t>10001 Fairview Road</t>
  </si>
  <si>
    <t>Hollister</t>
  </si>
  <si>
    <t>SAN BENITO</t>
  </si>
  <si>
    <t xml:space="preserve">$58.93/hour equivalent to annual exempt salary of $122,574.40. </t>
  </si>
  <si>
    <t>P-400-23142-044246</t>
  </si>
  <si>
    <t xml:space="preserve">The Employer will make all deductions from the worker’s paycheck required by law.   </t>
  </si>
  <si>
    <t>LancePortman@planttape.com</t>
  </si>
  <si>
    <t>H-400-23280-416951</t>
  </si>
  <si>
    <t xml:space="preserve">Lopez Concessions, LLC </t>
  </si>
  <si>
    <t>2820 N. Pinal Ave. Ste. 12-280</t>
  </si>
  <si>
    <t xml:space="preserve">Lopez </t>
  </si>
  <si>
    <t>chrislo@rcsfun.com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</si>
  <si>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criminal background check and post-employment / post-injury or incident and reasonable suspicion drug test required, paid by employer and applied equally to all workers, US and foreign/H2B. Applicants must cooperate with and complete job application and interview truthfully.
Hours, schedule and days vary - typically working a 9-hour shift: sample shift time: 10am-7pm, 1-hour unpaid break; 35-40hrs./wk., extra hours may be required or available, may include weekends
and holidays. Work needs (i.e., hours, days, schedule, location, and work positions) vary.
</t>
  </si>
  <si>
    <t>1826 W McDowell Rd</t>
  </si>
  <si>
    <t>P-400-23172-133790</t>
  </si>
  <si>
    <t xml:space="preserve"> Employer’s optional shared housing ($120/wk.) is available for wage credit and/or deduction, or any lesser amount to the maximum extent not prohibited by law. Employer will pay the cost of this housing to the extent such cost would reduce pay below the offered wage rate for the areas of intended employment. Local convenience travel valued at ($20/wk.), and food available for wage credit and/or deduction, or any lesser amount to the maximum extent not prohibited by law.</t>
  </si>
  <si>
    <t>H-400-23227-264712</t>
  </si>
  <si>
    <t>Temporary Kitchen Staff</t>
  </si>
  <si>
    <t xml:space="preserve">Basic reading and speaking skills in English.  Additional worksites: Grand Summit, 97 Summit Drive, Newry, ME 04261; Jordan, 27 Grand Avenue, Newry, ME 04261; Snow Cap Inn, 9 Snow Cap Road, Newry, ME 04261.
</t>
  </si>
  <si>
    <t>P-400-23125-995227</t>
  </si>
  <si>
    <t xml:space="preserve">•	Workers also have the option of securing their own lodging. Workers have the option of employer-provided housing for $140 per week, and if elected, employer will deduct costs from worker’s paycheck. 
•	Employer will make all deductions from the worker’s paycheck required by law and any non-legally required payroll deductions permitted under the law and requested by Employee.
</t>
  </si>
  <si>
    <t>H-400-23215-236815</t>
  </si>
  <si>
    <t xml:space="preserve">The Petitioner will consider for employment any person who possesses at least three (3) months of experience in a fine-dining or high-volume environment at a high-end restaurant, resort, or private club. Applicant must complete pre-employment background check and drug screening.  
</t>
  </si>
  <si>
    <t>Tipped position with guaranteed wage of $15.78 per hour...See job description for additional detail.</t>
  </si>
  <si>
    <t>P-400-23167-120504</t>
  </si>
  <si>
    <t>H-400-23222-256259</t>
  </si>
  <si>
    <t>Bay County</t>
  </si>
  <si>
    <t>Basic GED skills and knowledge</t>
  </si>
  <si>
    <t>1110 East 24th Street</t>
  </si>
  <si>
    <t>Tips and bonuses if any</t>
  </si>
  <si>
    <t>P-400-23185-166121</t>
  </si>
  <si>
    <t>Housing provided by Bay Manpower and will be deduct from pay</t>
  </si>
  <si>
    <t>WWW.megscontractingservices.com</t>
  </si>
  <si>
    <t>H-400-23229-274349</t>
  </si>
  <si>
    <t>(Mail to:  PO Box 289, Hawley, PA 18428)</t>
  </si>
  <si>
    <t xml:space="preserve">Merit/bonus/sick/recruiting/tenure pay, savings program at employer's discretion. Uniform provided at no charge.  </t>
  </si>
  <si>
    <t>P-400-23128-002375</t>
  </si>
  <si>
    <t>H-400-23184-165549</t>
  </si>
  <si>
    <t>2225 E. Katella Avenue</t>
  </si>
  <si>
    <t>P-400-23110-951205</t>
  </si>
  <si>
    <t>H-400-23252-333573</t>
  </si>
  <si>
    <t xml:space="preserve">Requires three months of culinary experience in fine-dining or high volume environment. Must lift/carry 50 lbs., when necessary. Basic level English skills required. Work schedule will vary and will include evenings, holidays, and Saturdays and Sundays. Work may be performed on any day of the week from Monday through Sunday. Example shifts: 7:00am to 2:30 pm, 2:00 pm to 9:30 pm, and 4:30 pm to 12:00 am. Shift hours may vary. Employer may offer more than the stated work hours depending on weather, business needs, and other conditions. Extreme heat, cold, rain, or drought may affect exact working hours.
</t>
  </si>
  <si>
    <t>P-400-23186-167511</t>
  </si>
  <si>
    <t>Employer makes all payroll deductions required by law. Employer does not envision other workforce-wide payroll deductions. Limited shared seasonal housing maybe offered and optional on a first come first serve basis. Cost of housing if available is $125/week or less. If used, total cost of housing will be paid directly to the employer or rental unit by employee.   Employer may deduct retirement/savings plan contributions and/or health insurance premiums for workers voluntarily participating in plan(s).  No daily transportation to/from workers' home and primary worksite. Employer provides incidental transportation between multiple worksites as necessary. Such transportation complies with all applicable Federal, State, and local laws/regulations.</t>
  </si>
  <si>
    <t>H-400-23215-236824</t>
  </si>
  <si>
    <t xml:space="preserve">The Petitioner will consider for employment any person who possesses at least one (1) year of experience in a fine-dining or high-volume environment at a high-end restaurant, resort, or private club.  Applicant must complete pre-employment background check and drug screening.  
</t>
  </si>
  <si>
    <t>Tipped position with guaranteed wage of $17.26 per hour, paid bi-weekly.   See job description for details.</t>
  </si>
  <si>
    <t>P-400-23167-117878</t>
  </si>
  <si>
    <t>H-400-23280-416949</t>
  </si>
  <si>
    <t xml:space="preserve">Ray Cammack Shows, Inc </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</si>
  <si>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criminal background check and post-employment / post-injury or incident and reasonable suspicion drug test required, cost paid by employer and applied to all workers, US and foreign/H2B. Applicants must cooperate with and complete job application and interview truthfully.
</t>
  </si>
  <si>
    <t>P-400-23173-135307</t>
  </si>
  <si>
    <t>H-400-23237-295940</t>
  </si>
  <si>
    <t>220 Sands Point Rd</t>
  </si>
  <si>
    <t>Longboat</t>
  </si>
  <si>
    <t>P-400-23137-030567</t>
  </si>
  <si>
    <t>H-400-23279-414441</t>
  </si>
  <si>
    <t>1324 North Cherry St,</t>
  </si>
  <si>
    <t>P-400-23183-162056</t>
  </si>
  <si>
    <t>H-400-23308-479136</t>
  </si>
  <si>
    <t>Del Angel's Landscaping, Inc.</t>
  </si>
  <si>
    <t>483 Reeceville Road</t>
  </si>
  <si>
    <t>Del Angel</t>
  </si>
  <si>
    <t>delangelslandscaping@hotmail.com</t>
  </si>
  <si>
    <t>P-400-23222-254794</t>
  </si>
  <si>
    <t>H-400-23335-537873</t>
  </si>
  <si>
    <t>Libbett Concessions of Indy, Inc.</t>
  </si>
  <si>
    <t>530 Northgate Drive</t>
  </si>
  <si>
    <t>Wagoner</t>
  </si>
  <si>
    <t>wagonercandc@gmail.com</t>
  </si>
  <si>
    <t>P-400-23297-452647</t>
  </si>
  <si>
    <t xml:space="preserve">No overtime available. </t>
  </si>
  <si>
    <t>H-400-23184-162551</t>
  </si>
  <si>
    <t>Greg Orick II Marine Construction Inc. </t>
  </si>
  <si>
    <t>3710 Prospect Ave.</t>
  </si>
  <si>
    <t>Erica</t>
  </si>
  <si>
    <t xml:space="preserve">Must lift/carry 60 lbs., when necessary.   Saturday and Sunday work required, when necessary.  Post-hire upon suspicion of use and post-accident drug testing required of foreign and domestic workers. Must be able to work on land and in or around water. Must be able to work outside in austere conditions. Employer may offer more than the stated work hours depending on weather, business needs, and other conditions. Extreme heat, cold, rain, or drought may affect exact working hours.
</t>
  </si>
  <si>
    <t>P-400-23138-035521</t>
  </si>
  <si>
    <t>hr@orickmarine.com</t>
  </si>
  <si>
    <t>H-400-23307-476633</t>
  </si>
  <si>
    <t>Roofing Solutions, LLC</t>
  </si>
  <si>
    <t>17260 Jefferson Hwy, Suite D</t>
  </si>
  <si>
    <t>De La Cruz</t>
  </si>
  <si>
    <t>Tupac</t>
  </si>
  <si>
    <t>sfernandez@roofingsolutionsla.com</t>
  </si>
  <si>
    <t>Able to lift 60lbs, Candidates shall not be afraid of working on heights. Most of the time, work will be performed on elevated surfaces above 12 ft., Pre-hire background check required; Random drug testing during employment; Pre-employment drug testing required, Monday-Friday, Some weekends may be required,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</si>
  <si>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Raises and bonuses at employer's discretion &amp; opportunity for higher pay depending on experience</t>
  </si>
  <si>
    <t>P-400-23195-190140</t>
  </si>
  <si>
    <t>Employer may make payroll deductions at employee's request. Employer facilitates corresponding deductions for available health benefits. Employer facilitates voluntary housing arrangements upon worker request along with corresponding payroll deductions of $100-$200/weekly, based on the number of occupants, for workers electing to reside in employer-provided housing.</t>
  </si>
  <si>
    <t>H-400-23335-537006</t>
  </si>
  <si>
    <t>Square Burger Winston Salem LLC (SQR124A)</t>
  </si>
  <si>
    <t>Culver's</t>
  </si>
  <si>
    <t xml:space="preserve">2973 Fairlawn Dr </t>
  </si>
  <si>
    <t>Vikramkumar</t>
  </si>
  <si>
    <t>703 Gaither Road</t>
  </si>
  <si>
    <t>vp@winstonsalemculvers.com</t>
  </si>
  <si>
    <t xml:space="preserve">Must be able to stand all day during shift.  Must be able to lift up to 50 lbs.. Must work well with others.  Must be able to work in a fast-paced environment.  Must be able to pass post-employment, employer paid drug test if administered.
Work days: Rotating shifts; Sunday-Saturday 
Hours per week: 35
Work Schedule: 9am-3pm, 3pm-11pm
Additional information about wage:
Employer may offer a raise or bonus depending on experience and merit.
Does employer offer a ride to primary worksite location to workers living within a reasonable
commute:  Yes, or workers can walk
Overtime available?  Yes
On-the-Job Training provided?  Yes
Employer-Provided Tools and Equipment provided?  Yes
Board, Lodging or Other Facilities provided?:   Yes
Deductions: Optional housing deduction at market rate for low-income housing. Minimal charge for gas for optional transportation to the worksite.
</t>
  </si>
  <si>
    <t>2973 Fairlawn Dr</t>
  </si>
  <si>
    <t>P-400-23266-375745</t>
  </si>
  <si>
    <t xml:space="preserve">Optional housing deduction at market rate for low-income housing. Minimal charge for gas for optional transportation to the worksite.
</t>
  </si>
  <si>
    <t>H-400-23320-505546</t>
  </si>
  <si>
    <t>6 months experience with basic knowledge of golf course layout; understanding of golf course irrigation systems including ability to install/repair key components; knowledge of golf course building materials and golf course construction tasks including building/repair of greens, tees, and bunkers. Three to six months experience operating any one of the following: tractor, skid loader, plows/trencher. OT as needed.
We want to clarify the information on Item F.a.5. During the work week, which runs Sunday through Saturday, employees are scheduled to work a 40 hour work week and given OT as needed. F.a.5 does not allow us to enter such a work schedule. If we enter 8 hours each day, it would show 56 hours a week, which is not an accurate reflection of their work schedule.</t>
  </si>
  <si>
    <t>P-400-23244-316497</t>
  </si>
  <si>
    <t>Lanscape Laborer</t>
  </si>
  <si>
    <t>TENNANT LANDSCAPE SOLUTIONS, INC.</t>
  </si>
  <si>
    <t>11724 Administration Dr</t>
  </si>
  <si>
    <t>TENNANT</t>
  </si>
  <si>
    <t>ETENNANT@TENNANTLS.COM</t>
  </si>
  <si>
    <t>2101 Ruckert Ave.</t>
  </si>
  <si>
    <t>P-400-23194-188022</t>
  </si>
  <si>
    <t>foreignlabor@utah.gov</t>
  </si>
  <si>
    <t>H-400-23307-475881</t>
  </si>
  <si>
    <t>English Turn Property Owners Association</t>
  </si>
  <si>
    <t>13 Clubhouse Dr.</t>
  </si>
  <si>
    <t>Margeaux</t>
  </si>
  <si>
    <t>margeaux@englishturnpoa.com</t>
  </si>
  <si>
    <t>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Work is performed outdoors, exposed to weather; must be capable of doing physically strenuous labor for long hours, occasionally in extreme heat or cold. Variable weather conditions apply; hours may fluctuate (+/-), possible downtime and/or overtime.</t>
  </si>
  <si>
    <t>P-400-23207-218383</t>
  </si>
  <si>
    <t>Optional, shared furnished housing available to the worker at a monthly housing rate up to $200.00; if optional housing is agreed upon by the worker, monthly housing rate will be deducted from worker's paycheck incrementally (bi-weekly).</t>
  </si>
  <si>
    <t>H-400-23325-516029</t>
  </si>
  <si>
    <t>Yellowstone Landscape - Southeast, LLC_Sarasota</t>
  </si>
  <si>
    <t>6108 33rd Street East</t>
  </si>
  <si>
    <t>6108 33rd Street East,</t>
  </si>
  <si>
    <t>P-400-23236-293613</t>
  </si>
  <si>
    <t>H-400-23316-496411</t>
  </si>
  <si>
    <t>D &amp; D  Country Fair Cinnamon Rolls</t>
  </si>
  <si>
    <t>D &amp; D Country Fair Cinnamon Rolls</t>
  </si>
  <si>
    <t>52183 Road 426</t>
  </si>
  <si>
    <t>Oakhurst</t>
  </si>
  <si>
    <t>Dara</t>
  </si>
  <si>
    <t xml:space="preserve">Oakhurst </t>
  </si>
  <si>
    <t>baldwin4@nctv.com</t>
  </si>
  <si>
    <t>P-400-23227-265793</t>
  </si>
  <si>
    <t>H-400-23307-475857</t>
  </si>
  <si>
    <t>1217 Brumlow Ave.</t>
  </si>
  <si>
    <t>Southlake</t>
  </si>
  <si>
    <t>1217 Brumlow Ave. (Report to Work)</t>
  </si>
  <si>
    <t>P-400-23195-188638</t>
  </si>
  <si>
    <t>P-400-23206-212397</t>
  </si>
  <si>
    <t>H-400-23336-539138</t>
  </si>
  <si>
    <t>Natures Guardian</t>
  </si>
  <si>
    <t>425 County Rd 39</t>
  </si>
  <si>
    <t>Sperber</t>
  </si>
  <si>
    <t>425 County Road 39</t>
  </si>
  <si>
    <t>1 MONTH EXPERIENCE AS A LANDSCAPE LABORER REQUIRED.</t>
  </si>
  <si>
    <t>P-400-23198-193237</t>
  </si>
  <si>
    <t>NGUARDIAN@AOL.COM</t>
  </si>
  <si>
    <t>H-400-23332-526537</t>
  </si>
  <si>
    <t>Texas Roots Landscape &amp; Irrigation, LLC</t>
  </si>
  <si>
    <t>9010 Aero Street</t>
  </si>
  <si>
    <t>Mailing: 8354 TIMBER BASIN ST, San Antonio, TX 78250</t>
  </si>
  <si>
    <t>Kappelmann</t>
  </si>
  <si>
    <t>Office Manager/CFO</t>
  </si>
  <si>
    <t>shelly@texasrootsli.com</t>
  </si>
  <si>
    <t xml:space="preserve">Mon-Fri, overtime varies. Able to lift 50lbs. Pre-hire background check required. All background checks are performed equally as to U.S. workers and H-2B workers, and all fees are paid for by the company. See the additional document attached for further details about the administration of our background check policy.  Pre-employment drug testing required. Drug testing during employment for cause. All drug testing is performed without regard to an employees citizenship or immigration status, and all testing is paid for by the company. See the additional document attached for further details about the administration of our drug testing policy.
</t>
  </si>
  <si>
    <t>P-400-23222-255794</t>
  </si>
  <si>
    <t>office@texasrootsli.com</t>
  </si>
  <si>
    <t>Hoffman Estates</t>
  </si>
  <si>
    <t>H-400-23289-432733</t>
  </si>
  <si>
    <t>Primetime Amusements LLC</t>
  </si>
  <si>
    <t>1709 A #379 Gornto Road</t>
  </si>
  <si>
    <t>(Mail: 18108 Lithia Ranch Road, Lithia FL 33547)</t>
  </si>
  <si>
    <t>Stine</t>
  </si>
  <si>
    <t>funzone@primetimecarnival.com</t>
  </si>
  <si>
    <t>8491 Highway 84</t>
  </si>
  <si>
    <t>Quitman</t>
  </si>
  <si>
    <t>BROOKS</t>
  </si>
  <si>
    <t>Valdosta, GA</t>
  </si>
  <si>
    <t>P-400-23231-279260</t>
  </si>
  <si>
    <t>funzone@primetimeacarnival.com</t>
  </si>
  <si>
    <t>H-400-23336-539258</t>
  </si>
  <si>
    <t>BRIAN MCDONALD CONSTRUCTION INC</t>
  </si>
  <si>
    <t>104 MCGREGOR DRIVE</t>
  </si>
  <si>
    <t>MCDONALD</t>
  </si>
  <si>
    <t>MARGARET</t>
  </si>
  <si>
    <t>P-400-23206-213999</t>
  </si>
  <si>
    <t>MCDONALDCRICKET@AOL.COM</t>
  </si>
  <si>
    <t>H-400-23291-440107</t>
  </si>
  <si>
    <t>11801 West Colonial Drve</t>
  </si>
  <si>
    <t>1100 Marshall Farms Road</t>
  </si>
  <si>
    <t>Bldg. 7</t>
  </si>
  <si>
    <t xml:space="preserve">Piece-Rate is $2.00 per car per person. Production standards: Employees should complete 50-60 cars a day. </t>
  </si>
  <si>
    <t>P-400-23181-159018</t>
  </si>
  <si>
    <t xml:space="preserve">The Employer will make all deductions from the worker’s paycheck required by law including federal income tax, state income tax in states that have state income tax, local taxes, if applicable, Medicare (if applicable), Social Security (if applicable), Medical Insurance (if applicable) and selected ancillary insurance, 401(k) plan (if eligible and employee opts in), advances and overpayments. Housing deposits,  rent, housing application fee, and/or transportation. Employer may deduct damages to employer-provided tools/equipment where damage is beyond normal wear and tear and the employee agrees in writing to the deduction. Employer may deduct any other costs permitted or required by law (i.e. garnishments) to the extent applicable. Company will assist with locating housing and employees will pay the landlord directly. If the Company has to assist with deposits for housing, the Company will do payroll deductions if the employer pays deposits such as first &amp; last month’s rent. </t>
  </si>
  <si>
    <t>H-400-23307-475895</t>
  </si>
  <si>
    <t>landscape laborers</t>
  </si>
  <si>
    <t>Green Meadows Design &amp; Landscaping, Inc.</t>
  </si>
  <si>
    <t>724 Holford Prairie</t>
  </si>
  <si>
    <t>Spain</t>
  </si>
  <si>
    <t>Arleen</t>
  </si>
  <si>
    <t>arleen@greenmeadowslandscaping.com</t>
  </si>
  <si>
    <t>P-400-23230-277645</t>
  </si>
  <si>
    <t>H-400-23336-539228</t>
  </si>
  <si>
    <t>1 MONTH EXPERIENCE AS PAINTER HELPER REQUIRED.</t>
  </si>
  <si>
    <t>H-400-23238-298307</t>
  </si>
  <si>
    <t>GUEST SERVICE ATTENDANT</t>
  </si>
  <si>
    <t>Resort Group, Mountain Resorts / Simply Steamboat</t>
  </si>
  <si>
    <t>DINA</t>
  </si>
  <si>
    <t>NOEL</t>
  </si>
  <si>
    <t>VP OF BENEFITS &amp; RISK MANAGEMENT</t>
  </si>
  <si>
    <t xml:space="preserve">2150 RESORT DRIVE </t>
  </si>
  <si>
    <t>Shifts: 7 AM - 1 PM, 6 days per week (days off vary) 36 hrs/week.
Criminal background check prior to hire, same as all US Citizen and US Work Authorized applicants.</t>
  </si>
  <si>
    <t>STEAMBOAT SPRINGS</t>
  </si>
  <si>
    <t>P-400-23192-178806</t>
  </si>
  <si>
    <t>WE WILL MAKE ALL DEDUCTIONS REQUIRED BY LAW (IE. FEDERAL AND STATE INCOME TAXES, SOCIAL SECURITY TAXES). WE WILL MAKE A DEDUCTION FOR BI-WEEKLY OCCUPANCY FEE AT OUR EMPLOYER-PROVIDED HOUSING AT A RATE OF $275.00 EACH BI-WEEKLY PERIOD THE EMPLOYEE RESIDES THERE. ANY PAST DUE AND UNPAID WEEKLY OCCUPANCY FEES WILL ALSO BE DEDUCTED FROM PAY. EMPLOYEES ELECT TO RESIDE IN OUR EMPLOYER-PROVIDED HOUSING, IF THEY DO NOT, NO DEDUCTIONS FOR HOUSING WILL OCCUR.  NO OTHER DEDUCTIONS WILL BE MADE FROM PAY, EXCEPT STATUTORY TAXES.</t>
  </si>
  <si>
    <t>cdle_steamboat_springs_wfc@state.co.us</t>
  </si>
  <si>
    <t>http://www.yourworkforcecenter.com/</t>
  </si>
  <si>
    <t>H-400-23333-528935</t>
  </si>
  <si>
    <t>Blue Marble Landscape, LLC</t>
  </si>
  <si>
    <t>840 E Southern Ave</t>
  </si>
  <si>
    <t>accounting@bluemarblelandscape.com</t>
  </si>
  <si>
    <t>Raises, bonuses, or incentives dependent on job performance.</t>
  </si>
  <si>
    <t>P-400-23163-102071</t>
  </si>
  <si>
    <t>H-400-23336-539487</t>
  </si>
  <si>
    <t>Shearon Environmental Design Co Inc.</t>
  </si>
  <si>
    <t>5160 Militia Hill Rd</t>
  </si>
  <si>
    <t>Random drug testing during employment, Pre-employment drug testing required, Drug testing during employment for cause, Post-Accident drug testing, Able to lift 50lbs, M-F, Overtime Varies, Some Saturdays required.
All drug testing is performed without regard to an employees citizenship or immigration status, and all testing is paid for by the company. See the additional document attached for further details about the administration of our drug testing policy.</t>
  </si>
  <si>
    <t>5160 Militia Hill Road</t>
  </si>
  <si>
    <t>P-400-23199-197934</t>
  </si>
  <si>
    <t>H-400-23279-414440</t>
  </si>
  <si>
    <t>Must lift/carry 50 lbs., when necessary. Saturday and Sunday work required, when necessary. Employer-paid drug testing required of foreign and domestic workers prior to commencing work and post-hire at random, upon suspicion of use, and post-accident. Post-hire background check and employment eligibility (e-Verify) check required of foreign and domestic workers. Incidental limited travel and double time pay may be available under certain emergent conditions and holidays. Employer may offer more than the stated work hours depending on weather, business needs, and other conditions. Extreme heat, cold, rain, or drought may affect exact working hours.</t>
  </si>
  <si>
    <t>P-400-23183-162059</t>
  </si>
  <si>
    <t>H-400-23336-539080</t>
  </si>
  <si>
    <t>ISLAND DESIGN &amp; LANDSCAPING INC</t>
  </si>
  <si>
    <t xml:space="preserve">482 DEER PARK AVENUE </t>
  </si>
  <si>
    <t>DIX HILLS</t>
  </si>
  <si>
    <t>NATALI</t>
  </si>
  <si>
    <t xml:space="preserve">ANTHONY </t>
  </si>
  <si>
    <t>482 DEER PARK AVENUE</t>
  </si>
  <si>
    <t>P-400-23200-200215</t>
  </si>
  <si>
    <t>ANTHONYID@AOL.COM</t>
  </si>
  <si>
    <t>H-400-23336-539147</t>
  </si>
  <si>
    <t>PEREZ LANDSCAPING INC</t>
  </si>
  <si>
    <t xml:space="preserve">25 COUNTY ROAD 51 </t>
  </si>
  <si>
    <t>DIEGO</t>
  </si>
  <si>
    <t>25 COUNTY ROAD 51</t>
  </si>
  <si>
    <t>P-400-23198-192790</t>
  </si>
  <si>
    <t>DIEGIPM1@OPTONLINE.NET</t>
  </si>
  <si>
    <t>H-400-23307-476249</t>
  </si>
  <si>
    <t xml:space="preserve">Southern Botanical, Inc </t>
  </si>
  <si>
    <t xml:space="preserve">3151 Halifax Street </t>
  </si>
  <si>
    <t xml:space="preserve">Dallas </t>
  </si>
  <si>
    <t>Silvers</t>
  </si>
  <si>
    <t>3151 Halifax Street</t>
  </si>
  <si>
    <t>Tommy.Silvers@southernbotanical.com</t>
  </si>
  <si>
    <t xml:space="preserve">Must be able to lift 50lbs.
No minimum education or experience required.
Post-employment/post-injury or incident drug test required, cost paid by employer and applied equally to all workers, U.S. and foreign/H-2B. 
Must be able to work a 5-day schedule, may include weekends and holidays. 
Applicants must complete an employment application. 
The employer guarantees to offer work for hours equal to at least three-fourths of the workdays in each 12-week period of the total employment period.
H-2B workers will be reimbursed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</si>
  <si>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P-400-23173-137038</t>
  </si>
  <si>
    <t>Employer will make all deductions from the worker's paycheck required by law. Employer will assist worker to find housing. Optional health insurance is available at a rate of $23 per pay period and will be payroll deducted if worker elects, eligibility begins on the 1st of the month following 30 days of employment.</t>
  </si>
  <si>
    <t>CPA</t>
  </si>
  <si>
    <t>8448 NE 33rd Drive</t>
  </si>
  <si>
    <t>H-400-23307-477297</t>
  </si>
  <si>
    <t>Landscape Management Services, Inc.</t>
  </si>
  <si>
    <t>5009 Cobra Road</t>
  </si>
  <si>
    <t>Mailing: P.O. Box 5662, Lake Charles, LA 70606</t>
  </si>
  <si>
    <t>DuBose</t>
  </si>
  <si>
    <t>Vice President/Operations Manager</t>
  </si>
  <si>
    <t xml:space="preserve">5009 Cobra Road </t>
  </si>
  <si>
    <t>vanessa@landscapemanagement.org</t>
  </si>
  <si>
    <t xml:space="preserve">Must be able to lift 50 lbs.; post-employment drug screening paid by Employer.  Travel to various worksites required.  
</t>
  </si>
  <si>
    <t>P-400-23208-219388</t>
  </si>
  <si>
    <t xml:space="preserve">Employer will make all deductions from workers’ paycheck as required by law; deductions Employer intends to make from paycheck, which are not required by law, if applicable, would be deductions for housing, as discussed above, if employee chooses voluntary housing option. Employer may allow deductions not required by law as long as advance permission is granted by employee or employer will state the specific deductions.  Voluntary, low-cost housing is available to workers for the option to board; $80.00/week is deducted from workers’ paychecks for workers who choose housing; all utilities paid; housing is not mandatory.
</t>
  </si>
  <si>
    <t>H-400-23319-503363</t>
  </si>
  <si>
    <t>10800 Locust Rd.</t>
  </si>
  <si>
    <t xml:space="preserve">$16.00 - $20/hr.  ($24 - $30/hr. O.T.), wage range based on experience and performance </t>
  </si>
  <si>
    <t>P-400-23277-410279</t>
  </si>
  <si>
    <t>H-400-23325-516392</t>
  </si>
  <si>
    <t>Doctor's Lawn &amp; Landscape, Inc.</t>
  </si>
  <si>
    <t>7425 W. 161st Street</t>
  </si>
  <si>
    <t xml:space="preserve">Monday-Friday, schedule may vary, several Saturdays required, overtime varies, random drug testing during employment; drug testing during employment for cause; post-accident drug testing, able to perform physical labor for prolonged periods of time in a wide range of climatic conditions including extreme heat &amp; cold, able to lift 50lbs. All drug testing is performed without regard to an employees citizenship or immigration status, and all testing is paid for by the company. See the additional document attached for further details about the administration of our drug testing policy.
</t>
  </si>
  <si>
    <t>P-400-23184-163897</t>
  </si>
  <si>
    <t>Employer may make payroll deductions at employee's request. Employer facilitates corresponding deductions for available health benefits. Employer facilitates voluntary housing arrangements upon worker request along with corresponding payroll deductions on average of $200/pay period.</t>
  </si>
  <si>
    <t>H-400-23291-440647</t>
  </si>
  <si>
    <t>Snow Removers</t>
  </si>
  <si>
    <t xml:space="preserve">Must be able to lift 30 pounds.  Must be able to handle temperature extremes.  Some weekend work.
</t>
  </si>
  <si>
    <t xml:space="preserve">1825 North 1450 west </t>
  </si>
  <si>
    <t xml:space="preserve">Wage rate may vary based on experience and/or merit. Up to 10 hours overtime may be available but not guaranteed. </t>
  </si>
  <si>
    <t>P-400-23251-329742</t>
  </si>
  <si>
    <t xml:space="preserve">All deductions from the worker's paycheck will be made as required by law. Any advance will be deducted with the consent of
the employee.
</t>
  </si>
  <si>
    <t>H-400-23321-509041</t>
  </si>
  <si>
    <t>Landscaping and Groundskeeping</t>
  </si>
  <si>
    <t>Clean Cut Lawn Care and Pressure Washing LLC</t>
  </si>
  <si>
    <t>Leeson Landscape, LLC</t>
  </si>
  <si>
    <t>4228 Rhoda Dr</t>
  </si>
  <si>
    <t>Mailing: PO Box 14889, Baton Rouge, LA 70898</t>
  </si>
  <si>
    <t>chad@leesonlandscape.com</t>
  </si>
  <si>
    <t>P-400-23228-269119</t>
  </si>
  <si>
    <t>Employer will make all deductions from the worker's paycheck required by law.  Pay back of optional advance pay if elected via payroll deduction. Optional deductions will not drop the overall wages below the UDSOL minimum, if the deductions are too great they will not be made. (Note for the CO: Section F.d item 4 is marked yes as the employer will assist workers, they are not providing housing)</t>
  </si>
  <si>
    <t>H-400-23336-539446</t>
  </si>
  <si>
    <t>Brothers Landscape LLC</t>
  </si>
  <si>
    <t>10911 N Sara Rd</t>
  </si>
  <si>
    <t>rodrigomartinez1867@yahoo.com</t>
  </si>
  <si>
    <t>P-400-23233-280730</t>
  </si>
  <si>
    <t>H-400-23336-538942</t>
  </si>
  <si>
    <t xml:space="preserve">Angelotta Landscape Associates, LLC </t>
  </si>
  <si>
    <t>8825 Mayfield Road</t>
  </si>
  <si>
    <t>P O Box 531</t>
  </si>
  <si>
    <t>Matthew (Matt)</t>
  </si>
  <si>
    <t>mattangelotta@outlook.com</t>
  </si>
  <si>
    <t xml:space="preserve">Lift/carry up to 50 pounds.  Work extended daily hours and weekends when necessary.  Employer paid drug test is Pre-Employment.  Employer paid post hire criminal background check required. 
</t>
  </si>
  <si>
    <t>Character limit: overtime is not guaranteed but if worked rate is paid at time and a half per hour above 40...</t>
  </si>
  <si>
    <t>P-400-23178-146502</t>
  </si>
  <si>
    <t>Bridgeton</t>
  </si>
  <si>
    <t>H-400-23321-509109</t>
  </si>
  <si>
    <t>Hydro-Scapes LLC</t>
  </si>
  <si>
    <t>18041 Jefferson Ridge Dr</t>
  </si>
  <si>
    <t>trowley22@cox.net</t>
  </si>
  <si>
    <t>18041 Jefferson Ridge Dr.</t>
  </si>
  <si>
    <t>P-400-23226-263214</t>
  </si>
  <si>
    <t>Employer will make all deductions from the worker's paycheck required by law.  If optional advance pay elected, payroll deduction for repayment willl be $150 per pay period or $300 per month. Employer WILL NOT deduct rent from pay. Optional deductions will not drop the overall wages below the UDSOL minimum, if the deductions are too great they will not be made.</t>
  </si>
  <si>
    <t>C AND Z COMMERCIAL &amp; RESIDENTIAL SERVICE LLC</t>
  </si>
  <si>
    <t xml:space="preserve">C &amp; Z COMMERCIAL CLEANING SERVICE </t>
  </si>
  <si>
    <t>40 DOLPHIN AVE.</t>
  </si>
  <si>
    <t>NORTHFIELD</t>
  </si>
  <si>
    <t xml:space="preserve">ZAPATA DAVID </t>
  </si>
  <si>
    <t xml:space="preserve">MARIA </t>
  </si>
  <si>
    <t>CRISTINA</t>
  </si>
  <si>
    <t>CZCOMMERCIALCLEANINGSERVICECL@GMAIL.COM</t>
  </si>
  <si>
    <t xml:space="preserve">500 BOARDWALK </t>
  </si>
  <si>
    <t xml:space="preserve">ATLANTIC CITY </t>
  </si>
  <si>
    <t>P-400-23285-426950</t>
  </si>
  <si>
    <t>H-400-23288-432207</t>
  </si>
  <si>
    <t>Netterfield's Popcorn &amp; Lemonade, Inc.</t>
  </si>
  <si>
    <t>6119 Thomas Circle</t>
  </si>
  <si>
    <t>(Mail: PO Box 1438, Land O'Lakes FL 34639)</t>
  </si>
  <si>
    <t>Land O'Lakes</t>
  </si>
  <si>
    <t>Netterfield</t>
  </si>
  <si>
    <t>kdodgem1@aol.com</t>
  </si>
  <si>
    <t>17026 US HWY 41</t>
  </si>
  <si>
    <t>P-400-23198-193875</t>
  </si>
  <si>
    <t xml:space="preserve">Employer will make all deductions from the worker’s paycheck required by law.  In addition, the employer intends to make the following deductions from the worker’s paycheck which are not required by law:   NONE Optional mobile housing (valued at $200.00 per week) and local convenience travel (valued at $25.00 per week) are available at no cost to the worker.  </t>
  </si>
  <si>
    <t>H-400-23279-415950</t>
  </si>
  <si>
    <t>Kitchen Workers</t>
  </si>
  <si>
    <t>Shane's of Shreveport, Inc.</t>
  </si>
  <si>
    <t>Shane's Seafood and Bar-BQ</t>
  </si>
  <si>
    <t>9176 Mansfield Road</t>
  </si>
  <si>
    <t>Rodgers</t>
  </si>
  <si>
    <t xml:space="preserve">9176 Mansfield Road </t>
  </si>
  <si>
    <t>mikee@shanesseafood.com</t>
  </si>
  <si>
    <t xml:space="preserve">Must be able to lift 80lbs of crawfish sacks; random drug screening upon hire (paid for by employer).
</t>
  </si>
  <si>
    <t xml:space="preserve">Shreveport </t>
  </si>
  <si>
    <t>Employees may be required to work shift hours of 9:00am—2:00 pm and 5:00 pm—9:00pm, including weekends</t>
  </si>
  <si>
    <t>P-400-23215-237928</t>
  </si>
  <si>
    <t>VOLUNTARY, LOW-COST HOUSING IS AVAILABLE TO WORKERS FOR THE OPTION TO BOARD; $200.00/MONTH IS DEDUCTED FROM WORKERS’ PAYCHECKS FOR WORKERS WHO CHOOSE HOUSING; HOUSING IS NOT MANDATORY.  EMPLOYER WILL MAKE ALL DEDUCTIONS FOR WORKERS’ PAYCHECK AS REQUIRED BY LAW; DEDUCTIONS EMPLOYER INTENDS TO MAKE FROM PAYCHECK, WHICH ARE NOT REQUIRED BY LAW, IF APPLICABLE, WOULD BE DEDUCTIONS FOR HOUSING, AS DISCUSSED ABOVE, IF EMPLOYEE CHOOSE VOLUNTARY HOUSING OPTION. EMPLOYER MAY ALLOW DEDUCTIONS NOT REQUIRED BY LAW AS LONG AS ADVANCE PERMISSION IS GRANTED BY EMPLOYEE OR EMPLOYER WILL STATE THE SPECIFIC DEDUCTIONS.</t>
  </si>
  <si>
    <t>H-400-23307-475850</t>
  </si>
  <si>
    <t>P-400-23229-272762</t>
  </si>
  <si>
    <t>H-400-23338-540255</t>
  </si>
  <si>
    <t xml:space="preserve">Lift/carry up to 75 pounds.  Work extended daily hours and weekends when necessary.  Employer paid drug test is Random (post-employment).  No infectious diseases; seafood allergies may be fatal.
</t>
  </si>
  <si>
    <t>H-400-23318-499806</t>
  </si>
  <si>
    <t>Vizmeg Landscape Inc</t>
  </si>
  <si>
    <t>778 McCauley Rd. #100</t>
  </si>
  <si>
    <t>Stow</t>
  </si>
  <si>
    <t>Vizmeg</t>
  </si>
  <si>
    <t>anna@vizmeg.com</t>
  </si>
  <si>
    <t xml:space="preserve">Monday-Friday, some weekends may be required, schedule varies, overtime varies. Able to lift 50lbs. Pre-hire background check required;Random drug testing during employment;Pre-employment drug testing required;Drug testing during employment for cause;Post-Accident Drug Testing.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
</t>
  </si>
  <si>
    <t>778 McCauley Road #100</t>
  </si>
  <si>
    <t>P-400-23229-274359</t>
  </si>
  <si>
    <t xml:space="preserve">Employer may make payroll deductions at employee's request. Employer facilitates voluntary housing arrangements along with corresponding payroll deduction of $50 per week.
</t>
  </si>
  <si>
    <t>hr@vizmeg.com</t>
  </si>
  <si>
    <t>H-400-23307-476711</t>
  </si>
  <si>
    <t>Greenturf Landscaping Co.</t>
  </si>
  <si>
    <t>Greenturf Inc</t>
  </si>
  <si>
    <t>8905 E. Hefner Rd.</t>
  </si>
  <si>
    <t>McMiller</t>
  </si>
  <si>
    <t>tim@greenturfinc.com</t>
  </si>
  <si>
    <t xml:space="preserve">Pre-hire background check required; Random drug testing during employment, Able to lift 50lbs, Monday-Friday, overtime varies, Overtime not guaranteed. Schedule varies. Holidays and weekends may be required.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
</t>
  </si>
  <si>
    <t>Potential raises/bonuses at employer's discretion</t>
  </si>
  <si>
    <t>P-400-23201-204524</t>
  </si>
  <si>
    <t>H-400-23324-513520</t>
  </si>
  <si>
    <t>Denninger Enterprises</t>
  </si>
  <si>
    <t>Chesterfield Lawns and Landscapes</t>
  </si>
  <si>
    <t>346 N. Eatherton Rd.</t>
  </si>
  <si>
    <t>Denninger</t>
  </si>
  <si>
    <t>jdenninger@chesterfieldll.com</t>
  </si>
  <si>
    <t>346 N. Eatherton Road</t>
  </si>
  <si>
    <t>P-400-23158-088934</t>
  </si>
  <si>
    <t>info@chesterfieldll.com</t>
  </si>
  <si>
    <t>H-400-23336-539033</t>
  </si>
  <si>
    <t xml:space="preserve">The Fairlawn Country Club Company </t>
  </si>
  <si>
    <t>200 N. Wheaton Rd</t>
  </si>
  <si>
    <t xml:space="preserve">Dennis </t>
  </si>
  <si>
    <t>P-400-23187-170045</t>
  </si>
  <si>
    <t>unknown</t>
  </si>
  <si>
    <t>dcourtney@fairlawncountryclub.com</t>
  </si>
  <si>
    <t>H-400-23321-509033</t>
  </si>
  <si>
    <t>Lift/carry up to 50 pounds. Employer paid drug test is Post Accident</t>
  </si>
  <si>
    <t xml:space="preserve">Character Limit:Shared housing available to only seasonal full-time employees, not offered to non-employees. Employees may make their own arrangements at their own expense. If they opt to live in employer provided housing rent (utilities included) charged at $90.00/week.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t>
  </si>
  <si>
    <t>H-400-23317-497061</t>
  </si>
  <si>
    <t>Signature Landscape, LLC</t>
  </si>
  <si>
    <t>15705 S. Pflumm Road</t>
  </si>
  <si>
    <t xml:space="preserve">Requires three months of previous landscape experience. Must work in inclement weather and extreme temperatures. 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Lead Landscape Laborers who also drive company vehicles between worksites will be paid an extra $0.50 per hour (driving is not a requirement of all workers in the position). Employer may offer more than the stated work hours depending on weather, business needs, and other conditions. Extreme heat, cold, rain, or drought may affect exact working hours. Overtime hours vary. Employees engaged in the loading of motor vehicles as defined in 29 CFR  782.5 are ineligible for overtime pursuant to the Motor Carrier Act.
</t>
  </si>
  <si>
    <t>15705 S. Pflumm Rd,</t>
  </si>
  <si>
    <t>P-400-23262-357178</t>
  </si>
  <si>
    <t>Employer makes all payroll deductions required by law. Employer doesn’t envision other workforce-wide payroll deductions. If requested employer helps non-local workers secure optional worker-paid lodging (not to exceed fair market value based on number of occupants; cost TBD). Housing costs paid directly to landlord and not payroll deducted. Voluntary advances/loans made to workers, if any, may be repaid by pre-authorized payroll deductions. Employer may deduct retirement/savings plan contributions and/or health insurance premiums for workers voluntarily participating in plan(s). Uniform provided at no cost. Employer may deduct for lost/damaged uniforms resulting from worker negligence, or voluntary purchase of additional uniforms for workers benefit. Employer provides incidental transportation between worksites as necessary. No daily transportation to/from workers' home and primary worksite. Such transportation complies with all applicable Federal, State, and local laws/regulations.</t>
  </si>
  <si>
    <t>josev@signaturekc.com</t>
  </si>
  <si>
    <t>H-400-23298-454919</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</si>
  <si>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12-month hotel/resort housekeeping experience required
	Rotate/split shifts
	Supplies, work tools and equipment are provided free
	The employer will make all deductions from worker's paycheck required by law
	Must lift/carry 50 lbs., when necessary.  
	Supplies, work tools &amp; equipment are provided free
	No daily transportation to/from work provided.
	No on the job training provided. 
</t>
  </si>
  <si>
    <t>P-400-23224-260322</t>
  </si>
  <si>
    <t>•Employer will make all deductions from worker's paycheck required by law. 
•Employer will deduct any written preapproved deduction requested by employee 
Voluntary/Optional, Third-Party Rent/housing: Provided by a third party company
•Optional &amp; Voluntary 3rd party housing may be available at $125 - $150/ WK &amp; may be voluntarily payroll deducted biweekly
•Waterloo Hospitality could act as guarantor for timely rent payment however, lease is directly with 3rd party service provider &amp; between employees &amp; housing company as Waterloo Hospitality has no housing of its own
•Housing Deposits and/or a $250 nonrefundable administrative fee may be required if you choose the voluntary optional 3rd party housing
•Third party housing provider/landlord may require that the last 8 weeks of rent (covering Jul 21, 2024 to Sept 15 2024) be prepaid upfront or payroll deducted in installments of $150 per pay period until full payment is achieved. This pre-paid last 8 wks rent is nonrefundable</t>
  </si>
  <si>
    <t>H2Bhires@gmail.com</t>
  </si>
  <si>
    <t>www.waterloo-hospitality.com</t>
  </si>
  <si>
    <t>Special Event Labor</t>
  </si>
  <si>
    <t>H-400-23262-360374</t>
  </si>
  <si>
    <t>Whitewater Holding, Inc</t>
  </si>
  <si>
    <t>141 Amsterdam Road</t>
  </si>
  <si>
    <t>tim@seiversinc.com</t>
  </si>
  <si>
    <t>P-400-23222-255433</t>
  </si>
  <si>
    <t>H-400-23331-524691</t>
  </si>
  <si>
    <t>H-400-23321-508567</t>
  </si>
  <si>
    <t>Gulf Coast Environmental Contractors, Inc.</t>
  </si>
  <si>
    <t>251 E. Johnson Ave.</t>
  </si>
  <si>
    <t xml:space="preserve">Pensacola </t>
  </si>
  <si>
    <t>tracy@gcecinc.com</t>
  </si>
  <si>
    <t>251 E. Johnson Ave. (Report to Work)</t>
  </si>
  <si>
    <t>P-400-23214-231448</t>
  </si>
  <si>
    <t>Optional, shared housing available to the worker at a monthly housing rate up to $325.00; if optional housing is agreed upon by the worker, monthly housing rate will be deducted from worker's paycheck incrementally (weekly).</t>
  </si>
  <si>
    <t>H-400-23307-476502</t>
  </si>
  <si>
    <t>P-400-23188-173157</t>
  </si>
  <si>
    <t>H-400-23336-539522</t>
  </si>
  <si>
    <t>Seven Oaks Landscapes-Hardscapes Inc</t>
  </si>
  <si>
    <t>529 Redwood Road</t>
  </si>
  <si>
    <t>Mailing: PO Box 49, Redwood, VA 24146</t>
  </si>
  <si>
    <t>Glade Hill</t>
  </si>
  <si>
    <t>Bower</t>
  </si>
  <si>
    <t>sales@7oakslandscape.com</t>
  </si>
  <si>
    <t>Random drug testing during employment; Pre-employment drug testing required, Able to lift 50lbs, Work outside, High pace level and in extreme temperature; Stand for long periods of time, Monday-Friday, Schedule Varies, Some Saturdays may be required, Additional overtime varies.
All drug testing is performed without regard to an employees citizenship or immigration status, and all testing is paid for by the company. See the additional document attached for further details about the administration of our drug testing policy.</t>
  </si>
  <si>
    <t>P-400-23178-147959</t>
  </si>
  <si>
    <t>Employer may make payroll deductions at employee's request. Employer facilitates voluntary housing arrangements upon worker request along with corresponding payroll deductions and corresponding payments of approximately $50-$250. Housing expense will vary and be contingent on frequency of deduction/payment being made (i.e. weekly, bi-weekly or monthly – frequency is at employee's discretion).</t>
  </si>
  <si>
    <t>H-400-23336-539003</t>
  </si>
  <si>
    <t>Rutkowski</t>
  </si>
  <si>
    <t>H-400-23307-475862</t>
  </si>
  <si>
    <t>Westco Grounds Maintenance LLC</t>
  </si>
  <si>
    <t>12350 Taylor Rd</t>
  </si>
  <si>
    <t>Palermo</t>
  </si>
  <si>
    <t>Director of Technology</t>
  </si>
  <si>
    <t>bpalermo@westcogrounds.com</t>
  </si>
  <si>
    <t xml:space="preserve">Must be able to work a 5-day schedule, may include weekends and holidays. Applicants must complete an employment application.
</t>
  </si>
  <si>
    <t>P-400-23180-154733</t>
  </si>
  <si>
    <t>Employer will make all deductions from the worker's paycheck required by law. Employer will assist worker to find affordable housing. Cost of optional employee medical/dental/vision insurance approx. $1.91 - $122.61 per week and can be payroll deducted if worker elects.</t>
  </si>
  <si>
    <t>H-400-23307-478336</t>
  </si>
  <si>
    <t>H-400-23360-590996</t>
  </si>
  <si>
    <t>Table Rock Forestry Inc.</t>
  </si>
  <si>
    <t>718 Gilman Rd.</t>
  </si>
  <si>
    <t>tablerockforestry@gmail.com</t>
  </si>
  <si>
    <t>Must be 18 due to travel.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45lbs.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</si>
  <si>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718 Gilman Rd. (Report to Work)</t>
  </si>
  <si>
    <t>P-400-23215-236332</t>
  </si>
  <si>
    <t>Tablerockforestry@gmail.com</t>
  </si>
  <si>
    <t>H-400-23321-509091</t>
  </si>
  <si>
    <t>9311 Lee Road</t>
  </si>
  <si>
    <t xml:space="preserve">Must be willing to work in hot climates. Post-employment drug testing may occur based upon the employers reasonable suspicion of an employees drug use. 
F.a.5 A-H. (Continued):
8-hour workday. M-F 7am-4pm (1 hr lunch), overtime needed (an average of 8 - 10 hours of overtime may be available per week).
</t>
  </si>
  <si>
    <t>Auburn-Opelika, AL</t>
  </si>
  <si>
    <t>P-400-23201-202706</t>
  </si>
  <si>
    <t>P-400-23164-105062</t>
  </si>
  <si>
    <t>7 McKay Ave, 2nd Floor</t>
  </si>
  <si>
    <t>Averett</t>
  </si>
  <si>
    <t>Manager of Recruiting</t>
  </si>
  <si>
    <t>caverett@gentlegiant.com</t>
  </si>
  <si>
    <t>opportunity to earn more with experience. Raise/bonus at employer's discretion. Percentage of health care offered.</t>
  </si>
  <si>
    <t>H-400-23307-475823</t>
  </si>
  <si>
    <t>Brake Landscaping and Lawncare, Inc.</t>
  </si>
  <si>
    <t>3514 Gratiot Street</t>
  </si>
  <si>
    <t>Brake</t>
  </si>
  <si>
    <t>rbrake@brakelandscaping.com</t>
  </si>
  <si>
    <t>3514 Gratiot Street  (Report to Work)</t>
  </si>
  <si>
    <t>P-400-23233-280774</t>
  </si>
  <si>
    <t>dturner@brakelandscaping.com</t>
  </si>
  <si>
    <t>H-400-23221-250803</t>
  </si>
  <si>
    <t>Golden Snow Services LLC</t>
  </si>
  <si>
    <t>730 S Sleepy Ridge Dr.</t>
  </si>
  <si>
    <t>tylerrayholt@gmail.com</t>
  </si>
  <si>
    <t>Overnight stay may be required.  The company will pay for lodging and food as necessary or may provide the convenience of temporary living quarters, when overnight stay is required.</t>
  </si>
  <si>
    <t>1022 S State St.</t>
  </si>
  <si>
    <t xml:space="preserve">1 hr. lunch. Some O.T. may be available but not guaranteed. </t>
  </si>
  <si>
    <t>P-400-23139-039349</t>
  </si>
  <si>
    <t>H-400-23229-272128</t>
  </si>
  <si>
    <t>GoldStar Amusements, Inc.</t>
  </si>
  <si>
    <t>featherstonmike@gmail.com</t>
  </si>
  <si>
    <t xml:space="preserve">Hours, schedule, and days vary widely.  
Typically Mon-Fri, 8am  4:30pm.  
Often 35-40 hours per week, may go up to 45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t>
  </si>
  <si>
    <t>515 FOWLER ST</t>
  </si>
  <si>
    <t>FARIBAULT</t>
  </si>
  <si>
    <t>P-400-23128-002253</t>
  </si>
  <si>
    <t>Optional mobile housing ($125/week)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 Wages calculated by single workweek, paid weekly.</t>
  </si>
  <si>
    <t>mike@goldstaramusement.com</t>
  </si>
  <si>
    <t>goldstaramusement.com</t>
  </si>
  <si>
    <t>H-400-23326-520926</t>
  </si>
  <si>
    <t>Potential end of season bonus at employers discretion. Percentage of health care offered.</t>
  </si>
  <si>
    <t>P-400-23192-180565</t>
  </si>
  <si>
    <t>Employer may make payroll deductions at employee's request. Employer facilitates corresponding deductions for available health benefits. All deductions from the worker's paycheck required by law will be made.
“If needed, the employer will assist in securing worker-paid lodging at the reasonable fair market value cost of rent and/or utilities based on number of occupants for those employees who voluntarily elect to live in available premises”.</t>
  </si>
  <si>
    <t>H-400-23318-499596</t>
  </si>
  <si>
    <t>GroundsPRO LLC - Indianapolis</t>
  </si>
  <si>
    <t>5102 Freyn Drive,</t>
  </si>
  <si>
    <t>P-400-23192-179253</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</si>
  <si>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 Employer may deduct health insurance premiums for workers voluntarily participating in plan. Uniform provided at no cost. Employer may deduct cost for lost/damaged uniforms resulting from worker negligence, or voluntary purchase of additional uniforms for worker's benefit. Employer offers pro rated vacation hours and paid sick time. Employer provides incidental transportation between worksites as necessary.</t>
  </si>
  <si>
    <t>H-400-23335-536986</t>
  </si>
  <si>
    <t>Quality Sprinklers &amp; Landscaping, Inc. (QLS124A)</t>
  </si>
  <si>
    <t>3257 Rolling Creek Way</t>
  </si>
  <si>
    <t>qsandl@yahoo.com</t>
  </si>
  <si>
    <t xml:space="preserve">Must be able to tolerate extreme temperatures, loud noises; lift heavy equipment up to 50 lbs. and exhibit stamina. Operate equipment while sober.  Post-employment employer-paid drug test may be administered.
Work days:  Mon - Fri, schedule may vary
Hours per week: 40
Work Schedule: 7:00am - 3:30pm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No
Deductions: N/A 
</t>
  </si>
  <si>
    <t>11600 South 2700 West</t>
  </si>
  <si>
    <t>P-400-23264-366627</t>
  </si>
  <si>
    <t>H-400-23187-171760</t>
  </si>
  <si>
    <t>Shawna Jean Nicole Manriquez</t>
  </si>
  <si>
    <t>S&amp;F Horse Racing</t>
  </si>
  <si>
    <t xml:space="preserve">101 NE 53rd St </t>
  </si>
  <si>
    <t>Apt 2217</t>
  </si>
  <si>
    <t>Manriquez</t>
  </si>
  <si>
    <t>Shawna</t>
  </si>
  <si>
    <t>shawnamanriquez92@icloud.com</t>
  </si>
  <si>
    <t>1000 Lone Star Pkwy</t>
  </si>
  <si>
    <t>P-400-23152-069381</t>
  </si>
  <si>
    <t>H-400-23186-167617</t>
  </si>
  <si>
    <t>Head Dropper</t>
  </si>
  <si>
    <t>1 month of safety/ppe/sanitation training required
Workers will work EITHER 1st or 2nd Shift. 
1st shift starts around 6:00am and ends around 3:15pm
2nd Shift starts around 3:15am and ends around 12:30am</t>
  </si>
  <si>
    <t>P-400-23124-992026</t>
  </si>
  <si>
    <t>H-400-23292-442772</t>
  </si>
  <si>
    <t>2802 N Frazier Street,</t>
  </si>
  <si>
    <t>P-400-23251-330379</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</si>
  <si>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may deduct retirement/savings plan contributions and/or health insurance premiums for workers voluntarily participating in plan(s).  Employer provides incidental transportation between worksites as necessary. No daily transportation to/from workers' home and primary worksite. Such transportation complies with all applicable Federal, State, and local laws/regulations.</t>
  </si>
  <si>
    <t>H-400-23210-224803</t>
  </si>
  <si>
    <t xml:space="preserve">3111 N. Central Ave. </t>
  </si>
  <si>
    <t xml:space="preserve">2 years experience required.
</t>
  </si>
  <si>
    <t xml:space="preserve"> 6012 N County Road 1147</t>
  </si>
  <si>
    <t>P-400-23123-986354</t>
  </si>
  <si>
    <t>H-400-23215-237170</t>
  </si>
  <si>
    <t>Outdoor Holiday lighting/Décor Installation &amp; Removal</t>
  </si>
  <si>
    <t>Wildwood Christmas Lights LLC</t>
  </si>
  <si>
    <t>33 Hickory Valley Ct.</t>
  </si>
  <si>
    <t>Wilwood</t>
  </si>
  <si>
    <t>nsm@bloomlawn.com</t>
  </si>
  <si>
    <t>P-400-23132-018229</t>
  </si>
  <si>
    <t>Employer will make all deductions from the worker's paycheck required by law.  Optional deduction from pay for rent $75.00 per week. Optional deductions will not drop the overall wages below the UDSOL minimum, if the deductions are too great they will not be made.</t>
  </si>
  <si>
    <t>H-400-23184-164959</t>
  </si>
  <si>
    <t xml:space="preserve">Scribe Saw Operator </t>
  </si>
  <si>
    <t>1 month safety and sanitation training required. 
Workers will work EITHER 6:15am - 2:30pm OR 3:00pm - 11:30pm</t>
  </si>
  <si>
    <t>Exact wage rate determined by internal metrics. Workers may be eligible for plant-wide incentives program.</t>
  </si>
  <si>
    <t>P-400-23121-979931</t>
  </si>
  <si>
    <t>H-400-23249-324008</t>
  </si>
  <si>
    <t>Almudena Timoteo</t>
  </si>
  <si>
    <t>3428 Lakewood Road</t>
  </si>
  <si>
    <t>Stanwood</t>
  </si>
  <si>
    <t>Timoteo</t>
  </si>
  <si>
    <t>Almudena</t>
  </si>
  <si>
    <t>Household Employer</t>
  </si>
  <si>
    <t>almudena.timoteo81@gmail.com</t>
  </si>
  <si>
    <t>english and tagalog speaker (preferred)
First Aid/CPR (preferred)</t>
  </si>
  <si>
    <t>P-400-23213-230741</t>
  </si>
  <si>
    <t>None.
The employer will provide or arrange housing for the workers. The worker will be charged $1000.00 for housing (utilities and
food included). The employer provided housing is optional to the worker.</t>
  </si>
  <si>
    <t>H-400-23252-333685</t>
  </si>
  <si>
    <t>Restaurant front of house staff</t>
  </si>
  <si>
    <t>Soi Thai 2 LLC</t>
  </si>
  <si>
    <t>Rice Fine Thai Cuisine</t>
  </si>
  <si>
    <t>2051 W Oak Street</t>
  </si>
  <si>
    <t>Mongkolpla</t>
  </si>
  <si>
    <t>Puyada</t>
  </si>
  <si>
    <t>bozeman.ricethai@gmail.com</t>
  </si>
  <si>
    <t>shared tips, free shift meal, discount housing</t>
  </si>
  <si>
    <t>P-400-23241-305734</t>
  </si>
  <si>
    <t>www.ricethaimontana.com</t>
  </si>
  <si>
    <t>H-400-23240-300718</t>
  </si>
  <si>
    <t>Jamie Ness Racing</t>
  </si>
  <si>
    <t>15903 Northlake Village Dr</t>
  </si>
  <si>
    <t>Ness</t>
  </si>
  <si>
    <t>15903 NORTHLAKE VILLAGE DR</t>
  </si>
  <si>
    <t>mmexjock@icloud.com</t>
  </si>
  <si>
    <t>P-400-23123-988549</t>
  </si>
  <si>
    <t>H-400-23184-162422</t>
  </si>
  <si>
    <t>Dealership Cleaner</t>
  </si>
  <si>
    <t>Trophy Automotive Dealer Group LLC</t>
  </si>
  <si>
    <t>21140 Avalon Blvd</t>
  </si>
  <si>
    <t>Watar</t>
  </si>
  <si>
    <t>Nasser</t>
  </si>
  <si>
    <t>trophyautodg@gmail.com</t>
  </si>
  <si>
    <t>3435 Wilshire Blvd Ste 1110</t>
  </si>
  <si>
    <t>22020 Recreation Road</t>
  </si>
  <si>
    <t>Overtime wage is 1.5 times the base hourly wage.</t>
  </si>
  <si>
    <t>P-400-23096-908897</t>
  </si>
  <si>
    <t>Mandatory payroll tax deductions that are required by law.</t>
  </si>
  <si>
    <t>H-400-23224-260189</t>
  </si>
  <si>
    <t>Carpenter Helper/Laborer</t>
  </si>
  <si>
    <t>Tractorworks Plus, Inc.</t>
  </si>
  <si>
    <t>239 Betts Road</t>
  </si>
  <si>
    <t>Orrington</t>
  </si>
  <si>
    <t>Coombs</t>
  </si>
  <si>
    <t>Spooner</t>
  </si>
  <si>
    <t>lynn.rhf@gmail.com</t>
  </si>
  <si>
    <t>Candidate should have at least 12 months of experience working on an active construction site
Driving and driver license as a requirement for the position.</t>
  </si>
  <si>
    <t>ORRINGTON TOWN</t>
  </si>
  <si>
    <t>Bangor, ME</t>
  </si>
  <si>
    <t>P-400-23188-173079</t>
  </si>
  <si>
    <t>Applicable taxes</t>
  </si>
  <si>
    <t>H-400-23186-168637</t>
  </si>
  <si>
    <t>Training and Development Specialists</t>
  </si>
  <si>
    <t>Gulfstream Boat Club Tampa, LLC</t>
  </si>
  <si>
    <t>777 Palm Trail</t>
  </si>
  <si>
    <t>agwarner@gmail.com</t>
  </si>
  <si>
    <t>P-400-23145-055362</t>
  </si>
  <si>
    <t>alex@gulfstreamboatclub.com</t>
  </si>
  <si>
    <t>H-400-23255-341270</t>
  </si>
  <si>
    <t xml:space="preserve">2148 Gulf Drive </t>
  </si>
  <si>
    <t xml:space="preserve">Ability to lift 50 lbs. Drug testing may be required post hire at employer's expense to ensure safety of workers.  45-50 hours/week, 7:00am-5:00pm. (Monday-Friday) Saturday work required, when necessary.  All tools/supplies req'd, provided at no cost. On-the-job training will not be provided. </t>
  </si>
  <si>
    <t>P-400-23159-092576</t>
  </si>
  <si>
    <t xml:space="preserve">Only deductions required by the law.  Employer will assist workers with securing housing if requested, but employer will not provide housing.  </t>
  </si>
  <si>
    <t>H-400-23215-237483</t>
  </si>
  <si>
    <t>Employees expected daily schedule will be from 9am to 5pm, Monday to Friday, and then sometimes on the weekends for a set number of hours that might vary in their start time, Saturday (up to 4 hours) and Sunday (up to 4 hours). Employees should expect hours to vary, based on the needs of the two locations. There is a formal program for training new employees.</t>
  </si>
  <si>
    <t>P-400-23174-141270</t>
  </si>
  <si>
    <t>H-400-23214-231296</t>
  </si>
  <si>
    <t>All deductions required by law.
Optional housing is offered on a first-come, first-serve basis for workers who are relocating to begin employment. Cost of housing, if accepted, is $125.00 per week. If used, total cost of housing will be paid directly to employer by employee. A $125.00 refundable security deposit is required, to be paid directly to employer upon acceptance of housing.
Daily transportation to and from worksite is provided for workers living in employee housing.
Optional Deductions from Paycheck: optional 401(k)
Benefits: Meal and retail discounts, free ski lift pass</t>
  </si>
  <si>
    <t>H-400-23184-164209</t>
  </si>
  <si>
    <t>Table Top Catering, LLC</t>
  </si>
  <si>
    <t>6925 Lake Ellenor Drive #503</t>
  </si>
  <si>
    <t>Marino</t>
  </si>
  <si>
    <t>James@TableTopCatering.com</t>
  </si>
  <si>
    <t>Sergio</t>
  </si>
  <si>
    <t>300 SE 2nd Street, Suite 600</t>
  </si>
  <si>
    <t>Sergio@SergioLawFirm.com</t>
  </si>
  <si>
    <t>Law Office of Sergio E. Fernandez, PA</t>
  </si>
  <si>
    <t>2000 Hotel Plaza Boulevard</t>
  </si>
  <si>
    <t>Lake Buena Vista</t>
  </si>
  <si>
    <t>P-400-23129-005453</t>
  </si>
  <si>
    <t>Federal and State income tax withholding; Social Security; Medicare. Employer will not provide board, lodging, or other facilities, but will assist workers, at no cost, in securing them. Employer will also provide transportation to and from the worksite, via a company vehicle.</t>
  </si>
  <si>
    <t>james@tabletopcatering.com</t>
  </si>
  <si>
    <t>www.tabletopcatering.com</t>
  </si>
  <si>
    <t>H-400-23184-164556</t>
  </si>
  <si>
    <t xml:space="preserve">1 yr. of experience in construction operations involving drilling and boring machines operation; 1 yr. of experience in reading and interpreting engineering plans/specifications; able to sit, stand, bend, walk and drive or ride in a vehicle for long periods of time; able to understand and implement construction safety procedures; eligible for CDL Class A license; able to work in all weather conditions. 40 hours/week, Mon-Sun, 8:00am to 5:00pm (schedule varies). 18 years old age requirement.
</t>
  </si>
  <si>
    <t>H-400-23191-177692</t>
  </si>
  <si>
    <t xml:space="preserve">Waiter/Waitress </t>
  </si>
  <si>
    <t xml:space="preserve">Spanish Flowers Inc. </t>
  </si>
  <si>
    <t>Spanish Flowers Mexican Restaurant</t>
  </si>
  <si>
    <t>4701 N. Main Street</t>
  </si>
  <si>
    <t xml:space="preserve">Hernandez Reyes </t>
  </si>
  <si>
    <t>de Dios</t>
  </si>
  <si>
    <t>jdhr1017@gmail.com</t>
  </si>
  <si>
    <t>Fadel</t>
  </si>
  <si>
    <t>Ahmed</t>
  </si>
  <si>
    <t>2901 Wilcrest Drive</t>
  </si>
  <si>
    <t>fadel@herrerafirm.com</t>
  </si>
  <si>
    <t>Law Offices of Herrera &amp; Associates, PLLC</t>
  </si>
  <si>
    <t xml:space="preserve">Must be in good physical condition to work standing up for extending periods of time and be able to work in a fast-paced environment. 
</t>
  </si>
  <si>
    <t>P-400-23130-010414</t>
  </si>
  <si>
    <t xml:space="preserve">The employer will only make all deductions out of the worker's paycheck as required by law. </t>
  </si>
  <si>
    <t>Law Offices of Herrera and Associates, PLLC</t>
  </si>
  <si>
    <t>H-400-23184-162352</t>
  </si>
  <si>
    <t xml:space="preserve">Agri-Mark, Inc.   </t>
  </si>
  <si>
    <t xml:space="preserve">Cabot Creamery Cooperative </t>
  </si>
  <si>
    <t>2870 MAIN STREET</t>
  </si>
  <si>
    <t>CABOT</t>
  </si>
  <si>
    <t>LISA</t>
  </si>
  <si>
    <t>Administration Manager</t>
  </si>
  <si>
    <t>40 SHATTUCK RD</t>
  </si>
  <si>
    <t>SUITE 301</t>
  </si>
  <si>
    <t>ANDOVER</t>
  </si>
  <si>
    <t>lgrafton@agrimark.net</t>
  </si>
  <si>
    <t>P-400-23138-033395</t>
  </si>
  <si>
    <t>Optional employer-provided housing with utilities available for $170/week payroll deduction.</t>
  </si>
  <si>
    <t>H-400-23236-292423</t>
  </si>
  <si>
    <t>Elk Country Motels, Inc.</t>
  </si>
  <si>
    <t>DBA Antler Inn/49er Inn and Suites</t>
  </si>
  <si>
    <t>330 W. Pearl</t>
  </si>
  <si>
    <t>Mailing: PO Box 575, Jackson, WY 83001</t>
  </si>
  <si>
    <t>Lilley</t>
  </si>
  <si>
    <t xml:space="preserve">Requires three months  of housekeeping experience. Must lift/carry 50 lbs. when necessary and frequently work on hands and knees. Work schedule is at least 5 days/week with  work days varying by week to include Saturday and Sunday. Employer may offer more than the stated work hours depending on weather, business needs, and other conditions. Extreme heat, cold, rain, or drought may affect exact working hours.
</t>
  </si>
  <si>
    <t>43 W. Pearl</t>
  </si>
  <si>
    <t>P-400-23125-998120</t>
  </si>
  <si>
    <t>ecmijobs@gmail.com</t>
  </si>
  <si>
    <t>H-400-23228-270969</t>
  </si>
  <si>
    <t>Bubblee Tea LLC</t>
  </si>
  <si>
    <t>241 S Main St</t>
  </si>
  <si>
    <t>Craighead County</t>
  </si>
  <si>
    <t>Elna</t>
  </si>
  <si>
    <t>913 Somerset ln</t>
  </si>
  <si>
    <t>Craighead county</t>
  </si>
  <si>
    <t>bubblee.jbr@gmail.com</t>
  </si>
  <si>
    <t xml:space="preserve">Formal Training Program: Yes - we have an onboarding and shadowing process that runs for 1-2 weeks to ensure you are comfortable and capable of delivering amazing experiences to our customers.
</t>
  </si>
  <si>
    <t xml:space="preserve">Overtime is available. In alignment with Arkansas state law, employers in Arkansas are required to pay employees overtime pay at the rate of 1.5 times the employee's regular rate of pay for all hours the employee works in excess of 40 hours in one week. </t>
  </si>
  <si>
    <t>P-400-23172-131845</t>
  </si>
  <si>
    <t xml:space="preserve">For any H-2B applicants, Bubblee Tea does not provide lodging. However, we do provide referrals to local accomodations and resources to provide safe and affordable living options. We will make all required deductions from workers' paychecks, as mandated by law.
</t>
  </si>
  <si>
    <t>bubbleetea.com</t>
  </si>
  <si>
    <t>H-400-23271-392435</t>
  </si>
  <si>
    <t>Crawfish Distributors, Inc.</t>
  </si>
  <si>
    <t>522 Parkway Drive</t>
  </si>
  <si>
    <t>Post Office Box 151</t>
  </si>
  <si>
    <t>Gaspard</t>
  </si>
  <si>
    <t>jasgasp7@gmail.com</t>
  </si>
  <si>
    <t>Danielle Toups Young, Attorney at Law</t>
  </si>
  <si>
    <t>Employees may make above hourly wage based on a piece rate ($2.50/lb), work experience, and/or performance.</t>
  </si>
  <si>
    <t>P-400-23158-087092</t>
  </si>
  <si>
    <t>EMPLOYER WILL MAKE ALL DEDUCTIONS FROM WORKERS PAYCHECK AS REQUIRED BY LAW; DEDUCTIONS EMPLOYER INTENDS TO MAKE FROM PAYCHECK, WHICH ARE NOT REQUIRED BY LAW, IF APPLICABLE, WOULD BE DEDUCTIONS FOR HOUSING ($35/WEEK), IF EMPLOYEE CHOOSES VOLUNTARY HOUSING OPTION.</t>
  </si>
  <si>
    <t>H-400-23277-408559</t>
  </si>
  <si>
    <t>LE Corporation</t>
  </si>
  <si>
    <t>6707 Sunflower Dr</t>
  </si>
  <si>
    <t>P-400-23241-302781</t>
  </si>
  <si>
    <t>H-400-23225-260439</t>
  </si>
  <si>
    <t>WELDER SPEICIALIST</t>
  </si>
  <si>
    <t xml:space="preserve">Be able to use and operate TIG welding machines.
</t>
  </si>
  <si>
    <t>P-400-23124-991717</t>
  </si>
  <si>
    <t>Housing benefit is optional and $30 per day deduction.</t>
  </si>
  <si>
    <t>H-400-23199-195474</t>
  </si>
  <si>
    <t>Boise Cascade Company</t>
  </si>
  <si>
    <t>1111 W. Jefferson St.</t>
  </si>
  <si>
    <t>STE 300</t>
  </si>
  <si>
    <t>Hataway</t>
  </si>
  <si>
    <t>Regional HR Manager</t>
  </si>
  <si>
    <t>larryhattaway@bc.com</t>
  </si>
  <si>
    <t xml:space="preserve">Must be able to lift and carry up to 75 lbs. Must be able to pass pre-employment background and drug test. Must be able to pass random drug tests and upon suspicion. Employer handles drug testing at no cost to the worker.  
</t>
  </si>
  <si>
    <t>8007 Fl-GA Hwy</t>
  </si>
  <si>
    <t>Havana</t>
  </si>
  <si>
    <t>GADSDEN</t>
  </si>
  <si>
    <t xml:space="preserve">Multiple shifts available Sun. - Sat. throughout the day for 24/7 operation. Returning workers may be paid higher wages </t>
  </si>
  <si>
    <t>P-400-23139-036821</t>
  </si>
  <si>
    <t>Employer will make all deductions required by law. Employer offered housing is available at a weekly payroll deduction. The offered housing is optional to workers.</t>
  </si>
  <si>
    <t>H-400-23259-352718</t>
  </si>
  <si>
    <t>General Maintenance Worker</t>
  </si>
  <si>
    <t>KGN Promotions LLC (KGN124)</t>
  </si>
  <si>
    <t>DBA Fun Time Family Amusements</t>
  </si>
  <si>
    <t>5480 Keil Loop</t>
  </si>
  <si>
    <t xml:space="preserve">Must be able to lift at least 50 lbs. Have manual dexterity. Be able to evaluate and problem-solve.  Be available entire work contract. Post-employment, employer-paid drug test may be administered.
Work days: Typically Monday through Friday; days vary  
Hours per week: 35
Work Schedule: 8:00a.m. - 3:00p.m; the schedule may vary 
Employer may offer a raise or bonus depending on experience and merit.
Daily Transportation provided to all worksite locations from primary worksite? No
Does employer offer a ride to primary worksite location to workers living within a reasonable
commute: No
Overtime available? Yes
On-the-Job Training provided? Yes
Employer-Provided Tools and Equipment provided? Yes
Board, Lodging or Other Facilities provided?: Yes, optional, free-of-charge
Deductions: N/A
</t>
  </si>
  <si>
    <t>6700 Hurricane Rd</t>
  </si>
  <si>
    <t>P-400-23214-234315</t>
  </si>
  <si>
    <t>H-400-23245-317905</t>
  </si>
  <si>
    <t>B &amp; J CONCESSIONS LLC</t>
  </si>
  <si>
    <t>B &amp; J CONCESSIONS</t>
  </si>
  <si>
    <t>7133 W. CARIBBEAN LN.</t>
  </si>
  <si>
    <t>PEORIA</t>
  </si>
  <si>
    <t>sanderschefs@gmail.com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</si>
  <si>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 days/wk. Post-employment/post injury or incident drug test required, cost paid by employer and applied equally to all workers U.S and foreign/H-2B. Applicants must cooperate with and complete job application and interview truthfully.
</t>
  </si>
  <si>
    <t>14629 W. Peoria Ave</t>
  </si>
  <si>
    <t>Waddell</t>
  </si>
  <si>
    <t>P-400-23164-106730</t>
  </si>
  <si>
    <t>Employer will make all deductions from worker’s paycheck required by law. Employer optional shared housing is provided at no cost to the worker valued at ($120/wk.), local convenience travel valued at ($20/wk.), 2 meals provided per shift and food available for wage credit and/or deduction, or any lesser amount to the maximum extent not prohibited by law.</t>
  </si>
  <si>
    <t>https://www.azjobconnection.gov</t>
  </si>
  <si>
    <t>H-400-23290-437259</t>
  </si>
  <si>
    <t xml:space="preserve">Small Engine Mechanic </t>
  </si>
  <si>
    <t>Cingel Landscape and Design, Inc.</t>
  </si>
  <si>
    <t>120 Meadowhill Lane</t>
  </si>
  <si>
    <t>Moreland Hill</t>
  </si>
  <si>
    <t>Cingel</t>
  </si>
  <si>
    <t>Moreland Hills</t>
  </si>
  <si>
    <t>cingelandscape@gmail.com</t>
  </si>
  <si>
    <t>Dragan</t>
  </si>
  <si>
    <t>Ruxandra</t>
  </si>
  <si>
    <t>400 NW Gilman Blvd.</t>
  </si>
  <si>
    <t>#1324</t>
  </si>
  <si>
    <t>Issaquah</t>
  </si>
  <si>
    <t>ruxandra@dragan-law.com</t>
  </si>
  <si>
    <t>Law Office of Ruxandra Irina Dragan LLC</t>
  </si>
  <si>
    <t xml:space="preserve">Able to lift/carry 50 lbs. 2 references required.  RANDOM POST EMPLOYMENT BACKGROUND, DRUG AND ALCOHOL CHECKS. NO EXPERIENCE REQUIRED.
</t>
  </si>
  <si>
    <t>23209 Miles Road</t>
  </si>
  <si>
    <t>Warrensville Heights</t>
  </si>
  <si>
    <t>P-400-23152-070154</t>
  </si>
  <si>
    <t>all deductions required by law</t>
  </si>
  <si>
    <t>cingellandscape@gmail.com</t>
  </si>
  <si>
    <t>H-400-23286-430536</t>
  </si>
  <si>
    <t xml:space="preserve">O'Hara Corporation </t>
  </si>
  <si>
    <t>120 Tillson Ave</t>
  </si>
  <si>
    <t>Rockland</t>
  </si>
  <si>
    <t>cohara@oharacorporation.com</t>
  </si>
  <si>
    <t xml:space="preserve">Days/Shifts may vary. 
Two shifts: 6:00am - 6:00pm or 6:00pm to 6:00am.
A pre-employment drug screen is required. 
A pre-employment background check is required. 
No overtime available. 
Employer reserves the right to pay a higher wage rate or bonus to any worker in their sole discretion, based on performance, skill, tenure, or experience. 
Employer will provide transportation to and from worksite.
Optional employer housing is available to the worker at no cost to the worker. 
Must be able to lift, stand for long periods of time, withstand variable weather, working in a freezer, and rough sea conditions. 
The first 3 weeks of employment will be at least 35 hours per week of paid on the job training. 
Positions will be on the following vessels; F/T Alaska Spirit, F/T Araho, F/T Constellation, F/T Defender, &amp; F/T Enterprises. </t>
  </si>
  <si>
    <t>Dutch Harbor General Delivery</t>
  </si>
  <si>
    <t>PO Box 920707</t>
  </si>
  <si>
    <t>P-400-23187-170393</t>
  </si>
  <si>
    <t xml:space="preserve">All deductions required by law will be made, and do deductions not required by law will be made. </t>
  </si>
  <si>
    <t>h2b@oharacorporation.com</t>
  </si>
  <si>
    <t>https://apply.workable.com/ohara-corporation/j/1B31CE3FED/</t>
  </si>
  <si>
    <t>H-400-23215-235059</t>
  </si>
  <si>
    <t>AMERICA AT PLAY SOUTH INC</t>
  </si>
  <si>
    <t>1350 BEACH ROAD</t>
  </si>
  <si>
    <t xml:space="preserve">ROTATING SHIFTS AND HOURS, VARY WEEKLY, MON-SUN 6AM-10PM. </t>
  </si>
  <si>
    <t>SLIDING SCALE $14.36-$16. P/HR BASED ON PERFORMANCE AND EXPERIENCE.</t>
  </si>
  <si>
    <t>P-400-23125-998731</t>
  </si>
  <si>
    <t>JILLATHANS@AOL.COM</t>
  </si>
  <si>
    <t>H-400-23236-293831</t>
  </si>
  <si>
    <t>P-400-23144-049211</t>
  </si>
  <si>
    <t>H-400-23228-270613</t>
  </si>
  <si>
    <t>Tulsa Lot Sweeping</t>
  </si>
  <si>
    <t>5809 S 107th E. Ave</t>
  </si>
  <si>
    <t>tulsalotsweepinginc@gmail.com</t>
  </si>
  <si>
    <t>P-400-23163-102168</t>
  </si>
  <si>
    <t xml:space="preserve">The employer will make all deductions from the worker’s paycheck required by law.  For those employees who do not maintain a residence within normal commuting distance, on an optional basis, the employer will assist those employees who opt in, in securing housing. Employee will make payment directly to the landlord. </t>
  </si>
  <si>
    <t>H-400-23184-163410</t>
  </si>
  <si>
    <t xml:space="preserve">Laborers must not have a fear of heights that hinders their ability to perform the duties of the job. 
Drug test required prior to employment. 
</t>
  </si>
  <si>
    <t>P-400-23121-981389</t>
  </si>
  <si>
    <t xml:space="preserve">Employer intends to deduct what is required by law. </t>
  </si>
  <si>
    <t>hamlincos.com</t>
  </si>
  <si>
    <t>H-400-23254-335343</t>
  </si>
  <si>
    <t>Direct Support Professional</t>
  </si>
  <si>
    <t>Caritas, LLC</t>
  </si>
  <si>
    <t>2776 Rambling Vista Rd</t>
  </si>
  <si>
    <t>Chula Vista</t>
  </si>
  <si>
    <t>brandywoodhome@gmail.com</t>
  </si>
  <si>
    <t>CPR and Basic Life Support/AED</t>
  </si>
  <si>
    <t>1730 La Corta St</t>
  </si>
  <si>
    <t>Lemon Grove</t>
  </si>
  <si>
    <t>P-400-23194-185936</t>
  </si>
  <si>
    <t>None, aside from all applicable taxes.</t>
  </si>
  <si>
    <t>H-400-23230-276081</t>
  </si>
  <si>
    <t>President/Chairman Emeritus/CFO</t>
  </si>
  <si>
    <t xml:space="preserve">No minimum education or experience required.
Workers are subject to post-accident/injury or reasonable suspicion drug testing required, paid by employer and applied equally to all workers, U.S. and foreign/H-2B. Workers are subject to post-employment criminal background check, paid by employer and applied equally to all workers, U.S. and foreign/H-2B. 
Must be able to work minimum 5 day work schedule, including weekends and holidays as required. 
Must lift/carry 50 lbs. when necessary and frequently work on hands and knees.
Applicant must complete an employment application.  
Public transportation may be available to/from worksites that are not within walking distance from housing; subject to weather.
Employer will provide worker at no charge all tools, supplies, and equipment required to perform job. Required uniform provided at no cost to employee.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</si>
  <si>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400 RIDGE CLUB DRIVE</t>
  </si>
  <si>
    <t>STATELINE</t>
  </si>
  <si>
    <t>May increase wage based on experience, market conditions, performance, or tenure.</t>
  </si>
  <si>
    <t>P-400-23170-124354</t>
  </si>
  <si>
    <t xml:space="preserve">Employer will provide on the job training.
A single workweek will be used to compute wages due. Pay received bi-weekly.  
Employer will make all deductions from the worker's paycheck required by law.
Optional employee shared housing available, including utilities, approx. $150 - $200 per week (may vary with market conditions), plus $100 refundable deposit required. Housing cost may be payroll deducted if employee elects. 
</t>
  </si>
  <si>
    <t>www.nevadajobconnect.com</t>
  </si>
  <si>
    <t>H-400-23227-266450</t>
  </si>
  <si>
    <t>MUST HAVE VALID DRIVER'S LICENSE. MUST BE ABLE TO LIFT 80 LBS. MUST BE ABLE TO BE ON YOUR FEET FOR EXTENDED PERIODS AND  WITHSTAND THE ELEMENTS OF WORKING OUTDOORS.
SCHEDULE VARIES, OVERTIME AVAILABLE AS NEEDED.</t>
  </si>
  <si>
    <t>H-400-23231-279237</t>
  </si>
  <si>
    <t xml:space="preserve">390 Interlocken Crescent </t>
  </si>
  <si>
    <t xml:space="preserve">Must have current Level III certification with Professional Ski Instructors of America (PSIA), International Ski Instructors Association (ISIA), or equivalent organization. Must be able to work the full period of employment.
</t>
  </si>
  <si>
    <t>1000 S Frontage Rd W</t>
  </si>
  <si>
    <t>P-400-23114-957895</t>
  </si>
  <si>
    <t>Optional subsidized employee housing is available but limited. Bi-weekly cost is $185.00 to $310.00, depending on the unit type (i.e. number of beds in the unit and number of people living in the unit). Employee is responsible for paying housing cost biweekly. A license deposit of $250 is due prior to check-in. With employee's voluntary consent, housing costs may be deducted from paycheck.</t>
  </si>
  <si>
    <t>H-400-23185-166069</t>
  </si>
  <si>
    <t>Sausage Packer</t>
  </si>
  <si>
    <t xml:space="preserve">1 month of safety and sanitation training required. 
Workers will work EITHER 6:30am - 3:00pm OR 3:00pm - 11:30pm OR 11:00pm - 7:30am. </t>
  </si>
  <si>
    <t xml:space="preserve">Exact wage will be determined by internal metrics and union membership. </t>
  </si>
  <si>
    <t>P-400-23122-983247</t>
  </si>
  <si>
    <t>kgraves@gmail.com</t>
  </si>
  <si>
    <t>H-400-23191-177319</t>
  </si>
  <si>
    <t>2475 E Kercher Rd.</t>
  </si>
  <si>
    <t>P-400-23130-008826</t>
  </si>
  <si>
    <t>H-400-23262-360482</t>
  </si>
  <si>
    <t>Imperial Forestry, Inc</t>
  </si>
  <si>
    <t>5865 Table Rock Rd</t>
  </si>
  <si>
    <t>Nieto</t>
  </si>
  <si>
    <t>Maricela</t>
  </si>
  <si>
    <t>imperialforestry@hotmail.com</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</si>
  <si>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Possible background check post hire at employer's expense. Outdoors, exposed to weather; must be capable of doing physically strenuous labor for long hours, occasionally in extreme heat or cold. Variable weather conditions apply; hours may fluctuate (+/-), possible downtime and/or OT.
</t>
  </si>
  <si>
    <t>5865 Table Rock Rd (Report to Work)</t>
  </si>
  <si>
    <t>P-400-23108-942701</t>
  </si>
  <si>
    <t>P-400-23160-095801</t>
  </si>
  <si>
    <t>P-400-23174-140117</t>
  </si>
  <si>
    <t>H-400-23184-162192</t>
  </si>
  <si>
    <t>PEARSON</t>
  </si>
  <si>
    <t>MUST BE ABLE TO LIFT 30LBS. REPETITIVE MOVEMENTS, EXTENSIVE SITTING, EXTENSIVE WALKING, EXTENSIVE PUSHING/PULLING, FREQUENT STOOPING, EXPOSURE TO EXTREME TEMPERATURES.
SCHEDULE VARIES, OVERTIME AVAILABLE AS NEEDED.</t>
  </si>
  <si>
    <t>P-400-23096-910212</t>
  </si>
  <si>
    <t>accountspayable@501k-recycling.com</t>
  </si>
  <si>
    <t>H-400-23248-320728</t>
  </si>
  <si>
    <t xml:space="preserve">The Club at Mediterra, Inc. </t>
  </si>
  <si>
    <t>15755 Corso Mediterra Circle</t>
  </si>
  <si>
    <t>Leitman</t>
  </si>
  <si>
    <t xml:space="preserve">15755 Corso Mediterra Circle </t>
  </si>
  <si>
    <t>rickl@clubmediterra.com</t>
  </si>
  <si>
    <t xml:space="preserve">The Petitioner will consider for employment any person who possesses at least three (3) months of experience maintaining grounds at a high-end hotel, resort, or private club. Applicant must complete pre-employment background check and drug screening. 
</t>
  </si>
  <si>
    <t xml:space="preserve">Wage: $16.34 – 19.00 per hour, paid bi-weekly.  Overtime is available at $24.51 - $28.50 per hour.  </t>
  </si>
  <si>
    <t>P-400-23157-084057</t>
  </si>
  <si>
    <t xml:space="preserve">Optional housing is offered.  Cost of housing, if accepted, is $200.00 per bi-weekly pay period.  If used, total cost of housing will be deducted from bi-weekly paychecks.  A $400.00 refundable security deposit is required and will be deducted in equal $100.00 installments from bi-weekly paychecks.  Additional, optional benefits may be offered to worker, for worker’s sole benefit, including, but not limited to, a savings incentive program, 401k, and/or health, if elected (employee contributions to be deducted from pay).  </t>
  </si>
  <si>
    <t>HR-Team@clubmediterra.com</t>
  </si>
  <si>
    <t>H-400-23229-272394</t>
  </si>
  <si>
    <t xml:space="preserve">The Petitioner will consider for employment any person who possesses at least one (1) year of culinary experience in a fine-dining or high-volume environment at a high-end restaurant, resort, or private club.
Applicant must complete pre-employment background check.
</t>
  </si>
  <si>
    <t>Wage: $25.00 - $30.00 per hour, paid bi-weekly.  Please see job description for additional information.</t>
  </si>
  <si>
    <t>P-400-23175-141833</t>
  </si>
  <si>
    <t>H-400-23184-163647</t>
  </si>
  <si>
    <t>Kendra R Maas</t>
  </si>
  <si>
    <t>35 Phelps Rd</t>
  </si>
  <si>
    <t>Manchester</t>
  </si>
  <si>
    <t>Maas</t>
  </si>
  <si>
    <t>themagools@gmail.com</t>
  </si>
  <si>
    <t xml:space="preserve">Drivers License - minimum 2 year clean driving record
</t>
  </si>
  <si>
    <t>P-400-23125-997688</t>
  </si>
  <si>
    <t xml:space="preserve">Housing is offered to the Nanny at no charge in our home in Manchester. If the nanny declines this housing, no housing stipend will be offered. </t>
  </si>
  <si>
    <t>th.e.magools@gmail.com</t>
  </si>
  <si>
    <t>H-400-23258-349096</t>
  </si>
  <si>
    <t>Naturescapes LLC</t>
  </si>
  <si>
    <t>5238 W. Armada Way</t>
  </si>
  <si>
    <t>5238 W Armada Way</t>
  </si>
  <si>
    <t>Naturescapes.josh@gmail.com</t>
  </si>
  <si>
    <t xml:space="preserve">Must be able to lift and carry 75lbs for 75yds. Must be able to handle temperature extremes.
</t>
  </si>
  <si>
    <t>2469 Fort Union Blvd.</t>
  </si>
  <si>
    <t>Cottonwood Heights</t>
  </si>
  <si>
    <t>Wage rate may vary on experience and/or merit</t>
  </si>
  <si>
    <t>P-400-23219-243333</t>
  </si>
  <si>
    <t xml:space="preserve">Any advances will be deducted with the consent of the employee. </t>
  </si>
  <si>
    <t>H-400-23184-164960</t>
  </si>
  <si>
    <t>Temporary Production Worker - General Labor</t>
  </si>
  <si>
    <t>Butterball, LLC</t>
  </si>
  <si>
    <t>One Butterball Lane</t>
  </si>
  <si>
    <t>Howerton</t>
  </si>
  <si>
    <t xml:space="preserve">Director, Human Resources </t>
  </si>
  <si>
    <t>chowerton@butterball.com</t>
  </si>
  <si>
    <t>McCullick</t>
  </si>
  <si>
    <t>2005 Swift Ave</t>
  </si>
  <si>
    <t>North Kansas City</t>
  </si>
  <si>
    <t>elisa@kcimmigrationlaw.com</t>
  </si>
  <si>
    <t>McCrummen Immigration Law Group, LLC</t>
  </si>
  <si>
    <t>The State of Missouri Supreme Court</t>
  </si>
  <si>
    <t xml:space="preserve">The physical demands described here are representative of those that must be met by an employee to successfully perform the essential functions of the job. While performing the job, the employee will stand throughout the entire shift, excluding breaks.  This position requires the following additional physical demands: bending and stooping for long periods of time; the ability to grip, grasp, and twist using hands and wrists repetitively through the course of the shift; operating with handheld cutting tools and/or mechanical machinery; lifting, carrying, pushing, or pulling up to and including 60 pounds; reaching overhead up to and including 25 pounds; and climbing and adjusting stationary stands.   
Employees must be able to wear personal protective equipment (PPE) and hygiene equipment, including, but not limited to, steel mesh guards, bump caps and/or hard hats, steel-toed footwear, hearing protection, smocks, and gloves. 
The work environment characteristics described here are representative of those an employee will encounter while performing the essential functions of this job. The Production Worker  General Labor position requires work in a damp and cold environment with loud and noisy machinery.  The employee will be working with raw meat in congested areas. 
Applicants must be at least 18 years of age.  Before workers are hired, applicants are required to undergo a background check and drug screen paid for by the employer and successfully pass a physical exam to ensure the applicant is physically capable of performing the job prior to hire.
No education or prior work experience is required for this position. 
This position is deemed Safety Sensitive for purposes of Butterballs Drug/Alcohol Screening &amp; Testing Policy. Please refer to the Drug/Alcohol Screening &amp; Testing Policy for important information, including the obligations that Safety Sensitive employees have with respect to the lawful use of drugs and medications.
Employer will offer a minimum of 40 hours per week, Monday-Friday; some Saturdays and Sundays may be required based on operational needs. Workers in packaging will work 9:00 am  7:00 pm. Workers in boxing will work 9:10 am  7:00 pm. Workers in smoke and bake positions will work 8:00 am - 7:00 pm. Workers in injection or producing boned, rolled, and tied (BRT) breast roasts will work 8:15 am - 7:00 pm. Workers in either position may be assigned to the third shift, which is from 11:00 pm - 8:00 am. Generally, all production shifts will run for approximately 8-9 hours, but workers may experience workdays of up to 12 hours on occasion as needed. Overtime is required as necessary in order to keep up with production demands. Workers are needed to begin work on 10/01/2023 through 06/30/2024. 
</t>
  </si>
  <si>
    <t>1294 N College St.</t>
  </si>
  <si>
    <t xml:space="preserve"> o    Benefits:                                                                          
       Medical, dental, vision, PTO, bereavement, jury duty. Retention, referral, and first week completion gift card available 
o     Retention Bonus:
       $2,000 total maximum bonus payout:
       $250 after 3 weeks completed; $250 after 6 weeks completed; $250 after 
       12 weeks completed; $250 after 18 weeks completed; $250 after 6 months completed.
o	Referral Bonus:
        $2,000 total maximum bonus payout for current referring team member:
        $300 payout after 30 days completed; $500 payout after 90 days completed; $1,000 after 6 
         months completed.
o	First Week Completion Gift Card:                                                                                             
        Employee will receive a $100 gift card if they have completed all hours assigned after their 
        first week of employment.</t>
  </si>
  <si>
    <t>P-400-23088-886242</t>
  </si>
  <si>
    <t xml:space="preserve">Deductions required by law will be taken from each paycheck. All other deductions from the paycheck will be voluntary and will be at the worker's request. Employer will first obtain written permission for voluntary deductions. Voluntary deductions may include, but are not limited to, rent, cafeteria meals, uniforms, meat sales, and insurance. </t>
  </si>
  <si>
    <t>jmcconnell@butterball.com</t>
  </si>
  <si>
    <t>http://careers.butterball.com/</t>
  </si>
  <si>
    <t>H-400-23215-236056</t>
  </si>
  <si>
    <t>802 S Meridian Ave.</t>
  </si>
  <si>
    <t>P-400-23166-116528</t>
  </si>
  <si>
    <t>H-400-23215-234867</t>
  </si>
  <si>
    <t>P-400-23137-029746</t>
  </si>
  <si>
    <t>H-400-23184-162718</t>
  </si>
  <si>
    <t>Blossom Cleaning and Multi Services LLC</t>
  </si>
  <si>
    <t>MANAGER/OWNER</t>
  </si>
  <si>
    <t>BRAVOB17@HOTMAIL.COM</t>
  </si>
  <si>
    <t>second shift 12pm to 8pm</t>
  </si>
  <si>
    <t>150 LAISHLEY CT</t>
  </si>
  <si>
    <t>PUNTA GORDA</t>
  </si>
  <si>
    <t>Guaranteed 45 work days for each 12-week (60 days period of work</t>
  </si>
  <si>
    <t>P-400-23130-010562</t>
  </si>
  <si>
    <t xml:space="preserve">All employees are required to pay a housing deposit of $250 which will be deducted in $50.00 increments starting with the first paycheck until the deposit is paid in full. At the end of the season employer will reimburse deposit based on damage and repair cost to housing and furnishing. Assistance with shared lodging is available at $135/week if elected. Transportation to and from worksite provided at a cost of $32/week if elected. If elected, Lodging and Transportation costs will be deducted from paycheck.
</t>
  </si>
  <si>
    <t>bravob17@hotmail.com</t>
  </si>
  <si>
    <t>H-400-23215-234884</t>
  </si>
  <si>
    <t>Radler</t>
  </si>
  <si>
    <t>P-400-23137-029826</t>
  </si>
  <si>
    <t>H-400-23207-217167</t>
  </si>
  <si>
    <t>K &amp; D Round's Landscape Services, Inc.</t>
  </si>
  <si>
    <t>3478 Westminster Avenue</t>
  </si>
  <si>
    <t>Round, III</t>
  </si>
  <si>
    <t>aburleson@kdrounds.com</t>
  </si>
  <si>
    <t xml:space="preserve">Lift/carry up to 50 pounds.  Employer paid drug test is Random (post-employment), Post Accident, Upon Suspicion (Post Employment).  
</t>
  </si>
  <si>
    <t>P-400-23165-108806</t>
  </si>
  <si>
    <t xml:space="preserve">Shared housing available to only seasonal full-time employees, not offered to non-employees. Employees may make their own arrangements at their own expense. If they opt to live in employer provided housing rent (utilities included) charged at $85.00/week.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</si>
  <si>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information@kdrounds.com</t>
  </si>
  <si>
    <t>H-400-23222-255895</t>
  </si>
  <si>
    <t>Maids and housekeeping cleaners</t>
  </si>
  <si>
    <t>Megscontractingservices@yahoo.com</t>
  </si>
  <si>
    <t>4411 W Hwy 98</t>
  </si>
  <si>
    <t>OT paid when required</t>
  </si>
  <si>
    <t>P-400-23185-166132</t>
  </si>
  <si>
    <t>Housing provided by Bay Manpower and will be deducted out of pay</t>
  </si>
  <si>
    <t>H-400-23215-235187</t>
  </si>
  <si>
    <t>Landscape Pruners</t>
  </si>
  <si>
    <t>Ramonda Landscape Group, Inc.</t>
  </si>
  <si>
    <t>Envirogreen Tree and Shrub Care Services</t>
  </si>
  <si>
    <t>201 Kellings Farm Road</t>
  </si>
  <si>
    <t>Must be able to bend, stoop, climb ladders, lift 25 pounds.  
The days and hours of work will vary depending on the level of business and weather but will generally be 5 days per week from 8:00 am to 4:00 pm approximately 40 hours per week with some overtime.  Work locations will be at customer locations in the East Carondelet. Ill. area. The multiple worksites will be day labor at customer locations in the immediate vicinity of the employer's location. Ramonda Landscape is a local business, but one that performs its work at customer locations.</t>
  </si>
  <si>
    <t>339 Kellings Farm Rd</t>
  </si>
  <si>
    <t>P-400-23152-070996</t>
  </si>
  <si>
    <t xml:space="preserve">All deductions required by law. No other non-voluntary deductions will be taken.  
The employer has a limited amount of shared optional housing units available for rent by seasonal workers at a cost of $75 per week.  Use of employer housing is optional.  Employer does provide daily transportation to and from the local work locations during the term of employment.  </t>
  </si>
  <si>
    <t>rparlman@gmail.com</t>
  </si>
  <si>
    <t>H-400-23215-235281</t>
  </si>
  <si>
    <t>VH Hotel Management, Inc.</t>
  </si>
  <si>
    <t>301 Madison Avenue</t>
  </si>
  <si>
    <t>Mailing: 10370 Richmond Avenue Suite 150, Houston, TX 77042</t>
  </si>
  <si>
    <t>Kathie</t>
  </si>
  <si>
    <t>VP/CFO</t>
  </si>
  <si>
    <t xml:space="preserve">Must be available to work all shifts: 8am - 3:30 pm and/or 3pm to 10:30 pm.  Sat/Sun work req'd, when necessary.  Must lift/carry 50 lbs, when necessary. Employer may offer more than the stated work hours depending on weather, business needs, and other conditions. Extreme heat, cold, rain, or drought may affect exact working hours.
</t>
  </si>
  <si>
    <t>P-400-23125-995978</t>
  </si>
  <si>
    <t>info@dayswest.com</t>
  </si>
  <si>
    <t>https://usnlx.com/</t>
  </si>
  <si>
    <t>H-400-23200-201769</t>
  </si>
  <si>
    <t>Disinfection And High Touch</t>
  </si>
  <si>
    <t>Cape Cleaning Services</t>
  </si>
  <si>
    <t>92 Rosary Lane</t>
  </si>
  <si>
    <t>Unit 15</t>
  </si>
  <si>
    <t>capecleaning@gmail.com</t>
  </si>
  <si>
    <t>Tranining in Disinfecting</t>
  </si>
  <si>
    <t xml:space="preserve">92 Rosary Lane </t>
  </si>
  <si>
    <t>P-400-23122-983278</t>
  </si>
  <si>
    <t>ccapecleaning@gmail.com</t>
  </si>
  <si>
    <t>H-400-23184-162240</t>
  </si>
  <si>
    <t xml:space="preserve"> LANDSCAPING &amp; GROUNDSKEEPING WORKERS</t>
  </si>
  <si>
    <t>MORRIS NURSERY &amp; LANDSCAPES, INC</t>
  </si>
  <si>
    <t>2108 HOLLYWOOD DRIVE</t>
  </si>
  <si>
    <t>MARK@MORRISNURSERY.NET</t>
  </si>
  <si>
    <t xml:space="preserve">MUST BE ABLE TO LIFT 50LBS. MUST BE ABLE TO USE REPITITIVE MOVEMENTS, EXTENSIVE PUSHING/PULLING, EXTENSIVE WALKING AND FREQUENT STOOPING.
SCHEDULE VARIES, OVERTIME AVAILABLE AS NEEDED. </t>
  </si>
  <si>
    <t>P-400-23135-022608</t>
  </si>
  <si>
    <t>admin@morrisnursery.net</t>
  </si>
  <si>
    <t>H-400-23280-416960</t>
  </si>
  <si>
    <t>Thomas Carnival, Inc.</t>
  </si>
  <si>
    <t>4508 Cliffstone Cove</t>
  </si>
  <si>
    <t>(PO Box 92469, Austin TX 78709)</t>
  </si>
  <si>
    <t>Hanschen</t>
  </si>
  <si>
    <t>(Mail: PO Box 92469, Austin TX 78709)</t>
  </si>
  <si>
    <t>jwhanschen@gmail.com</t>
  </si>
  <si>
    <t>P-400-23182-161893</t>
  </si>
  <si>
    <t>H-400-23255-340291</t>
  </si>
  <si>
    <t>Bo-Mar Enterprises Inc.</t>
  </si>
  <si>
    <t>7250 W Main</t>
  </si>
  <si>
    <t>Gorham</t>
  </si>
  <si>
    <t>rgorham269@yahoo.com</t>
  </si>
  <si>
    <t>MAHONING VALLEY RACE COURSE</t>
  </si>
  <si>
    <t>635 N CANFIELD NILES ROAD</t>
  </si>
  <si>
    <t>YOUNGSTOWN</t>
  </si>
  <si>
    <t>P-400-23201-204955</t>
  </si>
  <si>
    <t>H-400-23262-360025</t>
  </si>
  <si>
    <t>Bieber Farms Crawfish, Inc.</t>
  </si>
  <si>
    <t>1628 Bieber Road</t>
  </si>
  <si>
    <t>Bieber</t>
  </si>
  <si>
    <t>Kody</t>
  </si>
  <si>
    <t>Rheinhard</t>
  </si>
  <si>
    <t>kody@bieberfarms.com</t>
  </si>
  <si>
    <t xml:space="preserve">Extensive sitting, repetitive movements. May be subject to random drug screen upon hire paid for by employer and/or a drug screen  paid for by employer if reasonable suspicions arise during employment. This is a drug free work area.
</t>
  </si>
  <si>
    <t xml:space="preserve">Employees may make above hourly rate based on piece rate ($2.25/lb), work performance and/or experience. </t>
  </si>
  <si>
    <t>P-400-23145-054465</t>
  </si>
  <si>
    <t xml:space="preserve">All deductions required by law; The deductions the employer intends to make from paycheck, which is not required by law, would be the deduction of $40.00 per week for the optional housing provided by the employer, if chosen by the employee. </t>
  </si>
  <si>
    <t>H-400-23184-164625</t>
  </si>
  <si>
    <t>Nursing Assistant - Night Shift</t>
  </si>
  <si>
    <t>Idaho Falls Community Hospital</t>
  </si>
  <si>
    <t>2327 Coronado Street</t>
  </si>
  <si>
    <t xml:space="preserve">Current Basic Life Support (BLS) certification.
Successful completion of a Certified Nursing Assistant (CNA) program within 6 months of hire.
</t>
  </si>
  <si>
    <t>P-400-23108-944466</t>
  </si>
  <si>
    <t>Deductions from Pay to ensure consistency with the revised job order</t>
  </si>
  <si>
    <t>https://www.idahofallscommunityhospital.com/employment-opportunities</t>
  </si>
  <si>
    <t>H-400-23215-236528</t>
  </si>
  <si>
    <t>12 months experience as a Server in a Hotel/Restaurant environment required. Must be able to bend, stoop, squat and stretch to fulfill tasks. Must be physically able to lift and carry heavy trays and equipment as well as delicate china and glassware.  Up to 50 lbs. Also, you must be physically able to walk without assistance on various surfaces for an extended period of time. This position requires manual dexterity, grasping, writing, standing, sitting, walking, repetitive motions, bending, and climbing. 
Pre-employment background check is required and must be able to work holidays and weekends as needed.</t>
  </si>
  <si>
    <t>See F.a.4. for additional wage information</t>
  </si>
  <si>
    <t>P-400-23151-065781</t>
  </si>
  <si>
    <t>Employer will make all deductions from worker's paycheck as required by law and deduct approved cost of optional housing if worker elects. Employer may deduct cost of replacement nametag at $10 if lost by employee at no fault of employer. Employer will provide option for shared housing, the cost of which will vary based on location and amenities - from $307 .SO/month to $500/month - plus a $100.00 nonrefundable administrative fee. Rent is broken down into two monthly installments, spread out and deducted from bi-weekly paychecks.</t>
  </si>
  <si>
    <t>H-400-23184-164145</t>
  </si>
  <si>
    <t>LANDSCAPING ANG GROUNDSKEEPING WORKERS</t>
  </si>
  <si>
    <t>PU'UKUMU MANAGEMENT LLC</t>
  </si>
  <si>
    <t>2950 KALIHIWAI ROAD</t>
  </si>
  <si>
    <t>KILAUEA</t>
  </si>
  <si>
    <t>HAVLICK</t>
  </si>
  <si>
    <t xml:space="preserve">KILAUEA </t>
  </si>
  <si>
    <t>trailrunner40@gmail.com</t>
  </si>
  <si>
    <t>1901 1ST AVE</t>
  </si>
  <si>
    <t>STE 108</t>
  </si>
  <si>
    <t>usimmigrationlawyer@icloud.com</t>
  </si>
  <si>
    <t>Law Office of Susan V. Perez</t>
  </si>
  <si>
    <t>SUPREME COURT OF CALIFORNIA</t>
  </si>
  <si>
    <t>P-400-23054-798242</t>
  </si>
  <si>
    <t>H-400-23199-196046</t>
  </si>
  <si>
    <t>Vice - President / Operations</t>
  </si>
  <si>
    <t>3136 N. Lear Ave</t>
  </si>
  <si>
    <t>P-400-23132-018584</t>
  </si>
  <si>
    <t>https://fraziershows.com/employment</t>
  </si>
  <si>
    <t>H-400-23215-235795</t>
  </si>
  <si>
    <t>J &amp; M Allen Properties I, LLC</t>
  </si>
  <si>
    <t>6090 Garden View Ct.</t>
  </si>
  <si>
    <t>8862 Harrison Ave.</t>
  </si>
  <si>
    <t>Some O.T. &amp; weekends may be available</t>
  </si>
  <si>
    <t>P-400-23136-027816</t>
  </si>
  <si>
    <t xml:space="preserve">Employer will make all deductions required by law from each paycheck as well as for optional employer provided housing at $100.00/mo per worker including utilities. 
Employer will advance against pay up to $75.00/day at the end of each work day for room and board at no interest for the first 2 weeks, if needed. 
</t>
  </si>
  <si>
    <t>mike@allenoutdoorservices.com</t>
  </si>
  <si>
    <t>H-400-23259-352755</t>
  </si>
  <si>
    <t>Oregon Forest Management Services, Inc.</t>
  </si>
  <si>
    <t>2115 Ranch Corral Dr</t>
  </si>
  <si>
    <t>Salgado</t>
  </si>
  <si>
    <t>Avel</t>
  </si>
  <si>
    <t>ofmssa@msn.com</t>
  </si>
  <si>
    <t xml:space="preserve">Employees must be available to work the entire season and at all job sites; employees are required to carry up to 50 lbs.; employees must show proof of legal authority to work in the U.S.
Drug/alcohol free work zone.  Pre-hire drug/alcohol testing will be conducted at the employers expense. </t>
  </si>
  <si>
    <t>Eugene, OR</t>
  </si>
  <si>
    <t>P-400-23170-123829</t>
  </si>
  <si>
    <t>All standard deductions from payroll will be made in accordance with State and Federal laws.</t>
  </si>
  <si>
    <t>H-400-23184-164834</t>
  </si>
  <si>
    <t xml:space="preserve">Personal Care Aide </t>
  </si>
  <si>
    <t>Martin Torres</t>
  </si>
  <si>
    <t>Home Away from Home Idaho State Certified Family Home, LLC</t>
  </si>
  <si>
    <t>802 Trestle Dr.</t>
  </si>
  <si>
    <t>Cottonwood</t>
  </si>
  <si>
    <t xml:space="preserve">802 Trestle Dr. </t>
  </si>
  <si>
    <t>ojosazules36@yahoo.com</t>
  </si>
  <si>
    <t>1202 W. Bitters Rd.</t>
  </si>
  <si>
    <t>Suite 1204-BC</t>
  </si>
  <si>
    <t xml:space="preserve">PLEASE NOTE, EMPLOYER HAS THREE DIFFERENT WORK SHIFT SCHEDULES:
SHIFT 1: SUNDAY, TUESDAY, THURSDAY, FRIDAY, SATURDAY; 6:00AM TQ 2:00PM. 
SHIFT 2: TUESDAY, THURSDAY, FRIDAY, SATURDAY, SUNDAY; 2:00PM- 10:00PM. 
SHIFT 3: SUNDAY, MONDAY, TUESDAY, WEDNESDAY, THURSDAY;  10:00PM TO 6:00AM.
</t>
  </si>
  <si>
    <t>P-400-23114-959073</t>
  </si>
  <si>
    <t>H-400-23184-164193</t>
  </si>
  <si>
    <t>Frio Express, Inc.</t>
  </si>
  <si>
    <t>12804 NE 111th Street</t>
  </si>
  <si>
    <t>Vancouver</t>
  </si>
  <si>
    <t>Arredondo Tejeda</t>
  </si>
  <si>
    <t>frioexpressinc@comcast.net</t>
  </si>
  <si>
    <t xml:space="preserve">Lake Oswego </t>
  </si>
  <si>
    <t xml:space="preserve">Must possess a valid Class A commercial driver's license.
Must possess a valid Class A CDL and Medical Card.  Must have ability to lift/push/pull 50 lbs. throughout the daily shift.  Demonstrated experience with Electronic Logging Device (ELD) system.  Clean motor vehicle record (proof of no moving violations in the last two (2) years). Must pass a pre-employment DOT requirements.  Must have demonstrated knowledge of the rules associated with the interstate DOT travel, both state and federal. Must pass a pre-employment drug and alcohol test and be not prohibited by FMCSA clearing house.
</t>
  </si>
  <si>
    <t>P-400-23101-923755</t>
  </si>
  <si>
    <t>H-400-23233-280403</t>
  </si>
  <si>
    <t>Drywall Finisher</t>
  </si>
  <si>
    <t>Ramm Drywall Inc</t>
  </si>
  <si>
    <t>storm@rammdrywall.com</t>
  </si>
  <si>
    <t>Experience working as a finisher</t>
  </si>
  <si>
    <t>P-400-23188-175125</t>
  </si>
  <si>
    <t>Lodging
provides optional housing to its workers and that it would cost approximately $500 a month</t>
  </si>
  <si>
    <t>H-400-23194-188419</t>
  </si>
  <si>
    <t>1235 FM 3198</t>
  </si>
  <si>
    <t>Bullard</t>
  </si>
  <si>
    <t xml:space="preserve"> Piece rate may apply: worker will never make less than Prevailing Wage or Federal/State/Local minimum wage. </t>
  </si>
  <si>
    <t>P-400-23156-080397</t>
  </si>
  <si>
    <t>H-400-23271-392325</t>
  </si>
  <si>
    <t xml:space="preserve">The Petitioner will consider for employment any person who possesses at least three (3) months of experience at a high-end restaurant, resort, or private club.  
Applicant must complete pre-employment background check.  
</t>
  </si>
  <si>
    <t>Wage: $15.00 - $18.00 per hour, paid bi-weekly.  Overtime is available at $22.50 - $27.00 per hour.</t>
  </si>
  <si>
    <t>P-400-23216-240735</t>
  </si>
  <si>
    <t>H-400-23292-444239</t>
  </si>
  <si>
    <t>145 Jetport Blvd</t>
  </si>
  <si>
    <t>P-400-23262-357257</t>
  </si>
  <si>
    <t>H-400-23215-236839</t>
  </si>
  <si>
    <t xml:space="preserve">The Petitioner will consider for employment any person who possesses at least six (6) months of guest service experience at a high-end hotel, resort, or private club. Applicant must complete pre-employment background check and drug screening.  
</t>
  </si>
  <si>
    <t>Wage: $17.50 - $18.50 per hour, paid bi-weekly. See job description for additional detail.</t>
  </si>
  <si>
    <t>P-400-23167-120530</t>
  </si>
  <si>
    <t>H-400-23215-237712</t>
  </si>
  <si>
    <t>Brummett Concrete</t>
  </si>
  <si>
    <t>9453 FM 512</t>
  </si>
  <si>
    <t>Wolfe City</t>
  </si>
  <si>
    <t>Brummett</t>
  </si>
  <si>
    <t>Mailing: PO Box 174, Wolfe City, TX 75496</t>
  </si>
  <si>
    <t>daughertytaxservice@yahoo.com</t>
  </si>
  <si>
    <t>P-400-23132-018286</t>
  </si>
  <si>
    <t>H-400-23268-379086</t>
  </si>
  <si>
    <t>Sushi Chef</t>
  </si>
  <si>
    <t>BIG FISH INC</t>
  </si>
  <si>
    <t>SEN RESTAURANT</t>
  </si>
  <si>
    <t xml:space="preserve">BOX 2662  </t>
  </si>
  <si>
    <t>SAG HARBOR</t>
  </si>
  <si>
    <t>MATSUOKA</t>
  </si>
  <si>
    <t>BOX 2662</t>
  </si>
  <si>
    <t>JESSICA@SENRESTAURANT.COM</t>
  </si>
  <si>
    <t xml:space="preserve">We will provide all necessary training.
</t>
  </si>
  <si>
    <t>23 Main St</t>
  </si>
  <si>
    <t>Sag Harbor</t>
  </si>
  <si>
    <t>gratuities</t>
  </si>
  <si>
    <t>P-400-23233-281957</t>
  </si>
  <si>
    <t>There are no deductions from paychecks for this position.</t>
  </si>
  <si>
    <t>info@senrestaurant.com</t>
  </si>
  <si>
    <t>H-400-23251-333173</t>
  </si>
  <si>
    <t>Big Top Concessions LLC</t>
  </si>
  <si>
    <t>175 S. Sandusky Ave.</t>
  </si>
  <si>
    <t>Delaware</t>
  </si>
  <si>
    <t>175 S Sandusky Ave.</t>
  </si>
  <si>
    <t>[Winter Address: 25542 Madison Street Astatula, FL 34705]</t>
  </si>
  <si>
    <t>bigtopconcessionsllc@gmail.com</t>
  </si>
  <si>
    <t>P-400-23216-239228</t>
  </si>
  <si>
    <t>H-400-23187-171229</t>
  </si>
  <si>
    <t>Childcare Providers</t>
  </si>
  <si>
    <t>Jaymes Academy LLC</t>
  </si>
  <si>
    <t>804 N. Thompson Lane Suite 1E</t>
  </si>
  <si>
    <t>Murfreesboro</t>
  </si>
  <si>
    <t>Phay</t>
  </si>
  <si>
    <t>Hufman1130@maslabor.com</t>
  </si>
  <si>
    <t xml:space="preserve">Must lift/carry 40 lbs., when necessary. Post-hire drug testing required of foreign and domestic workers upon suspicion of use. Post-hire background check required of foreign and domestic workers. Ability to speak basic English not necessary, but preferred. Must be able to complete child abuse training as part of onboarding process. Must be able to provide transcripts from highest level of education completed.
</t>
  </si>
  <si>
    <t>13189 Old Nashville Hwy</t>
  </si>
  <si>
    <t>P-400-23150-061872</t>
  </si>
  <si>
    <t>aphay@jaymesacademy.com</t>
  </si>
  <si>
    <t>H-400-23276-406483</t>
  </si>
  <si>
    <t>North American Midway Entertainment-All-Star Amusement, LLC</t>
  </si>
  <si>
    <t>2500 West Higgins Rd, Suite 205</t>
  </si>
  <si>
    <t>P-400-23182-161878</t>
  </si>
  <si>
    <t>H-400-23241-304888</t>
  </si>
  <si>
    <t>103 S 200 E Cedar Valley</t>
  </si>
  <si>
    <t>H-400-23215-235701</t>
  </si>
  <si>
    <t>COOKS, RESTAURANT</t>
  </si>
  <si>
    <t>HSI ENTERPRISES, INC.</t>
  </si>
  <si>
    <t>TAVERNA YAMAS/YAMAS HOOKAH/JACKSONVILLE BEER GARDEN</t>
  </si>
  <si>
    <t>9753 DEER LAKE COURT</t>
  </si>
  <si>
    <t>GUNGOR</t>
  </si>
  <si>
    <t>IBRAHIM</t>
  </si>
  <si>
    <t xml:space="preserve">DIRECTOR OF OPERATIONS </t>
  </si>
  <si>
    <t>GUNGOR1228@GMAIL.COM</t>
  </si>
  <si>
    <t xml:space="preserve">86 WILLOW STREET </t>
  </si>
  <si>
    <t>staff@antiochassociates.com</t>
  </si>
  <si>
    <t>P-400-23129-006732</t>
  </si>
  <si>
    <t xml:space="preserve">Optional lodging may be available through employer.  If housing is provided by employer, employee cost for housing is $112.50 per week and is paid directly to employer from employee bi-weekly.  </t>
  </si>
  <si>
    <t>H-400-23259-352666</t>
  </si>
  <si>
    <t>Trapper Corporation</t>
  </si>
  <si>
    <t>DBA The Lexington at Jackson Hole Hotel &amp; Suites</t>
  </si>
  <si>
    <t>285 N. Cache Street</t>
  </si>
  <si>
    <t>Mailing: P.O. Box 1712, Jackson, WY 83001-1712</t>
  </si>
  <si>
    <t>Chernosky</t>
  </si>
  <si>
    <t>Adena</t>
  </si>
  <si>
    <t xml:space="preserve">Saturday and Sunday work required, when necessary.  Must lift/carry  50 lbs., when necessary. Piece rate paid at $7.50/room or prevailing wage, whichever is higher. Employer may offer more than the stated work hours depending on weather, business needs, and other conditions. Extreme heat, cold, rain, or drought may affect exact working hours.
</t>
  </si>
  <si>
    <t>285 N Cache Street</t>
  </si>
  <si>
    <t>$7.50/ per room or prevailing wage, whichever is higher.</t>
  </si>
  <si>
    <t>P-400-23186-166394</t>
  </si>
  <si>
    <t xml:space="preserve">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will deduct for reasonable cost of negligent damage to lodging facilities. Employer may deduct retirement plan contributions for workers voluntarily participating in plan. No daily transportation to/from work provided. Raises and/or bonuses may be offered at employer's discretion, based on individual factors such as performance, skill, and tenure. </t>
  </si>
  <si>
    <t>operations@lexjh.com</t>
  </si>
  <si>
    <t>H-400-23229-273358</t>
  </si>
  <si>
    <t>Advanced Houseperson</t>
  </si>
  <si>
    <t xml:space="preserve">Must have a minimum of one year of janitorial or houseperson experience. Must be able to lift 50 lbs. Must be able to stand for long periods of time in excess of 2 hours without sitting.
</t>
  </si>
  <si>
    <t xml:space="preserve">22101 US Highway 6 </t>
  </si>
  <si>
    <t>P-400-23113-957856</t>
  </si>
  <si>
    <t>OPTIONAL SUBSIDIZED EMPLOYEE HOUSING IS AVAILABLE BUT LIMITED. BIWEEKLY COST IS $135.00 TO $440.00 DEPENDING ON UNIT TYPE (I.E. NUMBER OF BEDS IN UNIT AND NUMBER OF PEOPLE LIVING IN UNIT). EMPLOYEE IS RESPONSIBLE FOR PAYING HOUSING COST BIWEEKLY. A LICENSE DEPOSIT OF $250 IS DUE PRIOR TO CHECK-IN. WITH EMPLOYEE'S VOLUNTARY CONSENT, HOUSING COST WILL BE DEDUCTED FROM PAYCHECK.</t>
  </si>
  <si>
    <t>H-400-23235-289047</t>
  </si>
  <si>
    <t xml:space="preserve">The Founders Golf Club, Inc. </t>
  </si>
  <si>
    <t>3800 Golf Hall Drive</t>
  </si>
  <si>
    <t xml:space="preserve">Sarasota </t>
  </si>
  <si>
    <t>Valin</t>
  </si>
  <si>
    <t>Juliette</t>
  </si>
  <si>
    <t>jvalin@thefoundersgolfclub.com</t>
  </si>
  <si>
    <t xml:space="preserve">The Petitioner will consider for employment any person who possesses at least three (3) months of experience in a fine-dining or high-volume environment at a high-end restaurant, resort, or private club required. Applicant must complete pre-employment urine drug test at a local laboratory. 
</t>
  </si>
  <si>
    <t>Wage: $20.00 - $22.00 per hour, paid bi-weekly. Please see job description for additional details.</t>
  </si>
  <si>
    <t>P-400-23167-118351</t>
  </si>
  <si>
    <t xml:space="preserve">Housing is offered on a first come, first serve basis and optional for workers who are relocating to begin employment. Cost of housing, if accepted, is $200 bi-weekly.  If used, total cost of housing will be deducted from paycheck.  </t>
  </si>
  <si>
    <t>H-400-23212-226706</t>
  </si>
  <si>
    <t>Heating, Air Conditioning, Refrigeration Mechanic/Installer</t>
  </si>
  <si>
    <t>KB LINK INC</t>
  </si>
  <si>
    <t>450 OLD PEACHTREE RD NW STE 102</t>
  </si>
  <si>
    <t>KANG</t>
  </si>
  <si>
    <t>DUCK WON</t>
  </si>
  <si>
    <t>INFO@YCGLOBAL.COM</t>
  </si>
  <si>
    <t xml:space="preserve">HVAC Experience
Considerable knowledge of the installation and repair of a wide variety of HVAC and control systems
 Advanced troubleshooting and repair skills with chillers (centrifugal, screw and reciprocating), boilers and all types of control systems
 Ability to analyze entire building needs i.e. (heat loss, heat loads, and solar gains) and existing HVAC conditions to identify systemic or engineering issues
 Demonstrated ability to comprehend building plans, wiring, diagrams and schematics
 Ability to prioritize work schedules, identify and correct problems and communicate effectively with staff
 Experience in the installation and termination of CAT 5 enhanced data cabling following TIA/EIA 568B standards and be able to troubleshoot network conductivity with HVAC networkable controls
 Considerable knowledge of tools and techniques used in maintenance and repair of large buildings.
 Ability to read and interpret building drawings and specifications
 Technical communication skills to relay information to Facilities Engineers, suppliers, and teams across the Company to ensure expectations are met/exceeded
 Experience in a clean-room or dry-room production environment working with automated equipment
 Computer proficient, a troubleshooter, problem solver, and critical thinker skills
 Comprehensive understanding of production and processing equipment
</t>
  </si>
  <si>
    <t xml:space="preserve">U.S. 411 </t>
  </si>
  <si>
    <t>CARTERSVILLE</t>
  </si>
  <si>
    <t>P-400-23174-139951</t>
  </si>
  <si>
    <t xml:space="preserve">“Workers will be provided with board, lodging, or other facilities and/or the employer will assist workers in securing board, lodging, or other facilities”. Optional </t>
  </si>
  <si>
    <t>info@ycglobal.com</t>
  </si>
  <si>
    <t>https://employgeorgia.com</t>
  </si>
  <si>
    <t>H-400-23215-236784</t>
  </si>
  <si>
    <t>Seafood Cutter and Trimmer</t>
  </si>
  <si>
    <t>Crawfish Palace, Inc.</t>
  </si>
  <si>
    <t>1865 Highway 80</t>
  </si>
  <si>
    <t>Haughton</t>
  </si>
  <si>
    <t>Somsri</t>
  </si>
  <si>
    <t>Sitkrongwong</t>
  </si>
  <si>
    <t>somsri_22050@hotmail.com</t>
  </si>
  <si>
    <t>Alonzo</t>
  </si>
  <si>
    <t>17330 Preston Rd</t>
  </si>
  <si>
    <t>Ste 200D</t>
  </si>
  <si>
    <t>malonzo@alma-law.com</t>
  </si>
  <si>
    <t>ALMA Law, PLLC</t>
  </si>
  <si>
    <t>P-400-23165-109083</t>
  </si>
  <si>
    <t>State and federal deductions as required by law.</t>
  </si>
  <si>
    <t>H-400-23229-273455</t>
  </si>
  <si>
    <t>Service Attendants</t>
  </si>
  <si>
    <t>P-400-23157-082499</t>
  </si>
  <si>
    <t>H-400-23215-234904</t>
  </si>
  <si>
    <t>Sandcastle Resort</t>
  </si>
  <si>
    <t>P-400-23143-045029</t>
  </si>
  <si>
    <t>H-400-23271-392501</t>
  </si>
  <si>
    <t>Labor/Mover/Packer</t>
  </si>
  <si>
    <t>The Moving Guys LLC</t>
  </si>
  <si>
    <t>1741 Deadwood Ave</t>
  </si>
  <si>
    <t>Moyers</t>
  </si>
  <si>
    <t>lynn@themovingguysllc.com</t>
  </si>
  <si>
    <t>Show up on time. Have to wear work uniform.</t>
  </si>
  <si>
    <t>P-400-23232-279508</t>
  </si>
  <si>
    <t>H-400-23229-272664</t>
  </si>
  <si>
    <t xml:space="preserve">The Petitioner will consider for employment any person who possesses at least six (6) months of culinary experience in a fine-dining or high-volume environment at a high-end restaurant,
resort, or private club.
</t>
  </si>
  <si>
    <t>Wage: $15.48 - $23.00 per hour, paid bi-weekly.  See job description.</t>
  </si>
  <si>
    <t>P-400-23139-037571</t>
  </si>
  <si>
    <t>H-400-23187-169046</t>
  </si>
  <si>
    <t>Altendorf Trucking, Inc</t>
  </si>
  <si>
    <t xml:space="preserve">105 7th Street </t>
  </si>
  <si>
    <t>Minto</t>
  </si>
  <si>
    <t>Altendorf</t>
  </si>
  <si>
    <t>F</t>
  </si>
  <si>
    <t>105 7th Street</t>
  </si>
  <si>
    <t xml:space="preserve">Minto </t>
  </si>
  <si>
    <t>altendorftruckingh2b@gmail.com</t>
  </si>
  <si>
    <t>Jeelani</t>
  </si>
  <si>
    <t>Hashim</t>
  </si>
  <si>
    <t xml:space="preserve">3501 W Algonquin Rd </t>
  </si>
  <si>
    <t>Rolling Meadows</t>
  </si>
  <si>
    <t>info@jeelani-law.com</t>
  </si>
  <si>
    <t xml:space="preserve">Jeelani Law Firm PLC </t>
  </si>
  <si>
    <t>SUPREME COURT OF MICHIGAN</t>
  </si>
  <si>
    <t xml:space="preserve">The beneficiary is obliged to obtain a CDL license within 60 days upon his/her arrival.
</t>
  </si>
  <si>
    <t xml:space="preserve">105 7 TH Street </t>
  </si>
  <si>
    <t>P-400-23142-043433</t>
  </si>
  <si>
    <t xml:space="preserve">EMPLOYER WILL MADE STANDARD DEDUCTIONS IN COMPLIANCE WITH ALL APPLICABLE FEDERAL, STATE AND LOCAL LAWS AND REGULATIONS. HOUSING IS OPTIONAL
AND THE COST OF HOUSING WITH ANY DEDUCTIONS WILL BE CONSISTENT WITH THE 9142B (SPECIFIC HOUSING COSTS ARE UNKNOWN BUT LODGING WILL NOT
EXCEED REASONABLE FAIR MARKET VALUE COST BASED ON THE NUMBER OF OCCUPANTS).
</t>
  </si>
  <si>
    <t>jan.altendorf@gmail.com</t>
  </si>
  <si>
    <t>H-400-23264-365278</t>
  </si>
  <si>
    <t>Ted Hosmer Enterprises Inc.</t>
  </si>
  <si>
    <t>1231 Lehigh Station Road</t>
  </si>
  <si>
    <t>Henrietta</t>
  </si>
  <si>
    <t>Hosmer</t>
  </si>
  <si>
    <t>1231 Lehigh Station Rd.</t>
  </si>
  <si>
    <t>enterpriseshosmerinc@gmail.com</t>
  </si>
  <si>
    <t>Gael</t>
  </si>
  <si>
    <t>1443 E JEFFERSON ST</t>
  </si>
  <si>
    <t>wwprocurement@consultant.com</t>
  </si>
  <si>
    <t>Worldwide Workforce Procurement</t>
  </si>
  <si>
    <t>P-400-23183-162019</t>
  </si>
  <si>
    <t>www.tedhosmer.com</t>
  </si>
  <si>
    <t>H-400-23243-313854</t>
  </si>
  <si>
    <t>McLean Robertson Racing</t>
  </si>
  <si>
    <t>2311 S 165 Street</t>
  </si>
  <si>
    <t>Robertson</t>
  </si>
  <si>
    <t>McLean</t>
  </si>
  <si>
    <t>macshorses@icloud.com</t>
  </si>
  <si>
    <t>P-400-23128-003237</t>
  </si>
  <si>
    <t>H-400-23184-162485</t>
  </si>
  <si>
    <t>Mountain Valley Stone, Inc.</t>
  </si>
  <si>
    <t>Repeated heavy lifting is required. Applicants must be of physical character able to display strength and dexterity in both arms and hands, exhibit trunk strength using abdominal and lower back muscles continually over time, as well as be able to spend the majority of the work day standing without giving out. All work is performed outside in varying mountainous weather conditions at various elevations. Position requires the ability to understand and follow verbal and written directions with exactness and integrity. No experience or prior training/education required. Applicants will be trained in proper wearing and use of safety guidelines, tools, and equipment including hand tools, strapping tensioners, and strapping sealers, forklifts, hearing protection, safety glasses, steel-toed boots, and gloves, and will be required to comply with exactness.</t>
  </si>
  <si>
    <t>6702 Browns Canyon Rd</t>
  </si>
  <si>
    <t>Workers may be eligible to receive a higher wage dependent on amount of finished product produced each week.</t>
  </si>
  <si>
    <t>P-400-23123-987511</t>
  </si>
  <si>
    <t>Deductions from pay will be limited to required federal and state taxes, as well as any voluntarily elected employee benefits.</t>
  </si>
  <si>
    <t>H-400-23200-198863</t>
  </si>
  <si>
    <t>Helpers Roofers</t>
  </si>
  <si>
    <t xml:space="preserve">Sure Steel, Inc. </t>
  </si>
  <si>
    <t>South Weber</t>
  </si>
  <si>
    <t xml:space="preserve">Senior Vice President </t>
  </si>
  <si>
    <t xml:space="preserve">Must be able to lift and carry 50lbs for 25yds repeatedly throughout the day. </t>
  </si>
  <si>
    <t>Wage rate may vary based on merit/experience. Up to 20 hours of overtime may be offered but are not guaranteed.</t>
  </si>
  <si>
    <t>P-400-23159-090614</t>
  </si>
  <si>
    <t>All deductions will be made as required by law. The employer will provide housing as an option to employees living outside the regular commuting distance. Employees who elect to live in the housing will have an additional $100 deducted per Weekly paycheck for rent and utilities. Optional daily transportation will be provided from and to worksite and the employer will deduct $50/Week.</t>
  </si>
  <si>
    <t>3395 Oxfordshire Drive</t>
  </si>
  <si>
    <t>BLUFFDALE</t>
  </si>
  <si>
    <t>H-400-23299-458687</t>
  </si>
  <si>
    <t xml:space="preserve">THREE MONTHS EXPERIENCE AS HELPER OF POOL LABORER IN RESIDENTIAL CONSTRUCTION SETTING. MUST BEND, LIFT AND SUSTAIN UP TO 50 LBS, WORK UNDER EXTREME WEATHER CONDITIONS. NO TRAVEL REQUIRED OUTSIDE METROPOLITAN AREA, NO EDUCATION REQUIRED, ON-THE-JOB TRAINING AVAILABLE. POST-HIRE DRUG TEST REQUIRED PAID BY EMPLOYER, ALL US AND GUEST WORKERS WILL BE SCREENED EQUALLY.
The Arizona State Workforce Agency website doesnt have the option for None in the education required field. The job offer for Helper of Pool laborer doesnt require education, for this reason ETA Form 9142 states such language.
</t>
  </si>
  <si>
    <t>7301 NORTH SUNNY RIDGE PLACE</t>
  </si>
  <si>
    <t>TUCSON</t>
  </si>
  <si>
    <t>If overtime is needed it will be paid at 23.99</t>
  </si>
  <si>
    <t>P-400-23227-265862</t>
  </si>
  <si>
    <t>Deductions by the law.
Shared group rental housing of $70 to $75 per week depending on housing location, and a refundable security deposit of $75; $30 per week company-provided transportation to and from housing if worker wants company housing and/or transport and it is available. Housing, if provided, will be in the Tucson Metropolitan area. No mass transit to work site.</t>
  </si>
  <si>
    <t>H-400-23252-333523</t>
  </si>
  <si>
    <t>ASSEMBLERS AND EQUIPMENT OPERATORS</t>
  </si>
  <si>
    <t>TAFCO</t>
  </si>
  <si>
    <t>1395 INDUSTRIAL PARK ROAD</t>
  </si>
  <si>
    <t>VILLANUEVA</t>
  </si>
  <si>
    <t>SPECIAL PROJECTS CONSULTOR</t>
  </si>
  <si>
    <t>NINFAS 1422</t>
  </si>
  <si>
    <t>NUEVA LINDA VISTA</t>
  </si>
  <si>
    <t>MEXICO</t>
  </si>
  <si>
    <t>NUEVO LEON</t>
  </si>
  <si>
    <t>rhrdol.tafco@gmail.com</t>
  </si>
  <si>
    <t>NINGUNA</t>
  </si>
  <si>
    <t>P-400-23154-076181</t>
  </si>
  <si>
    <t>H-400-23321-508564</t>
  </si>
  <si>
    <t>K &amp; D Rounds Landscape Services, Inc.</t>
  </si>
  <si>
    <t xml:space="preserve">Lift/carry up to 50 pounds.  Work extended daily hours and weekends when necessary.  Employer paid drug test is Pre-Employment, Random (post-employment), Post Accident, Upon Suspicion (Post Employment).
</t>
  </si>
  <si>
    <t xml:space="preserve">Shared housing available to only seasonal full-time employees, not offered to non-employees. Employees may make their own arrangements at their own expense. If they opt to live in employer provided housing rent (utilities included) charged at $85.00/week. 
The employer will make the following deductions from the worker's wages: all deductions required by law, rent (where applicable), cash advances and repayment of loans, repayment of overpayment of wages to the worker,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and any other reasonable deductions expressly authorized by the worker in writing. No deduction not required by law will be made that brings the workers hourly earnings below the FLSA Federal statutory minimum wage. 
</t>
  </si>
  <si>
    <t>info@kdrounds.com</t>
  </si>
  <si>
    <t>H-400-23289-432883</t>
  </si>
  <si>
    <t xml:space="preserve">Hours, schedule, and days vary widely.  
Typically Wed-Sun, 4pm  11pm.  
Often 35-45 hours per week, may go up to 45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days/wk. Subject to discharge for cause.  
</t>
  </si>
  <si>
    <t>4951 River Road</t>
  </si>
  <si>
    <t>Marrero</t>
  </si>
  <si>
    <t>P-400-23192-180341</t>
  </si>
  <si>
    <t xml:space="preserve">Optional mobile housing ($125/week) is provided.  The employer will pay the cost of housing to the extent such costs would reduce the pay below the offered wage rate for the areas of intended employment but is otherwise available for wage credit and/or deduction, or any lesser amount to the maximum extent not prohibited by law.  Local convenience travel ($25/week) is available for wage credit and/or deduction, or any lesser amount to the maximum extent not prohibited by law.  Wages calculated by single workweek, paid bi-weekly. Employer will make all deductions from the worker's paycheck as required by law. </t>
  </si>
  <si>
    <t>http://goldstaramusements.com</t>
  </si>
  <si>
    <t>H-400-23318-499983</t>
  </si>
  <si>
    <t>P-400-23226-262644</t>
  </si>
  <si>
    <t>https://illinoisjoblink.illinois.gov</t>
  </si>
  <si>
    <t>H-400-23311-482760</t>
  </si>
  <si>
    <t>Triple J Concessions-Jim Heron</t>
  </si>
  <si>
    <t>Triple J Concessions</t>
  </si>
  <si>
    <t>2082 Wallingford Circle</t>
  </si>
  <si>
    <t>Heron</t>
  </si>
  <si>
    <t>jimheron07@gmail.com</t>
  </si>
  <si>
    <t>P-400-23200-200185</t>
  </si>
  <si>
    <t>H-400-23307-478233</t>
  </si>
  <si>
    <t xml:space="preserve">No minimum education or experience required. 
Must pass a pre-employment criminal background check, paid by employer and applied equally to all workers, U.S. and foreign/H-2B.
Must be able to work weekends and holidays. 
Applicants must complete an employment application. 
Must be able to work in a non-climate-controlled environment.
Must be able to work in severe inclement weather and varying degrees of extreme temperature.
Must be able to be exposed to various industrial chemicals, cleaning agents, etc.
Must be able to be exposed to strong odors, and loud noise levels.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$59.00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</si>
  <si>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P-400-23191-176907</t>
  </si>
  <si>
    <t xml:space="preserve">A single workweek will be used in computing wages due. Workers will be paid weekly.
Employer will make all deductions from the worker's paycheck required by law. Optional employee only shared housing available onsite, including utilities, at approximately $110 per week. Housing cost payroll deducted if worker elects.
Public transportation is located in front of worksite. Employee is responsible for their own transportation to and from the worksite. </t>
  </si>
  <si>
    <t>H-400-23307-476162</t>
  </si>
  <si>
    <t>BCA Landscape Management, Inc.</t>
  </si>
  <si>
    <t>DBA U.S. Lawns</t>
  </si>
  <si>
    <t>104 Seth Thomas Lane</t>
  </si>
  <si>
    <t>Mailing: 117 Harbour Drive , Hubert, NC 28539</t>
  </si>
  <si>
    <t>Swansboro</t>
  </si>
  <si>
    <t>Atwell</t>
  </si>
  <si>
    <t xml:space="preserve">Requires three months of previous landscape experience. Must lift/carry 50 lbs., when necessary. Standard workweek is 4 days per week, Monday - Thursday. Friday and Saturday work required, when necessary. Employer-paid post-hire post-accident drug testing required of foreign and domestic workers. Employer may offer more than the stated work hours depending on weather, business needs, and other conditions. Extreme heat, cold, rain, or drought may affect exact working hours.
</t>
  </si>
  <si>
    <t>104 Seth Thomas Ln,</t>
  </si>
  <si>
    <t>P-400-23199-197463</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</si>
  <si>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offers free daily transportation to/from worksite from designated pick-up location. Use of transportation is voluntary. Uniform provided at no cost. Employer may deduct cost for lost/damaged uniforms resulting from worker negligence, or voluntary purchase of additional uniforms for worker's benefit. Employer provides incidental transportation between worksites as necessary.</t>
  </si>
  <si>
    <t>office@uslawnsnc.com</t>
  </si>
  <si>
    <t>H-400-23276-406065</t>
  </si>
  <si>
    <t xml:space="preserve">Work on weekend may be required. </t>
  </si>
  <si>
    <t>P-400-23226-260544</t>
  </si>
  <si>
    <t>The employer will make all deductions from the employee's paycheck required by law.  Optional dormitory-style shared lodging is available for workers for which there is no cost or paycheck deduction to the workers.  Food will be provided.</t>
  </si>
  <si>
    <t xml:space="preserve">Nelson </t>
  </si>
  <si>
    <t>H-400-23307-478257</t>
  </si>
  <si>
    <t>Total Environment Inc.</t>
  </si>
  <si>
    <t>16301 N. Rockwell Ave.</t>
  </si>
  <si>
    <t>HR@totalinc.com</t>
  </si>
  <si>
    <t xml:space="preserve">Post-employment background check, pre-employment and post-injury or incident drug test required, cost paid by employer and applied equally to all workers, U.S. and foreign/H-2B. Workers who drive company vehicles must have/obtain a valid drivers license. Must be able to work a 6-day schedule, may include weekends and holidays as required. Applicants must complete an employment application.   
</t>
  </si>
  <si>
    <t>16301 N. Rockwell Ave</t>
  </si>
  <si>
    <t>Employer may increase wage based on experience, change in market conditions and/or provide additional pay for performanc</t>
  </si>
  <si>
    <t>P-400-23180-154719</t>
  </si>
  <si>
    <t xml:space="preserve">Employer will make all deductions from the worker's paycheck required by law. Optional employee only shared housing available, approximate cost $80 per week, utilities included. $300 deposit which can be payroll deducted if worker elects and would be deducted from employee in two draws.  Housing cost payroll deducted if worker elects. Optional Medical/Dental/Vision $5.34 to $95.33 per pay period depending on employee election. Employer will assist with finding transportation options from Employer shared housing to the main worksite. Employee may be eligible for short term payroll advance with company approval and may be repaid through payroll deduction if worker elects at the rate of approximately $50 per pay period. </t>
  </si>
  <si>
    <t xml:space="preserve">2817 JOHN BEN SHEPPERD PKWY </t>
  </si>
  <si>
    <t>SUITE 101C</t>
  </si>
  <si>
    <t>GONZALES</t>
  </si>
  <si>
    <t>JULIO</t>
  </si>
  <si>
    <t>2817 JOHN BEN SHEPPERD PKWY</t>
  </si>
  <si>
    <t>goncologisticsllc@outlook.com</t>
  </si>
  <si>
    <t>2425 FOUNTAIN VIEW DR</t>
  </si>
  <si>
    <t>H-400-23307-475837</t>
  </si>
  <si>
    <t>5709 Gardendale, Suite A</t>
  </si>
  <si>
    <t>5709 Gardendale, Suite A (Report to Work)</t>
  </si>
  <si>
    <t>P-400-23195-188615</t>
  </si>
  <si>
    <t>Optional, shared housing available to the worker at a monthly housing rate up to $390.96; if optional housing is agreed upon by the worker, monthly housing rate will be deducted from worker's paycheck incrementally (bi-weekly).</t>
  </si>
  <si>
    <t>H-400-23280-416985</t>
  </si>
  <si>
    <t>P-400-23242-307175</t>
  </si>
  <si>
    <t>H-400-23307-475871</t>
  </si>
  <si>
    <t>Spectrum Lawn &amp; Tree Care, Inc.</t>
  </si>
  <si>
    <t>361 North Drive</t>
  </si>
  <si>
    <t>Hord</t>
  </si>
  <si>
    <t>courtney@spectrumlawncare.com</t>
  </si>
  <si>
    <t>361 North Drive (Report to Work)</t>
  </si>
  <si>
    <t>P-400-23192-179109</t>
  </si>
  <si>
    <t>H-400-23311-485084</t>
  </si>
  <si>
    <t xml:space="preserve">$500 Room and board fees monthly 
Any phone bills that may incur </t>
  </si>
  <si>
    <t>https://cattlemanguns.com/</t>
  </si>
  <si>
    <t>H-400-23276-407455</t>
  </si>
  <si>
    <t>GREEN LEAF INNOVATIONS INC</t>
  </si>
  <si>
    <t>412 WOODBURN ROAD</t>
  </si>
  <si>
    <t>SUITE# 02</t>
  </si>
  <si>
    <t>CURRIN</t>
  </si>
  <si>
    <t>BENJAMIN</t>
  </si>
  <si>
    <t>CLOPEZ@GREENSCAPEINC.COM</t>
  </si>
  <si>
    <t>P-400-23231-279264</t>
  </si>
  <si>
    <t>Employer will use a single workweek for computing wages due. Pay will be weekly. Assistance finding and securing lodging is available, if needed, at no additional charge to the worker. Employer will make all deductions required by law from each paycheck.</t>
  </si>
  <si>
    <t>dcurrin@greenscapeinc.com</t>
  </si>
  <si>
    <t>H-400-23317-497652</t>
  </si>
  <si>
    <t xml:space="preserve">No minimum education or experience required. 
Must be able to work a minimum 5-day workweek.
Must be able to work weekends and holidays.
Must be able to lift 25 lbs.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</si>
  <si>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P-400-23173-135170</t>
  </si>
  <si>
    <t>H-400-23307-475907</t>
  </si>
  <si>
    <t>Groundskeeper/Landscaper</t>
  </si>
  <si>
    <t>Money Hill Plantation LLC</t>
  </si>
  <si>
    <t>Money Hill Golf &amp; Country Club</t>
  </si>
  <si>
    <t>100 Country Club Drive</t>
  </si>
  <si>
    <t>Klemp</t>
  </si>
  <si>
    <t>Greg@moneyhill.com</t>
  </si>
  <si>
    <t>P-400-23226-263274</t>
  </si>
  <si>
    <t>Employer will make all deductions from the worker's paycheck required by law.  Option to deduct housing from pay $160 per week. Option to repay advance payment via deduction from pay, under agreed upon frequency and amount until paid in full. Optional deductions will not drop the overall wages below the UDSOL minimum, if the deductions are too great they will not be made.</t>
  </si>
  <si>
    <t>H-400-23336-539066</t>
  </si>
  <si>
    <t>ColoradoScapes, LLC</t>
  </si>
  <si>
    <t xml:space="preserve">4040 S. Clay St. </t>
  </si>
  <si>
    <t>Mike@coscapes.com</t>
  </si>
  <si>
    <t>4040 S Clay St. (Report to Work)</t>
  </si>
  <si>
    <t>P-400-23215-236217</t>
  </si>
  <si>
    <t>info@coscapes.com</t>
  </si>
  <si>
    <t>H-400-23336-539451</t>
  </si>
  <si>
    <t>RM Lawn &amp; Landscaping LLC</t>
  </si>
  <si>
    <t>9901 NW 122nd Street</t>
  </si>
  <si>
    <t>9901 NW 122nd St</t>
  </si>
  <si>
    <t>rmlawnsandlandscaping@gmail.com</t>
  </si>
  <si>
    <t xml:space="preserve">Able to lift 50lbs, M-F, Overtime Varies, Some weekends required.
</t>
  </si>
  <si>
    <t>P-400-23233-280810</t>
  </si>
  <si>
    <t>H-400-23326-520272</t>
  </si>
  <si>
    <t>E.A. Quinn Landscape Contracting, Inc.</t>
  </si>
  <si>
    <t>240 Commerce Street</t>
  </si>
  <si>
    <t>Glastonbury</t>
  </si>
  <si>
    <t>INTINO</t>
  </si>
  <si>
    <t>TONY</t>
  </si>
  <si>
    <t>240 COMMERCE STREET</t>
  </si>
  <si>
    <t>GLASTONBURY</t>
  </si>
  <si>
    <t>TONY@EAQUINN.COM</t>
  </si>
  <si>
    <t xml:space="preserve">Must be able to lift/carry 50 lbs and work in both bending and standing positions for extended periods and in all types of weather.
All applicants both domestic and foreign must have a clean criminal history and be able to pass a criminal background check prior to beginning work. Upon offer of emp. &amp; prior to orientation, all hires both U.S. and H-2B must submit to/pass employer-paid drug screen.
</t>
  </si>
  <si>
    <t>P-400-23205-210439</t>
  </si>
  <si>
    <t>tony@eaquinn.com</t>
  </si>
  <si>
    <t>Windsor Mill</t>
  </si>
  <si>
    <t>H-400-23336-538920</t>
  </si>
  <si>
    <t>P-400-23295-448666</t>
  </si>
  <si>
    <t>H-400-23285-427754</t>
  </si>
  <si>
    <t>2502 Reynolds Industrial Rd</t>
  </si>
  <si>
    <t>384 Davant Dr</t>
  </si>
  <si>
    <t>Raises, bonuses, and/or incentive pay may be offered at the employer’s sole discretion.</t>
  </si>
  <si>
    <t>P-400-23250-326982</t>
  </si>
  <si>
    <t>H-400-23335-537584</t>
  </si>
  <si>
    <t>Carnival Attendants</t>
  </si>
  <si>
    <t xml:space="preserve">Lisko Family Amusements, Inc. </t>
  </si>
  <si>
    <t>2823 Lehigh Lane</t>
  </si>
  <si>
    <t>tlisko67@gmail.com</t>
  </si>
  <si>
    <t xml:space="preserve">Post-employment random drug testing and background checks may be required, at no cost to the worker. The job requires the applicant to be qualified, ready, willing, able, and available to perform during the entire employment at all the designated worksites; and to follow workplace rules.
Work days: Wed- Sun. Hours and days of work vary. 
Hours per week: 40
Work Schedule: 1:00PM to 10:00PM. Schedule varies.
Basic Hourly Wage: $10.40- $12.66/hr , depending on location
Overtime Hourly Wage:  N/A - additional hours may be offered; however, employer is exempt from federal overtime pay according to Section 13(a)(3) of the FLSA. Employer will comply with any state or local overtime requirements if warranted.
Pay Frequency: Weekly
Additional information about wage: Employer may offer a raise or bonus depending on experience and merit.
Pay Assurance: Employer will pay the highest of all prevailing wages for each worksite location throughout the entire period of employment. 
Daily Transportation provided to all worksite locations from primary worksite?  Yes
Does employer offer a ride to primary worksite location to workers living within a reasonable
commute:  Yes
Overtime available? N/A - additional hours may be offered; however, employer is exempt from federal overtime pay according to Section 13(a)(3) of the FLSA. Employer will comply with any state or local overtime requirements if warranted. 
On-the-Job Training provided?  Yes
Employer-Provided Tools and Equipment provided?  Yes
Board, Lodging or Other Facilities provided?:   Yes
Deductions: N/A Optional mobile housing and transportation provided free of charge.
</t>
  </si>
  <si>
    <t>P-400-23289-433759</t>
  </si>
  <si>
    <t>N/A Optional mobile housing and transportation provided free of charge.</t>
  </si>
  <si>
    <t>H-400-23331-524734</t>
  </si>
  <si>
    <t>Easyway Concessions LLC</t>
  </si>
  <si>
    <t>8021 NW 44th Ct</t>
  </si>
  <si>
    <t>bbprc954@gmail.com</t>
  </si>
  <si>
    <t>P-400-23263-364015</t>
  </si>
  <si>
    <t>ristick954@gmail.com</t>
  </si>
  <si>
    <t>H-400-23307-477215</t>
  </si>
  <si>
    <t xml:space="preserve">Employers will make all deductions from the worker’s paycheck required by law.  Optional housing (valued at $125.00 per week) and local convenience travel (valued at $25.00 per week) are available at no cost to the worker. </t>
  </si>
  <si>
    <t>H-400-23336-538907</t>
  </si>
  <si>
    <t xml:space="preserve">Housing/Optional based on availability. Housing payment will be collected as a separate transaction, $84.00 per wk. </t>
  </si>
  <si>
    <t>H-400-23321-511221</t>
  </si>
  <si>
    <t>Earth Works Pro, LLC (ETH124A)</t>
  </si>
  <si>
    <t>2130 Tower Street</t>
  </si>
  <si>
    <t>Zito</t>
  </si>
  <si>
    <t>2130 Tower St.</t>
  </si>
  <si>
    <t>joshzito@earthworkspro.com</t>
  </si>
  <si>
    <t xml:space="preserve">Able to bend, reach to ground level or overhead, stand, walk, kneel for a long prolonged period of time, able to lift up to 50 lbs, able to work in all-weather conditions from extreme heat, cold or rain. able to work weekends.
Work days:  Monday through Friday; Saturday and Sunday work is required, when necessary.
Hours per week: Employer will offer 35 Hours per work week- Overtime is offered but not guaranteed - Employer may offer more hours than the stated work hours, depending on weather, business needs and other conditions. Extreme Heat, cold, rain, may affect exact hours. 
Work Schedule: The standard work schedule is from 6:30 am until 4:00 pm.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Deductions:  May be charged up to $85/week for rent for optional housing.
</t>
  </si>
  <si>
    <t>P-400-23248-320410</t>
  </si>
  <si>
    <t>May be charged up to $85/week for rent for optional housing.</t>
  </si>
  <si>
    <t>office@earthworkspro.com</t>
  </si>
  <si>
    <t>H-400-23299-457090</t>
  </si>
  <si>
    <t xml:space="preserve">Must be able to work weekends, holidays, and rotate shifts. Must complete an employment application.
</t>
  </si>
  <si>
    <t>H-400-23261-355167</t>
  </si>
  <si>
    <t>Beverage Attendant</t>
  </si>
  <si>
    <t xml:space="preserve">VI Food Handler's Card and VI Gaming License.
Fluent in English
Must be 21 years old and able to obtain a VI Gaming License. Must have basic knowledge of beer, wine, and spirits and be familiar with most standard drink recipes.
1 unpaid meal break.  </t>
  </si>
  <si>
    <t>P-400-23183-162034</t>
  </si>
  <si>
    <t xml:space="preserve">All deductions from the worker's paycheck required by law will be made, including but not limited to VI Income Tax, Social Security, Medicare. Amounts unknown as it depends on hours worked. 
"Optional" There will be a deduction of $300 per month for housing ($150 per bi-weekly pay period). </t>
  </si>
  <si>
    <t>Lombard</t>
  </si>
  <si>
    <t>H-400-23292-442872</t>
  </si>
  <si>
    <t>Mitchell Brother's &amp; Son's, Inc.</t>
  </si>
  <si>
    <t>61401 HWY 11 NORTH</t>
  </si>
  <si>
    <t>Gus</t>
  </si>
  <si>
    <t>itsmegusm@yahoo.com</t>
  </si>
  <si>
    <t>P-400-23229-274975</t>
  </si>
  <si>
    <t xml:space="preserve">Owner/President </t>
  </si>
  <si>
    <t>H-400-23307-475853</t>
  </si>
  <si>
    <t>Edge Form LAF, LLC</t>
  </si>
  <si>
    <t>11969 N Harrells Ferry Rd</t>
  </si>
  <si>
    <t>Ray, III</t>
  </si>
  <si>
    <t>David L</t>
  </si>
  <si>
    <t>2866 McDonald Rd (Report to Work)</t>
  </si>
  <si>
    <t>P-400-23214-232666</t>
  </si>
  <si>
    <t>H-400-23291-439675</t>
  </si>
  <si>
    <t>Wild Ridge Lawn &amp; Landscape</t>
  </si>
  <si>
    <t>3355 S Arlington Ave</t>
  </si>
  <si>
    <t>Wildridge</t>
  </si>
  <si>
    <t xml:space="preserve">Ability to lift 50lbs
45 hrs, 7:00am-5:00pm, M-F, possible Sat/Sun. Hours and workdays may vary depending on weather.
</t>
  </si>
  <si>
    <t>P-400-23208-218644</t>
  </si>
  <si>
    <t>Employer may assist in locating housing.
Employer may charge the worker for reasonable costs related to the worker's refusal or negligent failure to return any property furnished by the employer or due to such worker's willful damage or destruction of such property. Deductions may be taken per employee's request.
See Addendum.</t>
  </si>
  <si>
    <t>https://www.wildridgelandscape.com/employment/</t>
  </si>
  <si>
    <t>H-400-23307-475846</t>
  </si>
  <si>
    <t>249 Chambers Road (Report to Work)</t>
  </si>
  <si>
    <t>Toughkenamon</t>
  </si>
  <si>
    <t>P-400-23221-249081</t>
  </si>
  <si>
    <t>jsaienni@ruppertcompanies.com</t>
  </si>
  <si>
    <t>H-400-23307-475878</t>
  </si>
  <si>
    <t>Jay Russell Foods, LLC</t>
  </si>
  <si>
    <t>Russell Foods</t>
  </si>
  <si>
    <t>1764 CR 2856</t>
  </si>
  <si>
    <t>MAILING: P.O. Box 296, Hughes Springs, TX 75656</t>
  </si>
  <si>
    <t>russellfoods84@aol.com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</si>
  <si>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Applicants must cooperate with and complete job application and interview truthfully.</t>
  </si>
  <si>
    <t>P-400-23263-362633</t>
  </si>
  <si>
    <t>P-400-23257-347077</t>
  </si>
  <si>
    <t>H-400-23184-162333</t>
  </si>
  <si>
    <t>JAMES' MEAT COMPANY, INC.</t>
  </si>
  <si>
    <t>PO BOX 449</t>
  </si>
  <si>
    <t>BYARS</t>
  </si>
  <si>
    <t>MANDY</t>
  </si>
  <si>
    <t>McMinnville</t>
  </si>
  <si>
    <t>MANDY@GOOLSBYSAUSAGE.COM</t>
  </si>
  <si>
    <t>MUST BE ABLE TO LIFT 50 LBS. REPETITIVE MOVEMENTS.
SCHEDULE VARIES, OVERTIME AVAILABLE AS NEEDED.</t>
  </si>
  <si>
    <t>1644 CLEMMONS ROAD</t>
  </si>
  <si>
    <t>COOKEVILLE</t>
  </si>
  <si>
    <t>P-400-23096-911183</t>
  </si>
  <si>
    <t>H-400-23336-539311</t>
  </si>
  <si>
    <t>H-400-23336-539057</t>
  </si>
  <si>
    <t>FAY HENDERSON LANDSCAPE DESIGN INC</t>
  </si>
  <si>
    <t>50 COOPER LANE</t>
  </si>
  <si>
    <t>FAITH</t>
  </si>
  <si>
    <t>P-400-23205-209043</t>
  </si>
  <si>
    <t>FAYANDFLOWERS@GMAIL.COM</t>
  </si>
  <si>
    <t>H-400-23241-303527</t>
  </si>
  <si>
    <t>Permian Basin Lighting Specialties, LLC</t>
  </si>
  <si>
    <t>2903 Ann St.</t>
  </si>
  <si>
    <t>Potter Jr</t>
  </si>
  <si>
    <t>P-400-23132-018469</t>
  </si>
  <si>
    <t>H-400-23252-333525</t>
  </si>
  <si>
    <t>P-400-23154-076182</t>
  </si>
  <si>
    <t>H-400-23321-509219</t>
  </si>
  <si>
    <t>Green Hills Landscaping &amp; Construction, Co.</t>
  </si>
  <si>
    <t>806 Woodrow Street</t>
  </si>
  <si>
    <t>mgonzalez@greenhillslco.com</t>
  </si>
  <si>
    <t xml:space="preserve">Monday-Friday, overtime varies, optional Saturdays, able to lift 50lbs. Random drug testing during employment. All drug testing is performed without regard to an employees citizenship or immigration status, and all testing is paid for by the company. See the additional document attached for further details about the administration of our drug testing policy.
</t>
  </si>
  <si>
    <t>1401 West Shady Grove Rd</t>
  </si>
  <si>
    <t>P-400-23223-257743</t>
  </si>
  <si>
    <t>H-400-23284-423785</t>
  </si>
  <si>
    <t>Post Time Lexington LLC</t>
  </si>
  <si>
    <t>Frank and Dino's</t>
  </si>
  <si>
    <t>271 W Short St</t>
  </si>
  <si>
    <t>Vaccarezza</t>
  </si>
  <si>
    <t>Carlo</t>
  </si>
  <si>
    <t>frankanddinoslexington@gmail.com</t>
  </si>
  <si>
    <t>P-400-23241-304498</t>
  </si>
  <si>
    <t>State and Federal taxes</t>
  </si>
  <si>
    <t>H-400-23307-476355</t>
  </si>
  <si>
    <t xml:space="preserve">No minimum education or experience required.
Applicant must complete an employment application.  
Post-employment criminal background check required, cost paid by employer and applied equally to all workers, US &amp; Foreign/H2B.
Must be able to work a minimum 5-day workweek.
Must be able to work weekends and holidays.
The employer guarantees to offer work for hours equal to at least three-fourths of the workdays in each 12-week period of the total employment period.
H-2B workers will be reimbursed in the first workweek for all visa, visa processing, border crossing, and other related fees, including those mandated by the government (excluding passport fees).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
  </si>
  <si>
    <t>P-400-23172-133388</t>
  </si>
  <si>
    <t>H-400-23291-438474</t>
  </si>
  <si>
    <t>6800 Hwy 280</t>
  </si>
  <si>
    <t>P-400-23251-332754</t>
  </si>
  <si>
    <t>H-400-23304-469310</t>
  </si>
  <si>
    <t>Seafood Processor (Meat, Poultry, and Fish Cutters and Trimm</t>
  </si>
  <si>
    <t>4 Nickerson Street</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</si>
  <si>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Delivery and availability of seafood product from fisherman may result in possible downtimes due to weather conditions. . Must be able to work in a seafood processing plant with known fish allergens
</t>
  </si>
  <si>
    <t>627 Shelikof St (Report to Work)</t>
  </si>
  <si>
    <t>P-400-23198-195038</t>
  </si>
  <si>
    <t>Optional housing available to the worker (including: Utilites) at a monthly housing rate up to $465; if optional housing is agreed upon by the worker, monthly housing rate will be deducted from worker's paycheck incrementally (bi-weekly).At Employer’s sole discretion: possible cash advances (if applicable/requested by worker, potential deduction from worker’s paycheck).</t>
  </si>
  <si>
    <t xml:space="preserve">1415 16th Ave N. </t>
  </si>
  <si>
    <t>H-400-23336-538913</t>
  </si>
  <si>
    <t>P-400-23295-448677</t>
  </si>
  <si>
    <t>H-400-23322-512221</t>
  </si>
  <si>
    <t>ABC Professional Tree Services, Inc - Fort McCoy</t>
  </si>
  <si>
    <t>14999 NE Hwy 315,</t>
  </si>
  <si>
    <t>Fort McCoy</t>
  </si>
  <si>
    <t>P-400-23183-162048</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</si>
  <si>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Voluntary advances and/or loans made to workers, if any, may be repaid by pre-authorized payroll deductions. Employer may deduct retirement/savings plan contributions and/or health insurance premiums for workers voluntarily participating in plan(s).  Employer provides incidental transportation between worksites as necessary. No daily transportation to/from workers' home and primary worksite. Such transportation complies with all applicable Federal, State, and local laws/regulations.</t>
  </si>
  <si>
    <t>H-400-23297-451809</t>
  </si>
  <si>
    <t>The Alotian Club, LLC</t>
  </si>
  <si>
    <t>101 Alotian Drive</t>
  </si>
  <si>
    <t>Staggers</t>
  </si>
  <si>
    <t>monica.staggers@alotian.com</t>
  </si>
  <si>
    <t xml:space="preserve">Pre-hire background check required; Pre-employment drug testing required; Post-Accident Drug Testing. Able to lift 50lbs. Monday-Friday, some weekends required, schedule varies, start/end times vary, overtime varies.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
</t>
  </si>
  <si>
    <t>Potential raise at employer's discretion.</t>
  </si>
  <si>
    <t>P-400-23192-179913</t>
  </si>
  <si>
    <t>Employer may make payroll deductions at employee's request. Employer facilitates corresponding deductions for available health benefits. Employer may offer, on a voluntary basis, one meal per day at no cost to the employee, at employer's discretion.</t>
  </si>
  <si>
    <t>H-400-23321-509258</t>
  </si>
  <si>
    <t>Commonwealth Event Co.</t>
  </si>
  <si>
    <t>5611 Greendale Road</t>
  </si>
  <si>
    <t>Tomlin</t>
  </si>
  <si>
    <t xml:space="preserve"> 5611 Greendale Road</t>
  </si>
  <si>
    <t>tomlin@commonwealthevent.com</t>
  </si>
  <si>
    <t>Must be able to lift/carry 50 lbs and work in both bending and standing positions for extended periods and in all types of weather. Saturday and Sunday work will be as needed</t>
  </si>
  <si>
    <t>5611 Greendale Rd</t>
  </si>
  <si>
    <t>Henrico</t>
  </si>
  <si>
    <t>P-400-23205-210476</t>
  </si>
  <si>
    <t>H-400-23333-529997</t>
  </si>
  <si>
    <t xml:space="preserve">No minimum education or experience required.
Must be able to lift 50 lbs.
Must pass a post-employment criminal background check, paid by employer and applied equally to all workers, U.S. and foreign/H-2B.
Workers subject to post-accident/reasonable cause drug testing, paid by employer and applied equally to all workers, U.S. and foreign/H-2B.
Must be able to work a 5-day workweek.
Must be able to work weekends and holidays as required.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provide daily transportation from main worksite in Orange County to and from multiple work site locations in Orange, Seminole, and Volusia Counties, FL.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The employer guarantees to offer work for hours equal to at least three-fourths of the workdays in each 12-week period of the total employment period.
</t>
  </si>
  <si>
    <t>574 Fairvilla Rd</t>
  </si>
  <si>
    <t>P-400-23230-277889</t>
  </si>
  <si>
    <t>H-400-23271-388058</t>
  </si>
  <si>
    <t>CARPENTER</t>
  </si>
  <si>
    <t>JCCONTRACTORS CORPORATION</t>
  </si>
  <si>
    <t>CALLE PAJAROS 86 HATO TEJAS</t>
  </si>
  <si>
    <t>BAYAMON</t>
  </si>
  <si>
    <t>SANTOS</t>
  </si>
  <si>
    <t>CARLOS</t>
  </si>
  <si>
    <t>csantosjccontractors@gmail.com</t>
  </si>
  <si>
    <t>P-400-23141-040573</t>
  </si>
  <si>
    <t>FICA, STATE, OTHER.</t>
  </si>
  <si>
    <t>H-400-23321-508568</t>
  </si>
  <si>
    <t>Team Green Outdoor, Inc.</t>
  </si>
  <si>
    <t>541 Old State Rd.</t>
  </si>
  <si>
    <t>Kalupa</t>
  </si>
  <si>
    <t>janet@teamgreenoutdoor.com</t>
  </si>
  <si>
    <t>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Possible background check post hire at employer's expense. Work is performed outdoors, exposed to weather; must be capable of doing physically strenuous labor for long hours, occasionally in extreme heat or cold. Variable weather conditions apply; hours may fluctuate (+/-), possible downtime and/or overtime.</t>
  </si>
  <si>
    <t>541 Old State Rd. (Report to Work)</t>
  </si>
  <si>
    <t>P-400-23213-228324</t>
  </si>
  <si>
    <t>Optional, shared housing available to the worker at a monthly housing rate up to $360.00; if optional housing is agreed upon by the worker, monthly housing rate will be deducted from worker's paycheck incrementally (weekly).</t>
  </si>
  <si>
    <t>office@teamgreenoutdoor.com</t>
  </si>
  <si>
    <t>H-400-23258-350719</t>
  </si>
  <si>
    <t>Waterscape Landscaping</t>
  </si>
  <si>
    <t>5909 Stratler Street</t>
  </si>
  <si>
    <t>SHANE</t>
  </si>
  <si>
    <t>Estimator/Project Manager</t>
  </si>
  <si>
    <t>shane@waterscapelc.com</t>
  </si>
  <si>
    <t>NAGRA</t>
  </si>
  <si>
    <t>KIRANPAL</t>
  </si>
  <si>
    <t>1012 S. Stapley Drive</t>
  </si>
  <si>
    <t>Suite 109</t>
  </si>
  <si>
    <t>westoverlawfirm@gmail.com</t>
  </si>
  <si>
    <t>WESTOVER LAW FIRM</t>
  </si>
  <si>
    <t>P-400-23216-240480</t>
  </si>
  <si>
    <t>H-400-23334-533827</t>
  </si>
  <si>
    <t>Ace Amusements</t>
  </si>
  <si>
    <t>67 South Higley Road</t>
  </si>
  <si>
    <t>Suite 103</t>
  </si>
  <si>
    <t>67 S. Higley Rd, #103</t>
  </si>
  <si>
    <t>jordannj605@gmail.com</t>
  </si>
  <si>
    <t xml:space="preserve">Hours, schedule, and days vary widely.  
Typically Wed-Sun, 4pm  11pm.  
Often 35-45 hours per week, may go up to 55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Work outside in all weather. The job requires the applicant to obtain all necessary government authorizations to work, such as an H-2B worker visa for foreign workers, which will be issued by the United States Embassy in the home country, and after which the applicant will be regarded as recruited at that time and place. Must cooperate with and complete job application and interview, and any supplied information must be truthful and complete. Must comply with grooming requirements and dress code. Must be willing to work up to 7 days/week. Subject to discharge for cause.
</t>
  </si>
  <si>
    <t>P-400-23243-311474</t>
  </si>
  <si>
    <t>H-400-23336-539546</t>
  </si>
  <si>
    <t>D A Hoerr &amp; Sons Inc</t>
  </si>
  <si>
    <t>Hoerr Nursery</t>
  </si>
  <si>
    <t>8020 N. Shade Tree Dr</t>
  </si>
  <si>
    <t>Hoerr</t>
  </si>
  <si>
    <t>jjhoerr@hoerrnursery.com</t>
  </si>
  <si>
    <t xml:space="preserve">Monday-Friday, occasional Saturdays may be required; schedule varies, end time varies, overtime varies
</t>
  </si>
  <si>
    <t>Peoria, IL</t>
  </si>
  <si>
    <t>P-400-23229-272291</t>
  </si>
  <si>
    <t>H-400-23336-538948</t>
  </si>
  <si>
    <t xml:space="preserve">1638 HIGH MOUNTAIN DRIVE </t>
  </si>
  <si>
    <t>P-400-23198-193566</t>
  </si>
  <si>
    <t xml:space="preserve"> Optional housing available for 90.00/week to be deducted bi-weekly from paycheck. A $125.00 refundable deposit will be deducted over time and refunded at the end of contract &amp; housing inspection</t>
  </si>
  <si>
    <t>H-400-23291-439573</t>
  </si>
  <si>
    <t>Grano Reforestation Inc.</t>
  </si>
  <si>
    <t>559 North Main St.</t>
  </si>
  <si>
    <t>Waldron</t>
  </si>
  <si>
    <t>Grano</t>
  </si>
  <si>
    <t>Gabino</t>
  </si>
  <si>
    <t>gabino@centurylink.net</t>
  </si>
  <si>
    <t>559 North Main St.  (Report to Work)</t>
  </si>
  <si>
    <t>P-400-23247-318792</t>
  </si>
  <si>
    <t>Production Specialist</t>
  </si>
  <si>
    <t>JCB Manufacturing, Inc.</t>
  </si>
  <si>
    <t>2000 Bamford Boulevard</t>
  </si>
  <si>
    <t>Pooler</t>
  </si>
  <si>
    <t>Tonya</t>
  </si>
  <si>
    <t>Vice President - Human Resources</t>
  </si>
  <si>
    <t>tonya.poole@jcb.com</t>
  </si>
  <si>
    <t>Suite 2100</t>
  </si>
  <si>
    <t>elizabeth.chatham@stinson.com</t>
  </si>
  <si>
    <t>Stinson LLP</t>
  </si>
  <si>
    <t>catalina.sandoval@jcb.com</t>
  </si>
  <si>
    <t>Round Hill</t>
  </si>
  <si>
    <t>H-400-23307-476616</t>
  </si>
  <si>
    <t>Natural Lawn and Landscape LLC</t>
  </si>
  <si>
    <t>113 Shortleaf Pine Dr.</t>
  </si>
  <si>
    <t>Mailing: P.O. Box 108, O'Fallon, MO 63366</t>
  </si>
  <si>
    <t>naturallawnandlandscape@live.com</t>
  </si>
  <si>
    <t>Pre-hire background check required; Random drug testing during employment, Able to lift 50lbs, Monday-Saturday, Schedule Varies, Some Sundays may be required, Additional overtime varies.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 See the additional document attached for further details about the administration of our drug testing policy.</t>
  </si>
  <si>
    <t>533 Peruque Creek Road</t>
  </si>
  <si>
    <t>P-400-23180-154717</t>
  </si>
  <si>
    <t>Sulphur</t>
  </si>
  <si>
    <t>H-400-23336-539061</t>
  </si>
  <si>
    <t>FRANK SUPPA LANDSCAPING CORP</t>
  </si>
  <si>
    <t xml:space="preserve">100 FRANK ROAD </t>
  </si>
  <si>
    <t>SUPPA</t>
  </si>
  <si>
    <t>P-400-23205-208990</t>
  </si>
  <si>
    <t>ROSEMARY@FSLCORP.NET</t>
  </si>
  <si>
    <t>H-400-23336-539573</t>
  </si>
  <si>
    <t>4612 Lena Rd, Unit 101</t>
  </si>
  <si>
    <t>P-400-23255-339928</t>
  </si>
  <si>
    <t>Employer may make payroll deductions at employee's request. Employer facilitates corresponding deductions for available health benefits. Employer facilitates voluntary housing arrangements along with corresponding payroll deduction of $300-$500/month depending on number of occupants in unit for rent and utilities.</t>
  </si>
  <si>
    <t>H-400-23181-160727</t>
  </si>
  <si>
    <t>Class A Commercial Motor Vehicle Driver</t>
  </si>
  <si>
    <t>Quirch Foods, LLC</t>
  </si>
  <si>
    <t>2701 S. LeJeune Road</t>
  </si>
  <si>
    <t>12th Floor</t>
  </si>
  <si>
    <t>Coral Gables</t>
  </si>
  <si>
    <t>Javiel</t>
  </si>
  <si>
    <t>Javiel.Lopez@quirchfoods.com</t>
  </si>
  <si>
    <t>Aleman</t>
  </si>
  <si>
    <t>Bayardo</t>
  </si>
  <si>
    <t>2030 S Douglas Road</t>
  </si>
  <si>
    <t>bayardo@pba-law.com</t>
  </si>
  <si>
    <t>Perera Aleman, P.A.</t>
  </si>
  <si>
    <t>Southern District of Florida</t>
  </si>
  <si>
    <t xml:space="preserve">Valid Class A Commercial Driver's License; valid non-expired interstate Medical Card; clean driving record; able to lift, carry, push and/or pull up to 100 pounds on a regular basis; climb, balance, stoop, kneel, crouch or walk, as well as sit for long periods of time; able to comply with truck driving rules and regulation, and company policies and procedures; basic math skills; must pass pre-employment testing (Drug Screen, Background Check)
</t>
  </si>
  <si>
    <t>330 N. Ingraham Ave.</t>
  </si>
  <si>
    <t xml:space="preserve">Lakeland-Winter Haven, FL </t>
  </si>
  <si>
    <t>P-400-23058-805549</t>
  </si>
  <si>
    <t>The employer will make all deductions from workers' paychecks that are required by law.</t>
  </si>
  <si>
    <t>Javiel.lopez@quirchfoods.com</t>
  </si>
  <si>
    <t>H-400-23223-259688</t>
  </si>
  <si>
    <t>Janitors and Cleaners except Maids and Housekeeping Cleaners</t>
  </si>
  <si>
    <t>able to lift 25 pounds</t>
  </si>
  <si>
    <t>P-400-23156-077690</t>
  </si>
  <si>
    <t>H-400-23191-176914</t>
  </si>
  <si>
    <t>2909 Pleasant Center Rd.</t>
  </si>
  <si>
    <t>P-400-23130-008855</t>
  </si>
  <si>
    <t>H-400-23233-282376</t>
  </si>
  <si>
    <t>The Petitioner will consider for employment any person who possesses at least three (3) months of experience in a fine-dining or high-volume environment at a high-end restaurant, resort, or private club.  
Applicant must complete pre-employment background check and drug screening.  
Schedule: 35 hours per week. Work schedule can vary and can include evening, weekend, and holiday hours. Work may be performed on any
day of the week from Monday through Sunday. Example shifts: 6:00AM - 1:00PM or 3:00PM - 10:00PM Shift hours may vary.</t>
  </si>
  <si>
    <t>Tipped position with guaranteed wage of $19.76 per hour, paid bi-weekly.  See job description for additional detail.</t>
  </si>
  <si>
    <t>P-400-23173-137403</t>
  </si>
  <si>
    <t>H-400-23325-516199</t>
  </si>
  <si>
    <t>Bluegrass Lawncare of St. Louis, LLC</t>
  </si>
  <si>
    <t>Bluegrass Landscape &amp; Snow Management</t>
  </si>
  <si>
    <t>13852 Ferguson Lane</t>
  </si>
  <si>
    <t>Bryon</t>
  </si>
  <si>
    <t>Senior Account Manager</t>
  </si>
  <si>
    <t>bryon.delong@bluegrasslawn.com</t>
  </si>
  <si>
    <t>Drug testing during employment for cause; Post-Accident Drug Testing, Able to lift 80bs, Monday-Thursday, Fridays &amp; Saturdays as needed. Some Sundays, overtime varies.
All drug testing is performed without regard to an employees citizenship or immigration status, and all testing is paid for by the company. See the additional document attached for further details about the administration of our drug testing policy.</t>
  </si>
  <si>
    <t>P-400-23187-171162</t>
  </si>
  <si>
    <t>Employer may make payroll deductions at employee's request. Employer facilitates corresponding deductions for available health benefits. Employer facilitates voluntary housing arrangements along with corresponding payments of $75/weekly for rent and utilities.</t>
  </si>
  <si>
    <t>H-400-23336-539304</t>
  </si>
  <si>
    <t>FLYNN LANDSCAPING INC</t>
  </si>
  <si>
    <t xml:space="preserve">812 HAWTHORN AVENUE </t>
  </si>
  <si>
    <t>812 HAWTHORN AVENUE</t>
  </si>
  <si>
    <t>P-400-23205-208999</t>
  </si>
  <si>
    <t>Flynnlandscapingstl@gmail.com</t>
  </si>
  <si>
    <t>H-400-23334-534962</t>
  </si>
  <si>
    <t xml:space="preserve">Amusement Ride Operators </t>
  </si>
  <si>
    <t>KGN Promotions LLC (KGN224A)</t>
  </si>
  <si>
    <t xml:space="preserve">POST-EMPLOYMENT EMPLOYER-PAID DRUG TESTING MAY BE ADMINISTERED. Must be available and willing to travel on a weekly basis; WORK SCHEDULE VARIES. Must be able to lift 50 lbs. Must show up to work sober.
Work days: Typically Wednesday-Saturday; days vary  
Hours per week:  35 hrs per week
Work Schedule: 4pm to 11pm; schedule varies 
Special Procedures: Itinerary starts in Volusia county. Work will be performed at various locations (see list of all counties included in itinerary for reference). 
Additional information about wage:
Employer may offer a raise or bonus depending on experience and merit.
Pay Assurance: 
Employer will pay the highest of all prevailing wages for each worksite location throughout the entire period of employment. 
Daily Transportation provided to all worksite locations from primary worksite?  Yes 
Does employer offer a ride to primary worksite location to workers living within a reasonable
commute:  Yes
Overtime available? N/A - Additional hours may be offered; however, employer is exempt from federal overtime pay according to Section 13(a)(3) of the FLSA. Employer will comply with any state or local overtime requirements if warranted.
On-the-Job Training provided?  Yes
Employer-Provided Tools and Equipment provided?  Yes
Board, Lodging or Other Facilities provided?:   Yes, optional, free-of-charge.
Deductions: N/A 
</t>
  </si>
  <si>
    <t>674 Tomoka Farms Road</t>
  </si>
  <si>
    <t>P-400-23269-381956</t>
  </si>
  <si>
    <t xml:space="preserve"> N/A </t>
  </si>
  <si>
    <t>H-400-23215-235986</t>
  </si>
  <si>
    <t>International Programs Manager, Talent Acquisition</t>
  </si>
  <si>
    <t xml:space="preserve"> 1000 S. Frontage Road W</t>
  </si>
  <si>
    <t>P-400-23113-957874</t>
  </si>
  <si>
    <t xml:space="preserve">Optional subsidized employee housing is available but limited.  Biweekly cost is $185.00 to $310.00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</si>
  <si>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H-400-23228-267459</t>
  </si>
  <si>
    <t>Lead Cook</t>
  </si>
  <si>
    <t>Requirements:  One (1) year of culinary experience in a fine-dining or high-volume environment at a high-end restaurant, resort, or private club required. On-the-job training is provided.    Applicant must provide Pre-employment Criminal Background Check and Pre-employment Drug Test is required.
Shifts: Work schedule can vary and can include evening, weekend, and holiday hours. Work may be performed on any day of the week from Monday through Sunday.  Example shifts: 5:00am to 1:00pm, 9:00am to 5:00pm. Shift hours may vary.</t>
  </si>
  <si>
    <t>P-400-23184-165311</t>
  </si>
  <si>
    <t>H-400-23307-475831</t>
  </si>
  <si>
    <t>Climbers helper</t>
  </si>
  <si>
    <t>A &amp; S Tree Service</t>
  </si>
  <si>
    <t>1077 Miller County 62</t>
  </si>
  <si>
    <t>Mailing: P.O. Box 1722, Texarkana, TX 75504</t>
  </si>
  <si>
    <t>Infante</t>
  </si>
  <si>
    <t>Adan</t>
  </si>
  <si>
    <t>oliviainfante1224@gmail.com</t>
  </si>
  <si>
    <t>P-400-23226-262408</t>
  </si>
  <si>
    <t>https://www.arjoblink.arkansas.gov/</t>
  </si>
  <si>
    <t>H-400-23254-336935</t>
  </si>
  <si>
    <t>JD Forestry, LLC</t>
  </si>
  <si>
    <t>2695 Merriman Rd.</t>
  </si>
  <si>
    <t>Latysha</t>
  </si>
  <si>
    <t>jdforestry@gmail.com</t>
  </si>
  <si>
    <t>2695 Merriman Rd (Report to Work)</t>
  </si>
  <si>
    <t>P-400-23144-049860</t>
  </si>
  <si>
    <t>H-400-23186-166912</t>
  </si>
  <si>
    <t xml:space="preserve">A high school diploma or GED and 1 year experience as a painter in an industrial environment.  Ability to complete background check, drug and alcohol testing.
</t>
  </si>
  <si>
    <t>P-400-23128-001470</t>
  </si>
  <si>
    <t>H-400-23184-164003</t>
  </si>
  <si>
    <t>Ham End Remover</t>
  </si>
  <si>
    <t>P-400-23124-992269</t>
  </si>
  <si>
    <t>H-400-23285-428327</t>
  </si>
  <si>
    <t>P-400-23261-355975</t>
  </si>
  <si>
    <t>H-400-23251-332276</t>
  </si>
  <si>
    <t>Facilities Technician</t>
  </si>
  <si>
    <t xml:space="preserve">The Petitioner will consider for employment any person who possess at least six (6) months of maintenance or housekeeping experience at a high-end hotel, resort, or private club.
</t>
  </si>
  <si>
    <t xml:space="preserve">Wage: $20.50 - $22.50 per hour, paid bi-weekly.  Overtime is available at $30.75 - $33.75 per hour. </t>
  </si>
  <si>
    <t>P-400-23192-179275</t>
  </si>
  <si>
    <t>H-400-23198-192975</t>
  </si>
  <si>
    <t>AG Forestry, LLC</t>
  </si>
  <si>
    <t xml:space="preserve">6865 Pinehurst St. </t>
  </si>
  <si>
    <t xml:space="preserve">Alberto </t>
  </si>
  <si>
    <t>AGForestry19@gmail.com</t>
  </si>
  <si>
    <t xml:space="preserve">Must be 18 due to travel. Must show proof of legal authorization to work in the United States. Drug/alcohol/tobacco free work zone. Must walk substantially (up to 15 miles/day), also stoop, bend while carrying a pack (up to 50lbs) thru rough terrain (non-trail).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 </t>
  </si>
  <si>
    <t>6865 Pinehurst St. (Report to Work)</t>
  </si>
  <si>
    <t>P-400-23143-048218</t>
  </si>
  <si>
    <t>H-400-23260-352845</t>
  </si>
  <si>
    <t>Janousek Logistics</t>
  </si>
  <si>
    <t>Janousek</t>
  </si>
  <si>
    <t>731 Engel Rd</t>
  </si>
  <si>
    <t>nathandjano@icloud.com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</si>
  <si>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 drug testing and criminal background check required, cost paid by employer and applied equally to all workers, US and foreign/H2B. Applicants must cooperate with and complete job application and interview truthfully.
This job order, including its wage and working terms and conditions, is intended contingent upon prevailing U.S. immigration law, including Department of Labor and Department of Homeland Security regulations. If any such prevailing law is enjoined, invalidated, rescinded, superseded, vacated, or substantially modified, then the parties will re-negotiate in good faith any affected term.</t>
  </si>
  <si>
    <t>P-400-23164-106578</t>
  </si>
  <si>
    <t>H-400-23185-165600</t>
  </si>
  <si>
    <t xml:space="preserve">Senior Director - Compliance Counsel </t>
  </si>
  <si>
    <t>Sarabeth.Hall@caliber.com</t>
  </si>
  <si>
    <t>1001 Pennsylvania Ave  NW</t>
  </si>
  <si>
    <t>2000 S 4 Wheel Dr.</t>
  </si>
  <si>
    <t>Norco</t>
  </si>
  <si>
    <t>P-400-23110-951507</t>
  </si>
  <si>
    <t>H-400-23230-277053</t>
  </si>
  <si>
    <t xml:space="preserve">The Petitioner will consider for employment any applicant who possesses at least twenty-four (24) months of culinary experience in a fine-dining or high-volume environment at a high-end restaurant, resort, or private club.
Work schedule can vary and can include evening, weekend, and holiday hours. Work may be performed on any day of the week from Monday through Sunday. Example shifts: 1:00pm - 9:00pm and 2:00pm - 10:00pm. </t>
  </si>
  <si>
    <t xml:space="preserve">Wage: $18.77 - $22.00 per hour, paid bi-weekly.  Overtime is available at $28.16 - $33.00 per hour.  </t>
  </si>
  <si>
    <t>P-400-23177-144981</t>
  </si>
  <si>
    <t>H-400-23192-180352</t>
  </si>
  <si>
    <t xml:space="preserve">PO Box 1743 </t>
  </si>
  <si>
    <t>1343 W 75N</t>
  </si>
  <si>
    <t>VALID DRIVER'S LICENSE OR ELIGIBLE TO OBTAIN ONE WITHIN 30 DAYS OF THE DATE OF HIRE</t>
  </si>
  <si>
    <t>701 S Main St</t>
  </si>
  <si>
    <t>H-400-23252-333571</t>
  </si>
  <si>
    <t xml:space="preserve">Must lift/carry 50 lbs., when necessary. Basic level English skills required. Work schedule will vary and will include evenings, holidays, and Saturdays and Sundays. Work may be performed on any day of the week from Monday through Sunday. Example shifts: 7:00am to 3:00 pm, 9:00 pm to 5:00 pm, and 3:00 pm to 11:00 pm. Shift hours may vary. Employer may offer more than the stated work hours depending on weather, business needs, and other conditions. Extreme heat, cold, rain, or drought may affect exact working hours.
</t>
  </si>
  <si>
    <t>P-400-23186-167548</t>
  </si>
  <si>
    <t>Employer makes all payroll deductions required by law. Employer does not envision other workforce-wide payroll deductions. Limited shared seasonal housing maybe offered and optional on a first come first serve basis. Cost of housing if available is $125/week or less. If used, total cost of housing will be paid directly to the employer or rental unit by employee. Employer may deduct retirement/savings plan contributions and/or health insurance premiums for workers voluntarily participating in plan(s).    No daily transportation to/from workers' home and primary worksite. Employer provides incidental transportation between multiple worksites as necessary. Such transportation complies with all applicable Federal, State, and local laws/regulations.</t>
  </si>
  <si>
    <t>H-400-23240-300846</t>
  </si>
  <si>
    <t>J. Bernard Seafood Processing, Inc.</t>
  </si>
  <si>
    <t>1142 Front Street</t>
  </si>
  <si>
    <t>P.O. Box 623 (Mailing)</t>
  </si>
  <si>
    <t>Travel between worksites is required.</t>
  </si>
  <si>
    <t>P-400-23156-078667</t>
  </si>
  <si>
    <t>Employer will make all deductions from workers’ paycheck as required by law; deductions employer intends to make from paycheck, which are not required by law, if applicable, would be deductions for housing, if employee chooses voluntary housing option. Employer may allow deductions not required by law if advance permission is granted by employee or employer will state the specific deductions.  Voluntary, low-cost housing is available to worker for the option to board;$60.00/week is deducted from workers’ paycheck for workers who choose housing; housing is not mandatory.</t>
  </si>
  <si>
    <t>H-400-23226-262739</t>
  </si>
  <si>
    <t>Perfect Cuts Commercial Services, LLC</t>
  </si>
  <si>
    <t>P-400-23146-058421</t>
  </si>
  <si>
    <t>H-400-23248-319977</t>
  </si>
  <si>
    <t xml:space="preserve">Mylene </t>
  </si>
  <si>
    <t xml:space="preserve">The petitioner will consider for employment any person who possesses at least six (6) months of culinary experience in a fine-dining or high-volume environment at a high-end restaurant, resort, or private club. Applicant must complete pre-employment background check.  Work schedule can vary and can include evening, weekend, and holiday hours. Work may be performed on any day of the week from Monday through Sunday. Example shifts: 6:00am to 2:00pm or 2:00pm to 10:00pm. Shift hours may vary.
</t>
  </si>
  <si>
    <t>Wage: $18.64 - $22.00 per hour, paid bi-weekly. See job description for details.</t>
  </si>
  <si>
    <t>P-400-23195-190191</t>
  </si>
  <si>
    <t>H-400-23229-272381</t>
  </si>
  <si>
    <t>Employee Transportation Driver</t>
  </si>
  <si>
    <t xml:space="preserve">The Petitioner will consider for employment any person who possesses at least six (6) months of experience at a high-end hotel, resort, or private club. 
Applicant must complete pre-employment background check.  
Applicant must possess a valid U.S. or international drivers license prior to arrival in the United States and have a clean driving record.
</t>
  </si>
  <si>
    <t xml:space="preserve">Wage: $24.00 - $29.00 per hour, paid bi-weekly.  Overtime is available at $36.00 - $43.50 per hour.  </t>
  </si>
  <si>
    <t>P-400-23175-141842</t>
  </si>
  <si>
    <t>Optional housing is offered on a first-come, first-served basis for workers who are relocating to begin employment. Yellowstone Club has several housing venues and employees may choose their bed space &amp; location. Location availability is department dependent. The cost of housing is $210.00 - $625.00 biweekly depending on the location and room style selected. Depending on housing option availability, housing will be either single or double-room occupancy for Winter 2023. A few couples' options may be available, but limited. Gallatin Gateway Inn (GGI), offers Schack's Depot for its residents. Schack's Depot is an a la carte dining option for dinner service with an online pre-ordering platform.   Please see job description for additional information regarding benefits and deductions.</t>
  </si>
  <si>
    <t>H-400-23230-276757</t>
  </si>
  <si>
    <t>Traits LLC</t>
  </si>
  <si>
    <t>3499 Lansdowne Drive</t>
  </si>
  <si>
    <t>Wilkes</t>
  </si>
  <si>
    <t>wilkesroost@aol.com</t>
  </si>
  <si>
    <t>P-400-23128-003067</t>
  </si>
  <si>
    <t>H-400-23194-188204</t>
  </si>
  <si>
    <t>Grand Pacific Resorts Palisades Owners Association, Inc.</t>
  </si>
  <si>
    <t>5805 Armada Drive</t>
  </si>
  <si>
    <t>P-400-23139-039333</t>
  </si>
  <si>
    <t>H-400-23186-166565</t>
  </si>
  <si>
    <t>Native Creations, Inc.</t>
  </si>
  <si>
    <t>10531 Pinewood Trail</t>
  </si>
  <si>
    <t>Jupiter</t>
  </si>
  <si>
    <t>Barnett</t>
  </si>
  <si>
    <t>Secretary - Treasurer</t>
  </si>
  <si>
    <t>nativecreationsfl@gmail.com</t>
  </si>
  <si>
    <t>P-400-23143-045850</t>
  </si>
  <si>
    <t>H-400-23229-272285</t>
  </si>
  <si>
    <t>Wage: $17.00 - $22.00 per hour, paid bi-weekly.  Please see job description for additional information.</t>
  </si>
  <si>
    <t>P-400-23175-141839</t>
  </si>
  <si>
    <t>H-400-23209-223813</t>
  </si>
  <si>
    <t>Waiter / Waitress</t>
  </si>
  <si>
    <t>D Empanadas LLC</t>
  </si>
  <si>
    <t>112 Union St</t>
  </si>
  <si>
    <t>Del Valle</t>
  </si>
  <si>
    <t>admin@globaltaxpa.com</t>
  </si>
  <si>
    <t>Communications skills 
Customer service
Organization
Time management</t>
  </si>
  <si>
    <t>P-400-23082-872726</t>
  </si>
  <si>
    <t>All lawful deductions are applicable
Federal Income tax
Social Security
Medicare
CO Income Tax</t>
  </si>
  <si>
    <t>edisla@gmail.com</t>
  </si>
  <si>
    <t>H-400-23215-237590</t>
  </si>
  <si>
    <t>Employees expected daily schedule will be from 9am to 5pm, Monday to Friday, and then sometimes on the weekends for a set number of hours that might vary in their start time, Saturday (up to 5 hours) and Sunday (up to 4 hours). Employees should expect hours to vary, based on the needs of the two locations. There is a formal program for training new employees.</t>
  </si>
  <si>
    <t>P-400-23174-141280</t>
  </si>
  <si>
    <t>www.fnfdq.com</t>
  </si>
  <si>
    <t>H-400-23236-291857</t>
  </si>
  <si>
    <t>Experienced Cook</t>
  </si>
  <si>
    <t xml:space="preserve">The Petitioner will consider for employment any applicant who possesses at least six (6) months of culinary experience in a fine-dining or high-volume environment at a high-end restaurant, resort, or private club.
</t>
  </si>
  <si>
    <t xml:space="preserve">Wage: $22.00 - $40.00 per hour, paid bi-weekly.  Overtime is available at $33.00 - $60.00 per hour.  </t>
  </si>
  <si>
    <t>P-400-23181-160010</t>
  </si>
  <si>
    <t xml:space="preserve">Optional housing is offered on a first-come, first-serve basis for workers who are relocating to begin employment.  Cost of housing, if accepted, is $500.00 per month (utilities included).  If used, total cost of housing will be deducted from paycheck. A $500.00 refundable security deposit is required, to be paid directly to employer upon acceptance of housing.  </t>
  </si>
  <si>
    <t>H-400-23276-406438</t>
  </si>
  <si>
    <t>Amusement &amp; Recreation Attendant Supervisor – Carnival</t>
  </si>
  <si>
    <t>P-400-23183-162001</t>
  </si>
  <si>
    <t xml:space="preserve">Employer will make all deductions from the worker’s paycheck required by law.  In addition, the employer intends to make the following deductions from the worker’s paycheck which are not required by law:   NONE  Optional mobile housing (valued at $125.00 per week) and local convenience travel (valued at $25.00 per week) are available at no cost to the worker. </t>
  </si>
  <si>
    <t>H-400-23233-282430</t>
  </si>
  <si>
    <t>The Petitioner will consider for employment any person who possesses at least three (3) months of experience in a fine-dining or high-volume environment at a high-end restaurant, resort, or private club .  
Applicant must complete pre-employment background check and drug screening.  
Schedule: 35 hours per week. Work schedule can vary and can include evening, weekend, and holiday hours. Work may be performed on any
day of the week from Monday through Sunday. Example shifts: 10:00AM - 5:00PM or 4:00PM - 11:00PM. Shift hours may vary.</t>
  </si>
  <si>
    <t>Tipped position with guaranteed wage of $20.05 per hour, paid bi-weekly.  See job description for additional detail.</t>
  </si>
  <si>
    <t>P-400-23173-137444</t>
  </si>
  <si>
    <t>Optional housing is offered on a first-come, first-serve basis for workers who are relocating to begin employment.  Cost of housing, if accepted, is $800.00 per month and includes WiFi, cable, and three meals per day (light breakfast, full lunch, and full dinner).  If used, total cost of housing will be deducted from paycheck.  A $300.00 security deposit (of which $260.00 is refundable) is required, to be paid directly to employer upon acceptance of housing.
Additional, optional benefits may be offered to worker, for worker’s sole benefit, including but not limited to health insurance, 401k plan, and Ski Pass taxes.  If voluntarily elected by worker, employee costs/contributions for benefits will be deducted from paycheck.</t>
  </si>
  <si>
    <t>H-400-23184-162437</t>
  </si>
  <si>
    <t>Floor Installer</t>
  </si>
  <si>
    <t>Standard Service Corporation</t>
  </si>
  <si>
    <t>2273 Grayling Street</t>
  </si>
  <si>
    <t>Villamizar</t>
  </si>
  <si>
    <t>Danilo</t>
  </si>
  <si>
    <t>Standardservice6@gmail.com</t>
  </si>
  <si>
    <t xml:space="preserve">Lifting Requirement 70 pounds
</t>
  </si>
  <si>
    <t>P-400-23136-023881</t>
  </si>
  <si>
    <t>Housing is optional. 40% paid by the worker and 60% paid by the employer in an optional housing arrangement billed monthly by the employer. Housing not deducted from paycheck but paid directly to employer.
All Local, State and Federal deductions required by Law</t>
  </si>
  <si>
    <t>H-400-23188-172229</t>
  </si>
  <si>
    <t xml:space="preserve">Kitchen Assistant </t>
  </si>
  <si>
    <t xml:space="preserve">L&amp;C Sunshine Company </t>
  </si>
  <si>
    <t>800 Parkside Cir.</t>
  </si>
  <si>
    <t>Apt. 822</t>
  </si>
  <si>
    <t xml:space="preserve">Williams </t>
  </si>
  <si>
    <t>Latoya</t>
  </si>
  <si>
    <t>800 Parkside Cir</t>
  </si>
  <si>
    <t>lncsunshinecompany@gmail.com</t>
  </si>
  <si>
    <t xml:space="preserve">Three (3) months of experience in a restaurant as a dishwasher or prep cook is required. 
Successful applicant must pass pre-employment background check and drug screening.
All worksites located in Walton and Bay County, Florida (within the same area of intended employment).  Employer will offer 40 hours of work per week, Monday  Friday; any one of these shifts: 8:00am -4:30pm; 2:00 pm-10:30 p.m.; or 3:00pm  11:30 p.m. Must be able to work weekends and holidays.
</t>
  </si>
  <si>
    <t xml:space="preserve">Embassy Suites </t>
  </si>
  <si>
    <t>16006 Front Beach Road</t>
  </si>
  <si>
    <t xml:space="preserve">Panama City Beach </t>
  </si>
  <si>
    <t>P-400-23147-059437</t>
  </si>
  <si>
    <t>will make all deductions from the workers' paycheck required by law; Will deduct $200 from each paycheck for housing, if worker elects to use employer provided housing</t>
  </si>
  <si>
    <t>H-400-23277-409029</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</si>
  <si>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Employment eligibility (e-Verify) check required of foreign and domestic workers.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</si>
  <si>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H-400-23282-418604</t>
  </si>
  <si>
    <t xml:space="preserve">UniSea, Inc. </t>
  </si>
  <si>
    <t>15400 NE 90th Street</t>
  </si>
  <si>
    <t>Jorgensen</t>
  </si>
  <si>
    <t>Keely</t>
  </si>
  <si>
    <t>Keely.Jorgensen@unisea.com</t>
  </si>
  <si>
    <t xml:space="preserve">Days/Shifts may vary. 
Two Shifts: 6:00AM  6:00PM or 6:00PM  6:00AM
Employer is offering up to 30 hours of overtime available per week, as needed, but not guaranteed. 
Employer reserves the right to pay a higher wage rate or bonus to any worker in their sole discretion, based on performance, skill, tenure, or experience. 
Optional employer housing is available at a cost of $15/day. 
A pre-employment drug screen will be required. 
Transportation to and from the worksite will be provided at no cost to the worker. 
First three weeks of employment will include 35+ hours per week of paid on the job training. </t>
  </si>
  <si>
    <t xml:space="preserve">Overtime will be paid at a rate of $25.73/hr for working more than 8hrs in any day or 40 hrs in any given week. </t>
  </si>
  <si>
    <t>P-400-23187-170579</t>
  </si>
  <si>
    <t xml:space="preserve">All deductions required by law will be made, and no deductions not required by law will me made. </t>
  </si>
  <si>
    <t>jobs@unisea.com</t>
  </si>
  <si>
    <t>www.unisea.com</t>
  </si>
  <si>
    <t>H-400-23229-272208</t>
  </si>
  <si>
    <t xml:space="preserve"> Erik</t>
  </si>
  <si>
    <t xml:space="preserve">The Petitioner will consider for employment any person who possesses at least three (3) months of experience at a high-end restaurant, resort, or private club.
Applicant must complete pre-employment background check.
</t>
  </si>
  <si>
    <t>Wage: $15.00 - $20.00 per hour, paid bi-weekly.  Please see job description for additional information.</t>
  </si>
  <si>
    <t>P-400-23175-141841</t>
  </si>
  <si>
    <t>H-400-23187-171011</t>
  </si>
  <si>
    <t xml:space="preserve">Stockers </t>
  </si>
  <si>
    <t>N J TRANS INC</t>
  </si>
  <si>
    <t>12111 SW 124 Terrace</t>
  </si>
  <si>
    <t>Jury</t>
  </si>
  <si>
    <t>Nabil</t>
  </si>
  <si>
    <t>njtransnabil@gmail.com</t>
  </si>
  <si>
    <t>Drug Testing/Screening, Background Checks, Credit Checks, reference Checks, Motor Vehicle Record Check</t>
  </si>
  <si>
    <t>P-400-23115-965610</t>
  </si>
  <si>
    <t>none applicable
Optional employer-offered housing in the backstretch at no cost to the worker.</t>
  </si>
  <si>
    <t>njtransinc.com</t>
  </si>
  <si>
    <t>H-400-23216-240690</t>
  </si>
  <si>
    <t>1776  PARK AVE</t>
  </si>
  <si>
    <t>#4-423</t>
  </si>
  <si>
    <t>PARK CITY</t>
  </si>
  <si>
    <t>1776 B PARK AVENUE</t>
  </si>
  <si>
    <t>1776  PARK AVENUE</t>
  </si>
  <si>
    <t>P-400-23146-056764</t>
  </si>
  <si>
    <t>Employer will make all deductions required
by law from each paycheck.
If the worker completes 50% of the work contract period, employer will arrange and pay directly for
transportation and subsistence from the place of recruitment to the place of work. Upon completion of the
work contract or where the worker is dismissed earlier, employer will provide or pay for workers
reasonable costs of return transportation and subsistence back home or to the place the worker originally
departed to work, except where the worker will not return due to subsequent employment with another
employer. The amount of transportation payment or reimbursement will be equal to the most economical
and reasonable common carrier for the distances involved. Daily subsistence will be provided at a rate of
$15.46 per day during travel to a maximum of $59 per day with receipts. Assistance finding and securing lodging is available. Employer will make all deductions required
by law from each paycheck.</t>
  </si>
  <si>
    <t>H-400-23215-234920</t>
  </si>
  <si>
    <t>P-400-23143-045011</t>
  </si>
  <si>
    <t>H-400-23271-392347</t>
  </si>
  <si>
    <t xml:space="preserve">The Petitioner will consider for employment any person who possesses at least three (3) months of experience at a high-end hotel, resort, or private club.  
Applicant must complete pre-employment background check.  
</t>
  </si>
  <si>
    <t>Wage: $15.66 - $17.00 per hour, paid bi-weekly.  See job description for additional detail.</t>
  </si>
  <si>
    <t>P-400-23219-244515</t>
  </si>
  <si>
    <t>H-400-23199-198313</t>
  </si>
  <si>
    <t>P-400-23150-063412</t>
  </si>
  <si>
    <t>H-400-23185-166080</t>
  </si>
  <si>
    <t>Multi-Vac Arranger</t>
  </si>
  <si>
    <t xml:space="preserve">1 month of safety/PPE/sanitation training required. 
Workers will from from 6:30am - 3:00pm OR 3:00pm - 11:30pm OR 11:00pm -7:30am. </t>
  </si>
  <si>
    <t xml:space="preserve">Exact wage rate determined by internal metrics and bargained terms. </t>
  </si>
  <si>
    <t>P-400-23122-983350</t>
  </si>
  <si>
    <t>H-400-23285-426668</t>
  </si>
  <si>
    <t>Seafood Processing Technician (Surimi and Roe)</t>
  </si>
  <si>
    <t>3015 112th Avenue NE, STE 100</t>
  </si>
  <si>
    <t xml:space="preserve">Must possess 24 months of surimi and pollock roe processing experience and technical knowledge of surimi and pollock roe processing and ability to work independently.  Must be able to grade surimi and pollock roe products for Japanese market and must be able to quickly identify and resolve any problems that arise during surimi and pollock roe processing operations. Applications and/or resumes must include required work experience and information must be verifiable.  Must be willing to work up to 12 or more hours per day, 7 days per week, depending on fish availability. Up to 84 hours per week with minimum guarantee of 35 hours per week. 
</t>
  </si>
  <si>
    <t xml:space="preserve">1200 Captain’s Bay Road </t>
  </si>
  <si>
    <t>Depending on experience, plus health insurance and potential for bonus</t>
  </si>
  <si>
    <t>P-400-23193-184481</t>
  </si>
  <si>
    <t>H-400-23268-378600</t>
  </si>
  <si>
    <t>5255 Buttermilk Falls Road</t>
  </si>
  <si>
    <t>East Stroudsburg</t>
  </si>
  <si>
    <t>Piece rate is paid per room cleaned and varies from $6 for a small unit or suite to $67.71 for a large unit or suite.</t>
  </si>
  <si>
    <t>P-400-23178-147285</t>
  </si>
  <si>
    <t>If hired, Employer is willing to facilitate housing accommodations through a third party or through Employer owned housing. Housing is limited to the period of time of temporary employment which is no more than nine (9) months and is on a first come first serve basis. Cost of housing if accepted, is no more than $150 per week payable to third party housing provider via voluntary payroll deduction as allowed by law. If housing is utilized, an agreement for housing will be required with the third-party provider. A security deposit of up to $200.00 is required, of which $50.00 is nonrefundable. Employee shall pay the deposit at $10.00 per week via voluntary payroll deduction (as allowed by law) until the deposit is paid in full, and in no event shall the total deposit payment exceed $200.00. If housing is left in good condition, $150.00 will be refunded to employee in the same method as paid.</t>
  </si>
  <si>
    <t>H-400-23185-166086</t>
  </si>
  <si>
    <t>Blender Operator</t>
  </si>
  <si>
    <t xml:space="preserve">1 month of safety/PPE/sanitation training required. 
Workers will work from approximately EITHER 6:30am - 3:00pm OR 3:00pm - 11:30pm OR 11:00pm - 7:30am. </t>
  </si>
  <si>
    <t xml:space="preserve">Exact wage amount determined by internal metrics integrated in CBA. </t>
  </si>
  <si>
    <t>P-400-23122-983424</t>
  </si>
  <si>
    <t>H-400-23248-320535</t>
  </si>
  <si>
    <t>MARY E. EPPLER RACING STABLES, INC.</t>
  </si>
  <si>
    <t>80 Squire Dr</t>
  </si>
  <si>
    <t>Eppler</t>
  </si>
  <si>
    <t>maresii@aol.com</t>
  </si>
  <si>
    <t>Employer will offer 40 hours of work per week, Wednesday through Sunday, 5:00AM to 11:00AM and 3:00PM to 5:00PM, days and hours may vary.</t>
  </si>
  <si>
    <t>P-400-23201-203300</t>
  </si>
  <si>
    <t xml:space="preserve">Standard deductions required as by law. Only lodging is provided. Lodging [room]
is provided free of charge in the backstretch. However, meals are not provided
free of charge, but are available on the premises at a cost.
</t>
  </si>
  <si>
    <t>H-400-23209-223735</t>
  </si>
  <si>
    <t>Snow Pros LLC</t>
  </si>
  <si>
    <t>2691 Joyceridge Drive</t>
  </si>
  <si>
    <t xml:space="preserve">MUST POSSESS A VALID U.S. DRIVERS LICENSE OR BE ABLE TO OBTAIN DRIVER'S LICENSE IN THE U.S. 
MUST POSSESS A VALID U.S. DRIVERS LICENSE OR BE ABLE TO OBTAIN DRIVER'S LICENSE IN THE U.S. MUST LIFT/CARRY 50 LBS., WHEN NECESSARY. OT, SATURDAY
AND SUNDAY WORK REQUIRED, WHEN NECESSARY. MUST BE ABLE TO PERFORM PHYSICAL LABOR OUTDOORS FOR UP TO 8 HOURS PER DAY IN ALL WEATHER
CONDITIONS, INCLUDING COLD, SNOW, HEAT, AND RAIN. MUST BE 18 OR OLDER. 
</t>
  </si>
  <si>
    <t>18173 Edison Ave</t>
  </si>
  <si>
    <t>D2</t>
  </si>
  <si>
    <t>P-400-23172-132325</t>
  </si>
  <si>
    <t xml:space="preserve">Employer will make all deductions required by law and no others without written consent from worker. The employer does not envision other workforce-wide payroll deductions. Potential elective deductions to be pre-authorized in writing if applicable are as follows: If needed, employer will assist in arranging optional worker-paid lodging for hired foreign and non-local U.S. workers. Employer will deduct for the reasonable fair market value cost of rent and utilities based on number of occupants for workers who voluntarily elect to live in employer-offered housing. Housing-related expenses may also paid directly to facility owner/operator and not payroll deducted, if elected.         </t>
  </si>
  <si>
    <t>H-400-23279-414431</t>
  </si>
  <si>
    <t>P-400-23183-162046</t>
  </si>
  <si>
    <t>H-400-23184-162453</t>
  </si>
  <si>
    <t>Seaboard Triumph Foods, LLC</t>
  </si>
  <si>
    <t>5555 Seaboard Triumph Parkway</t>
  </si>
  <si>
    <t>Wiedner</t>
  </si>
  <si>
    <t>Deanna Lynn</t>
  </si>
  <si>
    <t>Deanna.Wiedner@stfmail.com</t>
  </si>
  <si>
    <t>Janie@saponlaw.com</t>
  </si>
  <si>
    <t xml:space="preserve">Physical demands: The physical demands described herein are representative of those that must
be met by an employee to successfully perform the essential functions of this job. While
performing the job, the employee will stand on a hard surface for the duration of their shift and
will be required to move about the facility. The employee will perform repetitive hand and arm
movements, carry, twist, bend, kneel, climb, balance, and squat. Depending on the level of duty
assigned, the employee will: repetitively push or pull objects from less than 20 pounds and
potentially up to 85 pounds; regularly lift objects weighing less than 20 pounds and potentially
up to 100 pounds.
Work Environment: The work environment characteristics described herein are representative of
those an employee will encounter while performing the essential functions of this job. The
environment may be cold, hot, or humid, depending in which area of the facility the employee
works. The employee will regularly be exposed to strong odors and the sight of hog blood. Noise
level in the work environment is generally moderate but can be loud in the production area. The
employee will work near machinery with moving parts and vibration.
Other Requirements: Applicants will be required to undergo a drug screen prior to hire (paid for
by the employer) and pass a health assessment to ensure the applicant is capable of physically
performing the job duties prior to hire. The applicant must be available to work six days a week.
The applicant must be able to understand and comply with safety rules, operating and
maintenance instructions, and procedures manuals. No education or prior work experience is
required for this position.
</t>
  </si>
  <si>
    <t>P-400-23073-845306</t>
  </si>
  <si>
    <t xml:space="preserve">The employer will make all deductions from the worker's paycheck required by law. Employees will be offered daily transportation to and from the work location up to 30 days from the date employment begins at no cost to the employee.  After 30 days, employees will then have the option of utilizing a third-party transportation service to travel to and from the work site daily, and they will have the option of electing to have that cost deducted from their paycheck. Additionally, the employer will offer 30 days of optional housing assistance at no cost to the employee. </t>
  </si>
  <si>
    <t>stfcareers@stfmail.com</t>
  </si>
  <si>
    <t>https://seaboardtriumphfoods.com/careers-2</t>
  </si>
  <si>
    <t>H-400-23285-427396</t>
  </si>
  <si>
    <t xml:space="preserve">Be able to reach, bend, stoop and frequently lift up to 40 pounds.
 Be able to work in a standing position for long periods of time.
 Be able to work in a fast paced kitchen environment.
 Be able to work in hot, humid and loud environment for long periods of time.
OT and weekends required. Workers will work 40 hours per week.  Saturday thru  Friday .The schedule may vary but will fall between 7:00AM TO 3:30PM OR 3:30PM TO 11:30PM.  </t>
  </si>
  <si>
    <t xml:space="preserve">OPTIONAL EMPLOYER OWNED HOUSING AND MEALS/ $200.00 PER WEEK/ $400 PER PAY PERIOD .  </t>
  </si>
  <si>
    <t>H-400-23205-211715</t>
  </si>
  <si>
    <t>Zion Compassion Care</t>
  </si>
  <si>
    <t>55 S McQueen Rd</t>
  </si>
  <si>
    <t>Gilbert, Arizona</t>
  </si>
  <si>
    <t>Gyau</t>
  </si>
  <si>
    <t>Enock</t>
  </si>
  <si>
    <t>Asamoah</t>
  </si>
  <si>
    <t>Maricopa</t>
  </si>
  <si>
    <t>egyau@zioncompassion.com</t>
  </si>
  <si>
    <t>Mobility and Transfer Techniques
Nutrition and Meal Preparation
Vital Signs Monitoring
Safety and Emergency Procedures
Communication Skills
Caring for Clients with Special Needs
Emotional Support:</t>
  </si>
  <si>
    <t>Home of Hermon</t>
  </si>
  <si>
    <t>1501 N Piedmont Drive</t>
  </si>
  <si>
    <t>P-400-23167-119499</t>
  </si>
  <si>
    <t>Taxes: Employers are required to deduct federal income tax, state income tax.
Social Security and Medicare (FICA) Taxes: Employers must deduct Social Security and Medicare taxes (FICA)
Benefits and Insurance Premium
Voluntary Deductions: Employees may authorize deductions for things like voluntary contributions to charitable organizations or contributions to a flexible spending account (FSA).</t>
  </si>
  <si>
    <t>koppong@zioncompassion.com</t>
  </si>
  <si>
    <t>https://zioncompassion.com</t>
  </si>
  <si>
    <t>H-400-23215-234869</t>
  </si>
  <si>
    <t>Must be able to work weeeknds and holidays.</t>
  </si>
  <si>
    <t>P-400-23137-029662</t>
  </si>
  <si>
    <t>H-400-23215-235647</t>
  </si>
  <si>
    <t>Wage: $17.20 - $35.00 per hour, paid bi-weekly.  See job description for additional information.</t>
  </si>
  <si>
    <t>H-400-23276-407517</t>
  </si>
  <si>
    <t xml:space="preserve">Rocha Reforestation </t>
  </si>
  <si>
    <t>8008 Stayton Road SE</t>
  </si>
  <si>
    <t>Rocha</t>
  </si>
  <si>
    <t>Federico</t>
  </si>
  <si>
    <t>rochareforestation@gmail.com</t>
  </si>
  <si>
    <t>8008 Stayton Road SE (Report to Work)</t>
  </si>
  <si>
    <t>P-400-23201-203149</t>
  </si>
  <si>
    <t>H-400-23184-163120</t>
  </si>
  <si>
    <t>Helpers--Plumbers</t>
  </si>
  <si>
    <t>Epic Home Solutions, LLC</t>
  </si>
  <si>
    <t>2585 28th Ave SE</t>
  </si>
  <si>
    <t>President / Owner</t>
  </si>
  <si>
    <t>epichome33@gmail.com</t>
  </si>
  <si>
    <t>Mourick</t>
  </si>
  <si>
    <t>11100 Bonita Beach Rd</t>
  </si>
  <si>
    <t>Bonita Sprigns</t>
  </si>
  <si>
    <t>office@mouricklaw.com</t>
  </si>
  <si>
    <t>Law Offices of David Mourick</t>
  </si>
  <si>
    <t>P-400-23146-058037</t>
  </si>
  <si>
    <t>Swearingen</t>
  </si>
  <si>
    <t>H-400-23215-235880</t>
  </si>
  <si>
    <t xml:space="preserve">The Petitioner will consider for employment any person who possesses at least three (3) months of experience at a high-end restaurant, resort, or private club. Applicant must complete pre-employment background check and drug screening.
</t>
  </si>
  <si>
    <t>Wage: $13.50 - $16.60 per hour, paid bi-weekly.  Please see job description.</t>
  </si>
  <si>
    <t>P-400-23124-993121</t>
  </si>
  <si>
    <t>H-400-23215-234814</t>
  </si>
  <si>
    <t>700 Ben Franklin Drive</t>
  </si>
  <si>
    <t>P-400-23143-045007</t>
  </si>
  <si>
    <t>H-400-23214-234540</t>
  </si>
  <si>
    <t>Snow remover</t>
  </si>
  <si>
    <t xml:space="preserve">Must be able to lift and carry 75lbs of snow for 30 yds. Must be able to handle temperature extremes. Some weekend work
</t>
  </si>
  <si>
    <t xml:space="preserve">Cavalier </t>
  </si>
  <si>
    <t>PEMBINA</t>
  </si>
  <si>
    <t>P-400-23177-143682</t>
  </si>
  <si>
    <t>All deductions from the worker’s paycheck will be made as required by law.  Any advances will be deducted with the consent of the employee. Housing will be provided at no additional cost for employees living outside the regular commuting distance of the jobsite.</t>
  </si>
  <si>
    <t>H-400-23234-284537</t>
  </si>
  <si>
    <t xml:space="preserve">The Petitioner will consider for employment any person who possesses at least three (3) months of housekeeping experience at a high-end hotel, resort, or private club. Applicant must complete pre-employment background check.  
</t>
  </si>
  <si>
    <t xml:space="preserve"> Wage: $17.00-$18.00 per hour, paid bi-weekly.  Please see job description for additional information.</t>
  </si>
  <si>
    <t>P-400-23178-145905</t>
  </si>
  <si>
    <t xml:space="preserve">Optional housing is offered on a first-come, first-serve basis to workers who are relocating.  Cost of housing, if accepted, is $200.00 - $300.00 per bi-weekly pay period.  If used, total cost of housing will be deducted from paycheck. Additional deductions may be taken from paycheck, only if voluntarily elected by worker, including the following: the cost for replacement of lost name tag and the cost for replacement of a lost bus pass.
</t>
  </si>
  <si>
    <t>H-400-23184-165502</t>
  </si>
  <si>
    <t>Park Attendants</t>
  </si>
  <si>
    <t>Francis Landscaping &amp; Multi Services LLC</t>
  </si>
  <si>
    <t>3447 DAYLILY LN</t>
  </si>
  <si>
    <t>francislsms1@gmail.com</t>
  </si>
  <si>
    <t xml:space="preserve">PRE-HIRE CRIMINAL BACKGROUND CHECKS TO BE CONDUCTED. Second Shift 5PM to 1AM.
</t>
  </si>
  <si>
    <t>400 Bonnet Springs Blvd.</t>
  </si>
  <si>
    <t>P-400-23130-010865</t>
  </si>
  <si>
    <t>All employees are required to pay a housing deposit of $250 which will be deducted in $50.00 increments starting with the first paycheck until the deposit is paid in full. At the end of the season employer will reimburse deposit based on the damage and repair cost to housing and furnishing. Assistance with shared lodging is available at $135/week if elected. Transportation to and from worksite provided at a cost of $32/week if elected. If elected, Lodging and Transportation costs will be deducted from paycheck. Employer will make all deductions from paycheck as required by law.</t>
  </si>
  <si>
    <t>www.careersourcepolk.com</t>
  </si>
  <si>
    <t>H-400-23229-274792</t>
  </si>
  <si>
    <t>Services HPS Best, LLC</t>
  </si>
  <si>
    <t>0069 Edwards Access Road, Building 2, Suite 5 (physical)</t>
  </si>
  <si>
    <t>Olivas Montoya</t>
  </si>
  <si>
    <t>services@hpsbest.com</t>
  </si>
  <si>
    <t xml:space="preserve">Must be able to stand, bend, kneel and reach high areas to clean, move up and down stairs and regularly lift and/or move up to 10 pounds.  Must be able to withstand exposure to chemicals used in cleaning products.  
F.a.5 A-H. (cont.)
Work week is Monday - Friday. May require some weekends. 
</t>
  </si>
  <si>
    <t>40801 Hwy 6 &amp; 24, Suite 3</t>
  </si>
  <si>
    <t xml:space="preserve">+DOE. 50% Bus Pass Reimbursement. </t>
  </si>
  <si>
    <t>P-400-23186-168547</t>
  </si>
  <si>
    <t>H-400-23229-273426</t>
  </si>
  <si>
    <t xml:space="preserve">Stein Eriksen Lodge Management </t>
  </si>
  <si>
    <t>P-400-23157-082485</t>
  </si>
  <si>
    <t>H-400-23194-186917</t>
  </si>
  <si>
    <t>MD Management &amp; Consulting</t>
  </si>
  <si>
    <t>2389 S. Hwy 33</t>
  </si>
  <si>
    <t xml:space="preserve">Lift and sustain 50 lbs. No education/experience required. On-the-job training available.
</t>
  </si>
  <si>
    <t>Poss. raises, bonuses, or incentives dependent on tenure w/company, experience, or job performance.</t>
  </si>
  <si>
    <t>P-400-23154-076398</t>
  </si>
  <si>
    <t>All deductions required by law will be deducted from worker pay.</t>
  </si>
  <si>
    <t>j.searle@mdlandscaping.com</t>
  </si>
  <si>
    <t>H-400-23215-236211</t>
  </si>
  <si>
    <t>P-400-23114-960786</t>
  </si>
  <si>
    <t>H-400-23208-219403</t>
  </si>
  <si>
    <t>P-400-23113-957841</t>
  </si>
  <si>
    <t xml:space="preserve">Optional subsidized employee housing is available but limited.  Space may not be available for all employees.  Biweekly cost is $310.00 to $330.00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</si>
  <si>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H-400-23248-319383</t>
  </si>
  <si>
    <t xml:space="preserve">Six months of experience as a server or dining room attendant in a fine dining environment. Must be available to work all shifts, including weekends, evenings, and holidays. 
</t>
  </si>
  <si>
    <t>P-400-23179-152229</t>
  </si>
  <si>
    <t xml:space="preserve">Deductions: Employer will make all deductions from workers’ paycheck required by law; and optional onsite employee housing. Potential elective deductions to be preauthorized in writing if applicable are as follows: Voluntary advances and/or loans made to workers, if any, may be repaid by pre-authorized payroll deductions. Housing: Optional onsite employee housing is available for a fee. Cost of housing is between $50 to $150 weekly. Prices vary based on type of accommodations available single or shared room). Housing is paid through payroll deductions. Daily Transportation: Transportation is only provided to employees who elect to live in onsite employee house, at no additional cost.
</t>
  </si>
  <si>
    <t>H-400-23215-235238</t>
  </si>
  <si>
    <t xml:space="preserve">One-year of culinary experience in a fine-dining or high-volume environment at a high-end restaurant, resort or private beach club required. Applicant must complete pre-employment background check and drug screening.
</t>
  </si>
  <si>
    <t>P-400-23122-986157</t>
  </si>
  <si>
    <t>The employer will make all deductions from the worker’s paycheck required by law. Additional deductions may include housing (if applicable).
Housing: Optional employee housing maybe available. Housing is on a first-come, first-serve basis for workers who are relocating to begin employment. If accepted, cost of housing is $24 per day. Cost of housing is paid via payroll deduction.</t>
  </si>
  <si>
    <t>H-400-23229-273368</t>
  </si>
  <si>
    <t xml:space="preserve">7700 Stein Way </t>
  </si>
  <si>
    <t>P-400-23157-082428</t>
  </si>
  <si>
    <t>H-400-23279-414439</t>
  </si>
  <si>
    <t>P-400-23183-162054</t>
  </si>
  <si>
    <t>H-400-23187-169072</t>
  </si>
  <si>
    <t>Elite Hospitality Staffing Inc</t>
  </si>
  <si>
    <t xml:space="preserve">295 Moon Clinton Road </t>
  </si>
  <si>
    <t>Samuels</t>
  </si>
  <si>
    <t>Angella</t>
  </si>
  <si>
    <t>elitehospitalitystaffing.us@gmail.com</t>
  </si>
  <si>
    <t>Saturday and Sunday work required, when necessary. Employer-paid drug testing required of foreign and domestic workers in this position prior to commencing work and post-hire at random. Background check required of all workers in this position prior to commencing work.</t>
  </si>
  <si>
    <t>1 Industry Lane</t>
  </si>
  <si>
    <t>P-400-23136-027855</t>
  </si>
  <si>
    <t xml:space="preserve">Employer makes all payroll deductions required by law. Employer does not envision other workforce-wide payroll deductions. Voluntary deductions must be pre-authorized in writing and may include the following: First set of uniforms provided at no cost. Employer may deduct cost for voluntary purchase of additional uniforms for worker’s benefit. Employer will deduct for reasonable fair market value cost of rent/utilities based on number of occupants for workers electing to reside in employer-provided housing. Employer will offer daily transportation to and from the worksite from a centralized designated pick-up place at no cost to workers. Use of this transportation is voluntary. </t>
  </si>
  <si>
    <t>H-400-23283-420387</t>
  </si>
  <si>
    <t>CLM Attractions LLC</t>
  </si>
  <si>
    <t>Twisted Amusements</t>
  </si>
  <si>
    <t>2801 Holly Road</t>
  </si>
  <si>
    <t>Chrissy</t>
  </si>
  <si>
    <t>twistedamusements@gmail.com</t>
  </si>
  <si>
    <t>P-400-23198-193779</t>
  </si>
  <si>
    <t xml:space="preserve">Employer will make all deductions from the worker’s paycheck required by law.  In addition, the employer intends to make the following deductions from the worker’s paycheck which are not required by law:   NONE Optional mobile housing (valued at $35.00 per week) and local convenience travel (valued at $15.00 per week) are available at no cost to the worker.  </t>
  </si>
  <si>
    <t>H-400-23280-416932</t>
  </si>
  <si>
    <t>Odyssey Foods, LLC</t>
  </si>
  <si>
    <t xml:space="preserve">11634 S Warpaint Drive </t>
  </si>
  <si>
    <t>Palmieri</t>
  </si>
  <si>
    <t xml:space="preserve">11634 S Warpath Dr </t>
  </si>
  <si>
    <t>dominic@rcsfun.com</t>
  </si>
  <si>
    <t>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7days/wk. Post-employment/post-injury or incident and reasonable suspicion drug test required, cost paid by employer and applied equally to all workers, US and foreign/H2B. Applicants must cooperate with and complete job application and interview truthfully.</t>
  </si>
  <si>
    <t xml:space="preserve">1826 W McDowell Rd </t>
  </si>
  <si>
    <t>P-400-23173-135855</t>
  </si>
  <si>
    <t xml:space="preserve">Employer reserves the option to provide additional compensation for performance/tenure or may increase wages based on changes in market conditions. No education or experience required. Pay received weekly, single workweek used for computing wages. Employer will make all deductions from worker’s paycheck required by law. Employer’s optional shared housing ($120/wk.) is available for wage credit and/or deduction, or any lesser amount to the maximum extent not prohibited by law. Employer will pay the cost of this housing to the extent such cost would reduce pay below the offered wage rate for the areas of intended employment. Local convenience travel valued at ($20/wk.), and food available for wage credit and/or deduction, or any lesser amount to the maximum extent not prohibited by law.
Employer will provide workers at no charge all tools, supplies, equipment and uniform required to perform job. </t>
  </si>
  <si>
    <t>H-400-23291-440347</t>
  </si>
  <si>
    <t>Human Resources &amp; marketing/ Sales Specialist</t>
  </si>
  <si>
    <t>Human Resources Managers, Marketing &amp;Sales Managers</t>
  </si>
  <si>
    <t>Pacific Rim Services, LLC</t>
  </si>
  <si>
    <t>Redmond/Central Oregon KOA Holiday</t>
  </si>
  <si>
    <t>2435 SW Jericho Lane</t>
  </si>
  <si>
    <t>503-975-7734</t>
  </si>
  <si>
    <t>Higley</t>
  </si>
  <si>
    <t>Expert level skills as an Hospitality HR Manager , as well as a Marketing/Sales Manager</t>
  </si>
  <si>
    <t>surrey1594@yahoo.com</t>
  </si>
  <si>
    <t>Same</t>
  </si>
  <si>
    <t>H-400-23310-481189</t>
  </si>
  <si>
    <t>TLPB Associates, LLC</t>
  </si>
  <si>
    <t>Tideline Ocean Resort &amp;Spa</t>
  </si>
  <si>
    <t>2842 S Ocean Blvd</t>
  </si>
  <si>
    <t>Must have at least two (2) months of prior full-time service experience in a luxury hospitality setting. Experience must be verifiable. Must pass a pre-hire background check, carried out equally between U.S. workers and H-2B workers. Must be available to work split-shifts, nights, weekends &amp; holidays as needed. Must be able to lift, pull, push or carry up to 25 lbs or more, and walk or stand for long periods of time. Must maintain a professional appearance and be able to articulate in English. Must have excellent communication skills. Must be
detailed/people-oriented and focused on genuine customer service. Must have the ability to multi-task and prioritize effectively.</t>
  </si>
  <si>
    <t>P-400-23148-059559</t>
  </si>
  <si>
    <t>$160 deduction per week for workers who elect to use employer-provided housing. Employer will make all deductions requires by law</t>
  </si>
  <si>
    <t>H-400-23186-167005</t>
  </si>
  <si>
    <t>1 month safety/ppe/sanitation training required 
Workers will work 1st, 2nd, or 3rd shift. 
1st Shift Start: 5:30am - 8:30am 
1st Shift End: 2:30pm - 6:30pm
2nd Shift Start: 2:30pm - 6:30pm
2nd Shift End: 10:30pm - 3:30am
3rd Shift Start: 10:30pm - 7:00am</t>
  </si>
  <si>
    <t>P-400-23122-983166</t>
  </si>
  <si>
    <t>H-400-23186-168303</t>
  </si>
  <si>
    <t>Shipfitter</t>
  </si>
  <si>
    <t>Must pass a company practical test based on objective standards.  Work on Saturdays may be required.</t>
  </si>
  <si>
    <t>P-400-23137-031906</t>
  </si>
  <si>
    <t>The employer will provide lodging for the worker for the duration of 10 months.	The employer will not make any deductions from the worker's payment for lodging.</t>
  </si>
  <si>
    <t>H-400-23184-165340</t>
  </si>
  <si>
    <t>Live-in Nanny</t>
  </si>
  <si>
    <t>Phillip Scott Holland</t>
  </si>
  <si>
    <t>1082 West Dutch Lane</t>
  </si>
  <si>
    <t>Sole Prop</t>
  </si>
  <si>
    <t>psholland@mac.com</t>
  </si>
  <si>
    <t xml:space="preserve">Post-employment, employer-paid drug test may be administered.  Must be able to live with family in home.  Must have experience with early childcare, administering first aid, and cooking for families.  Must possess a valid drivers license and safe driving record.  Must be committed to a period of three years of service.
Work days: Monday - Friday and may work weekend.
Hours per week: 60 hours per week
Work Schedule: 1am-1:00pm availability
Wages and Pay Frequency:
Basic Hourly Wage: $13.69/hr
Overtime Hourly Wage:$13.69/hr 
Pay Frequency: Bi-weekly
Additional information about wage:
Employer may offer a raise or bonus depending on experience and merit.
Daily Transportation provided to all worksite locations from primary worksite? N/A
Does employer offer a ride to primary worksite location to workers living within a reasonable
commute:  N/A
Overtime available? Yes. Overtime hours are available, but overtime pay at 1.5x the base amount is NOT available as this position is exempt from the FLSA's overtime pay requirement.
On-the-Job Training provided?  No
Employer-Provided Tools and Equipment provided?  Yes
Board, Lodging or Other Facilities provided?:   Housing provided free of charge
</t>
  </si>
  <si>
    <t>"Employer may offer a raise or bonus depending on experience and merit."  position is exempt from the FLSA's overtime.</t>
  </si>
  <si>
    <t>P-400-23118-976243</t>
  </si>
  <si>
    <t>Housing is provided free of charge.</t>
  </si>
  <si>
    <t>holphi5@yahoo.com</t>
  </si>
  <si>
    <t>H-400-23184-164842</t>
  </si>
  <si>
    <t>Ham Boner</t>
  </si>
  <si>
    <t>1 month of safety/sanitation training required. 
Workers will work EITHER 6:15am - 2:30pm OR 3:00pm - 11:30pm</t>
  </si>
  <si>
    <t xml:space="preserve">Exact wage rate determined by internal metrics. Workers may be eligible for plant-wide incentive program. </t>
  </si>
  <si>
    <t>P-400-23121-979848</t>
  </si>
  <si>
    <t>H-400-23184-164308</t>
  </si>
  <si>
    <t>House Attendant</t>
  </si>
  <si>
    <t>P-400-23125-997620</t>
  </si>
  <si>
    <t>All required taxes.  If employee signs up for benefits (optional), those will be deducted. Amounts will very depending on the benefits chosen. Employer will assist workers securing board, lodging, or other facilities. Employer will make available hotel rooms for up to two weeks at no charge. Employer will also assist workers with the search tools to secure their own.</t>
  </si>
  <si>
    <t>H-400-23215-234809</t>
  </si>
  <si>
    <t>1721 Clydesdale Avenue</t>
  </si>
  <si>
    <t xml:space="preserve">Wellington </t>
  </si>
  <si>
    <t>P-400-23093-898042</t>
  </si>
  <si>
    <t>firstblue@yahoo.com</t>
  </si>
  <si>
    <t>H-400-23216-239756</t>
  </si>
  <si>
    <t>W.R. Logistics, LLC</t>
  </si>
  <si>
    <t>Mailing: 1883 W Royal Hunte Dr Suite 200A Cedar City, UT 84</t>
  </si>
  <si>
    <t>1883 W Royal Hunte Dr</t>
  </si>
  <si>
    <t>Valid driver's license or ability to obtain within 30 days, clean driving record, post hire drug test (paid by employer)
35 hrs/wk, M-Sun 8am-1pm, hours and workdays may vary depending on weather.</t>
  </si>
  <si>
    <t xml:space="preserve">Employer may assist in locating optional housing.
Employer may charge the worker for reasonable costs related to the worker's refusal or negligent failure to return any property furnished by the employer or due to such worker's willful damage or destruction of such property. Deductions may be taken per employee's request. SEE ADDENDUM.
</t>
  </si>
  <si>
    <t>d.carnagua@wildridgelandscape.com</t>
  </si>
  <si>
    <t>H-400-23188-174675</t>
  </si>
  <si>
    <t>CORE Framing LLC</t>
  </si>
  <si>
    <t>Sioux FallS</t>
  </si>
  <si>
    <t>Hyde</t>
  </si>
  <si>
    <t xml:space="preserve"> 4615 S Techlink Cir</t>
  </si>
  <si>
    <t>brady@empirecompanies.com</t>
  </si>
  <si>
    <t xml:space="preserve">Must be able to lift and carry 75 lbs for 75 yards. Must be able to handle temperature extremes.
</t>
  </si>
  <si>
    <t xml:space="preserve">Wage rate may vary based on experience and/or merit. </t>
  </si>
  <si>
    <t>P-400-23152-069088</t>
  </si>
  <si>
    <t>All deductions from the employee's paycheck will be made as required by law. The employer will use a single workweek as its standard for computing wages and pay weekly by check. Employers will provide optional housing. Employees who elect to live in housing will have an additional $112.50 deduction per weekly paycheck for rent and utilities and $25 deduction per weekly paycheck for transportation. Any advances will be deducted with the consent of the employee.</t>
  </si>
  <si>
    <t>hr@empirecompanies.com</t>
  </si>
  <si>
    <t>H-400-23269-380025</t>
  </si>
  <si>
    <t>Thoroughbred Racehorse Exercise Rider</t>
  </si>
  <si>
    <t>Kenneth McPeek Racing Stable, Inc.</t>
  </si>
  <si>
    <t>2651 Russell Cave Rd.</t>
  </si>
  <si>
    <t>Pachuta</t>
  </si>
  <si>
    <t>Lauryn</t>
  </si>
  <si>
    <t>office@mcpeekracing.com</t>
  </si>
  <si>
    <t>Experience as an exercise rider or jockey.</t>
  </si>
  <si>
    <t>901 S. Federal Hwy.</t>
  </si>
  <si>
    <t>P-400-23186-166189</t>
  </si>
  <si>
    <t>All Federal, state and local deductions as required by law.</t>
  </si>
  <si>
    <t>H-400-23192-179460</t>
  </si>
  <si>
    <t>Aramark Educational Services, LLC</t>
  </si>
  <si>
    <t>150 Bluestone Dr JMU, MSC 0901</t>
  </si>
  <si>
    <t>Kottmer</t>
  </si>
  <si>
    <t xml:space="preserve">Requires three months of cook experience. Must lift/carry 25 lbs., when necessary.  Saturday and Sunday work required, when necessary.  The actual work schedule for each day of the week is subject to change. An employee may work alternating days or shifts. We will offer at least 40 hours in a typical workweek. Employer offers a $2.00-$4.00/hour shift differential and incentive at Harrisonburg worksite locations depending on time and day of shift. Any shift ending past 11:30pm receives an extra $2.00/hour for the whole shift. All hours worked between 5:00pm Friday and 2:00am Monday receive an additional $2.00/hour (during these hours only). Both shift differentials can be earned for a total of an additional $4.00/hour when conditions are met. The shift differentials are only applicable at Harrisonburg worksite locations. Employer offers $17.00/hour for employees working in Charlottesville area locations. Employer-paid post-hire upon suspicion of use and post-accident drug testing required of foreign and domestic workers. Post-hire background check and employment eligibility (e-Verify) check required of foreign and domestic workers.
</t>
  </si>
  <si>
    <t>150 Bluestone Dr, JMU, MSC 0901</t>
  </si>
  <si>
    <t>HARRISONBURG CITY</t>
  </si>
  <si>
    <t>P-400-23139-039205</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</si>
  <si>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No daily transportation to/from workers' home and primary worksite. Employer provides incidental transportation between multiple worksites as necessary. Such transportation complies with all applicable Federal, State, and local laws/regulations.</t>
  </si>
  <si>
    <t>jmudininghrpayroll@jmu.edu</t>
  </si>
  <si>
    <t>H-400-23189-175536</t>
  </si>
  <si>
    <t>Nursery Worker  - Greenhouse Planting &amp; Production</t>
  </si>
  <si>
    <t>Valley Floral Company LLC</t>
  </si>
  <si>
    <t>4619 N. Arkansas</t>
  </si>
  <si>
    <t>carlos@valleyfloral.com</t>
  </si>
  <si>
    <t>4919 N. Arkansas</t>
  </si>
  <si>
    <t>P-400-23151-064839</t>
  </si>
  <si>
    <t xml:space="preserve">None other than required state and federal withholdings. </t>
  </si>
  <si>
    <t>H-400-23213-230877</t>
  </si>
  <si>
    <t>Proffer Wholesale Produce Inc</t>
  </si>
  <si>
    <t>920 5th St</t>
  </si>
  <si>
    <t>Mailing: PO Box 625 , Park Hills, MO 63601</t>
  </si>
  <si>
    <t>Park Hills</t>
  </si>
  <si>
    <t>Proffer</t>
  </si>
  <si>
    <t>Benjy</t>
  </si>
  <si>
    <t xml:space="preserve">Requires 6 months of experience driving heavy tractor-trailers with a CDL license.  Must lift/carry 60 lbs., when necessary. Requires physical stamina and manual dexterity. Saturday and Sunday work required, when necessary. Post-hire employment eligibility (e-Verify) check required of foreign and domestic workers. Day and night delivery work required. CDL class A or Class B with air brake license. Must unload customer orders with hand truck or pallet jacks, maintain all driver logs, bills of lading, proof of delivery and receipts, 10 hour DOT required breaks are not paid. Employer-paid drug testing required of foreign and domestic workers prior to commencing work and post-hire at random, upon suspicion of use, and post-accident.
</t>
  </si>
  <si>
    <t xml:space="preserve">920 5th St </t>
  </si>
  <si>
    <t>ST FRANCOIS</t>
  </si>
  <si>
    <t>P-400-23174-140102</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</si>
  <si>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    Uniform provided at no cost. Employer may deduct cost for voluntary purchase of additional uniforms for worker's benefit.</t>
  </si>
  <si>
    <t>hr@profferproduce.com</t>
  </si>
  <si>
    <t xml:space="preserve">https://app-jobs.mo.gov/vosnet/Default.aspx </t>
  </si>
  <si>
    <t>H-400-23198-192524</t>
  </si>
  <si>
    <t>Fair Foods LLC</t>
  </si>
  <si>
    <t>Bluhm</t>
  </si>
  <si>
    <t>fairfoodsinc@yahoo.com</t>
  </si>
  <si>
    <t xml:space="preserve">Hours, schedule, and days vary widely.  
Typically, Sat-Sun, 10AM-7PM. No over time expected
Often 35-40 hours per week, may go up to 45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t>
  </si>
  <si>
    <t>1200 16th St SW</t>
  </si>
  <si>
    <t>P-400-23128-001833</t>
  </si>
  <si>
    <t>Daily commuting is provided.  Optional shared housing ($100/month)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t>
  </si>
  <si>
    <t>fairfoodsinc@gmail.com</t>
  </si>
  <si>
    <t>H-400-23184-165416</t>
  </si>
  <si>
    <t>7400 Deering Ave</t>
  </si>
  <si>
    <t>Canoga Park</t>
  </si>
  <si>
    <t>P-400-23110-950984</t>
  </si>
  <si>
    <t>H-400-23336-539257</t>
  </si>
  <si>
    <t>GARDENS BY ROMI</t>
  </si>
  <si>
    <t>23 CEDAR LANE</t>
  </si>
  <si>
    <t>SLOAN</t>
  </si>
  <si>
    <t>ROMI</t>
  </si>
  <si>
    <t>P-400-23205-208963</t>
  </si>
  <si>
    <t>romi@gardensbyromi.com</t>
  </si>
  <si>
    <t>H-400-23240-300890</t>
  </si>
  <si>
    <t>FINFISHING DECKHAND ON COMMERCIAL LONGLINER</t>
  </si>
  <si>
    <t>J &amp; B FISHERIES AND FARMS LLC</t>
  </si>
  <si>
    <t>829 SIMMONS RD</t>
  </si>
  <si>
    <t>Ruston</t>
  </si>
  <si>
    <t xml:space="preserve">Chicola </t>
  </si>
  <si>
    <t xml:space="preserve">RUSTON, </t>
  </si>
  <si>
    <t>chicola9701@gmail.com</t>
  </si>
  <si>
    <t>Linarte</t>
  </si>
  <si>
    <t xml:space="preserve">Israel </t>
  </si>
  <si>
    <t>206 Piver Road</t>
  </si>
  <si>
    <t xml:space="preserve">Beaufort </t>
  </si>
  <si>
    <t>israelinarte@gmail.com</t>
  </si>
  <si>
    <t>Crew Readiness Services</t>
  </si>
  <si>
    <t xml:space="preserve">Be skillful with long-liner and bandits.  Excluding the time required to travel between fishing ground.  we procure to guarantee up to 40 hours per week with overtime depending on availability or abundance of catch. Our breakdown of the hour is our best attempt to distribute such hours.  Hours per day can change accordingly.  While traveling to or in between fishing grounds there could be no work hours for days at a time.  once there, hours per days could include eight (8) or more daily.   One cannot predict this but rely on electronic devices, knowledge, and experience increase the odds in our favor.  Fish schools could be found during the morning, evening, and even midnight depending on migration patterns, weather, tides, and season of the year.  
</t>
  </si>
  <si>
    <t xml:space="preserve">9484 Grand Caillou Road </t>
  </si>
  <si>
    <t xml:space="preserve">Dulac </t>
  </si>
  <si>
    <t xml:space="preserve"> $19.19 per hour (Overtime $28.79 per hour) or an average of 16% of catch proceeds, whichever is greater. </t>
  </si>
  <si>
    <t>P-400-23158-089245</t>
  </si>
  <si>
    <t>The worker will be paid by check every two weeks or according to the prevailing practice in the area of intended employment (Exclusive Economic Zone in the Gulf of Mexico) whichever is more frequent. Employer will make all deductions from the worker's check as required and allowed by law. Also, as it is customary in our industry, monetary advances could be given at the request of workers upon being hired. Employer will use a single workweek as its standard for computing wages due. Advances, pay, and deductions will be reflected in the Share Sheet given with the check. 
Employer provides, free of charge to the worker, safety gear, tools, supplies, and
equipment required to perform the assigned duties. Food and
lodging are optional while not at sea at no cost to the worker.
Workers are free to option out and search for the food and lodging
options of their choice in between trips. Employer will reimburse the
worker for transportation to the job site once the worker completes
50 percent</t>
  </si>
  <si>
    <t>H-400-23283-421529</t>
  </si>
  <si>
    <t>Organic Lawn Technician</t>
  </si>
  <si>
    <t>Good Nature Organic Lawn Care, LLC</t>
  </si>
  <si>
    <t>7621 Old Rockside Road</t>
  </si>
  <si>
    <t>Sabine</t>
  </si>
  <si>
    <t>jasons@whygoodnature.com</t>
  </si>
  <si>
    <t>Zena</t>
  </si>
  <si>
    <t>600 East Granger Road</t>
  </si>
  <si>
    <t>zelliott@gertsburglicata.com</t>
  </si>
  <si>
    <t>Gertsburg Licata Co., LPA</t>
  </si>
  <si>
    <t xml:space="preserve">Valid driver's license with insurance
Minimal points on driving record; the ability to lift 50 lbs and perform physical aspects of the job; the ability to work in all climates and weather conditions.
</t>
  </si>
  <si>
    <t>260 Cortland Avenue</t>
  </si>
  <si>
    <t>P-400-23243-313473</t>
  </si>
  <si>
    <t>Federal and state income tax, FICA taxes</t>
  </si>
  <si>
    <t xml:space="preserve">https://www.whygoodnature.com/organic-lawn-technician-position </t>
  </si>
  <si>
    <t>H-400-23307-476829</t>
  </si>
  <si>
    <t>Brookway Horticultural Services, Inc.</t>
  </si>
  <si>
    <t>P-400-23208-220082</t>
  </si>
  <si>
    <t>Employer makes all payroll deductions required by law. Employer does not envision other workforce-wide payroll deductions. Voluntary advances and/or loans made to workers, if any, may be repaid by pre-authorized payroll deductions.  Employer may deduct reasonable cost for lost/damaged tools or equipment resulting from worker negligence.  No daily transportation to/from workers' home and primary worksite. Employer provides incidental transportation between multiple worksites as necessary. Such transportation complies with all applicable Federal, State, and local laws/regulations.</t>
  </si>
  <si>
    <t>H-400-23321-509020</t>
  </si>
  <si>
    <t>CM Amusement &amp; Productions, Inc</t>
  </si>
  <si>
    <t>11721 Whittier Blvd Suite #503</t>
  </si>
  <si>
    <t>Whittier</t>
  </si>
  <si>
    <t>mike@cmamusement.com</t>
  </si>
  <si>
    <t xml:space="preserve">Whittier </t>
  </si>
  <si>
    <t>P-400-23261-354723</t>
  </si>
  <si>
    <t>A.I.D. Enterprises LLC</t>
  </si>
  <si>
    <t>dunphyj34@yahoo.com</t>
  </si>
  <si>
    <t>31 W Center Street</t>
  </si>
  <si>
    <t>Mindy</t>
  </si>
  <si>
    <t>mindy@thewestsideyard.com</t>
  </si>
  <si>
    <t>wind@millsconcrete.com</t>
  </si>
  <si>
    <t>H-400-23335-535599</t>
  </si>
  <si>
    <t>LANDSCAPERS AND GROUNDSKEEPERS</t>
  </si>
  <si>
    <t>Smoketree Landscape Services, Inc. (SMK124A)</t>
  </si>
  <si>
    <t>13384 SEYMOUR MYERS BLVD</t>
  </si>
  <si>
    <t>Driscoll</t>
  </si>
  <si>
    <t>13384 Seymour Myers Blvd</t>
  </si>
  <si>
    <t>melissa@smoketreelandscape.com</t>
  </si>
  <si>
    <t xml:space="preserve">MUST BE ABLE TO TOLERATE EXTREME TEMPERATURES, LOUD NOISES; LIFT HEAVY EQUIPMENT up to 50 lbs, and stand or walk for upwards of 6 hours per day.  AND EXHIBIT STAMINA. OPERATE EQUIPMENT WHILE SOBER.  POST-EMPLOYMENT EMPLOYER-PAID DRUG TEST MAY BE ADMINISTERED. Must be available entire work contract.
Work days: M-F; Sat depending on weather, schedule may vary
Hours per week: 40
Work Schedule: 6:45am  4:45pm, hours may vary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No
Overtime available?  Yes
On-the-Job Training provided?  Yes
Employer-Provided Tools and Equipment provided?  Yes
Board, Lodging or Other Facilities provided?:   No
Deductions: N/A 
</t>
  </si>
  <si>
    <t xml:space="preserve">Covington </t>
  </si>
  <si>
    <t>P-400-23264-366609</t>
  </si>
  <si>
    <t>smoketree@att.net</t>
  </si>
  <si>
    <t>https://smoketreelandscape.com/</t>
  </si>
  <si>
    <t>H-400-23326-521592</t>
  </si>
  <si>
    <t>Refrigeration Technician (Cooling and Freezing equipment ope</t>
  </si>
  <si>
    <t xml:space="preserve">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Delivery and availability of seafood product from fisherman may result in possible downtimes due to weather conditions. 
</t>
  </si>
  <si>
    <t>329 Katlian St (Report to Work)</t>
  </si>
  <si>
    <t>P-400-23195-191526</t>
  </si>
  <si>
    <t>Optional, shared housing available to the worker at a monthly housing rate up to $465; if optional housing is agreed upon by the worker, monthly housing rate will be deducted from worker's paycheck incrementally (bi-weekly).At Employer’s sole discretion: possible cash advances (if applicable/requested by worker, potential deduction from worker’s paycheck).</t>
  </si>
  <si>
    <t>H-400-23276-407388</t>
  </si>
  <si>
    <t>DIRECTOR OF FINANCE</t>
  </si>
  <si>
    <t xml:space="preserve">No minimum education or education required.  Must be able to lift, push, and pull up to 50 lbs.  Must pass a post-employment criminal background check, paid by employer and applied equally to all workers, U.S. and foreign/H-2B.  Must be able to work a minimum 5-day work schedule, including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$59.00 per day with receipts. If necessary, employer will reimburse worker within first pay period for approved cost of meals and lodging at the applicable exchange rate, not to exceed reasonable costs. Receipts must be submitted.The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Required uniform pieces provided at no cost to employee.  The employer guarantees to offer work for hours equal to at least three-fourths of the workdays in each 12-week period of the total employment period.
</t>
  </si>
  <si>
    <t>P-400-23205-211141</t>
  </si>
  <si>
    <t xml:space="preserve">Employer will make all deductions from the worker's paycheck required by law. Optional employee shared housing available, including utilities, at approx. $160 per week. A housing deposit of $450 is required, and it will be payroll deducted $22.50 for 20 weeks if worker elects (refundable upon housing inspection). Public transportation is available for a one-time fee of $26, available for payroll deduction if worker elects. One optional meal per shift available in the employee cafeteria, approximate cost $1 payroll deducted if worker elects.
</t>
  </si>
  <si>
    <t>H-400-23307-476205</t>
  </si>
  <si>
    <t>B-Thrilled Attractions, LLC</t>
  </si>
  <si>
    <t>Blake's Concessions</t>
  </si>
  <si>
    <t>901 Firwood St</t>
  </si>
  <si>
    <t>Chesaning</t>
  </si>
  <si>
    <t>Katrine</t>
  </si>
  <si>
    <t>901 Firwood Street</t>
  </si>
  <si>
    <t>katrine11@me.com</t>
  </si>
  <si>
    <t>P-400-23199-196574</t>
  </si>
  <si>
    <t>H-400-23321-508584</t>
  </si>
  <si>
    <t>Kyle Wells LLC</t>
  </si>
  <si>
    <t>T and T Lawn Care</t>
  </si>
  <si>
    <t>16604 Kolbie Manors Court</t>
  </si>
  <si>
    <t>Kyle@TandTLawnCare.net</t>
  </si>
  <si>
    <t xml:space="preserve">Must be able to work a 5-day schedule, including weekends and holidays as required. Must be willing and able to work overtime when necessary. Applicants must complete an employment application. 
</t>
  </si>
  <si>
    <t>1624 Old Eatherton Road</t>
  </si>
  <si>
    <t>P-400-23265-371959</t>
  </si>
  <si>
    <t xml:space="preserve">Employer will make all deductions from the worker's paycheck required by law and deduct approved cost of housing if worker elects. Optional employee-only shared housing; approximate cost $80 per week, including utilities. No deposit required.
Daily transportation provided from main worksite to multiple worksites St Louis &amp; St Charles Counties, MO.
Employer will provide worker at no charge all tools, supplies, equipment, and uniform required to perform job.
</t>
  </si>
  <si>
    <t>H-400-23313-489301</t>
  </si>
  <si>
    <t>P-400-23193-183348</t>
  </si>
  <si>
    <t xml:space="preserve">Employer will make all deductions from the worker's paycheck required by law. Optional dormitory style shared housing for employees only, approximate cost $120-$175 per week, and includes utilities. $300 deposit payroll deducted if worker elects. $200 of housing deposit is refundable if you complete the full contract and the housing is clean. Housing cost varies with unit size, amenities and number of occupants. Optional daily transportation between employer housing and worksite, approximate cost $25 per week payroll deducted if worker elects. Optional meal tickets available for approximately $3-$6, payroll deducted if worker elects. Cost of additional shoes payroll deducted if worker elects. Optional Medical Insurance available and payroll deducted if the worker elects, cost is $40-$125 biweekly.
Employer will provide worker at no charge all tools, supplies, and equipment required to perform job. Required uniform provided at no charge. </t>
  </si>
  <si>
    <t>Cathy</t>
  </si>
  <si>
    <t>H-400-23313-489331</t>
  </si>
  <si>
    <t>P-400-23193-183395</t>
  </si>
  <si>
    <t>H-400-23325-516018</t>
  </si>
  <si>
    <t>Yellowstone Landscape - Southeast, LLC_Jacksonville</t>
  </si>
  <si>
    <t>2663 Robert Street</t>
  </si>
  <si>
    <t>P-400-23236-293454</t>
  </si>
  <si>
    <t>H-400-23312-486028</t>
  </si>
  <si>
    <t>Mark Piche</t>
  </si>
  <si>
    <t>Piche Concessions</t>
  </si>
  <si>
    <t>8 Walker Road</t>
  </si>
  <si>
    <t>Ware</t>
  </si>
  <si>
    <t>Piche</t>
  </si>
  <si>
    <t>sanpich@aol.com</t>
  </si>
  <si>
    <t>WARE</t>
  </si>
  <si>
    <t>No overtime expected. Overtime, if any, calculated and paid as per applicable regulations</t>
  </si>
  <si>
    <t>P-400-23273-402702</t>
  </si>
  <si>
    <t>H-400-23336-538982</t>
  </si>
  <si>
    <t>ALFIERI PAINTING &amp; DECORATING INC</t>
  </si>
  <si>
    <t xml:space="preserve">575 UNDERHILL BLVD </t>
  </si>
  <si>
    <t>SYOSSET</t>
  </si>
  <si>
    <t>ALFIERI</t>
  </si>
  <si>
    <t>PHILIP</t>
  </si>
  <si>
    <t>575 UNDERHILL BLVD</t>
  </si>
  <si>
    <t>1 MONTH EXPERIENCE AS PAINTER HELPER.</t>
  </si>
  <si>
    <t>P-400-23207-216563</t>
  </si>
  <si>
    <t>DALFIERI@ADICONTRACTING.COM</t>
  </si>
  <si>
    <t>H-400-23321-510636</t>
  </si>
  <si>
    <t>OTTERBACHER ENTERPRISES</t>
  </si>
  <si>
    <t>1585 CO. RD 155</t>
  </si>
  <si>
    <t>[Mailing: PO Box 36, Cardington, OH 43315]</t>
  </si>
  <si>
    <t>CARDINGTON</t>
  </si>
  <si>
    <t>jotterbach@aol.com</t>
  </si>
  <si>
    <t>1585 County Rd 155</t>
  </si>
  <si>
    <t>Cardington</t>
  </si>
  <si>
    <t>MORROW</t>
  </si>
  <si>
    <t>P-400-23279-416626</t>
  </si>
  <si>
    <t>H-400-23291-440801</t>
  </si>
  <si>
    <t>Regency Midwest Ventures LP</t>
  </si>
  <si>
    <t>Ramkota Hotel &amp; Conference Center</t>
  </si>
  <si>
    <t>920 W Sioux Avenue</t>
  </si>
  <si>
    <t>Pierre</t>
  </si>
  <si>
    <t>Debi</t>
  </si>
  <si>
    <t>Kae</t>
  </si>
  <si>
    <t>dkessler@ramkota-hotel.com</t>
  </si>
  <si>
    <t xml:space="preserve">Appellate Div of the Supreme Court, 1st dept. </t>
  </si>
  <si>
    <t xml:space="preserve">Days/Shifts may vary. 
Up to 15 hours of overtime available per week as needed, but not guaranteed.
Employer reserves the right to pay a higher wage rate or bonus to any worker in their sole discretion based on performance, skill, tenure, or experience. 
Optional employer housing is available at a cost of $100/week. 
The first 4-6 weeks of employment will be at 35 hours per week of paid on the job training. 
</t>
  </si>
  <si>
    <t>920 W. Sioux Avenue</t>
  </si>
  <si>
    <t xml:space="preserve">Overtime will be paid at a rate of $23.03/hr for working greater than 40 hours in any given week. </t>
  </si>
  <si>
    <t>P-400-23199-197388</t>
  </si>
  <si>
    <t>ramkotapierre.com</t>
  </si>
  <si>
    <t>H-400-23336-539236</t>
  </si>
  <si>
    <t>HOOPS LAWN &amp; LANDSCAPING LLC</t>
  </si>
  <si>
    <t>32 ROYAL ASPEN COURT</t>
  </si>
  <si>
    <t>HOOPER</t>
  </si>
  <si>
    <t>P-400-23201-203195</t>
  </si>
  <si>
    <t>hoopslawn14@yahoo.com</t>
  </si>
  <si>
    <t>H-400-23284-425835</t>
  </si>
  <si>
    <t xml:space="preserve">Seafood Processing Technician (Surimi and Roe) </t>
  </si>
  <si>
    <t>Premier Pacific Seafoods, Inc.</t>
  </si>
  <si>
    <t xml:space="preserve">200 W Mercer Street, STE  E101 </t>
  </si>
  <si>
    <t>Nakahara</t>
  </si>
  <si>
    <t>Yoichi</t>
  </si>
  <si>
    <t>200 W Mercer Street, STE E101</t>
  </si>
  <si>
    <t>nakahara@prempac.com</t>
  </si>
  <si>
    <t xml:space="preserve">Must have technical knowledge of surimi and pollock roe processing and ability to work independently.  Must be able to grade surimi and pollock roe products for Japanese market and must be able to quickly identify and resolve any problems that arise during surimi and pollock roe processing operations. Must be willing to work up to 12 or more hours per day, 7 days per week, depending on fish availability.  Up to 84 hours per week with minimum guarantee of 35 hours per week. 
</t>
  </si>
  <si>
    <t>On board M/V Excellence vessel</t>
  </si>
  <si>
    <t>in Bering Sea and North Pacific</t>
  </si>
  <si>
    <t>Health insurance and potential bonus</t>
  </si>
  <si>
    <t>P-400-23195-189039</t>
  </si>
  <si>
    <t>Employer will make all deductions from the worker’s paycheck required by law, including applicable state or federal taxes.  No other deductions will be made except as requested or approved by worker for health insurance, store provisions, or other employee benefits. Employer provided housing is optional.</t>
  </si>
  <si>
    <t>H-400-23319-503125</t>
  </si>
  <si>
    <t xml:space="preserve">wage range based on experience and performance </t>
  </si>
  <si>
    <t>P-400-23221-251371</t>
  </si>
  <si>
    <t>H-400-23333-531197</t>
  </si>
  <si>
    <t xml:space="preserve">No minimum education or experience required.
Must be able to lift 50 lbs.
Must pass a post-employment criminal background check, paid by employer and applied equally to all workers, U.S. and foreign/H-2B.
Workers subject to post-accident/reasonable cause drug testing, paid by employer and applied equally to all workers, U.S. and foreign/H-2B.
Must be able to work a 5-day workweek.
Must be able to work weekends and holidays as required.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provide daily transportation from main worksite in Myrtle Beach area including the counties of Horry &amp; Georgetown SC, Brunswick NC.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The employer guarantees to offer work for hours equal to at least three-fourths of the workdays in each 12-week period of the total employment period.
</t>
  </si>
  <si>
    <t>1809 SC-544</t>
  </si>
  <si>
    <t>P-400-23199-196926</t>
  </si>
  <si>
    <t xml:space="preserve">A single workweek will be used in computing wages due. Workers will be paid bi-weekly. 
The employer will make all deductions from the worker's paycheck required by law. Optional employee-shared housing available at approx. cost of $100- $250 per week, payroll deducted if employee elects. Optional medical/dental/vision insurance available at approx. cost $31.63 - $321.34 per week, payroll deducted if employee elects. Smartphone use may be required with stipend reimbursement at approx. $25 per bi-weekly paycheck. Optional daily transportation available to/from housing/worksite for approx. $5-20 per week, payroll deducted if employee elects.
Employer will provide required uniform at no cost to employee. Additional uniforms available for approx. $5-25 per bi-weekly paycheck, payroll deducted if employee elects.
</t>
  </si>
  <si>
    <t>H-400-23336-538966</t>
  </si>
  <si>
    <t>H-400-23322-512225</t>
  </si>
  <si>
    <t>R&amp;J Triple A, LLC</t>
  </si>
  <si>
    <t>The Grounds Guys of Edmond</t>
  </si>
  <si>
    <t>717 Evergreen Street</t>
  </si>
  <si>
    <t>Mailing: P.O. Box 5084, Edmond, OK 73083</t>
  </si>
  <si>
    <t>Deatherage</t>
  </si>
  <si>
    <t>edmond.owner@groundsguys.com</t>
  </si>
  <si>
    <t xml:space="preserve">Monday-Friday, some Saturdays as needed, start/end times vary, schedule varies, overtime varies.
</t>
  </si>
  <si>
    <t>P-400-23223-259719</t>
  </si>
  <si>
    <t>edmond@groundsguys.com</t>
  </si>
  <si>
    <t>H-400-23307-476429</t>
  </si>
  <si>
    <t xml:space="preserve">No minimum education or experience required.
Workers are subject to post-employment criminal background checks, paid by employer and applied equally to all workers, U.S. and foreign/H-2B. 
Must be able to work a minimum 5-day workweek. 
Must be able to work weekends and holidays. 
Applicant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</si>
  <si>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P-400-23188-173151</t>
  </si>
  <si>
    <t xml:space="preserve">A single workweek will be used to compute wages due. Pay received bi-weekly.  
Employer will make all deductions from the worker's paycheck required by law.
Optional employee shard housing available, including utilities, approx. $150.00 per week, plus $300.00 deposit required ($100.00 non-refundable, $200.00 refundable). Transportation provided between employer’s housing and worksite at approx. $20 per week. Meals available for purchase at approx. $3.00 per meal. Housing, meals, and transportation payroll deducted if employee elects.
</t>
  </si>
  <si>
    <t>H-400-23292-442797</t>
  </si>
  <si>
    <t>P-400-23200-200557</t>
  </si>
  <si>
    <t>H-400-23284-425816</t>
  </si>
  <si>
    <t>FOOD SERVER</t>
  </si>
  <si>
    <t xml:space="preserve">ABLE TO LIFT AND CARRY 20 POUNDS. SOME OT AND WEEKENDS REQUIRED.6 months experience as RESTAURANT SERVER, WAITRESS OR WAITER OR SIMILAR. Workers will work 40 hours per week.  Saturday thru  Friday . The schedule may vary but will fall between 6:30AM TO 3:00PM OR 3:00PM TO 11:30PM.
</t>
  </si>
  <si>
    <t>P-400-23248-321439</t>
  </si>
  <si>
    <t xml:space="preserve">OPTIONAL EMPLOYER OWNED HOUSING AND MEALS/ $200.00 PER WEEK/ $400 PER PAY PERIOD </t>
  </si>
  <si>
    <t>H-400-23293-445969</t>
  </si>
  <si>
    <t>[MAIL: PO BOX 1080, GIBSONTON, FL 33534]</t>
  </si>
  <si>
    <t>The employer will make all deductions from the worker’s paycheck required by law.  Optional housing (valued at $75.00 per week) and local convenience travel (valued at $25.00 per week) are available at no cost to the worker.</t>
  </si>
  <si>
    <t>H-400-23307-475817</t>
  </si>
  <si>
    <t>Natural Art Landscaping, Inc.</t>
  </si>
  <si>
    <t>2601 W. Medical Hall Rd.</t>
  </si>
  <si>
    <t>naturalart@gmail.com</t>
  </si>
  <si>
    <t>2601 W. Medical Hall Rd. (Report to Work)</t>
  </si>
  <si>
    <t>P-400-23203-208445</t>
  </si>
  <si>
    <t>naturalart@hotmail.com</t>
  </si>
  <si>
    <t>H-400-23307-477166</t>
  </si>
  <si>
    <t>Willowgrove Landscape, LLC (WLG124A)</t>
  </si>
  <si>
    <t xml:space="preserve">74034 Hwy 1077 </t>
  </si>
  <si>
    <t>Knick</t>
  </si>
  <si>
    <t>74034 Hwy 1077</t>
  </si>
  <si>
    <t>mknick@willowgrovelandscape.com</t>
  </si>
  <si>
    <t xml:space="preserve">MUST BE ABLE TO TOLERATE EXTREME TEMPERATURES, LOUD NOISES; LIFT HEAVY EQUIPMENT AND EXHIBIT STAMINA. OPERATE EQUIPMENT WHILE SOBER. POST-EMPLOYMENT EMPLOYER-PAID DRUG TEST MAY BE ADMINISTERED. MAY WORK SATURDAY DEPENDING ON WEATHER.
Work days:  MON-FRI. May work Saturdays.
Hours per week: 50
Work Schedule: 6:45 AM-4:45 PM, hours and schedule may vary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Yes
Deductions: Optional housing available at $80-100 per week. No family housing.
</t>
  </si>
  <si>
    <t>74034 Hwy 1077, STE 7</t>
  </si>
  <si>
    <t>COVINGTON</t>
  </si>
  <si>
    <t>P-400-23244-317701</t>
  </si>
  <si>
    <t>Optional housing available at $80-100 per week. No family housing.</t>
  </si>
  <si>
    <t>www.willowgrovelandscape.com/careers</t>
  </si>
  <si>
    <t>H-400-23328-522468</t>
  </si>
  <si>
    <t>Epling Landscaping and Lawn Service Inc</t>
  </si>
  <si>
    <t>33747 Snickersville Tnpk</t>
  </si>
  <si>
    <t>Epling, Jr.</t>
  </si>
  <si>
    <t>wayne@eplinglandscaping.com</t>
  </si>
  <si>
    <t xml:space="preserve">Monday-Friday, some Saturdays required, schedule varies, end time varies, overtime varies. Able to lift 50lbs.
</t>
  </si>
  <si>
    <t>Opportunity for additional pay with incentive program.</t>
  </si>
  <si>
    <t>P-400-23163-101517</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</si>
  <si>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
</t>
  </si>
  <si>
    <t>H-400-23331-525317</t>
  </si>
  <si>
    <t>Carpenter's Helper</t>
  </si>
  <si>
    <t>Woodpecker Cabinets, Inc.</t>
  </si>
  <si>
    <t>2301 Hwy 380</t>
  </si>
  <si>
    <t xml:space="preserve">2301 Hwy 380 </t>
  </si>
  <si>
    <t>P-400-23206-212968</t>
  </si>
  <si>
    <t>garydouglas5@yahoo.com</t>
  </si>
  <si>
    <t>H-400-23331-524204</t>
  </si>
  <si>
    <t>Pizza On A Stick Inc.</t>
  </si>
  <si>
    <t>8651 N Orangebud Terr</t>
  </si>
  <si>
    <t>Crystal River</t>
  </si>
  <si>
    <t>Swain</t>
  </si>
  <si>
    <t>jjswain2005@yahoo.com</t>
  </si>
  <si>
    <t>Must be 18 due to travel. Must show proof of legal authorization to work in the United States. Drug/alcohol/tobacco free work zone.  All applicants must be able, willing and qualified to perform work described and must be available for the entire period specified and work throughout all areas of intended employment.  Work is performed outdoors, exposed to weather; must be capable of doing physically strenuous labor for long hours, occasionally in extreme heat or cold. Variable weather conditions apply; hours may fluctuate (+/-), possible downtime and/or overtime.</t>
  </si>
  <si>
    <t xml:space="preserve"> 8334 Fannin St. (Report to Work)</t>
  </si>
  <si>
    <t>P-400-23199-197639</t>
  </si>
  <si>
    <t>H-400-23307-475854</t>
  </si>
  <si>
    <t>Director of People &amp; Recruiting</t>
  </si>
  <si>
    <t>6700 Janway Road (Report to Work)</t>
  </si>
  <si>
    <t>P-400-23220-249008</t>
  </si>
  <si>
    <t>Optional, shared, furnished housing available to the worker (including: utilities) at a  weekly housing rate up to $175; if optional housing is agreed upon by the worker, housing rate will be deducted from worker's paycheck incrementally (weekly).
At Employer’s sole discretion: possible cash advances (if applicable/requested by worker, potential deduction from worker’s paycheck).</t>
  </si>
  <si>
    <t>sroberts@ruppertcompanies.com</t>
  </si>
  <si>
    <t>H-400-23333-531142</t>
  </si>
  <si>
    <t xml:space="preserve">35 hours per week, work may require 35+ hrs/wk upon occasion. Employer is exempt from FLSA and overtime provisions under the law's Outside Sales Provision, 29 CFR Part 541.500, Section 13(a)(1). Workers must have or be able to obtain a valid U.S. driver's license within 60 days of hire, be able to lift and carry 50 pounds of weight, and work in standing and bending positions. No education or experience necessary. Will train. Workers provide own transportation to/from employer's place of business each work day; employee drives company vehicle between worksites. Work schedule is at least 5 days/week with shifts varying by day and work days varying by week to include Saturday and Sunday, 11am -7pm and/or 2pm-10pm. Employer may offer more than the stated work hours depending on weather, business needs, and other conditions. Extreme heat, cold, rain, or drought may affect exact working hours.
</t>
  </si>
  <si>
    <t>750 Kennedy Blvd</t>
  </si>
  <si>
    <t>P-400-23243-310263</t>
  </si>
  <si>
    <t>H-400-23291-438476</t>
  </si>
  <si>
    <t>104 Estes Place</t>
  </si>
  <si>
    <t>P-400-23251-332689</t>
  </si>
  <si>
    <t>H-400-23321-509423</t>
  </si>
  <si>
    <t>Carpe Diem USA</t>
  </si>
  <si>
    <t>Claud's Lawn Care</t>
  </si>
  <si>
    <t>1601 County Street</t>
  </si>
  <si>
    <t>CLAUD</t>
  </si>
  <si>
    <t>1601 COUNTY STREET</t>
  </si>
  <si>
    <t>PORTSMOUTH</t>
  </si>
  <si>
    <t>OFFICEMANAGER@CLAUDSLAWNCARE.COM</t>
  </si>
  <si>
    <t>Must be able to lift/carry 50lbs and work in both bending and standing positions for extended periods and in all types of weather.  In many cases our company may contract with schools, care centers and/or other restricted access sites. State, local or
other legal requirements may impose specific background or identification checks on all individuals working in those
locations, both foreign and domestic alike. Any testing and/or background checks are strictly carried out as an
employer expense and at no charge to the individual workers. Final hiring decisions for any applicants found to have
felonious convictions for violent (e.g. assault, rape, armed robbery etc) and/or drug-related offenses or a status with
regard to sex offender registration lists will be evaluated individually and in accordance with EEOC guidelines and other
applicable laws.</t>
  </si>
  <si>
    <t>Min wage may be higher based on tenure, skills, abilities and/or work performance</t>
  </si>
  <si>
    <t>P-400-23205-210356</t>
  </si>
  <si>
    <t>officemgr@claudslawncare.com</t>
  </si>
  <si>
    <t>H-400-23336-539673</t>
  </si>
  <si>
    <t>P-400-23218-241807</t>
  </si>
  <si>
    <t>H-400-23321-509445</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</si>
  <si>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   Employer may deduct retirement/savings plan contributions and/or health insurance premiums for workers voluntarily participating in plan(s). Employer provides incidental transportation between worksites as necessary. Such transportation complies with all applicable Federal, State, and local laws/regulations.</t>
  </si>
  <si>
    <t>Housekeeping and Maintenance</t>
  </si>
  <si>
    <t>H-400-23265-372614</t>
  </si>
  <si>
    <t>13031 Ritz Carlton Highlands Court</t>
  </si>
  <si>
    <t>P-400-23228-269560</t>
  </si>
  <si>
    <t>If hired, Employer is willing to facilitate housing accommodations through a third party or through Employer owned housing. Housing is limited to the period of time of temporary employment which is no more than nine (9) months and is on a first come first serve basis. Cost of housing if accepted, is no more than $150 per week payable to third party housing provider via voluntary payroll deduction as allowed by law. If housing is utilized, an agreement for housing will be required with the third-party provider. A security deposit of up to $200.00 is required, of which $50.00 is nonrefundable. Employee shall pay the deposit at $10.00 per week via voluntary payroll deduction (as allowed by law) until the deposit is paid in full, and in no event shall the total deposit payment exceed $200.00. If housing is left in good condition, $150.00 will be refunded to employee in the same method as paid. All deductions from paycheck required by law will be made.</t>
  </si>
  <si>
    <t>H-400-23318-499597</t>
  </si>
  <si>
    <t>GroundsPRO LLC - Tipp City</t>
  </si>
  <si>
    <t>9405 Futura Parkway,</t>
  </si>
  <si>
    <t>Tipp City</t>
  </si>
  <si>
    <t>P-400-23192-179277</t>
  </si>
  <si>
    <t>Employer makes all payroll deductions required by law. Employer does not envision other workforce-wide payroll deductions. If requested, employer helps non-local workers secure optional worker-paid lodging. Employer deducts reasonable fair market value cost of rent/utilities based on number of occupants for workers electing to reside in employer-provided housing (cost TBD).  Employer offers free daily transportation to/from worksite from designated pick-up location. Use of transportation is voluntary.  Employer may deduct health insurance premiums for workers voluntarily participating in plan. Uniform provided at no cost. Employer may deduct cost for lost/damaged uniforms resulting from worker negligence, or voluntary purchase of additional uniforms for worker's benefit.  Employer offers pro rated vacation hours and paid sick time. Employer provides incidental transportation between worksites as necessary.</t>
  </si>
  <si>
    <t>H-400-23307-476485</t>
  </si>
  <si>
    <t xml:space="preserve">No minimum education or experience required.
Workers are subject to post-employment criminal background checks, paid by employer and applied equally to all workers, U.S. and foreign/H-2B. 
Must be able to lift 25 lbs.
Must be able to work a minimum 5-day workweek.
Must be able to work weekends and holidays. 
Applicant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</si>
  <si>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P-400-23188-173148</t>
  </si>
  <si>
    <t>H-400-23321-508420</t>
  </si>
  <si>
    <t>PECKENPAUGH</t>
  </si>
  <si>
    <t>BOB</t>
  </si>
  <si>
    <t>Pay rate is $2.64/hour plus tips but not less than $14.06 per hour</t>
  </si>
  <si>
    <t>P-400-23285-427282</t>
  </si>
  <si>
    <t>OPTIONAL HOUSING AVAILABLE FOR 250.00/MONTH TO BE DEDUCTED BI-WEEKLY FROM PAYCHECK</t>
  </si>
  <si>
    <t>H-400-23314-495897</t>
  </si>
  <si>
    <t>Food Processing Workers, All Other</t>
  </si>
  <si>
    <t>Jamrock Supply &amp; Processing LLC</t>
  </si>
  <si>
    <t xml:space="preserve">139-20 109th Ave </t>
  </si>
  <si>
    <t>Jamaica</t>
  </si>
  <si>
    <t>McKellar</t>
  </si>
  <si>
    <t>Magnus</t>
  </si>
  <si>
    <t>recruiting@jamrockjerkny.com</t>
  </si>
  <si>
    <t xml:space="preserve">Must receive training in food safety procedures - internal food certification.
1 week - not 1 month.
Work will be from either 6:00am until 2:00 pm OR 2:00pm until 10:00pm. Workers will work one shift per day. </t>
  </si>
  <si>
    <t>139-20 109th Ave</t>
  </si>
  <si>
    <t xml:space="preserve">Workers may be offered overtime. If so, it will be paid at the listed rate. </t>
  </si>
  <si>
    <t>P-400-23217-241573</t>
  </si>
  <si>
    <t xml:space="preserve">The Employer does not intend to deduct anything not required by law from wages. </t>
  </si>
  <si>
    <t>H-400-23304-469099</t>
  </si>
  <si>
    <t>Big O Entertainment LLC</t>
  </si>
  <si>
    <t>1585 County Road 155</t>
  </si>
  <si>
    <t>{Mail: 25542 Madison St.  Astatula, FL  34705}</t>
  </si>
  <si>
    <t>{Mail:  25542 Madison Street Astatula, FL  34705}</t>
  </si>
  <si>
    <t>judyott123@hotmail.com</t>
  </si>
  <si>
    <t>P-400-23244-316695</t>
  </si>
  <si>
    <t>H-400-23336-539183</t>
  </si>
  <si>
    <t>SHINNECOCK HILLS GOLF CLUB</t>
  </si>
  <si>
    <t>200 TUCKAHOE RD</t>
  </si>
  <si>
    <t>CONLIN</t>
  </si>
  <si>
    <t>3 MONTHS EXPERIENCE AS LANDSCAPE LABORER AT A GOLF COURSE REQUIRED. DAYS VARY MON-SUN.</t>
  </si>
  <si>
    <t>OPTIONAL HOUSING IS AVAILABLE INCLUDING UTILITIES AND UNIFORMS AT NO COST TO EMPLOYEE.</t>
  </si>
  <si>
    <t>P-400-23194-185751</t>
  </si>
  <si>
    <t>OPTIONAL HOUSING INCLUDING UTILITIES AND UNIFORMS ARE AVAILABLE AT NO COST TO EMPLOYEE.</t>
  </si>
  <si>
    <t>NCONLIN@SHINNECOCKHILLS.US</t>
  </si>
  <si>
    <t>H-400-23248-320473</t>
  </si>
  <si>
    <t>LAKEWOOD RACING, LLC</t>
  </si>
  <si>
    <t>20941 NE 38th Avenue</t>
  </si>
  <si>
    <t>McGaughey, III</t>
  </si>
  <si>
    <t>Claude</t>
  </si>
  <si>
    <t>20941 NE 38TH AVE</t>
  </si>
  <si>
    <t>clauderay3rd@aol.com</t>
  </si>
  <si>
    <t>Supreme Court -Third Department</t>
  </si>
  <si>
    <t>PAYSON PARK THOROUGHBRED TRAINING CENTER</t>
  </si>
  <si>
    <t>9700 SW KANNER HWY</t>
  </si>
  <si>
    <t>INDIANTOWN</t>
  </si>
  <si>
    <t>P-400-23198-195052</t>
  </si>
  <si>
    <t>H-400-23200-198659</t>
  </si>
  <si>
    <t>Refractory Plant Labor</t>
  </si>
  <si>
    <t>Reno Refractories, Inc.</t>
  </si>
  <si>
    <t>601 Reno Dr.</t>
  </si>
  <si>
    <t>Elmer</t>
  </si>
  <si>
    <t>Sidney</t>
  </si>
  <si>
    <t>sales@renorefractories.com</t>
  </si>
  <si>
    <t>Miatrai</t>
  </si>
  <si>
    <t>2300 Wilson Blvd.</t>
  </si>
  <si>
    <t>Ste. 700</t>
  </si>
  <si>
    <t>miatrai.brown@directusimmigration.com</t>
  </si>
  <si>
    <t>Direct U.S. Immigration</t>
  </si>
  <si>
    <t>The Court of Appeals</t>
  </si>
  <si>
    <t>501 Reno Dr.</t>
  </si>
  <si>
    <t>P-400-23091-895329</t>
  </si>
  <si>
    <t>All applicable federal and state taxes.</t>
  </si>
  <si>
    <t>elmerr@r-ref.com</t>
  </si>
  <si>
    <t>H-400-23241-304186</t>
  </si>
  <si>
    <t>Pine Needle Gatherers &amp; Forestry Laborer</t>
  </si>
  <si>
    <t>New Life Pine Needles</t>
  </si>
  <si>
    <t>307 W Maynard St</t>
  </si>
  <si>
    <t>Pageland</t>
  </si>
  <si>
    <t>Morales</t>
  </si>
  <si>
    <t>Tresmorales@shtc.net</t>
  </si>
  <si>
    <t xml:space="preserve">This work requires physical stamina.  Work is performed in outdoors in extreme temperatures and adverse weather.  Worker must be able to lift 80lbs.  Extensive walking is done over rough terrain.  Minimum production standard of 10 bales correctly raked, tied and loaded per hour required for job retention after one week of training.
</t>
  </si>
  <si>
    <t>4025 Porter Rd</t>
  </si>
  <si>
    <t>Bethune</t>
  </si>
  <si>
    <t>P-400-23170-124588</t>
  </si>
  <si>
    <t>The employer will make all federal, state, and local tax deductions from the workers paychecks as required by law.
Boarding &amp; lodging assistance is optional.</t>
  </si>
  <si>
    <t>tresmorales@shtc.net</t>
  </si>
  <si>
    <t>H-400-23327-522148</t>
  </si>
  <si>
    <t>NONFARM ANIMAL CARETAKER</t>
  </si>
  <si>
    <t>FUNNY PETS LLC</t>
  </si>
  <si>
    <t>1776 YORKTOWN ST</t>
  </si>
  <si>
    <t>SUITE 510</t>
  </si>
  <si>
    <t>VERA SALVATIERRA</t>
  </si>
  <si>
    <t>EUGENIA</t>
  </si>
  <si>
    <t>funnypettx@gmail.com</t>
  </si>
  <si>
    <t>FOR THIS POSITION, IT IS IMPORTANT THAT THE APPLICANT HAS KNOWLEDGE ON ANATOMY, NUTRITION AND OPTIMAL CARE OF ANIMALS, AS WELL AS KNOWLEDGE OF VETERINARY MEDICINE, WICH WILL ALLOW THEM TO IDENTIFY POSSIBLE SIGNS OF ILLNES ANS THEREFORE NOTIFY AS SOON AS POSIBLE TO THE VETERINARIAN ON CHARGE FOR THEM TO CHECK UP THE ANIMAL AND ACT IN CONSECUENCE TO PROTECT THE ANIMAL HEALT. THIS BEING SAID, IT IS NECESARY TO HAVE SOME KIND OF VETERINARY STUDIES THAT CAN PROVE THAT THE APLICANT HAS KNOWLEDGE IN THIS AREA AND CAN TAKE PROPPER CARE OF THE ANIMALS.</t>
  </si>
  <si>
    <t>P-400-23256-343963</t>
  </si>
  <si>
    <t>H-400-23316-496491</t>
  </si>
  <si>
    <t>Gulf Stream Concession Equipment Co</t>
  </si>
  <si>
    <t>9024 Wiggins Rd</t>
  </si>
  <si>
    <t xml:space="preserve">Pugh Sr. </t>
  </si>
  <si>
    <t>summersmoney03@aol.com</t>
  </si>
  <si>
    <t>P-400-23249-325368</t>
  </si>
  <si>
    <t>ALL ABOUT IRRIGATION &amp; LANDSCAPE SERVICES, INC.</t>
  </si>
  <si>
    <t>5308 SPRING ST</t>
  </si>
  <si>
    <t>FLOWERY BRANCH</t>
  </si>
  <si>
    <t>all_about_irrigation@yahoo.com</t>
  </si>
  <si>
    <t>5308 SPRING STREET</t>
  </si>
  <si>
    <t>P-400-23184-164613</t>
  </si>
  <si>
    <t>H-400-23205-211814</t>
  </si>
  <si>
    <t>P-400-23167-120231</t>
  </si>
  <si>
    <t>H-400-23215-235749</t>
  </si>
  <si>
    <t xml:space="preserve">The Petitioner will consider for employment any person who possesses at least six (6) months of service experience in a fine-dining or high-volume environment at a high-end restaurant, resort, or private club.  Applicant must complete pre-employment drug screening.
</t>
  </si>
  <si>
    <t>Wage: $17.26 - $23.50 per hour, paid bi-weekly. See job description for additional detail.</t>
  </si>
  <si>
    <t>P-400-23158-088276</t>
  </si>
  <si>
    <t>H-400-23215-234827</t>
  </si>
  <si>
    <t>Three (3) months of culinary experience in a fine-dining or high-volume environment at a high-end restaurant, resort, or private club required.
On-the-job training is provided.
Following Shifts available 7 days a week including weekends and holidays. 8a-3p, 10a-5p, 12p-7p, 3p-10p
Wage Per Hour: $18.77 - $21.00
Overtime Possible Per Hour at $28.16 - $31.50</t>
  </si>
  <si>
    <t xml:space="preserve">5 Village Lodge Road </t>
  </si>
  <si>
    <t>P-400-23152-069700</t>
  </si>
  <si>
    <t>All deductions required by law will be made.
Optional housing is offered on a first-come, first-serve basis for workers who are relocating to begin employment. Cost of housing, if accepted, is $125.00 per week.  If used, total cost of housing will be paid directly to employer by employee.  A $125.00 refundable security deposit is required, to be paid directly to employer upon acceptance of housing. 
Daily transportation to and from worksite is provided for workers living in employee housing. Optional Deductions from Paycheck: optional 401(k)
Benefits: Meal and retail discounts, free ski lift pass.</t>
  </si>
  <si>
    <t>H-400-23213-228458</t>
  </si>
  <si>
    <t>Mountain Sports Instructor and Trainer</t>
  </si>
  <si>
    <t>Ruuhela</t>
  </si>
  <si>
    <t>Assistant Director of Mountain Sports</t>
  </si>
  <si>
    <t>mruuhela@bigskyresort.com</t>
  </si>
  <si>
    <t>PSIA/AASI Level III Certification or Equivalent.
Speak, read, and write English.  Work outside in all weather conditions.  Physically capable of teaching 7 hours per day.  Frequently lift 10 pounds and occasionally up to 50 pounds. Pre-employment background check required.
Shifts available 7 days a week including weekends and holidays. Example shifts: 7:45am - 2:45pm, or 9:30am -4:30pm. Shift hours may vary.
Hourly Wage: $18.61 - $52.00 (Gratuity-eligible position, so actual wage with tips may occasionally be higher)
Overtime Possible Per Hour at $27.92 - $76.50
Employee may be eligible for additional compensation in the form of a Loyalty and Service Bonus of up to 5% of the employees gross earnings upon completion of the employees winter work agreement and/or discretionary incentive bonuses based on business and staffing.</t>
  </si>
  <si>
    <t>Gratuity-eligible position, so actual wage with tips may occasionally be higher</t>
  </si>
  <si>
    <t>P-400-23145-054661</t>
  </si>
  <si>
    <t>All deductions required by law will be made.
Employee may be eligible for additional compensation in the form of a Loyalty and Service Bonus of up to 5% of the employee’s gross earnings upon completion of the employee’s winter work agreement and/or discretionary incentive bonuses based on business and staffing
Optional housing deducted from paycheck up to a maximum rate of $140 a week. $150 deposit, $50 nonrefundable.
Free public transportation
Pre employment background check required
Optional Deductions from Paycheck: Rent, Healthcare, 401K, Optionalcharging at F&amp;B outlets
Benefits: Free ski pass, discounted lift vouchers, Free basecamp activities, discounted rentals, ski reciprocal passes, retail discounts, F&amp;B discounts, spa discounts, lodging discounts, holiday pay, industry discounts.</t>
  </si>
  <si>
    <t>H-400-23336-539791</t>
  </si>
  <si>
    <t xml:space="preserve">DRIVERS LICENSE REQUIRED. MUST BE ABLE TO LIFT AND CARRY 50 POUNDS.
Schedule varies, overtime available as needed.
</t>
  </si>
  <si>
    <t>Higher pay and/or other incentives available based on performance.e</t>
  </si>
  <si>
    <t>H-400-23229-273299</t>
  </si>
  <si>
    <t>LEONARDO LANDSCAPING INC</t>
  </si>
  <si>
    <t>733 N Colfax Street</t>
  </si>
  <si>
    <t>Echavarria</t>
  </si>
  <si>
    <t>Leonardo</t>
  </si>
  <si>
    <t>733 N Colfax</t>
  </si>
  <si>
    <t>leonlandscaping15@gmail.com</t>
  </si>
  <si>
    <t>Ehardt</t>
  </si>
  <si>
    <t>9191 Broadway</t>
  </si>
  <si>
    <t>Merrillville</t>
  </si>
  <si>
    <t>ehardt@bcclegal.com</t>
  </si>
  <si>
    <t>Burke Costanza &amp; Carberry LLP</t>
  </si>
  <si>
    <t>Supreme Court of the State of Indiana</t>
  </si>
  <si>
    <t xml:space="preserve">Must have driver's license
</t>
  </si>
  <si>
    <t>P-400-23109-949009</t>
  </si>
  <si>
    <t>H-400-23213-228538</t>
  </si>
  <si>
    <t xml:space="preserve">Must be a minimum 15 years of age. Lift approximately 50 lbs on a regular basis. Ability to stand for long periods of time.
On-The-Job Training Is Provided.
Following Shifts available 7 days a week including weekends and holidays. 7am to 3:30pm, 9am to 5:30pm, 11am to 7:30pm, 3pm to 11:30pm
Wage Per Hour: Tipped position with guaranteed wage of $15.00 - $23.00
Overtime possible at hourly wage of $22.50 - $34.50
Possible Wage Increase: Based on merit and past experience with our company
</t>
  </si>
  <si>
    <t>P-400-23128-003236</t>
  </si>
  <si>
    <t>All deductions required by law will be made.
Will assist in finding housing with third-party landlords.
Daily transportation to and from the worksite is not provided.  Local bus lines are free to all riders
Optional Deductions from Paycheck: None
Benefits: Ski Pass, Shift Meals, 50% F&amp;B Discount, 30% Retail Discount</t>
  </si>
  <si>
    <t>H-400-23214-231290</t>
  </si>
  <si>
    <t>forestallco@gmail.com</t>
  </si>
  <si>
    <t>P-400-23139-038220</t>
  </si>
  <si>
    <t>H-400-23184-162775</t>
  </si>
  <si>
    <t>Second Shift: 12pm to 8pm</t>
  </si>
  <si>
    <t>2532 PARKWAY</t>
  </si>
  <si>
    <t>PIGEON FORGE</t>
  </si>
  <si>
    <t xml:space="preserve">. Guaranteed 45 workdays for each 12-week (60 days period of work). </t>
  </si>
  <si>
    <t>P-400-23130-010433</t>
  </si>
  <si>
    <t>H-400-23320-505817</t>
  </si>
  <si>
    <t>Angelo's Lawn-Scape of Louisiana, Inc.</t>
  </si>
  <si>
    <t>13750 Jefferson Highway</t>
  </si>
  <si>
    <t>Distefano</t>
  </si>
  <si>
    <t>tony@angeloslg.com</t>
  </si>
  <si>
    <t>13750 Jefferson Highway (Report to Work)</t>
  </si>
  <si>
    <t>P-400-23208-218645</t>
  </si>
  <si>
    <t>Optional, shared furnished housing available to the worker at a monthly housing rate up to $350; if optional housing is agreed upon by the worker, monthly housing rate will be deducted from worker's paycheck incrementally (bi-weekly).At Employer’s sole discretion: possible cash advances (if applicable/requested by worker, potential deduction from worker’s paycheck).</t>
  </si>
  <si>
    <t>info@angeloslg.com</t>
  </si>
  <si>
    <t>H-400-23201-205386</t>
  </si>
  <si>
    <t>DIVERSE SOLUTION SERVICE LLC</t>
  </si>
  <si>
    <t xml:space="preserve">133 GWYN DRIVE </t>
  </si>
  <si>
    <t>UNIT B</t>
  </si>
  <si>
    <t>BAILEY CURTIS</t>
  </si>
  <si>
    <t>PHYLECI</t>
  </si>
  <si>
    <t>DIVERSESOLUTIONEMPLOY@GMAIL.COM</t>
  </si>
  <si>
    <t xml:space="preserve"> AGE REQUIREMENT OF 18 YEAR OF AGE</t>
  </si>
  <si>
    <t xml:space="preserve">33 HERONS WATCH WAY </t>
  </si>
  <si>
    <t>SANTA ROSA BEACH</t>
  </si>
  <si>
    <t>P-400-23143-044403</t>
  </si>
  <si>
    <t xml:space="preserve">only taxes as required by law </t>
  </si>
  <si>
    <t>H-400-23215-234872</t>
  </si>
  <si>
    <t>P-400-23137-029303</t>
  </si>
  <si>
    <t>•	Deductions required by law will be payroll deducted biweekly.</t>
  </si>
  <si>
    <t>H-400-23276-406587</t>
  </si>
  <si>
    <t xml:space="preserve">No minimum education or experience required. Workers are subject to post-employment criminal background checks, paid by employer and applied equally to all workers, U.S. and foreign/H-2B. Must be able to work a minimum 5-day workweek.Must be able to work weekends and holidays.Applicants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</si>
  <si>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P-400-23171-126980</t>
  </si>
  <si>
    <t>Employer will provide on-the-job training.A single workweek will be used in computing wages due. Pay received bi-weekly. Employer will make all deductions from the worker's paycheck required by law. Optional employee shared housing available, including utilities, at approx $125-$175 per week. Housing deposit of $300 required ($100 non-refundable). Housing within walking distance from resort. Optional employee meals available during shift for purchase for approx $2.00 per meal. Housing, deposit, and meals available for payroll deduction if employee elects.</t>
  </si>
  <si>
    <t>H-400-23225-260401</t>
  </si>
  <si>
    <t xml:space="preserve"> Must be able to stand for extended periods of time.  Must be able to lift up to 40 pounds. 
</t>
  </si>
  <si>
    <t>P-400-23113-957876</t>
  </si>
  <si>
    <t>H-400-23255-340378</t>
  </si>
  <si>
    <t>KMR RACING STABLE</t>
  </si>
  <si>
    <t>630 TRAINING CENTER DRIVE</t>
  </si>
  <si>
    <t>Rubley</t>
  </si>
  <si>
    <t>630 Training Center Drive</t>
  </si>
  <si>
    <t>krubley1@yahoo.com</t>
  </si>
  <si>
    <t>Fair Grounds Race Course</t>
  </si>
  <si>
    <t>1751 Gentilly BLVD</t>
  </si>
  <si>
    <t>P-400-23128-003066</t>
  </si>
  <si>
    <t>H-400-23285-428337</t>
  </si>
  <si>
    <t xml:space="preserve"> Amusement &amp; Recreation Attendants – Traveling Carnival</t>
  </si>
  <si>
    <t>Baque Bros Concessions, Inc.</t>
  </si>
  <si>
    <t>10554 Cypress Ave.</t>
  </si>
  <si>
    <t>(Mail to: PO Box 2417, Rancho Cucamonga, CA 91729)</t>
  </si>
  <si>
    <t>Baque</t>
  </si>
  <si>
    <t>jbclassicrides@yahoo.com</t>
  </si>
  <si>
    <t>13722 Jurupa Ave.</t>
  </si>
  <si>
    <t>Fontana</t>
  </si>
  <si>
    <t>P-400-23201-204744</t>
  </si>
  <si>
    <t>baquebros@yahoo.com</t>
  </si>
  <si>
    <t>H-400-23215-234834</t>
  </si>
  <si>
    <t>P-400-23144-049047</t>
  </si>
  <si>
    <t>H-400-23192-181265</t>
  </si>
  <si>
    <t>103 S 200 E Cedar  Valley</t>
  </si>
  <si>
    <t>Fairmont</t>
  </si>
  <si>
    <t xml:space="preserve">All Deductions required by law </t>
  </si>
  <si>
    <t>H-400-23184-163737</t>
  </si>
  <si>
    <t>HUNTERS RUN PROPERTY OWNERS ASSOCIATION INC</t>
  </si>
  <si>
    <t>3500 CLUBHOUSE LANE</t>
  </si>
  <si>
    <t>BOYNTON BEACH</t>
  </si>
  <si>
    <t>3 MONTHS EXPERIENCE REQUIRED. ROTATING SHIFTS AND HOURS MON-SUN 6AM-10PM. PAID BIWEEKLY. HOUSING IS OPTIONAL FOR $125. P/WK UTILITIES INCLUDED, PLUS A $200. REFUNDABLE DEPOSIT. UNIFORMS AND SHIFT MEALS PROVIDED.</t>
  </si>
  <si>
    <t xml:space="preserve">PAY IS $10. P/HR PLUS TIPS BUT NO LESS THAN $14. P/HR PD BIWKLY. HOUSING AVAIL $125.P/WK, PLUS $200. REFUND DEPO. </t>
  </si>
  <si>
    <t>P-400-23125-998230</t>
  </si>
  <si>
    <t>HOUSING IS OPTIONAL AND AVAILABLE AT $125. P/WK INCLUDING UTILITIES, TV AND INTERNET, A $200. REFUNDABLE DEPOSIT. UNIFORMS AND SHIFT MEALS PROVIDED.</t>
  </si>
  <si>
    <t>HUMANRESOURCES@HUNTERSRUN.NET</t>
  </si>
  <si>
    <t>H-400-23191-178460</t>
  </si>
  <si>
    <t xml:space="preserve">CDL Class A experience.
MUST HAVE CDL CLASS A EXPERIENCE WITH AIR BRAKES AND COMBINATION ENDORSEMENTS. MUST BE ABLE TO LIFT AND CARRY 75 LBS. 75 YDS. MUST BE ABLE TO HANDLE TEMPERATURE EXTREMES. WORK HOURS VARY ACCORDING TO ROUTES AND CUSTOMER NEEDS, ROUGH WINDOW 5AM - 7 PM.
</t>
  </si>
  <si>
    <t>P-400-23153-074418</t>
  </si>
  <si>
    <t>Any advances will be deducted with the consent of the employee. The employer will provide housing as an option to employees living outside the regular commuting distance. Employees who elect to live in the housing will have an additional $150 deducted per Bi-weekly paycheck for rent and utilities.</t>
  </si>
  <si>
    <t>H-400-23208-219782</t>
  </si>
  <si>
    <t xml:space="preserve">The Petitioner will consider for employment any person who possesses at least six (6) months of culinary experience in a high-end or high-volume restaurant, resort, private club, or tourism environment. Applicant may be required to complete pre-employment COVID-19 test, complete a quarantine period, and/or demonstrate proof of COVID-19 vaccination if required under state, federal, or company guidelines at the time of hire. For banquets, employee may receive a banquet service charge of $37.50 per event.
</t>
  </si>
  <si>
    <t>Wage: $20.00 - $35.00 per hour, paid bi-weekly.  Please see job description for additional information.</t>
  </si>
  <si>
    <t>P-400-23144-049323</t>
  </si>
  <si>
    <t>H-400-23184-164208</t>
  </si>
  <si>
    <t>Affordable Interior Systems, Inc.</t>
  </si>
  <si>
    <t>25 Tucker Drive</t>
  </si>
  <si>
    <t>Liason</t>
  </si>
  <si>
    <t>brianm@panpacificsourcing.com</t>
  </si>
  <si>
    <t xml:space="preserve">Must have the ability to read and write and have a GED or foreign equivalent.
</t>
  </si>
  <si>
    <t>1110 Industrial Blvd</t>
  </si>
  <si>
    <t>MILAM</t>
  </si>
  <si>
    <t>P-400-23118-976778</t>
  </si>
  <si>
    <t xml:space="preserve">The employer will make all deductions from the worker's paycheck required by law. Employer will provide housing at a $67.50 weekly payroll deduction. Employer-provided housing is optional for workers.
</t>
  </si>
  <si>
    <t>H-400-23192-181676</t>
  </si>
  <si>
    <t>220 S Wilcox Street</t>
  </si>
  <si>
    <t>H-400-23282-419386</t>
  </si>
  <si>
    <t>15400 NE 90th Street SE</t>
  </si>
  <si>
    <t>DAYS/SHIFTS MAY VARY.
TWO SHIFTS: 6:00AM 6:00PM OR 6:00PM 6:00AM
EMPLOYER IS OFFERING UP TO 30 HOURS OF OVERTIME AVAILABLE PER WEEK, AS NEEDED, BUT NOT GUARANTEED.
EMPLOYER RESERVES THE RIGHT TO PAY A HIGHER WAGE RATE OR BONUS TO ANY WORKER IN THEIR SOLE DISCRETION, BASED ON PERFORMANCE, SKILL, TENURE,
OR EXPERIENCE.
OPTIONAL EMPLOYER HOUSING IS AVAILABLE AT A COST OF $15/DAY.
A PRE-EMPLOYMENT DRUG SCREEN WILL BE REQUIRED.
TRANSPORTATION TO AND FROM THE WORKSITE WILL BE PROVIDED AT NO COST TO THE WORKER.
FIRST THREE WEEKS OF EMPLOYMENT WILL INCLUDE 35+ HOURS PER WEEK OF PAID ON THE JOB TRAINING.</t>
  </si>
  <si>
    <t>Overtime will be paid at a rate of $25.73/hr for working more than 8hrs in any day or 40 hrs in any given week.</t>
  </si>
  <si>
    <t>H-400-23228-268383</t>
  </si>
  <si>
    <t>Cafeteria Cashier</t>
  </si>
  <si>
    <t>Three (3) months of experience in a high-volume food and beverage environment at a high-end restaurant, resort, or private club required. Basic computer skills required.
May be required to lift up to 40 lbs.
On-the-job training is provided.
Following Shifts available 7 days a week including weekends and holidays. 7a-2p, 8a-3p, 9a-4p.
Wage Per Hour: $13.31 - $21.00
Overtime Possible Per Hour at $19.97 - $31.50</t>
  </si>
  <si>
    <t>P-400-23138-034579</t>
  </si>
  <si>
    <t>All deductions required by law will be made.
Optional housing is offered on a first-come, first-serve basis for workers who are relocating to begin employment. Cost of housing, if accepted, is $125.00 per week. If used, total cost of housing will be paid directly to employer by employee. A $125.00 refundable security deposit is required, to be paid directly to employer upon acceptance of housing.
Daily transportation to and from worksite is provided for workers living in employee housing.
Optional Deductions from Paycheck: optional 401(k).
Benefits: Meal and retail discounts, free ski lift pass.</t>
  </si>
  <si>
    <t>H-400-23243-310165</t>
  </si>
  <si>
    <t>Shop Assistant</t>
  </si>
  <si>
    <t>Southern Air Custom Interiors, Inc.</t>
  </si>
  <si>
    <t>711 County Rd. 51</t>
  </si>
  <si>
    <t>Haleyville</t>
  </si>
  <si>
    <t>matt@southernaircustoms.com</t>
  </si>
  <si>
    <t xml:space="preserve">Must be able to lift/carry 50 pounds. Must have or be able to obtain a state driver's License. 
</t>
  </si>
  <si>
    <t>Overtime hours may be available and will be paid at the overtime wage rate of $19.19.</t>
  </si>
  <si>
    <t>P-400-23166-113137</t>
  </si>
  <si>
    <t>Employer intends to offer assistance to workers in locating and securing adequate housing for the employment period. Workers are not required to accept employer's assistance in securing housing. The cost of such housing will vary and will be borne by the worker. Employer will make all deductions from the worker's paycheck as required by law. Employer will not make deductions for housing as employer will only assist with finding housing and will not provide housing.</t>
  </si>
  <si>
    <t>H-400-23184-165180</t>
  </si>
  <si>
    <t>Loin Bone Trimmer</t>
  </si>
  <si>
    <t>1 month safety/ppe/sanitation training required. 
Workers will work from either 6:15am until 2:30pm OR 3:00pm until 11:30pm</t>
  </si>
  <si>
    <t>Exact wage rate determined by internal metrics. Workers may be eligible for plant-wide incentive program.</t>
  </si>
  <si>
    <t>P-400-23121-980096</t>
  </si>
  <si>
    <t>H-400-23215-237333</t>
  </si>
  <si>
    <t>9385  South Snowbird Center Drive</t>
  </si>
  <si>
    <t>Wage: $19.50 - $23.50 per hour, paid bi-weekly.  Overtime is available at $29.25 - $35.25 per hour. See job description.</t>
  </si>
  <si>
    <t>P-400-23178-145275</t>
  </si>
  <si>
    <t>H-400-23192-179449</t>
  </si>
  <si>
    <t>Fortune Foodz Consultant Inc</t>
  </si>
  <si>
    <t>150 S Pine Island Rd</t>
  </si>
  <si>
    <t>Marlon</t>
  </si>
  <si>
    <t xml:space="preserve">8154 Gerbera Dr. </t>
  </si>
  <si>
    <t>#9101</t>
  </si>
  <si>
    <t>shermarly@yahoo.com</t>
  </si>
  <si>
    <t xml:space="preserve">Workers must pass a pre-employment background check. 
Shifts may vary, but Employer expects 40 hour work week with primary shift from 7:30am - 4:30pm. 
</t>
  </si>
  <si>
    <t>955 Settlement Trail</t>
  </si>
  <si>
    <t>P-400-23131-012742</t>
  </si>
  <si>
    <t>info@fortunefoodzconsultant.com</t>
  </si>
  <si>
    <t>H-400-23184-162259</t>
  </si>
  <si>
    <t xml:space="preserve">Must pass pre-hire drug test and medical physical. Must pass a written and functional pipe fitter test administered at the project worksite in Corpus Christi, Texas at employer's expense. 
Must be willing and able to climb and work in high places that may exceed 200 feet in height, and in confined spaces. Must be able to lift and/or move a minimum of 50 lbs. These requirements will be carried out equally between U.S. and H-2B workers. 
</t>
  </si>
  <si>
    <t>P-400-23110-951980</t>
  </si>
  <si>
    <t>H-400-23275-404467</t>
  </si>
  <si>
    <t>LANDSCAPE LABOR- SNOW REMOVAL</t>
  </si>
  <si>
    <t>HUSKIE'Z PROPERTIES, LLC</t>
  </si>
  <si>
    <t>3395 OXFORDSHIRE DRIVE</t>
  </si>
  <si>
    <t>ALYSA</t>
  </si>
  <si>
    <t>OWNER, CFO</t>
  </si>
  <si>
    <t xml:space="preserve">BLUFFALE </t>
  </si>
  <si>
    <t>heatherhinckley0425@gmail.com</t>
  </si>
  <si>
    <t>Hand Shoveling snow and using hand snow blowers</t>
  </si>
  <si>
    <t>P-400-23229-272334</t>
  </si>
  <si>
    <t>State and federal taxes.
Boarding Option- Workers may choose to live in an apartment provided by Huskie’z Properties LLC for 
$75.00 per week deducted from the weekly paycheck. Housing is ‘Optional.’</t>
  </si>
  <si>
    <t>H-400-23213-228489</t>
  </si>
  <si>
    <t>FOH Supervisor</t>
  </si>
  <si>
    <t>Director of Food &amp; Beverage</t>
  </si>
  <si>
    <t xml:space="preserve">Must be capable of walking or standing 95% or more of a normal 8-hour work shift. Must be capable of frequently carrying, lifting, pushing or pulling up to 50lbs.
On-The-Job Training Is Provided.
Following Shifts available 7 days a week including weekends and holidays. 7am to 3:30pm, 9amto 5:30pm, 11am to 7:30pm, 3pm to 11:30pm
Wage Per Hour: Tipped position with guaranteed wage of $20.54 - $28.00
Overtime possible at hourly wage of $30.81 - $42.00
Possible Wage Increase: Based on merit and past experience with our company
</t>
  </si>
  <si>
    <t>P-400-23128-003200</t>
  </si>
  <si>
    <t>All deductions required by law will be made.
Will assist in finding housing with third-party landlords.
Daily transportation to and from the worksite is not provided.
Local bus lines are free to all riders.
Benefits: Ski Pass, Shift Meals, 50% F&amp;B Discount, 30% Retail Discount</t>
  </si>
  <si>
    <t>H-400-23191-177640</t>
  </si>
  <si>
    <t>Snow Removal and Winter Landscape Laborer</t>
  </si>
  <si>
    <t>Elevated Snow Services</t>
  </si>
  <si>
    <t>754 West 700 South</t>
  </si>
  <si>
    <t>Gurney</t>
  </si>
  <si>
    <t>754 W 700 S</t>
  </si>
  <si>
    <t>bgurney@elitegrounds.com</t>
  </si>
  <si>
    <t>Keven</t>
  </si>
  <si>
    <t>kj@strattonlawgroup.com</t>
  </si>
  <si>
    <t>Stratton Law Group PLLC</t>
  </si>
  <si>
    <t>Must be able to lift 50 pounds.</t>
  </si>
  <si>
    <t>P-400-23142-044037</t>
  </si>
  <si>
    <t>P-400-23142-044046</t>
  </si>
  <si>
    <t>P-400-23142-044051</t>
  </si>
  <si>
    <t>If housing is provided, housing costs will be deducted from worker's check. Not to exceed $150 per week.</t>
  </si>
  <si>
    <t>H-400-23245-317950</t>
  </si>
  <si>
    <t>Winter Technician</t>
  </si>
  <si>
    <t>Central Indiana Snow and Ice Management, LLC</t>
  </si>
  <si>
    <t>5200 W. 86th Street</t>
  </si>
  <si>
    <t>Haggard</t>
  </si>
  <si>
    <t>5200 W. 86th St.</t>
  </si>
  <si>
    <t>P-400-23128-000676</t>
  </si>
  <si>
    <t>Employer makes all payroll deductions required by law. Employer does not envision other workforce-wide payroll deductions. If requested, employer helps non-local workers secure optional worker-paid lodging (not to exceed fair market value, based on number of occupants; cost TBD). Housing costs paid directly to landlord and are not payroll deducted. Voluntary advances and/or loans made to workers, if any, may be repaid by pre-authorized payroll deductions. No daily transportation to/from work provided. Employer provides incidental transportation between worksites as necessary. Such transportation complies with all applicable Federal, State, and local laws/regulations.</t>
  </si>
  <si>
    <t>rick@indianasnowandice.com</t>
  </si>
  <si>
    <t>H-400-23229-272132</t>
  </si>
  <si>
    <t>Superior Midway Games, LLC</t>
  </si>
  <si>
    <t>Elsperman</t>
  </si>
  <si>
    <t>Heidi</t>
  </si>
  <si>
    <t>heidisuperior@gmail.com</t>
  </si>
  <si>
    <t xml:space="preserve">Hours, schedule, and days vary widely.  
Typically Mon-Fri, 8AM-5PM.  
Often 35-40 hours per week, may go up to 40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Subject to discharge for cause.  
</t>
  </si>
  <si>
    <t>P-400-23128-002244</t>
  </si>
  <si>
    <t>Optional mobile housing ($150/week)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($20/week) is available for wage credit and/or deduction, or any lesser amount to the maximum extent not prohibited by law.</t>
  </si>
  <si>
    <t>H-400-23192-179269</t>
  </si>
  <si>
    <t>Catalyst Project Management, Inc.</t>
  </si>
  <si>
    <t>Catalyst Hospitality</t>
  </si>
  <si>
    <t>2525 Highlander Place</t>
  </si>
  <si>
    <t>Harrington</t>
  </si>
  <si>
    <t>925 Park Street</t>
  </si>
  <si>
    <t xml:space="preserve">Grinnell </t>
  </si>
  <si>
    <t>angela@catalysthospitality.com</t>
  </si>
  <si>
    <t>Westin</t>
  </si>
  <si>
    <t>700 Walnut Street</t>
  </si>
  <si>
    <t>nwestin@nyemaster.com</t>
  </si>
  <si>
    <t>Nyemaster Goode, P.C.</t>
  </si>
  <si>
    <t xml:space="preserve">THERE WILL BE SEPARATE SHIFTS--THE WORKERS WILL BE WORKING TWO DIFFERENT SHIFTS: 7:00 AM TO 3:30 PM OR 3:30 PM TO MIDNIGHT. THERE MAY BE TIMES WHEN OVERNIGHT SHIFT IS REQUIRED--10:30PM TO 7AM. THERE WILL BE 1/2 HOUR MEAL BREAKS.
</t>
  </si>
  <si>
    <t>Grinnell</t>
  </si>
  <si>
    <t>P-400-23107-937548</t>
  </si>
  <si>
    <t>angelaharrington3@gmail.com</t>
  </si>
  <si>
    <t>H-400-23276-407387</t>
  </si>
  <si>
    <t xml:space="preserve">Superior AJ Forestry </t>
  </si>
  <si>
    <t>2165 Lotus Ln.</t>
  </si>
  <si>
    <t>Aguilar-Jurado</t>
  </si>
  <si>
    <t>superioraj.forestry@gmail.com</t>
  </si>
  <si>
    <t>2165 Lotus Ln (Report to Work)</t>
  </si>
  <si>
    <t>P-400-23167-118706</t>
  </si>
  <si>
    <t>Superioraj.forestry@gmail.com</t>
  </si>
  <si>
    <t>H-400-23160-096940</t>
  </si>
  <si>
    <t xml:space="preserve">Food Servers - Non Restaurant </t>
  </si>
  <si>
    <t>L&amp;M International Inc.</t>
  </si>
  <si>
    <t>7929 Liberty Rd</t>
  </si>
  <si>
    <t xml:space="preserve">Silva </t>
  </si>
  <si>
    <t xml:space="preserve">Legal Advisor </t>
  </si>
  <si>
    <t>1756 N. Bayshore DR</t>
  </si>
  <si>
    <t>casaconsultingandglobal@gmail.com</t>
  </si>
  <si>
    <t xml:space="preserve">The Food Server position will require heavy lifting and standing for extended periods of time. 
</t>
  </si>
  <si>
    <t>3110 Farley DR</t>
  </si>
  <si>
    <t>P-400-23049-785373</t>
  </si>
  <si>
    <t xml:space="preserve">None - Only deductions required by law </t>
  </si>
  <si>
    <t>johnny@stafflm.com</t>
  </si>
  <si>
    <t>https://stafflm.com</t>
  </si>
  <si>
    <t>H-400-23215-236124</t>
  </si>
  <si>
    <t>VRSS Holdings LLC</t>
  </si>
  <si>
    <t>Seven Springs Mountain Resort</t>
  </si>
  <si>
    <t>777 Waterwheel Drive</t>
  </si>
  <si>
    <t>Seven Springs</t>
  </si>
  <si>
    <t>P-400-23113-957855</t>
  </si>
  <si>
    <t>OPTIONAL SUBSIDIZED EMPLOYEE HOUSING IS AVAILABLE BUT LIMITED. BIWEEKLY COST IS $69.00 TO $175.00 DEPENDING ON UNIT TYPE (I.E. NUMBER OF BEDS IN
UNIT AND NUMBER OF PEOPLE LIVING IN UNIT). EMPLOYEE IS RESPONSIBLE FOR PAYING HOUSING COST BIWEEKLY. A LICENSE DEPOSIT OF $250 IS DUE PRIOR TO
CHECK-IN. WITH EMPLOYEE'S VOLUNTARY CONSENT, HOUSING COST WILL BE DEDUCTED FROM PAYCHECK.</t>
  </si>
  <si>
    <t>H-400-23268-379802</t>
  </si>
  <si>
    <t>Bishop Amusement Rides</t>
  </si>
  <si>
    <t>850 FM 2537</t>
  </si>
  <si>
    <t>Bishop</t>
  </si>
  <si>
    <t>NancyB2150@aol.com</t>
  </si>
  <si>
    <t>P-400-23199-195955</t>
  </si>
  <si>
    <t>H-400-23215-235816</t>
  </si>
  <si>
    <t>Delacour Stable LLC</t>
  </si>
  <si>
    <t>PO Box 233</t>
  </si>
  <si>
    <t>Delacour</t>
  </si>
  <si>
    <t>Arnaud</t>
  </si>
  <si>
    <t>leoffutt@yahoo.com</t>
  </si>
  <si>
    <t>P-400-23123-988462</t>
  </si>
  <si>
    <t>H-400-23184-165083</t>
  </si>
  <si>
    <t xml:space="preserve">Able to sit, stand, bend, walk and drive or ride in a vehicle for long periods of time; to understand and implement construction safety procedures; able to work in all weather conditions. 40 hours/week, Mon-Sun, 8:00am to 5:00pm (schedule varies).18 years old age requirement.
</t>
  </si>
  <si>
    <t>Hillcrest Avenue</t>
  </si>
  <si>
    <t>H-400-23215-235848</t>
  </si>
  <si>
    <t xml:space="preserve">The Petitioner will consider for employment any person who possesses at least one (1) year of culinary experience in a fine-dining, high-volume environment at a high-end restaurant, resort, or private club. Applicant 
must complete preemployment background check and drug screening.
</t>
  </si>
  <si>
    <t xml:space="preserve">Wage: $16.50 - $23.25 per hour, paid bi-weekly.  See job description. </t>
  </si>
  <si>
    <t>P-400-23124-993128</t>
  </si>
  <si>
    <t>H-400-23285-428603</t>
  </si>
  <si>
    <t xml:space="preserve">Schedule: Monday through Sunday (schedule varies). Shifts: 7am-3pm, or 3pm-11pm, or 11pm-7am (shift hours may vary). Five rotating days. Employer will offer at least forty (40) hours per week. </t>
  </si>
  <si>
    <t>Optional employee housing available at a rate of $150 per week to be deducted from paycheck</t>
  </si>
  <si>
    <t>P-400-23261-355893</t>
  </si>
  <si>
    <t>H-400-23188-174282</t>
  </si>
  <si>
    <t>15 CALLE ANACUA</t>
  </si>
  <si>
    <t>BROWNSVILLE</t>
  </si>
  <si>
    <t>15 Calle Anacua</t>
  </si>
  <si>
    <t>P-400-23131-015401</t>
  </si>
  <si>
    <t>H-400-23192-180071</t>
  </si>
  <si>
    <t>1343 w 75 N</t>
  </si>
  <si>
    <t xml:space="preserve">Centerville </t>
  </si>
  <si>
    <t>1122 S 900 E St</t>
  </si>
  <si>
    <t>H-400-23185-165575</t>
  </si>
  <si>
    <t>kw@rqconstruction.com</t>
  </si>
  <si>
    <t xml:space="preserve"> Post-employment drug tests required after incidents or on reasonable suspicion paid by employer. 
 Background check required.
 May be required to lift up to 80 lbs. 
</t>
  </si>
  <si>
    <t>P-400-23093-900187</t>
  </si>
  <si>
    <t>https://rqconstruction.applicantpro.com/jobs/</t>
  </si>
  <si>
    <t>H-400-23188-174623</t>
  </si>
  <si>
    <t xml:space="preserve">Medical Assistant </t>
  </si>
  <si>
    <t>Richmond Spine Interventions and Pain Center</t>
  </si>
  <si>
    <t>14404 Sommerville Ct.</t>
  </si>
  <si>
    <t>NAZMI</t>
  </si>
  <si>
    <t>Peyman</t>
  </si>
  <si>
    <t>Medical Director</t>
  </si>
  <si>
    <t>nazmipeyman@gmail.com</t>
  </si>
  <si>
    <t>Yong</t>
  </si>
  <si>
    <t>7024 Evergreen Ct</t>
  </si>
  <si>
    <t>Suite 6A</t>
  </si>
  <si>
    <t>info@meetoovisa.com</t>
  </si>
  <si>
    <t>Yong G Kim and Associates</t>
  </si>
  <si>
    <t xml:space="preserve">Working knowledge of handling medical records and patient information through electronic medical software, preferably the Athena system.  
</t>
  </si>
  <si>
    <t>P-400-23145-055098</t>
  </si>
  <si>
    <t xml:space="preserve">In addition to the hourly wage, the employer will provide a transportation allowance of $200 and a housing allowance of $300 per month. The worker's payment will not be subject to any deductions for such benefits. </t>
  </si>
  <si>
    <t>H-400-23184-162789</t>
  </si>
  <si>
    <t>Case Selector</t>
  </si>
  <si>
    <t>Windigo Logistics, LLC</t>
  </si>
  <si>
    <t>11025 Charter Ranch Rd.</t>
  </si>
  <si>
    <t>Fountain</t>
  </si>
  <si>
    <t>Redeker</t>
  </si>
  <si>
    <t>Distribution Manager</t>
  </si>
  <si>
    <t xml:space="preserve">Warehouse and/or pallet jack experience preferred but not required. Must be 18 yrs or older. Frequent bending, stooping, and lifting. Must lift/carry 80 lbs., when necessary. Works in a fast-paced environment with varying temperatures. Saturday and Sunday work required, when necessary.  Employer-paid drug testing required of foreign and domestic workers prior to commencing work and post-hire at random, upon suspicion of use, and post-accident. Post-hire background check required of foreign and domestic workers. Employer may offer more than the stated work hours depending on weather, business needs, and other conditions. Extreme heat, cold, rain, or drought may affect exact working hours.
</t>
  </si>
  <si>
    <t>11025 Charter Ranch Rd</t>
  </si>
  <si>
    <t>P-400-23132-017369</t>
  </si>
  <si>
    <t>If requested, employer helps non-local workers secure optional worker-paid lodging. Employer deducts reasonable fair market value cost of rent/utilities based on number of occupants for workers electing to reside in employer-provided housing (cost TBD).  Employer may deduct reasonable costs for daily transportation to/from worksite from designated pick-up location. Use of employer-provided transportation is voluntary. Employer may also deduct for union dues.</t>
  </si>
  <si>
    <t>Fountainhr@windigous.com</t>
  </si>
  <si>
    <t>H-400-23245-318100</t>
  </si>
  <si>
    <t>Crystal Mountain, Inc.</t>
  </si>
  <si>
    <t>Crystal Mountain Resort</t>
  </si>
  <si>
    <t>33914 Crystal Mountain Blvd.</t>
  </si>
  <si>
    <t>Enumclaw</t>
  </si>
  <si>
    <t>Jachim</t>
  </si>
  <si>
    <t>jjachim@skicrystal.com</t>
  </si>
  <si>
    <t>Washington Food Handler's Permit required.
Ability to stand for long periods of time. Ability to work nights, weekends, and holidays.
On the job training will be provided.
35 hrs. per week.  Following Shifts available 7 days a week including weekends and holidays. 6am-2pm, 7am-4pm, 8am-4pm, 8am-5pm, 10am-6pm, 11am-8pm, 12pm-9pm, 2pm-11pm.
Workers will be paid no less than $20.04 - $23.99 hourly per hour (Annual merit increases based on performance review). Overtime at $30.06 - $35.99 per hour.
The Employer will provide sick leave to employees. The employee will accrue paid sick leave at a minimum rate of 1 hour for every 40 hours worked.  
Employees are entitled to use accrued paid sick leave beginning on the 90th calendar day after the start of their employment, and sick leave will be paid at the employees normal hourly rate.  
Unused paid sick leave of 40 hours or less will be carried over to the following year for those workers returning to employment with the employer.</t>
  </si>
  <si>
    <t>Annual merit increases based on performance review</t>
  </si>
  <si>
    <t>P-400-23138-034668</t>
  </si>
  <si>
    <t xml:space="preserve">All deductions required by law will be made.
Optional Deductions from Paycheck: Optional 401(k).
Benefits: 1 shift meal while on duty, Alterra Mtn Co ski pass, 40% discount on retail and Food &amp; beverage venues, various industry pro-deals, friends &amp; family discount lift tickets.
Optional Housing provided, deducted from paycheck. Biweekly amount from $305 to $450 based on specific location. Initial security deposit of $300 taken in two increments of $150.
</t>
  </si>
  <si>
    <t>aknudson@skicrystal.com</t>
  </si>
  <si>
    <t>H-400-23237-297420</t>
  </si>
  <si>
    <t xml:space="preserve">Snow Removal </t>
  </si>
  <si>
    <t>AMIGO PROPERTY SERVICES, LLC</t>
  </si>
  <si>
    <t>225 Countryside Cir</t>
  </si>
  <si>
    <t>Tiscareno</t>
  </si>
  <si>
    <t>Guillermo</t>
  </si>
  <si>
    <t>amigoproperty@live.com</t>
  </si>
  <si>
    <t>299 South Main</t>
  </si>
  <si>
    <t>postonlawpc@gmail.com</t>
  </si>
  <si>
    <t>Poston Law PLLC</t>
  </si>
  <si>
    <t>P-400-23123-986536</t>
  </si>
  <si>
    <t>H-400-23271-393111</t>
  </si>
  <si>
    <t xml:space="preserve">CRIMINAL BACKGROUND CHECK - SAME AS ALL US CITIZEN AND WORK AUTHORIZED APPLICANTS
</t>
  </si>
  <si>
    <t>LAUNDRY DEPT</t>
  </si>
  <si>
    <t>P-400-23192-178811</t>
  </si>
  <si>
    <t>WE WILL MAKE ALL DEDUCTIONS REQUIRED BY LAW (IE. FEDERAL AND STATE INCOME TAXES, SOCIAL SECURITY TAXES). WE WILL MAKE A DEDUCTION FOR BI-WEEKLY OCCUPANCY FEE AT OUR EMPLOYER-PROVIDED HOUSING AT A RATE OF $275.00 EACH BI-WEEKLY PERIOD IF THE EMPLOYEE RESIDES THERE.  ANY PAST DUE AND UNPAID WEEKLY OCCUPANCY FEES WILL ALSO BE DEDUCTED FROM PAY. EMPLOYEES ELECT TO RESIDE IN OUR EMPLOYER-PROVIDED HOUSING, IF THEY DO NOT, NO DEDUCTIONS FOR HOUSING WILL OCCUR. NO OTHER DEDUCTIONS WILL BE MADE FROM PAY, EXCEPT STATUTORY TAXES.</t>
  </si>
  <si>
    <t>www.yourworkforcecenter.com</t>
  </si>
  <si>
    <t>H-400-23304-468093</t>
  </si>
  <si>
    <t>Tideline Ocean Resort &amp; Spa</t>
  </si>
  <si>
    <t>Chisea Shahinian &amp; Giantomasi PC</t>
  </si>
  <si>
    <t>Must have at least two (2) months prior full-time customer service experience in luxury hospitality setting. Experience must be verifiable. Must have or be eligible to obtain a valid driver's license. Must pass a pre-hire background check, carried out equally between U.S. workers and H-2B workers. Must be able to lift, pull, push or carry up to 50 lbs or more, and walk or stand for long periods of time. Must maintain a professional appearance and be able to communicate in English.</t>
  </si>
  <si>
    <t>H-400-23215-234812</t>
  </si>
  <si>
    <t>4805 Tamiami Trail N.</t>
  </si>
  <si>
    <t>P-400-23144-050741</t>
  </si>
  <si>
    <t xml:space="preserve">Employer will make all deductions from the worker's paycheck required by law and deduct approved cost of housing if worker elects.  Optional employee shared housing, approximate rate $125 per week, utilities are included. No deposit. 
</t>
  </si>
  <si>
    <t>H-400-23240-300231</t>
  </si>
  <si>
    <t>WAITER</t>
  </si>
  <si>
    <t xml:space="preserve">EASTPOINTE COUNTRY CLUB, INC </t>
  </si>
  <si>
    <t>MIKE.NOLEN@BOBBYJONESLINKS.COM</t>
  </si>
  <si>
    <t>1555 Palm Beach Lakes Blvd</t>
  </si>
  <si>
    <t>Ste 1010</t>
  </si>
  <si>
    <t>FLORIDA SUPREME COUNRT</t>
  </si>
  <si>
    <t>Experience Requirements
6 months of experience in a fine dining, high-volume environment at a high-end restaurant, resort, or private club preferred. High School Diploma or Equivalency is required. On-the-job training will be provided.
Physical Demands &amp; Work Environment Requirements
The physical demands described here are representative of those that must be met by an employee to successfully perform the essential functions of this job. While performing the duties of this job, the employee is frequently required to:
Walk, sit, stand for long periods of time, bend, use hands to finger, handle, or feel; and talk or hear, stoop, kneel, crouch, close vision, distance vision, peripheral vision depth perception, and ability to adjust focus.
Lift up to 25 lbs. regularly; up to 50 lbs. occasionally and to lift overhead and push/pull, move lighter objects.
The work environment characteristics described here are representative of those an employee
encounters while performing the essential functions of this job.
Indoor conditions that may be warm.  Work near:  grill and fryer. Noise level in the work environment is frequently loud.</t>
  </si>
  <si>
    <t>13535 EASTEPOINTE BLVD</t>
  </si>
  <si>
    <t>P-400-23157-082134</t>
  </si>
  <si>
    <t>shaz@asgharlawfirm.com</t>
  </si>
  <si>
    <t>Asghar</t>
  </si>
  <si>
    <t>Sheraz</t>
  </si>
  <si>
    <t>H-400-23277-409030</t>
  </si>
  <si>
    <t>Ecoscape Solutions Group, LLC_Raleigh</t>
  </si>
  <si>
    <t>1101 Ellis Street</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</si>
  <si>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Employment eligibility (e-Verify) check required of foreign and domestic workers.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</si>
  <si>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1101 Ellis Street,</t>
  </si>
  <si>
    <t>P-400-23200-200551</t>
  </si>
  <si>
    <t>H-400-23215-234828</t>
  </si>
  <si>
    <t>P-400-23143-045008</t>
  </si>
  <si>
    <t>H-400-23249-324405</t>
  </si>
  <si>
    <t xml:space="preserve">	Work schedule is at least 5 days/week with shifts varying by day and work days varying by week to include Saturday and Sunday. Weekends and Holidays required. 
	Rotating day and evening shifts may be offered. 
	Must be available to work any shift: 8:00am - 4:00pm; 4:00pm - 10:00pm and 11pm - 7am (when needed)
	Overtime if available occurs after/over 40 hrs/WK.
	Minimum 12-month hotel/resort housekeeping experience required
	Rotate/split shifts
	Supplies, work tools and equipment are provided free
	The employer will make all deductions from worker's paycheck required by law
	Must lift/carry 50 lbs., when necessary.  
	Supplies, work tools &amp; equipment are provided free
	No daily transportation to/from work provided.
	No on the job training provided. 
</t>
  </si>
  <si>
    <t>19900 W Country Club Drive</t>
  </si>
  <si>
    <t>Aventura</t>
  </si>
  <si>
    <t>P-400-23142-041971</t>
  </si>
  <si>
    <t>Employer will make all deductions from worker's paycheck required by law. 
· •Employer will deduct any written preapproved deduction requested by employee 
Voluntary/Optional, Third-Party Rent/housing: Provided by a third party company
· •Optional &amp; Voluntary 3rd party housing may be available at $150 - $175/ WK &amp; may be voluntarily payroll deducted biweekly
· •Waterloo Hospitality could act as guarantor for timely rent payment however, lease is directly with 3rd party service provider &amp; between employees &amp; housing company as Waterloo Hospitality has no housing of its own
· •Housing Deposits and/or a $250 nonrefundable administrative fee may be required if you choose the voluntary optional 3rd party housing
•Third party housing provider/landlord may require that the last 8 weeks of rent (covering June 21, 2024 to Aug 16 2024) be prepaid upfront or payroll deducted in installments of $150 per pay period until full payment is achieved. This pre-paid last 8 wks rent is nonrefundable</t>
  </si>
  <si>
    <t>H-400-23184-164292</t>
  </si>
  <si>
    <t xml:space="preserve">300 Gravier St. </t>
  </si>
  <si>
    <t>P-400-23125-997595</t>
  </si>
  <si>
    <t>All required taxes. If employee signs up for benefits (optional), those will be deducted. Amounts will very depending on the benefits chosen. Employer will assist workers securing board, lodging, or other facilities. Employer will also make available hotel rooms for up to two weeks at no charge. Employer will also assist workers with the search tools to secure their own.</t>
  </si>
  <si>
    <t>H-400-23184-162560</t>
  </si>
  <si>
    <t>LUKES SODDING AND LANDSCAPING</t>
  </si>
  <si>
    <t>12600 50TH STREET WEST</t>
  </si>
  <si>
    <t>NEW PRAGUE</t>
  </si>
  <si>
    <t>LUKES</t>
  </si>
  <si>
    <t xml:space="preserve">12600 50TH STREET WEST </t>
  </si>
  <si>
    <t>BRIANLUKES0126@GMAIL.COM</t>
  </si>
  <si>
    <t xml:space="preserve">MUST HAVE VALID DRIVER'S LICENSE. MUST BE ABLE TO LIFT 50 LBS. 
REPETITIVE MOVEMENTS, EXTENSIVE WALKING, FREQUENT STOOPING, EXPOSURE TO EXTREME TEMPERATURES.
SCHEDULE VARIES, OVERTIME AVAILABLE AS NEEDED.
</t>
  </si>
  <si>
    <t>P-400-23096-911243</t>
  </si>
  <si>
    <t>P-400-23139-037422</t>
  </si>
  <si>
    <t>jill@lukessod.com</t>
  </si>
  <si>
    <t>H-400-23241-305182</t>
  </si>
  <si>
    <t>FOOD PREPARER</t>
  </si>
  <si>
    <t>Applicant must be at least 18.
Applicant must be willing to work weekends.</t>
  </si>
  <si>
    <t>2945 NORTH DRUIT HILLS ROAD N.E.</t>
  </si>
  <si>
    <t>P-400-23151-065023</t>
  </si>
  <si>
    <t>FLC@LAPARRILLA.COM</t>
  </si>
  <si>
    <t>H-400-23290-435886</t>
  </si>
  <si>
    <t>JLQ Concessions LLC</t>
  </si>
  <si>
    <t>11719 East Ashlan Ave.</t>
  </si>
  <si>
    <t>Lola</t>
  </si>
  <si>
    <t xml:space="preserve"> 11719 East Ashlan Ave.</t>
  </si>
  <si>
    <t>lola.ramirez@yahoo.com</t>
  </si>
  <si>
    <t>P-400-23182-161891</t>
  </si>
  <si>
    <t>Employer will make all deductions from the worker’s paycheck required by law.  In addition, the employer intends to make the following deductions from the worker’s paycheck which are not required by law:   NONE Optional mobile housing (valued at $125.00 per week) and local convenience travel (valued at $15.00 per week) are available at no cost to the worker</t>
  </si>
  <si>
    <t>H-400-23254-337397</t>
  </si>
  <si>
    <t>MAINTENANCE HELPER</t>
  </si>
  <si>
    <t>P-400-23214-233307</t>
  </si>
  <si>
    <t>H-400-23215-234881</t>
  </si>
  <si>
    <t>Applicant must complete pre-employment background check.
Three (3) months of experience in job or related position at a high-end restaurant, resort, or private club required.
Following Shifts available 7 days a week including weekends and holidays. Work schedule can vary and may include evening, weekend, and holidays hours. Example shift: 9:00am to 4:00pm. Shift hours may vary. 
Wage per Hour: $18 - $28.07 
Overtime Possible at $27 - $42.11 per hour
We offer pay raises for returning staff if their experience and skillset meets the requirements for a higher wage</t>
  </si>
  <si>
    <t>We offer pay raises for returning staff if their experience and skillset meets the requirements for a higher wage</t>
  </si>
  <si>
    <t>P-400-23125-997632</t>
  </si>
  <si>
    <t>All deductions required by law will be made.
Optional housing is offered on a first-come, first-serve basis for workers who are relocating to begin employment. Move-in costs will include security fee ("deposit") and one month license fee ("rent"). Cost of housing is $600 - $800 per month, including utilities. The security fee will be equal to one month license fee and is due within seven days of housing.
Daily transportation to and from worksite is provided for those living in employee housing (employee shuttle). 
Pre-employment background and rehire status (if previously employed by Winter Park and/or Alterra). 
Rent will be deducted on a bi-weekly basis from paycheck. 
Benefits: Free ski pass, 50% off rentals, free ski lessons, 30% off retail items, free gym passes, 50% off F&amp;B grab and go, 25% off sit down dining.</t>
  </si>
  <si>
    <t>H-400-23229-272595</t>
  </si>
  <si>
    <t>205 Base Avenue E.</t>
  </si>
  <si>
    <t xml:space="preserve">Venice </t>
  </si>
  <si>
    <t xml:space="preserve">Wage: Tipped position with guaranteed wage of $13.84 per hour, paid bi-weekly.  See job description. </t>
  </si>
  <si>
    <t>P-400-23139-037553</t>
  </si>
  <si>
    <t>H-400-23184-163371</t>
  </si>
  <si>
    <t xml:space="preserve">Electrical Supervisor </t>
  </si>
  <si>
    <t>5 years experience as Electrician for industrial projects</t>
  </si>
  <si>
    <t>P-400-23146-057309</t>
  </si>
  <si>
    <t>All deductions required by law. The employer provided housing is at no cost to the worker or employee.</t>
  </si>
  <si>
    <t>H-400-23208-219748</t>
  </si>
  <si>
    <t xml:space="preserve">Employer makes all payroll deductions required by law. Employer does not envision other workforce-wide payroll deductions. </t>
  </si>
  <si>
    <t>H-400-23223-259020</t>
  </si>
  <si>
    <t>Three (3) months of experience in a fine-dining or high-volume environment at a high-end restaurant, resort, or private club required.  On-the-job training is provided.    Applicant must provide Pre-employment Criminal Background Check and Pre-employment Drug Test is required.
Shifts: Work schedule can vary and can include evening, weekend, and holiday hours. Work may be performed on any day of the week from Monday through Sunday. Example shifts: 7am - 2pm, 9am - 4pm, or 4pm- 11am.  Shift hours may vary.</t>
  </si>
  <si>
    <t xml:space="preserve">Employee may be eligible for additional compensation in the form of a discretionary season-end bonus of up to $500.00. </t>
  </si>
  <si>
    <t>H-400-23185-165639</t>
  </si>
  <si>
    <t>Thai Chef/Instructor</t>
  </si>
  <si>
    <t>1707 Rout 9, Suite 100</t>
  </si>
  <si>
    <t>1707 Route 9, Suite 100</t>
  </si>
  <si>
    <t xml:space="preserve">Required to stand for long periods and walk, climb stairs, balance, stoop, kneel, crouch, bend. Push, pull and lift up to 50 pounds.  No education required.  1 year of experience required in the preparation of authentic Thai cuisine. All tools/supplies req'd, provided at no cost. Split Shift: 12:00pm - 3:00pm; 4:00pm  9:00pm, Saturday work required when necessary. Workers will be paid bi-weekly on Friday and pay will be up-to-date and include the 14th 
day.
</t>
  </si>
  <si>
    <t>P-400-23107-940069</t>
  </si>
  <si>
    <t>H-400-23184-162217</t>
  </si>
  <si>
    <t xml:space="preserve">Must pass pre-hire drug test and medical physical. Must pass a written and functional pipe fitter test administered at the project worksite in Corpus Christi, Texas at employer's expense. Must be willing and able to climb and work in high places that may exceed 200 feet in height, and in confined spaces. Must be able to lift and/or move a minimum of 50 lbs. These requirements will be carried out equally between U.S. and H-2B workers.
</t>
  </si>
  <si>
    <t>P-400-23124-993328</t>
  </si>
  <si>
    <t>H-400-23320-507381</t>
  </si>
  <si>
    <t>P-400-23271-392618</t>
  </si>
  <si>
    <t>H-400-23307-475813</t>
  </si>
  <si>
    <t>13509 Railway Dr., #D</t>
  </si>
  <si>
    <t>13509 Railway Dr., #D (Report to Work)</t>
  </si>
  <si>
    <t>P-400-23195-188581</t>
  </si>
  <si>
    <t xml:space="preserve">Optional, shared housing available to the worker at a monthly housing rate up to $387.20; if optional housing is agreed upon by the worker, monthly housing rate will be deducted from worker's paycheck incrementally (bi-weekly).  </t>
  </si>
  <si>
    <t>H-400-23296-450888</t>
  </si>
  <si>
    <t>Marine Diesel Mechanic</t>
  </si>
  <si>
    <t>PO Box 70142</t>
  </si>
  <si>
    <t>Requirements:
	Minimum 18-yrs old.
	Degree or diploma in Mechanical Engineering or equivalent.
	Proven work experience as a Marine Diesel Mechanic or similar position.
	Thorough knowledge of marine engines, hydraulics and electrical systems.
	Excellent understanding of safety protocols and procedures.
	Good physical dexterity and mental stamina.
	Experience with marine engine rebuilding and overhauling.</t>
  </si>
  <si>
    <t>1971 Diamond O Way</t>
  </si>
  <si>
    <t>Room &amp; Board; Overtime paid as required by State of Alaska law, at time and a half after 40-hrs per week.</t>
  </si>
  <si>
    <t>P-400-23252-333517</t>
  </si>
  <si>
    <t>Federal, state and/or local government payroll taxes. Cash advances and/or personal items purchased using company funds (e.g. credit card, check or cash), if any.</t>
  </si>
  <si>
    <t>http://www.adescoak.com</t>
  </si>
  <si>
    <t>H-400-23323-512547</t>
  </si>
  <si>
    <t xml:space="preserve">The employer will make all deductions from the worker’s paycheck required by law.  Optional housing (valued at $175.00 per week) and local convenience travel (valued at $15.00 per week) are available at no cost to the worker. </t>
  </si>
  <si>
    <t>H-400-23352-574879</t>
  </si>
  <si>
    <t>The employer will make all deductions from workers' paychecks as required by law. From a biweekly payment of $15.41 per hour * 80 hours of work for basic salary paid per period the deductions will be: Federal $71.01, Medicare $17.87, FICA $76.43, state: $20.58. FLI: 0.73, IUE: $5.21. Deductions that are not disclosed are prohibited</t>
  </si>
  <si>
    <t>czcommercialcleaningservice@gmail.com</t>
  </si>
  <si>
    <t>H-400-23200-198647</t>
  </si>
  <si>
    <t>Refractory Plant Labor - Precast Division</t>
  </si>
  <si>
    <t>Welding, Soldering, and Brazing Machine Setters, Operators, and Tenders</t>
  </si>
  <si>
    <t>501 Reno St.</t>
  </si>
  <si>
    <t>P-400-23075-853708</t>
  </si>
  <si>
    <t>H-400-23300-461548</t>
  </si>
  <si>
    <t xml:space="preserve">Must have at least six (6) months of prior full-time experience as a restaurant cook preparing foods from scratch. Experience must be verifiable. Must have or be eligible to obtain a valid drivers license. Must pass a pre-hire background check, carried out equally between U.S. workers and H-2B workers. Must be available to work split-shifts, nights, weekends &amp; holidays as needed. Must be able to lift, pull, push or carry up to 25 lbs or more, and walk or stand for long periods of time. Must maintain a professional appearance and be able to communicate in English. 
</t>
  </si>
  <si>
    <t>P-400-23148-059557</t>
  </si>
  <si>
    <t>P-400-23300-459878</t>
  </si>
  <si>
    <t>H-400-23332-526937</t>
  </si>
  <si>
    <t>Aggi's Landscape Co., Inc.</t>
  </si>
  <si>
    <t>3871 Ed. Smith Ave.</t>
  </si>
  <si>
    <t>Agro</t>
  </si>
  <si>
    <t>aggilandscape@gmail.com</t>
  </si>
  <si>
    <t>3871 Ed. Smith Ave. (Report to Work)</t>
  </si>
  <si>
    <t>P-400-23216-239237</t>
  </si>
  <si>
    <t>Optional, shared furnished housing available to the worker (including: Utilities and Internet) at a monthly housing rate up to $450; if optional housing is agreed upon by the worker, monthly housing rate will be deducted from worker's paycheck incrementally (weekly).At Employer’s sole discretion: possible cash advances (if applicable/requested by worker, potential deduction from worker’s paycheck).</t>
  </si>
  <si>
    <t>H-400-23336-539186</t>
  </si>
  <si>
    <t>STONEMASONS</t>
  </si>
  <si>
    <t>P-400-23193-182813</t>
  </si>
  <si>
    <t>OPTIONAL HOUSING AVAILABLE FOR $125.00/WEEK TO BE DEDUCTED WEEKLY FROM PAYCHECK</t>
  </si>
  <si>
    <t>Hainesport</t>
  </si>
  <si>
    <t>H-400-23328-522526</t>
  </si>
  <si>
    <t>The Grass Patch, Inc.</t>
  </si>
  <si>
    <t>633 County Road 175</t>
  </si>
  <si>
    <t>Maphet</t>
  </si>
  <si>
    <t>lamaphet@gmail.com</t>
  </si>
  <si>
    <t>P-400-23285-427631</t>
  </si>
  <si>
    <t>Weekly deductions for Advances against pay  on the next pay day or at $100 per week until paid in full.</t>
  </si>
  <si>
    <t>lamaphet@thegrasspatch.com</t>
  </si>
  <si>
    <t>H-400-23255-338700</t>
  </si>
  <si>
    <t>Scott Heleva &amp; Timothy Emery Partnership</t>
  </si>
  <si>
    <t>T &amp; S Snowplowing</t>
  </si>
  <si>
    <t>5162 Route 309</t>
  </si>
  <si>
    <t>Schnecksville</t>
  </si>
  <si>
    <t>Heleva</t>
  </si>
  <si>
    <t>Valerie</t>
  </si>
  <si>
    <t>KJ Partners, LLP</t>
  </si>
  <si>
    <t>4140 Hill St.</t>
  </si>
  <si>
    <t>Coplay</t>
  </si>
  <si>
    <t>8am-5pm, M-Sun, workdays vary, some O.T. &amp; weekends may be available.</t>
  </si>
  <si>
    <t>P-400-23173-137101</t>
  </si>
  <si>
    <t xml:space="preserve">Employer will make all deductions required by law from each paycheck as well as for optional employer provided housing at $100/week per employee, utilities included.
Employer will advance against pay up to $75.00/day at the end of each work day for room and board at no interest for the first 2 weeks, if needed. 
</t>
  </si>
  <si>
    <t>timemery@emerylandscape.com</t>
  </si>
  <si>
    <t>H-400-23334-535087</t>
  </si>
  <si>
    <t>LAWSON LANDSCAPING DESIGN AND CONSTRUCTION, L.L.C. (LAW124A)</t>
  </si>
  <si>
    <t>338 NORTH 200 EAST</t>
  </si>
  <si>
    <t>338 North 200 East</t>
  </si>
  <si>
    <t>dani@lawsonlandscape.com</t>
  </si>
  <si>
    <t xml:space="preserve">MUST BE ABLE TO TOLERATE EXTREME TEMPERATURES, LOUD NOISES; LIFT HEAVY EQUIPMENT (UP TO 50LBS) AND EXHIBIT STAMINA. MUST PASS EMPLOYER-PAID, POST-HIRE DRUG TEST if administered.
Work days:  M-F, may work weekends.
Hours per week: 40
Work Schedule: 8:00am-5:00pm, schedule may vary.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Does employer offer a ride to primary worksite location to workers living within a reasonable
commute:  Yes
Overtime available?  Yes
On-the-Job Training provided?  Yes
Employer-Provided Tools and Equipment provided?  Yes
Board, Lodging or Other Facilities provided?:   No
Deductions: N/A 
</t>
  </si>
  <si>
    <t>P-400-23265-370765</t>
  </si>
  <si>
    <t>DANI@LAWSONLANDSCAPE.COM</t>
  </si>
  <si>
    <t>https://lawsonlandscape.com/</t>
  </si>
  <si>
    <t>H-400-23336-539643</t>
  </si>
  <si>
    <t>Glover Nursery Inc</t>
  </si>
  <si>
    <t>9275 South Temple Drive</t>
  </si>
  <si>
    <t>Glover</t>
  </si>
  <si>
    <t>accounting@glovernursery.com</t>
  </si>
  <si>
    <t xml:space="preserve">Able to lift 50lbs. Must be able to work in inclement weather and extreme temperature. Monday-Friday, some Saturdays required, start times may vary, overtime varies.
</t>
  </si>
  <si>
    <t>9275 South 1300 West</t>
  </si>
  <si>
    <t>P-400-23212-225367</t>
  </si>
  <si>
    <t>H-400-23321-509511</t>
  </si>
  <si>
    <t xml:space="preserve">PEACHTREE RIDES, INC. </t>
  </si>
  <si>
    <t>PEACHTREE RIDES</t>
  </si>
  <si>
    <t>940 MARIETTA BLVD NW</t>
  </si>
  <si>
    <t>[MAIL: 205 SE OSCEOLA ST. STUART, FL 34994]</t>
  </si>
  <si>
    <t>ray@peachtreerides.com</t>
  </si>
  <si>
    <t>940 Marietta Blvd NW</t>
  </si>
  <si>
    <t>P-400-23214-232140</t>
  </si>
  <si>
    <t>ptrides@peachtreerides.com</t>
  </si>
  <si>
    <t>H-400-23321-508563</t>
  </si>
  <si>
    <t>Paradise Plantscapes, Inc.</t>
  </si>
  <si>
    <t>108 Lesin Broussard Road</t>
  </si>
  <si>
    <t>Bott-Gonzalez</t>
  </si>
  <si>
    <t>paradiseplant@aol.com</t>
  </si>
  <si>
    <t>108 Lesin Broussard Road (Report to Work)</t>
  </si>
  <si>
    <t>P-400-23187-171347</t>
  </si>
  <si>
    <t>applyparadiseplant@gmail.com</t>
  </si>
  <si>
    <t>H-400-23336-538980</t>
  </si>
  <si>
    <t>H-400-23307-477593</t>
  </si>
  <si>
    <t>Wold Amusements, Inc.</t>
  </si>
  <si>
    <t>13450 HANFORD ARMONA RD.</t>
  </si>
  <si>
    <t>[MAIL: PO BOX 419, HANFORD, CA 93230]</t>
  </si>
  <si>
    <t>HANFORD</t>
  </si>
  <si>
    <t>Wold</t>
  </si>
  <si>
    <t>woldamusements@yahoo.com</t>
  </si>
  <si>
    <t>13450 Hanford Armona Rd.</t>
  </si>
  <si>
    <t>Hanford</t>
  </si>
  <si>
    <t>KINGS</t>
  </si>
  <si>
    <t>Hanford-Corcoran, CA</t>
  </si>
  <si>
    <t>P-400-23222-254439</t>
  </si>
  <si>
    <t>H-400-23321-509088</t>
  </si>
  <si>
    <t>Bloom Lawn and Landscape LLC</t>
  </si>
  <si>
    <t>260 Old State Road Ste 103</t>
  </si>
  <si>
    <t>Bader</t>
  </si>
  <si>
    <t>Tanna</t>
  </si>
  <si>
    <t>NSM@bloomlawn.com</t>
  </si>
  <si>
    <t>260 Old State Road</t>
  </si>
  <si>
    <t>P-400-23227-266010</t>
  </si>
  <si>
    <t>Employer will make all deductions from the worker's paycheck required by law.  (Note for CO: Section F.d. Item 4 is marked as employer will only assist workers, they are NOT providing housing)</t>
  </si>
  <si>
    <t>H-400-23307-476554</t>
  </si>
  <si>
    <t>jaonna.carroll@OMNIHOTELS.COM</t>
  </si>
  <si>
    <t xml:space="preserve">No minimum education or experience required. 
Must be able to lift, push, and pull 50 lbs.
Must pass a post-employment criminal background check, paid by employer and applied equally to all workers, U.S. and foreign/H-2B.
Must be able to work at least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the worker. 
The employer guarantees to offer work for hours equal to at least three-fourths of the workdays in each 12-week period of the total employment period.
</t>
  </si>
  <si>
    <t>P-400-23198-193757</t>
  </si>
  <si>
    <t>H-400-23307-476367</t>
  </si>
  <si>
    <t>Classic Tejas Construction Inc</t>
  </si>
  <si>
    <t>3120 S. Precinct Line Rd</t>
  </si>
  <si>
    <t>Mailing: PO Box 429, Euless, TX 76039</t>
  </si>
  <si>
    <t>elizabeth@classictejas.com</t>
  </si>
  <si>
    <t xml:space="preserve">Monday-Friday, some Saturdays required, overtime varies, able to lift 50lbs. Pre-hire background check required;Random drug testing during employment;Pre-employment drug testing required.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
</t>
  </si>
  <si>
    <t>P-400-23248-320317</t>
  </si>
  <si>
    <t xml:space="preserve">Employer may make payroll deductions at employee's request
</t>
  </si>
  <si>
    <t>H-400-23317-497740</t>
  </si>
  <si>
    <t>Technitian</t>
  </si>
  <si>
    <t>International Armoring Corporation</t>
  </si>
  <si>
    <t>181 south 600 west  Ogden, Utah 84404</t>
  </si>
  <si>
    <t>Utah</t>
  </si>
  <si>
    <t>Mark@armormax.com</t>
  </si>
  <si>
    <t>5 years if experience in the specific industrie</t>
  </si>
  <si>
    <t>P-400-23223-257439</t>
  </si>
  <si>
    <t>H-400-23331-523318</t>
  </si>
  <si>
    <t>Gentle Giant Moving Company, Inc</t>
  </si>
  <si>
    <t xml:space="preserve">Monday-Saturday, rotating schedule, schedule varies, start/end times vary, Sundays as needed. Additional overtime varies, Pre-hire background check required, Able to lift 50lbs, Must be able to lift &amp; carry heavy items up &amp; down stairs. All background checks are performed equally as to U.S. workers and H-2B workers, and all fees are paid for by the company. See the additional document attached for further details about the administration of our background check policy.
</t>
  </si>
  <si>
    <t>WINCHESTER</t>
  </si>
  <si>
    <t>P-400-23220-246206</t>
  </si>
  <si>
    <t xml:space="preserve">Employer may make payroll deductions at employee's request. Employer facilitates corresponding deductions for available health benefits. Employer facilitates voluntary housing arrangements upon availability along with corresponding payments, $400 per month
</t>
  </si>
  <si>
    <t>H-400-23336-538977</t>
  </si>
  <si>
    <t>H-400-23322-511718</t>
  </si>
  <si>
    <t>Elite Lawn Services, Inc.</t>
  </si>
  <si>
    <t>2132 S. Highway 94</t>
  </si>
  <si>
    <t>tarawells918@yahoo.com</t>
  </si>
  <si>
    <t xml:space="preserve">No minimum education or experience required.
Must be able to lift 50 lbs. 
Must be able to continuously bend and squat.
Must be able to work a 5-day workweek, including Saturdays and holidays as required.
Applicant must complete an employment application. 
</t>
  </si>
  <si>
    <t>Definace</t>
  </si>
  <si>
    <t>P-400-23254-336228</t>
  </si>
  <si>
    <t>Optional employee shared housing, including basic utilities, available at approximately $175 per person per paycheck. The cost of housing will be deducted from the worker’s biweekly paycheck if the worker elects. The cost of optional or extra housing utilities/services chosen (such as DISH satellite TV) will be divided equally among the occupants and the cost will be deducted from the worker’s biweekly paycheck if the worker elects.</t>
  </si>
  <si>
    <t>H-400-23307-475892</t>
  </si>
  <si>
    <t>Daily Services, LLC</t>
  </si>
  <si>
    <t>1686 General Mouton Ave.</t>
  </si>
  <si>
    <t>Mailing: PO Box 53966, Lafayette, LA 70505</t>
  </si>
  <si>
    <t>Dailey</t>
  </si>
  <si>
    <t>dwayne@daileyone.com</t>
  </si>
  <si>
    <t>P-400-23226-262616</t>
  </si>
  <si>
    <t>H-400-23307-475841</t>
  </si>
  <si>
    <t>110 Maple Drive (Report to Work)</t>
  </si>
  <si>
    <t>Centre Hall</t>
  </si>
  <si>
    <t>CENTRE</t>
  </si>
  <si>
    <t>State College, PA</t>
  </si>
  <si>
    <t>P-400-23221-252685</t>
  </si>
  <si>
    <t>swalters@ruppertcompanies.com</t>
  </si>
  <si>
    <t>H-400-23321-509878</t>
  </si>
  <si>
    <t xml:space="preserve">No minimum education or experience required. 
Must be able to obtain ServSafe Food Handlers 
Must pass a post-employment criminal background check,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 in the first workweek for all visa, visa processing, border crossing, and other related fees, including those mandated by the government (excluding passport fees).
The employer will provide workers at no charge all tools, supplies, and equipment required to perform job. Uniform provided at no charge to worker. 
The employer guarantees to offer work for hours equal to at least three-fourths of the workdays in each 12-week period of the total employment period.
</t>
  </si>
  <si>
    <t>P-400-23199-196305</t>
  </si>
  <si>
    <t xml:space="preserve">Daily transportation provided to/from worksite/housing via public bus transportation, 1 bus pass provided by the employer at no cost to the workers.
A single workweek will be used in computing wages due. Pay received bi-weekly. 
Employer will make all deductions from the worker's paycheck required by law. Employer will assist in locating housing. 
</t>
  </si>
  <si>
    <t>H-400-23325-516015</t>
  </si>
  <si>
    <t>Yellowstone Landscape - Southeast, LLC_Charleston</t>
  </si>
  <si>
    <t>2819 Industrial Ave, Building 200</t>
  </si>
  <si>
    <t>2819 Industrial Ave, Building 200,</t>
  </si>
  <si>
    <t>P-400-23236-293050</t>
  </si>
  <si>
    <t>H-400-23334-534619</t>
  </si>
  <si>
    <t>Concrete Worker/Laborer</t>
  </si>
  <si>
    <t>Highway 19 Construction LLC</t>
  </si>
  <si>
    <t>8470 TX Hwy 19 N</t>
  </si>
  <si>
    <t>Mailing: P.O. Box 492, Sulphur Springs, TX 75482</t>
  </si>
  <si>
    <t>Sulphur Springs</t>
  </si>
  <si>
    <t>Cristin</t>
  </si>
  <si>
    <t>Project Coordinator/Owner</t>
  </si>
  <si>
    <t>cristin@highway19construction.com</t>
  </si>
  <si>
    <t>HOPKINS</t>
  </si>
  <si>
    <t>P-400-23230-278276</t>
  </si>
  <si>
    <t>Employer will make all deductions from the worker's paycheck required by law.  Option to deduct selected health insurance, dental, and vision plan from pay, amount varies based on selected options. Optional deductions will not drop the overall wages below the UDSOL minimum, if the deductions are too great they will not be made. If requested, employer may assist non-local workers secure optional worker-paid lodging (not to exceed fair market value, based on number of occupants; cost TBD). Housing costs paid directly to landlord and are not payroll deducted.</t>
  </si>
  <si>
    <t>H-400-23299-457882</t>
  </si>
  <si>
    <t>FOR THIS POSITION, IT IS IMPORTANT THAT THE APPLICANT HAS KNOWLEDGE ON ANATOMY, NUTRITION AND OPTIMAL CARE OF ANIMALS, AS WELL AS BASIC KNOWLEDGE OF VETERINARY MEDICINE, WHICH WILL ALLOW THEM TO IDENTIFY POSSIBLE SIGNS OF ILLNES AND THERE FORE NOTIFY AS SOON AS POSIBLE THE VETERINARIAN ON CHARGE FOR THEM TO CHECK UP THE ANIMAL AND ACT IN CONSECUENCE TO PROTECT THE ANIMAIL HEALT.
THEREFORE, IT IS NECESARY TO HAVE SOME KIND OF VETERINARY STUDIES THAT CAN PROVE THAT THE APPLICANT HAS KNOWLEDGE ON THIS AREA AND CAN TAKE PROPPER CARE OF ANIMALS.</t>
  </si>
  <si>
    <t>H-400-23314-493918</t>
  </si>
  <si>
    <t>Armco, Inc.</t>
  </si>
  <si>
    <t>809 Loma Linda</t>
  </si>
  <si>
    <t>Kingsland</t>
  </si>
  <si>
    <t>Sankowsky</t>
  </si>
  <si>
    <t>lsankowsky@gmail.com</t>
  </si>
  <si>
    <t xml:space="preserve">Hours, schedule, and days vary widely.  
Typically Wed-Sun, 4pm  11pm.  
Often 35-45 hours per week, may go up to 60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Work outside in all weather. The job requires the applicant to obtain all necessary government authorizations to work, such as an H-2B worker visa for foreign workers, which will be issued by the United States Embassy in the home country, and after which the applicant will be regarded as recruited at that time and place. Must cooperate with and complete job application and interview, and any supplied information must be truthful and complete. Must comply with grooming requirements and dress code. Must be willing to work up to 7 days/week. Subject to discharge for cause.
</t>
  </si>
  <si>
    <t>6700 Arena Blvd</t>
  </si>
  <si>
    <t>Laredo</t>
  </si>
  <si>
    <t>P-400-23195-189171</t>
  </si>
  <si>
    <t xml:space="preserve">Optional mobile housing ($100/week) is provided.  The employer will pay the cost of housing to the extent such cost would reduce the pay below the offered (straight) wage rate for the areas of intended employment, but is otherwise available for wage credit and/or deduction above the offered (straight) wage rate, or any lesser amount to the maximum extent not prohibited by law.
Local convenience travel ($20/trip) and food (varies) is available for wage credit and/or deduction, or any lesser amount to the maximum extent not prohibited by law.
</t>
  </si>
  <si>
    <t>extremethrillrides.com</t>
  </si>
  <si>
    <t>H-400-23321-508562</t>
  </si>
  <si>
    <t>Hartsoe Property Services</t>
  </si>
  <si>
    <t>150 Nichols Street</t>
  </si>
  <si>
    <t>Hartsoe</t>
  </si>
  <si>
    <t>bradhartsoe@hotmail.com</t>
  </si>
  <si>
    <t>150 Nichols St.  (Report to Work)</t>
  </si>
  <si>
    <t>P-400-23237-296391</t>
  </si>
  <si>
    <t>Optional, shared furnished housing available to the worker at a monthly housing rate up to $250.00; if optional housing is agreed upon by the worker, monthly housing rate will be deducted from worker's paycheck incrementally (bi-weekly).</t>
  </si>
  <si>
    <t>H-400-23307-475889</t>
  </si>
  <si>
    <t xml:space="preserve">Post-injury or incident drug test required, paid by employer and applied equally to all workers, U.S. and Foreign/H-2B. Must be able to work a 6 day schedule, may include weekends and holidays as required. Applicants must complete an employment application. 
</t>
  </si>
  <si>
    <t xml:space="preserve">Employer will make all deductions from the worker's paycheck required by law and deduct approved cost of housing if worker elects. Optional employee only dormitory style shared housing, approximate cost $77 per week, including utilities. No deposit required.
Employer will provide, at no charge to worker, all tools, supplies, and equipment required to perform job. Required uniform provided at no charge to the worker. 
Transportation provided from main worksite in St. Louis to multiple worksites in St. Louis, St. Louis City and St. Charles Counties, MO. 
</t>
  </si>
  <si>
    <t>H-400-23307-475827</t>
  </si>
  <si>
    <t>2850 Marble Court (Report to Work)</t>
  </si>
  <si>
    <t>Forestville</t>
  </si>
  <si>
    <t>P-400-23228-267359</t>
  </si>
  <si>
    <t>Optional, shared furnished housing available to the worker (including: utilities) at a weekly housing rate up to $160; if optional housing is agreed upon by the worker, housing rate will be deducted from worker's paycheck incrementally (weekly).
At Employer’s sole discretion: possible cash advances (if applicable/requested by worker, potential deduction from worker’s paycheck).</t>
  </si>
  <si>
    <t>skackley@ruppertcompanies.com</t>
  </si>
  <si>
    <t>H-400-23336-539179</t>
  </si>
  <si>
    <t>RODOLFO CASTANEDA</t>
  </si>
  <si>
    <t>685 FRANKLIN HEIGHTS ROAD</t>
  </si>
  <si>
    <t>RODOLFO</t>
  </si>
  <si>
    <t>P-400-23194-186260</t>
  </si>
  <si>
    <t>KRFL99@FRONTIER.COM</t>
  </si>
  <si>
    <t>H-400-23307-476615</t>
  </si>
  <si>
    <t xml:space="preserve">No minimum education or experience required. 
Must be able to lift 50lbs.
Must pass a post-employment criminal background check,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</si>
  <si>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P-400-23171-129334</t>
  </si>
  <si>
    <t xml:space="preserve">A single workweek will be used in computing wages due. Workers will be paid bi-weekly. 
Employer will make all deductions from the worker's paycheck required by law. The employer will assist employee in locating housing. Public transportation available 2 miles from worksite. Optional one meal available per shift at approx. $1 per meal, payroll deducted if worker elects. 
</t>
  </si>
  <si>
    <t>Hairdressers, Hairstylists, and Cosmetologists</t>
  </si>
  <si>
    <t>H-400-23307-475808</t>
  </si>
  <si>
    <t>Epifini Landscaping, Inc.</t>
  </si>
  <si>
    <t>3066 N Lear Ave</t>
  </si>
  <si>
    <t>gperez@epifini.com</t>
  </si>
  <si>
    <t xml:space="preserve">Must be able to lift 50 lbs.
Must be able to work a 5-day schedule, including weekends and holidays as needed.
Post-employment background check and drug test required, paid by employer and applied equally to all workers, U.S. and foreign/H-2B.
Applicants must complete an employment application.
Uniform shirt provided at no charge to the worker.
</t>
  </si>
  <si>
    <t>P-400-23222-255322</t>
  </si>
  <si>
    <t xml:space="preserve">Optional employee only shared housing, including utilities, available at approximately $150 per person per week. Housing requires a $100 non-refundable deposit. Cost of housing and deposit deducted from paycheck if worker elects. </t>
  </si>
  <si>
    <t>H-400-23331-524114</t>
  </si>
  <si>
    <t xml:space="preserve">Greenmaster Landscape Contractors, Inc. </t>
  </si>
  <si>
    <t xml:space="preserve">6709 S. Husband St. </t>
  </si>
  <si>
    <t>mail@greenmasterstillwater.com</t>
  </si>
  <si>
    <t>6709 S. Husband St (Report to Work)</t>
  </si>
  <si>
    <t>P-400-23209-224510</t>
  </si>
  <si>
    <t>H-400-23307-476865</t>
  </si>
  <si>
    <t>Brookway Horticultural Services, Inc. - Dallas</t>
  </si>
  <si>
    <t>17800 Dickerson Street, Suite 208</t>
  </si>
  <si>
    <t>P-400-23208-220101</t>
  </si>
  <si>
    <t>H-400-23336-539108</t>
  </si>
  <si>
    <t>Deckhand/headers</t>
  </si>
  <si>
    <t>Shrimp Hunter 4, Inc.</t>
  </si>
  <si>
    <t>Kenneth Holt</t>
  </si>
  <si>
    <t>111 Friery Road</t>
  </si>
  <si>
    <t>P-400-23181-160719</t>
  </si>
  <si>
    <t>H-400-23292-444144</t>
  </si>
  <si>
    <t>110 Community Drive</t>
  </si>
  <si>
    <t>P-400-23236-292169</t>
  </si>
  <si>
    <t>SOUS CHEF</t>
  </si>
  <si>
    <t>H-400-23334-533917</t>
  </si>
  <si>
    <t>Cozi Group, Inc. (COZ324)</t>
  </si>
  <si>
    <t xml:space="preserve">Must be able to lift 50lbs. May be required to pass employer-paid, post-employment drug test. Must be able to bend, stoop, lift, be on feet all day. Must be available for entire contract period. Requires a Class B Drivers License to drive company vehicles to worksite locations.
Work days:  Sun - Tues, Thurs - Sat. days of work vary. Required to work 6 out of 7 days per week. 
Hours per week: 45 hours/week;
Work Schedule: 9am - 6pm; hours and schedule vary
All worksite locations are within driving distance of primary worksite location.  
Additional information about wage:
Employer may offer a raise or bonus depending on experience and merit.
Pay Assurance: 
Employer will pay the highest of all prevailing wages for ALL worksite locations throughout the entire period of employment. 
Daily Transportation provided to all worksite locations from primary worksite?  Yes. Workers are required to return company provided vehicles and housing in the condition provided. 
Does employer offer a ride to primary worksite location to workers living within a reasonable
commute:  Yes
Overtime available?  Yes
On-the-Job Training provided?  Yes - 4 weeks on-the-job training provided.
Employer-Provided Tools and Equipment provided?  Yes
Board, Lodging or Other Facilities provided?:   Yes. The employer will conduct bi-weekly payroll deductions for the reasonable cost or fair value of board, lodging, and facilities furnished (at no more than low-income housing). Housing provided by the Employer is optional for workers. The Employer will conduct a scheduled monthly inspection of the housing quarters and company- provided vehicle to ensure cleanliness.
Deductions: Transportation: N/A Housing: 
Optional housing will have a reasonable deduction for cost or fair value of board, lodging, and facilities furnished.
</t>
  </si>
  <si>
    <t>P-400-23283-421660</t>
  </si>
  <si>
    <t>H-400-23363-597999</t>
  </si>
  <si>
    <t xml:space="preserve">Must show proof of legal authority to work in U.S. Drug, Alcohol, Tobacco free work zone. Must be 18 yrs age due travel. </t>
  </si>
  <si>
    <t>H-400-23336-539079</t>
  </si>
  <si>
    <t>P-400-23200-200249</t>
  </si>
  <si>
    <t>H-400-23307-475867</t>
  </si>
  <si>
    <t>Pitzer’s Lawn Management Inc.</t>
  </si>
  <si>
    <t xml:space="preserve">Must be able to work a 6-day schedule, may include weekends and holidays. Applicants must complete an employment application. </t>
  </si>
  <si>
    <t>P-400-23166-115146</t>
  </si>
  <si>
    <t xml:space="preserve">Employer will make all deductions from the worker's paycheck required by law. The employer will assist workers in finding affordable housing. Optional health insurance available, cost approximately $65.78 per week payroll deducted if worker chooses to enroll. Optional dental insurance available, cost approximately $11.08 per week payroll deducted if worker chooses to enroll. </t>
  </si>
  <si>
    <t>H-400-23264-368110</t>
  </si>
  <si>
    <t>Machine Operator</t>
  </si>
  <si>
    <t>Textile Cutting Machine Setters, Operators, and Tenders</t>
  </si>
  <si>
    <t>PBR INC</t>
  </si>
  <si>
    <t>SKAPS INDUSTRIES</t>
  </si>
  <si>
    <t>335 ATHENA DRIVE</t>
  </si>
  <si>
    <t>APPELL</t>
  </si>
  <si>
    <t>WILLANN</t>
  </si>
  <si>
    <t>WILLANN@SKAPS.COM</t>
  </si>
  <si>
    <t>Kidambi</t>
  </si>
  <si>
    <t>Vaman</t>
  </si>
  <si>
    <t>140 Monroe Turnpike</t>
  </si>
  <si>
    <t>Trumbull</t>
  </si>
  <si>
    <t>info@kidambi.com</t>
  </si>
  <si>
    <t>Kidambi &amp; Associates, P.C.</t>
  </si>
  <si>
    <t>Supreme Court, NY</t>
  </si>
  <si>
    <t>Monday-Sunday Day shift 8AM to 8PM, Night Shift 8PM to 8AM, worker must be willing to work either shift. First week, 3 days 36 hours, Second week 4 days 48 hours, alternating $1 night Differential.</t>
  </si>
  <si>
    <t>335 Athena Drive</t>
  </si>
  <si>
    <t>Athens-Clarke County, GA</t>
  </si>
  <si>
    <t>P-400-23216-238663</t>
  </si>
  <si>
    <t>In the ¿rst workweek, employer will recoup advance payment of visa processing fees, border crossing fees, and other related fees allowable by statute.</t>
  </si>
  <si>
    <t>willann@skaps.com</t>
  </si>
  <si>
    <t>https://skaps.com/jobs/</t>
  </si>
  <si>
    <t>H-400-23336-539640</t>
  </si>
  <si>
    <t>H-400-23284-425707</t>
  </si>
  <si>
    <t xml:space="preserve">ENTERTAINMENT COORDINATOR </t>
  </si>
  <si>
    <t>Entertainment and Recreation Managers, Except Gambling</t>
  </si>
  <si>
    <t>JRIVERA@PLAYARESORTS.COM</t>
  </si>
  <si>
    <t xml:space="preserve">Stand, sit, or walk for an extended period of time or for an entire work shift. 	Move, lift, carry, push, pull, and place objects weighing less than 25 pounds without assistance. Reach overhead and below the knees, including bending, twisting, pulling, and stooping. 6 MO  exp as ENTERTAINEMENT OR ACTIVITY COORDINATOR OR SIMILAR /no edu. reqd. Workers will work 40 hours per week.  Saturday thru  Friday.  The schedule may vary but will fall between 8:00AM TO 5:30PM OR 2:30PM TO 11:00PM. , SOME OT AND WEEKENDS REQUIRED.
</t>
  </si>
  <si>
    <t>P-400-23248-321992</t>
  </si>
  <si>
    <t>H-400-23312-488066</t>
  </si>
  <si>
    <t>Hair dresser</t>
  </si>
  <si>
    <t>Segura &amp; Galeano LLC</t>
  </si>
  <si>
    <t>Tyler Presley Salon</t>
  </si>
  <si>
    <t>15280 S. Jog Road</t>
  </si>
  <si>
    <t>Suite I</t>
  </si>
  <si>
    <t>Segura</t>
  </si>
  <si>
    <t>11096 Brandywine Lake Way</t>
  </si>
  <si>
    <t>jose@tylerpresleysalon.com</t>
  </si>
  <si>
    <t xml:space="preserve">Cosmetology Certification
Fluent in spanish and english
Social media knowledge. Post before and after photos of work performed at the salon in facebook, instagram, tik-tok, google, etc.
</t>
  </si>
  <si>
    <t>P-400-23226-262420</t>
  </si>
  <si>
    <t>frontdesk@tylerpresleysalon.com</t>
  </si>
  <si>
    <t>H-400-23321-509352</t>
  </si>
  <si>
    <t>IDEAL LANDSCAPE MANAGEMENT, INC.</t>
  </si>
  <si>
    <t>IDEAL LANDSCAPE GROUP</t>
  </si>
  <si>
    <t>6252 OLSEN ROAD</t>
  </si>
  <si>
    <t>BUCKEL</t>
  </si>
  <si>
    <t>LEANNA</t>
  </si>
  <si>
    <t>BUCKELDOWN@AOL.COM</t>
  </si>
  <si>
    <t xml:space="preserve">No minimum education or experience required. 
Workers are subject to post-employment criminal background checks, paid by employer and applied equally to all workers, U.S. and foreign/H-2B. 
Workers are subject to post-employment drug testing, paid by employer and applied equally to all workers, U.S. and foreign/H-2B. 
Must be able to work weekends and holidays as required.
Applicants must complete an employment application. 
Must be able to lift 50 lbs. 
If worker completes half the employment period, employer will reimburse the worker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provided at no charge to worker.  
The employer guarantees to offer work for hours equal to at least three-fourths of the workdays in each 12-week period of the total employment period.
</t>
  </si>
  <si>
    <t>P-400-23161-097924</t>
  </si>
  <si>
    <t xml:space="preserve">Employer will make all deductions from the worker's paycheck required by law. Employer will assist worker to find housing. 
Daily transportation provided from main worksite in St. Louis County to multiple worksites within St. Louis, MO-IL MSA provided at no cost to employee.
A single workweek will be used to compute wages due. Pay received weekly.  </t>
  </si>
  <si>
    <t>H-400-23307-475848</t>
  </si>
  <si>
    <t>9729 N. IH 35</t>
  </si>
  <si>
    <t>9729 N. IH 35 (Report to Work)</t>
  </si>
  <si>
    <t>P-400-23195-188594</t>
  </si>
  <si>
    <t>Optional, shared housing available to the worker at a monthly housing rate up to $405.84; if optional housing is agreed upon by the worker, monthly housing rate will be deducted from worker's paycheck incrementally (bi-weekly).</t>
  </si>
  <si>
    <t>H-400-23321-509139</t>
  </si>
  <si>
    <t>17669 Telge Road</t>
  </si>
  <si>
    <t>P-400-23230-278047</t>
  </si>
  <si>
    <t>H-400-23237-297457</t>
  </si>
  <si>
    <t>THE BRICK RESTAURANT AND BAR LLC</t>
  </si>
  <si>
    <t>508 MAIN ST</t>
  </si>
  <si>
    <t>DEWEY</t>
  </si>
  <si>
    <t>4626 N 300 W STE 390</t>
  </si>
  <si>
    <t>richard@vicitax.com</t>
  </si>
  <si>
    <t>POSTON</t>
  </si>
  <si>
    <t>299 South Main Street</t>
  </si>
  <si>
    <t>POSTON LAW PLLC</t>
  </si>
  <si>
    <t>24 months working in restaurant kitchen</t>
  </si>
  <si>
    <t>508 Main Street</t>
  </si>
  <si>
    <t>P-400-23156-078654</t>
  </si>
  <si>
    <t>H-400-23245-317904</t>
  </si>
  <si>
    <t>Carranza Concessions LLC</t>
  </si>
  <si>
    <t>1709 Illinois Street</t>
  </si>
  <si>
    <t>Big Wells</t>
  </si>
  <si>
    <t>Carranza</t>
  </si>
  <si>
    <t>Owner &amp; Manager</t>
  </si>
  <si>
    <t>blasanibal@icloud.com</t>
  </si>
  <si>
    <t xml:space="preserve">The job requires that the applicant be qualified, ready, willing, able, and available to perform during the entire employment at the designated worksites under adverse weather; to enter into and comply with employment contracts; to follow workplace rules; and to meet job performance standards. Must comply with grooming requirements and dress code. Subject to discharge for cause. Must be willing to work up to 7 days/wk. Pre-employment criminal background check and pre-employment / post-injury or incident and reasonable suspicion drug test required, paid by employer and applied equally to all workers, U.S. and foreign/H-2B. Applicants must cooperate with and complete job application and interview truthfully.
</t>
  </si>
  <si>
    <t>4015 S. IH 35</t>
  </si>
  <si>
    <t>P-400-23165-109220</t>
  </si>
  <si>
    <t xml:space="preserve"> Employer will make all deductions from worker’s paycheck required by law. Employer’s optional shared housing ($120/wk.) is available for wage credit and/or deduction, or any lesser amount to the maximum extent not prohibited by law. Employer will pay the cost of this housing to the extent such cost would reduce pay below the offered wage rate for the areas of intended employment. Local convenience travel valued at ($20/wk.), and food available for wage credit and/or deduction, or any lesser amount to the maximum extent not prohibited by law.</t>
  </si>
  <si>
    <t>H-400-19307-123690</t>
  </si>
  <si>
    <t>LEXINGTON-FAYETTE, KY MSA</t>
  </si>
  <si>
    <t>P-400-19182-012949</t>
  </si>
  <si>
    <t>H-400-23185-165562</t>
  </si>
  <si>
    <t>Sheet Metal Installer</t>
  </si>
  <si>
    <t>Sheet Metal Workers</t>
  </si>
  <si>
    <t xml:space="preserve">	Must be able to perform work from ladders, mechanical lifts, and in confined spaces.
	Knowledge of machines and tools, including their designs, uses, repair, and maintenance.
	Post-employment drug tests required after incidents or on reasonable suspicion paid by employer. Background check required.
	Knowledge of construction process
</t>
  </si>
  <si>
    <t>Aguadilla Pubelo</t>
  </si>
  <si>
    <t>P-400-23093-900130</t>
  </si>
  <si>
    <t>H-400-23184-162833</t>
  </si>
  <si>
    <t>LNS/EOL Vision System Setup Technician</t>
  </si>
  <si>
    <t>Electrical and Electronic Engineering Technologists and Technicians</t>
  </si>
  <si>
    <t>LG Solution Partner, LLC</t>
  </si>
  <si>
    <t>2 S. Main Street</t>
  </si>
  <si>
    <t>Niles</t>
  </si>
  <si>
    <t>Yoon</t>
  </si>
  <si>
    <t>Doohyun</t>
  </si>
  <si>
    <t>N/A (Not Applicable)</t>
  </si>
  <si>
    <t>paul.yoon@LGSolutionPartner.com</t>
  </si>
  <si>
    <t>Junhwan</t>
  </si>
  <si>
    <t>28 North First Street Suite 520</t>
  </si>
  <si>
    <t>kim@myinternetlawyer.com</t>
  </si>
  <si>
    <t>Business and Immigration Law Center PC</t>
  </si>
  <si>
    <t xml:space="preserve">Must have at least one year of experience with the LNS Machine and EOL Machine designed for LG EV batteries. In the alternative, must have at least 1 year of experience with the following four components of Vision Systems: Inspection software using Google deep learning engine with a NVIDIA GPU, Data Line Scan Camera, Dalsa Frame Grabber and Strobe type Illumination Control Board. 
</t>
  </si>
  <si>
    <t>7400 Tod Ave SW</t>
  </si>
  <si>
    <t>P-400-23135-022823</t>
  </si>
  <si>
    <t>Board and Lodging will be optional to the workers and will be provided free of charge. The employer has secured lodging at 3100 Beal Street NW, Apartments 1-12, Warren, Ohio 44485 and 3130 Beal Street NW, Apartments 1-12, Warren, Ohio 44485.</t>
  </si>
  <si>
    <t>H-400-23215-237272</t>
  </si>
  <si>
    <t>Tipped position with guaranteed wage of $17.26 per hour, paid bi-weekly. See job description for additional details.</t>
  </si>
  <si>
    <t>P-400-23177-145164</t>
  </si>
  <si>
    <t>H-400-23184-163980</t>
  </si>
  <si>
    <t>Cowboys Landscaping LLC</t>
  </si>
  <si>
    <t>Cowboys Landscaping</t>
  </si>
  <si>
    <t>435 W Broadway</t>
  </si>
  <si>
    <t>Lopez Mendoza</t>
  </si>
  <si>
    <t>President, Owner</t>
  </si>
  <si>
    <t>435 W Broadway Ave</t>
  </si>
  <si>
    <t>Alfonsolopezmendoza76@gmail.com</t>
  </si>
  <si>
    <t>P-400-23122-985726</t>
  </si>
  <si>
    <t>H-400-23243-312989</t>
  </si>
  <si>
    <t>1014 AIRPORT ROAD</t>
  </si>
  <si>
    <t>UNIT 179</t>
  </si>
  <si>
    <t>DESTIN</t>
  </si>
  <si>
    <t>ADMIN@ASEDASTAFFING.COM</t>
  </si>
  <si>
    <t>15017 EMERALD COAST PARKWAY</t>
  </si>
  <si>
    <t>P-400-23176-142054</t>
  </si>
  <si>
    <t>H-400-23208-220279</t>
  </si>
  <si>
    <t>Apres Ski Inc</t>
  </si>
  <si>
    <t>Vertical Bistro &amp; Tap</t>
  </si>
  <si>
    <t>130 Parry Peak Way</t>
  </si>
  <si>
    <t>PO BOX 3290</t>
  </si>
  <si>
    <t>Sawatzky</t>
  </si>
  <si>
    <t>kacie@downthestreeteats.com</t>
  </si>
  <si>
    <t xml:space="preserve">Kitchen Livable Wage (KLW) also paid out monthly based on hours worked, 5% collected on every guest check and split </t>
  </si>
  <si>
    <t>P-400-23115-963395</t>
  </si>
  <si>
    <t>Housing $350 per pay period ($700/month)
The employer will make all deductions from the worker's paycheck required by law</t>
  </si>
  <si>
    <t>hrassistant@downthestreeteats.com</t>
  </si>
  <si>
    <t>https://j.wrkstrm.us/c6f1292e/down-the-street-eats/winter-park-6563/se</t>
  </si>
  <si>
    <t>H-400-23186-168806</t>
  </si>
  <si>
    <t xml:space="preserve">Must have CDL Class A experience. Must have CDL Class A experience with air brakes and combination endorsements. Must be able to lift and carry 75 lbs. 75 yds. Must be able to handle temperature extremes. Work hours vary according to routes and customer needs, rough window 5am - 7 pm. Must have 12 months of truck/trailer experience.
</t>
  </si>
  <si>
    <t>Wage rate may vary based on experience and/or merit. Up to 10 to 15 hours overtime may be available but not guaranteed.</t>
  </si>
  <si>
    <t>P-400-23144-051172</t>
  </si>
  <si>
    <t>All deductions from the worker's paycheck will be made as required by law. The employer will use a single workweek as its standard for computing wages and pay bi-weekly by check. check. The employer will provide optional housing.
Employees who elect to live in housing will have an additional $75.00 for housing and $30.00 for transportation deducted per weekly paycheck. Any advances will be deducted with the consent of the employee</t>
  </si>
  <si>
    <t>H-400-23184-162683</t>
  </si>
  <si>
    <t>Allied Building Contractors</t>
  </si>
  <si>
    <t>1234 West Hill Rd</t>
  </si>
  <si>
    <t>Roxbury</t>
  </si>
  <si>
    <t>Guiffre</t>
  </si>
  <si>
    <t>info@alliedbuildingvt.com</t>
  </si>
  <si>
    <t xml:space="preserve">This job requires continuous movement, regular bending, lifting, pushing. Must be flexible, communicate effectively, speak clear English, be a team player.  Weekends and holidays are a must. </t>
  </si>
  <si>
    <t>P-400-23111-956749</t>
  </si>
  <si>
    <t>All deductions will be made from paychecks that are required by law. Wages will be paid weekly on Wednesday, and the employer will use a single workweek as its standard for computing wages due.
The employer will assist workers to find  suitable available housing near the worksite location and this is optional.</t>
  </si>
  <si>
    <t>H-400-23185-165566</t>
  </si>
  <si>
    <t>Insulated Concrete Form Installer</t>
  </si>
  <si>
    <t xml:space="preserve">Wokas </t>
  </si>
  <si>
    <t xml:space="preserve">	Post-employment drug tests required after incidents or on reasonable suspicion paid by employer. 
	Background check required.
	May be required to lift up to 80 lbs. 
	Job site work will require frequent exposure to the outdoors, some in extreme weather conditions, with physical requirements, including walking, climbing stairs, scaffolding, maneuvering around small obstacles, moving through cramped quarters, etc.
</t>
  </si>
  <si>
    <t>P-400-23093-900168</t>
  </si>
  <si>
    <t>H-400-23279-414446</t>
  </si>
  <si>
    <t>P-400-23183-162062</t>
  </si>
  <si>
    <t>H-400-23193-184958</t>
  </si>
  <si>
    <t>West Side Yard (C-R)</t>
  </si>
  <si>
    <t>57 S Main Street</t>
  </si>
  <si>
    <t>Lift and sustain 25 lbs. No education/experience required. On-the-job training available.</t>
  </si>
  <si>
    <t>P-400-23154-076412</t>
  </si>
  <si>
    <t>All deductions required by law will be made from employees pay check</t>
  </si>
  <si>
    <t>H-400-23193-183608</t>
  </si>
  <si>
    <t>Skyland Farm LLC</t>
  </si>
  <si>
    <t>2698 Zulla Rd</t>
  </si>
  <si>
    <t>The Plains</t>
  </si>
  <si>
    <t>Denice</t>
  </si>
  <si>
    <t>Denice@southerlyva.com</t>
  </si>
  <si>
    <t>Wellington International</t>
  </si>
  <si>
    <t>14440 Pierson Rd</t>
  </si>
  <si>
    <t>P-400-23156-079945</t>
  </si>
  <si>
    <t>denice@southerlyva.com</t>
  </si>
  <si>
    <t>H-400-23212-227027</t>
  </si>
  <si>
    <t xml:space="preserve">The Petitioner will consider for employment any applicant who possesses at least six (6) months of experience in a ne-dining or high-volume environment at a high-end restaurant, resort, or private club. Applicant must complete pre-employment drug screening. 
</t>
  </si>
  <si>
    <t>Tipped position with guaranteed wage of $17.26 per hour...See job description for additional detail.</t>
  </si>
  <si>
    <t>P-400-23167-119979</t>
  </si>
  <si>
    <t>H-400-23237-297076</t>
  </si>
  <si>
    <t>MR Snow Services LLC</t>
  </si>
  <si>
    <t>19224 Stony Pointe</t>
  </si>
  <si>
    <t>P-400-23136-027365</t>
  </si>
  <si>
    <t>H-400-23184-164702</t>
  </si>
  <si>
    <t xml:space="preserve">Able to sit, stand, bend, walk and drive or ride in a vehicle for long periods of time; to understand and implement construction safety procedures; able to work in all weather conditions. 40 hours/week, Mon-Sun, 8:00am to 5:00pm(schedule varies), 18 years old age requirement.
</t>
  </si>
  <si>
    <t>H-400-23229-273398</t>
  </si>
  <si>
    <t>Front Desk Clerks/PBX Agents</t>
  </si>
  <si>
    <t>P-400-23157-082472</t>
  </si>
  <si>
    <t>H-400-23219-242615</t>
  </si>
  <si>
    <t xml:space="preserve">Live-in Full-Time Nanny </t>
  </si>
  <si>
    <t>Ping Xiao</t>
  </si>
  <si>
    <t>720 S May St</t>
  </si>
  <si>
    <t>XIAO</t>
  </si>
  <si>
    <t xml:space="preserve">Ping </t>
  </si>
  <si>
    <t>720 S May St.</t>
  </si>
  <si>
    <t>emilyxiaoping@gmail.com</t>
  </si>
  <si>
    <t>P-400-23165-111153</t>
  </si>
  <si>
    <t xml:space="preserve">As this is a live-in position, employer-provided housing and utilities are provided at no cost to the worker. Employer-provided housing is optional. 3 meals/day are also provided to the worker at no charge.  </t>
  </si>
  <si>
    <t>H-400-23224-260260</t>
  </si>
  <si>
    <t xml:space="preserve">No minimum education or experience required. 
Must pass a post-employment criminal background check, paid by employer and applied equally to all workers, U.S. and foreign/H-2B. 
Must be able to work weekends and holidays.
Applicants must complete an employment application.
Must be able to work in a non-climate-controlled environment. 
Must be able work in severe inclement weather and varying degrees of extreme temperature. 
Must be able to be exposed to various industrial chemicals, cleaning agents, etc. 
Must be able to be exposed to strong odors, and loud noise levels.
</t>
  </si>
  <si>
    <t>P-400-23159-089396</t>
  </si>
  <si>
    <t xml:space="preserve">Employer will make all deductions from the worker's paycheck required by law and deduct approved cost of housing if worker elects. Optional employee only shared housing, utilities, Wifi, cable included, approx. $110-$130/wk. </t>
  </si>
  <si>
    <t>H-400-23215-234960</t>
  </si>
  <si>
    <t>P-400-23143-045020</t>
  </si>
  <si>
    <t>H-400-23199-197729</t>
  </si>
  <si>
    <t>P-400-23150-063650</t>
  </si>
  <si>
    <t>H-400-23251-329767</t>
  </si>
  <si>
    <t>SS  Landscaping LLC</t>
  </si>
  <si>
    <t>Opportunity for higher pay dependent upon experience. Raises and/or bonuses at employer's discretion.</t>
  </si>
  <si>
    <t>P-400-23203-208295</t>
  </si>
  <si>
    <t>H-400-23229-273391</t>
  </si>
  <si>
    <t>P-400-23157-082427</t>
  </si>
  <si>
    <t>H-400-23215-235718</t>
  </si>
  <si>
    <t>Wage: $16.00 per hour, paid bi-weekly.  Overtime is available at $24.00 per hour.  See job description for details.</t>
  </si>
  <si>
    <t>H-400-23216-240994</t>
  </si>
  <si>
    <t>Hopes Racing Stable</t>
  </si>
  <si>
    <t>1580 Spencer Road</t>
  </si>
  <si>
    <t>Ivyland</t>
  </si>
  <si>
    <t>Preciado</t>
  </si>
  <si>
    <t>trainerlupe@aol.com</t>
  </si>
  <si>
    <t>P-400-23128-002840</t>
  </si>
  <si>
    <t>H-400-23199-196860</t>
  </si>
  <si>
    <t>P-400-23150-063642</t>
  </si>
  <si>
    <t>EMPLOYER WILL MAKE ALL DEDUCTIONS FROM THE WORKER'S PAYCHECK AS REQUIRED BY LAW. EMPLOYER WILL NEGOTIATE DISCOUNTED RATES WITH LOCAL HOTELS FOR OPTIONAL EMPLOYEE HOUSING ON A FIRST-COME, FIRST-SERVE BASIS. TARGETED COST PER EMPLOYEE IS $175.00 - $200.00 PER WEEK (REASONABLE COST) PAID DIRECTLY TO HOTEL/LANDLORD. ALL HOUSING COSTS WILL BE THE RESPONSIBILITY OF THE EMPLOYEE DIRECTLY WITH THE LANDLORD. EMPLOYER WILL PROVIDE EMPLOYEES WHO CHOOSE THE OPTIONAL HOUSING WITH HOTEL’S CONTACT INFORMATION SO THAT EACH EMPLOYEE CAN CONTACT THE HOTEL DIRECTLY TO MAKE RESERVATIONS AND PAYMENTS. EMPLOYEES MAY BE REQUIRED TO PAY A WEEKLY SECURITY DEPOSIT THAT WILL BE RETURNED IN PART OR IN FULL DEPENDING UPON THE CONDITION OF THE ROOM AT THE END OF THE STAY.</t>
  </si>
  <si>
    <t>gbellomusto@Ashleyfurniture.com</t>
  </si>
  <si>
    <t>H-400-23184-164726</t>
  </si>
  <si>
    <t>Mario's Pizza LLC</t>
  </si>
  <si>
    <t>125 Apayauk St</t>
  </si>
  <si>
    <t>Barrow</t>
  </si>
  <si>
    <t>Terzioski</t>
  </si>
  <si>
    <t>mariospizzaak@gmail.com</t>
  </si>
  <si>
    <t>Action International Inc</t>
  </si>
  <si>
    <t xml:space="preserve">Employer paid post hire drug test required. 
Employer paid post hire background check. </t>
  </si>
  <si>
    <t>NORTH SLOPE</t>
  </si>
  <si>
    <t>P-400-23135-022654</t>
  </si>
  <si>
    <t xml:space="preserve">Housing available, apartment located above the restaurant.  May assist workers in finding or securing housing, if apartment is unavailable or not selected. Employer will only be making deductions that are required by law. 
</t>
  </si>
  <si>
    <t>https://labor.alaska.gov/</t>
  </si>
  <si>
    <t>H-400-23245-317922</t>
  </si>
  <si>
    <t>Strata Forestry, Inc.</t>
  </si>
  <si>
    <t>100 W. Q Street</t>
  </si>
  <si>
    <t>sean@strataforestry.com</t>
  </si>
  <si>
    <t>100 West Q Street  (Report to Work)</t>
  </si>
  <si>
    <t>Wage may vary based on Experience and/or Location.</t>
  </si>
  <si>
    <t>P-400-23165-111730</t>
  </si>
  <si>
    <t>office@strataforestry.com</t>
  </si>
  <si>
    <t>H-400-23220-247089</t>
  </si>
  <si>
    <t>Paradiso Restaurant of Lake Worth Inc.</t>
  </si>
  <si>
    <t>625 Lucerne avenue</t>
  </si>
  <si>
    <t>ROMANO</t>
  </si>
  <si>
    <t>625 LUCERNE AVE</t>
  </si>
  <si>
    <t>LAKE WORTH BEACH</t>
  </si>
  <si>
    <t>Lake Worth Beach</t>
  </si>
  <si>
    <t>P-400-23158-088413</t>
  </si>
  <si>
    <t xml:space="preserve">HOUSING OPTIONAL AND AVAILABLE FOR $75/WK WITH A $250 REFUNDABLE DEPOSIT. </t>
  </si>
  <si>
    <t>restaurantparadi@bellsouth.net</t>
  </si>
  <si>
    <t>H-400-23215-235054</t>
  </si>
  <si>
    <t>P-400-23094-901787</t>
  </si>
  <si>
    <t>OPTIONAL HOUSING AVAILABLE FOR 250.00/MONTH TO BE DEDUCTED BI-WEEKLY FROM PAYROLL</t>
  </si>
  <si>
    <t>H-400-23184-163373</t>
  </si>
  <si>
    <t xml:space="preserve">Taylor </t>
  </si>
  <si>
    <t>P-400-23146-057326</t>
  </si>
  <si>
    <t>H-400-23213-228722</t>
  </si>
  <si>
    <t>MICHIGAN SNOW SERVICES LLC</t>
  </si>
  <si>
    <t>2883 WILDER ROAD</t>
  </si>
  <si>
    <t>METAMORA</t>
  </si>
  <si>
    <t>michsnowservices@gmail.com</t>
  </si>
  <si>
    <t xml:space="preserve">Must lift/carry 50 lbs., when necessary. Saturday and Sunday work required, when necessary. Work hours may include nights and overtime during emergencies and winter storm conditions. Must be able to perform manual, physical labor outside during all weather conditions (hot, cold, rain, snow, etc.).
</t>
  </si>
  <si>
    <t xml:space="preserve">Employer will use a single workweek as its standard for computing wages due. </t>
  </si>
  <si>
    <t>P-400-23172-133171</t>
  </si>
  <si>
    <t>Employer will make all deductions required by law and no others without written consent from worker. The employer does not envision other workforce-wide payroll deductions. Employer reserves the right to pay a higher wage rate or bonus to any worker, in their sole discretion, based on performance, skill, tenure or experience. Optional housing available. Rent and utilities to be deducted from paycheck if elected. Employer to provide first set of company shirts, work pants, and sweatshirts free of charge. Option to purchase additional uniform clothing which can be deducted from payroll. Employee cash advances or loans made at the employee's request optional, which may be repaid by payroll deductions.</t>
  </si>
  <si>
    <t>H-400-23246-318201</t>
  </si>
  <si>
    <t>TRANOL LLC</t>
  </si>
  <si>
    <t>13 GRANITE LANE</t>
  </si>
  <si>
    <t>ELLEN</t>
  </si>
  <si>
    <t>11 GRANITE LANE</t>
  </si>
  <si>
    <t>P-400-23188-172791</t>
  </si>
  <si>
    <t>tranol@maine.rr.com</t>
  </si>
  <si>
    <t>H-400-23258-351495</t>
  </si>
  <si>
    <t>Reforestation Laborer</t>
  </si>
  <si>
    <t>Whitepine Forestry, Inc.</t>
  </si>
  <si>
    <t>112 Beulah Drive</t>
  </si>
  <si>
    <t>Longview</t>
  </si>
  <si>
    <t>LINO</t>
  </si>
  <si>
    <t>112 BEULAH DRIVE</t>
  </si>
  <si>
    <t>LARA0074@COMCAST.NET</t>
  </si>
  <si>
    <t>Gretel</t>
  </si>
  <si>
    <t>1200 NW Naito Parkway</t>
  </si>
  <si>
    <t>gmn@pbl.net</t>
  </si>
  <si>
    <t>Parker Butte &amp; Lane PC</t>
  </si>
  <si>
    <t xml:space="preserve">VERIFIABLE EXP + CHARACTER REFERENCES. NO ON THE JOB TRAINING PROVIDED. MUST BE: AVAILABLE TO WORK ENTIRE SEASON WITH CREW AT ALL LOCATIONS; ABLE TO LIFT UP TO 50 LBS OF TREE SEEDLINGS BOXES FROM COOLER TO TREE TRANSPORT TRUCK + HANDLE STRENUOUS PHYSICAL TASKS; ABLE TO WORK IN ROUGH TERRAIN, INCL CONDITIONS THAT MAY BE COLD, HOT, DIRTY, WET, + NOISY, WITH POSSIBILITIES OF FALLING OBJECTS FROM FOREST SURROUNDINGS; AUTHORIZED TO WORK PERMANENTLY IN US; WILLING TO TAKE RANDOM DRUG/ALCOHOL TESTS +/OR CRIMINAL BACKGROUND CHECKS UPON HIRE AS WORK CONTRACTS REQUIRE; WILLING TO WEAR ALL REQUIRED CLOTHING + PROTECTIVE GEAR PER JOB CLASSIFICATIONS.
</t>
  </si>
  <si>
    <t>Various Tree Stands</t>
  </si>
  <si>
    <t>P-400-23192-181862</t>
  </si>
  <si>
    <t>H-400-23277-408961</t>
  </si>
  <si>
    <t>West Coast Concessions Fairs, Inc</t>
  </si>
  <si>
    <t>Chillin and Grillin</t>
  </si>
  <si>
    <t>2468 Beechwood Drive</t>
  </si>
  <si>
    <t>(Mail; P.O. Box 5208, Paso Robles, CA 93447)</t>
  </si>
  <si>
    <t>Farias</t>
  </si>
  <si>
    <t xml:space="preserve">Paso Robles </t>
  </si>
  <si>
    <t>susan@chillgrill.net</t>
  </si>
  <si>
    <t>P-400-23182-161886</t>
  </si>
  <si>
    <t>carnygirlsue@aol.com</t>
  </si>
  <si>
    <t>H-400-23229-272404</t>
  </si>
  <si>
    <t xml:space="preserve">The Petitioner will consider for employment any person who possesses at least three (3) months of service experience in a fine-dining or high-volume environment at a high-end restaurant, resort, or private club.  
Applicant must complete pre-employment background check.
</t>
  </si>
  <si>
    <t>P-400-23175-141834</t>
  </si>
  <si>
    <t>H-400-23290-435864</t>
  </si>
  <si>
    <t>R Moore Holdings LLC</t>
  </si>
  <si>
    <t>RDM Independent Rides d/b/a Moore's Greater Shows</t>
  </si>
  <si>
    <t>Leona</t>
  </si>
  <si>
    <t>P-400-23220-246596</t>
  </si>
  <si>
    <t>H-400-23184-165125</t>
  </si>
  <si>
    <t>Ham Bone Trimmer</t>
  </si>
  <si>
    <t xml:space="preserve">1 month of safety/sanitation training required. 
Work will be from EITHER 6:15am - 2:30pm OR 3:00pm - 11:30pm. </t>
  </si>
  <si>
    <t xml:space="preserve">Wage amount dependent on internal metrics. Workers may also be eligible for plant-wide incentive program. </t>
  </si>
  <si>
    <t>P-400-23121-980075</t>
  </si>
  <si>
    <t>H-400-23213-228619</t>
  </si>
  <si>
    <t>Line Cook III</t>
  </si>
  <si>
    <t xml:space="preserve">1 year in job or culinary experience at a high-end hotel, resort, or private club required.
Following Shifts available 7 days a week including weekends and holidays. Flexible schedule with hours between 6AM and 2AM. Required to be able to work weekends, holidays, morning, day and evening shifts. 
Wage Per Hour:$12.23 - $17.57 regular. 
Overtime Possible Per Hour at $18.35 - $26.36. Pay Period.
Returning employees in the same position are eligible for merit based on their last seasons performance review scores; increase can be as low as 0% and up to 6% of their base wage. </t>
  </si>
  <si>
    <t>P-400-23167-120417</t>
  </si>
  <si>
    <t>All deductions required by law will be made.
Optional Employee Housing available with rent
between $300 -$600/month based on accommodations to be paid online; housing deposit of $250 to be paid online also. 
Daily Transportation to the Worksite Is Provided. 
Optional Deductions from Paycheck: 401K. Benefits: Season Pass; Free Rentals (Some restrictions apply);
Friends and Family Lift Tickets: Purchase discounts; 401K Available for any employee over the age of 21; Pro Deals with top industry
brands (specific links and information available at HR after hire).</t>
  </si>
  <si>
    <t>H-400-23233-282256</t>
  </si>
  <si>
    <t xml:space="preserve">9860 S THOMAS DR </t>
  </si>
  <si>
    <t>P-400-23137-030460</t>
  </si>
  <si>
    <t>•	The employer will make all deductions from worker's paycheck required by law. 
•	Any written preapproved deduction requested by employee
Voluntary/Optional, Third-Party Rent/housing: Provided by a third party company
•	Optional &amp; Voluntary 3rd party housing may be available at $150 - $175/ WK &amp; may be voluntarily payroll deducted biweekly
•	Waterloo Hospitality could act as guarantor for timely rent payment however, lease is directly with 3rd party service provider &amp; between employees &amp; housing company as Waterloo Hospitality has no housing of its own
•	Housing Deposits and/or a $250 nonrefundable administrative fee may be required if you choose the voluntary optional 3rd party housing option
•	Third party housing provider/landlord may require that the last 8 weeks of rent (covering June 21, 2024 to Aug 16 2024) to be prepaid upfront or payroll deducted in installments of $150 per pay period until full payment is achieved. This pre-paid last 8 weeks rent is non-refundable</t>
  </si>
  <si>
    <t>H-400-23269-379990</t>
  </si>
  <si>
    <t xml:space="preserve">Thoroughbred Racehorse Groom </t>
  </si>
  <si>
    <t>Split shirt if required because of the caring for the horses.  Grooms work from 5:00 am to 11:00 am then come back to feed the horses in the afternoons from 3:00 pm to 4:00- p.m.  One day off a week and it is rotated.</t>
  </si>
  <si>
    <t>P-400-23184-165484</t>
  </si>
  <si>
    <t xml:space="preserve">Federal, state and local deduction requirements.  </t>
  </si>
  <si>
    <t>H-400-23192-181893</t>
  </si>
  <si>
    <t>Precision Heating and Cooling</t>
  </si>
  <si>
    <t>6215 LANKFORD HWY</t>
  </si>
  <si>
    <t>6215 Bumpy Road Lane</t>
  </si>
  <si>
    <t>NEW CHURCH</t>
  </si>
  <si>
    <t>pswartz2@verizon.net</t>
  </si>
  <si>
    <t>ACCOMACK</t>
  </si>
  <si>
    <t>P-400-23091-895242</t>
  </si>
  <si>
    <t>H-400-23242-308622</t>
  </si>
  <si>
    <t>Latitude 41 Lawn and Landscape Services of Iowa LLC</t>
  </si>
  <si>
    <t>13272 NW Madrid Drive</t>
  </si>
  <si>
    <t>Polk City</t>
  </si>
  <si>
    <t>austin@latitude41ofiowa.com</t>
  </si>
  <si>
    <t xml:space="preserve">Must be able to lift and carry 50 lbs. Saturday and Sunday work required, when necessary. Work hours may include nights and overtime during emergencies and winter storm conditions. Must be able to perform manual physical labor outside during all weather conditions.
PLEASE NOTE THAT HOURS ABOVE ARE NOT ACCURATE: ESTIMATED THIRTY-FIVE(35) HOURS PER WEEK, MONDAY TO SUNDAY WITH TWO DAYS OFF PER WEEK. SHIFT VARIES BASED ON WEATHER CONDITIONS.
</t>
  </si>
  <si>
    <t>Overtime may be available but not guaranteed. May be offered higher wage due to experience/merit.</t>
  </si>
  <si>
    <t>P-400-23202-206036</t>
  </si>
  <si>
    <t xml:space="preserve">
THE EMPLOYER WILL MAKE ALL DEDUCTIONS FROM THE WORKER’S PAYCHECK AS REQUIRED BY LAW. ANY ADVANCES WILL BE DEDUCTED WITH THE CONSENT OF THE EMPLOYEE. THE EMPLOYER WILL PROVIDE HOUSING AS AN OPTION TO THE EMPLOYEES. EMPLOYEES WHO ELECT TO LIVE IN THE HOUSING WILL HAVE AN ADDITIONAL $350.00 DEDUCTED PER BIWEEKLY PAYCHECK FOR RENT AND UTILITIES. EMPLOYER WILL DEDUCT THE REASONABLE COST OF DAMAGES AND/OR REPLACEMENT OF TOOLS AND/OR EQUIPMENT IF SUCH REPAIR OR REPLACEMENT RESULTS FROM WILLFUL NEGLECT OR GROSS NEGLIGENCE OF THE EMPLOYEE. EMPLOYER WILL DEDUCT THE REASONABLE COST OF NEGLIGENT DAMAGE TO LODGING FACILITIES AND VEHICLES.</t>
  </si>
  <si>
    <t>H-400-23195-190745</t>
  </si>
  <si>
    <t>Soave Hospitality Group, Inc</t>
  </si>
  <si>
    <t>3400 East Lafayette</t>
  </si>
  <si>
    <t>Detroit</t>
  </si>
  <si>
    <t>Abadis</t>
  </si>
  <si>
    <t>13966 Old Coast Rd.</t>
  </si>
  <si>
    <t>Abadis.ruiz@soave.com</t>
  </si>
  <si>
    <t xml:space="preserve">While performing the duties of this job, the employee is regularly required to talk and hear. This position is very active and requires standing and moving for an extended period. This position requires walking, bending, kneeling, stooping, and crouching. The work may need occasional carrying/lifting to 50 pounds, weighing up to 20 pounds, and pushing and pulling up to 75 pounds unassisted, frequently reaching overhead. Arm strength and coordination must be sufficient to carry plates of food, glasses, and bottles and serve from large trays. 
Typical shifts are 7:00 a.m. - 3 p.m., 8:00 a.m. - 4:00 p.m., 9:00 a.m. - 5:00 p.m., 1:00 p.m. - 10:00 p.m., or 3:00 p.m. - 10:00 p.m. Monday through Sunday. The specific days and hours of work will vary depending on scheduling and business level. Must be able to work all shifts. The business is open seven days per week, and weekend and holiday work will be required.
Minimum 18 years of age requirement.
</t>
  </si>
  <si>
    <t>The Club at Kalea Bay</t>
  </si>
  <si>
    <t>13966 Old Coast Road</t>
  </si>
  <si>
    <t xml:space="preserve">This is a tipped position, so server staff will earn $ 8.98 per hour plus tips or $15.02/hour ($22.53/hour O.T.), whichever is greater. </t>
  </si>
  <si>
    <t>P-400-23118-975862</t>
  </si>
  <si>
    <t>The employer will make deductions from the worker’s paycheck required by law. The employer will make deductions from the worker’s paycheck required by law. Optional shared employee housing is available for workers relocating to begin employment on a first, first serve basis. If accepted, the cost of housing is $425 per month plus an additional up-front security deposit of $200. If used, the total cost of housing will be deducted from the paycheck. Use of company housing is not a condition of employment.</t>
  </si>
  <si>
    <t>careersfl@soave.com</t>
  </si>
  <si>
    <t>www.soave.com/careers</t>
  </si>
  <si>
    <t>Soave Hospitality Group, Inc.</t>
  </si>
  <si>
    <t>abadis.ruiz@soave.com</t>
  </si>
  <si>
    <t>H-400-23215-235853</t>
  </si>
  <si>
    <t>Garfinkel’s Ent Ltd</t>
  </si>
  <si>
    <t>Garfinkel’s</t>
  </si>
  <si>
    <t>F.a.5 A-H. (cont.)
Work may be performed on any day of the week from Monday through Sunday, including holidays.  Days off vary. Shifts available: 8am  4pm or 3pm  11pm. 
F.a.7. (cont.)
Education Requirement: High school diploma/GED or equivalent required</t>
  </si>
  <si>
    <t>P-400-23156-078441</t>
  </si>
  <si>
    <t>H-400-23215-236222</t>
  </si>
  <si>
    <t>Motel Clerk</t>
  </si>
  <si>
    <t xml:space="preserve">Valid driver's license, employment reference
40 hrs/week, Mon-Sat, 7am-4pm, hours and workdays may vary depending on weather.
</t>
  </si>
  <si>
    <t>Employer may assist in locating housing. 
Employer may charge the worker for reasonable costs related to the worker's refusal or negligent failure to return any property furnished by the employer or due to such worker's willful damage or destruction of such property. Deductions may be taken per employee's request. SEE ADDENDUM</t>
  </si>
  <si>
    <t>H-400-23202-207948</t>
  </si>
  <si>
    <t>LNW Landscaping, LLC.</t>
  </si>
  <si>
    <t>1 hr. for lunch, some O.T maybe available but not guaranteed. Wage w/in wage range based on experience &amp; performance.</t>
  </si>
  <si>
    <t>P-400-23151-065950</t>
  </si>
  <si>
    <t>Other benefits provided to U.S. and H2B workers are the following:  Optional insurance and pay advances to secure housing not to exceed $300.00.
Additional deductions include:  If optional pay advances to secure housing – weekly payments of $100.00 until paid in full; If optional insurance selected for employee only – weekly payments of $10.00.</t>
  </si>
  <si>
    <t>H-400-23193-185010</t>
  </si>
  <si>
    <t>West Side Yard (DR)</t>
  </si>
  <si>
    <t>Poss. OT starting from $17.64 p/hr. to $22.50 p/hr.Poss. raises, bonuses, or incentives dependent on tenure w/company, e</t>
  </si>
  <si>
    <t>P-400-23154-076418</t>
  </si>
  <si>
    <t>All deductions required by law will be made to employees pay check.</t>
  </si>
  <si>
    <t>H-400-23215-235802</t>
  </si>
  <si>
    <t xml:space="preserve">HSI ENTERPRISES, INC. </t>
  </si>
  <si>
    <t xml:space="preserve">YARMOUTH PORT </t>
  </si>
  <si>
    <t xml:space="preserve">9753 DEER LAKE COURT </t>
  </si>
  <si>
    <t>P-400-23129-006887</t>
  </si>
  <si>
    <t>H-400-23215-235390</t>
  </si>
  <si>
    <t xml:space="preserve">Hours, schedule, and days vary widely.  
Typically Mon-Fri, 8:30-5PM.  
Often 35-40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pass post-hire background &amp; drug test paid by employer. The job requires the applicant to be qualified, authorized, ready, willing, able, and available to perform during the entire employment at the designated worksite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Subject to discharge for cause.  
</t>
  </si>
  <si>
    <t>32323 S. Rt. 45</t>
  </si>
  <si>
    <t>P-400-23128-002303</t>
  </si>
  <si>
    <t>Optional mobile housing ($150/week)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($20/week) and food/meals (varies) is available for wage credit and/or deduction, or any lesser amount to the maximum extent not prohibited by law.</t>
  </si>
  <si>
    <t>H-400-23248-320556</t>
  </si>
  <si>
    <t>GARY CAPUANO RACING STABLE</t>
  </si>
  <si>
    <t>17707 Queen Anne Road</t>
  </si>
  <si>
    <t>Capuano</t>
  </si>
  <si>
    <t>1844 Shively Ct</t>
  </si>
  <si>
    <t>gcapu1@verizon.net</t>
  </si>
  <si>
    <t>TAMPA BAY DOWNS</t>
  </si>
  <si>
    <t>P-400-23205-209772</t>
  </si>
  <si>
    <t>H-400-23184-163077</t>
  </si>
  <si>
    <t>GONCO LOGISTICS LLC</t>
  </si>
  <si>
    <t>Three (3) months of job experience.</t>
  </si>
  <si>
    <t>2817 JOHN BEN SHEPPERD PRWY</t>
  </si>
  <si>
    <t>P-400-23137-031260</t>
  </si>
  <si>
    <t>juliogonco@gmail.com</t>
  </si>
  <si>
    <t>H-400-23197-191973</t>
  </si>
  <si>
    <t>FLOORING INSTALER</t>
  </si>
  <si>
    <t>NEW FLOORING HORIZON LLC</t>
  </si>
  <si>
    <t>6700 SMITH ROAD, UNIT E</t>
  </si>
  <si>
    <t>DEL ROSARIO</t>
  </si>
  <si>
    <t>EMPLOYER</t>
  </si>
  <si>
    <t>6700 SMITH ROAD</t>
  </si>
  <si>
    <t>UNIT E</t>
  </si>
  <si>
    <t>rob@newflooringhorizons.com</t>
  </si>
  <si>
    <t>Basic math skills
Communications skills
Customer service
Organization
Physical stamina
Time management</t>
  </si>
  <si>
    <t>P-400-23068-836418</t>
  </si>
  <si>
    <t>H-400-23200-199784</t>
  </si>
  <si>
    <t>Wage: Tipped position with guaranteed wage of $19.59 per hour, paid semi-monthly. See job description for details.</t>
  </si>
  <si>
    <t>P-400-23142-043042</t>
  </si>
  <si>
    <t xml:space="preserve">Optional housing is offered on a first-come, first-serve basis for workers who are relocating to begin employment.  Cost of housing, utilities, trash removal, and internet, if accepted, is $150.00 to $350.00 per week.  If used, total cost of housing will be deducted from paycheck.  If housing is damaged during the employee’s stay, $500.00 will be charged for repair/replacement/extensive cleaning and will be deducted from paycheck to cover the cost.  Additional, optional benefits may be offered to worker, for worker’s sole benefit, including but not limited to a 401k plan.  If voluntarily elected by worker, employee costs/contributions for benefits will be deducted from paycheck.
</t>
  </si>
  <si>
    <t>H-400-23215-237235</t>
  </si>
  <si>
    <t>Wage: $16.00 - $18.00 per hour, paid bi-weekly.  Overtime is available at $24.00 - $27.00 per hour. See job description.</t>
  </si>
  <si>
    <t>P-400-23177-144918</t>
  </si>
  <si>
    <t>H-400-23205-209604</t>
  </si>
  <si>
    <t>Pritchett Forestry Services, Inc.</t>
  </si>
  <si>
    <t>198 Old Hwy 10</t>
  </si>
  <si>
    <t>Sweet Water</t>
  </si>
  <si>
    <t xml:space="preserve">No education or experience required. Must be 18 years or older. Requires physical stamina.  Extensive walking over rough terrain.  Work is in adverse weather. Must lift and carry 50 lbs. Production standard of 2000 trees correctly planted per 8 hour day after one week of on the job training. Work schedule and locations dependent on weather conditions. Must pass drug screenings. Overnight travel required.
</t>
  </si>
  <si>
    <t>198 Old Highway 10</t>
  </si>
  <si>
    <t>MARENGO</t>
  </si>
  <si>
    <t>May pay piece rate of $15-$22/acre planted correctly, or the pw in the area of intended employment, whichever is higher.</t>
  </si>
  <si>
    <t>P-400-23130-009090</t>
  </si>
  <si>
    <t>gmees@pinebelt.net</t>
  </si>
  <si>
    <t>H-400-23174-138276</t>
  </si>
  <si>
    <t>EL SAN LUIS BAR &amp; GRILL LLC</t>
  </si>
  <si>
    <t>1500 E TYLER ST.</t>
  </si>
  <si>
    <t>903-677-6800</t>
  </si>
  <si>
    <t>BOLANOS</t>
  </si>
  <si>
    <t>SERGIO</t>
  </si>
  <si>
    <t>1500 E TYLER ST</t>
  </si>
  <si>
    <t>903-386-9251</t>
  </si>
  <si>
    <t>sbolanos400@gmail.com</t>
  </si>
  <si>
    <t>WILKES</t>
  </si>
  <si>
    <t>PO BOX 52199</t>
  </si>
  <si>
    <t>480-267-4044</t>
  </si>
  <si>
    <t>agconsultinginternationalllc@gmail.com</t>
  </si>
  <si>
    <t>AG CONSULTING INTERNTATIONAL LLC (Not a Law Firm)</t>
  </si>
  <si>
    <t>Ability to work in a fast paced environment 
Understanding of kitchen tools, products, and needs 
Understand how to read English and to process work orders 
Other skills and training will be provided on the job</t>
  </si>
  <si>
    <t>P-400-22276-506659</t>
  </si>
  <si>
    <t>NONE, OTHER THAN STATE AND FEDERAL TAXES</t>
  </si>
  <si>
    <t>AG CONSULTING INTERNATIONAL LLC (NOT A LAW FIRM)</t>
  </si>
  <si>
    <t>H-400-23192-179387</t>
  </si>
  <si>
    <t xml:space="preserve">Requires three months of retail experience. Job requires basic English literacy, basic math skills and an understanding of U.S. currency. Must lift/carry 50 lbs., when necessary.  Saturday and Sunday work required, when necessary. Must possess or be able to obtain U.S. driver's license within 30 days of hire.
</t>
  </si>
  <si>
    <t>H-400-23195-189472</t>
  </si>
  <si>
    <t>Animal caretakers</t>
  </si>
  <si>
    <t>RT Racing Stables LLC</t>
  </si>
  <si>
    <t>3546 S Ocean Blvd</t>
  </si>
  <si>
    <t>Apt 324</t>
  </si>
  <si>
    <t>Duluc</t>
  </si>
  <si>
    <t>sduluc@cm-ipa.com</t>
  </si>
  <si>
    <t>3546 S Ocean Blvd Apt 324</t>
  </si>
  <si>
    <t>P-400-23153-075408</t>
  </si>
  <si>
    <t>Only those required by law
Optional employer offered housing in tebackstretch at no cost to the worker.</t>
  </si>
  <si>
    <t>https://rtracingstable.com</t>
  </si>
  <si>
    <t>H-400-23208-219298</t>
  </si>
  <si>
    <t>22101 US Highway 6</t>
  </si>
  <si>
    <t>P-400-23113-957848</t>
  </si>
  <si>
    <t xml:space="preserve">Optional subsidized employee housing is available but limited.  Biweekly cost is $135.00 to $440.00 depending on unit type (i.e. number of beds in unit and number of people living in unit). Employee is responsible for paying housing cost biweekly. A license deposit of $250 is due prior to check-in.  With employee's voluntary consent, housing cost will be deducted from paycheck. </t>
  </si>
  <si>
    <t>H-400-23258-352498</t>
  </si>
  <si>
    <t>No Limit Seafood LLC</t>
  </si>
  <si>
    <t>7700 Belmont Drive</t>
  </si>
  <si>
    <t>St. Francisville</t>
  </si>
  <si>
    <t>hunterpsmith42@gmail.com</t>
  </si>
  <si>
    <t xml:space="preserve">Must be able to lift 50 pounds; repetitive movements.
</t>
  </si>
  <si>
    <t>110 Harold Street</t>
  </si>
  <si>
    <t>P-400-23166-116490</t>
  </si>
  <si>
    <t>All deductions required by law; The deductions the employer intends to make from paycheck, which is not required by law, would be the deduction of $75.00 per week for the optional housing provided by the employer, if chosen by the employee.</t>
  </si>
  <si>
    <t>H-400-23276-406472</t>
  </si>
  <si>
    <t>North American Midway Entertainment-Astro Amusement, LLC</t>
  </si>
  <si>
    <t>2500 West Higgins Dr., Suite 250</t>
  </si>
  <si>
    <t>2301 N Caesar Chavez Road</t>
  </si>
  <si>
    <t>P-400-23182-161880</t>
  </si>
  <si>
    <t>H-400-23215-237227</t>
  </si>
  <si>
    <t>Food &amp; Beverage Team Lead</t>
  </si>
  <si>
    <t xml:space="preserve">Hermitage Members Club, Inc. </t>
  </si>
  <si>
    <t>The Hermitage Club</t>
  </si>
  <si>
    <t>183 Gatehouse Trail</t>
  </si>
  <si>
    <t>Mailing address: 10 Gatehouse Trail, Wilmington, VT 05363</t>
  </si>
  <si>
    <t>Willian</t>
  </si>
  <si>
    <t>wparent@hermitageclub.com</t>
  </si>
  <si>
    <t xml:space="preserve">The Petitioner will consider for employment any person who possesses at least twelve (12) months of experience in a fine-dining or high-volume environment at a high-end restaurant, resort, or private club.
</t>
  </si>
  <si>
    <t>Wage: $21.80 - $25.00 per hour, paid bi-weekly. See job description for additional details.</t>
  </si>
  <si>
    <t>P-400-23168-121745</t>
  </si>
  <si>
    <t xml:space="preserve">Optional housing is offered on a first-come, first-serve basis for workers who are relocating to begin employment. If the applicant does not want to be auto-enrolled in our process of housing we will need to know as soon as possible after accepting employment. Cost of housing, if accepted, is $700.00 per month, to be paid directly to the employer and includes utilities.  No deposit is required.  
All deductions from paycheck required by law will be made.  </t>
  </si>
  <si>
    <t>H-400-23184-165510</t>
  </si>
  <si>
    <t>6301 Schirra Court</t>
  </si>
  <si>
    <t>P-400-23110-951077</t>
  </si>
  <si>
    <t>H-400-23199-198353</t>
  </si>
  <si>
    <t>45 Ashley Way</t>
  </si>
  <si>
    <t>Leesport</t>
  </si>
  <si>
    <t>P-400-23150-063453</t>
  </si>
  <si>
    <t>H-400-23184-163411</t>
  </si>
  <si>
    <t>Christmas Lights Laborer</t>
  </si>
  <si>
    <t>Gem Home Maintenance Inc</t>
  </si>
  <si>
    <t>909 Park Ave. East</t>
  </si>
  <si>
    <t>Adamiak</t>
  </si>
  <si>
    <t>mygemhome@gmail.com</t>
  </si>
  <si>
    <t>Shiao</t>
  </si>
  <si>
    <t>Chia Ying</t>
  </si>
  <si>
    <t>1101 Connecticut Ave NW</t>
  </si>
  <si>
    <t>liaison@shiaolaw.com</t>
  </si>
  <si>
    <t>Shiao PLLC</t>
  </si>
  <si>
    <t>Superior Court of the District of Columbia</t>
  </si>
  <si>
    <t xml:space="preserve">Must be able to lift 40 lbs.  Must be able to climb and descend ladders and scaffoldings.  Must be able to work on ladders or scaffoldings while carrying hand tools and loads.  Must be able to use hand tools such as wirecutters.  Must be able to work outdoors in adverse weather conditions.  Must pass background check and pre-employment drug test paid by employer.  Must pass post accident drug test paid by employer.
</t>
  </si>
  <si>
    <t>P-400-23090-892620</t>
  </si>
  <si>
    <t>H-400-23251-332251</t>
  </si>
  <si>
    <t>H-400-23184-163906</t>
  </si>
  <si>
    <t>P-400-23124-993724</t>
  </si>
  <si>
    <t>Optional housing if available at $50 a week (subject to change based on local market/inflation).  Optional deduction from pay for rent, Deductions will not drop the overall wage below the UDSOL minimum, if the deductions are too great they will not be made.</t>
  </si>
  <si>
    <t>H-400-23198-192773</t>
  </si>
  <si>
    <t>Pesognelli</t>
  </si>
  <si>
    <t xml:space="preserve">Human Resources Coordinator </t>
  </si>
  <si>
    <t xml:space="preserve">Wage: $15.48 - $23.00 per hour, paid bi-weekly.  See job description for additional information. </t>
  </si>
  <si>
    <t>H-400-23249-325715</t>
  </si>
  <si>
    <t>Zeting Huang</t>
  </si>
  <si>
    <t>321 West 37th Street</t>
  </si>
  <si>
    <t>Apt PHC</t>
  </si>
  <si>
    <t>Huang</t>
  </si>
  <si>
    <t>Zeting</t>
  </si>
  <si>
    <t>Apt. PHC</t>
  </si>
  <si>
    <t>zeting.huang890@gmail.com</t>
  </si>
  <si>
    <t>321 West 27th Street</t>
  </si>
  <si>
    <t>P-400-23214-233257</t>
  </si>
  <si>
    <t>H-400-23186-168387</t>
  </si>
  <si>
    <t>Nanny/ChildcareWorker</t>
  </si>
  <si>
    <t>Maggie Watson</t>
  </si>
  <si>
    <t>5837 Grand Avenue S.</t>
  </si>
  <si>
    <t>maggiejwatson@gmail.com</t>
  </si>
  <si>
    <t>Asp</t>
  </si>
  <si>
    <t>Walfred</t>
  </si>
  <si>
    <t>100 Washington Avenue S</t>
  </si>
  <si>
    <t>Suite 2200</t>
  </si>
  <si>
    <t>dwasp@locklaw.com</t>
  </si>
  <si>
    <t>Lockridge Grindal Nauen P.L.L.P.</t>
  </si>
  <si>
    <t xml:space="preserve">High school diploma or foreign equivalent required. Must have two years experience as a nanny or childcare worker for children with special needs/developmental  disorders. Must be certified in CPR or other basic first aid. Must have caregiver skills training or certification related to care of children with disabilities/special needs. Ability to maintain composure in stressful situations and deal calmly and effectively with child with special needs required. Fluency in English and Spanish required. 
</t>
  </si>
  <si>
    <t>6 paid holidays; Paid sick leave accrued at 1hr per 30hrs worked for max. 48hrs/yr</t>
  </si>
  <si>
    <t>P-400-23146-059157</t>
  </si>
  <si>
    <t>WatsonTempNanny@gmail.com</t>
  </si>
  <si>
    <t>H-400-23194-188228</t>
  </si>
  <si>
    <t xml:space="preserve">No education or experience required. Must be able to stand/walk for up to 8 hours. Must also be able to sit, stoop, kneel, crouch, &amp; crawl. The employee must regularly lift and/or move up to 50 pounds, and occasionally lift and/or move up to 75 pounds. Pre-employment Criminal Background Check required.
Shifts: 8:30am  4:00pm. (5 rotating days including weekends). </t>
  </si>
  <si>
    <t>5380 Honoiki Road</t>
  </si>
  <si>
    <t>P-400-23139-039540</t>
  </si>
  <si>
    <t xml:space="preserve">Shared, subsidized housing available.  Housing is optional and, if elected, will cost approx. $150 per week and will be deducted from payroll. Utilities included. All deductions from worker’s paycheck required by law will be made. </t>
  </si>
  <si>
    <t>H-400-23257-347780</t>
  </si>
  <si>
    <t>New Wave Linen, LLC</t>
  </si>
  <si>
    <t>1357 Enterprise Ave</t>
  </si>
  <si>
    <t>Newwavelinen@gmail.com</t>
  </si>
  <si>
    <t>P-400-23139-038506</t>
  </si>
  <si>
    <t>All applicable Federal and State deductions required by law will be deducted from paycheck. Optional Housing is offered by the company at the rate of $100 per week, deducted from pay. Workers are responsible for Daily transportation to and from the worksite. Company may provide transportation but there is no guarantee we will be able to. If company provides transportation to and from the worksite, the cost is $10 per day deducted from pay.</t>
  </si>
  <si>
    <t>newwavelinen@gmail.com</t>
  </si>
  <si>
    <t>H-400-23213-230970</t>
  </si>
  <si>
    <t>Hand Packer</t>
  </si>
  <si>
    <t xml:space="preserve">Must lift/carry 60 lbs., when necessary. Requires physical stamina and manual dexterity. Saturday and Sunday work required, when necessary. Post-hire employment eligibility (e-Verify) check required of foreign and domestic workers.
</t>
  </si>
  <si>
    <t>P-400-23174-140136</t>
  </si>
  <si>
    <t>H-400-23242-308053</t>
  </si>
  <si>
    <t xml:space="preserve">FENCE ERECTOR </t>
  </si>
  <si>
    <t>JPSP Enterprises LLC</t>
  </si>
  <si>
    <t>JPSP Enterprises</t>
  </si>
  <si>
    <t xml:space="preserve">6159 Preston Creek Drive </t>
  </si>
  <si>
    <t>PREWIT</t>
  </si>
  <si>
    <t>uscompany.email@gmail.com</t>
  </si>
  <si>
    <t xml:space="preserve">ERICKA </t>
  </si>
  <si>
    <t>12400 STATE HWY 71W</t>
  </si>
  <si>
    <t>SUITE 350-395</t>
  </si>
  <si>
    <t>trebolstaffingsolutions@gmail.com</t>
  </si>
  <si>
    <t>TREBOLS STAFFING SOLUTIONS</t>
  </si>
  <si>
    <t xml:space="preserve">"1 hr lunch break" 
No special requirements. </t>
  </si>
  <si>
    <t xml:space="preserve">889 Serendip Lane </t>
  </si>
  <si>
    <t xml:space="preserve">Bandera </t>
  </si>
  <si>
    <t>BANDERA</t>
  </si>
  <si>
    <t>P-400-23178-147005</t>
  </si>
  <si>
    <t xml:space="preserve">Employer will make deductions required by law from worker's paycheck. </t>
  </si>
  <si>
    <t>H-400-23307-477421</t>
  </si>
  <si>
    <t>Bi-weekly deduction of $125.00 per person for shared lodging.</t>
  </si>
  <si>
    <t>H-400-23184-162403</t>
  </si>
  <si>
    <t>MTH INSTALLATION LLC</t>
  </si>
  <si>
    <t>571 S RUTH RD</t>
  </si>
  <si>
    <t>CARSONVILLE</t>
  </si>
  <si>
    <t>HORNING</t>
  </si>
  <si>
    <t>MUST BE ABLE TO LIFT 50 LBS. REPETITIVE MOVEMENT. EXTENSIVE PUSHING &amp; PULLING. EXTENSIVE WALKING. FREQUENT STOOPING.
SCHEDULE VARIES. OVERTIME AVAILABLE AS NEEDED.</t>
  </si>
  <si>
    <t>P-400-23096-911381</t>
  </si>
  <si>
    <t>Mthlandscaping@gmail.com</t>
  </si>
  <si>
    <t>H-400-23277-408671</t>
  </si>
  <si>
    <t>3737 Old Reliance Road</t>
  </si>
  <si>
    <t>P-400-23170-124612</t>
  </si>
  <si>
    <t>H-400-23228-268956</t>
  </si>
  <si>
    <t>Kirkwood Mountain Resort</t>
  </si>
  <si>
    <t>1501 Kirkwood Meadows Drive</t>
  </si>
  <si>
    <t>ALPINE</t>
  </si>
  <si>
    <t>P-400-23113-957860</t>
  </si>
  <si>
    <t>OPTIONAL SUBSIDIZED EMPLOYEE HOUSING IS AVAILABLE BUT LIMITED. BIWEEKLY COST IS $175.00 TO $395.00 DEPENDING ON UNIT TYPE (I.E. NUMBER OF BEDS IN UNIT AND NUMBER OF PEOPLE LIVING IN UNIT). EMPLOYEE IS RESPONSIBLE FOR PAYING HOUSING COST BIWEEKLY. A LICENSE DEPOSIT OF $250 IS DUE PRIOR TO CHECK-IN. WITH EMPLOYEE'S VOLUNTARY CONSENT, HOUSING COST WILL BE DEDUCTED FROM PAYCHECK.</t>
  </si>
  <si>
    <t>H-400-23194-187393</t>
  </si>
  <si>
    <t>J&amp;H TRUCKING LLC</t>
  </si>
  <si>
    <t>J&amp;H Trucking LLC</t>
  </si>
  <si>
    <t>484 FM 2905</t>
  </si>
  <si>
    <t>OOSTERHOF</t>
  </si>
  <si>
    <t>JELLE</t>
  </si>
  <si>
    <t>sarah@oandbfarms.com</t>
  </si>
  <si>
    <t xml:space="preserve">MUST HAVE A CLASS A DRIVER'S LICENSE. MUST BE 25 YEARS OR OLDER. 3 OR MORE YEARS EXPERIENCE DRIVING A TRUCK/TRACTOR. HAVE AT LEAST 1 YEAR EXPERIEINCE DRIVING IN THE CITY. </t>
  </si>
  <si>
    <t>P-400-23130-009096</t>
  </si>
  <si>
    <t>TAXES, SOCIAL SECURITY</t>
  </si>
  <si>
    <t>H-400-23258-352331</t>
  </si>
  <si>
    <t>Toups Crawfish, L.L.C.</t>
  </si>
  <si>
    <t>3695 Basile-Eunice Highway</t>
  </si>
  <si>
    <t>Basile</t>
  </si>
  <si>
    <t>Earl</t>
  </si>
  <si>
    <t>toupscrawfish@gmail.com</t>
  </si>
  <si>
    <t>251 North Second Street, Suite A</t>
  </si>
  <si>
    <t xml:space="preserve">Extensive sitting, repetitive movements, and may be subject to random drug screen upon hire paid by employer and/or a drug screen paid for by employer if reasonable suspicions arise during employment. This is a drug free work zone. Must be able to work with cleaning chemicals required by food and safety regulations. 
</t>
  </si>
  <si>
    <t>May receive bonus or earn above the basic wage rate based on work experience, performance, or on a piece rate ($2.25/lb)</t>
  </si>
  <si>
    <t>P-400-23144-051960</t>
  </si>
  <si>
    <t xml:space="preserve">All deductions required by law; The deductions the employer intends to make from paycheck, which is not required by law, would be the deduction of $35.00 per week for the optional housing provided by the employer, if chosen by the employee.
</t>
  </si>
  <si>
    <t>H-400-23237-294831</t>
  </si>
  <si>
    <t>WE WILL MAKE ALL DEDUCTIONS REQUIRED BY LAW (IE. FEDERAL AND STATE INCOME TAXES, SOCIAL SECURITY TAXES). WE WILL MAKE A DEDUCTION FOR BI-WEEKLY OCCUPANCY FEE AT OUR EMPLOYER-PROVIDED HOUSING AT A RATE OF $275.00 EACH BI-WEEKLY PERIOD THE EMPLOYEE RESIDES THERE. ANY PAST DUE AND UNPAID WEEKLY OCCUPANCY FEES WILL ALSO BE DEDUCTED FROM PAY. EMPLOYEES ELECT TO RESIDE IN OUR EMPLOYER-PROVIDED HOUSING, IF THEY DO NOT, NO DEDUCTIONS FOR HOUSING WILL OCCUR. NO OTHER DEDUCTIONS WILL BE MADE FROM PAY, EXCEPT STATUTORY TAXES.</t>
  </si>
  <si>
    <t>H-400-23304-467945</t>
  </si>
  <si>
    <t>Must have at least two (2) months of prior full-time service experience in a luxury hospitality
setting. Experience must be verifiable. Must pass a pre-hire background check, carried out
equally between U.S. workers and H-2B workers. Must be available to work split-shifts, nights,
weekends &amp; holidays as needed. Must be able to lift, pull, push or carry up to 25 lbs or more,
and walk or stand for long periods of time. Must maintain a professional appearance and be
able to articulate in English. Must have excellent communication skills. Must be
detailed/people-oriented and focused on genuine customer service. Must have the ability to
multi-task and prioritize effectively.</t>
  </si>
  <si>
    <t>160 deduction per week for workers who elect to use employer-provided housing. Employer will make all deductions requires by law.</t>
  </si>
  <si>
    <t>H-400-23258-349009</t>
  </si>
  <si>
    <t>Tree planter and thinner</t>
  </si>
  <si>
    <t>Southwest Cutting, Inc.</t>
  </si>
  <si>
    <t>411 B Street</t>
  </si>
  <si>
    <t>Salomon</t>
  </si>
  <si>
    <t xml:space="preserve">411 B Street </t>
  </si>
  <si>
    <t>8830 Tallon Ln  NE</t>
  </si>
  <si>
    <t xml:space="preserve">ability to use power tools and equipment
</t>
  </si>
  <si>
    <t>411 B St.</t>
  </si>
  <si>
    <t>PACIFIC</t>
  </si>
  <si>
    <t>The employer will provide a $200 housing stipend per month for workers who are not able to return to their home daily</t>
  </si>
  <si>
    <t>P-400-23194-187751</t>
  </si>
  <si>
    <t xml:space="preserve">The employer will make the following deduction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and any other deductions expressly authorized by the worker in writing.
The employer will deduct a portion of worker’s compensation premium from workers’ pay as specified in Washington law at RCW 51.61.140.
The employer will withhold from the employee’s wages the maximum amount for the portion of employee premium required under WA State RCW 50A.04, Paid Family and Medical Leave Program.
</t>
  </si>
  <si>
    <t>H-400-23284-425546</t>
  </si>
  <si>
    <t xml:space="preserve">Must possess 24 months of surimi and Pollock roe processing experience and must have technical knowledge of surimi and pollock roe processing and ability to work independently. Must be able to produce surimi products meeting predetermined specifications from raw materials of different types and must be able to quickly identify and resolve any problems that arise during surimi and pollock roe processing operations.  Applications and/or resumes must include required work experience and information must be verifiable.  Must be willing to work 12 or more hours per day, 6 days per week, depending on fish availability. Up to 72 hours per week with minimum guarantee of 35 hours per week.
</t>
  </si>
  <si>
    <t xml:space="preserve">On board F/T Alaska Ocean vessel </t>
  </si>
  <si>
    <t>North Pacific and Bering Sea</t>
  </si>
  <si>
    <t>P-400-23192-179344</t>
  </si>
  <si>
    <t>H-400-23201-203627</t>
  </si>
  <si>
    <t>715 Training Center Drive</t>
  </si>
  <si>
    <t>P-400-23123-987710</t>
  </si>
  <si>
    <t xml:space="preserve">State and Federal Taxes, Optional employer-offered housing in the backstretch at no cost to the worker.  </t>
  </si>
  <si>
    <t>H-400-23215-236102</t>
  </si>
  <si>
    <t>Dickinson Lodging Group, LLC</t>
  </si>
  <si>
    <t>Holiday Inn Express</t>
  </si>
  <si>
    <t>103 14th St W</t>
  </si>
  <si>
    <t>P-400-23166-115509</t>
  </si>
  <si>
    <t>H-400-23215-236596</t>
  </si>
  <si>
    <t xml:space="preserve">Must have 3 years cooking experience.  Most work tasks are performed indoors.  Temperature generally is moderate and controlled by hotel environmental systems; however, must be able to work in extreme temperatures like freezers (-10F) and kitchens (+110F), possibly for one hour or more. Ability to physically handle knives, pots, lift and carry same from shelves and otherwise transport up to 50 pounds to every area of the kitchen or storeroom.  Proper usage and handling of various kitchen machinery to include slicers, buffalo chopper, grinders, mixers, and other kitchen related equipment. Ability to physically self-demonstrate culinary techniques, i.e., cutting, cooking principles, plate presentation, safety and sanitation practices. Must be able to push and pull carts and equipment weighing up to 200 lbs. occasionally. Must be able to bend, stoop, squat and stretch to fulfill cleaning tasks occasionally. Requires grasping, writing, standing, sitting, walking, repetitive motions, bending, climbing, listening and hearing ability and visual acuity.
Pre-employment background check is required and must be able to work holidays and weekends as needed.
</t>
  </si>
  <si>
    <t>See F.a.4. for additional wage information.</t>
  </si>
  <si>
    <t>P-400-23151-065797</t>
  </si>
  <si>
    <t xml:space="preserve">Employer will make all deductions from worker's paycheck as required by law and deduct approved cost of optional housing if worker elects. Employer may deduct cost of replacement nametag at $10 if lost by employee at no fault of employer. Employer will provide option for shared housing, the cost of which will vary based on location and amenities - from $307.50/month to $500/month - plus a $100.00 nonrefundable administrative fee. Rent is broken down into two monthly installments, spread out and deducted from bi-weekly paychecks. </t>
  </si>
  <si>
    <t>H-400-23187-171039</t>
  </si>
  <si>
    <t>Fiesta 1407, LLC</t>
  </si>
  <si>
    <t>Fiesta Cafe</t>
  </si>
  <si>
    <t>1407 S 1st St</t>
  </si>
  <si>
    <t>Real-Perez</t>
  </si>
  <si>
    <t xml:space="preserve">Rosela Isela </t>
  </si>
  <si>
    <t>rosaiselarp@hotmail.com</t>
  </si>
  <si>
    <t>P-400-23100-918563</t>
  </si>
  <si>
    <t>H-400-23227-264063</t>
  </si>
  <si>
    <t>Island Beruflich Hospitality LLC</t>
  </si>
  <si>
    <t>313 Racetrack Rd NW</t>
  </si>
  <si>
    <t xml:space="preserve">1204 VILLAGE MARKET PL </t>
  </si>
  <si>
    <t>Inexperienced individuals will be trained. Must be able to take directions and work as a team player.</t>
  </si>
  <si>
    <t>5111 Ocean Blvd</t>
  </si>
  <si>
    <t>Siesta Key</t>
  </si>
  <si>
    <t>P-400-23154-076121</t>
  </si>
  <si>
    <t>All applicable payroll taxes will be deducted from employee's pay as required by the IRS.</t>
  </si>
  <si>
    <t>H-400-23248-320444</t>
  </si>
  <si>
    <t>9700 SW Kanner Hwy</t>
  </si>
  <si>
    <t>Indiantown</t>
  </si>
  <si>
    <t>P-400-23201-203182</t>
  </si>
  <si>
    <t>Standard deductions required as by law.
Offered housing is optional.</t>
  </si>
  <si>
    <t>H-400-23215-237214</t>
  </si>
  <si>
    <t>Beach Attendant</t>
  </si>
  <si>
    <t>Wage: $14.00 - $15.00 per hour, paid bi-weekly.  Overtime is available at $21.00 - $22.50 per hour. See job description.</t>
  </si>
  <si>
    <t>P-400-23177-145165</t>
  </si>
  <si>
    <t>Optional housing is offered on a first-come, first-serve basis for workers who are relocating to begin employment.  Cost of housing, if accepted, is $300.00 per bi-weekly pay period, including utilities.  If used, total cost of housing will be deducted from paycheck. 
Additional, optional benefits may be offered to worker, for worker’s sole benefit, including but not limited to a free employee meal.  
All deductions from paycheck required by law will be made.</t>
  </si>
  <si>
    <t>H-400-23215-235351</t>
  </si>
  <si>
    <t>Forestree Network Services, LLC</t>
  </si>
  <si>
    <t>138 Chestnut Street</t>
  </si>
  <si>
    <t>Mailing: P.O. Box 6 , Roanoke, AL 36274</t>
  </si>
  <si>
    <t xml:space="preserve">No education or experience required. Requires physical stamina. Extensive walking over rough terrain. Work is outdoors in extreme temperatures and adverse weather. Must lift and carry 50 lbs. Work schedule and locations dependent on weather conditions. Production standard of 2000 trees correctly planted per 8 hour day after one week of on the job training. Overnight travel is required. Saturday work required, when necessary.
</t>
  </si>
  <si>
    <t>May pay a piece rate of $0.04 per tree planted correctly, but not less than the PW in the area of  intended employment.</t>
  </si>
  <si>
    <t>P-400-23132-016685</t>
  </si>
  <si>
    <t>office@forestreenetworkservices.com</t>
  </si>
  <si>
    <t>H-400-23228-268160</t>
  </si>
  <si>
    <t>South Florida Labor Services LLC</t>
  </si>
  <si>
    <t xml:space="preserve">150 3rd St SW, Suite 106 </t>
  </si>
  <si>
    <t>Mailing: P.O. Box 213 , Winter Haven, FL 33882</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</si>
  <si>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 required of foreign and domestic workers. Employer may offer more than the stated work hours depending on weather, business needs, and other conditions. Extreme heat, cold, rain, or drought may affect exact working hours.
</t>
  </si>
  <si>
    <t>15490  Loxahatchee Rd</t>
  </si>
  <si>
    <t>Parkland</t>
  </si>
  <si>
    <t>P-400-23137-031231</t>
  </si>
  <si>
    <t>Emplr makes all payroll deductions required by law. Emplr does not envision other workforce-wide payroll deductions. If requested, Emplr helps non-local workers secure optional worker-paid lodging. Emplr deducts reasonable fair market value cost of rent/utilities based on number of occupants for workers electing to reside in Emplr-provided housing (cost TBD). Voluntary advances and/or loans made to workers, if any, may be repaid by pre-authorized payroll deductions. Emplr may deduct reasonable costs for daily transportation to/from worksite from designated pick-up location. Use of Emplr-provided transportation is voluntary. Emplr may deduct reasonable cost for lost/damaged tools or equipment resulting from worker negligence. Emplr will deduct for reasonable cost of negligent damage to lodging facilities. Emplr may deduct health insurance premiums for workers voluntarily participating in plan. Emplr provides incidental transportation between worksites as necessary.</t>
  </si>
  <si>
    <t>tabithapbentley@gmail.com</t>
  </si>
  <si>
    <t>H-400-23276-407476</t>
  </si>
  <si>
    <t>Maintenance and repair Worker</t>
  </si>
  <si>
    <t>May rotate/split shifts. Weekends &amp; holidays are required.</t>
  </si>
  <si>
    <t>P-400-23185-165985</t>
  </si>
  <si>
    <t>H-400-23228-271038</t>
  </si>
  <si>
    <t>Helpers Maintenance</t>
  </si>
  <si>
    <t>Myers International Midways Inc</t>
  </si>
  <si>
    <t>7029 Nundy Ave</t>
  </si>
  <si>
    <t>[MAIL: P.O. Box 1929 Gibsonton, FL 33534]</t>
  </si>
  <si>
    <t>P-400-23131-015796</t>
  </si>
  <si>
    <t>H-400-23196-191668</t>
  </si>
  <si>
    <t>1850 North Central Avenue</t>
  </si>
  <si>
    <t xml:space="preserve">There are no minimum education or training requirements for this position. We require three (3) months of manufacturing experience or a passing score on the pre-employment mechanical reasoning/manufacturing assessment test to qualify for the position. 
Applicant must have the ability to perform job duties, which entails: communicate effectively and problem-solve; be detail oriented and self-directed; multi-task while maintaining a sense of urgency; be willing to work overtime; have good hand-eye coordination; perform physical activities that require considerable use of arms and legs and moving of whole body, such as climbing, lifting, balancing, walking, stooping, standing, and handling materials; wear personal protective equipment and ability to lift 35 lbs repetitively. Drug test required.
A drug check is necessary to operate machinery in a manufacturing line environment. The pre-employment test is an assessment of the candidate's mechanical aptitude, and the results will indicate the amount of training needed to safely use and operate machinery and equipment at our plant facility.
</t>
  </si>
  <si>
    <t>P-400-23135-023456</t>
  </si>
  <si>
    <t>The Employer will make all deductions from worker's pay statements as required by law. Additional deductions may include shared housing fee of approximately $600/month and lost equipment deductions such as Lost ID Cards or Security Badge at $15.46/per item. Board, lodging, or other facilities mentioned are optional and not required.</t>
  </si>
  <si>
    <t>H-400-23245-317910</t>
  </si>
  <si>
    <t>Post-employment criminal background check and pre/post-employment/post injury or incident drug test required, cost paid by employer and applied equally to all workers, US and foreign/H2B. Must be able to work a 5-day schedule, including weekends and holidays as required. Applicant must complete an employment application</t>
  </si>
  <si>
    <t>P-400-23159-089511</t>
  </si>
  <si>
    <t>Employer will make all deductions from the worker's paycheck required by law. Employer is currently in the process of locating and securing employee housing. If Employer is able to secure housing prior to the employment start date, optional employee only housing will be made available. Employer will deduct for the reasonable fair market value cost of rent and utilities based on number of occupants for workers who elect to live in employer-offered housing. Voluntary pay deductions for the cost of housing (including deposit, if required) and utilities will be pre-authorized in writing. If Employer is unable to locate and secure housing prior to the employment start date, the employer will assist worker to find appropriate, affordable housing. Optional medical, dental, vision and life insurance available. Optional long term and short-term disability available.  Insurance and disability costs vary depending on plan(s) selected by worker. Optional onsite employee parking available at approx</t>
  </si>
  <si>
    <t>H-400-23187-169036</t>
  </si>
  <si>
    <t xml:space="preserve">EMPLOYER WILL MADE STANDARD DEDUCTIONS IN COMPLIANCE WITH ALL APPLICABLE FEDERAL, STATE AND LOCAL LAWS AND REGULATIONS. HOUSING IS OPTIONAL AND THE COST OF HOUSING WITH ANY DEDUCTIONS WILL BE CONSISTENT WITH THE 9142B (SPECIFIC HOUSING COSTS ARE UNKNOWN BUT LODGING WILL NOT EXCEED REASONABLE FAIR MARKET VALUE COST BASED ON THE NUMBER OF OCCUPANTS).
</t>
  </si>
  <si>
    <t>H-400-23215-234956</t>
  </si>
  <si>
    <t>P-400-23143-045019</t>
  </si>
  <si>
    <t>H-400-23261-354516</t>
  </si>
  <si>
    <t xml:space="preserve">Ability to reach, crouch, kneel, stand, walk or be on your feet for extended periods of time. Regularly work in wet, hot and humid conditions for extended periods of time and may be required to walk on slippery and uneven surfaces.  Must be able to continually lift, push or pull up to 50 lbs. individually or with assistance. 
Ability to communicate and follow oral or written directions in English is required.  
Ability to ski or ride at an intermediate level is required for employees of ski in/ski out restaurants in winter.
    *    *    *
Note re worksites/places of employment:  Work will be performed at the following locations at the Aspen/Snowmass Ski Resort:
Ullrhof -100 High Alpine Lift Rd., Snowmass Village, CO 81615; 
Merry Go Round - 199 Pospector Rd., Aspen, CO 81611; 
Buttermilk Mountain Lodge - 38799 CO-82, Aspen, CO 81611; 
Two Creeks - 31 Slopeside Lane, Snowmass Village, CO 81615; 
Lynn Britt Cabin - 100 High Alpine Lift Rd., Snowmass Village, CO 81615; 
High Alpine/Alpine Room - 100 High Alpine Lift Rd., Snowmass Village, CO 81615; 
Sams - 100 High Alpine Lift Rd., Snowmass Village, CO 81615; 
Up 4 Pizza - 100 High Alpine Lift Rd., Snowmass Village, CO 81615; 
Cloud 9 - 199 Prospector Rd., Aspen, CO 81611; 
Cliffhouse  38700 Co-82, Aspen, CO  81611; 
Elk Camp  100 High Alpine Lift Rd., Snowmass Village, CO  81615;  and
Sundeck  675 E. Durant Avenue, Aspen, CO 81611.  
All of these are within seven miles of each other at the Aspen/Snowmass Ski Resort, 100 High Alpine Lift Road, Snowmass Village, Pitkin County, Colorado  81615.
*   *   *
Employer will offer 40 hours per week.  Full time.  Shifts of 6 or 8 hours:  8:00 a.m. to 5:00 p.m.  Times and days of week vary.  Business is open 7 days a week.
</t>
  </si>
  <si>
    <t>P-400-23158-087489</t>
  </si>
  <si>
    <t>Shift meals provided at no cost.  Housing available on a first come, first served basis.  Rent ranges from $325.00 to $985.00 per month depending on location and payable by cash or check directly to landlord.  Both are optional and neither a condition of employment.</t>
  </si>
  <si>
    <t>H-400-23250-328084</t>
  </si>
  <si>
    <t>Maintenance/Cook</t>
  </si>
  <si>
    <t>Wee the Li'l People Clubhouse, LLC</t>
  </si>
  <si>
    <t>4121 Main Street</t>
  </si>
  <si>
    <t>Munhall</t>
  </si>
  <si>
    <t>Lester</t>
  </si>
  <si>
    <t>Levirda</t>
  </si>
  <si>
    <t>thelilppl@gmail.com</t>
  </si>
  <si>
    <t>Power tools 
Construction
Food handling</t>
  </si>
  <si>
    <t>P-400-23235-288671</t>
  </si>
  <si>
    <t>Thelilppl@gmail.com</t>
  </si>
  <si>
    <t>Thelilppl.com</t>
  </si>
  <si>
    <t>H-400-23318-499598</t>
  </si>
  <si>
    <t>Kesten Poured Wall, Inc.</t>
  </si>
  <si>
    <t>26 Revo Rd</t>
  </si>
  <si>
    <t>Kesten, Jr.</t>
  </si>
  <si>
    <t xml:space="preserve">Requires twelve months of concrete foundation experience. Must lift/carry 80 lbs., when necessary. Saturday work required, when necessary. Employer-paid post-hire upon suspicion of use and post-accident drug testing required of foreign and domestic workers. Employer may offer more than the stated work hours depending on weather, business needs, and other conditions. Extreme heat, cold, rain, or drought may affect exact working hours.
</t>
  </si>
  <si>
    <t>441 Becks Run Rd,</t>
  </si>
  <si>
    <t>P-400-23216-239971</t>
  </si>
  <si>
    <t>H-400-23336-538978</t>
  </si>
  <si>
    <t>CHIPS EVERGREEN INC</t>
  </si>
  <si>
    <t>34 MONTAUK AVENUE</t>
  </si>
  <si>
    <t>EAST MORICHES</t>
  </si>
  <si>
    <t>TUFANO</t>
  </si>
  <si>
    <t>KERRI</t>
  </si>
  <si>
    <t xml:space="preserve">34 MONTAUK AVENUE </t>
  </si>
  <si>
    <t>P-400-23206-212294</t>
  </si>
  <si>
    <t>KERRI@CHIPSEVERGREEN.COM</t>
  </si>
  <si>
    <t>H-400-23301-462849</t>
  </si>
  <si>
    <t>St. Louis Select Landscaping &amp; Lawn Care, LLC</t>
  </si>
  <si>
    <t>2701 Williams Creek Rd.</t>
  </si>
  <si>
    <t xml:space="preserve">Schellert </t>
  </si>
  <si>
    <t>stlselect@aol.com</t>
  </si>
  <si>
    <t>Must show proof of legal authorization to work in the United States. Drug/alcohol/tobacco free work zone. Perform physical activities such as: lift, balance, walk, stoop, handle, position, move, manipulate materials use static strength to exert max muscle force to lift, push, pull, carry objects up to 90lbs (possible 2-person). All applicants must be able, willing and qualified to perform work described and must be available for the entire period specified and work throughout all areas of intended employment. Based on Employer's discretion/cost: Worker may have random drug/alcohol testing during employment: positive test/refusal to abide = dismissal. Work is performed outdoors, exposed to weather; must be capable of doing physically strenuous labor for long hours, occasionally in extreme heat or cold. Variable weather conditions apply; hours may fluctuate (+/-), possible downtime and/or overtime.</t>
  </si>
  <si>
    <t>2701 Williams Creek Rd  (Report to Work)</t>
  </si>
  <si>
    <t>P-400-23194-185341</t>
  </si>
  <si>
    <t>gregs@stlselectlawn.com</t>
  </si>
  <si>
    <t>H-400-23258-350347</t>
  </si>
  <si>
    <t>Unit Housekeeper</t>
  </si>
  <si>
    <t>Great Eastern Resort Management, Inc.</t>
  </si>
  <si>
    <t>Massanutten Resort</t>
  </si>
  <si>
    <t xml:space="preserve">
Applicant must complete pre-employment background check.
</t>
  </si>
  <si>
    <t>Wage: $13.40 - $15.02 per hour, paid weekly.  See job description for additional detail.</t>
  </si>
  <si>
    <t>P-400-23207-217918</t>
  </si>
  <si>
    <t>H-400-23303-465877</t>
  </si>
  <si>
    <t>627 Shelikof St.</t>
  </si>
  <si>
    <t>4 Nickerson St</t>
  </si>
  <si>
    <t>Ste 400</t>
  </si>
  <si>
    <t xml:space="preserve">Must be 18 due to equipment use.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50lbs. All applicants must be able, willing and qualified to perform work described and must be available for the entire period specified and work throughout all areas of intended employment.  Delivery and availability of seafood product from fisherman may result in possible downtimes due to weather conditions. 
</t>
  </si>
  <si>
    <t>P-400-23195-190679</t>
  </si>
  <si>
    <t>H-400-23336-539197</t>
  </si>
  <si>
    <t>H-400-23278-413134</t>
  </si>
  <si>
    <t>Mulch Technician</t>
  </si>
  <si>
    <t xml:space="preserve">The Bremec Group, Inc. </t>
  </si>
  <si>
    <t xml:space="preserve">12265 Chillicothe Road </t>
  </si>
  <si>
    <t>Lasko</t>
  </si>
  <si>
    <t>Secretary &amp; Treasurer</t>
  </si>
  <si>
    <t>12265 Chillicothe Road</t>
  </si>
  <si>
    <t>clasko@bremec.com</t>
  </si>
  <si>
    <t>400 NW Gilman Blvd #1324</t>
  </si>
  <si>
    <t>The Law Office of Ruxandra Irina Dragan LLC</t>
  </si>
  <si>
    <t xml:space="preserve">Able to lift/carry 50 lbs. Random post employment background, drug and alcohol checks. No experience required. 
</t>
  </si>
  <si>
    <t>Bonuses awarded based on merit and/or tenure with employer.</t>
  </si>
  <si>
    <t>P-400-23156-078964</t>
  </si>
  <si>
    <t>H-400-23291-438472</t>
  </si>
  <si>
    <t>3334 Carbide Drive</t>
  </si>
  <si>
    <t>P-400-23251-332725</t>
  </si>
  <si>
    <t>H-400-23325-516021</t>
  </si>
  <si>
    <t>Yellowstone Landscape - Southeast, LLC_Lake Oconee</t>
  </si>
  <si>
    <t>172 Sammons Industrial Parkway</t>
  </si>
  <si>
    <t>Eatonton</t>
  </si>
  <si>
    <t xml:space="preserve">Must lift/carry 50 lbs., when necessary. Saturday and Sunday work required, when necessary. Employer-paid drug testing required of foreign and domestic workers prior to commencing work and post-hire upon suspicion of use and post-accident. Post-hire background checks may be required of foreign and domestic workers based on contract requirements.  Employment eligibility (e-Verify) check required of foreign and domestic workers. Post-hire motor vehicle record check required only of foreign and domestic workers who drive company vehicles (driving is not a requirement of all workers in the position). Employer may offer more than the stated work hours depending on weather, business needs, and other conditions. Extreme heat, cold, rain, or drought may affect exact working hours.
</t>
  </si>
  <si>
    <t>172 Sammons Industrial Parkway,</t>
  </si>
  <si>
    <t>P-400-23236-293474</t>
  </si>
  <si>
    <t>H-400-23325-516198</t>
  </si>
  <si>
    <t>J.M. Yanez Construction, Inc.</t>
  </si>
  <si>
    <t>726 Houston St</t>
  </si>
  <si>
    <t>Mailing: P.O. Box 205, Sulphur Springs, TX 75483</t>
  </si>
  <si>
    <t>jmyanezconstruction@gmail.com</t>
  </si>
  <si>
    <t>P-400-23228-269536</t>
  </si>
  <si>
    <t>Employer will make all deductions from the worker's paycheck required by law. If requested, employer helps non-local workers secure optional worker-paid lodging (not to exceed fair market value, based on number of occupants; cost TBD). Housing costs paid directly to landlord and are not payroll deducted.</t>
  </si>
  <si>
    <t>H-400-23250-326189</t>
  </si>
  <si>
    <t>Anitra Moore</t>
  </si>
  <si>
    <t>31 Painted Rock Ct</t>
  </si>
  <si>
    <t>Father of Family, Supervisor</t>
  </si>
  <si>
    <t>moojer9@yahoo.com</t>
  </si>
  <si>
    <t>Varela</t>
  </si>
  <si>
    <t>8554 Katy Fwy Ste 340</t>
  </si>
  <si>
    <t>mvarela@varela.law</t>
  </si>
  <si>
    <t>Law Office of Mario Varela PLLC</t>
  </si>
  <si>
    <t xml:space="preserve">Must be able and willing to live in the home with the employer.
</t>
  </si>
  <si>
    <t>P-400-23163-098859</t>
  </si>
  <si>
    <t>The employer will make all state and federal deductions from the nanny's paycheck required by law. No deductions will be made for the reasonable cost of board, lodging, or other facilities.</t>
  </si>
  <si>
    <t>H-400-23307-475829</t>
  </si>
  <si>
    <t>Rost Superior Services, LLC</t>
  </si>
  <si>
    <t>Superior Irrigation</t>
  </si>
  <si>
    <t>8050 W. Hwy 40</t>
  </si>
  <si>
    <t>8050 W. Hwy 40 (Report to Work)</t>
  </si>
  <si>
    <t>P-400-23229-273330</t>
  </si>
  <si>
    <t>jrlgjones@aol.com</t>
  </si>
  <si>
    <t>H-400-23315-496301</t>
  </si>
  <si>
    <t>TYSON FOODS, INC.</t>
  </si>
  <si>
    <t>671 W RANDALL WOBBE LN</t>
  </si>
  <si>
    <t>SPRINGDALE</t>
  </si>
  <si>
    <t>PURTLE</t>
  </si>
  <si>
    <t>RAIGAN</t>
  </si>
  <si>
    <t>HR PARTNER</t>
  </si>
  <si>
    <t>RAIGAN.PURTLE@TYSON.COM</t>
  </si>
  <si>
    <t xml:space="preserve">Workers are subject to pre-employment drug testing and a post offer health assessment, paid by employer and applied equally to all workers, U.S. and foreign/H-2B. This position is responsible for entry level non-skilled general labor while maintaining a safe work environment and adhering to Tyson policies and procedures. Position may require you to work in hot and or cold environments. Standing, walking, bending, stretching, climbing, pushing, pulling, reaching, and lifting to 50 pounds may be required. Must be willing to perform some jobs at elevated heights. Must be willing to work weekends and overtime if scheduled. 
</t>
  </si>
  <si>
    <t>P-400-23263-361695</t>
  </si>
  <si>
    <t>raigan.purtle@tyson.com</t>
  </si>
  <si>
    <t>H-400-23297-452775</t>
  </si>
  <si>
    <t>Seasonal Maintenance and Repair Workers</t>
  </si>
  <si>
    <t>MEADOWVALE DAIRY LLC</t>
  </si>
  <si>
    <t>1760 300th St</t>
  </si>
  <si>
    <t xml:space="preserve">Rock Valley </t>
  </si>
  <si>
    <t xml:space="preserve">1760 300th st </t>
  </si>
  <si>
    <t>Jesus@meadowvaledairy.com</t>
  </si>
  <si>
    <t>No Skills Required</t>
  </si>
  <si>
    <t xml:space="preserve">1760 300th St </t>
  </si>
  <si>
    <t>SIOUX</t>
  </si>
  <si>
    <t>P-400-23255-338710</t>
  </si>
  <si>
    <t>Social Security, Federal Taxes, and State Taxes (will only be charged if applicable in the state where work is performed). If any advances are given to workers, they will be deducted from their checks. Any willful destruction of property will also be deducted.</t>
  </si>
  <si>
    <t>jesus@meadowvaledairy.com</t>
  </si>
  <si>
    <t>www.meadowvaledairy.com</t>
  </si>
  <si>
    <t>H-400-23336-539530</t>
  </si>
  <si>
    <t>Material Handler/Driver</t>
  </si>
  <si>
    <t xml:space="preserve">Monday-Sunday, 40 hour workweek, rotating schedule, schedule varies, overtime varies. Able to lift 50lbs. Able to lift and carry heavy items up and down stairs. Must be able to obtain a valid non-CDL drivers license. Pre-hire background check required.
All background checks are performed equally as to U.S. workers and H-2B workers, and all fees are paid for by the company.
See the additional document attached for further details about the administration of our background check policy.
</t>
  </si>
  <si>
    <t>P-400-23206-214033</t>
  </si>
  <si>
    <t>H-400-23321-510066</t>
  </si>
  <si>
    <t xml:space="preserve">No minimum education or experience required. 
Must pass a post-employment criminal background check, paid by employer and applied equally to all workers, U.S. and foreign/H-2B. 
Must be able to obtain ServSafe Food Handlers Certification.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</si>
  <si>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P-400-23171-129176</t>
  </si>
  <si>
    <t>H-400-23331-523253</t>
  </si>
  <si>
    <t>Future Concrete Construction LLC</t>
  </si>
  <si>
    <t>250 North County Line Rd</t>
  </si>
  <si>
    <t>Tereso</t>
  </si>
  <si>
    <t>teresoteresapalacios@yahoo.com</t>
  </si>
  <si>
    <t>P-400-23228-269578</t>
  </si>
  <si>
    <t>H-400-23307-475873</t>
  </si>
  <si>
    <t>200 Mirage Ave (Report to Work)</t>
  </si>
  <si>
    <t>Crestview</t>
  </si>
  <si>
    <t>P-400-23216-240634</t>
  </si>
  <si>
    <t>H-400-23331-523235</t>
  </si>
  <si>
    <t>Classic Amusement LLC</t>
  </si>
  <si>
    <t>24615 O'Neil Avenue</t>
  </si>
  <si>
    <t>D'Olivo</t>
  </si>
  <si>
    <t>info@classicamusement.net</t>
  </si>
  <si>
    <t>P-400-23213-229426</t>
  </si>
  <si>
    <t>H-400-23336-539647</t>
  </si>
  <si>
    <t>Bradbury Landscape, Inc.</t>
  </si>
  <si>
    <t>292 West Street</t>
  </si>
  <si>
    <t>Mailing: P.O. Box 65, Closter, NJ 07624</t>
  </si>
  <si>
    <t>bradburylands@gmail.com</t>
  </si>
  <si>
    <t xml:space="preserve">Able to lift 50lbs. Must be able to work in inclement weather and extreme temperature. Monday-Friday, some Saturdays required, schedule varies, start and end times vary, overtime varies.
</t>
  </si>
  <si>
    <t>28 Chestnut Avenue</t>
  </si>
  <si>
    <t>Emerson</t>
  </si>
  <si>
    <t>P-400-23178-147207</t>
  </si>
  <si>
    <t>bradburyhire@gmail.com</t>
  </si>
  <si>
    <t>H-400-23291-440111</t>
  </si>
  <si>
    <t>Parrott Landscaping LLC</t>
  </si>
  <si>
    <t>Parrott Lawn &amp; Landscaping</t>
  </si>
  <si>
    <t>34464 Kelly Road</t>
  </si>
  <si>
    <t>Bldg D</t>
  </si>
  <si>
    <t>Funk</t>
  </si>
  <si>
    <t>mmf@parrottlandscaping.com</t>
  </si>
  <si>
    <t>Hilf</t>
  </si>
  <si>
    <t>Sufen</t>
  </si>
  <si>
    <t>1775 W Big Beaver Road</t>
  </si>
  <si>
    <t>sufen@hilfandhilf.com</t>
  </si>
  <si>
    <t>Hilf &amp; Hilf PLC</t>
  </si>
  <si>
    <t xml:space="preserve">Snow Removal Groundskeeping Workers perform highly physical work outdoors on a consistent basis in all weather conditions, specifically in very cold, icy, and snowy weather.
Generally, the Snow Removal Groundskeeping Workers will work a minimum of 35 hours per week, Monday  Friday from 7:00 a.m. to 3:00 p.m.  However, they must be available to work at any time depending on weather and snow accumulations.  Therefore, the hours actually worked may vary.  Overtime hours will be occasionally necessary.  	Will travel to worksites daily whether at private residences or commercial properties.
</t>
  </si>
  <si>
    <t>P-400-23178-146332</t>
  </si>
  <si>
    <t xml:space="preserve">Parrott Landscaping LLC will make all appropriate deductions from the worker's paycheck as required by law and will not intend to withhold any deductions that are not required by law.  </t>
  </si>
  <si>
    <t>MMF@PARROTTLANDSCAPING.COM</t>
  </si>
  <si>
    <t>H-400-23347-564112</t>
  </si>
  <si>
    <t>Food Service Assistants</t>
  </si>
  <si>
    <t>Lake Lavon Baptist Encampment</t>
  </si>
  <si>
    <t>Lake Lavon Camp and Conference Center</t>
  </si>
  <si>
    <t>8050 County Road 735</t>
  </si>
  <si>
    <t>Sirkel</t>
  </si>
  <si>
    <t>Business Operations Manager</t>
  </si>
  <si>
    <t>finance@lakelavoncamp.com</t>
  </si>
  <si>
    <t>8050 CR 735</t>
  </si>
  <si>
    <t xml:space="preserve">subsidized housing </t>
  </si>
  <si>
    <t>P-400-23340-549542</t>
  </si>
  <si>
    <t>We will deduct a portion for housing.  The amount is determined by size of housing required.  This will be below the fair market average.</t>
  </si>
  <si>
    <t>H-400-23334-534668</t>
  </si>
  <si>
    <t>15304 Highway 64 West</t>
  </si>
  <si>
    <t>P-400-23250-328871</t>
  </si>
  <si>
    <t>H-400-23234-284502</t>
  </si>
  <si>
    <t xml:space="preserve">Deaf interpreter </t>
  </si>
  <si>
    <t>Interpreters and Translators</t>
  </si>
  <si>
    <t>Hands services LLC</t>
  </si>
  <si>
    <t xml:space="preserve">Home car provider and employee agency </t>
  </si>
  <si>
    <t xml:space="preserve">183 Hayward place </t>
  </si>
  <si>
    <t xml:space="preserve">Wallington </t>
  </si>
  <si>
    <t>Office</t>
  </si>
  <si>
    <t>Kamoun</t>
  </si>
  <si>
    <t xml:space="preserve">Mohamed </t>
  </si>
  <si>
    <t>183 Hayward  place</t>
  </si>
  <si>
    <t>handsstaffagency@gmail.com</t>
  </si>
  <si>
    <t>(ASL) deaf language 
applicants must pass a background check, random drug testing during employment, be able to lift 50 pounds and be able to stand for 12 hours,</t>
  </si>
  <si>
    <t>183 Hayward place</t>
  </si>
  <si>
    <t>P-400-23158-085176</t>
  </si>
  <si>
    <t xml:space="preserve">employer will facilitate voluntary housing and corresponding deductions of $150 per pay period. </t>
  </si>
  <si>
    <t>handstaffagency@gmail.com</t>
  </si>
  <si>
    <t xml:space="preserve">Kamoun </t>
  </si>
  <si>
    <t>Handsstaffagency@gmail.com</t>
  </si>
  <si>
    <t>H-400-23290-436073</t>
  </si>
  <si>
    <t>ARTISTIC SNOW, LLC</t>
  </si>
  <si>
    <t>10800 Lanham Severn Rd</t>
  </si>
  <si>
    <t>Marta</t>
  </si>
  <si>
    <t>P-400-23173-137157</t>
  </si>
  <si>
    <t xml:space="preserve">Employer will make all deductions required by law from each paycheck as well as for optional advances against pay up to $75/day at end of each work day for room/board at no interest for first 2 weeks, if necessary.
Assistance finding/securing lodging available, if needed, at no additional charge to worker.  </t>
  </si>
  <si>
    <t>chris@rtisticlandscaping.com</t>
  </si>
  <si>
    <t>H-400-23321-510090</t>
  </si>
  <si>
    <t xml:space="preserve">No minimum education or experience required. 
Must pass a post-employment criminal background check, paid by employer and applied equally to all workers, U.S. and foreign/H-2B. 
Must be able to work a minimum 5-day workweek.
Must be able to work weekends and holidays.
Applicants must complete an employment application. 
If the worker completes 50 percent of the work contract period, the employer will arrange and pay directly for transportation and subsistence from the place of recruitment to the place of work. Upon completion of the work contract or where the worker is dismissed earlier,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meals will be provided at a rate of at least $15.46 per day during travel to a maximum of $59 per day with receipts. If necessary, employer will reimburse worker within first pay period for approved cost of meals and lodging at the applicable exchange rate, not to exceed reasonable costs. Receipts must be submitted.
The employer will reimburse H-2B workers in the first workweek for all visa, visa processing, border crossing, and other related fees, including those mandated by the government (excluding passport fees).
The employer will provide worker at no charge all tools, supplies, and equipment required to perform job. Uniform pieces provided at no cost to employee. 
The employer guarantees to offer work for hours equal to at least three-fourths of the workdays in each 12-week period of the total employment period.
</t>
  </si>
  <si>
    <t>P-400-23171-129224</t>
  </si>
  <si>
    <t>H-400-23277-408647</t>
  </si>
  <si>
    <t xml:space="preserve">No previous experience required. Chula Vista screens all applicants through a pre-employment criminal background checks, including all domestic and H-2B visa employees. This includes seasonal and full-time annual positions. These standards are applied to all applicants regardless of their national origin, race, or gender. We are also a Drug &amp; Alcohol Free employer. We do not require a pre-employment drug test, however we have a reasonable suspicion drug testing policy should we have any suspicion of on the job drug or alcohol use.
</t>
  </si>
  <si>
    <t>P-400-23173-136131</t>
  </si>
  <si>
    <t>H-400-23336-538897</t>
  </si>
  <si>
    <t>P-400-23295-448735</t>
  </si>
  <si>
    <t>H-400-23307-475815</t>
  </si>
  <si>
    <t>4825 McCullough Ave.</t>
  </si>
  <si>
    <t>4825 McCullough Ave. (Report to Work)</t>
  </si>
  <si>
    <t>P-400-23195-188631</t>
  </si>
  <si>
    <t>Optional, shared housing available to the worker at a monthly housing rate up to $376.56; if optional housing is agreed upon by the worker, monthly housing rate will be deducted from worker's paycheck incrementally (bi-weekly). Work uniforms will be provided without charge or deposit. However, a deduction may occur for lost, damaged, stolen, company property or uniforms not returned.</t>
  </si>
  <si>
    <t>H-400-23321-509056</t>
  </si>
  <si>
    <t>Green Up Lawncare LLC</t>
  </si>
  <si>
    <t>14141 Airline Hwy Building 4 - Suite A</t>
  </si>
  <si>
    <t>Mailing: PO Box 83602, Baton Rouge, LA 70884</t>
  </si>
  <si>
    <t>LeJeune</t>
  </si>
  <si>
    <t>greenuplawncare@bellsouth.net</t>
  </si>
  <si>
    <t>P-400-23228-269511</t>
  </si>
  <si>
    <t xml:space="preserve">Employer will make all deductions from the worker's paycheck required by law.  If optional housing elected payroll deduction of 80.00 per week (subject to change based on local market / inflation). Optional deductions will not drop the overall wages below the UDSOL minimum, if the deductions are too great they will not be made. </t>
  </si>
  <si>
    <t>H-400-23321-509169</t>
  </si>
  <si>
    <t>TCB Quality Landscaping, Inc.</t>
  </si>
  <si>
    <t>545 Private Rd 914</t>
  </si>
  <si>
    <t>Mailing: PO Box 5004, Georgetown, TX 78627</t>
  </si>
  <si>
    <t>Compton</t>
  </si>
  <si>
    <t>tcblandscaping@cs.com</t>
  </si>
  <si>
    <t>P-400-23228-269159</t>
  </si>
  <si>
    <t>Employer will make all deductions from the worker's paycheck required by law.  Option to repay advance payment via deduction from pay at $50/week or under other agreed upon frequency and amount until paid in full. Option to deduct rent and utilities from pay $55-$100 per week depending on rental and utility usage. Option to deduct uniform cleaning from pay $5 a week for shirts, $10 a week for shirts and pants. Optional deductions will not drop the overall wages below the UDSOL minimum, if the deductions are too great they will not be made.</t>
  </si>
  <si>
    <t>H-400-23309-479311</t>
  </si>
  <si>
    <t>Priority Services, LLC</t>
  </si>
  <si>
    <t>P-400-23222-254722</t>
  </si>
  <si>
    <t>H-400-23321-509129</t>
  </si>
  <si>
    <t>Crew Leader</t>
  </si>
  <si>
    <t>Mailing: P.O. Box 1438, Buda, TX 78610</t>
  </si>
  <si>
    <t>6 months experience required as a crew leader, will also accept 12 months experience as a landscape laborer. Any combination of experience or education is acceptable.</t>
  </si>
  <si>
    <t>P-400-23230-278229</t>
  </si>
  <si>
    <t>Employer will make all deductions from the worker's paycheck required by law. 
(Note for the CO: Section F.d item 4 is marked yes as the employer will assist workers, they are not providing housing)</t>
  </si>
  <si>
    <t>H-400-23336-539116</t>
  </si>
  <si>
    <t>Lady Toni, Inc.</t>
  </si>
  <si>
    <t>203 E University</t>
  </si>
  <si>
    <t>P-400-23181-160700</t>
  </si>
  <si>
    <t>H-400-23332-528143</t>
  </si>
  <si>
    <t>Chief Accounting Officer</t>
  </si>
  <si>
    <t xml:space="preserve">No minimum education or experience required.
Workers are subject to post-accident/injury or reasonable suspicion drug testing required, paid by employer and applied equally to all workers, U.S. and foreign/H-2B. 
Workers are subject to post-employment criminal background check, paid by employer and applied equally to all workers, U.S. and foreign/H-2B. 
Must be able to work minimum 5 day work schedule.
Must be able to work weekends and holidays. 
Must lift/carry 50 lbs. when necessary and frequently work on hands and knees.
Applicant must complete an employment application.  
If worker completes half the employment period, employer will arrange and pay directly for transportation and subsistence from the place of recruitment to the place of work. Upon completion of the employment period or where the worker is dismissed early, the employer will provide or pay for workers reasonable costs of return transportation and subsistence back home or to the place the worker originally departed to work, except where the worker will not return due to subsequent employment with another employer or where the employer has appropriately reported a workers voluntary abandonment of employment. The amount of transportation payment or reimbursement will be equal to the most economical and reasonable common carrier for the distances involved. Daily subsistence will be provided at a rate of at least $15.46 per day during travel to a maximum of $59 per day with receipts. All transportation costs are to be preapproved. If necessary, employer will reimburse worker within first pay period for approved cost of meals and lodging at the applicable exchange rate, not to exceed reasonable costs. Receipts must be submitted. 
The employer guarantees to offer work for hours equal to at least three-fourths of the workdays in each 12-week period of the total employment period.
The employer will reimburse H-2B workers in the first workweek for all visa, visa processing, border crossing, and other related fees, including those mandated by the government (excluding passport fees).
</t>
  </si>
  <si>
    <t>233 E Bennett Ave</t>
  </si>
  <si>
    <t>P-400-23242-309189</t>
  </si>
  <si>
    <t xml:space="preserve">A single workweek will be used to compute wages due. Pay received bi-weekly.  
Employer will make all deductions from the worker's paycheck required by law.
Optional employee shared housing available, including utilities, approx. $175 - $225 per week (may vary with market conditions), plus $100 refundable deposit required. Housing cost may be payroll deducted if employee elects. 
Public transportation may be available to/from worksites that are not within walking distance from housing; subject to weather.
</t>
  </si>
  <si>
    <t>H-400-23297-453403</t>
  </si>
  <si>
    <t>Snow cleaner</t>
  </si>
  <si>
    <t xml:space="preserve">Must lift/carry 75 lbs for 25 yards.  Must be able to handle temperature extremes.
</t>
  </si>
  <si>
    <t>1605 Sassy Ln</t>
  </si>
  <si>
    <t>P-400-23243-311021</t>
  </si>
  <si>
    <t xml:space="preserve">The employer will provide housing as an option to employees living outside the regular commuting distance. Employees who elect to live in the housing will have an additional $50.00 deducted Weekly paycheck for rent and utilities. Optional daily transportation will be provided from and to the worksite at no cost. Any advances will be deducted with the consent of the employee.
</t>
  </si>
  <si>
    <t>H-400-23307-476667</t>
  </si>
  <si>
    <t>P-400-23165-109034</t>
  </si>
  <si>
    <t>H-400-23332-525959</t>
  </si>
  <si>
    <t>P-400-23184-163588</t>
  </si>
  <si>
    <t xml:space="preserve">Housing Optional (with utilities included), if used $84.00 per week deduction from paycheck weekly. </t>
  </si>
  <si>
    <t>H-400-23292-442378</t>
  </si>
  <si>
    <t>Myrtha Contracting USA, INC.</t>
  </si>
  <si>
    <t>Myrtha Contracting USA</t>
  </si>
  <si>
    <t>1800 2nd Street</t>
  </si>
  <si>
    <t xml:space="preserve">Suite 758 </t>
  </si>
  <si>
    <t>Orio</t>
  </si>
  <si>
    <t>Alessandro</t>
  </si>
  <si>
    <t>Suite 758</t>
  </si>
  <si>
    <t>alessandro.orio@myrthapools.com</t>
  </si>
  <si>
    <t>Shaune</t>
  </si>
  <si>
    <t>1000 5th Street</t>
  </si>
  <si>
    <t>Suite 1308</t>
  </si>
  <si>
    <t>shaune@fraserpllc.com</t>
  </si>
  <si>
    <t>Fraser Immigration Law PLLC</t>
  </si>
  <si>
    <t>P-400-23251-331129</t>
  </si>
  <si>
    <t>Federal, State, Local Taxes.</t>
  </si>
  <si>
    <t>giorgia.colombo@myrthapools.com</t>
  </si>
  <si>
    <t>www.myrthapools.com</t>
  </si>
  <si>
    <t>H-400-23341-551713</t>
  </si>
  <si>
    <t>H-400-23313-489842</t>
  </si>
  <si>
    <t>Logistic driver ORT</t>
  </si>
  <si>
    <t>izzy logistics and transport INC</t>
  </si>
  <si>
    <t>206 Oakton Glen Ct</t>
  </si>
  <si>
    <t>Gabriel CEO</t>
  </si>
  <si>
    <t xml:space="preserve">Bates </t>
  </si>
  <si>
    <t>Ekwalanga</t>
  </si>
  <si>
    <t>izzylogisticsandtransport@gmail.com</t>
  </si>
  <si>
    <t xml:space="preserve">Physical Requirements:
 The Dictionary of Occupational Titles classifies Tractor-Trailer Truck Driver in the Medium physical demand level. 
 Code of Federal Regulations  404.1567 defines Medium level work as work that involves lifting no more than 50 pounds at a 
time with frequent lifting or carrying of objects weighing up to 25 pounds.
 Able to be away from home for extended periods of time, available for round-the-clock trips and able to remain alert while 
driving for periods of up to 11 hours
 Able to squat, crouch and reach as needed; able to enter and exit the vehicles cab numerous times each day
 Must be able to work in severe weather conditionsboth heat and cold
</t>
  </si>
  <si>
    <t>P-400-23278-411988</t>
  </si>
  <si>
    <t>gabrielbates84@gmail.com</t>
  </si>
  <si>
    <t>H-400-23263-361912</t>
  </si>
  <si>
    <t xml:space="preserve">Must be 18 due to equipment use. Must show proof of legal authorization to work in the United States. Drug/alcohol/tobacco free work zone. Perform physical activities such as: lift, balance, walk, stoop, handle, position, move, push, pull, carry objects up to 50lbs (possible 2-person). All applicants must be able, willing, qualified to perform work described and must be
available for the entire period specified and work throughout all areas of intended employment. Outdoors, exposed to weather; must be capable of doing physically strenuous labor for long hours, occasionally in extreme cold. Variable weather conditions apply; hours may fluctuate (+/-), possible downtime and /or overtime.
</t>
  </si>
  <si>
    <t>P-400-23203-208292</t>
  </si>
  <si>
    <t>H-400-23312-485637</t>
  </si>
  <si>
    <t>OTR Truck Driver</t>
  </si>
  <si>
    <t>Davies Trucking LLC</t>
  </si>
  <si>
    <t>22951 E Union Ave</t>
  </si>
  <si>
    <t>Sabrina</t>
  </si>
  <si>
    <t>Manager/Officer</t>
  </si>
  <si>
    <t>daviestruckingllc@gmail.com</t>
  </si>
  <si>
    <t xml:space="preserve">Mountain driving and chain up experience for snow and icy conditions is preferred but not required
</t>
  </si>
  <si>
    <t>hourly pay is drive hours.  E logs are used for compliance and drive time is logged</t>
  </si>
  <si>
    <t>P-400-23229-273350</t>
  </si>
  <si>
    <t>H-400-23336-539194</t>
  </si>
  <si>
    <t>P-400-23187-169957</t>
  </si>
  <si>
    <t>H-400-23237-294852</t>
  </si>
  <si>
    <t>FACILITIES / GROUNDS CUSTODIAN</t>
  </si>
  <si>
    <t>RESORT GROUP / MOUNTAIN RESORTS / SIMPLY STEAMBOAT</t>
  </si>
  <si>
    <t>Shifts: Start 8 AM-10 AM, 6 hour shifts, Mon-Sun, 1 day off/week vary. 36 hrs/week.
Criminal background check - same as all other US Citizen and US work authorized applicants.</t>
  </si>
  <si>
    <t>P-400-23192-178812</t>
  </si>
  <si>
    <t>H-400-23321-509108</t>
  </si>
  <si>
    <t>Hector's Mowing</t>
  </si>
  <si>
    <t>2817 Quarter Horse Ln.</t>
  </si>
  <si>
    <t>Mailing: P.O. Box 538 , Celina, TX75009</t>
  </si>
  <si>
    <t>hectoresquivelmows@yahoo.com</t>
  </si>
  <si>
    <t>P-400-23229-273945</t>
  </si>
  <si>
    <t>H-400-23321-508908</t>
  </si>
  <si>
    <t>Sugar Shakers, Inc.</t>
  </si>
  <si>
    <t>7406 Turkey Creek Road</t>
  </si>
  <si>
    <t>info@sugarshakers.com</t>
  </si>
  <si>
    <t>P-400-23200-200358</t>
  </si>
  <si>
    <t xml:space="preserve">Employer will make all deductions from the worker’s paycheck required by law.  In addition, the employer intends to make the following deductions from the worker’s paycheck which are not required by law:   NONE  Optional mobile housing (valued at $125.00 per week) and local convenience travel (valued at $25.00 per week) are available at no cost to the worker.  </t>
  </si>
  <si>
    <t>H-400-23336-539631</t>
  </si>
  <si>
    <t>Green Acres Lawn Care, Inc.</t>
  </si>
  <si>
    <t>19090 Ebenezer Church Rd.</t>
  </si>
  <si>
    <t>Rees</t>
  </si>
  <si>
    <t>office@greenacreslawncareinc.com</t>
  </si>
  <si>
    <t xml:space="preserve">Pre-hire background check required; Drug testing during employment for cause. Able to lift 50lbs. Monday-Friday, some Saturdays required, schedule varies, overtime varies.
All drug testing is performed without regard to an employees citizenship or immigration status, and all testing is paid for by the company. See the additional document attached for further details about the administration of our drug testing policy.
All background checks are performed equally as to U.S. workers and H-2B workers, and all fees are paid for by the company. See the additional document attached for further details about the administration of our background check policy.
</t>
  </si>
  <si>
    <t>341 North Maple Avenue</t>
  </si>
  <si>
    <t>P-400-23216-238870</t>
  </si>
  <si>
    <t>H-400-23289-432886</t>
  </si>
  <si>
    <t xml:space="preserve">Hours, schedule, and days vary widely.  
Typically Mon-Fri, 5pm  10pm, and Sat-Sun 2pm-11pm. With one weekday off.  
Often 35-45 hours per week.  
Work needs (i.e., hours, days, schedule, location, and work positions) vary. Work needs subject to industry practice and are not guaranteed per day, per week, per schedule, per location, or per worker, e.g., rainouts, brief periods without scheduled events, event dates and hours set by agreement with sponsor and subject to change (based upon adverse weather, hours of operation, day of the week, attendance, size of the event, school schedules, amount of equipment in operation, staffing, etc.), and unforeseen cancellations.  In the event of approved, overlapping events, work needs may cause workers to be adjusted.  
Must complete and pass post-hire background &amp; drug test paid by employer. The job requires the applicant to be qualified, authorized, ready, willing, able, and available to perform during the entire employment at the designated worksites under adverse weather; to enter into and comply with employment contract and any housing lease; to follow workplace and housing rules; and to meet job performance standards. Must cooperate with and complete job application and interview, and any supplied information must be truthful and complete. Must comply with grooming requirements and dress code. Must be willing to work up to 7 days/week. Subject to discharge for cause.
</t>
  </si>
  <si>
    <t>P-400-23193-183364</t>
  </si>
  <si>
    <t>Optional mobile housing ($75/week) is provided.  The employer will pay the cost of housing to the extent such cost would reduce the pay below the offered wage rate for the areas of intended employment, but is otherwise available for wage credit and/or deduction, or any lesser amount to the maximum extent not prohibited by law. Local convenience travel ($25/week) and food/meals (varies) is available for wage credit and/or deduction, or any lesser amount to the maximum extent not prohibited by law.</t>
  </si>
  <si>
    <t>HEIDISUPERIOR@GMAIL.COM</t>
  </si>
  <si>
    <t>H-400-23336-539078</t>
  </si>
  <si>
    <t>H-400-23215-236765</t>
  </si>
  <si>
    <t>Room Attendant I</t>
  </si>
  <si>
    <t>Ferruco Vail Operations Corporation</t>
  </si>
  <si>
    <t>The Sebastian Vail, a Timbers Resort</t>
  </si>
  <si>
    <t>16 Vail Road</t>
  </si>
  <si>
    <t xml:space="preserve">Vail </t>
  </si>
  <si>
    <t>baustin@TheSebastianVail.com</t>
  </si>
  <si>
    <t xml:space="preserve">Must have 1 year of housekeeping experience. Must have ability to stand, stoop, squat and bend for extended periods of time. Must be able to lift and carry up to 75 pounds.
</t>
  </si>
  <si>
    <t>P-400-23113-957741</t>
  </si>
  <si>
    <t>baustin@thesebastianvail.com</t>
  </si>
  <si>
    <t>H-400-23215-234911</t>
  </si>
  <si>
    <t>P-400-23143-045028</t>
  </si>
  <si>
    <t xml:space="preserve">•	Deductions required by law will be payroll deducted. 
•	Employee housing is not provided however optional 3rd party housing may be available at $150/wk-$200/wk depending on location and may be voluntarily payroll deducted biweekly plus all deductions required by law. Housing deposits and/or a $150-$200 nonrefundable admin/cleaning fee may be required if you choose the optional housing option
</t>
  </si>
  <si>
    <t>H-400-23290-436373</t>
  </si>
  <si>
    <t>JANITOR</t>
  </si>
  <si>
    <t>P-400-23206-213365</t>
  </si>
  <si>
    <t>Employer will use a single work week for computing wages due. Pay will be bi-weekly. Pay per piece rate will be equal to or higher than the listed wage above. Assistance finding and securing lodging is available. Employer will make all deductions required by law from each paycheck.</t>
  </si>
  <si>
    <t>H-400-23207-215333</t>
  </si>
  <si>
    <t xml:space="preserve">Some weekend work. Must be able to lift and carry 75 lbs. for 50 yards. Must be able to handle extreme temperatures.  Must have 3 months of concrete finisher experience.
</t>
  </si>
  <si>
    <t>P-400-23167-120266</t>
  </si>
  <si>
    <t>All deductions from the worker's paycheck will be made as required by law. The employer will provide housing as an option to the employees. Employees who elect to live in the housing will have an additional $175.00 deducted per bi-weekly paycheck for rent and utilities. Any advances will be the consent of the employee.</t>
  </si>
  <si>
    <t>H-400-23322-511851</t>
  </si>
  <si>
    <t xml:space="preserve">Mechanic </t>
  </si>
  <si>
    <t xml:space="preserve">Driver's license or ability to obtain a driver's license
Pre-employment drug testing required. Able to lift 50lbs. Monday - Sunday schedule, must be able to work Saturdays &amp; Sundays as needed. Normal schedule is from 7:00am to 4:00pm. Second shift  from 1:00pm to 10:00pm may be requested. Days &amp; Start/End times may vary based upon weather. 
</t>
  </si>
  <si>
    <t xml:space="preserve">Potential end of season bonus at employers discretion. Percentage of health care offered. </t>
  </si>
  <si>
    <t>P-400-23271-391841</t>
  </si>
  <si>
    <t>Employer may make payroll deductions at employee's request. Employer facilitates corresponding deductions for available health benefits. All deductions from the worker's paycheck required by law will be made. 
“If needed, the employer will assist in securing worker-paid lodging at the reasonable fair market value cost of rent and/or utilities based on number of occupants for those employees who voluntarily elect to live in available premises”.</t>
  </si>
  <si>
    <t>H-400-23215-235844</t>
  </si>
  <si>
    <t xml:space="preserve">F.a.5 A-H. (cont.)
Work may be performed on any day of the week from Monday through Sunday, including holidays.  Days off vary. Shifts available: 8am  4pm or 3pm  11pm. </t>
  </si>
  <si>
    <t>P-400-23156-078460</t>
  </si>
  <si>
    <t>H-400-23292-444925</t>
  </si>
  <si>
    <t>F.a.5 A-H. (cont.)
Work may be performed on any day of the week from Monday through Sunday, including holidays.  Days off vary. Multiple Shifts available: 7:30AM  3:30PM, or split shift from 11AM-3PM and 5PM-9PM.</t>
  </si>
  <si>
    <t>H-400-23331-523293</t>
  </si>
  <si>
    <t>Lawncare Applicator</t>
  </si>
  <si>
    <t>Lang's Lawn Care, Inc</t>
  </si>
  <si>
    <t>130 Pennsylvania Ave.</t>
  </si>
  <si>
    <t>Critchley</t>
  </si>
  <si>
    <t>langslawncare@aol.com</t>
  </si>
  <si>
    <t xml:space="preserve">Monday-Friday, some Saturdays required, end times vary, overtime varies. Able to lift 50lbs. Pre-hire background check required;Post-Accident Drug Testing.
All background checks are performed equally as to U.S. workers and H-2B workers, and all fees are paid for by the company.
See the additional document attached for further details about the administration of our background check policy.
All drug testing is performed without regard to an employees citizenship or immigration status, and all testing is paid for by the company.See the additional document attached for further details about the administration of our drug testing policy.
</t>
  </si>
  <si>
    <t>Raise/bonus at employer's discretion with opportunity to earn more with experience.</t>
  </si>
  <si>
    <t>P-400-23198-192593</t>
  </si>
  <si>
    <t>Employer may make payroll deductions at employee's request.
Employer facilitates voluntary housing arrangements upon worker request along with corresponding payroll deductions, $75.00/week.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</si>
</sst>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00000"/>
    <numFmt numFmtId="165" formatCode="[&lt;=9999999]###\-####;\(###\)\ ###\-####"/>
    <numFmt numFmtId="166" formatCode="&quot;$&quot;#,##0.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3">
    <xf numFmtId="0" fontId="0" fillId="0" borderId="0" xfId="0"/>
    <xf numFmtId="14" fontId="0" fillId="0" borderId="0" xfId="0" applyNumberFormat="1"/>
    <xf numFmtId="0" fontId="0" fillId="0" borderId="0" xfId="0" applyAlignment="1">
      <alignment wrapText="1"/>
    </xf>
    <xf numFmtId="0" fontId="0" fillId="0" borderId="0" xfId="0" quotePrefix="1"/>
    <xf numFmtId="8" fontId="0" fillId="0" borderId="0" xfId="0" applyNumberFormat="1"/>
    <xf numFmtId="0" fontId="16" fillId="0" borderId="0" xfId="0" applyFont="1"/>
    <xf numFmtId="14" fontId="16" fillId="0" borderId="0" xfId="0" applyNumberFormat="1" applyFont="1"/>
    <xf numFmtId="164" fontId="16" fillId="0" borderId="0" xfId="0" applyNumberFormat="1" applyFont="1"/>
    <xf numFmtId="164" fontId="0" fillId="0" borderId="0" xfId="0" applyNumberFormat="1"/>
    <xf numFmtId="165" fontId="16" fillId="0" borderId="0" xfId="0" applyNumberFormat="1" applyFont="1"/>
    <xf numFmtId="165" fontId="0" fillId="0" borderId="0" xfId="0" applyNumberFormat="1"/>
    <xf numFmtId="166" fontId="16" fillId="0" borderId="0" xfId="0" applyNumberFormat="1" applyFont="1"/>
    <xf numFmtId="166"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I2401"/>
  <sheetViews>
    <sheetView tabSelected="1" workbookViewId="0">
      <pane ySplit="1" topLeftCell="A2" activePane="bottomLeft" state="frozen"/>
      <selection pane="bottomLeft" activeCell="A2" sqref="A2"/>
    </sheetView>
  </sheetViews>
  <sheetFormatPr defaultRowHeight="15" customHeight="1" x14ac:dyDescent="0.25"/>
  <cols>
    <col min="1" max="1" width="18.7109375" bestFit="1" customWidth="1"/>
    <col min="2" max="2" width="54" bestFit="1" customWidth="1"/>
    <col min="3" max="4" width="17.42578125" style="1" bestFit="1" customWidth="1"/>
    <col min="5" max="5" width="15" bestFit="1" customWidth="1"/>
    <col min="6" max="6" width="60" bestFit="1" customWidth="1"/>
    <col min="7" max="7" width="15.5703125" bestFit="1" customWidth="1"/>
    <col min="8" max="8" width="86.7109375" bestFit="1" customWidth="1"/>
    <col min="9" max="9" width="30.5703125" bestFit="1" customWidth="1"/>
    <col min="10" max="10" width="29" bestFit="1" customWidth="1"/>
    <col min="11" max="11" width="26.140625" style="1" bestFit="1" customWidth="1"/>
    <col min="12" max="12" width="24.28515625" style="1" bestFit="1" customWidth="1"/>
    <col min="13" max="13" width="28.7109375" style="1" bestFit="1" customWidth="1"/>
    <col min="14" max="14" width="26.7109375" style="1" bestFit="1" customWidth="1"/>
    <col min="15" max="15" width="32.5703125" bestFit="1" customWidth="1"/>
    <col min="16" max="16" width="92.28515625" bestFit="1" customWidth="1"/>
    <col min="17" max="17" width="69" bestFit="1" customWidth="1"/>
    <col min="18" max="18" width="55.7109375" bestFit="1" customWidth="1"/>
    <col min="19" max="19" width="59.28515625" bestFit="1" customWidth="1"/>
    <col min="20" max="20" width="25.5703125" bestFit="1" customWidth="1"/>
    <col min="21" max="21" width="19.28515625" bestFit="1" customWidth="1"/>
    <col min="22" max="22" width="26.85546875" style="8" bestFit="1" customWidth="1"/>
    <col min="23" max="23" width="26.28515625" bestFit="1" customWidth="1"/>
    <col min="24" max="24" width="23.28515625" bestFit="1" customWidth="1"/>
    <col min="25" max="25" width="20.42578125" style="10" bestFit="1" customWidth="1"/>
    <col min="26" max="26" width="24.7109375" bestFit="1" customWidth="1"/>
    <col min="27" max="27" width="14.5703125" bestFit="1" customWidth="1"/>
    <col min="28" max="28" width="29.85546875" bestFit="1" customWidth="1"/>
    <col min="29" max="29" width="30.42578125" bestFit="1" customWidth="1"/>
    <col min="30" max="30" width="32.7109375" bestFit="1" customWidth="1"/>
    <col min="31" max="31" width="53.5703125" bestFit="1" customWidth="1"/>
    <col min="32" max="32" width="55.7109375" bestFit="1" customWidth="1"/>
    <col min="33" max="33" width="59.28515625" bestFit="1" customWidth="1"/>
    <col min="34" max="34" width="25.5703125" bestFit="1" customWidth="1"/>
    <col min="35" max="35" width="24.28515625" bestFit="1" customWidth="1"/>
    <col min="36" max="36" width="31.7109375" style="8" bestFit="1" customWidth="1"/>
    <col min="37" max="37" width="27.85546875" bestFit="1" customWidth="1"/>
    <col min="38" max="38" width="28.28515625" bestFit="1" customWidth="1"/>
    <col min="39" max="39" width="25.28515625" style="10" bestFit="1" customWidth="1"/>
    <col min="40" max="40" width="29.5703125" bestFit="1" customWidth="1"/>
    <col min="41" max="41" width="52.140625" bestFit="1" customWidth="1"/>
    <col min="42" max="42" width="28.140625" bestFit="1" customWidth="1"/>
    <col min="43" max="43" width="32.28515625" bestFit="1" customWidth="1"/>
    <col min="44" max="44" width="32.85546875" bestFit="1" customWidth="1"/>
    <col min="45" max="45" width="35" bestFit="1" customWidth="1"/>
    <col min="46" max="46" width="52.140625" bestFit="1" customWidth="1"/>
    <col min="47" max="47" width="44.42578125" bestFit="1" customWidth="1"/>
    <col min="48" max="48" width="25.140625" bestFit="1" customWidth="1"/>
    <col min="49" max="49" width="26.5703125" bestFit="1" customWidth="1"/>
    <col min="50" max="50" width="34.140625" style="8" bestFit="1" customWidth="1"/>
    <col min="51" max="51" width="30.140625" bestFit="1" customWidth="1"/>
    <col min="52" max="52" width="30.5703125" bestFit="1" customWidth="1"/>
    <col min="53" max="53" width="27.5703125" style="10" bestFit="1" customWidth="1"/>
    <col min="54" max="54" width="32" bestFit="1" customWidth="1"/>
    <col min="55" max="55" width="43.28515625" bestFit="1" customWidth="1"/>
    <col min="56" max="56" width="56.5703125" bestFit="1" customWidth="1"/>
    <col min="57" max="57" width="28.28515625" bestFit="1" customWidth="1"/>
    <col min="58" max="58" width="62" bestFit="1" customWidth="1"/>
    <col min="59" max="59" width="13.85546875" bestFit="1" customWidth="1"/>
    <col min="60" max="60" width="27.5703125" style="1" bestFit="1" customWidth="1"/>
    <col min="61" max="61" width="35.42578125" bestFit="1" customWidth="1"/>
    <col min="62" max="62" width="18.28515625" bestFit="1" customWidth="1"/>
    <col min="63" max="63" width="19.140625" bestFit="1" customWidth="1"/>
    <col min="64" max="64" width="18.85546875" bestFit="1" customWidth="1"/>
    <col min="65" max="65" width="22.28515625" bestFit="1" customWidth="1"/>
    <col min="66" max="66" width="20.42578125" bestFit="1" customWidth="1"/>
    <col min="67" max="67" width="17.140625" bestFit="1" customWidth="1"/>
    <col min="68" max="68" width="20.42578125" bestFit="1" customWidth="1"/>
    <col min="69" max="69" width="27.5703125" bestFit="1" customWidth="1"/>
    <col min="70" max="70" width="25.7109375" bestFit="1" customWidth="1"/>
    <col min="71" max="71" width="25.5703125" bestFit="1" customWidth="1"/>
    <col min="72" max="72" width="21.42578125" bestFit="1" customWidth="1"/>
    <col min="73" max="73" width="30.140625" bestFit="1" customWidth="1"/>
    <col min="74" max="74" width="25.140625" bestFit="1" customWidth="1"/>
    <col min="75" max="75" width="25.7109375" bestFit="1" customWidth="1"/>
    <col min="76" max="76" width="50.7109375" customWidth="1"/>
    <col min="77" max="77" width="54.85546875" bestFit="1" customWidth="1"/>
    <col min="78" max="78" width="54.7109375" bestFit="1" customWidth="1"/>
    <col min="79" max="79" width="26.28515625" bestFit="1" customWidth="1"/>
    <col min="80" max="80" width="19" bestFit="1" customWidth="1"/>
    <col min="81" max="81" width="26.5703125" style="8" bestFit="1" customWidth="1"/>
    <col min="82" max="82" width="32.7109375" bestFit="1" customWidth="1"/>
    <col min="83" max="83" width="70.5703125" bestFit="1" customWidth="1"/>
    <col min="84" max="84" width="27.42578125" style="12" bestFit="1" customWidth="1"/>
    <col min="85" max="85" width="24.42578125" style="12" bestFit="1" customWidth="1"/>
    <col min="86" max="86" width="24.85546875" style="12" bestFit="1" customWidth="1"/>
    <col min="87" max="87" width="21.7109375" style="12" bestFit="1" customWidth="1"/>
    <col min="88" max="88" width="10.28515625" bestFit="1" customWidth="1"/>
    <col min="89" max="89" width="50.7109375" customWidth="1"/>
    <col min="90" max="90" width="26.140625" bestFit="1" customWidth="1"/>
    <col min="91" max="91" width="26.85546875" bestFit="1" customWidth="1"/>
    <col min="92" max="92" width="26.42578125" bestFit="1" customWidth="1"/>
    <col min="93" max="93" width="37.85546875" bestFit="1" customWidth="1"/>
    <col min="94" max="94" width="30.140625" bestFit="1" customWidth="1"/>
    <col min="95" max="95" width="23.85546875" bestFit="1" customWidth="1"/>
    <col min="96" max="96" width="23.42578125" bestFit="1" customWidth="1"/>
    <col min="97" max="97" width="35.85546875" bestFit="1" customWidth="1"/>
    <col min="98" max="98" width="36.85546875" bestFit="1" customWidth="1"/>
    <col min="99" max="99" width="36.7109375" bestFit="1" customWidth="1"/>
    <col min="100" max="100" width="50.7109375" customWidth="1"/>
    <col min="101" max="101" width="19.85546875" style="10" bestFit="1" customWidth="1"/>
    <col min="102" max="102" width="48" bestFit="1" customWidth="1"/>
    <col min="103" max="103" width="71.7109375" bestFit="1" customWidth="1"/>
    <col min="104" max="104" width="33.85546875" bestFit="1" customWidth="1"/>
    <col min="105" max="105" width="26.7109375" bestFit="1" customWidth="1"/>
    <col min="106" max="106" width="29.28515625" bestFit="1" customWidth="1"/>
    <col min="107" max="107" width="36.140625" bestFit="1" customWidth="1"/>
    <col min="108" max="108" width="37.5703125" bestFit="1" customWidth="1"/>
    <col min="109" max="109" width="24.42578125" bestFit="1" customWidth="1"/>
    <col min="110" max="110" width="25" bestFit="1" customWidth="1"/>
    <col min="111" max="111" width="27.140625" bestFit="1" customWidth="1"/>
    <col min="112" max="112" width="56.140625" bestFit="1" customWidth="1"/>
    <col min="113" max="113" width="39.42578125" bestFit="1" customWidth="1"/>
  </cols>
  <sheetData>
    <row r="1" spans="1:113" s="5" customFormat="1" ht="15" customHeight="1" x14ac:dyDescent="0.25">
      <c r="A1" s="5" t="s">
        <v>0</v>
      </c>
      <c r="B1" s="5" t="s">
        <v>1</v>
      </c>
      <c r="C1" s="6" t="s">
        <v>2</v>
      </c>
      <c r="D1" s="6" t="s">
        <v>3</v>
      </c>
      <c r="E1" s="5" t="s">
        <v>4</v>
      </c>
      <c r="F1" s="5" t="s">
        <v>5</v>
      </c>
      <c r="G1" s="5" t="s">
        <v>6</v>
      </c>
      <c r="H1" s="5" t="s">
        <v>7</v>
      </c>
      <c r="I1" s="5" t="s">
        <v>8</v>
      </c>
      <c r="J1" s="5" t="s">
        <v>9</v>
      </c>
      <c r="K1" s="6" t="s">
        <v>10</v>
      </c>
      <c r="L1" s="6" t="s">
        <v>11</v>
      </c>
      <c r="M1" s="6" t="s">
        <v>12</v>
      </c>
      <c r="N1" s="6" t="s">
        <v>13</v>
      </c>
      <c r="O1" s="5" t="s">
        <v>14</v>
      </c>
      <c r="P1" s="5" t="s">
        <v>15</v>
      </c>
      <c r="Q1" s="5" t="s">
        <v>16</v>
      </c>
      <c r="R1" s="5" t="s">
        <v>17</v>
      </c>
      <c r="S1" s="5" t="s">
        <v>18</v>
      </c>
      <c r="T1" s="5" t="s">
        <v>19</v>
      </c>
      <c r="U1" s="5" t="s">
        <v>20</v>
      </c>
      <c r="V1" s="7" t="s">
        <v>21</v>
      </c>
      <c r="W1" s="5" t="s">
        <v>22</v>
      </c>
      <c r="X1" s="5" t="s">
        <v>23</v>
      </c>
      <c r="Y1" s="9" t="s">
        <v>24</v>
      </c>
      <c r="Z1" s="5" t="s">
        <v>25</v>
      </c>
      <c r="AA1" s="5" t="s">
        <v>26</v>
      </c>
      <c r="AB1" s="5" t="s">
        <v>27</v>
      </c>
      <c r="AC1" s="5" t="s">
        <v>28</v>
      </c>
      <c r="AD1" s="5" t="s">
        <v>29</v>
      </c>
      <c r="AE1" s="5" t="s">
        <v>30</v>
      </c>
      <c r="AF1" s="5" t="s">
        <v>31</v>
      </c>
      <c r="AG1" s="5" t="s">
        <v>32</v>
      </c>
      <c r="AH1" s="5" t="s">
        <v>33</v>
      </c>
      <c r="AI1" s="5" t="s">
        <v>34</v>
      </c>
      <c r="AJ1" s="7" t="s">
        <v>35</v>
      </c>
      <c r="AK1" s="5" t="s">
        <v>36</v>
      </c>
      <c r="AL1" s="5" t="s">
        <v>37</v>
      </c>
      <c r="AM1" s="9" t="s">
        <v>38</v>
      </c>
      <c r="AN1" s="5" t="s">
        <v>39</v>
      </c>
      <c r="AO1" s="5" t="s">
        <v>40</v>
      </c>
      <c r="AP1" s="5" t="s">
        <v>41</v>
      </c>
      <c r="AQ1" s="5" t="s">
        <v>42</v>
      </c>
      <c r="AR1" s="5" t="s">
        <v>43</v>
      </c>
      <c r="AS1" s="5" t="s">
        <v>44</v>
      </c>
      <c r="AT1" s="5" t="s">
        <v>45</v>
      </c>
      <c r="AU1" s="5" t="s">
        <v>46</v>
      </c>
      <c r="AV1" s="5" t="s">
        <v>47</v>
      </c>
      <c r="AW1" s="5" t="s">
        <v>48</v>
      </c>
      <c r="AX1" s="7" t="s">
        <v>49</v>
      </c>
      <c r="AY1" s="5" t="s">
        <v>50</v>
      </c>
      <c r="AZ1" s="5" t="s">
        <v>51</v>
      </c>
      <c r="BA1" s="9" t="s">
        <v>52</v>
      </c>
      <c r="BB1" s="5" t="s">
        <v>53</v>
      </c>
      <c r="BC1" s="5" t="s">
        <v>54</v>
      </c>
      <c r="BD1" s="5" t="s">
        <v>55</v>
      </c>
      <c r="BE1" s="5" t="s">
        <v>56</v>
      </c>
      <c r="BF1" s="5" t="s">
        <v>57</v>
      </c>
      <c r="BG1" s="5" t="s">
        <v>58</v>
      </c>
      <c r="BH1" s="6" t="s">
        <v>59</v>
      </c>
      <c r="BI1" s="5" t="s">
        <v>60</v>
      </c>
      <c r="BJ1" s="5" t="s">
        <v>61</v>
      </c>
      <c r="BK1" s="5" t="s">
        <v>62</v>
      </c>
      <c r="BL1" s="5" t="s">
        <v>63</v>
      </c>
      <c r="BM1" s="5" t="s">
        <v>64</v>
      </c>
      <c r="BN1" s="5" t="s">
        <v>65</v>
      </c>
      <c r="BO1" s="5" t="s">
        <v>66</v>
      </c>
      <c r="BP1" s="5" t="s">
        <v>67</v>
      </c>
      <c r="BQ1" s="5" t="s">
        <v>68</v>
      </c>
      <c r="BR1" s="5" t="s">
        <v>69</v>
      </c>
      <c r="BS1" s="5" t="s">
        <v>70</v>
      </c>
      <c r="BT1" s="5" t="s">
        <v>71</v>
      </c>
      <c r="BU1" s="5" t="s">
        <v>72</v>
      </c>
      <c r="BV1" s="5" t="s">
        <v>73</v>
      </c>
      <c r="BW1" s="5" t="s">
        <v>74</v>
      </c>
      <c r="BX1" s="5" t="s">
        <v>75</v>
      </c>
      <c r="BY1" s="5" t="s">
        <v>76</v>
      </c>
      <c r="BZ1" s="5" t="s">
        <v>77</v>
      </c>
      <c r="CA1" s="5" t="s">
        <v>78</v>
      </c>
      <c r="CB1" s="5" t="s">
        <v>79</v>
      </c>
      <c r="CC1" s="7" t="s">
        <v>80</v>
      </c>
      <c r="CD1" s="5" t="s">
        <v>81</v>
      </c>
      <c r="CE1" s="5" t="s">
        <v>82</v>
      </c>
      <c r="CF1" s="11" t="s">
        <v>83</v>
      </c>
      <c r="CG1" s="11" t="s">
        <v>84</v>
      </c>
      <c r="CH1" s="11" t="s">
        <v>85</v>
      </c>
      <c r="CI1" s="11" t="s">
        <v>86</v>
      </c>
      <c r="CJ1" s="5" t="s">
        <v>87</v>
      </c>
      <c r="CK1" s="5" t="s">
        <v>88</v>
      </c>
      <c r="CL1" s="5" t="s">
        <v>89</v>
      </c>
      <c r="CM1" s="5" t="s">
        <v>90</v>
      </c>
      <c r="CN1" s="5" t="s">
        <v>91</v>
      </c>
      <c r="CO1" s="5" t="s">
        <v>92</v>
      </c>
      <c r="CP1" s="5" t="s">
        <v>93</v>
      </c>
      <c r="CQ1" s="5" t="s">
        <v>94</v>
      </c>
      <c r="CR1" s="5" t="s">
        <v>95</v>
      </c>
      <c r="CS1" s="5" t="s">
        <v>96</v>
      </c>
      <c r="CT1" s="5" t="s">
        <v>97</v>
      </c>
      <c r="CU1" s="5" t="s">
        <v>98</v>
      </c>
      <c r="CV1" s="5" t="s">
        <v>99</v>
      </c>
      <c r="CW1" s="9" t="s">
        <v>100</v>
      </c>
      <c r="CX1" s="5" t="s">
        <v>101</v>
      </c>
      <c r="CY1" s="5" t="s">
        <v>102</v>
      </c>
      <c r="CZ1" s="5" t="s">
        <v>103</v>
      </c>
      <c r="DA1" s="5" t="s">
        <v>104</v>
      </c>
      <c r="DB1" s="5" t="s">
        <v>105</v>
      </c>
      <c r="DC1" s="5" t="s">
        <v>106</v>
      </c>
      <c r="DD1" s="5" t="s">
        <v>107</v>
      </c>
      <c r="DE1" s="5" t="s">
        <v>108</v>
      </c>
      <c r="DF1" s="5" t="s">
        <v>109</v>
      </c>
      <c r="DG1" s="5" t="s">
        <v>110</v>
      </c>
      <c r="DH1" s="5" t="s">
        <v>111</v>
      </c>
      <c r="DI1" s="5" t="s">
        <v>112</v>
      </c>
    </row>
    <row r="2" spans="1:113" ht="15" customHeight="1" x14ac:dyDescent="0.25">
      <c r="A2" t="s">
        <v>24124</v>
      </c>
      <c r="B2" t="s">
        <v>152</v>
      </c>
      <c r="C2" s="1">
        <v>45267.611270717593</v>
      </c>
      <c r="D2" s="1">
        <v>45289</v>
      </c>
      <c r="E2" t="s">
        <v>132</v>
      </c>
      <c r="F2" t="s">
        <v>8090</v>
      </c>
      <c r="G2" t="str">
        <f>"47-3014.00"</f>
        <v>47-3014.00</v>
      </c>
      <c r="H2" t="s">
        <v>4850</v>
      </c>
      <c r="I2">
        <v>4</v>
      </c>
      <c r="J2">
        <v>4</v>
      </c>
      <c r="K2" s="1">
        <v>45355</v>
      </c>
      <c r="L2" s="1">
        <v>45626</v>
      </c>
      <c r="M2" s="1">
        <v>45355</v>
      </c>
      <c r="N2" s="1">
        <v>45626</v>
      </c>
      <c r="O2" t="s">
        <v>116</v>
      </c>
      <c r="P2" t="s">
        <v>8091</v>
      </c>
      <c r="R2" t="s">
        <v>8092</v>
      </c>
      <c r="T2" t="s">
        <v>8093</v>
      </c>
      <c r="U2" t="s">
        <v>117</v>
      </c>
      <c r="V2" s="8" t="str">
        <f>"60101"</f>
        <v>60101</v>
      </c>
      <c r="W2" t="s">
        <v>118</v>
      </c>
      <c r="Y2" s="10">
        <v>16309351563</v>
      </c>
      <c r="AA2">
        <v>23832</v>
      </c>
      <c r="AB2" t="s">
        <v>8094</v>
      </c>
      <c r="AC2" t="s">
        <v>8095</v>
      </c>
      <c r="AE2" t="s">
        <v>629</v>
      </c>
      <c r="AF2" t="s">
        <v>8092</v>
      </c>
      <c r="AH2" t="s">
        <v>8093</v>
      </c>
      <c r="AI2" t="s">
        <v>117</v>
      </c>
      <c r="AJ2" s="8" t="str">
        <f>"60101"</f>
        <v>60101</v>
      </c>
      <c r="AK2" t="s">
        <v>118</v>
      </c>
      <c r="AM2" s="10">
        <v>16309351563</v>
      </c>
      <c r="AO2" t="s">
        <v>8096</v>
      </c>
      <c r="AP2" t="s">
        <v>248</v>
      </c>
      <c r="AQ2" t="s">
        <v>1601</v>
      </c>
      <c r="AR2" t="s">
        <v>1602</v>
      </c>
      <c r="AT2" t="s">
        <v>1253</v>
      </c>
      <c r="AU2" t="s">
        <v>852</v>
      </c>
      <c r="AV2" t="s">
        <v>853</v>
      </c>
      <c r="AW2" t="s">
        <v>854</v>
      </c>
      <c r="AX2" s="8" t="str">
        <f>"83814"</f>
        <v>83814</v>
      </c>
      <c r="AY2" t="s">
        <v>118</v>
      </c>
      <c r="BA2" s="10">
        <v>12087772654</v>
      </c>
      <c r="BC2" t="s">
        <v>1603</v>
      </c>
      <c r="BD2" t="s">
        <v>856</v>
      </c>
      <c r="BG2" t="s">
        <v>117</v>
      </c>
      <c r="BH2" s="1">
        <v>45263.791666666664</v>
      </c>
      <c r="BI2">
        <v>40</v>
      </c>
      <c r="BJ2">
        <v>0</v>
      </c>
      <c r="BK2">
        <v>8</v>
      </c>
      <c r="BL2">
        <v>8</v>
      </c>
      <c r="BM2">
        <v>8</v>
      </c>
      <c r="BN2">
        <v>8</v>
      </c>
      <c r="BO2">
        <v>8</v>
      </c>
      <c r="BP2">
        <v>0</v>
      </c>
      <c r="BQ2" t="str">
        <f>"7:00 AM"</f>
        <v>7:00 AM</v>
      </c>
      <c r="BR2" t="str">
        <f>"3:30 PM"</f>
        <v>3:30 PM</v>
      </c>
      <c r="BS2" t="s">
        <v>131</v>
      </c>
      <c r="BT2">
        <v>0</v>
      </c>
      <c r="BU2">
        <v>0</v>
      </c>
      <c r="BV2" t="s">
        <v>114</v>
      </c>
      <c r="BX2" t="s">
        <v>2415</v>
      </c>
      <c r="BY2" t="s">
        <v>8097</v>
      </c>
      <c r="CA2" t="s">
        <v>8093</v>
      </c>
      <c r="CB2" t="s">
        <v>117</v>
      </c>
      <c r="CC2" s="8" t="str">
        <f>"60101"</f>
        <v>60101</v>
      </c>
      <c r="CD2" t="s">
        <v>4862</v>
      </c>
      <c r="CE2" t="s">
        <v>134</v>
      </c>
      <c r="CF2" s="12">
        <v>18.29</v>
      </c>
      <c r="CG2" s="12">
        <v>20</v>
      </c>
      <c r="CH2" s="12">
        <v>27.44</v>
      </c>
      <c r="CI2" s="12">
        <v>30</v>
      </c>
      <c r="CJ2" t="s">
        <v>135</v>
      </c>
      <c r="CK2" t="s">
        <v>1899</v>
      </c>
      <c r="CL2" t="s">
        <v>8098</v>
      </c>
      <c r="CO2" t="s">
        <v>132</v>
      </c>
      <c r="CP2" t="s">
        <v>136</v>
      </c>
      <c r="CQ2" t="s">
        <v>136</v>
      </c>
      <c r="CR2" t="s">
        <v>136</v>
      </c>
      <c r="CS2" t="s">
        <v>136</v>
      </c>
      <c r="CT2" t="s">
        <v>136</v>
      </c>
      <c r="CU2" t="s">
        <v>114</v>
      </c>
      <c r="CV2" t="s">
        <v>1040</v>
      </c>
      <c r="CW2" s="10" t="str">
        <f>"+16309351563"</f>
        <v>+16309351563</v>
      </c>
      <c r="CX2" t="s">
        <v>8099</v>
      </c>
      <c r="CY2" t="s">
        <v>132</v>
      </c>
      <c r="CZ2" t="s">
        <v>137</v>
      </c>
      <c r="DA2" t="s">
        <v>114</v>
      </c>
      <c r="DB2" t="s">
        <v>136</v>
      </c>
      <c r="DC2" t="s">
        <v>136</v>
      </c>
      <c r="DD2" t="s">
        <v>114</v>
      </c>
    </row>
    <row r="3" spans="1:113" ht="15" customHeight="1" x14ac:dyDescent="0.25">
      <c r="A3" t="s">
        <v>17607</v>
      </c>
      <c r="B3" t="s">
        <v>152</v>
      </c>
      <c r="C3" s="1">
        <v>45262.971394097221</v>
      </c>
      <c r="D3" s="1">
        <v>45289</v>
      </c>
      <c r="E3" t="s">
        <v>132</v>
      </c>
      <c r="F3" t="s">
        <v>2715</v>
      </c>
      <c r="G3" t="str">
        <f>"39-3091.00"</f>
        <v>39-3091.00</v>
      </c>
      <c r="H3" t="s">
        <v>237</v>
      </c>
      <c r="I3">
        <v>50</v>
      </c>
      <c r="J3">
        <v>50</v>
      </c>
      <c r="K3" s="1">
        <v>45352</v>
      </c>
      <c r="L3" s="1">
        <v>45597</v>
      </c>
      <c r="M3" s="1">
        <v>45352</v>
      </c>
      <c r="N3" s="1">
        <v>45597</v>
      </c>
      <c r="O3" t="s">
        <v>238</v>
      </c>
      <c r="P3" t="s">
        <v>17608</v>
      </c>
      <c r="R3" t="s">
        <v>17609</v>
      </c>
      <c r="S3" t="s">
        <v>17610</v>
      </c>
      <c r="T3" t="s">
        <v>1948</v>
      </c>
      <c r="U3" t="s">
        <v>375</v>
      </c>
      <c r="V3" s="8" t="str">
        <f>"28411"</f>
        <v>28411</v>
      </c>
      <c r="W3" t="s">
        <v>118</v>
      </c>
      <c r="Y3" s="10">
        <v>15853032618</v>
      </c>
      <c r="AA3">
        <v>71399</v>
      </c>
      <c r="AB3" t="s">
        <v>1945</v>
      </c>
      <c r="AC3" t="s">
        <v>12712</v>
      </c>
      <c r="AE3" t="s">
        <v>17611</v>
      </c>
      <c r="AF3" t="s">
        <v>17609</v>
      </c>
      <c r="AH3" t="s">
        <v>1948</v>
      </c>
      <c r="AI3" t="s">
        <v>375</v>
      </c>
      <c r="AJ3" s="8" t="str">
        <f>"28411"</f>
        <v>28411</v>
      </c>
      <c r="AK3" t="s">
        <v>118</v>
      </c>
      <c r="AM3" s="10">
        <v>15853032618</v>
      </c>
      <c r="AO3" t="s">
        <v>17612</v>
      </c>
      <c r="AP3" t="s">
        <v>248</v>
      </c>
      <c r="AQ3" t="s">
        <v>960</v>
      </c>
      <c r="AR3" t="s">
        <v>961</v>
      </c>
      <c r="AS3" t="s">
        <v>962</v>
      </c>
      <c r="AT3" t="s">
        <v>963</v>
      </c>
      <c r="AU3" t="s">
        <v>296</v>
      </c>
      <c r="AV3" t="s">
        <v>964</v>
      </c>
      <c r="AW3" t="s">
        <v>127</v>
      </c>
      <c r="AX3" s="8" t="str">
        <f>"75033"</f>
        <v>75033</v>
      </c>
      <c r="AY3" t="s">
        <v>118</v>
      </c>
      <c r="BA3" s="10">
        <v>19727789690</v>
      </c>
      <c r="BC3" t="s">
        <v>1388</v>
      </c>
      <c r="BD3" t="s">
        <v>966</v>
      </c>
      <c r="BG3" t="s">
        <v>375</v>
      </c>
      <c r="BH3" s="1">
        <v>45261.791666666664</v>
      </c>
      <c r="BI3">
        <v>40</v>
      </c>
      <c r="BJ3">
        <v>8</v>
      </c>
      <c r="BK3">
        <v>0</v>
      </c>
      <c r="BL3">
        <v>8</v>
      </c>
      <c r="BM3">
        <v>8</v>
      </c>
      <c r="BN3">
        <v>0</v>
      </c>
      <c r="BO3">
        <v>8</v>
      </c>
      <c r="BP3">
        <v>8</v>
      </c>
      <c r="BQ3" t="str">
        <f>"12:00 PM"</f>
        <v>12:00 PM</v>
      </c>
      <c r="BR3" t="str">
        <f>"9:00 PM"</f>
        <v>9:00 PM</v>
      </c>
      <c r="BS3" t="s">
        <v>131</v>
      </c>
      <c r="BT3">
        <v>0</v>
      </c>
      <c r="BU3">
        <v>0</v>
      </c>
      <c r="BV3" t="s">
        <v>114</v>
      </c>
      <c r="BX3" t="s">
        <v>17613</v>
      </c>
      <c r="BY3" t="s">
        <v>17614</v>
      </c>
      <c r="CA3" t="s">
        <v>9282</v>
      </c>
      <c r="CB3" t="s">
        <v>375</v>
      </c>
      <c r="CC3" s="8" t="str">
        <f>"28546"</f>
        <v>28546</v>
      </c>
      <c r="CD3" t="s">
        <v>13764</v>
      </c>
      <c r="CE3" t="s">
        <v>13765</v>
      </c>
      <c r="CF3" s="12">
        <v>10.38</v>
      </c>
      <c r="CG3" s="12">
        <v>16.3</v>
      </c>
      <c r="CH3" s="12">
        <v>16.77</v>
      </c>
      <c r="CI3" s="12">
        <v>24.45</v>
      </c>
      <c r="CJ3" t="s">
        <v>135</v>
      </c>
      <c r="CK3" t="s">
        <v>1392</v>
      </c>
      <c r="CL3" t="s">
        <v>17615</v>
      </c>
      <c r="CM3" t="s">
        <v>17616</v>
      </c>
      <c r="CO3" t="s">
        <v>132</v>
      </c>
      <c r="CP3" t="s">
        <v>136</v>
      </c>
      <c r="CQ3" t="s">
        <v>136</v>
      </c>
      <c r="CR3" t="s">
        <v>136</v>
      </c>
      <c r="CS3" t="s">
        <v>136</v>
      </c>
      <c r="CT3" t="s">
        <v>136</v>
      </c>
      <c r="CU3" t="s">
        <v>136</v>
      </c>
      <c r="CV3" t="s">
        <v>17617</v>
      </c>
      <c r="CW3" s="10" t="str">
        <f>"+15853032618"</f>
        <v>+15853032618</v>
      </c>
      <c r="CX3" t="s">
        <v>132</v>
      </c>
      <c r="CY3" t="s">
        <v>1949</v>
      </c>
      <c r="CZ3" t="s">
        <v>137</v>
      </c>
      <c r="DA3" t="s">
        <v>114</v>
      </c>
      <c r="DB3" t="s">
        <v>136</v>
      </c>
      <c r="DC3" t="s">
        <v>136</v>
      </c>
      <c r="DD3" t="s">
        <v>114</v>
      </c>
    </row>
    <row r="4" spans="1:113" ht="15" customHeight="1" x14ac:dyDescent="0.25">
      <c r="A4" t="s">
        <v>22243</v>
      </c>
      <c r="B4" t="s">
        <v>152</v>
      </c>
      <c r="C4" s="1">
        <v>45262.446326620367</v>
      </c>
      <c r="D4" s="1">
        <v>45289</v>
      </c>
      <c r="E4" t="s">
        <v>132</v>
      </c>
      <c r="F4" t="s">
        <v>3420</v>
      </c>
      <c r="G4" t="str">
        <f>"37-3011.00"</f>
        <v>37-3011.00</v>
      </c>
      <c r="H4" t="s">
        <v>429</v>
      </c>
      <c r="I4">
        <v>20</v>
      </c>
      <c r="J4">
        <v>20</v>
      </c>
      <c r="K4" s="1">
        <v>45352</v>
      </c>
      <c r="L4" s="1">
        <v>45626</v>
      </c>
      <c r="M4" s="1">
        <v>45352</v>
      </c>
      <c r="N4" s="1">
        <v>45626</v>
      </c>
      <c r="O4" t="s">
        <v>116</v>
      </c>
      <c r="P4" t="s">
        <v>13807</v>
      </c>
      <c r="R4" t="s">
        <v>13808</v>
      </c>
      <c r="T4" t="s">
        <v>13809</v>
      </c>
      <c r="U4" t="s">
        <v>333</v>
      </c>
      <c r="V4" s="8" t="str">
        <f>"70087"</f>
        <v>70087</v>
      </c>
      <c r="W4" t="s">
        <v>118</v>
      </c>
      <c r="Y4" s="10">
        <v>15042756617</v>
      </c>
      <c r="AA4">
        <v>56173</v>
      </c>
      <c r="AB4" t="s">
        <v>13810</v>
      </c>
      <c r="AC4" t="s">
        <v>1713</v>
      </c>
      <c r="AE4" t="s">
        <v>629</v>
      </c>
      <c r="AF4" t="s">
        <v>13808</v>
      </c>
      <c r="AH4" t="s">
        <v>13809</v>
      </c>
      <c r="AI4" t="s">
        <v>333</v>
      </c>
      <c r="AJ4" s="8" t="str">
        <f>"70087"</f>
        <v>70087</v>
      </c>
      <c r="AK4" t="s">
        <v>118</v>
      </c>
      <c r="AM4" s="10">
        <v>15042756617</v>
      </c>
      <c r="AN4">
        <v>5</v>
      </c>
      <c r="AO4" t="s">
        <v>132</v>
      </c>
      <c r="AP4" t="s">
        <v>248</v>
      </c>
      <c r="AQ4" t="s">
        <v>577</v>
      </c>
      <c r="AR4" t="s">
        <v>578</v>
      </c>
      <c r="AT4" t="s">
        <v>579</v>
      </c>
      <c r="AV4" t="s">
        <v>580</v>
      </c>
      <c r="AW4" t="s">
        <v>581</v>
      </c>
      <c r="AX4" s="8" t="str">
        <f>"22903"</f>
        <v>22903</v>
      </c>
      <c r="AY4" t="s">
        <v>118</v>
      </c>
      <c r="BA4" s="10">
        <v>14342634300</v>
      </c>
      <c r="BC4" t="s">
        <v>1996</v>
      </c>
      <c r="BD4" t="s">
        <v>583</v>
      </c>
      <c r="BG4" t="s">
        <v>333</v>
      </c>
      <c r="BH4" s="1">
        <v>45261.791666666664</v>
      </c>
      <c r="BI4">
        <v>46.25</v>
      </c>
      <c r="BJ4">
        <v>0</v>
      </c>
      <c r="BK4">
        <v>9.25</v>
      </c>
      <c r="BL4">
        <v>9.25</v>
      </c>
      <c r="BM4">
        <v>9.25</v>
      </c>
      <c r="BN4">
        <v>9.25</v>
      </c>
      <c r="BO4">
        <v>9.25</v>
      </c>
      <c r="BP4">
        <v>0</v>
      </c>
      <c r="BQ4" t="str">
        <f>"6:15 AM"</f>
        <v>6:15 AM</v>
      </c>
      <c r="BR4" t="str">
        <f>"4:00 PM"</f>
        <v>4:00 PM</v>
      </c>
      <c r="BS4" t="s">
        <v>131</v>
      </c>
      <c r="BT4">
        <v>0</v>
      </c>
      <c r="BU4">
        <v>0</v>
      </c>
      <c r="BV4" t="s">
        <v>114</v>
      </c>
      <c r="BX4" s="2" t="s">
        <v>13811</v>
      </c>
      <c r="BY4" t="s">
        <v>13808</v>
      </c>
      <c r="CA4" t="s">
        <v>13809</v>
      </c>
      <c r="CB4" t="s">
        <v>333</v>
      </c>
      <c r="CC4" s="8" t="str">
        <f>"70087"</f>
        <v>70087</v>
      </c>
      <c r="CD4" t="s">
        <v>1855</v>
      </c>
      <c r="CE4" t="s">
        <v>341</v>
      </c>
      <c r="CF4" s="12">
        <v>14.72</v>
      </c>
      <c r="CH4" s="12">
        <v>22.08</v>
      </c>
      <c r="CJ4" t="s">
        <v>135</v>
      </c>
      <c r="CK4" t="s">
        <v>590</v>
      </c>
      <c r="CL4" t="s">
        <v>22244</v>
      </c>
      <c r="CO4" t="s">
        <v>132</v>
      </c>
      <c r="CP4" t="s">
        <v>136</v>
      </c>
      <c r="CQ4" t="s">
        <v>114</v>
      </c>
      <c r="CR4" t="s">
        <v>136</v>
      </c>
      <c r="CS4" t="s">
        <v>136</v>
      </c>
      <c r="CT4" t="s">
        <v>136</v>
      </c>
      <c r="CU4" t="s">
        <v>136</v>
      </c>
      <c r="CV4" t="s">
        <v>13812</v>
      </c>
      <c r="CW4" s="10" t="str">
        <f>"N/A"</f>
        <v>N/A</v>
      </c>
      <c r="CX4" t="s">
        <v>13813</v>
      </c>
      <c r="CY4" t="s">
        <v>13814</v>
      </c>
      <c r="CZ4" t="s">
        <v>137</v>
      </c>
      <c r="DA4" t="s">
        <v>114</v>
      </c>
      <c r="DB4" t="s">
        <v>136</v>
      </c>
      <c r="DC4" t="s">
        <v>136</v>
      </c>
      <c r="DD4" t="s">
        <v>114</v>
      </c>
      <c r="DE4" t="s">
        <v>1998</v>
      </c>
      <c r="DF4" t="s">
        <v>1999</v>
      </c>
      <c r="DH4" t="s">
        <v>583</v>
      </c>
      <c r="DI4" t="s">
        <v>1996</v>
      </c>
    </row>
    <row r="5" spans="1:113" ht="15" customHeight="1" x14ac:dyDescent="0.25">
      <c r="A5" t="s">
        <v>5804</v>
      </c>
      <c r="B5" t="s">
        <v>152</v>
      </c>
      <c r="C5" s="1">
        <v>45262.400999074074</v>
      </c>
      <c r="D5" s="1">
        <v>45289</v>
      </c>
      <c r="E5" t="s">
        <v>132</v>
      </c>
      <c r="F5" t="s">
        <v>1595</v>
      </c>
      <c r="G5" t="str">
        <f>"37-3011.00"</f>
        <v>37-3011.00</v>
      </c>
      <c r="H5" t="s">
        <v>429</v>
      </c>
      <c r="I5">
        <v>5</v>
      </c>
      <c r="J5">
        <v>5</v>
      </c>
      <c r="K5" s="1">
        <v>45352</v>
      </c>
      <c r="L5" s="1">
        <v>45626</v>
      </c>
      <c r="M5" s="1">
        <v>45352</v>
      </c>
      <c r="N5" s="1">
        <v>45626</v>
      </c>
      <c r="O5" t="s">
        <v>116</v>
      </c>
      <c r="P5" t="s">
        <v>5805</v>
      </c>
      <c r="Q5" t="s">
        <v>5806</v>
      </c>
      <c r="R5" t="s">
        <v>5807</v>
      </c>
      <c r="S5" t="s">
        <v>5808</v>
      </c>
      <c r="T5" t="s">
        <v>5809</v>
      </c>
      <c r="U5" t="s">
        <v>1691</v>
      </c>
      <c r="V5" s="8" t="str">
        <f>"29642"</f>
        <v>29642</v>
      </c>
      <c r="W5" t="s">
        <v>118</v>
      </c>
      <c r="Y5" s="10">
        <v>18645258275</v>
      </c>
      <c r="AA5">
        <v>561730</v>
      </c>
      <c r="AB5" t="s">
        <v>5810</v>
      </c>
      <c r="AC5" t="s">
        <v>1555</v>
      </c>
      <c r="AE5" t="s">
        <v>561</v>
      </c>
      <c r="AF5" t="s">
        <v>5807</v>
      </c>
      <c r="AG5" t="s">
        <v>5808</v>
      </c>
      <c r="AH5" t="s">
        <v>5809</v>
      </c>
      <c r="AI5" t="s">
        <v>1691</v>
      </c>
      <c r="AJ5" s="8" t="str">
        <f>"29642"</f>
        <v>29642</v>
      </c>
      <c r="AK5" t="s">
        <v>118</v>
      </c>
      <c r="AM5" s="10">
        <v>18645258275</v>
      </c>
      <c r="AO5" t="s">
        <v>5811</v>
      </c>
      <c r="AP5" t="s">
        <v>248</v>
      </c>
      <c r="AQ5" t="s">
        <v>2166</v>
      </c>
      <c r="AR5" t="s">
        <v>2167</v>
      </c>
      <c r="AS5" t="s">
        <v>631</v>
      </c>
      <c r="AT5" t="s">
        <v>1584</v>
      </c>
      <c r="AV5" t="s">
        <v>1585</v>
      </c>
      <c r="AW5" t="s">
        <v>127</v>
      </c>
      <c r="AX5" s="8" t="str">
        <f>"77414"</f>
        <v>77414</v>
      </c>
      <c r="AY5" t="s">
        <v>118</v>
      </c>
      <c r="BA5" s="10">
        <v>19793187282</v>
      </c>
      <c r="BC5" t="s">
        <v>2168</v>
      </c>
      <c r="BD5" t="s">
        <v>1587</v>
      </c>
      <c r="BG5" t="s">
        <v>1691</v>
      </c>
      <c r="BH5" s="1">
        <v>45261.791666666664</v>
      </c>
      <c r="BI5">
        <v>35</v>
      </c>
      <c r="BJ5">
        <v>0</v>
      </c>
      <c r="BK5">
        <v>7</v>
      </c>
      <c r="BL5">
        <v>7</v>
      </c>
      <c r="BM5">
        <v>7</v>
      </c>
      <c r="BN5">
        <v>7</v>
      </c>
      <c r="BO5">
        <v>7</v>
      </c>
      <c r="BP5">
        <v>0</v>
      </c>
      <c r="BQ5" t="str">
        <f>"7:00 AM"</f>
        <v>7:00 AM</v>
      </c>
      <c r="BR5" t="str">
        <f>"3:00 PM"</f>
        <v>3:00 PM</v>
      </c>
      <c r="BS5" t="s">
        <v>131</v>
      </c>
      <c r="BT5">
        <v>0</v>
      </c>
      <c r="BU5">
        <v>0</v>
      </c>
      <c r="BV5" t="s">
        <v>114</v>
      </c>
      <c r="BX5" s="2" t="s">
        <v>5812</v>
      </c>
      <c r="BY5" t="s">
        <v>5807</v>
      </c>
      <c r="BZ5" t="s">
        <v>132</v>
      </c>
      <c r="CA5" t="s">
        <v>5809</v>
      </c>
      <c r="CB5" t="s">
        <v>1691</v>
      </c>
      <c r="CC5" s="8" t="str">
        <f>"29642"</f>
        <v>29642</v>
      </c>
      <c r="CD5" t="s">
        <v>5813</v>
      </c>
      <c r="CE5" t="s">
        <v>2089</v>
      </c>
      <c r="CF5" s="12">
        <v>15.81</v>
      </c>
      <c r="CH5" s="12">
        <v>23.72</v>
      </c>
      <c r="CJ5" t="s">
        <v>135</v>
      </c>
      <c r="CK5" t="s">
        <v>5814</v>
      </c>
      <c r="CL5" t="s">
        <v>5815</v>
      </c>
      <c r="CO5" t="s">
        <v>132</v>
      </c>
      <c r="CP5" t="s">
        <v>136</v>
      </c>
      <c r="CQ5" t="s">
        <v>136</v>
      </c>
      <c r="CR5" t="s">
        <v>136</v>
      </c>
      <c r="CS5" t="s">
        <v>136</v>
      </c>
      <c r="CT5" t="s">
        <v>136</v>
      </c>
      <c r="CU5" t="s">
        <v>136</v>
      </c>
      <c r="CV5" t="s">
        <v>3580</v>
      </c>
      <c r="CW5" s="10" t="str">
        <f>"+18645258275"</f>
        <v>+18645258275</v>
      </c>
      <c r="CX5" t="s">
        <v>132</v>
      </c>
      <c r="CY5" t="s">
        <v>5816</v>
      </c>
      <c r="CZ5" t="s">
        <v>137</v>
      </c>
      <c r="DA5" t="s">
        <v>114</v>
      </c>
      <c r="DB5" t="s">
        <v>114</v>
      </c>
      <c r="DC5" t="s">
        <v>136</v>
      </c>
      <c r="DD5" t="s">
        <v>114</v>
      </c>
    </row>
    <row r="6" spans="1:113" ht="15" customHeight="1" x14ac:dyDescent="0.25">
      <c r="A6" t="s">
        <v>21210</v>
      </c>
      <c r="B6" t="s">
        <v>152</v>
      </c>
      <c r="C6" s="1">
        <v>45262.090491550924</v>
      </c>
      <c r="D6" s="1">
        <v>45289</v>
      </c>
      <c r="E6" t="s">
        <v>132</v>
      </c>
      <c r="F6" t="s">
        <v>3755</v>
      </c>
      <c r="G6" t="str">
        <f>"37-3011.00"</f>
        <v>37-3011.00</v>
      </c>
      <c r="H6" t="s">
        <v>429</v>
      </c>
      <c r="I6">
        <v>50</v>
      </c>
      <c r="J6">
        <v>50</v>
      </c>
      <c r="K6" s="1">
        <v>45352</v>
      </c>
      <c r="L6" s="1">
        <v>45627</v>
      </c>
      <c r="M6" s="1">
        <v>45352</v>
      </c>
      <c r="N6" s="1">
        <v>45627</v>
      </c>
      <c r="O6" t="s">
        <v>116</v>
      </c>
      <c r="P6" t="s">
        <v>3756</v>
      </c>
      <c r="R6" t="s">
        <v>3757</v>
      </c>
      <c r="T6" t="s">
        <v>3758</v>
      </c>
      <c r="U6" t="s">
        <v>375</v>
      </c>
      <c r="V6" s="8" t="str">
        <f>"28079"</f>
        <v>28079</v>
      </c>
      <c r="W6" t="s">
        <v>118</v>
      </c>
      <c r="Y6" s="10">
        <v>17048212407</v>
      </c>
      <c r="AA6">
        <v>56173</v>
      </c>
      <c r="AB6" t="s">
        <v>3759</v>
      </c>
      <c r="AC6" t="s">
        <v>3760</v>
      </c>
      <c r="AE6" t="s">
        <v>1799</v>
      </c>
      <c r="AF6" t="s">
        <v>3757</v>
      </c>
      <c r="AH6" t="s">
        <v>3758</v>
      </c>
      <c r="AI6" t="s">
        <v>375</v>
      </c>
      <c r="AJ6" s="8" t="str">
        <f>"28079"</f>
        <v>28079</v>
      </c>
      <c r="AK6" t="s">
        <v>118</v>
      </c>
      <c r="AM6" s="10">
        <v>17048212407</v>
      </c>
      <c r="AO6" t="s">
        <v>3761</v>
      </c>
      <c r="AP6" t="s">
        <v>248</v>
      </c>
      <c r="AQ6" t="s">
        <v>1237</v>
      </c>
      <c r="AR6" t="s">
        <v>763</v>
      </c>
      <c r="AT6" t="s">
        <v>1253</v>
      </c>
      <c r="AU6" t="s">
        <v>852</v>
      </c>
      <c r="AV6" t="s">
        <v>853</v>
      </c>
      <c r="AW6" t="s">
        <v>854</v>
      </c>
      <c r="AX6" s="8" t="str">
        <f>"83814"</f>
        <v>83814</v>
      </c>
      <c r="AY6" t="s">
        <v>118</v>
      </c>
      <c r="BA6" s="10">
        <v>12087772654</v>
      </c>
      <c r="BC6" t="s">
        <v>1254</v>
      </c>
      <c r="BD6" t="s">
        <v>856</v>
      </c>
      <c r="BG6" t="s">
        <v>375</v>
      </c>
      <c r="BH6" s="1">
        <v>45260.791666666664</v>
      </c>
      <c r="BI6">
        <v>40</v>
      </c>
      <c r="BJ6">
        <v>0</v>
      </c>
      <c r="BK6">
        <v>8</v>
      </c>
      <c r="BL6">
        <v>8</v>
      </c>
      <c r="BM6">
        <v>8</v>
      </c>
      <c r="BN6">
        <v>8</v>
      </c>
      <c r="BO6">
        <v>8</v>
      </c>
      <c r="BP6">
        <v>0</v>
      </c>
      <c r="BQ6" t="str">
        <f>"7:30 AM"</f>
        <v>7:30 AM</v>
      </c>
      <c r="BR6" t="str">
        <f>"5:30 PM"</f>
        <v>5:30 PM</v>
      </c>
      <c r="BS6" t="s">
        <v>131</v>
      </c>
      <c r="BT6">
        <v>0</v>
      </c>
      <c r="BU6">
        <v>0</v>
      </c>
      <c r="BV6" t="s">
        <v>114</v>
      </c>
      <c r="BX6" t="s">
        <v>3762</v>
      </c>
      <c r="BY6" t="s">
        <v>13880</v>
      </c>
      <c r="CA6" t="s">
        <v>3758</v>
      </c>
      <c r="CB6" t="s">
        <v>375</v>
      </c>
      <c r="CC6" s="8" t="str">
        <f>"28079"</f>
        <v>28079</v>
      </c>
      <c r="CD6" t="s">
        <v>3740</v>
      </c>
      <c r="CE6" t="s">
        <v>2940</v>
      </c>
      <c r="CF6" s="12">
        <v>17.239999999999998</v>
      </c>
      <c r="CG6" s="12">
        <v>18.5</v>
      </c>
      <c r="CH6" s="12">
        <v>25.86</v>
      </c>
      <c r="CI6" s="12">
        <v>27.75</v>
      </c>
      <c r="CJ6" t="s">
        <v>135</v>
      </c>
      <c r="CK6" t="s">
        <v>1899</v>
      </c>
      <c r="CL6" t="s">
        <v>13881</v>
      </c>
      <c r="CO6" t="s">
        <v>132</v>
      </c>
      <c r="CP6" t="s">
        <v>136</v>
      </c>
      <c r="CQ6" t="s">
        <v>136</v>
      </c>
      <c r="CR6" t="s">
        <v>136</v>
      </c>
      <c r="CS6" t="s">
        <v>136</v>
      </c>
      <c r="CT6" t="s">
        <v>136</v>
      </c>
      <c r="CU6" t="s">
        <v>136</v>
      </c>
      <c r="CV6" t="s">
        <v>3763</v>
      </c>
      <c r="CW6" s="10" t="str">
        <f>"+17048212407"</f>
        <v>+17048212407</v>
      </c>
      <c r="CX6" t="s">
        <v>3761</v>
      </c>
      <c r="CY6" t="s">
        <v>132</v>
      </c>
      <c r="CZ6" t="s">
        <v>137</v>
      </c>
      <c r="DA6" t="s">
        <v>114</v>
      </c>
      <c r="DB6" t="s">
        <v>136</v>
      </c>
      <c r="DC6" t="s">
        <v>136</v>
      </c>
      <c r="DD6" t="s">
        <v>114</v>
      </c>
    </row>
    <row r="7" spans="1:113" ht="15" customHeight="1" x14ac:dyDescent="0.25">
      <c r="A7" t="s">
        <v>17801</v>
      </c>
      <c r="B7" t="s">
        <v>152</v>
      </c>
      <c r="C7" s="1">
        <v>45262.043648032406</v>
      </c>
      <c r="D7" s="1">
        <v>45289</v>
      </c>
      <c r="E7" t="s">
        <v>132</v>
      </c>
      <c r="F7" t="s">
        <v>9455</v>
      </c>
      <c r="G7" t="str">
        <f>"37-3011.00"</f>
        <v>37-3011.00</v>
      </c>
      <c r="H7" t="s">
        <v>429</v>
      </c>
      <c r="I7">
        <v>2</v>
      </c>
      <c r="J7">
        <v>2</v>
      </c>
      <c r="K7" s="1">
        <v>45352</v>
      </c>
      <c r="L7" s="1">
        <v>45626</v>
      </c>
      <c r="M7" s="1">
        <v>45352</v>
      </c>
      <c r="N7" s="1">
        <v>45626</v>
      </c>
      <c r="O7" t="s">
        <v>238</v>
      </c>
      <c r="P7" t="s">
        <v>17802</v>
      </c>
      <c r="R7" t="s">
        <v>17803</v>
      </c>
      <c r="T7" t="s">
        <v>7837</v>
      </c>
      <c r="U7" t="s">
        <v>358</v>
      </c>
      <c r="V7" s="8" t="str">
        <f>"12845"</f>
        <v>12845</v>
      </c>
      <c r="W7" t="s">
        <v>118</v>
      </c>
      <c r="Y7" s="10">
        <v>15186682085</v>
      </c>
      <c r="AA7">
        <v>72111</v>
      </c>
      <c r="AB7" t="s">
        <v>17804</v>
      </c>
      <c r="AC7" t="s">
        <v>17633</v>
      </c>
      <c r="AE7" t="s">
        <v>5143</v>
      </c>
      <c r="AF7" t="s">
        <v>17803</v>
      </c>
      <c r="AH7" t="s">
        <v>7837</v>
      </c>
      <c r="AI7" t="s">
        <v>358</v>
      </c>
      <c r="AJ7" s="8" t="str">
        <f>"12845"</f>
        <v>12845</v>
      </c>
      <c r="AK7" t="s">
        <v>118</v>
      </c>
      <c r="AM7" s="10">
        <v>15186682085</v>
      </c>
      <c r="AO7" t="s">
        <v>132</v>
      </c>
      <c r="AP7" t="s">
        <v>248</v>
      </c>
      <c r="AQ7" t="s">
        <v>354</v>
      </c>
      <c r="AR7" t="s">
        <v>355</v>
      </c>
      <c r="AT7" t="s">
        <v>356</v>
      </c>
      <c r="AV7" t="s">
        <v>357</v>
      </c>
      <c r="AW7" t="s">
        <v>358</v>
      </c>
      <c r="AX7" s="8" t="str">
        <f>"11590"</f>
        <v>11590</v>
      </c>
      <c r="AY7" t="s">
        <v>118</v>
      </c>
      <c r="BA7" s="10">
        <v>15163307168</v>
      </c>
      <c r="BC7" t="s">
        <v>359</v>
      </c>
      <c r="BD7" t="s">
        <v>8123</v>
      </c>
      <c r="BG7" t="s">
        <v>358</v>
      </c>
      <c r="BH7" s="1">
        <v>45222.833333333336</v>
      </c>
      <c r="BI7">
        <v>40</v>
      </c>
      <c r="BJ7">
        <v>0</v>
      </c>
      <c r="BK7">
        <v>8</v>
      </c>
      <c r="BL7">
        <v>8</v>
      </c>
      <c r="BM7">
        <v>8</v>
      </c>
      <c r="BN7">
        <v>8</v>
      </c>
      <c r="BO7">
        <v>8</v>
      </c>
      <c r="BP7">
        <v>0</v>
      </c>
      <c r="BQ7" t="str">
        <f>"8:00 AM"</f>
        <v>8:00 AM</v>
      </c>
      <c r="BR7" t="str">
        <f>"5:00 PM"</f>
        <v>5:00 PM</v>
      </c>
      <c r="BS7" t="s">
        <v>131</v>
      </c>
      <c r="BT7">
        <v>0</v>
      </c>
      <c r="BU7">
        <v>0</v>
      </c>
      <c r="BV7" t="s">
        <v>114</v>
      </c>
      <c r="BX7" t="s">
        <v>1480</v>
      </c>
      <c r="BY7" t="s">
        <v>17803</v>
      </c>
      <c r="CA7" t="s">
        <v>7837</v>
      </c>
      <c r="CB7" t="s">
        <v>358</v>
      </c>
      <c r="CC7" s="8" t="str">
        <f>"12845"</f>
        <v>12845</v>
      </c>
      <c r="CD7" t="s">
        <v>1017</v>
      </c>
      <c r="CE7" t="s">
        <v>3626</v>
      </c>
      <c r="CF7" s="12">
        <v>17.989999999999998</v>
      </c>
      <c r="CG7" s="12">
        <v>17.989999999999998</v>
      </c>
      <c r="CH7" s="12">
        <v>26.99</v>
      </c>
      <c r="CI7" s="12">
        <v>26.99</v>
      </c>
      <c r="CJ7" t="s">
        <v>135</v>
      </c>
      <c r="CK7" t="s">
        <v>132</v>
      </c>
      <c r="CL7" t="s">
        <v>17805</v>
      </c>
      <c r="CO7" t="s">
        <v>132</v>
      </c>
      <c r="CP7" t="s">
        <v>114</v>
      </c>
      <c r="CQ7" t="s">
        <v>114</v>
      </c>
      <c r="CR7" t="s">
        <v>136</v>
      </c>
      <c r="CS7" t="s">
        <v>114</v>
      </c>
      <c r="CT7" t="s">
        <v>136</v>
      </c>
      <c r="CU7" t="s">
        <v>114</v>
      </c>
      <c r="CV7" t="s">
        <v>1480</v>
      </c>
      <c r="CW7" s="10" t="str">
        <f>"+15186682085"</f>
        <v>+15186682085</v>
      </c>
      <c r="CX7" t="s">
        <v>17635</v>
      </c>
      <c r="CY7" t="s">
        <v>132</v>
      </c>
      <c r="CZ7" t="s">
        <v>137</v>
      </c>
      <c r="DA7" t="s">
        <v>114</v>
      </c>
      <c r="DB7" t="s">
        <v>114</v>
      </c>
      <c r="DC7" t="s">
        <v>136</v>
      </c>
      <c r="DD7" t="s">
        <v>114</v>
      </c>
    </row>
    <row r="8" spans="1:113" ht="15" customHeight="1" x14ac:dyDescent="0.25">
      <c r="A8" t="s">
        <v>23882</v>
      </c>
      <c r="B8" t="s">
        <v>152</v>
      </c>
      <c r="C8" s="1">
        <v>45262.039776736114</v>
      </c>
      <c r="D8" s="1">
        <v>45289</v>
      </c>
      <c r="E8" t="s">
        <v>132</v>
      </c>
      <c r="F8" t="s">
        <v>2852</v>
      </c>
      <c r="G8" t="str">
        <f>"35-3023.00"</f>
        <v>35-3023.00</v>
      </c>
      <c r="H8" t="s">
        <v>1365</v>
      </c>
      <c r="I8">
        <v>5</v>
      </c>
      <c r="J8">
        <v>5</v>
      </c>
      <c r="K8" s="1">
        <v>45352</v>
      </c>
      <c r="L8" s="1">
        <v>45658</v>
      </c>
      <c r="M8" s="1">
        <v>45352</v>
      </c>
      <c r="N8" s="1">
        <v>45658</v>
      </c>
      <c r="O8" t="s">
        <v>116</v>
      </c>
      <c r="P8" t="s">
        <v>2853</v>
      </c>
      <c r="Q8" t="s">
        <v>2854</v>
      </c>
      <c r="R8" t="s">
        <v>2855</v>
      </c>
      <c r="T8" t="s">
        <v>2856</v>
      </c>
      <c r="U8" t="s">
        <v>1691</v>
      </c>
      <c r="V8" s="8" t="str">
        <f>"29455"</f>
        <v>29455</v>
      </c>
      <c r="W8" t="s">
        <v>118</v>
      </c>
      <c r="Y8" s="10">
        <v>17049987395</v>
      </c>
      <c r="AA8">
        <v>72251</v>
      </c>
      <c r="AB8" t="s">
        <v>2857</v>
      </c>
      <c r="AC8" t="s">
        <v>931</v>
      </c>
      <c r="AD8" t="s">
        <v>132</v>
      </c>
      <c r="AE8" t="s">
        <v>561</v>
      </c>
      <c r="AF8" t="s">
        <v>2855</v>
      </c>
      <c r="AH8" t="s">
        <v>2856</v>
      </c>
      <c r="AI8" t="s">
        <v>1691</v>
      </c>
      <c r="AJ8" s="8" t="str">
        <f>"29455"</f>
        <v>29455</v>
      </c>
      <c r="AK8" t="s">
        <v>118</v>
      </c>
      <c r="AM8" s="10">
        <v>17049987395</v>
      </c>
      <c r="AO8" t="s">
        <v>2858</v>
      </c>
      <c r="AP8" t="s">
        <v>248</v>
      </c>
      <c r="AQ8" t="s">
        <v>1030</v>
      </c>
      <c r="AR8" t="s">
        <v>1031</v>
      </c>
      <c r="AS8" t="s">
        <v>132</v>
      </c>
      <c r="AT8" t="s">
        <v>1253</v>
      </c>
      <c r="AU8" t="s">
        <v>852</v>
      </c>
      <c r="AV8" t="s">
        <v>853</v>
      </c>
      <c r="AW8" t="s">
        <v>854</v>
      </c>
      <c r="AX8" s="8" t="str">
        <f>"83814"</f>
        <v>83814</v>
      </c>
      <c r="AY8" t="s">
        <v>118</v>
      </c>
      <c r="BA8" s="10">
        <v>12087772654</v>
      </c>
      <c r="BC8" t="s">
        <v>2080</v>
      </c>
      <c r="BD8" t="s">
        <v>856</v>
      </c>
      <c r="BG8" t="s">
        <v>1691</v>
      </c>
      <c r="BH8" s="1">
        <v>45231.833333333336</v>
      </c>
      <c r="BI8">
        <v>40</v>
      </c>
      <c r="BJ8">
        <v>0</v>
      </c>
      <c r="BK8">
        <v>8</v>
      </c>
      <c r="BL8">
        <v>8</v>
      </c>
      <c r="BM8">
        <v>8</v>
      </c>
      <c r="BN8">
        <v>8</v>
      </c>
      <c r="BO8">
        <v>8</v>
      </c>
      <c r="BP8">
        <v>0</v>
      </c>
      <c r="BQ8" t="str">
        <f>"8:00 AM"</f>
        <v>8:00 AM</v>
      </c>
      <c r="BR8" t="str">
        <f>"5:00 PM"</f>
        <v>5:00 PM</v>
      </c>
      <c r="BS8" t="s">
        <v>131</v>
      </c>
      <c r="BT8">
        <v>0</v>
      </c>
      <c r="BU8">
        <v>0</v>
      </c>
      <c r="BV8" t="s">
        <v>114</v>
      </c>
      <c r="BX8" t="s">
        <v>2859</v>
      </c>
      <c r="BY8" t="s">
        <v>2855</v>
      </c>
      <c r="CA8" t="s">
        <v>2856</v>
      </c>
      <c r="CB8" t="s">
        <v>1691</v>
      </c>
      <c r="CC8" s="8" t="str">
        <f>"29455"</f>
        <v>29455</v>
      </c>
      <c r="CD8" t="s">
        <v>1868</v>
      </c>
      <c r="CE8" t="s">
        <v>1869</v>
      </c>
      <c r="CF8" s="12">
        <v>12</v>
      </c>
      <c r="CG8" s="12">
        <v>15</v>
      </c>
      <c r="CH8" s="12">
        <v>18</v>
      </c>
      <c r="CI8" s="12">
        <v>22.5</v>
      </c>
      <c r="CJ8" t="s">
        <v>135</v>
      </c>
      <c r="CK8" t="s">
        <v>1899</v>
      </c>
      <c r="CL8" t="s">
        <v>2860</v>
      </c>
      <c r="CO8" t="s">
        <v>132</v>
      </c>
      <c r="CP8" t="s">
        <v>114</v>
      </c>
      <c r="CQ8" t="s">
        <v>114</v>
      </c>
      <c r="CR8" t="s">
        <v>136</v>
      </c>
      <c r="CS8" t="s">
        <v>136</v>
      </c>
      <c r="CT8" t="s">
        <v>136</v>
      </c>
      <c r="CU8" t="s">
        <v>136</v>
      </c>
      <c r="CV8" t="s">
        <v>2861</v>
      </c>
      <c r="CW8" s="10" t="str">
        <f>"+17049987395"</f>
        <v>+17049987395</v>
      </c>
      <c r="CX8" t="s">
        <v>2862</v>
      </c>
      <c r="CY8" t="s">
        <v>132</v>
      </c>
      <c r="CZ8" t="s">
        <v>137</v>
      </c>
      <c r="DA8" t="s">
        <v>114</v>
      </c>
      <c r="DB8" t="s">
        <v>136</v>
      </c>
      <c r="DC8" t="s">
        <v>136</v>
      </c>
      <c r="DD8" t="s">
        <v>114</v>
      </c>
    </row>
    <row r="9" spans="1:113" ht="15" customHeight="1" x14ac:dyDescent="0.25">
      <c r="A9" t="s">
        <v>10848</v>
      </c>
      <c r="B9" t="s">
        <v>152</v>
      </c>
      <c r="C9" s="1">
        <v>45262.032158912036</v>
      </c>
      <c r="D9" s="1">
        <v>45289</v>
      </c>
      <c r="E9" t="s">
        <v>132</v>
      </c>
      <c r="F9" t="s">
        <v>1595</v>
      </c>
      <c r="G9" t="str">
        <f>"37-3011.00"</f>
        <v>37-3011.00</v>
      </c>
      <c r="H9" t="s">
        <v>429</v>
      </c>
      <c r="I9">
        <v>56</v>
      </c>
      <c r="J9">
        <v>56</v>
      </c>
      <c r="K9" s="1">
        <v>45352</v>
      </c>
      <c r="L9" s="1">
        <v>45626</v>
      </c>
      <c r="M9" s="1">
        <v>45352</v>
      </c>
      <c r="N9" s="1">
        <v>45626</v>
      </c>
      <c r="O9" t="s">
        <v>238</v>
      </c>
      <c r="P9" t="s">
        <v>10849</v>
      </c>
      <c r="R9" t="s">
        <v>10850</v>
      </c>
      <c r="T9" t="s">
        <v>2578</v>
      </c>
      <c r="U9" t="s">
        <v>375</v>
      </c>
      <c r="V9" s="8" t="str">
        <f>"28657"</f>
        <v>28657</v>
      </c>
      <c r="W9" t="s">
        <v>118</v>
      </c>
      <c r="Y9" s="10">
        <v>18282607089</v>
      </c>
      <c r="AA9">
        <v>56173</v>
      </c>
      <c r="AB9" t="s">
        <v>10851</v>
      </c>
      <c r="AC9" t="s">
        <v>2449</v>
      </c>
      <c r="AE9" t="s">
        <v>561</v>
      </c>
      <c r="AF9" t="s">
        <v>10850</v>
      </c>
      <c r="AH9" t="s">
        <v>2578</v>
      </c>
      <c r="AI9" t="s">
        <v>375</v>
      </c>
      <c r="AJ9" s="8" t="str">
        <f>"28657"</f>
        <v>28657</v>
      </c>
      <c r="AK9" t="s">
        <v>118</v>
      </c>
      <c r="AM9" s="10">
        <v>18282607089</v>
      </c>
      <c r="AO9" t="s">
        <v>10852</v>
      </c>
      <c r="AP9" t="s">
        <v>248</v>
      </c>
      <c r="AQ9" t="s">
        <v>849</v>
      </c>
      <c r="AR9" t="s">
        <v>850</v>
      </c>
      <c r="AS9" t="s">
        <v>132</v>
      </c>
      <c r="AT9" t="s">
        <v>1253</v>
      </c>
      <c r="AU9" t="s">
        <v>852</v>
      </c>
      <c r="AV9" t="s">
        <v>853</v>
      </c>
      <c r="AW9" t="s">
        <v>854</v>
      </c>
      <c r="AX9" s="8" t="str">
        <f>"83814"</f>
        <v>83814</v>
      </c>
      <c r="AY9" t="s">
        <v>118</v>
      </c>
      <c r="BA9" s="10">
        <v>12087772654</v>
      </c>
      <c r="BC9" t="s">
        <v>855</v>
      </c>
      <c r="BD9" t="s">
        <v>856</v>
      </c>
      <c r="BG9" t="s">
        <v>550</v>
      </c>
      <c r="BH9" s="1">
        <v>45260.791666666664</v>
      </c>
      <c r="BI9">
        <v>40</v>
      </c>
      <c r="BJ9">
        <v>0</v>
      </c>
      <c r="BK9">
        <v>8</v>
      </c>
      <c r="BL9">
        <v>8</v>
      </c>
      <c r="BM9">
        <v>8</v>
      </c>
      <c r="BN9">
        <v>8</v>
      </c>
      <c r="BO9">
        <v>8</v>
      </c>
      <c r="BP9">
        <v>0</v>
      </c>
      <c r="BQ9" t="str">
        <f>"7:00 AM"</f>
        <v>7:00 AM</v>
      </c>
      <c r="BR9" t="str">
        <f>"5:00 PM"</f>
        <v>5:00 PM</v>
      </c>
      <c r="BS9" t="s">
        <v>131</v>
      </c>
      <c r="BT9">
        <v>0</v>
      </c>
      <c r="BU9">
        <v>0</v>
      </c>
      <c r="BV9" t="s">
        <v>114</v>
      </c>
      <c r="BX9" t="s">
        <v>3491</v>
      </c>
      <c r="BY9" t="s">
        <v>10853</v>
      </c>
      <c r="CA9" t="s">
        <v>626</v>
      </c>
      <c r="CB9" t="s">
        <v>550</v>
      </c>
      <c r="CC9" s="8" t="str">
        <f>"30904"</f>
        <v>30904</v>
      </c>
      <c r="CD9" t="s">
        <v>1822</v>
      </c>
      <c r="CE9" t="s">
        <v>3543</v>
      </c>
      <c r="CF9" s="12">
        <v>15.97</v>
      </c>
      <c r="CH9" s="12">
        <v>23.96</v>
      </c>
      <c r="CJ9" t="s">
        <v>135</v>
      </c>
      <c r="CK9" t="s">
        <v>132</v>
      </c>
      <c r="CL9" t="s">
        <v>10854</v>
      </c>
      <c r="CO9" t="s">
        <v>132</v>
      </c>
      <c r="CP9" t="s">
        <v>136</v>
      </c>
      <c r="CQ9" t="s">
        <v>136</v>
      </c>
      <c r="CR9" t="s">
        <v>136</v>
      </c>
      <c r="CS9" t="s">
        <v>136</v>
      </c>
      <c r="CT9" t="s">
        <v>136</v>
      </c>
      <c r="CU9" t="s">
        <v>136</v>
      </c>
      <c r="CV9" t="s">
        <v>10855</v>
      </c>
      <c r="CW9" s="10" t="str">
        <f>"+18282607089"</f>
        <v>+18282607089</v>
      </c>
      <c r="CX9" t="s">
        <v>10852</v>
      </c>
      <c r="CY9" t="s">
        <v>132</v>
      </c>
      <c r="CZ9" t="s">
        <v>137</v>
      </c>
      <c r="DA9" t="s">
        <v>114</v>
      </c>
      <c r="DB9" t="s">
        <v>136</v>
      </c>
      <c r="DC9" t="s">
        <v>136</v>
      </c>
      <c r="DD9" t="s">
        <v>114</v>
      </c>
    </row>
    <row r="10" spans="1:113" ht="15" customHeight="1" x14ac:dyDescent="0.25">
      <c r="A10" t="s">
        <v>18739</v>
      </c>
      <c r="B10" t="s">
        <v>152</v>
      </c>
      <c r="C10" s="1">
        <v>45262.031700347223</v>
      </c>
      <c r="D10" s="1">
        <v>45289</v>
      </c>
      <c r="E10" t="s">
        <v>132</v>
      </c>
      <c r="F10" t="s">
        <v>1961</v>
      </c>
      <c r="G10" t="str">
        <f>"37-3011.00"</f>
        <v>37-3011.00</v>
      </c>
      <c r="H10" t="s">
        <v>429</v>
      </c>
      <c r="I10">
        <v>8</v>
      </c>
      <c r="J10">
        <v>8</v>
      </c>
      <c r="K10" s="1">
        <v>45352</v>
      </c>
      <c r="L10" s="1">
        <v>45646</v>
      </c>
      <c r="M10" s="1">
        <v>45352</v>
      </c>
      <c r="N10" s="1">
        <v>45646</v>
      </c>
      <c r="O10" t="s">
        <v>238</v>
      </c>
      <c r="P10" t="s">
        <v>18740</v>
      </c>
      <c r="R10" t="s">
        <v>18741</v>
      </c>
      <c r="T10" t="s">
        <v>5151</v>
      </c>
      <c r="U10" t="s">
        <v>358</v>
      </c>
      <c r="V10" s="8" t="str">
        <f>"11976"</f>
        <v>11976</v>
      </c>
      <c r="W10" t="s">
        <v>118</v>
      </c>
      <c r="Y10" s="10">
        <v>16312877295</v>
      </c>
      <c r="AA10">
        <v>56173</v>
      </c>
      <c r="AB10" t="s">
        <v>18742</v>
      </c>
      <c r="AC10" t="s">
        <v>9454</v>
      </c>
      <c r="AE10" t="s">
        <v>654</v>
      </c>
      <c r="AF10" t="s">
        <v>18741</v>
      </c>
      <c r="AH10" t="s">
        <v>5149</v>
      </c>
      <c r="AI10" t="s">
        <v>358</v>
      </c>
      <c r="AJ10" s="8" t="str">
        <f>"11976"</f>
        <v>11976</v>
      </c>
      <c r="AK10" t="s">
        <v>118</v>
      </c>
      <c r="AM10" s="10">
        <v>16312877295</v>
      </c>
      <c r="AO10" t="s">
        <v>132</v>
      </c>
      <c r="AP10" t="s">
        <v>248</v>
      </c>
      <c r="AQ10" t="s">
        <v>354</v>
      </c>
      <c r="AR10" t="s">
        <v>355</v>
      </c>
      <c r="AT10" t="s">
        <v>356</v>
      </c>
      <c r="AV10" t="s">
        <v>357</v>
      </c>
      <c r="AW10" t="s">
        <v>358</v>
      </c>
      <c r="AX10" s="8" t="str">
        <f>"11590"</f>
        <v>11590</v>
      </c>
      <c r="AY10" t="s">
        <v>118</v>
      </c>
      <c r="BA10" s="10">
        <v>15163307168</v>
      </c>
      <c r="BC10" t="s">
        <v>359</v>
      </c>
      <c r="BD10" t="s">
        <v>360</v>
      </c>
      <c r="BG10" t="s">
        <v>358</v>
      </c>
      <c r="BH10" s="1">
        <v>45216.833333333336</v>
      </c>
      <c r="BI10">
        <v>40</v>
      </c>
      <c r="BJ10">
        <v>0</v>
      </c>
      <c r="BK10">
        <v>8</v>
      </c>
      <c r="BL10">
        <v>8</v>
      </c>
      <c r="BM10">
        <v>8</v>
      </c>
      <c r="BN10">
        <v>8</v>
      </c>
      <c r="BO10">
        <v>8</v>
      </c>
      <c r="BP10">
        <v>0</v>
      </c>
      <c r="BQ10" t="str">
        <f>"8:00 AM"</f>
        <v>8:00 AM</v>
      </c>
      <c r="BR10" t="str">
        <f>"5:00 PM"</f>
        <v>5:00 PM</v>
      </c>
      <c r="BS10" t="s">
        <v>131</v>
      </c>
      <c r="BT10">
        <v>0</v>
      </c>
      <c r="BU10">
        <v>0</v>
      </c>
      <c r="BV10" t="s">
        <v>114</v>
      </c>
      <c r="BX10" t="s">
        <v>132</v>
      </c>
      <c r="BY10" t="s">
        <v>18741</v>
      </c>
      <c r="CA10" t="s">
        <v>5151</v>
      </c>
      <c r="CB10" t="s">
        <v>358</v>
      </c>
      <c r="CC10" s="8" t="str">
        <f>"11976"</f>
        <v>11976</v>
      </c>
      <c r="CD10" t="s">
        <v>1752</v>
      </c>
      <c r="CE10" t="s">
        <v>1418</v>
      </c>
      <c r="CF10" s="12">
        <v>20.81</v>
      </c>
      <c r="CG10" s="12">
        <v>23</v>
      </c>
      <c r="CH10" s="12">
        <v>31.22</v>
      </c>
      <c r="CI10" s="12">
        <v>34.5</v>
      </c>
      <c r="CJ10" t="s">
        <v>135</v>
      </c>
      <c r="CK10" t="s">
        <v>18743</v>
      </c>
      <c r="CL10" t="s">
        <v>18744</v>
      </c>
      <c r="CO10" t="s">
        <v>132</v>
      </c>
      <c r="CP10" t="s">
        <v>136</v>
      </c>
      <c r="CQ10" t="s">
        <v>136</v>
      </c>
      <c r="CR10" t="s">
        <v>136</v>
      </c>
      <c r="CS10" t="s">
        <v>114</v>
      </c>
      <c r="CT10" t="s">
        <v>136</v>
      </c>
      <c r="CU10" t="s">
        <v>114</v>
      </c>
      <c r="CV10" t="s">
        <v>1480</v>
      </c>
      <c r="CW10" s="10" t="str">
        <f>"+16312877295"</f>
        <v>+16312877295</v>
      </c>
      <c r="CX10" t="s">
        <v>18745</v>
      </c>
      <c r="CY10" t="s">
        <v>132</v>
      </c>
      <c r="CZ10" t="s">
        <v>137</v>
      </c>
      <c r="DA10" t="s">
        <v>114</v>
      </c>
      <c r="DB10" t="s">
        <v>114</v>
      </c>
      <c r="DC10" t="s">
        <v>136</v>
      </c>
      <c r="DD10" t="s">
        <v>114</v>
      </c>
    </row>
    <row r="11" spans="1:113" ht="15" customHeight="1" x14ac:dyDescent="0.25">
      <c r="A11" t="s">
        <v>17646</v>
      </c>
      <c r="B11" t="s">
        <v>152</v>
      </c>
      <c r="C11" s="1">
        <v>45262.028498958331</v>
      </c>
      <c r="D11" s="1">
        <v>45289</v>
      </c>
      <c r="E11" t="s">
        <v>132</v>
      </c>
      <c r="F11" t="s">
        <v>2199</v>
      </c>
      <c r="G11" t="str">
        <f>"51-3022.00"</f>
        <v>51-3022.00</v>
      </c>
      <c r="H11" t="s">
        <v>1004</v>
      </c>
      <c r="I11">
        <v>5</v>
      </c>
      <c r="J11">
        <v>5</v>
      </c>
      <c r="K11" s="1">
        <v>45352</v>
      </c>
      <c r="L11" s="1">
        <v>45641</v>
      </c>
      <c r="M11" s="1">
        <v>45352</v>
      </c>
      <c r="N11" s="1">
        <v>45641</v>
      </c>
      <c r="O11" t="s">
        <v>116</v>
      </c>
      <c r="P11" t="s">
        <v>17647</v>
      </c>
      <c r="Q11" t="s">
        <v>17648</v>
      </c>
      <c r="R11" t="s">
        <v>17649</v>
      </c>
      <c r="T11" t="s">
        <v>1851</v>
      </c>
      <c r="U11" t="s">
        <v>127</v>
      </c>
      <c r="V11" s="8" t="str">
        <f>"77465"</f>
        <v>77465</v>
      </c>
      <c r="W11" t="s">
        <v>118</v>
      </c>
      <c r="Y11" s="10">
        <v>19799433619</v>
      </c>
      <c r="AA11">
        <v>114112</v>
      </c>
      <c r="AB11" t="s">
        <v>1820</v>
      </c>
      <c r="AC11" t="s">
        <v>2449</v>
      </c>
      <c r="AE11" t="s">
        <v>120</v>
      </c>
      <c r="AF11" t="s">
        <v>17649</v>
      </c>
      <c r="AH11" t="s">
        <v>1851</v>
      </c>
      <c r="AI11" t="s">
        <v>127</v>
      </c>
      <c r="AJ11" s="8" t="str">
        <f>"77465"</f>
        <v>77465</v>
      </c>
      <c r="AK11" t="s">
        <v>118</v>
      </c>
      <c r="AM11" s="10">
        <v>19799433619</v>
      </c>
      <c r="AO11" t="s">
        <v>2204</v>
      </c>
      <c r="AP11" t="s">
        <v>248</v>
      </c>
      <c r="AQ11" t="s">
        <v>849</v>
      </c>
      <c r="AR11" t="s">
        <v>850</v>
      </c>
      <c r="AS11" t="s">
        <v>132</v>
      </c>
      <c r="AT11" t="s">
        <v>1253</v>
      </c>
      <c r="AU11" t="s">
        <v>852</v>
      </c>
      <c r="AV11" t="s">
        <v>853</v>
      </c>
      <c r="AW11" t="s">
        <v>854</v>
      </c>
      <c r="AX11" s="8" t="str">
        <f>"83814"</f>
        <v>83814</v>
      </c>
      <c r="AY11" t="s">
        <v>118</v>
      </c>
      <c r="BA11" s="10">
        <v>12087772654</v>
      </c>
      <c r="BC11" t="s">
        <v>855</v>
      </c>
      <c r="BD11" t="s">
        <v>856</v>
      </c>
      <c r="BG11" t="s">
        <v>127</v>
      </c>
      <c r="BH11" s="1">
        <v>45261.791666666664</v>
      </c>
      <c r="BI11">
        <v>40</v>
      </c>
      <c r="BJ11">
        <v>0</v>
      </c>
      <c r="BK11">
        <v>8</v>
      </c>
      <c r="BL11">
        <v>8</v>
      </c>
      <c r="BM11">
        <v>8</v>
      </c>
      <c r="BN11">
        <v>8</v>
      </c>
      <c r="BO11">
        <v>8</v>
      </c>
      <c r="BP11">
        <v>0</v>
      </c>
      <c r="BQ11" t="str">
        <f>"10:00 PM"</f>
        <v>10:00 PM</v>
      </c>
      <c r="BR11" t="str">
        <f>"6:00 AM"</f>
        <v>6:00 AM</v>
      </c>
      <c r="BS11" t="s">
        <v>131</v>
      </c>
      <c r="BT11">
        <v>0</v>
      </c>
      <c r="BU11">
        <v>0</v>
      </c>
      <c r="BV11" t="s">
        <v>114</v>
      </c>
      <c r="BX11" t="s">
        <v>2205</v>
      </c>
      <c r="BY11" t="s">
        <v>5286</v>
      </c>
      <c r="CA11" t="s">
        <v>1851</v>
      </c>
      <c r="CB11" t="s">
        <v>127</v>
      </c>
      <c r="CC11" s="8" t="str">
        <f>"77465"</f>
        <v>77465</v>
      </c>
      <c r="CD11" t="s">
        <v>1589</v>
      </c>
      <c r="CE11" t="s">
        <v>1590</v>
      </c>
      <c r="CF11" s="12">
        <v>15.33</v>
      </c>
      <c r="CH11" s="12">
        <v>23</v>
      </c>
      <c r="CJ11" t="s">
        <v>135</v>
      </c>
      <c r="CK11" t="s">
        <v>132</v>
      </c>
      <c r="CL11" t="s">
        <v>17650</v>
      </c>
      <c r="CO11" t="s">
        <v>132</v>
      </c>
      <c r="CP11" t="s">
        <v>136</v>
      </c>
      <c r="CQ11" t="s">
        <v>136</v>
      </c>
      <c r="CR11" t="s">
        <v>136</v>
      </c>
      <c r="CS11" t="s">
        <v>136</v>
      </c>
      <c r="CT11" t="s">
        <v>136</v>
      </c>
      <c r="CU11" t="s">
        <v>136</v>
      </c>
      <c r="CV11" t="s">
        <v>1040</v>
      </c>
      <c r="CW11" s="10" t="str">
        <f>"+19799433619"</f>
        <v>+19799433619</v>
      </c>
      <c r="CX11" t="s">
        <v>2204</v>
      </c>
      <c r="CY11" t="s">
        <v>132</v>
      </c>
      <c r="CZ11" t="s">
        <v>137</v>
      </c>
      <c r="DA11" t="s">
        <v>114</v>
      </c>
      <c r="DB11" t="s">
        <v>136</v>
      </c>
      <c r="DC11" t="s">
        <v>136</v>
      </c>
      <c r="DD11" t="s">
        <v>114</v>
      </c>
    </row>
    <row r="12" spans="1:113" ht="15" customHeight="1" x14ac:dyDescent="0.25">
      <c r="A12" t="s">
        <v>24085</v>
      </c>
      <c r="B12" t="s">
        <v>152</v>
      </c>
      <c r="C12" s="1">
        <v>45262.026904398146</v>
      </c>
      <c r="D12" s="1">
        <v>45289</v>
      </c>
      <c r="E12" t="s">
        <v>132</v>
      </c>
      <c r="F12" t="s">
        <v>3376</v>
      </c>
      <c r="G12" t="str">
        <f>"51-3022.00"</f>
        <v>51-3022.00</v>
      </c>
      <c r="H12" t="s">
        <v>1004</v>
      </c>
      <c r="I12">
        <v>5</v>
      </c>
      <c r="J12">
        <v>5</v>
      </c>
      <c r="K12" s="1">
        <v>45352</v>
      </c>
      <c r="L12" s="1">
        <v>45648</v>
      </c>
      <c r="M12" s="1">
        <v>45352</v>
      </c>
      <c r="N12" s="1">
        <v>45648</v>
      </c>
      <c r="O12" t="s">
        <v>116</v>
      </c>
      <c r="P12" t="s">
        <v>24086</v>
      </c>
      <c r="R12" t="s">
        <v>24087</v>
      </c>
      <c r="T12" t="s">
        <v>1851</v>
      </c>
      <c r="U12" t="s">
        <v>127</v>
      </c>
      <c r="V12" s="8" t="str">
        <f>"77465"</f>
        <v>77465</v>
      </c>
      <c r="W12" t="s">
        <v>118</v>
      </c>
      <c r="Y12" s="10">
        <v>19799433619</v>
      </c>
      <c r="AA12">
        <v>114112</v>
      </c>
      <c r="AB12" t="s">
        <v>1820</v>
      </c>
      <c r="AC12" t="s">
        <v>7741</v>
      </c>
      <c r="AE12" t="s">
        <v>120</v>
      </c>
      <c r="AF12" t="s">
        <v>24087</v>
      </c>
      <c r="AH12" t="s">
        <v>1851</v>
      </c>
      <c r="AI12" t="s">
        <v>127</v>
      </c>
      <c r="AJ12" s="8" t="str">
        <f>"77465"</f>
        <v>77465</v>
      </c>
      <c r="AK12" t="s">
        <v>118</v>
      </c>
      <c r="AM12" s="10">
        <v>19799433619</v>
      </c>
      <c r="AO12" t="s">
        <v>2204</v>
      </c>
      <c r="AP12" t="s">
        <v>248</v>
      </c>
      <c r="AQ12" t="s">
        <v>849</v>
      </c>
      <c r="AR12" t="s">
        <v>850</v>
      </c>
      <c r="AS12" t="s">
        <v>132</v>
      </c>
      <c r="AT12" t="s">
        <v>1253</v>
      </c>
      <c r="AU12" t="s">
        <v>852</v>
      </c>
      <c r="AV12" t="s">
        <v>853</v>
      </c>
      <c r="AW12" t="s">
        <v>854</v>
      </c>
      <c r="AX12" s="8" t="str">
        <f>"83814"</f>
        <v>83814</v>
      </c>
      <c r="AY12" t="s">
        <v>118</v>
      </c>
      <c r="BA12" s="10">
        <v>12087772654</v>
      </c>
      <c r="BC12" t="s">
        <v>855</v>
      </c>
      <c r="BD12" t="s">
        <v>856</v>
      </c>
      <c r="BG12" t="s">
        <v>127</v>
      </c>
      <c r="BH12" s="1">
        <v>45261.791666666664</v>
      </c>
      <c r="BI12">
        <v>40</v>
      </c>
      <c r="BJ12">
        <v>0</v>
      </c>
      <c r="BK12">
        <v>8</v>
      </c>
      <c r="BL12">
        <v>8</v>
      </c>
      <c r="BM12">
        <v>8</v>
      </c>
      <c r="BN12">
        <v>8</v>
      </c>
      <c r="BO12">
        <v>8</v>
      </c>
      <c r="BP12">
        <v>0</v>
      </c>
      <c r="BQ12" t="str">
        <f>"10:00 PM"</f>
        <v>10:00 PM</v>
      </c>
      <c r="BR12" t="str">
        <f>"6:00 AM"</f>
        <v>6:00 AM</v>
      </c>
      <c r="BS12" t="s">
        <v>131</v>
      </c>
      <c r="BT12">
        <v>0</v>
      </c>
      <c r="BU12">
        <v>0</v>
      </c>
      <c r="BV12" t="s">
        <v>114</v>
      </c>
      <c r="BX12" t="s">
        <v>2205</v>
      </c>
      <c r="BY12" t="s">
        <v>5286</v>
      </c>
      <c r="CA12" t="s">
        <v>1851</v>
      </c>
      <c r="CB12" t="s">
        <v>127</v>
      </c>
      <c r="CC12" s="8" t="str">
        <f>"77465"</f>
        <v>77465</v>
      </c>
      <c r="CD12" t="s">
        <v>1589</v>
      </c>
      <c r="CE12" t="s">
        <v>1590</v>
      </c>
      <c r="CF12" s="12">
        <v>15.33</v>
      </c>
      <c r="CH12" s="12">
        <v>23</v>
      </c>
      <c r="CJ12" t="s">
        <v>135</v>
      </c>
      <c r="CK12" t="s">
        <v>132</v>
      </c>
      <c r="CL12" t="s">
        <v>24088</v>
      </c>
      <c r="CO12" t="s">
        <v>132</v>
      </c>
      <c r="CP12" t="s">
        <v>136</v>
      </c>
      <c r="CQ12" t="s">
        <v>136</v>
      </c>
      <c r="CR12" t="s">
        <v>136</v>
      </c>
      <c r="CS12" t="s">
        <v>136</v>
      </c>
      <c r="CT12" t="s">
        <v>136</v>
      </c>
      <c r="CU12" t="s">
        <v>136</v>
      </c>
      <c r="CV12" t="s">
        <v>1040</v>
      </c>
      <c r="CW12" s="10" t="str">
        <f>"+19799433619"</f>
        <v>+19799433619</v>
      </c>
      <c r="CX12" t="s">
        <v>2204</v>
      </c>
      <c r="CY12" t="s">
        <v>132</v>
      </c>
      <c r="CZ12" t="s">
        <v>137</v>
      </c>
      <c r="DA12" t="s">
        <v>114</v>
      </c>
      <c r="DB12" t="s">
        <v>136</v>
      </c>
      <c r="DC12" t="s">
        <v>136</v>
      </c>
      <c r="DD12" t="s">
        <v>114</v>
      </c>
    </row>
    <row r="13" spans="1:113" ht="15" customHeight="1" x14ac:dyDescent="0.25">
      <c r="A13" t="s">
        <v>3375</v>
      </c>
      <c r="B13" t="s">
        <v>152</v>
      </c>
      <c r="C13" s="1">
        <v>45262.026636111113</v>
      </c>
      <c r="D13" s="1">
        <v>45289</v>
      </c>
      <c r="E13" t="s">
        <v>132</v>
      </c>
      <c r="F13" t="s">
        <v>3376</v>
      </c>
      <c r="G13" t="str">
        <f>"51-3022.00"</f>
        <v>51-3022.00</v>
      </c>
      <c r="H13" t="s">
        <v>1004</v>
      </c>
      <c r="I13">
        <v>5</v>
      </c>
      <c r="J13">
        <v>5</v>
      </c>
      <c r="K13" s="1">
        <v>45352</v>
      </c>
      <c r="L13" s="1">
        <v>45641</v>
      </c>
      <c r="M13" s="1">
        <v>45352</v>
      </c>
      <c r="N13" s="1">
        <v>45641</v>
      </c>
      <c r="O13" t="s">
        <v>116</v>
      </c>
      <c r="P13" t="s">
        <v>3377</v>
      </c>
      <c r="Q13" t="s">
        <v>3378</v>
      </c>
      <c r="R13" t="s">
        <v>3379</v>
      </c>
      <c r="T13" t="s">
        <v>1851</v>
      </c>
      <c r="U13" t="s">
        <v>127</v>
      </c>
      <c r="V13" s="8" t="str">
        <f>"77465"</f>
        <v>77465</v>
      </c>
      <c r="W13" t="s">
        <v>118</v>
      </c>
      <c r="Y13" s="10">
        <v>19799433619</v>
      </c>
      <c r="AA13">
        <v>114112</v>
      </c>
      <c r="AB13" t="s">
        <v>3380</v>
      </c>
      <c r="AC13" t="s">
        <v>3381</v>
      </c>
      <c r="AE13" t="s">
        <v>120</v>
      </c>
      <c r="AF13" t="s">
        <v>3379</v>
      </c>
      <c r="AH13" t="s">
        <v>1851</v>
      </c>
      <c r="AI13" t="s">
        <v>127</v>
      </c>
      <c r="AJ13" s="8" t="str">
        <f>"77465"</f>
        <v>77465</v>
      </c>
      <c r="AK13" t="s">
        <v>118</v>
      </c>
      <c r="AM13" s="10">
        <v>19799433619</v>
      </c>
      <c r="AO13" t="s">
        <v>2204</v>
      </c>
      <c r="AP13" t="s">
        <v>248</v>
      </c>
      <c r="AQ13" t="s">
        <v>849</v>
      </c>
      <c r="AR13" t="s">
        <v>850</v>
      </c>
      <c r="AS13" t="s">
        <v>132</v>
      </c>
      <c r="AT13" t="s">
        <v>1253</v>
      </c>
      <c r="AU13" t="s">
        <v>852</v>
      </c>
      <c r="AV13" t="s">
        <v>853</v>
      </c>
      <c r="AW13" t="s">
        <v>854</v>
      </c>
      <c r="AX13" s="8" t="str">
        <f>"83814"</f>
        <v>83814</v>
      </c>
      <c r="AY13" t="s">
        <v>118</v>
      </c>
      <c r="BA13" s="10">
        <v>12087772654</v>
      </c>
      <c r="BC13" t="s">
        <v>855</v>
      </c>
      <c r="BD13" t="s">
        <v>856</v>
      </c>
      <c r="BG13" t="s">
        <v>127</v>
      </c>
      <c r="BH13" s="1">
        <v>45261.791666666664</v>
      </c>
      <c r="BI13">
        <v>40</v>
      </c>
      <c r="BJ13">
        <v>0</v>
      </c>
      <c r="BK13">
        <v>8</v>
      </c>
      <c r="BL13">
        <v>8</v>
      </c>
      <c r="BM13">
        <v>8</v>
      </c>
      <c r="BN13">
        <v>8</v>
      </c>
      <c r="BO13">
        <v>8</v>
      </c>
      <c r="BP13">
        <v>0</v>
      </c>
      <c r="BQ13" t="str">
        <f>"10:00 PM"</f>
        <v>10:00 PM</v>
      </c>
      <c r="BR13" t="str">
        <f>"6:00 AM"</f>
        <v>6:00 AM</v>
      </c>
      <c r="BS13" t="s">
        <v>131</v>
      </c>
      <c r="BT13">
        <v>0</v>
      </c>
      <c r="BU13">
        <v>0</v>
      </c>
      <c r="BV13" t="s">
        <v>114</v>
      </c>
      <c r="BX13" t="s">
        <v>2205</v>
      </c>
      <c r="BY13" t="s">
        <v>2206</v>
      </c>
      <c r="CA13" t="s">
        <v>1851</v>
      </c>
      <c r="CB13" t="s">
        <v>127</v>
      </c>
      <c r="CC13" s="8" t="str">
        <f>"77465"</f>
        <v>77465</v>
      </c>
      <c r="CD13" t="s">
        <v>1589</v>
      </c>
      <c r="CE13" t="s">
        <v>1590</v>
      </c>
      <c r="CF13" s="12">
        <v>15.33</v>
      </c>
      <c r="CH13" s="12">
        <v>23</v>
      </c>
      <c r="CJ13" t="s">
        <v>135</v>
      </c>
      <c r="CK13" t="s">
        <v>132</v>
      </c>
      <c r="CL13" t="s">
        <v>3382</v>
      </c>
      <c r="CO13" t="s">
        <v>132</v>
      </c>
      <c r="CP13" t="s">
        <v>136</v>
      </c>
      <c r="CQ13" t="s">
        <v>136</v>
      </c>
      <c r="CR13" t="s">
        <v>136</v>
      </c>
      <c r="CS13" t="s">
        <v>136</v>
      </c>
      <c r="CT13" t="s">
        <v>136</v>
      </c>
      <c r="CU13" t="s">
        <v>136</v>
      </c>
      <c r="CV13" t="s">
        <v>1040</v>
      </c>
      <c r="CW13" s="10" t="str">
        <f>"+19799433619"</f>
        <v>+19799433619</v>
      </c>
      <c r="CX13" t="s">
        <v>2204</v>
      </c>
      <c r="CY13" t="s">
        <v>132</v>
      </c>
      <c r="CZ13" t="s">
        <v>137</v>
      </c>
      <c r="DA13" t="s">
        <v>114</v>
      </c>
      <c r="DB13" t="s">
        <v>136</v>
      </c>
      <c r="DC13" t="s">
        <v>136</v>
      </c>
      <c r="DD13" t="s">
        <v>114</v>
      </c>
    </row>
    <row r="14" spans="1:113" ht="15" customHeight="1" x14ac:dyDescent="0.25">
      <c r="A14" t="s">
        <v>23074</v>
      </c>
      <c r="B14" t="s">
        <v>152</v>
      </c>
      <c r="C14" s="1">
        <v>45262.026363888886</v>
      </c>
      <c r="D14" s="1">
        <v>45289</v>
      </c>
      <c r="E14" t="s">
        <v>132</v>
      </c>
      <c r="F14" t="s">
        <v>23075</v>
      </c>
      <c r="G14" t="str">
        <f>"51-3022.00"</f>
        <v>51-3022.00</v>
      </c>
      <c r="H14" t="s">
        <v>1004</v>
      </c>
      <c r="I14">
        <v>5</v>
      </c>
      <c r="J14">
        <v>5</v>
      </c>
      <c r="K14" s="1">
        <v>45352</v>
      </c>
      <c r="L14" s="1">
        <v>45641</v>
      </c>
      <c r="M14" s="1">
        <v>45352</v>
      </c>
      <c r="N14" s="1">
        <v>45641</v>
      </c>
      <c r="O14" t="s">
        <v>116</v>
      </c>
      <c r="P14" t="s">
        <v>23076</v>
      </c>
      <c r="Q14" t="s">
        <v>23077</v>
      </c>
      <c r="R14" t="s">
        <v>23078</v>
      </c>
      <c r="T14" t="s">
        <v>1851</v>
      </c>
      <c r="U14" t="s">
        <v>127</v>
      </c>
      <c r="V14" s="8" t="str">
        <f>"77465"</f>
        <v>77465</v>
      </c>
      <c r="W14" t="s">
        <v>118</v>
      </c>
      <c r="Y14" s="10">
        <v>19799433619</v>
      </c>
      <c r="AA14">
        <v>114112</v>
      </c>
      <c r="AB14" t="s">
        <v>1820</v>
      </c>
      <c r="AC14" t="s">
        <v>2925</v>
      </c>
      <c r="AE14" t="s">
        <v>120</v>
      </c>
      <c r="AF14" t="s">
        <v>23078</v>
      </c>
      <c r="AH14" t="s">
        <v>1851</v>
      </c>
      <c r="AI14" t="s">
        <v>127</v>
      </c>
      <c r="AJ14" s="8" t="str">
        <f>"77465"</f>
        <v>77465</v>
      </c>
      <c r="AK14" t="s">
        <v>118</v>
      </c>
      <c r="AM14" s="10">
        <v>19799433619</v>
      </c>
      <c r="AO14" t="s">
        <v>2204</v>
      </c>
      <c r="AP14" t="s">
        <v>248</v>
      </c>
      <c r="AQ14" t="s">
        <v>849</v>
      </c>
      <c r="AR14" t="s">
        <v>850</v>
      </c>
      <c r="AS14" t="s">
        <v>132</v>
      </c>
      <c r="AT14" t="s">
        <v>1253</v>
      </c>
      <c r="AU14" t="s">
        <v>852</v>
      </c>
      <c r="AV14" t="s">
        <v>853</v>
      </c>
      <c r="AW14" t="s">
        <v>854</v>
      </c>
      <c r="AX14" s="8" t="str">
        <f>"83814"</f>
        <v>83814</v>
      </c>
      <c r="AY14" t="s">
        <v>118</v>
      </c>
      <c r="BA14" s="10">
        <v>12087772654</v>
      </c>
      <c r="BC14" t="s">
        <v>855</v>
      </c>
      <c r="BD14" t="s">
        <v>856</v>
      </c>
      <c r="BG14" t="s">
        <v>127</v>
      </c>
      <c r="BH14" s="1">
        <v>45261.791666666664</v>
      </c>
      <c r="BI14">
        <v>40</v>
      </c>
      <c r="BJ14">
        <v>0</v>
      </c>
      <c r="BK14">
        <v>8</v>
      </c>
      <c r="BL14">
        <v>8</v>
      </c>
      <c r="BM14">
        <v>8</v>
      </c>
      <c r="BN14">
        <v>8</v>
      </c>
      <c r="BO14">
        <v>8</v>
      </c>
      <c r="BP14">
        <v>0</v>
      </c>
      <c r="BQ14" t="str">
        <f>"10:00 PM"</f>
        <v>10:00 PM</v>
      </c>
      <c r="BR14" t="str">
        <f>"6:00 AM"</f>
        <v>6:00 AM</v>
      </c>
      <c r="BS14" t="s">
        <v>131</v>
      </c>
      <c r="BT14">
        <v>0</v>
      </c>
      <c r="BU14">
        <v>0</v>
      </c>
      <c r="BV14" t="s">
        <v>114</v>
      </c>
      <c r="BX14" t="s">
        <v>2205</v>
      </c>
      <c r="BY14" t="s">
        <v>2206</v>
      </c>
      <c r="CA14" t="s">
        <v>1851</v>
      </c>
      <c r="CB14" t="s">
        <v>127</v>
      </c>
      <c r="CC14" s="8" t="str">
        <f>"77465"</f>
        <v>77465</v>
      </c>
      <c r="CD14" t="s">
        <v>1589</v>
      </c>
      <c r="CE14" t="s">
        <v>1590</v>
      </c>
      <c r="CF14" s="12">
        <v>15.33</v>
      </c>
      <c r="CH14" s="12">
        <v>23</v>
      </c>
      <c r="CJ14" t="s">
        <v>135</v>
      </c>
      <c r="CK14" t="s">
        <v>132</v>
      </c>
      <c r="CL14" t="s">
        <v>23079</v>
      </c>
      <c r="CO14" t="s">
        <v>132</v>
      </c>
      <c r="CP14" t="s">
        <v>136</v>
      </c>
      <c r="CQ14" t="s">
        <v>136</v>
      </c>
      <c r="CR14" t="s">
        <v>136</v>
      </c>
      <c r="CS14" t="s">
        <v>136</v>
      </c>
      <c r="CT14" t="s">
        <v>136</v>
      </c>
      <c r="CU14" t="s">
        <v>136</v>
      </c>
      <c r="CV14" t="s">
        <v>1040</v>
      </c>
      <c r="CW14" s="10" t="str">
        <f>"+19799433619"</f>
        <v>+19799433619</v>
      </c>
      <c r="CX14" t="s">
        <v>2204</v>
      </c>
      <c r="CY14" t="s">
        <v>132</v>
      </c>
      <c r="CZ14" t="s">
        <v>137</v>
      </c>
      <c r="DA14" t="s">
        <v>114</v>
      </c>
      <c r="DB14" t="s">
        <v>136</v>
      </c>
      <c r="DC14" t="s">
        <v>136</v>
      </c>
      <c r="DD14" t="s">
        <v>114</v>
      </c>
    </row>
    <row r="15" spans="1:113" ht="15" customHeight="1" x14ac:dyDescent="0.25">
      <c r="A15" t="s">
        <v>2198</v>
      </c>
      <c r="B15" t="s">
        <v>152</v>
      </c>
      <c r="C15" s="1">
        <v>45262.025858564812</v>
      </c>
      <c r="D15" s="1">
        <v>45289</v>
      </c>
      <c r="E15" t="s">
        <v>132</v>
      </c>
      <c r="F15" t="s">
        <v>2199</v>
      </c>
      <c r="G15" t="str">
        <f>"51-3022.00"</f>
        <v>51-3022.00</v>
      </c>
      <c r="H15" t="s">
        <v>1004</v>
      </c>
      <c r="I15">
        <v>5</v>
      </c>
      <c r="J15">
        <v>5</v>
      </c>
      <c r="K15" s="1">
        <v>45352</v>
      </c>
      <c r="L15" s="1">
        <v>45641</v>
      </c>
      <c r="M15" s="1">
        <v>45352</v>
      </c>
      <c r="N15" s="1">
        <v>45641</v>
      </c>
      <c r="O15" t="s">
        <v>116</v>
      </c>
      <c r="P15" t="s">
        <v>2200</v>
      </c>
      <c r="Q15" t="s">
        <v>2201</v>
      </c>
      <c r="R15" t="s">
        <v>2202</v>
      </c>
      <c r="T15" t="s">
        <v>1851</v>
      </c>
      <c r="U15" t="s">
        <v>127</v>
      </c>
      <c r="V15" s="8" t="str">
        <f>"77465"</f>
        <v>77465</v>
      </c>
      <c r="W15" t="s">
        <v>118</v>
      </c>
      <c r="Y15" s="10">
        <v>19799433619</v>
      </c>
      <c r="AA15">
        <v>114112</v>
      </c>
      <c r="AB15" t="s">
        <v>1820</v>
      </c>
      <c r="AC15" t="s">
        <v>2203</v>
      </c>
      <c r="AE15" t="s">
        <v>120</v>
      </c>
      <c r="AF15" t="s">
        <v>2202</v>
      </c>
      <c r="AH15" t="s">
        <v>1851</v>
      </c>
      <c r="AI15" t="s">
        <v>127</v>
      </c>
      <c r="AJ15" s="8" t="str">
        <f>"77465"</f>
        <v>77465</v>
      </c>
      <c r="AK15" t="s">
        <v>118</v>
      </c>
      <c r="AM15" s="10">
        <v>19799433619</v>
      </c>
      <c r="AO15" t="s">
        <v>2204</v>
      </c>
      <c r="AP15" t="s">
        <v>248</v>
      </c>
      <c r="AQ15" t="s">
        <v>849</v>
      </c>
      <c r="AR15" t="s">
        <v>850</v>
      </c>
      <c r="AS15" t="s">
        <v>132</v>
      </c>
      <c r="AT15" t="s">
        <v>1253</v>
      </c>
      <c r="AU15" t="s">
        <v>852</v>
      </c>
      <c r="AV15" t="s">
        <v>853</v>
      </c>
      <c r="AW15" t="s">
        <v>854</v>
      </c>
      <c r="AX15" s="8" t="str">
        <f>"83814"</f>
        <v>83814</v>
      </c>
      <c r="AY15" t="s">
        <v>118</v>
      </c>
      <c r="BA15" s="10">
        <v>12087772654</v>
      </c>
      <c r="BC15" t="s">
        <v>855</v>
      </c>
      <c r="BD15" t="s">
        <v>856</v>
      </c>
      <c r="BG15" t="s">
        <v>127</v>
      </c>
      <c r="BH15" s="1">
        <v>45261.791666666664</v>
      </c>
      <c r="BI15">
        <v>40</v>
      </c>
      <c r="BJ15">
        <v>0</v>
      </c>
      <c r="BK15">
        <v>8</v>
      </c>
      <c r="BL15">
        <v>8</v>
      </c>
      <c r="BM15">
        <v>8</v>
      </c>
      <c r="BN15">
        <v>8</v>
      </c>
      <c r="BO15">
        <v>8</v>
      </c>
      <c r="BP15">
        <v>0</v>
      </c>
      <c r="BQ15" t="str">
        <f>"10:00 PM"</f>
        <v>10:00 PM</v>
      </c>
      <c r="BR15" t="str">
        <f>"6:00 AM"</f>
        <v>6:00 AM</v>
      </c>
      <c r="BS15" t="s">
        <v>131</v>
      </c>
      <c r="BT15">
        <v>0</v>
      </c>
      <c r="BU15">
        <v>0</v>
      </c>
      <c r="BV15" t="s">
        <v>114</v>
      </c>
      <c r="BX15" t="s">
        <v>2205</v>
      </c>
      <c r="BY15" t="s">
        <v>2206</v>
      </c>
      <c r="CA15" t="s">
        <v>2207</v>
      </c>
      <c r="CB15" t="s">
        <v>127</v>
      </c>
      <c r="CC15" s="8" t="str">
        <f>"77465"</f>
        <v>77465</v>
      </c>
      <c r="CD15" t="s">
        <v>1589</v>
      </c>
      <c r="CE15" t="s">
        <v>1590</v>
      </c>
      <c r="CF15" s="12">
        <v>15.33</v>
      </c>
      <c r="CH15" s="12">
        <v>23</v>
      </c>
      <c r="CJ15" t="s">
        <v>135</v>
      </c>
      <c r="CK15" t="s">
        <v>132</v>
      </c>
      <c r="CL15" t="s">
        <v>2208</v>
      </c>
      <c r="CO15" t="s">
        <v>132</v>
      </c>
      <c r="CP15" t="s">
        <v>136</v>
      </c>
      <c r="CQ15" t="s">
        <v>136</v>
      </c>
      <c r="CR15" t="s">
        <v>136</v>
      </c>
      <c r="CS15" t="s">
        <v>136</v>
      </c>
      <c r="CT15" t="s">
        <v>136</v>
      </c>
      <c r="CU15" t="s">
        <v>136</v>
      </c>
      <c r="CV15" t="s">
        <v>1040</v>
      </c>
      <c r="CW15" s="10" t="str">
        <f>"+19799433619"</f>
        <v>+19799433619</v>
      </c>
      <c r="CX15" t="s">
        <v>2204</v>
      </c>
      <c r="CY15" t="s">
        <v>132</v>
      </c>
      <c r="CZ15" t="s">
        <v>137</v>
      </c>
      <c r="DA15" t="s">
        <v>114</v>
      </c>
      <c r="DB15" t="s">
        <v>136</v>
      </c>
      <c r="DC15" t="s">
        <v>136</v>
      </c>
      <c r="DD15" t="s">
        <v>114</v>
      </c>
    </row>
    <row r="16" spans="1:113" ht="15" customHeight="1" x14ac:dyDescent="0.25">
      <c r="A16" t="s">
        <v>19032</v>
      </c>
      <c r="B16" t="s">
        <v>152</v>
      </c>
      <c r="C16" s="1">
        <v>45262.02432488426</v>
      </c>
      <c r="D16" s="1">
        <v>45289</v>
      </c>
      <c r="E16" t="s">
        <v>132</v>
      </c>
      <c r="F16" t="s">
        <v>6108</v>
      </c>
      <c r="G16" t="str">
        <f>"37-3011.00"</f>
        <v>37-3011.00</v>
      </c>
      <c r="H16" t="s">
        <v>429</v>
      </c>
      <c r="I16">
        <v>25</v>
      </c>
      <c r="J16">
        <v>25</v>
      </c>
      <c r="K16" s="1">
        <v>45352</v>
      </c>
      <c r="L16" s="1">
        <v>45627</v>
      </c>
      <c r="M16" s="1">
        <v>45352</v>
      </c>
      <c r="N16" s="1">
        <v>45627</v>
      </c>
      <c r="O16" t="s">
        <v>116</v>
      </c>
      <c r="P16" t="s">
        <v>15066</v>
      </c>
      <c r="R16" t="s">
        <v>15067</v>
      </c>
      <c r="T16" t="s">
        <v>15068</v>
      </c>
      <c r="U16" t="s">
        <v>819</v>
      </c>
      <c r="V16" s="8" t="str">
        <f>"46032"</f>
        <v>46032</v>
      </c>
      <c r="W16" t="s">
        <v>118</v>
      </c>
      <c r="Y16" s="10">
        <v>13178193291</v>
      </c>
      <c r="AA16">
        <v>56173</v>
      </c>
      <c r="AB16" t="s">
        <v>2479</v>
      </c>
      <c r="AC16" t="s">
        <v>5026</v>
      </c>
      <c r="AE16" t="s">
        <v>3876</v>
      </c>
      <c r="AF16" t="s">
        <v>15067</v>
      </c>
      <c r="AH16" t="s">
        <v>15068</v>
      </c>
      <c r="AI16" t="s">
        <v>819</v>
      </c>
      <c r="AJ16" s="8" t="str">
        <f>"46032"</f>
        <v>46032</v>
      </c>
      <c r="AK16" t="s">
        <v>118</v>
      </c>
      <c r="AM16" s="10">
        <v>13178193291</v>
      </c>
      <c r="AO16" t="s">
        <v>15069</v>
      </c>
      <c r="AP16" t="s">
        <v>248</v>
      </c>
      <c r="AQ16" t="s">
        <v>3124</v>
      </c>
      <c r="AR16" t="s">
        <v>3125</v>
      </c>
      <c r="AS16" t="s">
        <v>132</v>
      </c>
      <c r="AT16" t="s">
        <v>1253</v>
      </c>
      <c r="AU16" t="s">
        <v>852</v>
      </c>
      <c r="AV16" t="s">
        <v>853</v>
      </c>
      <c r="AW16" t="s">
        <v>854</v>
      </c>
      <c r="AX16" s="8" t="str">
        <f>"83814"</f>
        <v>83814</v>
      </c>
      <c r="AY16" t="s">
        <v>118</v>
      </c>
      <c r="BA16" s="10">
        <v>12087772654</v>
      </c>
      <c r="BC16" t="s">
        <v>3126</v>
      </c>
      <c r="BD16" t="s">
        <v>856</v>
      </c>
      <c r="BG16" t="s">
        <v>819</v>
      </c>
      <c r="BH16" s="1">
        <v>45260.791666666664</v>
      </c>
      <c r="BI16">
        <v>45</v>
      </c>
      <c r="BJ16">
        <v>0</v>
      </c>
      <c r="BK16">
        <v>9</v>
      </c>
      <c r="BL16">
        <v>9</v>
      </c>
      <c r="BM16">
        <v>9</v>
      </c>
      <c r="BN16">
        <v>9</v>
      </c>
      <c r="BO16">
        <v>9</v>
      </c>
      <c r="BP16">
        <v>0</v>
      </c>
      <c r="BQ16" t="str">
        <f>"7:30 AM"</f>
        <v>7:30 AM</v>
      </c>
      <c r="BR16" t="str">
        <f>"4:30 PM"</f>
        <v>4:30 PM</v>
      </c>
      <c r="BS16" t="s">
        <v>131</v>
      </c>
      <c r="BT16">
        <v>0</v>
      </c>
      <c r="BU16">
        <v>0</v>
      </c>
      <c r="BV16" t="s">
        <v>114</v>
      </c>
      <c r="BX16" t="s">
        <v>5630</v>
      </c>
      <c r="BY16" t="s">
        <v>19033</v>
      </c>
      <c r="CA16" t="s">
        <v>3445</v>
      </c>
      <c r="CB16" t="s">
        <v>819</v>
      </c>
      <c r="CC16" s="8" t="str">
        <f>"47201"</f>
        <v>47201</v>
      </c>
      <c r="CD16" t="s">
        <v>19034</v>
      </c>
      <c r="CE16" t="s">
        <v>19035</v>
      </c>
      <c r="CF16" s="12">
        <v>17.190000000000001</v>
      </c>
      <c r="CG16" s="12">
        <v>17.25</v>
      </c>
      <c r="CH16" s="12">
        <v>25.79</v>
      </c>
      <c r="CI16" s="12">
        <v>25.88</v>
      </c>
      <c r="CJ16" t="s">
        <v>135</v>
      </c>
      <c r="CK16" t="s">
        <v>1899</v>
      </c>
      <c r="CL16" t="s">
        <v>19036</v>
      </c>
      <c r="CO16" t="s">
        <v>132</v>
      </c>
      <c r="CP16" t="s">
        <v>136</v>
      </c>
      <c r="CQ16" t="s">
        <v>136</v>
      </c>
      <c r="CR16" t="s">
        <v>136</v>
      </c>
      <c r="CS16" t="s">
        <v>136</v>
      </c>
      <c r="CT16" t="s">
        <v>136</v>
      </c>
      <c r="CU16" t="s">
        <v>136</v>
      </c>
      <c r="CV16" t="s">
        <v>15070</v>
      </c>
      <c r="CW16" s="10" t="str">
        <f>"+13178193291"</f>
        <v>+13178193291</v>
      </c>
      <c r="CX16" t="s">
        <v>15069</v>
      </c>
      <c r="CY16" t="s">
        <v>132</v>
      </c>
      <c r="CZ16" t="s">
        <v>137</v>
      </c>
      <c r="DA16" t="s">
        <v>114</v>
      </c>
      <c r="DB16" t="s">
        <v>136</v>
      </c>
      <c r="DC16" t="s">
        <v>136</v>
      </c>
      <c r="DD16" t="s">
        <v>114</v>
      </c>
    </row>
    <row r="17" spans="1:108" ht="15" customHeight="1" x14ac:dyDescent="0.25">
      <c r="A17" t="s">
        <v>21093</v>
      </c>
      <c r="B17" t="s">
        <v>152</v>
      </c>
      <c r="C17" s="1">
        <v>45262.020484143519</v>
      </c>
      <c r="D17" s="1">
        <v>45289</v>
      </c>
      <c r="E17" t="s">
        <v>132</v>
      </c>
      <c r="F17" t="s">
        <v>1595</v>
      </c>
      <c r="G17" t="str">
        <f>"37-3011.00"</f>
        <v>37-3011.00</v>
      </c>
      <c r="H17" t="s">
        <v>429</v>
      </c>
      <c r="I17">
        <v>36</v>
      </c>
      <c r="J17">
        <v>36</v>
      </c>
      <c r="K17" s="1">
        <v>45352</v>
      </c>
      <c r="L17" s="1">
        <v>45596</v>
      </c>
      <c r="M17" s="1">
        <v>45352</v>
      </c>
      <c r="N17" s="1">
        <v>45596</v>
      </c>
      <c r="O17" t="s">
        <v>238</v>
      </c>
      <c r="P17" t="s">
        <v>21094</v>
      </c>
      <c r="R17" t="s">
        <v>21095</v>
      </c>
      <c r="T17" t="s">
        <v>15176</v>
      </c>
      <c r="U17" t="s">
        <v>188</v>
      </c>
      <c r="V17" s="8" t="str">
        <f>"80110"</f>
        <v>80110</v>
      </c>
      <c r="W17" t="s">
        <v>118</v>
      </c>
      <c r="Y17" s="10">
        <v>13037106550</v>
      </c>
      <c r="AA17">
        <v>56173</v>
      </c>
      <c r="AB17" t="s">
        <v>16119</v>
      </c>
      <c r="AC17" t="s">
        <v>2005</v>
      </c>
      <c r="AE17" t="s">
        <v>1349</v>
      </c>
      <c r="AF17" t="s">
        <v>21095</v>
      </c>
      <c r="AH17" t="s">
        <v>15176</v>
      </c>
      <c r="AI17" t="s">
        <v>188</v>
      </c>
      <c r="AJ17" s="8" t="str">
        <f>"80110"</f>
        <v>80110</v>
      </c>
      <c r="AK17" t="s">
        <v>118</v>
      </c>
      <c r="AM17" s="10">
        <v>13037106550</v>
      </c>
      <c r="AO17" t="s">
        <v>21096</v>
      </c>
      <c r="AP17" t="s">
        <v>248</v>
      </c>
      <c r="AQ17" t="s">
        <v>849</v>
      </c>
      <c r="AR17" t="s">
        <v>850</v>
      </c>
      <c r="AS17" t="s">
        <v>132</v>
      </c>
      <c r="AT17" t="s">
        <v>851</v>
      </c>
      <c r="AU17" t="s">
        <v>852</v>
      </c>
      <c r="AV17" t="s">
        <v>853</v>
      </c>
      <c r="AW17" t="s">
        <v>854</v>
      </c>
      <c r="AX17" s="8" t="str">
        <f>"83814"</f>
        <v>83814</v>
      </c>
      <c r="AY17" t="s">
        <v>118</v>
      </c>
      <c r="BA17" s="10">
        <v>12087772654</v>
      </c>
      <c r="BC17" t="s">
        <v>855</v>
      </c>
      <c r="BD17" t="s">
        <v>856</v>
      </c>
      <c r="BG17" t="s">
        <v>188</v>
      </c>
      <c r="BH17" s="1">
        <v>45261.791666666664</v>
      </c>
      <c r="BI17">
        <v>40</v>
      </c>
      <c r="BJ17">
        <v>0</v>
      </c>
      <c r="BK17">
        <v>8</v>
      </c>
      <c r="BL17">
        <v>8</v>
      </c>
      <c r="BM17">
        <v>8</v>
      </c>
      <c r="BN17">
        <v>8</v>
      </c>
      <c r="BO17">
        <v>8</v>
      </c>
      <c r="BP17">
        <v>0</v>
      </c>
      <c r="BQ17" t="str">
        <f>"6:00 AM"</f>
        <v>6:00 AM</v>
      </c>
      <c r="BR17" t="str">
        <f>"4:30 PM"</f>
        <v>4:30 PM</v>
      </c>
      <c r="BS17" t="s">
        <v>131</v>
      </c>
      <c r="BT17">
        <v>0</v>
      </c>
      <c r="BU17">
        <v>0</v>
      </c>
      <c r="BV17" t="s">
        <v>114</v>
      </c>
      <c r="BX17" s="2" t="s">
        <v>2070</v>
      </c>
      <c r="BY17" t="s">
        <v>21097</v>
      </c>
      <c r="CA17" t="s">
        <v>15176</v>
      </c>
      <c r="CB17" t="s">
        <v>188</v>
      </c>
      <c r="CC17" s="8" t="str">
        <f>"80110"</f>
        <v>80110</v>
      </c>
      <c r="CD17" t="s">
        <v>1807</v>
      </c>
      <c r="CE17" t="s">
        <v>195</v>
      </c>
      <c r="CF17" s="12">
        <v>20.25</v>
      </c>
      <c r="CG17" s="12">
        <v>26</v>
      </c>
      <c r="CH17" s="12">
        <v>30.38</v>
      </c>
      <c r="CI17" s="12">
        <v>39</v>
      </c>
      <c r="CJ17" t="s">
        <v>135</v>
      </c>
      <c r="CK17" t="s">
        <v>1899</v>
      </c>
      <c r="CL17" t="s">
        <v>21098</v>
      </c>
      <c r="CO17" t="s">
        <v>132</v>
      </c>
      <c r="CP17" t="s">
        <v>136</v>
      </c>
      <c r="CQ17" t="s">
        <v>136</v>
      </c>
      <c r="CR17" t="s">
        <v>136</v>
      </c>
      <c r="CS17" t="s">
        <v>136</v>
      </c>
      <c r="CT17" t="s">
        <v>136</v>
      </c>
      <c r="CU17" t="s">
        <v>114</v>
      </c>
      <c r="CV17" t="s">
        <v>1040</v>
      </c>
      <c r="CW17" s="10" t="str">
        <f>"+13037106550"</f>
        <v>+13037106550</v>
      </c>
      <c r="CX17" t="s">
        <v>21099</v>
      </c>
      <c r="CY17" t="s">
        <v>132</v>
      </c>
      <c r="CZ17" t="s">
        <v>137</v>
      </c>
      <c r="DA17" t="s">
        <v>114</v>
      </c>
      <c r="DB17" t="s">
        <v>136</v>
      </c>
      <c r="DC17" t="s">
        <v>136</v>
      </c>
      <c r="DD17" t="s">
        <v>114</v>
      </c>
    </row>
    <row r="18" spans="1:108" ht="15" customHeight="1" x14ac:dyDescent="0.25">
      <c r="A18" t="s">
        <v>20066</v>
      </c>
      <c r="B18" t="s">
        <v>152</v>
      </c>
      <c r="C18" s="1">
        <v>45262.016280555552</v>
      </c>
      <c r="D18" s="1">
        <v>45289</v>
      </c>
      <c r="E18" t="s">
        <v>132</v>
      </c>
      <c r="F18" t="s">
        <v>9455</v>
      </c>
      <c r="G18" t="str">
        <f>"37-3011.00"</f>
        <v>37-3011.00</v>
      </c>
      <c r="H18" t="s">
        <v>429</v>
      </c>
      <c r="I18">
        <v>6</v>
      </c>
      <c r="J18">
        <v>6</v>
      </c>
      <c r="K18" s="1">
        <v>45352</v>
      </c>
      <c r="L18" s="1">
        <v>45596</v>
      </c>
      <c r="M18" s="1">
        <v>45352</v>
      </c>
      <c r="N18" s="1">
        <v>45596</v>
      </c>
      <c r="O18" t="s">
        <v>238</v>
      </c>
      <c r="P18" t="s">
        <v>20067</v>
      </c>
      <c r="R18" t="s">
        <v>20068</v>
      </c>
      <c r="T18" t="s">
        <v>5822</v>
      </c>
      <c r="U18" t="s">
        <v>543</v>
      </c>
      <c r="V18" s="8" t="str">
        <f>"44313"</f>
        <v>44313</v>
      </c>
      <c r="W18" t="s">
        <v>118</v>
      </c>
      <c r="Y18" s="10">
        <v>13308365541</v>
      </c>
      <c r="AA18">
        <v>713910</v>
      </c>
      <c r="AB18" t="s">
        <v>4928</v>
      </c>
      <c r="AC18" t="s">
        <v>20069</v>
      </c>
      <c r="AE18" t="s">
        <v>7433</v>
      </c>
      <c r="AF18" t="s">
        <v>20068</v>
      </c>
      <c r="AH18" t="s">
        <v>5822</v>
      </c>
      <c r="AI18" t="s">
        <v>543</v>
      </c>
      <c r="AJ18" s="8" t="str">
        <f>"44313"</f>
        <v>44313</v>
      </c>
      <c r="AK18" t="s">
        <v>118</v>
      </c>
      <c r="AM18" s="10">
        <v>13308365541</v>
      </c>
      <c r="AO18" t="s">
        <v>796</v>
      </c>
      <c r="AP18" t="s">
        <v>248</v>
      </c>
      <c r="AQ18" t="s">
        <v>354</v>
      </c>
      <c r="AR18" t="s">
        <v>355</v>
      </c>
      <c r="AT18" t="s">
        <v>356</v>
      </c>
      <c r="AV18" t="s">
        <v>357</v>
      </c>
      <c r="AW18" t="s">
        <v>358</v>
      </c>
      <c r="AX18" s="8" t="str">
        <f>"11590"</f>
        <v>11590</v>
      </c>
      <c r="AY18" t="s">
        <v>118</v>
      </c>
      <c r="BA18" s="10">
        <v>17577613231</v>
      </c>
      <c r="BC18" t="s">
        <v>359</v>
      </c>
      <c r="BD18" t="s">
        <v>360</v>
      </c>
      <c r="BG18" t="s">
        <v>543</v>
      </c>
      <c r="BH18" s="1">
        <v>45253.791666666664</v>
      </c>
      <c r="BI18">
        <v>40</v>
      </c>
      <c r="BJ18">
        <v>0</v>
      </c>
      <c r="BK18">
        <v>8</v>
      </c>
      <c r="BL18">
        <v>8</v>
      </c>
      <c r="BM18">
        <v>8</v>
      </c>
      <c r="BN18">
        <v>8</v>
      </c>
      <c r="BO18">
        <v>8</v>
      </c>
      <c r="BP18">
        <v>0</v>
      </c>
      <c r="BQ18" t="str">
        <f>"7:00 AM"</f>
        <v>7:00 AM</v>
      </c>
      <c r="BR18" t="str">
        <f>"4:00 PM"</f>
        <v>4:00 PM</v>
      </c>
      <c r="BS18" t="s">
        <v>131</v>
      </c>
      <c r="BT18">
        <v>0</v>
      </c>
      <c r="BU18">
        <v>0</v>
      </c>
      <c r="BV18" t="s">
        <v>114</v>
      </c>
      <c r="BX18" t="s">
        <v>796</v>
      </c>
      <c r="BY18" t="s">
        <v>20068</v>
      </c>
      <c r="CA18" t="s">
        <v>5822</v>
      </c>
      <c r="CB18" t="s">
        <v>543</v>
      </c>
      <c r="CC18" s="8" t="str">
        <f>"44313"</f>
        <v>44313</v>
      </c>
      <c r="CD18" t="s">
        <v>228</v>
      </c>
      <c r="CE18" t="s">
        <v>4849</v>
      </c>
      <c r="CF18" s="12">
        <v>16.489999999999998</v>
      </c>
      <c r="CG18" s="12">
        <v>16.489999999999998</v>
      </c>
      <c r="CH18" s="12">
        <v>24.74</v>
      </c>
      <c r="CI18" s="12">
        <v>24.74</v>
      </c>
      <c r="CJ18" t="s">
        <v>135</v>
      </c>
      <c r="CL18" t="s">
        <v>20070</v>
      </c>
      <c r="CO18" t="s">
        <v>132</v>
      </c>
      <c r="CP18" t="s">
        <v>114</v>
      </c>
      <c r="CQ18" t="s">
        <v>114</v>
      </c>
      <c r="CR18" t="s">
        <v>136</v>
      </c>
      <c r="CS18" t="s">
        <v>114</v>
      </c>
      <c r="CT18" t="s">
        <v>136</v>
      </c>
      <c r="CU18" t="s">
        <v>136</v>
      </c>
      <c r="CV18" t="s">
        <v>20071</v>
      </c>
      <c r="CW18" s="10" t="str">
        <f>"+13308365541"</f>
        <v>+13308365541</v>
      </c>
      <c r="CX18" t="s">
        <v>20072</v>
      </c>
      <c r="CY18" t="s">
        <v>132</v>
      </c>
      <c r="CZ18" t="s">
        <v>137</v>
      </c>
      <c r="DA18" t="s">
        <v>114</v>
      </c>
      <c r="DB18" t="s">
        <v>114</v>
      </c>
      <c r="DC18" t="s">
        <v>136</v>
      </c>
      <c r="DD18" t="s">
        <v>114</v>
      </c>
    </row>
    <row r="19" spans="1:108" ht="15" customHeight="1" x14ac:dyDescent="0.25">
      <c r="A19" t="s">
        <v>20117</v>
      </c>
      <c r="B19" t="s">
        <v>152</v>
      </c>
      <c r="C19" s="1">
        <v>45262.010707638889</v>
      </c>
      <c r="D19" s="1">
        <v>45289</v>
      </c>
      <c r="E19" t="s">
        <v>132</v>
      </c>
      <c r="F19" t="s">
        <v>1595</v>
      </c>
      <c r="G19" t="str">
        <f>"37-3011.00"</f>
        <v>37-3011.00</v>
      </c>
      <c r="H19" t="s">
        <v>429</v>
      </c>
      <c r="I19">
        <v>7</v>
      </c>
      <c r="J19">
        <v>7</v>
      </c>
      <c r="K19" s="1">
        <v>45352</v>
      </c>
      <c r="L19" s="1">
        <v>45641</v>
      </c>
      <c r="M19" s="1">
        <v>45352</v>
      </c>
      <c r="N19" s="1">
        <v>45641</v>
      </c>
      <c r="O19" t="s">
        <v>116</v>
      </c>
      <c r="P19" t="s">
        <v>11198</v>
      </c>
      <c r="R19" t="s">
        <v>11199</v>
      </c>
      <c r="T19" t="s">
        <v>3569</v>
      </c>
      <c r="U19" t="s">
        <v>984</v>
      </c>
      <c r="V19" s="8" t="str">
        <f>"63005"</f>
        <v>63005</v>
      </c>
      <c r="W19" t="s">
        <v>118</v>
      </c>
      <c r="Y19" s="10">
        <v>16362209991</v>
      </c>
      <c r="AA19">
        <v>56173</v>
      </c>
      <c r="AB19" t="s">
        <v>11200</v>
      </c>
      <c r="AC19" t="s">
        <v>2849</v>
      </c>
      <c r="AE19" t="s">
        <v>561</v>
      </c>
      <c r="AF19" t="s">
        <v>11199</v>
      </c>
      <c r="AH19" t="s">
        <v>3569</v>
      </c>
      <c r="AI19" t="s">
        <v>984</v>
      </c>
      <c r="AJ19" s="8" t="str">
        <f>"63005"</f>
        <v>63005</v>
      </c>
      <c r="AK19" t="s">
        <v>118</v>
      </c>
      <c r="AM19" s="10">
        <v>16362209991</v>
      </c>
      <c r="AO19" t="s">
        <v>11201</v>
      </c>
      <c r="AP19" t="s">
        <v>248</v>
      </c>
      <c r="AQ19" t="s">
        <v>3124</v>
      </c>
      <c r="AR19" t="s">
        <v>3125</v>
      </c>
      <c r="AS19" t="s">
        <v>132</v>
      </c>
      <c r="AT19" t="s">
        <v>1253</v>
      </c>
      <c r="AU19" t="s">
        <v>852</v>
      </c>
      <c r="AV19" t="s">
        <v>853</v>
      </c>
      <c r="AW19" t="s">
        <v>854</v>
      </c>
      <c r="AX19" s="8" t="str">
        <f>"83814"</f>
        <v>83814</v>
      </c>
      <c r="AY19" t="s">
        <v>118</v>
      </c>
      <c r="BA19" s="10">
        <v>12087772654</v>
      </c>
      <c r="BC19" t="s">
        <v>3126</v>
      </c>
      <c r="BD19" t="s">
        <v>856</v>
      </c>
      <c r="BG19" t="s">
        <v>984</v>
      </c>
      <c r="BH19" s="1">
        <v>45260.791666666664</v>
      </c>
      <c r="BI19">
        <v>40</v>
      </c>
      <c r="BJ19">
        <v>0</v>
      </c>
      <c r="BK19">
        <v>8</v>
      </c>
      <c r="BL19">
        <v>8</v>
      </c>
      <c r="BM19">
        <v>8</v>
      </c>
      <c r="BN19">
        <v>8</v>
      </c>
      <c r="BO19">
        <v>8</v>
      </c>
      <c r="BP19">
        <v>0</v>
      </c>
      <c r="BQ19" t="str">
        <f>"7:30 AM"</f>
        <v>7:30 AM</v>
      </c>
      <c r="BR19" t="str">
        <f>"3:30 PM"</f>
        <v>3:30 PM</v>
      </c>
      <c r="BS19" t="s">
        <v>131</v>
      </c>
      <c r="BT19">
        <v>0</v>
      </c>
      <c r="BU19">
        <v>3</v>
      </c>
      <c r="BV19" t="s">
        <v>114</v>
      </c>
      <c r="BX19" t="s">
        <v>7471</v>
      </c>
      <c r="BY19" t="s">
        <v>11202</v>
      </c>
      <c r="CA19" t="s">
        <v>3569</v>
      </c>
      <c r="CB19" t="s">
        <v>984</v>
      </c>
      <c r="CC19" s="8" t="str">
        <f>"63005"</f>
        <v>63005</v>
      </c>
      <c r="CD19" t="s">
        <v>2851</v>
      </c>
      <c r="CE19" t="s">
        <v>1856</v>
      </c>
      <c r="CF19" s="12">
        <v>17.579999999999998</v>
      </c>
      <c r="CG19" s="12">
        <v>22</v>
      </c>
      <c r="CH19" s="12">
        <v>26.37</v>
      </c>
      <c r="CI19" s="12">
        <v>33</v>
      </c>
      <c r="CJ19" t="s">
        <v>135</v>
      </c>
      <c r="CK19" t="s">
        <v>1899</v>
      </c>
      <c r="CL19" t="s">
        <v>11203</v>
      </c>
      <c r="CO19" t="s">
        <v>132</v>
      </c>
      <c r="CP19" t="s">
        <v>136</v>
      </c>
      <c r="CQ19" t="s">
        <v>136</v>
      </c>
      <c r="CR19" t="s">
        <v>136</v>
      </c>
      <c r="CS19" t="s">
        <v>114</v>
      </c>
      <c r="CT19" t="s">
        <v>136</v>
      </c>
      <c r="CU19" t="s">
        <v>114</v>
      </c>
      <c r="CV19" t="s">
        <v>1040</v>
      </c>
      <c r="CW19" s="10" t="str">
        <f>"+16362209991"</f>
        <v>+16362209991</v>
      </c>
      <c r="CX19" t="s">
        <v>11204</v>
      </c>
      <c r="CY19" t="s">
        <v>132</v>
      </c>
      <c r="CZ19" t="s">
        <v>137</v>
      </c>
      <c r="DA19" t="s">
        <v>114</v>
      </c>
      <c r="DB19" t="s">
        <v>136</v>
      </c>
      <c r="DC19" t="s">
        <v>136</v>
      </c>
      <c r="DD19" t="s">
        <v>114</v>
      </c>
    </row>
    <row r="20" spans="1:108" ht="15" customHeight="1" x14ac:dyDescent="0.25">
      <c r="A20" t="s">
        <v>11038</v>
      </c>
      <c r="B20" t="s">
        <v>152</v>
      </c>
      <c r="C20" s="1">
        <v>45262.008706018518</v>
      </c>
      <c r="D20" s="1">
        <v>45289</v>
      </c>
      <c r="E20" t="s">
        <v>132</v>
      </c>
      <c r="F20" t="s">
        <v>9391</v>
      </c>
      <c r="G20" t="str">
        <f>"53-7062.00"</f>
        <v>53-7062.00</v>
      </c>
      <c r="H20" t="s">
        <v>2078</v>
      </c>
      <c r="I20">
        <v>8</v>
      </c>
      <c r="J20">
        <v>8</v>
      </c>
      <c r="K20" s="1">
        <v>45352</v>
      </c>
      <c r="L20" s="1">
        <v>45641</v>
      </c>
      <c r="M20" s="1">
        <v>45352</v>
      </c>
      <c r="N20" s="1">
        <v>45641</v>
      </c>
      <c r="O20" t="s">
        <v>238</v>
      </c>
      <c r="P20" t="s">
        <v>11039</v>
      </c>
      <c r="R20" t="s">
        <v>11040</v>
      </c>
      <c r="T20" t="s">
        <v>10987</v>
      </c>
      <c r="U20" t="s">
        <v>358</v>
      </c>
      <c r="V20" s="8" t="str">
        <f>"11801"</f>
        <v>11801</v>
      </c>
      <c r="W20" t="s">
        <v>118</v>
      </c>
      <c r="Y20" s="10">
        <v>15164334311</v>
      </c>
      <c r="AA20">
        <v>561790</v>
      </c>
      <c r="AB20" t="s">
        <v>11041</v>
      </c>
      <c r="AC20" t="s">
        <v>4294</v>
      </c>
      <c r="AE20" t="s">
        <v>654</v>
      </c>
      <c r="AF20" t="s">
        <v>11042</v>
      </c>
      <c r="AH20" t="s">
        <v>10987</v>
      </c>
      <c r="AI20" t="s">
        <v>358</v>
      </c>
      <c r="AJ20" s="8" t="str">
        <f>"11801"</f>
        <v>11801</v>
      </c>
      <c r="AK20" t="s">
        <v>118</v>
      </c>
      <c r="AM20" s="10">
        <v>15164334311</v>
      </c>
      <c r="AO20" t="s">
        <v>132</v>
      </c>
      <c r="AP20" t="s">
        <v>248</v>
      </c>
      <c r="AQ20" t="s">
        <v>354</v>
      </c>
      <c r="AR20" t="s">
        <v>355</v>
      </c>
      <c r="AT20" t="s">
        <v>356</v>
      </c>
      <c r="AV20" t="s">
        <v>357</v>
      </c>
      <c r="AW20" t="s">
        <v>358</v>
      </c>
      <c r="AX20" s="8" t="str">
        <f>"11590"</f>
        <v>11590</v>
      </c>
      <c r="AY20" t="s">
        <v>118</v>
      </c>
      <c r="BA20" s="10">
        <v>15163307168</v>
      </c>
      <c r="BC20" t="s">
        <v>359</v>
      </c>
      <c r="BD20" t="s">
        <v>360</v>
      </c>
      <c r="BG20" t="s">
        <v>358</v>
      </c>
      <c r="BH20" s="1">
        <v>45201.833333333336</v>
      </c>
      <c r="BI20">
        <v>40</v>
      </c>
      <c r="BJ20">
        <v>0</v>
      </c>
      <c r="BK20">
        <v>8</v>
      </c>
      <c r="BL20">
        <v>8</v>
      </c>
      <c r="BM20">
        <v>8</v>
      </c>
      <c r="BN20">
        <v>8</v>
      </c>
      <c r="BO20">
        <v>8</v>
      </c>
      <c r="BP20">
        <v>0</v>
      </c>
      <c r="BQ20" t="str">
        <f>"8:00 AM"</f>
        <v>8:00 AM</v>
      </c>
      <c r="BR20" t="str">
        <f>"4:00 PM"</f>
        <v>4:00 PM</v>
      </c>
      <c r="BS20" t="s">
        <v>131</v>
      </c>
      <c r="BT20">
        <v>0</v>
      </c>
      <c r="BU20">
        <v>0</v>
      </c>
      <c r="BV20" t="s">
        <v>114</v>
      </c>
      <c r="BX20" t="s">
        <v>132</v>
      </c>
      <c r="BY20" t="s">
        <v>11040</v>
      </c>
      <c r="CA20" t="s">
        <v>10987</v>
      </c>
      <c r="CB20" t="s">
        <v>358</v>
      </c>
      <c r="CC20" s="8" t="str">
        <f>"11801"</f>
        <v>11801</v>
      </c>
      <c r="CD20" t="s">
        <v>2352</v>
      </c>
      <c r="CE20" t="s">
        <v>1418</v>
      </c>
      <c r="CF20" s="12">
        <v>19.399999999999999</v>
      </c>
      <c r="CG20" s="12">
        <v>19.399999999999999</v>
      </c>
      <c r="CH20" s="12">
        <v>29.1</v>
      </c>
      <c r="CI20" s="12">
        <v>29.1</v>
      </c>
      <c r="CJ20" t="s">
        <v>135</v>
      </c>
      <c r="CK20" t="s">
        <v>132</v>
      </c>
      <c r="CL20" t="s">
        <v>11043</v>
      </c>
      <c r="CO20" t="s">
        <v>132</v>
      </c>
      <c r="CP20" t="s">
        <v>136</v>
      </c>
      <c r="CQ20" t="s">
        <v>136</v>
      </c>
      <c r="CR20" t="s">
        <v>136</v>
      </c>
      <c r="CS20" t="s">
        <v>114</v>
      </c>
      <c r="CT20" t="s">
        <v>136</v>
      </c>
      <c r="CU20" t="s">
        <v>114</v>
      </c>
      <c r="CV20" t="s">
        <v>1480</v>
      </c>
      <c r="CW20" s="10" t="str">
        <f>"+15164334311"</f>
        <v>+15164334311</v>
      </c>
      <c r="CX20" t="s">
        <v>11044</v>
      </c>
      <c r="CY20" t="s">
        <v>132</v>
      </c>
      <c r="CZ20" t="s">
        <v>137</v>
      </c>
      <c r="DA20" t="s">
        <v>114</v>
      </c>
      <c r="DB20" t="s">
        <v>114</v>
      </c>
      <c r="DC20" t="s">
        <v>136</v>
      </c>
      <c r="DD20" t="s">
        <v>114</v>
      </c>
    </row>
    <row r="21" spans="1:108" ht="15" customHeight="1" x14ac:dyDescent="0.25">
      <c r="A21" t="s">
        <v>22923</v>
      </c>
      <c r="B21" t="s">
        <v>152</v>
      </c>
      <c r="C21" s="1">
        <v>45262.007532870368</v>
      </c>
      <c r="D21" s="1">
        <v>45289</v>
      </c>
      <c r="E21" t="s">
        <v>132</v>
      </c>
      <c r="F21" t="s">
        <v>1595</v>
      </c>
      <c r="G21" t="str">
        <f>"37-3011.00"</f>
        <v>37-3011.00</v>
      </c>
      <c r="H21" t="s">
        <v>429</v>
      </c>
      <c r="I21">
        <v>8</v>
      </c>
      <c r="J21">
        <v>8</v>
      </c>
      <c r="K21" s="1">
        <v>45352</v>
      </c>
      <c r="L21" s="1">
        <v>45627</v>
      </c>
      <c r="M21" s="1">
        <v>45352</v>
      </c>
      <c r="N21" s="1">
        <v>45627</v>
      </c>
      <c r="O21" t="s">
        <v>116</v>
      </c>
      <c r="P21" t="s">
        <v>8053</v>
      </c>
      <c r="Q21" t="s">
        <v>8054</v>
      </c>
      <c r="R21" t="s">
        <v>8055</v>
      </c>
      <c r="T21" t="s">
        <v>8056</v>
      </c>
      <c r="U21" t="s">
        <v>984</v>
      </c>
      <c r="V21" s="8" t="str">
        <f>"63357"</f>
        <v>63357</v>
      </c>
      <c r="W21" t="s">
        <v>118</v>
      </c>
      <c r="Y21" s="10">
        <v>16364332234</v>
      </c>
      <c r="AA21">
        <v>44422</v>
      </c>
      <c r="AB21" t="s">
        <v>3023</v>
      </c>
      <c r="AC21" t="s">
        <v>8057</v>
      </c>
      <c r="AE21" t="s">
        <v>1799</v>
      </c>
      <c r="AF21" t="s">
        <v>8055</v>
      </c>
      <c r="AH21" t="s">
        <v>8056</v>
      </c>
      <c r="AI21" t="s">
        <v>984</v>
      </c>
      <c r="AJ21" s="8" t="str">
        <f>"63357"</f>
        <v>63357</v>
      </c>
      <c r="AK21" t="s">
        <v>118</v>
      </c>
      <c r="AM21" s="10">
        <v>16364332234</v>
      </c>
      <c r="AO21" t="s">
        <v>8058</v>
      </c>
      <c r="AP21" t="s">
        <v>248</v>
      </c>
      <c r="AQ21" t="s">
        <v>3124</v>
      </c>
      <c r="AR21" t="s">
        <v>3125</v>
      </c>
      <c r="AS21" t="s">
        <v>132</v>
      </c>
      <c r="AT21" t="s">
        <v>1253</v>
      </c>
      <c r="AU21" t="s">
        <v>852</v>
      </c>
      <c r="AV21" t="s">
        <v>853</v>
      </c>
      <c r="AW21" t="s">
        <v>854</v>
      </c>
      <c r="AX21" s="8" t="str">
        <f>"83814"</f>
        <v>83814</v>
      </c>
      <c r="AY21" t="s">
        <v>118</v>
      </c>
      <c r="BA21" s="10">
        <v>12087772654</v>
      </c>
      <c r="BC21" t="s">
        <v>3126</v>
      </c>
      <c r="BD21" t="s">
        <v>856</v>
      </c>
      <c r="BG21" t="s">
        <v>984</v>
      </c>
      <c r="BH21" s="1">
        <v>45260.791666666664</v>
      </c>
      <c r="BI21">
        <v>40</v>
      </c>
      <c r="BJ21">
        <v>0</v>
      </c>
      <c r="BK21">
        <v>8</v>
      </c>
      <c r="BL21">
        <v>8</v>
      </c>
      <c r="BM21">
        <v>8</v>
      </c>
      <c r="BN21">
        <v>8</v>
      </c>
      <c r="BO21">
        <v>8</v>
      </c>
      <c r="BP21">
        <v>0</v>
      </c>
      <c r="BQ21" t="str">
        <f>"7:00 AM"</f>
        <v>7:00 AM</v>
      </c>
      <c r="BR21" t="str">
        <f>"7:00 PM"</f>
        <v>7:00 PM</v>
      </c>
      <c r="BS21" t="s">
        <v>131</v>
      </c>
      <c r="BT21">
        <v>0</v>
      </c>
      <c r="BU21">
        <v>0</v>
      </c>
      <c r="BV21" t="s">
        <v>114</v>
      </c>
      <c r="BX21" t="s">
        <v>3208</v>
      </c>
      <c r="BY21" t="s">
        <v>8059</v>
      </c>
      <c r="CA21" t="s">
        <v>8056</v>
      </c>
      <c r="CB21" t="s">
        <v>984</v>
      </c>
      <c r="CC21" s="8" t="str">
        <f>"63357"</f>
        <v>63357</v>
      </c>
      <c r="CD21" t="s">
        <v>1017</v>
      </c>
      <c r="CE21" t="s">
        <v>1856</v>
      </c>
      <c r="CF21" s="12">
        <v>17.579999999999998</v>
      </c>
      <c r="CG21" s="12">
        <v>25</v>
      </c>
      <c r="CH21" s="12">
        <v>26.37</v>
      </c>
      <c r="CI21" s="12">
        <v>37.5</v>
      </c>
      <c r="CJ21" t="s">
        <v>135</v>
      </c>
      <c r="CK21" t="s">
        <v>1899</v>
      </c>
      <c r="CL21" t="s">
        <v>8060</v>
      </c>
      <c r="CO21" t="s">
        <v>132</v>
      </c>
      <c r="CP21" t="s">
        <v>136</v>
      </c>
      <c r="CQ21" t="s">
        <v>136</v>
      </c>
      <c r="CR21" t="s">
        <v>136</v>
      </c>
      <c r="CS21" t="s">
        <v>136</v>
      </c>
      <c r="CT21" t="s">
        <v>136</v>
      </c>
      <c r="CU21" t="s">
        <v>136</v>
      </c>
      <c r="CV21" t="s">
        <v>8061</v>
      </c>
      <c r="CW21" s="10" t="str">
        <f>"+16364332234"</f>
        <v>+16364332234</v>
      </c>
      <c r="CX21" t="s">
        <v>8058</v>
      </c>
      <c r="CY21" t="s">
        <v>132</v>
      </c>
      <c r="CZ21" t="s">
        <v>137</v>
      </c>
      <c r="DA21" t="s">
        <v>114</v>
      </c>
      <c r="DB21" t="s">
        <v>136</v>
      </c>
      <c r="DC21" t="s">
        <v>136</v>
      </c>
      <c r="DD21" t="s">
        <v>114</v>
      </c>
    </row>
    <row r="22" spans="1:108" ht="15" customHeight="1" x14ac:dyDescent="0.25">
      <c r="A22" t="s">
        <v>22971</v>
      </c>
      <c r="B22" t="s">
        <v>152</v>
      </c>
      <c r="C22" s="1">
        <v>45262.007152314814</v>
      </c>
      <c r="D22" s="1">
        <v>45289</v>
      </c>
      <c r="E22" t="s">
        <v>132</v>
      </c>
      <c r="F22" t="s">
        <v>1595</v>
      </c>
      <c r="G22" t="str">
        <f>"37-3011.00"</f>
        <v>37-3011.00</v>
      </c>
      <c r="H22" t="s">
        <v>429</v>
      </c>
      <c r="I22">
        <v>6</v>
      </c>
      <c r="J22">
        <v>6</v>
      </c>
      <c r="K22" s="1">
        <v>45352</v>
      </c>
      <c r="L22" s="1">
        <v>45616</v>
      </c>
      <c r="M22" s="1">
        <v>45352</v>
      </c>
      <c r="N22" s="1">
        <v>45616</v>
      </c>
      <c r="O22" t="s">
        <v>238</v>
      </c>
      <c r="P22" t="s">
        <v>7315</v>
      </c>
      <c r="R22" t="s">
        <v>7316</v>
      </c>
      <c r="S22" t="s">
        <v>2846</v>
      </c>
      <c r="T22" t="s">
        <v>5955</v>
      </c>
      <c r="U22" t="s">
        <v>188</v>
      </c>
      <c r="V22" s="8" t="str">
        <f>"80125"</f>
        <v>80125</v>
      </c>
      <c r="W22" t="s">
        <v>118</v>
      </c>
      <c r="Y22" s="10">
        <v>13039486631</v>
      </c>
      <c r="AA22">
        <v>56173</v>
      </c>
      <c r="AB22" t="s">
        <v>7317</v>
      </c>
      <c r="AC22" t="s">
        <v>1555</v>
      </c>
      <c r="AE22" t="s">
        <v>629</v>
      </c>
      <c r="AF22" t="s">
        <v>7316</v>
      </c>
      <c r="AG22" t="s">
        <v>2846</v>
      </c>
      <c r="AH22" t="s">
        <v>5955</v>
      </c>
      <c r="AI22" t="s">
        <v>188</v>
      </c>
      <c r="AJ22" s="8" t="str">
        <f>"80125"</f>
        <v>80125</v>
      </c>
      <c r="AK22" t="s">
        <v>118</v>
      </c>
      <c r="AM22" s="10">
        <v>13039486631</v>
      </c>
      <c r="AO22" t="s">
        <v>7318</v>
      </c>
      <c r="AP22" t="s">
        <v>248</v>
      </c>
      <c r="AQ22" t="s">
        <v>1894</v>
      </c>
      <c r="AR22" t="s">
        <v>1895</v>
      </c>
      <c r="AS22" t="s">
        <v>132</v>
      </c>
      <c r="AT22" t="s">
        <v>1253</v>
      </c>
      <c r="AU22" t="s">
        <v>852</v>
      </c>
      <c r="AV22" t="s">
        <v>853</v>
      </c>
      <c r="AW22" t="s">
        <v>854</v>
      </c>
      <c r="AX22" s="8" t="str">
        <f>"83814"</f>
        <v>83814</v>
      </c>
      <c r="AY22" t="s">
        <v>118</v>
      </c>
      <c r="BA22" s="10">
        <v>12087772654</v>
      </c>
      <c r="BC22" t="s">
        <v>1896</v>
      </c>
      <c r="BD22" t="s">
        <v>856</v>
      </c>
      <c r="BG22" t="s">
        <v>188</v>
      </c>
      <c r="BH22" s="1">
        <v>45260.791666666664</v>
      </c>
      <c r="BI22">
        <v>40</v>
      </c>
      <c r="BJ22">
        <v>0</v>
      </c>
      <c r="BK22">
        <v>8</v>
      </c>
      <c r="BL22">
        <v>8</v>
      </c>
      <c r="BM22">
        <v>8</v>
      </c>
      <c r="BN22">
        <v>8</v>
      </c>
      <c r="BO22">
        <v>8</v>
      </c>
      <c r="BP22">
        <v>0</v>
      </c>
      <c r="BQ22" t="str">
        <f>"7:00 AM"</f>
        <v>7:00 AM</v>
      </c>
      <c r="BR22" t="str">
        <f>"3:00 PM"</f>
        <v>3:00 PM</v>
      </c>
      <c r="BS22" t="s">
        <v>131</v>
      </c>
      <c r="BT22">
        <v>0</v>
      </c>
      <c r="BU22">
        <v>0</v>
      </c>
      <c r="BV22" t="s">
        <v>114</v>
      </c>
      <c r="BX22" t="s">
        <v>3491</v>
      </c>
      <c r="BY22" t="s">
        <v>7319</v>
      </c>
      <c r="BZ22" t="s">
        <v>2846</v>
      </c>
      <c r="CA22" t="s">
        <v>5955</v>
      </c>
      <c r="CB22" t="s">
        <v>188</v>
      </c>
      <c r="CC22" s="8" t="str">
        <f>"80125"</f>
        <v>80125</v>
      </c>
      <c r="CD22" t="s">
        <v>971</v>
      </c>
      <c r="CE22" t="s">
        <v>195</v>
      </c>
      <c r="CF22" s="12">
        <v>20.25</v>
      </c>
      <c r="CG22" s="12">
        <v>26</v>
      </c>
      <c r="CH22" s="12">
        <v>30.38</v>
      </c>
      <c r="CI22" s="12">
        <v>39</v>
      </c>
      <c r="CJ22" t="s">
        <v>135</v>
      </c>
      <c r="CK22" t="s">
        <v>1899</v>
      </c>
      <c r="CL22" t="s">
        <v>7320</v>
      </c>
      <c r="CO22" t="s">
        <v>132</v>
      </c>
      <c r="CP22" t="s">
        <v>136</v>
      </c>
      <c r="CQ22" t="s">
        <v>136</v>
      </c>
      <c r="CR22" t="s">
        <v>136</v>
      </c>
      <c r="CS22" t="s">
        <v>136</v>
      </c>
      <c r="CT22" t="s">
        <v>136</v>
      </c>
      <c r="CU22" t="s">
        <v>114</v>
      </c>
      <c r="CV22" t="s">
        <v>132</v>
      </c>
      <c r="CW22" s="10" t="str">
        <f>"+13038596047"</f>
        <v>+13038596047</v>
      </c>
      <c r="CX22" t="s">
        <v>7318</v>
      </c>
      <c r="CY22" t="s">
        <v>132</v>
      </c>
      <c r="CZ22" t="s">
        <v>137</v>
      </c>
      <c r="DA22" t="s">
        <v>114</v>
      </c>
      <c r="DB22" t="s">
        <v>136</v>
      </c>
      <c r="DC22" t="s">
        <v>136</v>
      </c>
      <c r="DD22" t="s">
        <v>114</v>
      </c>
    </row>
    <row r="23" spans="1:108" ht="15" customHeight="1" x14ac:dyDescent="0.25">
      <c r="A23" t="s">
        <v>11064</v>
      </c>
      <c r="B23" t="s">
        <v>152</v>
      </c>
      <c r="C23" s="1">
        <v>45262.005374884262</v>
      </c>
      <c r="D23" s="1">
        <v>45289</v>
      </c>
      <c r="E23" t="s">
        <v>132</v>
      </c>
      <c r="F23" t="s">
        <v>1595</v>
      </c>
      <c r="G23" t="str">
        <f>"37-3011.00"</f>
        <v>37-3011.00</v>
      </c>
      <c r="H23" t="s">
        <v>429</v>
      </c>
      <c r="I23">
        <v>45</v>
      </c>
      <c r="J23">
        <v>45</v>
      </c>
      <c r="K23" s="1">
        <v>45352</v>
      </c>
      <c r="L23" s="1">
        <v>45626</v>
      </c>
      <c r="M23" s="1">
        <v>45352</v>
      </c>
      <c r="N23" s="1">
        <v>45626</v>
      </c>
      <c r="O23" t="s">
        <v>116</v>
      </c>
      <c r="P23" t="s">
        <v>11065</v>
      </c>
      <c r="Q23" t="s">
        <v>11066</v>
      </c>
      <c r="R23" t="s">
        <v>11067</v>
      </c>
      <c r="T23" t="s">
        <v>9280</v>
      </c>
      <c r="U23" t="s">
        <v>1722</v>
      </c>
      <c r="V23" s="8" t="str">
        <f>"20716"</f>
        <v>20716</v>
      </c>
      <c r="W23" t="s">
        <v>118</v>
      </c>
      <c r="Y23" s="10">
        <v>13012181800</v>
      </c>
      <c r="AA23">
        <v>56173</v>
      </c>
      <c r="AB23" t="s">
        <v>11068</v>
      </c>
      <c r="AC23" t="s">
        <v>1783</v>
      </c>
      <c r="AE23" t="s">
        <v>629</v>
      </c>
      <c r="AF23" t="s">
        <v>11067</v>
      </c>
      <c r="AH23" t="s">
        <v>9280</v>
      </c>
      <c r="AI23" t="s">
        <v>1722</v>
      </c>
      <c r="AJ23" s="8" t="str">
        <f>"20716"</f>
        <v>20716</v>
      </c>
      <c r="AK23" t="s">
        <v>118</v>
      </c>
      <c r="AM23" s="10">
        <v>13012181800</v>
      </c>
      <c r="AO23" t="s">
        <v>11069</v>
      </c>
      <c r="AP23" t="s">
        <v>248</v>
      </c>
      <c r="AQ23" t="s">
        <v>1894</v>
      </c>
      <c r="AR23" t="s">
        <v>1895</v>
      </c>
      <c r="AS23" t="s">
        <v>132</v>
      </c>
      <c r="AT23" t="s">
        <v>1253</v>
      </c>
      <c r="AU23" t="s">
        <v>852</v>
      </c>
      <c r="AV23" t="s">
        <v>853</v>
      </c>
      <c r="AW23" t="s">
        <v>854</v>
      </c>
      <c r="AX23" s="8" t="str">
        <f>"83814"</f>
        <v>83814</v>
      </c>
      <c r="AY23" t="s">
        <v>118</v>
      </c>
      <c r="BA23" s="10">
        <v>12087772654</v>
      </c>
      <c r="BC23" t="s">
        <v>1896</v>
      </c>
      <c r="BD23" t="s">
        <v>856</v>
      </c>
      <c r="BG23" t="s">
        <v>1722</v>
      </c>
      <c r="BH23" s="1">
        <v>45260.791666666664</v>
      </c>
      <c r="BI23">
        <v>40</v>
      </c>
      <c r="BJ23">
        <v>0</v>
      </c>
      <c r="BK23">
        <v>8</v>
      </c>
      <c r="BL23">
        <v>8</v>
      </c>
      <c r="BM23">
        <v>8</v>
      </c>
      <c r="BN23">
        <v>8</v>
      </c>
      <c r="BO23">
        <v>8</v>
      </c>
      <c r="BP23">
        <v>0</v>
      </c>
      <c r="BQ23" t="str">
        <f>"7:00 AM"</f>
        <v>7:00 AM</v>
      </c>
      <c r="BR23" t="str">
        <f>"4:00 PM"</f>
        <v>4:00 PM</v>
      </c>
      <c r="BS23" t="s">
        <v>131</v>
      </c>
      <c r="BT23">
        <v>0</v>
      </c>
      <c r="BU23">
        <v>0</v>
      </c>
      <c r="BV23" t="s">
        <v>114</v>
      </c>
      <c r="BX23" t="s">
        <v>3127</v>
      </c>
      <c r="BY23" t="s">
        <v>11070</v>
      </c>
      <c r="CA23" t="s">
        <v>9280</v>
      </c>
      <c r="CB23" t="s">
        <v>1722</v>
      </c>
      <c r="CC23" s="8" t="str">
        <f>"20716"</f>
        <v>20716</v>
      </c>
      <c r="CD23" t="s">
        <v>1793</v>
      </c>
      <c r="CE23" t="s">
        <v>1794</v>
      </c>
      <c r="CF23" s="12">
        <v>19.670000000000002</v>
      </c>
      <c r="CG23" s="12">
        <v>21.67</v>
      </c>
      <c r="CH23" s="12">
        <v>29.51</v>
      </c>
      <c r="CI23" s="12">
        <v>32.51</v>
      </c>
      <c r="CJ23" t="s">
        <v>135</v>
      </c>
      <c r="CK23" t="s">
        <v>1899</v>
      </c>
      <c r="CL23" t="s">
        <v>11071</v>
      </c>
      <c r="CO23" t="s">
        <v>132</v>
      </c>
      <c r="CP23" t="s">
        <v>136</v>
      </c>
      <c r="CQ23" t="s">
        <v>136</v>
      </c>
      <c r="CR23" t="s">
        <v>136</v>
      </c>
      <c r="CS23" t="s">
        <v>136</v>
      </c>
      <c r="CT23" t="s">
        <v>136</v>
      </c>
      <c r="CU23" t="s">
        <v>114</v>
      </c>
      <c r="CV23" t="s">
        <v>132</v>
      </c>
      <c r="CW23" s="10" t="str">
        <f>"+13012181800"</f>
        <v>+13012181800</v>
      </c>
      <c r="CX23" t="s">
        <v>11072</v>
      </c>
      <c r="CY23" t="s">
        <v>132</v>
      </c>
      <c r="CZ23" t="s">
        <v>137</v>
      </c>
      <c r="DA23" t="s">
        <v>114</v>
      </c>
      <c r="DB23" t="s">
        <v>136</v>
      </c>
      <c r="DC23" t="s">
        <v>136</v>
      </c>
      <c r="DD23" t="s">
        <v>114</v>
      </c>
    </row>
    <row r="24" spans="1:108" ht="15" customHeight="1" x14ac:dyDescent="0.25">
      <c r="A24" t="s">
        <v>8152</v>
      </c>
      <c r="B24" t="s">
        <v>152</v>
      </c>
      <c r="C24" s="1">
        <v>45262.003782638887</v>
      </c>
      <c r="D24" s="1">
        <v>45289</v>
      </c>
      <c r="E24" t="s">
        <v>132</v>
      </c>
      <c r="F24" t="s">
        <v>5852</v>
      </c>
      <c r="G24" t="str">
        <f>"37-3011.00"</f>
        <v>37-3011.00</v>
      </c>
      <c r="H24" t="s">
        <v>429</v>
      </c>
      <c r="I24">
        <v>15</v>
      </c>
      <c r="J24">
        <v>15</v>
      </c>
      <c r="K24" s="1">
        <v>45352</v>
      </c>
      <c r="L24" s="1">
        <v>45626</v>
      </c>
      <c r="M24" s="1">
        <v>45352</v>
      </c>
      <c r="N24" s="1">
        <v>45626</v>
      </c>
      <c r="O24" t="s">
        <v>116</v>
      </c>
      <c r="P24" t="s">
        <v>8153</v>
      </c>
      <c r="Q24" t="s">
        <v>8154</v>
      </c>
      <c r="R24" t="s">
        <v>8155</v>
      </c>
      <c r="T24" t="s">
        <v>8156</v>
      </c>
      <c r="U24" t="s">
        <v>543</v>
      </c>
      <c r="V24" s="8" t="str">
        <f>"45150"</f>
        <v>45150</v>
      </c>
      <c r="W24" t="s">
        <v>118</v>
      </c>
      <c r="Y24" s="10">
        <v>15132712332</v>
      </c>
      <c r="AA24">
        <v>56173</v>
      </c>
      <c r="AB24" t="s">
        <v>8157</v>
      </c>
      <c r="AC24" t="s">
        <v>8158</v>
      </c>
      <c r="AE24" t="s">
        <v>3876</v>
      </c>
      <c r="AF24" t="s">
        <v>8155</v>
      </c>
      <c r="AH24" t="s">
        <v>8156</v>
      </c>
      <c r="AI24" t="s">
        <v>543</v>
      </c>
      <c r="AJ24" s="8" t="str">
        <f>"45150"</f>
        <v>45150</v>
      </c>
      <c r="AK24" t="s">
        <v>118</v>
      </c>
      <c r="AM24" s="10">
        <v>15132712332</v>
      </c>
      <c r="AO24" t="s">
        <v>8159</v>
      </c>
      <c r="AP24" t="s">
        <v>248</v>
      </c>
      <c r="AQ24" t="s">
        <v>3124</v>
      </c>
      <c r="AR24" t="s">
        <v>3125</v>
      </c>
      <c r="AS24" t="s">
        <v>132</v>
      </c>
      <c r="AT24" t="s">
        <v>1253</v>
      </c>
      <c r="AU24" t="s">
        <v>852</v>
      </c>
      <c r="AV24" t="s">
        <v>853</v>
      </c>
      <c r="AW24" t="s">
        <v>854</v>
      </c>
      <c r="AX24" s="8" t="str">
        <f>"83814"</f>
        <v>83814</v>
      </c>
      <c r="AY24" t="s">
        <v>118</v>
      </c>
      <c r="BA24" s="10">
        <v>12087772654</v>
      </c>
      <c r="BC24" t="s">
        <v>3126</v>
      </c>
      <c r="BD24" t="s">
        <v>856</v>
      </c>
      <c r="BG24" t="s">
        <v>543</v>
      </c>
      <c r="BH24" s="1">
        <v>45260.791666666664</v>
      </c>
      <c r="BI24">
        <v>40</v>
      </c>
      <c r="BJ24">
        <v>0</v>
      </c>
      <c r="BK24">
        <v>8</v>
      </c>
      <c r="BL24">
        <v>8</v>
      </c>
      <c r="BM24">
        <v>8</v>
      </c>
      <c r="BN24">
        <v>8</v>
      </c>
      <c r="BO24">
        <v>8</v>
      </c>
      <c r="BP24">
        <v>0</v>
      </c>
      <c r="BQ24" t="str">
        <f>"6:30 AM"</f>
        <v>6:30 AM</v>
      </c>
      <c r="BR24" t="str">
        <f>"5:00 PM"</f>
        <v>5:00 PM</v>
      </c>
      <c r="BS24" t="s">
        <v>131</v>
      </c>
      <c r="BT24">
        <v>0</v>
      </c>
      <c r="BU24">
        <v>0</v>
      </c>
      <c r="BV24" t="s">
        <v>114</v>
      </c>
      <c r="BX24" t="s">
        <v>8160</v>
      </c>
      <c r="BY24" t="s">
        <v>8161</v>
      </c>
      <c r="CA24" t="s">
        <v>8156</v>
      </c>
      <c r="CB24" t="s">
        <v>543</v>
      </c>
      <c r="CC24" s="8" t="str">
        <f>"45150"</f>
        <v>45150</v>
      </c>
      <c r="CD24" t="s">
        <v>8162</v>
      </c>
      <c r="CE24" t="s">
        <v>3443</v>
      </c>
      <c r="CF24" s="12">
        <v>16.690000000000001</v>
      </c>
      <c r="CG24" s="12">
        <v>18.5</v>
      </c>
      <c r="CH24" s="12">
        <v>25.04</v>
      </c>
      <c r="CI24" s="12">
        <v>27.75</v>
      </c>
      <c r="CJ24" t="s">
        <v>135</v>
      </c>
      <c r="CK24" t="s">
        <v>1899</v>
      </c>
      <c r="CL24" t="s">
        <v>8163</v>
      </c>
      <c r="CO24" t="s">
        <v>132</v>
      </c>
      <c r="CP24" t="s">
        <v>136</v>
      </c>
      <c r="CQ24" t="s">
        <v>136</v>
      </c>
      <c r="CR24" t="s">
        <v>136</v>
      </c>
      <c r="CS24" t="s">
        <v>136</v>
      </c>
      <c r="CT24" t="s">
        <v>136</v>
      </c>
      <c r="CU24" t="s">
        <v>136</v>
      </c>
      <c r="CV24" t="s">
        <v>8164</v>
      </c>
      <c r="CW24" s="10" t="str">
        <f>"+15132407919"</f>
        <v>+15132407919</v>
      </c>
      <c r="CX24" t="s">
        <v>8159</v>
      </c>
      <c r="CY24" t="s">
        <v>132</v>
      </c>
      <c r="CZ24" t="s">
        <v>137</v>
      </c>
      <c r="DA24" t="s">
        <v>114</v>
      </c>
      <c r="DB24" t="s">
        <v>136</v>
      </c>
      <c r="DC24" t="s">
        <v>136</v>
      </c>
      <c r="DD24" t="s">
        <v>114</v>
      </c>
    </row>
    <row r="25" spans="1:108" ht="15" customHeight="1" x14ac:dyDescent="0.25">
      <c r="A25" t="s">
        <v>17916</v>
      </c>
      <c r="B25" t="s">
        <v>152</v>
      </c>
      <c r="C25" s="1">
        <v>45262.001605787038</v>
      </c>
      <c r="D25" s="1">
        <v>45289</v>
      </c>
      <c r="E25" t="s">
        <v>132</v>
      </c>
      <c r="F25" t="s">
        <v>1595</v>
      </c>
      <c r="G25" t="str">
        <f>"37-3011.00"</f>
        <v>37-3011.00</v>
      </c>
      <c r="H25" t="s">
        <v>429</v>
      </c>
      <c r="I25">
        <v>3</v>
      </c>
      <c r="J25">
        <v>3</v>
      </c>
      <c r="K25" s="1">
        <v>45352</v>
      </c>
      <c r="L25" s="1">
        <v>45595</v>
      </c>
      <c r="M25" s="1">
        <v>45352</v>
      </c>
      <c r="N25" s="1">
        <v>45595</v>
      </c>
      <c r="O25" t="s">
        <v>116</v>
      </c>
      <c r="P25" t="s">
        <v>17917</v>
      </c>
      <c r="R25" t="s">
        <v>17918</v>
      </c>
      <c r="T25" t="s">
        <v>3059</v>
      </c>
      <c r="U25" t="s">
        <v>2608</v>
      </c>
      <c r="V25" s="8" t="str">
        <f>"74075"</f>
        <v>74075</v>
      </c>
      <c r="W25" t="s">
        <v>118</v>
      </c>
      <c r="Y25" s="10">
        <v>14055644722</v>
      </c>
      <c r="AA25">
        <v>56173</v>
      </c>
      <c r="AB25" t="s">
        <v>9508</v>
      </c>
      <c r="AC25" t="s">
        <v>7976</v>
      </c>
      <c r="AE25" t="s">
        <v>561</v>
      </c>
      <c r="AF25" t="s">
        <v>17918</v>
      </c>
      <c r="AH25" t="s">
        <v>3059</v>
      </c>
      <c r="AI25" t="s">
        <v>2608</v>
      </c>
      <c r="AJ25" s="8" t="str">
        <f>"74075"</f>
        <v>74075</v>
      </c>
      <c r="AK25" t="s">
        <v>118</v>
      </c>
      <c r="AM25" s="10">
        <v>14055644722</v>
      </c>
      <c r="AO25" t="s">
        <v>17919</v>
      </c>
      <c r="AP25" t="s">
        <v>248</v>
      </c>
      <c r="AQ25" t="s">
        <v>2949</v>
      </c>
      <c r="AR25" t="s">
        <v>3791</v>
      </c>
      <c r="AS25" t="s">
        <v>132</v>
      </c>
      <c r="AT25" t="s">
        <v>1253</v>
      </c>
      <c r="AU25" t="s">
        <v>852</v>
      </c>
      <c r="AV25" t="s">
        <v>853</v>
      </c>
      <c r="AW25" t="s">
        <v>854</v>
      </c>
      <c r="AX25" s="8" t="str">
        <f>"83814"</f>
        <v>83814</v>
      </c>
      <c r="AY25" t="s">
        <v>118</v>
      </c>
      <c r="BA25" s="10">
        <v>12087772654</v>
      </c>
      <c r="BC25" t="s">
        <v>3792</v>
      </c>
      <c r="BD25" t="s">
        <v>856</v>
      </c>
      <c r="BG25" t="s">
        <v>2608</v>
      </c>
      <c r="BH25" s="1">
        <v>45260.791666666664</v>
      </c>
      <c r="BI25">
        <v>40</v>
      </c>
      <c r="BJ25">
        <v>0</v>
      </c>
      <c r="BK25">
        <v>8</v>
      </c>
      <c r="BL25">
        <v>8</v>
      </c>
      <c r="BM25">
        <v>8</v>
      </c>
      <c r="BN25">
        <v>8</v>
      </c>
      <c r="BO25">
        <v>8</v>
      </c>
      <c r="BP25">
        <v>0</v>
      </c>
      <c r="BQ25" t="str">
        <f>"6:00 AM"</f>
        <v>6:00 AM</v>
      </c>
      <c r="BR25" t="str">
        <f>"2:30 PM"</f>
        <v>2:30 PM</v>
      </c>
      <c r="BS25" t="s">
        <v>131</v>
      </c>
      <c r="BT25">
        <v>0</v>
      </c>
      <c r="BU25">
        <v>0</v>
      </c>
      <c r="BV25" t="s">
        <v>114</v>
      </c>
      <c r="BX25" t="s">
        <v>2670</v>
      </c>
      <c r="BY25" t="s">
        <v>17920</v>
      </c>
      <c r="BZ25" t="s">
        <v>17921</v>
      </c>
      <c r="CA25" t="s">
        <v>3059</v>
      </c>
      <c r="CB25" t="s">
        <v>2608</v>
      </c>
      <c r="CC25" s="8" t="str">
        <f>"74075"</f>
        <v>74075</v>
      </c>
      <c r="CD25" t="s">
        <v>5579</v>
      </c>
      <c r="CE25" t="s">
        <v>5580</v>
      </c>
      <c r="CF25" s="12">
        <v>14.42</v>
      </c>
      <c r="CG25" s="12">
        <v>17</v>
      </c>
      <c r="CH25" s="12">
        <v>21.63</v>
      </c>
      <c r="CI25" s="12">
        <v>25.5</v>
      </c>
      <c r="CJ25" t="s">
        <v>135</v>
      </c>
      <c r="CK25" t="s">
        <v>1899</v>
      </c>
      <c r="CL25" t="s">
        <v>17922</v>
      </c>
      <c r="CO25" t="s">
        <v>132</v>
      </c>
      <c r="CP25" t="s">
        <v>136</v>
      </c>
      <c r="CQ25" t="s">
        <v>136</v>
      </c>
      <c r="CR25" t="s">
        <v>136</v>
      </c>
      <c r="CS25" t="s">
        <v>136</v>
      </c>
      <c r="CT25" t="s">
        <v>136</v>
      </c>
      <c r="CU25" t="s">
        <v>136</v>
      </c>
      <c r="CV25" t="s">
        <v>17923</v>
      </c>
      <c r="CW25" s="10" t="str">
        <f>"+14055644722"</f>
        <v>+14055644722</v>
      </c>
      <c r="CX25" t="s">
        <v>17919</v>
      </c>
      <c r="CY25" t="s">
        <v>132</v>
      </c>
      <c r="CZ25" t="s">
        <v>137</v>
      </c>
      <c r="DA25" t="s">
        <v>114</v>
      </c>
      <c r="DB25" t="s">
        <v>136</v>
      </c>
      <c r="DC25" t="s">
        <v>136</v>
      </c>
      <c r="DD25" t="s">
        <v>114</v>
      </c>
    </row>
    <row r="26" spans="1:108" ht="15" customHeight="1" x14ac:dyDescent="0.25">
      <c r="A26" t="s">
        <v>24018</v>
      </c>
      <c r="B26" t="s">
        <v>152</v>
      </c>
      <c r="C26" s="1">
        <v>45260.700667476849</v>
      </c>
      <c r="D26" s="1">
        <v>45289</v>
      </c>
      <c r="E26" t="s">
        <v>132</v>
      </c>
      <c r="F26" t="s">
        <v>23004</v>
      </c>
      <c r="G26" t="str">
        <f>"47-2061.00"</f>
        <v>47-2061.00</v>
      </c>
      <c r="H26" t="s">
        <v>570</v>
      </c>
      <c r="I26">
        <v>15</v>
      </c>
      <c r="J26">
        <v>15</v>
      </c>
      <c r="K26" s="1">
        <v>45350</v>
      </c>
      <c r="L26" s="1">
        <v>45616</v>
      </c>
      <c r="M26" s="1">
        <v>45350</v>
      </c>
      <c r="N26" s="1">
        <v>45616</v>
      </c>
      <c r="O26" t="s">
        <v>116</v>
      </c>
      <c r="P26" t="s">
        <v>23005</v>
      </c>
      <c r="R26" t="s">
        <v>24019</v>
      </c>
      <c r="S26" t="s">
        <v>23007</v>
      </c>
      <c r="T26" t="s">
        <v>4921</v>
      </c>
      <c r="U26" t="s">
        <v>127</v>
      </c>
      <c r="V26" s="8" t="str">
        <f>"75404"</f>
        <v>75404</v>
      </c>
      <c r="W26" t="s">
        <v>118</v>
      </c>
      <c r="Y26" s="10">
        <v>19039452200</v>
      </c>
      <c r="AA26">
        <v>23731</v>
      </c>
      <c r="AB26" t="s">
        <v>2601</v>
      </c>
      <c r="AC26" t="s">
        <v>123</v>
      </c>
      <c r="AE26" t="s">
        <v>629</v>
      </c>
      <c r="AF26" t="s">
        <v>24019</v>
      </c>
      <c r="AG26" t="s">
        <v>23007</v>
      </c>
      <c r="AH26" t="s">
        <v>4921</v>
      </c>
      <c r="AI26" t="s">
        <v>127</v>
      </c>
      <c r="AJ26" s="8" t="str">
        <f>"75404"</f>
        <v>75404</v>
      </c>
      <c r="AK26" t="s">
        <v>118</v>
      </c>
      <c r="AM26" s="10">
        <v>19039452200</v>
      </c>
      <c r="AO26" t="s">
        <v>23011</v>
      </c>
      <c r="AP26" t="s">
        <v>248</v>
      </c>
      <c r="AQ26" t="s">
        <v>3017</v>
      </c>
      <c r="AR26" t="s">
        <v>3018</v>
      </c>
      <c r="AT26" t="s">
        <v>3371</v>
      </c>
      <c r="AV26" t="s">
        <v>1168</v>
      </c>
      <c r="AW26" t="s">
        <v>127</v>
      </c>
      <c r="AX26" s="8" t="str">
        <f>"75098"</f>
        <v>75098</v>
      </c>
      <c r="AY26" t="s">
        <v>118</v>
      </c>
      <c r="BA26" s="10">
        <v>19724424244</v>
      </c>
      <c r="BC26" t="s">
        <v>3372</v>
      </c>
      <c r="BD26" t="s">
        <v>3021</v>
      </c>
      <c r="BG26" t="s">
        <v>127</v>
      </c>
      <c r="BH26" s="1">
        <v>45259.791666666664</v>
      </c>
      <c r="BI26">
        <v>40</v>
      </c>
      <c r="BJ26">
        <v>0</v>
      </c>
      <c r="BK26">
        <v>8</v>
      </c>
      <c r="BL26">
        <v>8</v>
      </c>
      <c r="BM26">
        <v>8</v>
      </c>
      <c r="BN26">
        <v>8</v>
      </c>
      <c r="BO26">
        <v>8</v>
      </c>
      <c r="BP26">
        <v>0</v>
      </c>
      <c r="BQ26" t="str">
        <f>"7:00 AM"</f>
        <v>7:00 AM</v>
      </c>
      <c r="BR26" t="str">
        <f>"4:00 PM"</f>
        <v>4:00 PM</v>
      </c>
      <c r="BS26" t="s">
        <v>131</v>
      </c>
      <c r="BT26">
        <v>0</v>
      </c>
      <c r="BU26">
        <v>0</v>
      </c>
      <c r="BV26" t="s">
        <v>114</v>
      </c>
      <c r="BX26" t="s">
        <v>131</v>
      </c>
      <c r="BY26" t="s">
        <v>24019</v>
      </c>
      <c r="CA26" t="s">
        <v>4921</v>
      </c>
      <c r="CB26" t="s">
        <v>127</v>
      </c>
      <c r="CC26" s="8" t="str">
        <f>"75404"</f>
        <v>75404</v>
      </c>
      <c r="CD26" t="s">
        <v>2421</v>
      </c>
      <c r="CE26" t="s">
        <v>5719</v>
      </c>
      <c r="CF26" s="12">
        <v>16.96</v>
      </c>
      <c r="CG26" s="12">
        <v>19</v>
      </c>
      <c r="CH26" s="12">
        <v>25.44</v>
      </c>
      <c r="CI26" s="12">
        <v>28.5</v>
      </c>
      <c r="CJ26" t="s">
        <v>135</v>
      </c>
      <c r="CK26" t="s">
        <v>132</v>
      </c>
      <c r="CL26" t="s">
        <v>24020</v>
      </c>
      <c r="CO26" t="s">
        <v>132</v>
      </c>
      <c r="CP26" t="s">
        <v>136</v>
      </c>
      <c r="CQ26" t="s">
        <v>136</v>
      </c>
      <c r="CR26" t="s">
        <v>136</v>
      </c>
      <c r="CS26" t="s">
        <v>136</v>
      </c>
      <c r="CT26" t="s">
        <v>136</v>
      </c>
      <c r="CU26" t="s">
        <v>136</v>
      </c>
      <c r="CV26" t="s">
        <v>23014</v>
      </c>
      <c r="CW26" s="10" t="str">
        <f>"+19039452200"</f>
        <v>+19039452200</v>
      </c>
      <c r="CX26" t="s">
        <v>132</v>
      </c>
      <c r="CY26" t="s">
        <v>3190</v>
      </c>
      <c r="CZ26" t="s">
        <v>137</v>
      </c>
      <c r="DA26" t="s">
        <v>114</v>
      </c>
      <c r="DB26" t="s">
        <v>114</v>
      </c>
      <c r="DC26" t="s">
        <v>136</v>
      </c>
      <c r="DD26" t="s">
        <v>114</v>
      </c>
    </row>
    <row r="27" spans="1:108" ht="15" customHeight="1" x14ac:dyDescent="0.25">
      <c r="A27" t="s">
        <v>16225</v>
      </c>
      <c r="B27" t="s">
        <v>152</v>
      </c>
      <c r="C27" s="1">
        <v>45264.787124074071</v>
      </c>
      <c r="D27" s="1">
        <v>45288</v>
      </c>
      <c r="E27" t="s">
        <v>132</v>
      </c>
      <c r="F27" t="s">
        <v>236</v>
      </c>
      <c r="G27" t="str">
        <f>"35-3023.00"</f>
        <v>35-3023.00</v>
      </c>
      <c r="H27" t="s">
        <v>1365</v>
      </c>
      <c r="I27">
        <v>6</v>
      </c>
      <c r="J27">
        <v>6</v>
      </c>
      <c r="K27" s="1">
        <v>45352</v>
      </c>
      <c r="L27" s="1">
        <v>45626</v>
      </c>
      <c r="M27" s="1">
        <v>45352</v>
      </c>
      <c r="N27" s="1">
        <v>45626</v>
      </c>
      <c r="O27" t="s">
        <v>238</v>
      </c>
      <c r="P27" t="s">
        <v>16226</v>
      </c>
      <c r="R27" t="s">
        <v>16227</v>
      </c>
      <c r="S27" t="s">
        <v>16228</v>
      </c>
      <c r="T27" t="s">
        <v>3400</v>
      </c>
      <c r="U27" t="s">
        <v>402</v>
      </c>
      <c r="V27" s="8" t="str">
        <f>"92078"</f>
        <v>92078</v>
      </c>
      <c r="W27" t="s">
        <v>118</v>
      </c>
      <c r="Y27" s="10">
        <v>17607358542</v>
      </c>
      <c r="AA27">
        <v>71399</v>
      </c>
      <c r="AB27" t="s">
        <v>2869</v>
      </c>
      <c r="AC27" t="s">
        <v>9301</v>
      </c>
      <c r="AE27" t="s">
        <v>561</v>
      </c>
      <c r="AF27" t="s">
        <v>16227</v>
      </c>
      <c r="AG27" t="s">
        <v>16228</v>
      </c>
      <c r="AH27" t="s">
        <v>3400</v>
      </c>
      <c r="AI27" t="s">
        <v>402</v>
      </c>
      <c r="AJ27" s="8" t="str">
        <f>"92078"</f>
        <v>92078</v>
      </c>
      <c r="AK27" t="s">
        <v>118</v>
      </c>
      <c r="AL27" t="s">
        <v>12356</v>
      </c>
      <c r="AM27" s="10">
        <v>17608018377</v>
      </c>
      <c r="AO27" t="s">
        <v>16229</v>
      </c>
      <c r="AP27" t="s">
        <v>248</v>
      </c>
      <c r="AQ27" t="s">
        <v>249</v>
      </c>
      <c r="AR27" t="s">
        <v>250</v>
      </c>
      <c r="AS27" t="s">
        <v>251</v>
      </c>
      <c r="AT27" t="s">
        <v>252</v>
      </c>
      <c r="AU27" t="s">
        <v>253</v>
      </c>
      <c r="AV27" t="s">
        <v>254</v>
      </c>
      <c r="AW27" t="s">
        <v>127</v>
      </c>
      <c r="AX27" s="8" t="str">
        <f>"78550"</f>
        <v>78550</v>
      </c>
      <c r="AY27" t="s">
        <v>118</v>
      </c>
      <c r="AZ27" t="s">
        <v>255</v>
      </c>
      <c r="BA27" s="10">
        <v>19564408720</v>
      </c>
      <c r="BB27" s="3" t="s">
        <v>256</v>
      </c>
      <c r="BC27" t="s">
        <v>257</v>
      </c>
      <c r="BD27" t="s">
        <v>258</v>
      </c>
      <c r="BG27" t="s">
        <v>402</v>
      </c>
      <c r="BH27" s="1">
        <v>45263.791666666664</v>
      </c>
      <c r="BI27">
        <v>40</v>
      </c>
      <c r="BJ27">
        <v>8</v>
      </c>
      <c r="BK27">
        <v>0</v>
      </c>
      <c r="BL27">
        <v>0</v>
      </c>
      <c r="BM27">
        <v>8</v>
      </c>
      <c r="BN27">
        <v>8</v>
      </c>
      <c r="BO27">
        <v>8</v>
      </c>
      <c r="BP27">
        <v>8</v>
      </c>
      <c r="BQ27" t="str">
        <f>"1:00 PM"</f>
        <v>1:00 PM</v>
      </c>
      <c r="BR27" t="str">
        <f>"10:00 PM"</f>
        <v>10:00 PM</v>
      </c>
      <c r="BS27" t="s">
        <v>131</v>
      </c>
      <c r="BT27">
        <v>0</v>
      </c>
      <c r="BU27">
        <v>0</v>
      </c>
      <c r="BV27" t="s">
        <v>114</v>
      </c>
      <c r="BX27" s="2" t="s">
        <v>259</v>
      </c>
      <c r="BY27" t="s">
        <v>16230</v>
      </c>
      <c r="CA27" t="s">
        <v>16231</v>
      </c>
      <c r="CB27" t="s">
        <v>402</v>
      </c>
      <c r="CC27" s="8" t="str">
        <f>"92065"</f>
        <v>92065</v>
      </c>
      <c r="CD27" t="s">
        <v>2435</v>
      </c>
      <c r="CE27" t="s">
        <v>2436</v>
      </c>
      <c r="CF27" s="12">
        <v>16</v>
      </c>
      <c r="CG27" s="12">
        <v>16.899999999999999</v>
      </c>
      <c r="CJ27" t="s">
        <v>135</v>
      </c>
      <c r="CK27" t="s">
        <v>264</v>
      </c>
      <c r="CL27" t="s">
        <v>16232</v>
      </c>
      <c r="CO27" t="s">
        <v>132</v>
      </c>
      <c r="CP27" t="s">
        <v>136</v>
      </c>
      <c r="CQ27" t="s">
        <v>136</v>
      </c>
      <c r="CR27" t="s">
        <v>114</v>
      </c>
      <c r="CS27" t="s">
        <v>136</v>
      </c>
      <c r="CT27" t="s">
        <v>136</v>
      </c>
      <c r="CU27" t="s">
        <v>136</v>
      </c>
      <c r="CV27" t="s">
        <v>567</v>
      </c>
      <c r="CW27" s="10" t="str">
        <f>"+17607358542"</f>
        <v>+17607358542</v>
      </c>
      <c r="CX27" t="s">
        <v>16229</v>
      </c>
      <c r="CY27" t="s">
        <v>132</v>
      </c>
      <c r="CZ27" t="s">
        <v>137</v>
      </c>
      <c r="DA27" t="s">
        <v>114</v>
      </c>
      <c r="DB27" t="s">
        <v>114</v>
      </c>
      <c r="DC27" t="s">
        <v>136</v>
      </c>
      <c r="DD27" t="s">
        <v>114</v>
      </c>
    </row>
    <row r="28" spans="1:108" ht="15" customHeight="1" x14ac:dyDescent="0.25">
      <c r="A28" t="s">
        <v>15130</v>
      </c>
      <c r="B28" t="s">
        <v>152</v>
      </c>
      <c r="C28" s="1">
        <v>45264.341233796295</v>
      </c>
      <c r="D28" s="1">
        <v>45288</v>
      </c>
      <c r="E28" t="s">
        <v>132</v>
      </c>
      <c r="F28" t="s">
        <v>1595</v>
      </c>
      <c r="G28" t="str">
        <f>"37-3011.00"</f>
        <v>37-3011.00</v>
      </c>
      <c r="H28" t="s">
        <v>429</v>
      </c>
      <c r="I28">
        <v>10</v>
      </c>
      <c r="J28">
        <v>10</v>
      </c>
      <c r="K28" s="1">
        <v>45354</v>
      </c>
      <c r="L28" s="1">
        <v>45644</v>
      </c>
      <c r="M28" s="1">
        <v>45354</v>
      </c>
      <c r="N28" s="1">
        <v>45644</v>
      </c>
      <c r="O28" t="s">
        <v>116</v>
      </c>
      <c r="P28" t="s">
        <v>15131</v>
      </c>
      <c r="Q28" t="s">
        <v>15132</v>
      </c>
      <c r="R28" t="s">
        <v>15133</v>
      </c>
      <c r="S28" t="s">
        <v>15134</v>
      </c>
      <c r="T28" t="s">
        <v>15135</v>
      </c>
      <c r="U28" t="s">
        <v>581</v>
      </c>
      <c r="V28" s="8" t="str">
        <f>"23454"</f>
        <v>23454</v>
      </c>
      <c r="W28" t="s">
        <v>118</v>
      </c>
      <c r="Y28" s="10">
        <v>17575133000</v>
      </c>
      <c r="AA28">
        <v>56173</v>
      </c>
      <c r="AB28" t="s">
        <v>15136</v>
      </c>
      <c r="AC28" t="s">
        <v>12539</v>
      </c>
      <c r="AE28" t="s">
        <v>794</v>
      </c>
      <c r="AF28" t="s">
        <v>15133</v>
      </c>
      <c r="AG28" t="s">
        <v>15137</v>
      </c>
      <c r="AH28" t="s">
        <v>15135</v>
      </c>
      <c r="AI28" t="s">
        <v>581</v>
      </c>
      <c r="AJ28" s="8" t="str">
        <f>"23454"</f>
        <v>23454</v>
      </c>
      <c r="AK28" t="s">
        <v>118</v>
      </c>
      <c r="AM28" s="10">
        <v>17575133000</v>
      </c>
      <c r="AO28" t="s">
        <v>15138</v>
      </c>
      <c r="AP28" t="s">
        <v>248</v>
      </c>
      <c r="AQ28" t="s">
        <v>1860</v>
      </c>
      <c r="AR28" t="s">
        <v>1861</v>
      </c>
      <c r="AS28" t="s">
        <v>1862</v>
      </c>
      <c r="AT28" t="s">
        <v>1863</v>
      </c>
      <c r="AU28" t="s">
        <v>1864</v>
      </c>
      <c r="AV28" t="s">
        <v>1865</v>
      </c>
      <c r="AW28" t="s">
        <v>581</v>
      </c>
      <c r="AX28" s="8" t="str">
        <f>"24521"</f>
        <v>24521</v>
      </c>
      <c r="AY28" t="s">
        <v>118</v>
      </c>
      <c r="BA28" s="10">
        <v>14349460035</v>
      </c>
      <c r="BB28">
        <v>11</v>
      </c>
      <c r="BC28" t="s">
        <v>1866</v>
      </c>
      <c r="BD28" t="s">
        <v>1867</v>
      </c>
      <c r="BG28" t="s">
        <v>581</v>
      </c>
      <c r="BH28" s="1">
        <v>45261.791666666664</v>
      </c>
      <c r="BI28">
        <v>40</v>
      </c>
      <c r="BJ28">
        <v>0</v>
      </c>
      <c r="BK28">
        <v>8</v>
      </c>
      <c r="BL28">
        <v>8</v>
      </c>
      <c r="BM28">
        <v>8</v>
      </c>
      <c r="BN28">
        <v>8</v>
      </c>
      <c r="BO28">
        <v>8</v>
      </c>
      <c r="BP28">
        <v>0</v>
      </c>
      <c r="BQ28" t="str">
        <f>"7:00 AM"</f>
        <v>7:00 AM</v>
      </c>
      <c r="BR28" t="str">
        <f>"4:00 PM"</f>
        <v>4:00 PM</v>
      </c>
      <c r="BS28" t="s">
        <v>131</v>
      </c>
      <c r="BT28">
        <v>0</v>
      </c>
      <c r="BU28">
        <v>0</v>
      </c>
      <c r="BV28" t="s">
        <v>114</v>
      </c>
      <c r="BX28" s="2" t="s">
        <v>15139</v>
      </c>
      <c r="BY28" t="s">
        <v>15140</v>
      </c>
      <c r="CA28" t="s">
        <v>2143</v>
      </c>
      <c r="CB28" t="s">
        <v>581</v>
      </c>
      <c r="CC28" s="8" t="str">
        <f>"23453"</f>
        <v>23453</v>
      </c>
      <c r="CD28" t="s">
        <v>2144</v>
      </c>
      <c r="CE28" t="s">
        <v>2145</v>
      </c>
      <c r="CF28" s="12">
        <v>16.350000000000001</v>
      </c>
      <c r="CG28" s="12">
        <v>16.350000000000001</v>
      </c>
      <c r="CH28" s="12">
        <v>24.53</v>
      </c>
      <c r="CI28" s="12">
        <v>24.53</v>
      </c>
      <c r="CJ28" t="s">
        <v>135</v>
      </c>
      <c r="CK28" t="s">
        <v>5049</v>
      </c>
      <c r="CL28" t="s">
        <v>15141</v>
      </c>
      <c r="CO28" t="s">
        <v>132</v>
      </c>
      <c r="CP28" t="s">
        <v>136</v>
      </c>
      <c r="CQ28" t="s">
        <v>136</v>
      </c>
      <c r="CR28" t="s">
        <v>136</v>
      </c>
      <c r="CS28" t="s">
        <v>114</v>
      </c>
      <c r="CT28" t="s">
        <v>136</v>
      </c>
      <c r="CU28" t="s">
        <v>114</v>
      </c>
      <c r="CV28" s="2" t="s">
        <v>15142</v>
      </c>
      <c r="CW28" s="10" t="str">
        <f>"+17575133000"</f>
        <v>+17575133000</v>
      </c>
      <c r="CX28" t="s">
        <v>15143</v>
      </c>
      <c r="CY28" t="s">
        <v>132</v>
      </c>
      <c r="CZ28" t="s">
        <v>137</v>
      </c>
      <c r="DA28" t="s">
        <v>114</v>
      </c>
      <c r="DB28" t="s">
        <v>136</v>
      </c>
      <c r="DC28" t="s">
        <v>136</v>
      </c>
      <c r="DD28" t="s">
        <v>114</v>
      </c>
    </row>
    <row r="29" spans="1:108" ht="15" customHeight="1" x14ac:dyDescent="0.25">
      <c r="A29" t="s">
        <v>20035</v>
      </c>
      <c r="B29" t="s">
        <v>152</v>
      </c>
      <c r="C29" s="1">
        <v>45264.000260532404</v>
      </c>
      <c r="D29" s="1">
        <v>45288</v>
      </c>
      <c r="E29" t="s">
        <v>132</v>
      </c>
      <c r="F29" t="s">
        <v>7279</v>
      </c>
      <c r="G29" t="str">
        <f>"51-3022.00"</f>
        <v>51-3022.00</v>
      </c>
      <c r="H29" t="s">
        <v>1004</v>
      </c>
      <c r="I29">
        <v>7</v>
      </c>
      <c r="J29">
        <v>7</v>
      </c>
      <c r="K29" s="1">
        <v>45354</v>
      </c>
      <c r="L29" s="1">
        <v>45657</v>
      </c>
      <c r="M29" s="1">
        <v>45354</v>
      </c>
      <c r="N29" s="1">
        <v>45657</v>
      </c>
      <c r="O29" t="s">
        <v>238</v>
      </c>
      <c r="P29" t="s">
        <v>7280</v>
      </c>
      <c r="R29" t="s">
        <v>7281</v>
      </c>
      <c r="S29" t="s">
        <v>7282</v>
      </c>
      <c r="T29" t="s">
        <v>7283</v>
      </c>
      <c r="U29" t="s">
        <v>581</v>
      </c>
      <c r="V29" s="8" t="str">
        <f>"22576"</f>
        <v>22576</v>
      </c>
      <c r="W29" t="s">
        <v>118</v>
      </c>
      <c r="Y29" s="10">
        <v>18044385561</v>
      </c>
      <c r="AA29">
        <v>31171</v>
      </c>
      <c r="AB29" t="s">
        <v>7284</v>
      </c>
      <c r="AC29" t="s">
        <v>5374</v>
      </c>
      <c r="AD29" t="s">
        <v>4795</v>
      </c>
      <c r="AE29" t="s">
        <v>629</v>
      </c>
      <c r="AF29" t="s">
        <v>7281</v>
      </c>
      <c r="AG29" t="s">
        <v>7282</v>
      </c>
      <c r="AH29" t="s">
        <v>7283</v>
      </c>
      <c r="AI29" t="s">
        <v>581</v>
      </c>
      <c r="AJ29" s="8" t="str">
        <f>"22576"</f>
        <v>22576</v>
      </c>
      <c r="AK29" t="s">
        <v>118</v>
      </c>
      <c r="AM29" s="10">
        <v>18044385561</v>
      </c>
      <c r="AO29" t="s">
        <v>7285</v>
      </c>
      <c r="AP29" t="s">
        <v>248</v>
      </c>
      <c r="AQ29" t="s">
        <v>1860</v>
      </c>
      <c r="AR29" t="s">
        <v>1861</v>
      </c>
      <c r="AS29" t="s">
        <v>1862</v>
      </c>
      <c r="AT29" t="s">
        <v>1863</v>
      </c>
      <c r="AU29" t="s">
        <v>1864</v>
      </c>
      <c r="AV29" t="s">
        <v>1865</v>
      </c>
      <c r="AW29" t="s">
        <v>581</v>
      </c>
      <c r="AX29" s="8" t="str">
        <f>"24521"</f>
        <v>24521</v>
      </c>
      <c r="AY29" t="s">
        <v>118</v>
      </c>
      <c r="BA29" s="10">
        <v>14349460035</v>
      </c>
      <c r="BB29">
        <v>11</v>
      </c>
      <c r="BC29" t="s">
        <v>1866</v>
      </c>
      <c r="BD29" t="s">
        <v>1867</v>
      </c>
      <c r="BG29" t="s">
        <v>581</v>
      </c>
      <c r="BH29" s="1">
        <v>45263.791666666664</v>
      </c>
      <c r="BI29">
        <v>35</v>
      </c>
      <c r="BJ29">
        <v>0</v>
      </c>
      <c r="BK29">
        <v>7</v>
      </c>
      <c r="BL29">
        <v>7</v>
      </c>
      <c r="BM29">
        <v>7</v>
      </c>
      <c r="BN29">
        <v>7</v>
      </c>
      <c r="BO29">
        <v>7</v>
      </c>
      <c r="BP29">
        <v>0</v>
      </c>
      <c r="BQ29" t="str">
        <f>"7:00 AM"</f>
        <v>7:00 AM</v>
      </c>
      <c r="BR29" t="str">
        <f>"3:00 PM"</f>
        <v>3:00 PM</v>
      </c>
      <c r="BS29" t="s">
        <v>131</v>
      </c>
      <c r="BT29">
        <v>0</v>
      </c>
      <c r="BU29">
        <v>0</v>
      </c>
      <c r="BV29" t="s">
        <v>114</v>
      </c>
      <c r="BX29" s="2" t="s">
        <v>20036</v>
      </c>
      <c r="BY29" t="s">
        <v>7281</v>
      </c>
      <c r="CA29" t="s">
        <v>7283</v>
      </c>
      <c r="CB29" t="s">
        <v>581</v>
      </c>
      <c r="CC29" s="8" t="str">
        <f>"22576"</f>
        <v>22576</v>
      </c>
      <c r="CD29" t="s">
        <v>2655</v>
      </c>
      <c r="CE29" t="s">
        <v>5588</v>
      </c>
      <c r="CF29" s="12">
        <v>14.05</v>
      </c>
      <c r="CG29" s="12">
        <v>14.05</v>
      </c>
      <c r="CH29" s="12">
        <v>21.08</v>
      </c>
      <c r="CI29" s="12">
        <v>21.08</v>
      </c>
      <c r="CJ29" t="s">
        <v>135</v>
      </c>
      <c r="CK29" t="s">
        <v>1870</v>
      </c>
      <c r="CL29" t="s">
        <v>7286</v>
      </c>
      <c r="CO29" t="s">
        <v>132</v>
      </c>
      <c r="CP29" t="s">
        <v>114</v>
      </c>
      <c r="CQ29" t="s">
        <v>114</v>
      </c>
      <c r="CR29" t="s">
        <v>136</v>
      </c>
      <c r="CS29" t="s">
        <v>136</v>
      </c>
      <c r="CT29" t="s">
        <v>136</v>
      </c>
      <c r="CU29" t="s">
        <v>136</v>
      </c>
      <c r="CV29" s="2" t="s">
        <v>7287</v>
      </c>
      <c r="CW29" s="10" t="str">
        <f>"+18044385561"</f>
        <v>+18044385561</v>
      </c>
      <c r="CX29" t="s">
        <v>7285</v>
      </c>
      <c r="CY29" t="s">
        <v>132</v>
      </c>
      <c r="CZ29" t="s">
        <v>137</v>
      </c>
      <c r="DA29" t="s">
        <v>114</v>
      </c>
      <c r="DB29" t="s">
        <v>136</v>
      </c>
      <c r="DC29" t="s">
        <v>136</v>
      </c>
      <c r="DD29" t="s">
        <v>114</v>
      </c>
    </row>
    <row r="30" spans="1:108" ht="15" customHeight="1" x14ac:dyDescent="0.25">
      <c r="A30" t="s">
        <v>17925</v>
      </c>
      <c r="B30" t="s">
        <v>152</v>
      </c>
      <c r="C30" s="1">
        <v>45263.320756365742</v>
      </c>
      <c r="D30" s="1">
        <v>45288</v>
      </c>
      <c r="E30" t="s">
        <v>132</v>
      </c>
      <c r="F30" t="s">
        <v>397</v>
      </c>
      <c r="G30" t="str">
        <f>"47-2181.00"</f>
        <v>47-2181.00</v>
      </c>
      <c r="H30" t="s">
        <v>398</v>
      </c>
      <c r="I30">
        <v>3</v>
      </c>
      <c r="J30">
        <v>3</v>
      </c>
      <c r="K30" s="1">
        <v>45353</v>
      </c>
      <c r="L30" s="1">
        <v>45657</v>
      </c>
      <c r="M30" s="1">
        <v>45353</v>
      </c>
      <c r="N30" s="1">
        <v>45657</v>
      </c>
      <c r="O30" t="s">
        <v>238</v>
      </c>
      <c r="P30" t="s">
        <v>17926</v>
      </c>
      <c r="R30" t="s">
        <v>17927</v>
      </c>
      <c r="T30" t="s">
        <v>4115</v>
      </c>
      <c r="U30" t="s">
        <v>434</v>
      </c>
      <c r="V30" s="8" t="str">
        <f>"16602"</f>
        <v>16602</v>
      </c>
      <c r="W30" t="s">
        <v>118</v>
      </c>
      <c r="Y30" s="10">
        <v>18149447878</v>
      </c>
      <c r="AA30">
        <v>23611</v>
      </c>
      <c r="AB30" t="s">
        <v>1894</v>
      </c>
      <c r="AC30" t="s">
        <v>3176</v>
      </c>
      <c r="AE30" t="s">
        <v>17928</v>
      </c>
      <c r="AF30" t="s">
        <v>17929</v>
      </c>
      <c r="AH30" t="s">
        <v>4115</v>
      </c>
      <c r="AI30" t="s">
        <v>434</v>
      </c>
      <c r="AJ30" s="8" t="str">
        <f>"16602"</f>
        <v>16602</v>
      </c>
      <c r="AK30" t="s">
        <v>118</v>
      </c>
      <c r="AM30" s="10">
        <v>18149447878</v>
      </c>
      <c r="AO30" t="s">
        <v>17930</v>
      </c>
      <c r="AP30" t="s">
        <v>248</v>
      </c>
      <c r="AQ30" t="s">
        <v>1860</v>
      </c>
      <c r="AR30" t="s">
        <v>1861</v>
      </c>
      <c r="AS30" t="s">
        <v>1862</v>
      </c>
      <c r="AT30" t="s">
        <v>1863</v>
      </c>
      <c r="AU30" t="s">
        <v>1864</v>
      </c>
      <c r="AV30" t="s">
        <v>1865</v>
      </c>
      <c r="AW30" t="s">
        <v>581</v>
      </c>
      <c r="AX30" s="8" t="str">
        <f>"24521"</f>
        <v>24521</v>
      </c>
      <c r="AY30" t="s">
        <v>118</v>
      </c>
      <c r="BA30" s="10">
        <v>14349460035</v>
      </c>
      <c r="BB30">
        <v>11</v>
      </c>
      <c r="BC30" t="s">
        <v>1866</v>
      </c>
      <c r="BD30" t="s">
        <v>1867</v>
      </c>
      <c r="BG30" t="s">
        <v>434</v>
      </c>
      <c r="BH30" s="1">
        <v>45262.791666666664</v>
      </c>
      <c r="BI30">
        <v>40</v>
      </c>
      <c r="BJ30">
        <v>0</v>
      </c>
      <c r="BK30">
        <v>8</v>
      </c>
      <c r="BL30">
        <v>8</v>
      </c>
      <c r="BM30">
        <v>8</v>
      </c>
      <c r="BN30">
        <v>8</v>
      </c>
      <c r="BO30">
        <v>8</v>
      </c>
      <c r="BP30">
        <v>0</v>
      </c>
      <c r="BQ30" t="str">
        <f>"7:00 AM"</f>
        <v>7:00 AM</v>
      </c>
      <c r="BR30" t="str">
        <f>"3:00 PM"</f>
        <v>3:00 PM</v>
      </c>
      <c r="BS30" t="s">
        <v>131</v>
      </c>
      <c r="BT30">
        <v>0</v>
      </c>
      <c r="BU30">
        <v>3</v>
      </c>
      <c r="BV30" t="s">
        <v>114</v>
      </c>
      <c r="BX30" s="2" t="s">
        <v>17931</v>
      </c>
      <c r="BY30" t="s">
        <v>17932</v>
      </c>
      <c r="CA30" t="s">
        <v>4115</v>
      </c>
      <c r="CB30" t="s">
        <v>434</v>
      </c>
      <c r="CC30" s="8" t="str">
        <f>"16602"</f>
        <v>16602</v>
      </c>
      <c r="CD30" t="s">
        <v>17933</v>
      </c>
      <c r="CE30" t="s">
        <v>17934</v>
      </c>
      <c r="CF30" s="12">
        <v>20.61</v>
      </c>
      <c r="CG30" s="12">
        <v>20.61</v>
      </c>
      <c r="CH30" s="12">
        <v>30.92</v>
      </c>
      <c r="CI30" s="12">
        <v>30.92</v>
      </c>
      <c r="CJ30" t="s">
        <v>135</v>
      </c>
      <c r="CK30" t="s">
        <v>1870</v>
      </c>
      <c r="CL30" t="s">
        <v>17935</v>
      </c>
      <c r="CO30" t="s">
        <v>132</v>
      </c>
      <c r="CP30" t="s">
        <v>136</v>
      </c>
      <c r="CQ30" t="s">
        <v>136</v>
      </c>
      <c r="CR30" t="s">
        <v>136</v>
      </c>
      <c r="CS30" t="s">
        <v>136</v>
      </c>
      <c r="CT30" t="s">
        <v>136</v>
      </c>
      <c r="CU30" t="s">
        <v>136</v>
      </c>
      <c r="CV30" s="2" t="s">
        <v>17936</v>
      </c>
      <c r="CW30" s="10" t="str">
        <f>"+18149327550"</f>
        <v>+18149327550</v>
      </c>
      <c r="CX30" t="s">
        <v>17937</v>
      </c>
      <c r="CY30" t="s">
        <v>132</v>
      </c>
      <c r="CZ30" t="s">
        <v>137</v>
      </c>
      <c r="DA30" t="s">
        <v>114</v>
      </c>
      <c r="DB30" t="s">
        <v>136</v>
      </c>
      <c r="DC30" t="s">
        <v>136</v>
      </c>
      <c r="DD30" t="s">
        <v>114</v>
      </c>
    </row>
    <row r="31" spans="1:108" ht="15" customHeight="1" x14ac:dyDescent="0.25">
      <c r="A31" t="s">
        <v>5617</v>
      </c>
      <c r="B31" t="s">
        <v>152</v>
      </c>
      <c r="C31" s="1">
        <v>45263.315340162037</v>
      </c>
      <c r="D31" s="1">
        <v>45288</v>
      </c>
      <c r="E31" t="s">
        <v>132</v>
      </c>
      <c r="F31" t="s">
        <v>5618</v>
      </c>
      <c r="G31" t="str">
        <f>"51-3022.00"</f>
        <v>51-3022.00</v>
      </c>
      <c r="H31" t="s">
        <v>1004</v>
      </c>
      <c r="I31">
        <v>200</v>
      </c>
      <c r="J31">
        <v>200</v>
      </c>
      <c r="K31" s="1">
        <v>45353</v>
      </c>
      <c r="L31" s="1">
        <v>45657</v>
      </c>
      <c r="M31" s="1">
        <v>45353</v>
      </c>
      <c r="N31" s="1">
        <v>45657</v>
      </c>
      <c r="O31" t="s">
        <v>238</v>
      </c>
      <c r="P31" t="s">
        <v>5619</v>
      </c>
      <c r="R31" t="s">
        <v>5620</v>
      </c>
      <c r="S31" t="s">
        <v>5621</v>
      </c>
      <c r="T31" t="s">
        <v>2663</v>
      </c>
      <c r="U31" t="s">
        <v>375</v>
      </c>
      <c r="V31" s="8" t="str">
        <f>"27925"</f>
        <v>27925</v>
      </c>
      <c r="W31" t="s">
        <v>118</v>
      </c>
      <c r="Y31" s="10">
        <v>12527960795</v>
      </c>
      <c r="AA31">
        <v>31171</v>
      </c>
      <c r="AB31" t="s">
        <v>5622</v>
      </c>
      <c r="AC31" t="s">
        <v>5623</v>
      </c>
      <c r="AE31" t="s">
        <v>629</v>
      </c>
      <c r="AF31" t="s">
        <v>5620</v>
      </c>
      <c r="AG31" t="s">
        <v>5621</v>
      </c>
      <c r="AH31" t="s">
        <v>2663</v>
      </c>
      <c r="AI31" t="s">
        <v>375</v>
      </c>
      <c r="AJ31" s="8" t="str">
        <f>"27925"</f>
        <v>27925</v>
      </c>
      <c r="AK31" t="s">
        <v>118</v>
      </c>
      <c r="AM31" s="10">
        <v>12527960795</v>
      </c>
      <c r="AO31" t="s">
        <v>5624</v>
      </c>
      <c r="AP31" t="s">
        <v>248</v>
      </c>
      <c r="AQ31" t="s">
        <v>1860</v>
      </c>
      <c r="AR31" t="s">
        <v>1861</v>
      </c>
      <c r="AS31" t="s">
        <v>1862</v>
      </c>
      <c r="AT31" t="s">
        <v>1863</v>
      </c>
      <c r="AU31" t="s">
        <v>1864</v>
      </c>
      <c r="AV31" t="s">
        <v>1865</v>
      </c>
      <c r="AW31" t="s">
        <v>581</v>
      </c>
      <c r="AX31" s="8" t="str">
        <f>"24521"</f>
        <v>24521</v>
      </c>
      <c r="AY31" t="s">
        <v>118</v>
      </c>
      <c r="BA31" s="10">
        <v>14349460035</v>
      </c>
      <c r="BB31">
        <v>11</v>
      </c>
      <c r="BC31" t="s">
        <v>1866</v>
      </c>
      <c r="BD31" t="s">
        <v>1867</v>
      </c>
      <c r="BG31" t="s">
        <v>375</v>
      </c>
      <c r="BH31" s="1">
        <v>45262.791666666664</v>
      </c>
      <c r="BI31">
        <v>40</v>
      </c>
      <c r="BJ31">
        <v>0</v>
      </c>
      <c r="BK31">
        <v>8</v>
      </c>
      <c r="BL31">
        <v>8</v>
      </c>
      <c r="BM31">
        <v>8</v>
      </c>
      <c r="BN31">
        <v>8</v>
      </c>
      <c r="BO31">
        <v>8</v>
      </c>
      <c r="BP31">
        <v>0</v>
      </c>
      <c r="BQ31" t="str">
        <f>"5:00 AM"</f>
        <v>5:00 AM</v>
      </c>
      <c r="BR31" t="str">
        <f>"1:00 PM"</f>
        <v>1:00 PM</v>
      </c>
      <c r="BS31" t="s">
        <v>131</v>
      </c>
      <c r="BT31">
        <v>0</v>
      </c>
      <c r="BU31">
        <v>0</v>
      </c>
      <c r="BV31" t="s">
        <v>114</v>
      </c>
      <c r="BX31" s="2" t="s">
        <v>5625</v>
      </c>
      <c r="BY31" t="s">
        <v>5620</v>
      </c>
      <c r="CA31" t="s">
        <v>2663</v>
      </c>
      <c r="CB31" t="s">
        <v>375</v>
      </c>
      <c r="CC31" s="8" t="str">
        <f>"27925"</f>
        <v>27925</v>
      </c>
      <c r="CD31" t="s">
        <v>5626</v>
      </c>
      <c r="CE31" t="s">
        <v>1952</v>
      </c>
      <c r="CF31" s="12">
        <v>9.85</v>
      </c>
      <c r="CG31" s="12">
        <v>9.85</v>
      </c>
      <c r="CH31" s="12">
        <v>14.78</v>
      </c>
      <c r="CI31" s="12">
        <v>14.78</v>
      </c>
      <c r="CJ31" t="s">
        <v>135</v>
      </c>
      <c r="CK31" t="s">
        <v>5627</v>
      </c>
      <c r="CL31" t="s">
        <v>5628</v>
      </c>
      <c r="CO31" t="s">
        <v>132</v>
      </c>
      <c r="CP31" t="s">
        <v>114</v>
      </c>
      <c r="CQ31" t="s">
        <v>114</v>
      </c>
      <c r="CR31" t="s">
        <v>136</v>
      </c>
      <c r="CS31" t="s">
        <v>136</v>
      </c>
      <c r="CT31" t="s">
        <v>136</v>
      </c>
      <c r="CU31" t="s">
        <v>136</v>
      </c>
      <c r="CV31" s="2" t="s">
        <v>5629</v>
      </c>
      <c r="CW31" s="10" t="str">
        <f>"+12527960795"</f>
        <v>+12527960795</v>
      </c>
      <c r="CX31" t="s">
        <v>5624</v>
      </c>
      <c r="CY31" t="s">
        <v>132</v>
      </c>
      <c r="CZ31" t="s">
        <v>137</v>
      </c>
      <c r="DA31" t="s">
        <v>114</v>
      </c>
      <c r="DB31" t="s">
        <v>114</v>
      </c>
      <c r="DC31" t="s">
        <v>136</v>
      </c>
      <c r="DD31" t="s">
        <v>114</v>
      </c>
    </row>
    <row r="32" spans="1:108" ht="15" customHeight="1" x14ac:dyDescent="0.25">
      <c r="A32" t="s">
        <v>2366</v>
      </c>
      <c r="B32" t="s">
        <v>152</v>
      </c>
      <c r="C32" s="1">
        <v>45262.600279282407</v>
      </c>
      <c r="D32" s="1">
        <v>45288</v>
      </c>
      <c r="E32" t="s">
        <v>132</v>
      </c>
      <c r="F32" t="s">
        <v>700</v>
      </c>
      <c r="G32" t="str">
        <f>"37-3011.00"</f>
        <v>37-3011.00</v>
      </c>
      <c r="H32" t="s">
        <v>429</v>
      </c>
      <c r="I32">
        <v>30</v>
      </c>
      <c r="J32">
        <v>30</v>
      </c>
      <c r="K32" s="1">
        <v>45352</v>
      </c>
      <c r="L32" s="1">
        <v>45627</v>
      </c>
      <c r="M32" s="1">
        <v>45352</v>
      </c>
      <c r="N32" s="1">
        <v>45627</v>
      </c>
      <c r="O32" t="s">
        <v>238</v>
      </c>
      <c r="P32" t="s">
        <v>2367</v>
      </c>
      <c r="R32" t="s">
        <v>2368</v>
      </c>
      <c r="T32" t="s">
        <v>2369</v>
      </c>
      <c r="U32" t="s">
        <v>819</v>
      </c>
      <c r="V32" s="8" t="str">
        <f>"47006"</f>
        <v>47006</v>
      </c>
      <c r="W32" t="s">
        <v>118</v>
      </c>
      <c r="Y32" s="10">
        <v>18129330205</v>
      </c>
      <c r="AA32">
        <v>23899</v>
      </c>
      <c r="AB32" t="s">
        <v>2370</v>
      </c>
      <c r="AC32" t="s">
        <v>2371</v>
      </c>
      <c r="AD32" t="s">
        <v>1410</v>
      </c>
      <c r="AE32" t="s">
        <v>2372</v>
      </c>
      <c r="AF32" t="s">
        <v>2368</v>
      </c>
      <c r="AH32" t="s">
        <v>2369</v>
      </c>
      <c r="AI32" t="s">
        <v>819</v>
      </c>
      <c r="AJ32" s="8" t="str">
        <f>"47006"</f>
        <v>47006</v>
      </c>
      <c r="AK32" t="s">
        <v>118</v>
      </c>
      <c r="AM32" s="10">
        <v>18129330205</v>
      </c>
      <c r="AO32" t="s">
        <v>2373</v>
      </c>
      <c r="AX32" s="8" t="str">
        <f>""</f>
        <v/>
      </c>
      <c r="BG32" t="s">
        <v>819</v>
      </c>
      <c r="BH32" s="1">
        <v>45261.791666666664</v>
      </c>
      <c r="BI32">
        <v>50</v>
      </c>
      <c r="BJ32">
        <v>0</v>
      </c>
      <c r="BK32">
        <v>10</v>
      </c>
      <c r="BL32">
        <v>10</v>
      </c>
      <c r="BM32">
        <v>10</v>
      </c>
      <c r="BN32">
        <v>10</v>
      </c>
      <c r="BO32">
        <v>10</v>
      </c>
      <c r="BP32">
        <v>0</v>
      </c>
      <c r="BQ32" t="str">
        <f>"7:00 AM"</f>
        <v>7:00 AM</v>
      </c>
      <c r="BR32" t="str">
        <f>"6:00 PM"</f>
        <v>6:00 PM</v>
      </c>
      <c r="BS32" t="s">
        <v>131</v>
      </c>
      <c r="BT32">
        <v>0</v>
      </c>
      <c r="BU32">
        <v>0</v>
      </c>
      <c r="BV32" t="s">
        <v>114</v>
      </c>
      <c r="BX32" t="s">
        <v>131</v>
      </c>
      <c r="BY32" t="s">
        <v>2368</v>
      </c>
      <c r="CA32" t="s">
        <v>2369</v>
      </c>
      <c r="CB32" t="s">
        <v>819</v>
      </c>
      <c r="CC32" s="8" t="str">
        <f>"47006"</f>
        <v>47006</v>
      </c>
      <c r="CD32" t="s">
        <v>535</v>
      </c>
      <c r="CE32" t="s">
        <v>2037</v>
      </c>
      <c r="CF32" s="12">
        <v>17.5</v>
      </c>
      <c r="CG32" s="12">
        <v>18</v>
      </c>
      <c r="CH32" s="12">
        <v>26.25</v>
      </c>
      <c r="CI32" s="12">
        <v>27</v>
      </c>
      <c r="CJ32" t="s">
        <v>135</v>
      </c>
      <c r="CK32" t="s">
        <v>131</v>
      </c>
      <c r="CL32" t="s">
        <v>2374</v>
      </c>
      <c r="CO32" t="s">
        <v>132</v>
      </c>
      <c r="CP32" t="s">
        <v>136</v>
      </c>
      <c r="CQ32" t="s">
        <v>136</v>
      </c>
      <c r="CR32" t="s">
        <v>136</v>
      </c>
      <c r="CS32" t="s">
        <v>136</v>
      </c>
      <c r="CT32" t="s">
        <v>136</v>
      </c>
      <c r="CU32" t="s">
        <v>136</v>
      </c>
      <c r="CV32" t="s">
        <v>2375</v>
      </c>
      <c r="CW32" s="10" t="str">
        <f>"+18129330205"</f>
        <v>+18129330205</v>
      </c>
      <c r="CX32" t="s">
        <v>2373</v>
      </c>
      <c r="CY32" t="s">
        <v>796</v>
      </c>
      <c r="CZ32" t="s">
        <v>137</v>
      </c>
      <c r="DA32" t="s">
        <v>114</v>
      </c>
      <c r="DB32" t="s">
        <v>114</v>
      </c>
      <c r="DC32" t="s">
        <v>136</v>
      </c>
      <c r="DD32" t="s">
        <v>114</v>
      </c>
    </row>
    <row r="33" spans="1:113" ht="15" customHeight="1" x14ac:dyDescent="0.25">
      <c r="A33" t="s">
        <v>2644</v>
      </c>
      <c r="B33" t="s">
        <v>152</v>
      </c>
      <c r="C33" s="1">
        <v>45262.456746990742</v>
      </c>
      <c r="D33" s="1">
        <v>45288</v>
      </c>
      <c r="E33" t="s">
        <v>132</v>
      </c>
      <c r="F33" t="s">
        <v>2645</v>
      </c>
      <c r="G33" t="str">
        <f>"37-3011.00"</f>
        <v>37-3011.00</v>
      </c>
      <c r="H33" t="s">
        <v>429</v>
      </c>
      <c r="I33">
        <v>4</v>
      </c>
      <c r="J33">
        <v>4</v>
      </c>
      <c r="K33" s="1">
        <v>45352</v>
      </c>
      <c r="L33" s="1">
        <v>45626</v>
      </c>
      <c r="M33" s="1">
        <v>45352</v>
      </c>
      <c r="N33" s="1">
        <v>45626</v>
      </c>
      <c r="O33" t="s">
        <v>238</v>
      </c>
      <c r="P33" t="s">
        <v>2646</v>
      </c>
      <c r="Q33" t="s">
        <v>2647</v>
      </c>
      <c r="R33" t="s">
        <v>2648</v>
      </c>
      <c r="T33" t="s">
        <v>2649</v>
      </c>
      <c r="U33" t="s">
        <v>434</v>
      </c>
      <c r="V33" s="8" t="str">
        <f>"18644"</f>
        <v>18644</v>
      </c>
      <c r="W33" t="s">
        <v>118</v>
      </c>
      <c r="Y33" s="10">
        <v>18773837267</v>
      </c>
      <c r="AA33">
        <v>56173</v>
      </c>
      <c r="AB33" t="s">
        <v>2650</v>
      </c>
      <c r="AC33" t="s">
        <v>2651</v>
      </c>
      <c r="AE33" t="s">
        <v>2092</v>
      </c>
      <c r="AF33" t="s">
        <v>2648</v>
      </c>
      <c r="AH33" t="s">
        <v>2649</v>
      </c>
      <c r="AI33" t="s">
        <v>434</v>
      </c>
      <c r="AJ33" s="8" t="str">
        <f>"18644"</f>
        <v>18644</v>
      </c>
      <c r="AK33" t="s">
        <v>118</v>
      </c>
      <c r="AM33" s="10">
        <v>18773837267</v>
      </c>
      <c r="AO33" t="s">
        <v>132</v>
      </c>
      <c r="AP33" t="s">
        <v>248</v>
      </c>
      <c r="AQ33" t="s">
        <v>673</v>
      </c>
      <c r="AR33" t="s">
        <v>674</v>
      </c>
      <c r="AT33" t="s">
        <v>579</v>
      </c>
      <c r="AV33" t="s">
        <v>580</v>
      </c>
      <c r="AW33" t="s">
        <v>581</v>
      </c>
      <c r="AX33" s="8" t="str">
        <f>"22903"</f>
        <v>22903</v>
      </c>
      <c r="AY33" t="s">
        <v>118</v>
      </c>
      <c r="BA33" s="10">
        <v>14342634300</v>
      </c>
      <c r="BC33" t="s">
        <v>675</v>
      </c>
      <c r="BD33" t="s">
        <v>583</v>
      </c>
      <c r="BG33" t="s">
        <v>434</v>
      </c>
      <c r="BH33" s="1">
        <v>45261.791666666664</v>
      </c>
      <c r="BI33">
        <v>40</v>
      </c>
      <c r="BJ33">
        <v>0</v>
      </c>
      <c r="BK33">
        <v>10</v>
      </c>
      <c r="BL33">
        <v>10</v>
      </c>
      <c r="BM33">
        <v>10</v>
      </c>
      <c r="BN33">
        <v>10</v>
      </c>
      <c r="BO33">
        <v>0</v>
      </c>
      <c r="BP33">
        <v>0</v>
      </c>
      <c r="BQ33" t="str">
        <f>"6:00 AM"</f>
        <v>6:00 AM</v>
      </c>
      <c r="BR33" t="str">
        <f>"5:00 PM"</f>
        <v>5:00 PM</v>
      </c>
      <c r="BS33" t="s">
        <v>131</v>
      </c>
      <c r="BT33">
        <v>0</v>
      </c>
      <c r="BU33">
        <v>6</v>
      </c>
      <c r="BV33" t="s">
        <v>114</v>
      </c>
      <c r="BX33" s="2" t="s">
        <v>2652</v>
      </c>
      <c r="BY33" t="s">
        <v>2653</v>
      </c>
      <c r="CA33" t="s">
        <v>2654</v>
      </c>
      <c r="CB33" t="s">
        <v>434</v>
      </c>
      <c r="CC33" s="8" t="str">
        <f>"17512"</f>
        <v>17512</v>
      </c>
      <c r="CD33" t="s">
        <v>2655</v>
      </c>
      <c r="CE33" t="s">
        <v>2656</v>
      </c>
      <c r="CF33" s="12">
        <v>17.57</v>
      </c>
      <c r="CG33" s="12">
        <v>17.57</v>
      </c>
      <c r="CH33" s="12">
        <v>26.36</v>
      </c>
      <c r="CI33" s="12">
        <v>26.36</v>
      </c>
      <c r="CJ33" t="s">
        <v>135</v>
      </c>
      <c r="CK33" t="s">
        <v>590</v>
      </c>
      <c r="CL33" t="s">
        <v>2657</v>
      </c>
      <c r="CO33" t="s">
        <v>132</v>
      </c>
      <c r="CP33" t="s">
        <v>136</v>
      </c>
      <c r="CQ33" t="s">
        <v>136</v>
      </c>
      <c r="CR33" t="s">
        <v>136</v>
      </c>
      <c r="CS33" t="s">
        <v>114</v>
      </c>
      <c r="CT33" t="s">
        <v>136</v>
      </c>
      <c r="CU33" t="s">
        <v>136</v>
      </c>
      <c r="CV33" t="s">
        <v>2658</v>
      </c>
      <c r="CW33" s="10" t="str">
        <f>"N/A"</f>
        <v>N/A</v>
      </c>
      <c r="CX33" t="s">
        <v>2659</v>
      </c>
      <c r="CY33" t="s">
        <v>1997</v>
      </c>
      <c r="CZ33" t="s">
        <v>137</v>
      </c>
      <c r="DA33" t="s">
        <v>114</v>
      </c>
      <c r="DB33" t="s">
        <v>136</v>
      </c>
      <c r="DC33" t="s">
        <v>136</v>
      </c>
      <c r="DD33" t="s">
        <v>114</v>
      </c>
      <c r="DE33" t="s">
        <v>673</v>
      </c>
      <c r="DF33" t="s">
        <v>674</v>
      </c>
      <c r="DH33" t="s">
        <v>583</v>
      </c>
      <c r="DI33" t="s">
        <v>675</v>
      </c>
    </row>
    <row r="34" spans="1:113" ht="15" customHeight="1" x14ac:dyDescent="0.25">
      <c r="A34" t="s">
        <v>11311</v>
      </c>
      <c r="B34" t="s">
        <v>152</v>
      </c>
      <c r="C34" s="1">
        <v>45262.455957175924</v>
      </c>
      <c r="D34" s="1">
        <v>45288</v>
      </c>
      <c r="E34" t="s">
        <v>132</v>
      </c>
      <c r="F34" t="s">
        <v>2020</v>
      </c>
      <c r="G34" t="str">
        <f>"37-3011.00"</f>
        <v>37-3011.00</v>
      </c>
      <c r="H34" t="s">
        <v>429</v>
      </c>
      <c r="I34">
        <v>11</v>
      </c>
      <c r="J34">
        <v>11</v>
      </c>
      <c r="K34" s="1">
        <v>45352</v>
      </c>
      <c r="L34" s="1">
        <v>45626</v>
      </c>
      <c r="M34" s="1">
        <v>45352</v>
      </c>
      <c r="N34" s="1">
        <v>45626</v>
      </c>
      <c r="O34" t="s">
        <v>238</v>
      </c>
      <c r="P34" t="s">
        <v>2646</v>
      </c>
      <c r="Q34" t="s">
        <v>2647</v>
      </c>
      <c r="R34" t="s">
        <v>2648</v>
      </c>
      <c r="T34" t="s">
        <v>2649</v>
      </c>
      <c r="U34" t="s">
        <v>434</v>
      </c>
      <c r="V34" s="8" t="str">
        <f>"18644"</f>
        <v>18644</v>
      </c>
      <c r="W34" t="s">
        <v>118</v>
      </c>
      <c r="Y34" s="10">
        <v>18773837267</v>
      </c>
      <c r="AA34">
        <v>56173</v>
      </c>
      <c r="AB34" t="s">
        <v>2650</v>
      </c>
      <c r="AC34" t="s">
        <v>2651</v>
      </c>
      <c r="AE34" t="s">
        <v>2092</v>
      </c>
      <c r="AF34" t="s">
        <v>2648</v>
      </c>
      <c r="AH34" t="s">
        <v>2649</v>
      </c>
      <c r="AI34" t="s">
        <v>434</v>
      </c>
      <c r="AJ34" s="8" t="str">
        <f>"18644"</f>
        <v>18644</v>
      </c>
      <c r="AK34" t="s">
        <v>118</v>
      </c>
      <c r="AM34" s="10">
        <v>18773837267</v>
      </c>
      <c r="AO34" t="s">
        <v>132</v>
      </c>
      <c r="AP34" t="s">
        <v>248</v>
      </c>
      <c r="AQ34" t="s">
        <v>673</v>
      </c>
      <c r="AR34" t="s">
        <v>674</v>
      </c>
      <c r="AT34" t="s">
        <v>579</v>
      </c>
      <c r="AV34" t="s">
        <v>580</v>
      </c>
      <c r="AW34" t="s">
        <v>581</v>
      </c>
      <c r="AX34" s="8" t="str">
        <f>"22903"</f>
        <v>22903</v>
      </c>
      <c r="AY34" t="s">
        <v>118</v>
      </c>
      <c r="BA34" s="10">
        <v>14342634300</v>
      </c>
      <c r="BC34" t="s">
        <v>675</v>
      </c>
      <c r="BD34" t="s">
        <v>583</v>
      </c>
      <c r="BG34" t="s">
        <v>434</v>
      </c>
      <c r="BH34" s="1">
        <v>45261.791666666664</v>
      </c>
      <c r="BI34">
        <v>40</v>
      </c>
      <c r="BJ34">
        <v>0</v>
      </c>
      <c r="BK34">
        <v>10</v>
      </c>
      <c r="BL34">
        <v>10</v>
      </c>
      <c r="BM34">
        <v>10</v>
      </c>
      <c r="BN34">
        <v>10</v>
      </c>
      <c r="BO34">
        <v>0</v>
      </c>
      <c r="BP34">
        <v>0</v>
      </c>
      <c r="BQ34" t="str">
        <f>"6:00 AM"</f>
        <v>6:00 AM</v>
      </c>
      <c r="BR34" t="str">
        <f>"5:00 PM"</f>
        <v>5:00 PM</v>
      </c>
      <c r="BS34" t="s">
        <v>131</v>
      </c>
      <c r="BT34">
        <v>0</v>
      </c>
      <c r="BU34">
        <v>3</v>
      </c>
      <c r="BV34" t="s">
        <v>114</v>
      </c>
      <c r="BX34" s="2" t="s">
        <v>11312</v>
      </c>
      <c r="BY34" t="s">
        <v>2653</v>
      </c>
      <c r="CA34" t="s">
        <v>2654</v>
      </c>
      <c r="CB34" t="s">
        <v>434</v>
      </c>
      <c r="CC34" s="8" t="str">
        <f>"17512"</f>
        <v>17512</v>
      </c>
      <c r="CD34" t="s">
        <v>2655</v>
      </c>
      <c r="CE34" t="s">
        <v>2656</v>
      </c>
      <c r="CF34" s="12">
        <v>17.57</v>
      </c>
      <c r="CG34" s="12">
        <v>17.57</v>
      </c>
      <c r="CH34" s="12">
        <v>26.36</v>
      </c>
      <c r="CI34" s="12">
        <v>26.36</v>
      </c>
      <c r="CJ34" t="s">
        <v>135</v>
      </c>
      <c r="CK34" t="s">
        <v>590</v>
      </c>
      <c r="CL34" t="s">
        <v>11313</v>
      </c>
      <c r="CO34" t="s">
        <v>132</v>
      </c>
      <c r="CP34" t="s">
        <v>136</v>
      </c>
      <c r="CQ34" t="s">
        <v>136</v>
      </c>
      <c r="CR34" t="s">
        <v>136</v>
      </c>
      <c r="CS34" t="s">
        <v>114</v>
      </c>
      <c r="CT34" t="s">
        <v>136</v>
      </c>
      <c r="CU34" t="s">
        <v>136</v>
      </c>
      <c r="CV34" t="s">
        <v>2658</v>
      </c>
      <c r="CW34" s="10" t="str">
        <f>"N/A"</f>
        <v>N/A</v>
      </c>
      <c r="CX34" t="s">
        <v>2659</v>
      </c>
      <c r="CY34" t="s">
        <v>1997</v>
      </c>
      <c r="CZ34" t="s">
        <v>137</v>
      </c>
      <c r="DA34" t="s">
        <v>114</v>
      </c>
      <c r="DB34" t="s">
        <v>136</v>
      </c>
      <c r="DC34" t="s">
        <v>136</v>
      </c>
      <c r="DD34" t="s">
        <v>114</v>
      </c>
      <c r="DE34" t="s">
        <v>673</v>
      </c>
      <c r="DF34" t="s">
        <v>674</v>
      </c>
      <c r="DH34" t="s">
        <v>583</v>
      </c>
      <c r="DI34" t="s">
        <v>675</v>
      </c>
    </row>
    <row r="35" spans="1:113" ht="15" customHeight="1" x14ac:dyDescent="0.25">
      <c r="A35" t="s">
        <v>16075</v>
      </c>
      <c r="B35" t="s">
        <v>152</v>
      </c>
      <c r="C35" s="1">
        <v>45262.455208564817</v>
      </c>
      <c r="D35" s="1">
        <v>45288</v>
      </c>
      <c r="E35" t="s">
        <v>132</v>
      </c>
      <c r="F35" t="s">
        <v>16076</v>
      </c>
      <c r="G35" t="str">
        <f>"37-3011.00"</f>
        <v>37-3011.00</v>
      </c>
      <c r="H35" t="s">
        <v>429</v>
      </c>
      <c r="I35">
        <v>6</v>
      </c>
      <c r="J35">
        <v>6</v>
      </c>
      <c r="K35" s="1">
        <v>45352</v>
      </c>
      <c r="L35" s="1">
        <v>45657</v>
      </c>
      <c r="M35" s="1">
        <v>45352</v>
      </c>
      <c r="N35" s="1">
        <v>45657</v>
      </c>
      <c r="O35" t="s">
        <v>238</v>
      </c>
      <c r="P35" t="s">
        <v>16077</v>
      </c>
      <c r="R35" t="s">
        <v>16078</v>
      </c>
      <c r="T35" t="s">
        <v>3866</v>
      </c>
      <c r="U35" t="s">
        <v>434</v>
      </c>
      <c r="V35" s="8" t="str">
        <f>"19054"</f>
        <v>19054</v>
      </c>
      <c r="W35" t="s">
        <v>118</v>
      </c>
      <c r="Y35" s="10">
        <v>12675853716</v>
      </c>
      <c r="AA35">
        <v>56173</v>
      </c>
      <c r="AB35" t="s">
        <v>16079</v>
      </c>
      <c r="AC35" t="s">
        <v>3015</v>
      </c>
      <c r="AE35" t="s">
        <v>2023</v>
      </c>
      <c r="AF35" t="s">
        <v>16078</v>
      </c>
      <c r="AH35" t="s">
        <v>3866</v>
      </c>
      <c r="AI35" t="s">
        <v>434</v>
      </c>
      <c r="AJ35" s="8" t="str">
        <f>"19054"</f>
        <v>19054</v>
      </c>
      <c r="AK35" t="s">
        <v>118</v>
      </c>
      <c r="AM35" s="10">
        <v>12675853716</v>
      </c>
      <c r="AO35" t="s">
        <v>132</v>
      </c>
      <c r="AP35" t="s">
        <v>248</v>
      </c>
      <c r="AQ35" t="s">
        <v>673</v>
      </c>
      <c r="AR35" t="s">
        <v>674</v>
      </c>
      <c r="AT35" t="s">
        <v>579</v>
      </c>
      <c r="AV35" t="s">
        <v>580</v>
      </c>
      <c r="AW35" t="s">
        <v>581</v>
      </c>
      <c r="AX35" s="8" t="str">
        <f>"22903"</f>
        <v>22903</v>
      </c>
      <c r="AY35" t="s">
        <v>118</v>
      </c>
      <c r="BA35" s="10">
        <v>14342634300</v>
      </c>
      <c r="BC35" t="s">
        <v>675</v>
      </c>
      <c r="BD35" t="s">
        <v>583</v>
      </c>
      <c r="BG35" t="s">
        <v>434</v>
      </c>
      <c r="BH35" s="1">
        <v>45261.791666666664</v>
      </c>
      <c r="BI35">
        <v>40</v>
      </c>
      <c r="BJ35">
        <v>0</v>
      </c>
      <c r="BK35">
        <v>8</v>
      </c>
      <c r="BL35">
        <v>8</v>
      </c>
      <c r="BM35">
        <v>8</v>
      </c>
      <c r="BN35">
        <v>8</v>
      </c>
      <c r="BO35">
        <v>8</v>
      </c>
      <c r="BP35">
        <v>0</v>
      </c>
      <c r="BQ35" t="str">
        <f>"7:00 AM"</f>
        <v>7:00 AM</v>
      </c>
      <c r="BR35" t="str">
        <f>"3:30 PM"</f>
        <v>3:30 PM</v>
      </c>
      <c r="BS35" t="s">
        <v>131</v>
      </c>
      <c r="BT35">
        <v>0</v>
      </c>
      <c r="BU35">
        <v>3</v>
      </c>
      <c r="BV35" t="s">
        <v>114</v>
      </c>
      <c r="BX35" s="2" t="s">
        <v>16080</v>
      </c>
      <c r="BY35" t="s">
        <v>16081</v>
      </c>
      <c r="CA35" t="s">
        <v>3866</v>
      </c>
      <c r="CB35" t="s">
        <v>434</v>
      </c>
      <c r="CC35" s="8" t="str">
        <f>"19054"</f>
        <v>19054</v>
      </c>
      <c r="CD35" t="s">
        <v>3073</v>
      </c>
      <c r="CE35" t="s">
        <v>443</v>
      </c>
      <c r="CF35" s="12">
        <v>18.71</v>
      </c>
      <c r="CG35" s="12">
        <v>18.71</v>
      </c>
      <c r="CH35" s="12">
        <v>28.07</v>
      </c>
      <c r="CI35" s="12">
        <v>28.07</v>
      </c>
      <c r="CJ35" t="s">
        <v>135</v>
      </c>
      <c r="CK35" t="s">
        <v>590</v>
      </c>
      <c r="CL35" t="s">
        <v>16082</v>
      </c>
      <c r="CO35" t="s">
        <v>132</v>
      </c>
      <c r="CP35" t="s">
        <v>136</v>
      </c>
      <c r="CQ35" t="s">
        <v>114</v>
      </c>
      <c r="CR35" t="s">
        <v>136</v>
      </c>
      <c r="CS35" t="s">
        <v>114</v>
      </c>
      <c r="CT35" t="s">
        <v>136</v>
      </c>
      <c r="CU35" t="s">
        <v>136</v>
      </c>
      <c r="CV35" t="s">
        <v>7662</v>
      </c>
      <c r="CW35" s="10" t="str">
        <f>"N/A"</f>
        <v>N/A</v>
      </c>
      <c r="CX35" t="s">
        <v>16083</v>
      </c>
      <c r="CY35" t="s">
        <v>1997</v>
      </c>
      <c r="CZ35" t="s">
        <v>137</v>
      </c>
      <c r="DA35" t="s">
        <v>114</v>
      </c>
      <c r="DB35" t="s">
        <v>136</v>
      </c>
      <c r="DC35" t="s">
        <v>136</v>
      </c>
      <c r="DD35" t="s">
        <v>114</v>
      </c>
      <c r="DE35" t="s">
        <v>673</v>
      </c>
      <c r="DF35" t="s">
        <v>674</v>
      </c>
      <c r="DH35" t="s">
        <v>583</v>
      </c>
      <c r="DI35" t="s">
        <v>675</v>
      </c>
    </row>
    <row r="36" spans="1:113" ht="15" customHeight="1" x14ac:dyDescent="0.25">
      <c r="A36" t="s">
        <v>17551</v>
      </c>
      <c r="B36" t="s">
        <v>152</v>
      </c>
      <c r="C36" s="1">
        <v>45262.454113541666</v>
      </c>
      <c r="D36" s="1">
        <v>45288</v>
      </c>
      <c r="E36" t="s">
        <v>132</v>
      </c>
      <c r="F36" t="s">
        <v>4918</v>
      </c>
      <c r="G36" t="str">
        <f>"37-3011.00"</f>
        <v>37-3011.00</v>
      </c>
      <c r="H36" t="s">
        <v>429</v>
      </c>
      <c r="I36">
        <v>8</v>
      </c>
      <c r="J36">
        <v>8</v>
      </c>
      <c r="K36" s="1">
        <v>45352</v>
      </c>
      <c r="L36" s="1">
        <v>45626</v>
      </c>
      <c r="M36" s="1">
        <v>45352</v>
      </c>
      <c r="N36" s="1">
        <v>45626</v>
      </c>
      <c r="O36" t="s">
        <v>238</v>
      </c>
      <c r="P36" t="s">
        <v>17552</v>
      </c>
      <c r="R36" t="s">
        <v>17553</v>
      </c>
      <c r="T36" t="s">
        <v>2675</v>
      </c>
      <c r="U36" t="s">
        <v>543</v>
      </c>
      <c r="V36" s="8" t="str">
        <f>"44703"</f>
        <v>44703</v>
      </c>
      <c r="W36" t="s">
        <v>118</v>
      </c>
      <c r="Y36" s="10">
        <v>13309339091</v>
      </c>
      <c r="AA36">
        <v>56173</v>
      </c>
      <c r="AB36" t="s">
        <v>10226</v>
      </c>
      <c r="AC36" t="s">
        <v>278</v>
      </c>
      <c r="AE36" t="s">
        <v>629</v>
      </c>
      <c r="AF36" t="s">
        <v>17553</v>
      </c>
      <c r="AH36" t="s">
        <v>2675</v>
      </c>
      <c r="AI36" t="s">
        <v>543</v>
      </c>
      <c r="AJ36" s="8" t="str">
        <f>"44703"</f>
        <v>44703</v>
      </c>
      <c r="AK36" t="s">
        <v>118</v>
      </c>
      <c r="AM36" s="10">
        <v>13309339091</v>
      </c>
      <c r="AO36" t="s">
        <v>132</v>
      </c>
      <c r="AP36" t="s">
        <v>248</v>
      </c>
      <c r="AQ36" t="s">
        <v>673</v>
      </c>
      <c r="AR36" t="s">
        <v>674</v>
      </c>
      <c r="AT36" t="s">
        <v>579</v>
      </c>
      <c r="AV36" t="s">
        <v>580</v>
      </c>
      <c r="AW36" t="s">
        <v>581</v>
      </c>
      <c r="AX36" s="8" t="str">
        <f>"22903"</f>
        <v>22903</v>
      </c>
      <c r="AY36" t="s">
        <v>118</v>
      </c>
      <c r="BA36" s="10">
        <v>14342634300</v>
      </c>
      <c r="BC36" t="s">
        <v>675</v>
      </c>
      <c r="BD36" t="s">
        <v>583</v>
      </c>
      <c r="BG36" t="s">
        <v>543</v>
      </c>
      <c r="BH36" s="1">
        <v>45261.791666666664</v>
      </c>
      <c r="BI36">
        <v>40</v>
      </c>
      <c r="BJ36">
        <v>0</v>
      </c>
      <c r="BK36">
        <v>8</v>
      </c>
      <c r="BL36">
        <v>8</v>
      </c>
      <c r="BM36">
        <v>8</v>
      </c>
      <c r="BN36">
        <v>8</v>
      </c>
      <c r="BO36">
        <v>8</v>
      </c>
      <c r="BP36">
        <v>0</v>
      </c>
      <c r="BQ36" t="str">
        <f>"7:30 AM"</f>
        <v>7:30 AM</v>
      </c>
      <c r="BR36" t="str">
        <f>"4:00 PM"</f>
        <v>4:00 PM</v>
      </c>
      <c r="BS36" t="s">
        <v>131</v>
      </c>
      <c r="BT36">
        <v>0</v>
      </c>
      <c r="BU36">
        <v>3</v>
      </c>
      <c r="BV36" t="s">
        <v>114</v>
      </c>
      <c r="BX36" s="2" t="s">
        <v>17554</v>
      </c>
      <c r="BY36" t="s">
        <v>17555</v>
      </c>
      <c r="CA36" t="s">
        <v>2675</v>
      </c>
      <c r="CB36" t="s">
        <v>543</v>
      </c>
      <c r="CC36" s="8" t="str">
        <f>"44703"</f>
        <v>44703</v>
      </c>
      <c r="CD36" t="s">
        <v>10479</v>
      </c>
      <c r="CE36" t="s">
        <v>13898</v>
      </c>
      <c r="CF36" s="12">
        <v>16.489999999999998</v>
      </c>
      <c r="CG36" s="12">
        <v>16.489999999999998</v>
      </c>
      <c r="CH36" s="12">
        <v>24.74</v>
      </c>
      <c r="CI36" s="12">
        <v>24.74</v>
      </c>
      <c r="CJ36" t="s">
        <v>135</v>
      </c>
      <c r="CK36" t="s">
        <v>590</v>
      </c>
      <c r="CL36" t="s">
        <v>17556</v>
      </c>
      <c r="CO36" t="s">
        <v>132</v>
      </c>
      <c r="CP36" t="s">
        <v>136</v>
      </c>
      <c r="CQ36" t="s">
        <v>136</v>
      </c>
      <c r="CR36" t="s">
        <v>136</v>
      </c>
      <c r="CS36" t="s">
        <v>114</v>
      </c>
      <c r="CT36" t="s">
        <v>136</v>
      </c>
      <c r="CU36" t="s">
        <v>136</v>
      </c>
      <c r="CV36" t="s">
        <v>17557</v>
      </c>
      <c r="CW36" s="10" t="str">
        <f>"N/A"</f>
        <v>N/A</v>
      </c>
      <c r="CX36" t="s">
        <v>17558</v>
      </c>
      <c r="CY36" t="s">
        <v>2025</v>
      </c>
      <c r="CZ36" t="s">
        <v>137</v>
      </c>
      <c r="DA36" t="s">
        <v>114</v>
      </c>
      <c r="DB36" t="s">
        <v>136</v>
      </c>
      <c r="DC36" t="s">
        <v>136</v>
      </c>
      <c r="DD36" t="s">
        <v>114</v>
      </c>
      <c r="DE36" t="s">
        <v>673</v>
      </c>
      <c r="DF36" t="s">
        <v>674</v>
      </c>
      <c r="DH36" t="s">
        <v>583</v>
      </c>
      <c r="DI36" t="s">
        <v>675</v>
      </c>
    </row>
    <row r="37" spans="1:113" ht="15" customHeight="1" x14ac:dyDescent="0.25">
      <c r="A37" t="s">
        <v>23980</v>
      </c>
      <c r="B37" t="s">
        <v>152</v>
      </c>
      <c r="C37" s="1">
        <v>45262.423781944446</v>
      </c>
      <c r="D37" s="1">
        <v>45288</v>
      </c>
      <c r="E37" t="s">
        <v>132</v>
      </c>
      <c r="F37" t="s">
        <v>1595</v>
      </c>
      <c r="G37" t="str">
        <f>"37-3011.00"</f>
        <v>37-3011.00</v>
      </c>
      <c r="H37" t="s">
        <v>429</v>
      </c>
      <c r="I37">
        <v>8</v>
      </c>
      <c r="J37">
        <v>8</v>
      </c>
      <c r="K37" s="1">
        <v>45352</v>
      </c>
      <c r="L37" s="1">
        <v>45657</v>
      </c>
      <c r="M37" s="1">
        <v>45352</v>
      </c>
      <c r="N37" s="1">
        <v>45657</v>
      </c>
      <c r="O37" t="s">
        <v>116</v>
      </c>
      <c r="P37" t="s">
        <v>23981</v>
      </c>
      <c r="R37" t="s">
        <v>23982</v>
      </c>
      <c r="S37" t="s">
        <v>23983</v>
      </c>
      <c r="T37" t="s">
        <v>6042</v>
      </c>
      <c r="U37" t="s">
        <v>1776</v>
      </c>
      <c r="V37" s="8" t="str">
        <f>"07624"</f>
        <v>07624</v>
      </c>
      <c r="W37" t="s">
        <v>118</v>
      </c>
      <c r="X37" t="s">
        <v>132</v>
      </c>
      <c r="Y37" s="10">
        <v>12017680002</v>
      </c>
      <c r="AA37">
        <v>561730</v>
      </c>
      <c r="AB37" t="s">
        <v>11272</v>
      </c>
      <c r="AC37" t="s">
        <v>3567</v>
      </c>
      <c r="AD37" t="s">
        <v>425</v>
      </c>
      <c r="AE37" t="s">
        <v>776</v>
      </c>
      <c r="AF37" t="s">
        <v>23982</v>
      </c>
      <c r="AG37" t="s">
        <v>23983</v>
      </c>
      <c r="AH37" t="s">
        <v>6042</v>
      </c>
      <c r="AI37" t="s">
        <v>1776</v>
      </c>
      <c r="AJ37" s="8" t="str">
        <f>"07624"</f>
        <v>07624</v>
      </c>
      <c r="AK37" t="s">
        <v>118</v>
      </c>
      <c r="AM37" s="10">
        <v>12017680002</v>
      </c>
      <c r="AO37" t="s">
        <v>23984</v>
      </c>
      <c r="AP37" t="s">
        <v>248</v>
      </c>
      <c r="AQ37" t="s">
        <v>1827</v>
      </c>
      <c r="AR37" t="s">
        <v>1828</v>
      </c>
      <c r="AS37" t="s">
        <v>1829</v>
      </c>
      <c r="AT37" t="s">
        <v>1830</v>
      </c>
      <c r="AU37" t="s">
        <v>132</v>
      </c>
      <c r="AV37" t="s">
        <v>1585</v>
      </c>
      <c r="AW37" t="s">
        <v>127</v>
      </c>
      <c r="AX37" s="8" t="str">
        <f>"77414"</f>
        <v>77414</v>
      </c>
      <c r="AY37" t="s">
        <v>118</v>
      </c>
      <c r="BA37" s="10">
        <v>19793187283</v>
      </c>
      <c r="BC37" t="s">
        <v>1831</v>
      </c>
      <c r="BD37" t="s">
        <v>1587</v>
      </c>
      <c r="BG37" t="s">
        <v>1776</v>
      </c>
      <c r="BH37" s="1">
        <v>45261.791666666664</v>
      </c>
      <c r="BI37">
        <v>40</v>
      </c>
      <c r="BJ37">
        <v>0</v>
      </c>
      <c r="BK37">
        <v>8</v>
      </c>
      <c r="BL37">
        <v>8</v>
      </c>
      <c r="BM37">
        <v>8</v>
      </c>
      <c r="BN37">
        <v>8</v>
      </c>
      <c r="BO37">
        <v>8</v>
      </c>
      <c r="BP37">
        <v>0</v>
      </c>
      <c r="BQ37" t="str">
        <f>"7:30 AM"</f>
        <v>7:30 AM</v>
      </c>
      <c r="BR37" t="str">
        <f>"4:30 PM"</f>
        <v>4:30 PM</v>
      </c>
      <c r="BS37" t="s">
        <v>131</v>
      </c>
      <c r="BT37">
        <v>0</v>
      </c>
      <c r="BU37">
        <v>0</v>
      </c>
      <c r="BV37" t="s">
        <v>114</v>
      </c>
      <c r="BX37" s="2" t="s">
        <v>23985</v>
      </c>
      <c r="BY37" t="s">
        <v>23986</v>
      </c>
      <c r="BZ37" t="s">
        <v>132</v>
      </c>
      <c r="CA37" t="s">
        <v>23987</v>
      </c>
      <c r="CB37" t="s">
        <v>1776</v>
      </c>
      <c r="CC37" s="8" t="str">
        <f>"07630"</f>
        <v>07630</v>
      </c>
      <c r="CD37" t="s">
        <v>6043</v>
      </c>
      <c r="CE37" t="s">
        <v>1418</v>
      </c>
      <c r="CF37" s="12">
        <v>20.81</v>
      </c>
      <c r="CG37" s="12">
        <v>24</v>
      </c>
      <c r="CH37" s="12">
        <v>31.22</v>
      </c>
      <c r="CI37" s="12">
        <v>36</v>
      </c>
      <c r="CJ37" t="s">
        <v>135</v>
      </c>
      <c r="CK37" t="s">
        <v>13960</v>
      </c>
      <c r="CL37" t="s">
        <v>23988</v>
      </c>
      <c r="CO37" t="s">
        <v>132</v>
      </c>
      <c r="CP37" t="s">
        <v>136</v>
      </c>
      <c r="CQ37" t="s">
        <v>136</v>
      </c>
      <c r="CR37" t="s">
        <v>136</v>
      </c>
      <c r="CS37" t="s">
        <v>136</v>
      </c>
      <c r="CT37" t="s">
        <v>136</v>
      </c>
      <c r="CU37" t="s">
        <v>114</v>
      </c>
      <c r="CV37" t="s">
        <v>2225</v>
      </c>
      <c r="CW37" s="10" t="str">
        <f>"+12017680002"</f>
        <v>+12017680002</v>
      </c>
      <c r="CX37" t="s">
        <v>23989</v>
      </c>
      <c r="CY37" t="s">
        <v>132</v>
      </c>
      <c r="CZ37" t="s">
        <v>137</v>
      </c>
      <c r="DA37" t="s">
        <v>114</v>
      </c>
      <c r="DB37" t="s">
        <v>114</v>
      </c>
      <c r="DC37" t="s">
        <v>136</v>
      </c>
      <c r="DD37" t="s">
        <v>114</v>
      </c>
    </row>
    <row r="38" spans="1:113" ht="15" customHeight="1" x14ac:dyDescent="0.25">
      <c r="A38" t="s">
        <v>22898</v>
      </c>
      <c r="B38" t="s">
        <v>152</v>
      </c>
      <c r="C38" s="1">
        <v>45262.422750810183</v>
      </c>
      <c r="D38" s="1">
        <v>45288</v>
      </c>
      <c r="E38" t="s">
        <v>132</v>
      </c>
      <c r="F38" t="s">
        <v>7867</v>
      </c>
      <c r="G38" t="str">
        <f>"37-3011.00"</f>
        <v>37-3011.00</v>
      </c>
      <c r="H38" t="s">
        <v>429</v>
      </c>
      <c r="I38">
        <v>5</v>
      </c>
      <c r="J38">
        <v>5</v>
      </c>
      <c r="K38" s="1">
        <v>45352</v>
      </c>
      <c r="L38" s="1">
        <v>45566</v>
      </c>
      <c r="M38" s="1">
        <v>45352</v>
      </c>
      <c r="N38" s="1">
        <v>45566</v>
      </c>
      <c r="O38" t="s">
        <v>238</v>
      </c>
      <c r="P38" t="s">
        <v>22899</v>
      </c>
      <c r="R38" t="s">
        <v>22900</v>
      </c>
      <c r="S38" t="s">
        <v>132</v>
      </c>
      <c r="T38" t="s">
        <v>1553</v>
      </c>
      <c r="U38" t="s">
        <v>211</v>
      </c>
      <c r="V38" s="8" t="str">
        <f>"84088"</f>
        <v>84088</v>
      </c>
      <c r="W38" t="s">
        <v>118</v>
      </c>
      <c r="X38" t="s">
        <v>132</v>
      </c>
      <c r="Y38" s="10">
        <v>18015625496</v>
      </c>
      <c r="AA38">
        <v>444220</v>
      </c>
      <c r="AB38" t="s">
        <v>22901</v>
      </c>
      <c r="AC38" t="s">
        <v>486</v>
      </c>
      <c r="AD38" t="s">
        <v>132</v>
      </c>
      <c r="AE38" t="s">
        <v>120</v>
      </c>
      <c r="AF38" t="s">
        <v>22900</v>
      </c>
      <c r="AG38" t="s">
        <v>132</v>
      </c>
      <c r="AH38" t="s">
        <v>1553</v>
      </c>
      <c r="AI38" t="s">
        <v>211</v>
      </c>
      <c r="AJ38" s="8" t="str">
        <f>"84088"</f>
        <v>84088</v>
      </c>
      <c r="AK38" t="s">
        <v>118</v>
      </c>
      <c r="AM38" s="10">
        <v>18015625496</v>
      </c>
      <c r="AO38" t="s">
        <v>22902</v>
      </c>
      <c r="AP38" t="s">
        <v>248</v>
      </c>
      <c r="AQ38" t="s">
        <v>1827</v>
      </c>
      <c r="AR38" t="s">
        <v>1828</v>
      </c>
      <c r="AS38" t="s">
        <v>1829</v>
      </c>
      <c r="AT38" t="s">
        <v>1830</v>
      </c>
      <c r="AU38" t="s">
        <v>132</v>
      </c>
      <c r="AV38" t="s">
        <v>1585</v>
      </c>
      <c r="AW38" t="s">
        <v>127</v>
      </c>
      <c r="AX38" s="8" t="str">
        <f>"77414"</f>
        <v>77414</v>
      </c>
      <c r="AY38" t="s">
        <v>118</v>
      </c>
      <c r="BA38" s="10">
        <v>19793187283</v>
      </c>
      <c r="BC38" t="s">
        <v>1831</v>
      </c>
      <c r="BD38" t="s">
        <v>1587</v>
      </c>
      <c r="BG38" t="s">
        <v>211</v>
      </c>
      <c r="BH38" s="1">
        <v>45261.791666666664</v>
      </c>
      <c r="BI38">
        <v>40</v>
      </c>
      <c r="BJ38">
        <v>0</v>
      </c>
      <c r="BK38">
        <v>8</v>
      </c>
      <c r="BL38">
        <v>8</v>
      </c>
      <c r="BM38">
        <v>8</v>
      </c>
      <c r="BN38">
        <v>8</v>
      </c>
      <c r="BO38">
        <v>8</v>
      </c>
      <c r="BP38">
        <v>0</v>
      </c>
      <c r="BQ38" t="str">
        <f>"8:00 AM"</f>
        <v>8:00 AM</v>
      </c>
      <c r="BR38" t="str">
        <f>"4:30 PM"</f>
        <v>4:30 PM</v>
      </c>
      <c r="BS38" t="s">
        <v>131</v>
      </c>
      <c r="BT38">
        <v>0</v>
      </c>
      <c r="BU38">
        <v>0</v>
      </c>
      <c r="BV38" t="s">
        <v>114</v>
      </c>
      <c r="BX38" s="2" t="s">
        <v>22903</v>
      </c>
      <c r="BY38" t="s">
        <v>22904</v>
      </c>
      <c r="BZ38" t="s">
        <v>132</v>
      </c>
      <c r="CA38" t="s">
        <v>1553</v>
      </c>
      <c r="CB38" t="s">
        <v>211</v>
      </c>
      <c r="CC38" s="8" t="str">
        <f>"84088"</f>
        <v>84088</v>
      </c>
      <c r="CD38" t="s">
        <v>1567</v>
      </c>
      <c r="CE38" t="s">
        <v>1568</v>
      </c>
      <c r="CF38" s="12">
        <v>18.850000000000001</v>
      </c>
      <c r="CH38" s="12">
        <v>28.28</v>
      </c>
      <c r="CJ38" t="s">
        <v>135</v>
      </c>
      <c r="CK38" t="s">
        <v>1834</v>
      </c>
      <c r="CL38" t="s">
        <v>22905</v>
      </c>
      <c r="CO38" t="s">
        <v>132</v>
      </c>
      <c r="CP38" t="s">
        <v>136</v>
      </c>
      <c r="CQ38" t="s">
        <v>136</v>
      </c>
      <c r="CR38" t="s">
        <v>136</v>
      </c>
      <c r="CS38" t="s">
        <v>136</v>
      </c>
      <c r="CT38" t="s">
        <v>136</v>
      </c>
      <c r="CU38" t="s">
        <v>114</v>
      </c>
      <c r="CV38" t="s">
        <v>2225</v>
      </c>
      <c r="CW38" s="10" t="str">
        <f>"+18015625496"</f>
        <v>+18015625496</v>
      </c>
      <c r="CX38" t="s">
        <v>22902</v>
      </c>
      <c r="CY38" t="s">
        <v>132</v>
      </c>
      <c r="CZ38" t="s">
        <v>137</v>
      </c>
      <c r="DA38" t="s">
        <v>114</v>
      </c>
      <c r="DB38" t="s">
        <v>114</v>
      </c>
      <c r="DC38" t="s">
        <v>136</v>
      </c>
      <c r="DD38" t="s">
        <v>114</v>
      </c>
    </row>
    <row r="39" spans="1:113" ht="15" customHeight="1" x14ac:dyDescent="0.25">
      <c r="A39" t="s">
        <v>13719</v>
      </c>
      <c r="B39" t="s">
        <v>152</v>
      </c>
      <c r="C39" s="1">
        <v>45262.42168900463</v>
      </c>
      <c r="D39" s="1">
        <v>45288</v>
      </c>
      <c r="E39" t="s">
        <v>132</v>
      </c>
      <c r="F39" t="s">
        <v>5936</v>
      </c>
      <c r="G39" t="str">
        <f>"47-4091.00"</f>
        <v>47-4091.00</v>
      </c>
      <c r="H39" t="s">
        <v>2315</v>
      </c>
      <c r="I39">
        <v>12</v>
      </c>
      <c r="J39">
        <v>12</v>
      </c>
      <c r="K39" s="1">
        <v>45352</v>
      </c>
      <c r="L39" s="1">
        <v>45638</v>
      </c>
      <c r="M39" s="1">
        <v>45352</v>
      </c>
      <c r="N39" s="1">
        <v>45638</v>
      </c>
      <c r="O39" t="s">
        <v>116</v>
      </c>
      <c r="P39" t="s">
        <v>13720</v>
      </c>
      <c r="R39" t="s">
        <v>13721</v>
      </c>
      <c r="T39" t="s">
        <v>3022</v>
      </c>
      <c r="U39" t="s">
        <v>434</v>
      </c>
      <c r="V39" s="8" t="str">
        <f>"19355"</f>
        <v>19355</v>
      </c>
      <c r="W39" t="s">
        <v>118</v>
      </c>
      <c r="Y39" s="10">
        <v>16105323265</v>
      </c>
      <c r="AA39">
        <v>56173</v>
      </c>
      <c r="AB39" t="s">
        <v>5938</v>
      </c>
      <c r="AC39" t="s">
        <v>3249</v>
      </c>
      <c r="AE39" t="s">
        <v>629</v>
      </c>
      <c r="AF39" t="s">
        <v>13721</v>
      </c>
      <c r="AH39" t="s">
        <v>3022</v>
      </c>
      <c r="AI39" t="s">
        <v>434</v>
      </c>
      <c r="AJ39" s="8" t="str">
        <f>"19355"</f>
        <v>19355</v>
      </c>
      <c r="AK39" t="s">
        <v>118</v>
      </c>
      <c r="AM39" s="10">
        <v>16105323265</v>
      </c>
      <c r="AN39">
        <v>100</v>
      </c>
      <c r="AO39" t="s">
        <v>132</v>
      </c>
      <c r="AP39" t="s">
        <v>248</v>
      </c>
      <c r="AQ39" t="s">
        <v>673</v>
      </c>
      <c r="AR39" t="s">
        <v>674</v>
      </c>
      <c r="AT39" t="s">
        <v>579</v>
      </c>
      <c r="AV39" t="s">
        <v>580</v>
      </c>
      <c r="AW39" t="s">
        <v>581</v>
      </c>
      <c r="AX39" s="8" t="str">
        <f>"22903"</f>
        <v>22903</v>
      </c>
      <c r="AY39" t="s">
        <v>118</v>
      </c>
      <c r="BA39" s="10">
        <v>14342634300</v>
      </c>
      <c r="BC39" t="s">
        <v>675</v>
      </c>
      <c r="BD39" t="s">
        <v>583</v>
      </c>
      <c r="BG39" t="s">
        <v>434</v>
      </c>
      <c r="BH39" s="1">
        <v>45261.791666666664</v>
      </c>
      <c r="BI39">
        <v>40</v>
      </c>
      <c r="BJ39">
        <v>0</v>
      </c>
      <c r="BK39">
        <v>8</v>
      </c>
      <c r="BL39">
        <v>8</v>
      </c>
      <c r="BM39">
        <v>8</v>
      </c>
      <c r="BN39">
        <v>8</v>
      </c>
      <c r="BO39">
        <v>8</v>
      </c>
      <c r="BP39">
        <v>0</v>
      </c>
      <c r="BQ39" t="str">
        <f>"6:30 AM"</f>
        <v>6:30 AM</v>
      </c>
      <c r="BR39" t="str">
        <f>"3:00 PM"</f>
        <v>3:00 PM</v>
      </c>
      <c r="BS39" t="s">
        <v>131</v>
      </c>
      <c r="BT39">
        <v>0</v>
      </c>
      <c r="BU39">
        <v>3</v>
      </c>
      <c r="BV39" t="s">
        <v>114</v>
      </c>
      <c r="BX39" s="2" t="s">
        <v>13722</v>
      </c>
      <c r="BY39" t="s">
        <v>13721</v>
      </c>
      <c r="CA39" t="s">
        <v>3022</v>
      </c>
      <c r="CB39" t="s">
        <v>434</v>
      </c>
      <c r="CC39" s="8" t="str">
        <f>"19355"</f>
        <v>19355</v>
      </c>
      <c r="CD39" t="s">
        <v>1781</v>
      </c>
      <c r="CE39" t="s">
        <v>443</v>
      </c>
      <c r="CF39" s="12">
        <v>28.33</v>
      </c>
      <c r="CG39" s="12">
        <v>28.33</v>
      </c>
      <c r="CH39" s="12">
        <v>42.5</v>
      </c>
      <c r="CI39" s="12">
        <v>42.5</v>
      </c>
      <c r="CJ39" t="s">
        <v>135</v>
      </c>
      <c r="CK39" t="s">
        <v>590</v>
      </c>
      <c r="CL39" t="s">
        <v>13723</v>
      </c>
      <c r="CO39" t="s">
        <v>132</v>
      </c>
      <c r="CP39" t="s">
        <v>136</v>
      </c>
      <c r="CQ39" t="s">
        <v>136</v>
      </c>
      <c r="CR39" t="s">
        <v>136</v>
      </c>
      <c r="CS39" t="s">
        <v>114</v>
      </c>
      <c r="CT39" t="s">
        <v>136</v>
      </c>
      <c r="CU39" t="s">
        <v>136</v>
      </c>
      <c r="CV39" t="s">
        <v>13724</v>
      </c>
      <c r="CW39" s="10" t="str">
        <f>"N/A"</f>
        <v>N/A</v>
      </c>
      <c r="CX39" t="s">
        <v>5939</v>
      </c>
      <c r="CY39" t="s">
        <v>1997</v>
      </c>
      <c r="CZ39" t="s">
        <v>137</v>
      </c>
      <c r="DA39" t="s">
        <v>114</v>
      </c>
      <c r="DB39" t="s">
        <v>136</v>
      </c>
      <c r="DC39" t="s">
        <v>136</v>
      </c>
      <c r="DD39" t="s">
        <v>114</v>
      </c>
      <c r="DE39" t="s">
        <v>673</v>
      </c>
      <c r="DF39" t="s">
        <v>674</v>
      </c>
      <c r="DH39" t="s">
        <v>583</v>
      </c>
      <c r="DI39" t="s">
        <v>675</v>
      </c>
    </row>
    <row r="40" spans="1:113" ht="15" customHeight="1" x14ac:dyDescent="0.25">
      <c r="A40" t="s">
        <v>24168</v>
      </c>
      <c r="B40" t="s">
        <v>152</v>
      </c>
      <c r="C40" s="1">
        <v>45262.418596759257</v>
      </c>
      <c r="D40" s="1">
        <v>45288</v>
      </c>
      <c r="E40" t="s">
        <v>132</v>
      </c>
      <c r="F40" t="s">
        <v>1595</v>
      </c>
      <c r="G40" t="str">
        <f>"37-3011.00"</f>
        <v>37-3011.00</v>
      </c>
      <c r="H40" t="s">
        <v>429</v>
      </c>
      <c r="I40">
        <v>18</v>
      </c>
      <c r="J40">
        <v>18</v>
      </c>
      <c r="K40" s="1">
        <v>45352</v>
      </c>
      <c r="L40" s="1">
        <v>45641</v>
      </c>
      <c r="M40" s="1">
        <v>45352</v>
      </c>
      <c r="N40" s="1">
        <v>45641</v>
      </c>
      <c r="O40" t="s">
        <v>116</v>
      </c>
      <c r="P40" t="s">
        <v>24169</v>
      </c>
      <c r="R40" t="s">
        <v>24170</v>
      </c>
      <c r="S40" t="s">
        <v>132</v>
      </c>
      <c r="T40" t="s">
        <v>21359</v>
      </c>
      <c r="U40" t="s">
        <v>581</v>
      </c>
      <c r="V40" s="8" t="str">
        <f>"20141"</f>
        <v>20141</v>
      </c>
      <c r="W40" t="s">
        <v>118</v>
      </c>
      <c r="X40" t="s">
        <v>132</v>
      </c>
      <c r="Y40" s="10">
        <v>15405542506</v>
      </c>
      <c r="AA40">
        <v>561730</v>
      </c>
      <c r="AB40" t="s">
        <v>24171</v>
      </c>
      <c r="AC40" t="s">
        <v>1555</v>
      </c>
      <c r="AD40" t="s">
        <v>132</v>
      </c>
      <c r="AE40" t="s">
        <v>629</v>
      </c>
      <c r="AF40" t="s">
        <v>24170</v>
      </c>
      <c r="AG40" t="s">
        <v>132</v>
      </c>
      <c r="AH40" t="s">
        <v>21359</v>
      </c>
      <c r="AI40" t="s">
        <v>581</v>
      </c>
      <c r="AJ40" s="8" t="str">
        <f>"20141"</f>
        <v>20141</v>
      </c>
      <c r="AK40" t="s">
        <v>118</v>
      </c>
      <c r="AM40" s="10">
        <v>15405542506</v>
      </c>
      <c r="AO40" t="s">
        <v>24172</v>
      </c>
      <c r="AP40" t="s">
        <v>248</v>
      </c>
      <c r="AQ40" t="s">
        <v>1827</v>
      </c>
      <c r="AR40" t="s">
        <v>1828</v>
      </c>
      <c r="AS40" t="s">
        <v>1829</v>
      </c>
      <c r="AT40" t="s">
        <v>1830</v>
      </c>
      <c r="AU40" t="s">
        <v>132</v>
      </c>
      <c r="AV40" t="s">
        <v>1585</v>
      </c>
      <c r="AW40" t="s">
        <v>127</v>
      </c>
      <c r="AX40" s="8" t="str">
        <f>"77414"</f>
        <v>77414</v>
      </c>
      <c r="AY40" t="s">
        <v>118</v>
      </c>
      <c r="BA40" s="10">
        <v>19793187283</v>
      </c>
      <c r="BC40" t="s">
        <v>1831</v>
      </c>
      <c r="BD40" t="s">
        <v>1587</v>
      </c>
      <c r="BG40" t="s">
        <v>581</v>
      </c>
      <c r="BH40" s="1">
        <v>45261.791666666664</v>
      </c>
      <c r="BI40">
        <v>40</v>
      </c>
      <c r="BJ40">
        <v>0</v>
      </c>
      <c r="BK40">
        <v>8</v>
      </c>
      <c r="BL40">
        <v>8</v>
      </c>
      <c r="BM40">
        <v>8</v>
      </c>
      <c r="BN40">
        <v>8</v>
      </c>
      <c r="BO40">
        <v>8</v>
      </c>
      <c r="BP40">
        <v>0</v>
      </c>
      <c r="BQ40" t="str">
        <f>"8:00 AM"</f>
        <v>8:00 AM</v>
      </c>
      <c r="BR40" t="str">
        <f>"5:00 PM"</f>
        <v>5:00 PM</v>
      </c>
      <c r="BS40" t="s">
        <v>131</v>
      </c>
      <c r="BT40">
        <v>0</v>
      </c>
      <c r="BU40">
        <v>0</v>
      </c>
      <c r="BV40" t="s">
        <v>114</v>
      </c>
      <c r="BX40" s="2" t="s">
        <v>24173</v>
      </c>
      <c r="BY40" t="s">
        <v>24174</v>
      </c>
      <c r="BZ40" t="s">
        <v>132</v>
      </c>
      <c r="CA40" t="s">
        <v>13823</v>
      </c>
      <c r="CB40" t="s">
        <v>581</v>
      </c>
      <c r="CC40" s="8" t="str">
        <f>"20132"</f>
        <v>20132</v>
      </c>
      <c r="CD40" t="s">
        <v>2761</v>
      </c>
      <c r="CE40" t="s">
        <v>1794</v>
      </c>
      <c r="CF40" s="12">
        <v>19.670000000000002</v>
      </c>
      <c r="CG40" s="12">
        <v>23.6</v>
      </c>
      <c r="CH40" s="12">
        <v>29.51</v>
      </c>
      <c r="CI40" s="12">
        <v>35.4</v>
      </c>
      <c r="CJ40" t="s">
        <v>135</v>
      </c>
      <c r="CK40" t="s">
        <v>21268</v>
      </c>
      <c r="CL40" t="s">
        <v>24175</v>
      </c>
      <c r="CO40" t="s">
        <v>132</v>
      </c>
      <c r="CP40" t="s">
        <v>136</v>
      </c>
      <c r="CQ40" t="s">
        <v>136</v>
      </c>
      <c r="CR40" t="s">
        <v>136</v>
      </c>
      <c r="CS40" t="s">
        <v>136</v>
      </c>
      <c r="CT40" t="s">
        <v>136</v>
      </c>
      <c r="CU40" t="s">
        <v>114</v>
      </c>
      <c r="CV40" t="s">
        <v>2225</v>
      </c>
      <c r="CW40" s="10" t="str">
        <f>"+15405542506"</f>
        <v>+15405542506</v>
      </c>
      <c r="CX40" t="s">
        <v>24172</v>
      </c>
      <c r="CY40" t="s">
        <v>132</v>
      </c>
      <c r="CZ40" t="s">
        <v>137</v>
      </c>
      <c r="DA40" t="s">
        <v>114</v>
      </c>
      <c r="DB40" t="s">
        <v>114</v>
      </c>
      <c r="DC40" t="s">
        <v>136</v>
      </c>
      <c r="DD40" t="s">
        <v>114</v>
      </c>
    </row>
    <row r="41" spans="1:113" ht="15" customHeight="1" x14ac:dyDescent="0.25">
      <c r="A41" t="s">
        <v>2633</v>
      </c>
      <c r="B41" t="s">
        <v>152</v>
      </c>
      <c r="C41" s="1">
        <v>45262.399477662038</v>
      </c>
      <c r="D41" s="1">
        <v>45288</v>
      </c>
      <c r="E41" t="s">
        <v>132</v>
      </c>
      <c r="F41" t="s">
        <v>1595</v>
      </c>
      <c r="G41" t="str">
        <f>"37-3011.00"</f>
        <v>37-3011.00</v>
      </c>
      <c r="H41" t="s">
        <v>429</v>
      </c>
      <c r="I41">
        <v>6</v>
      </c>
      <c r="J41">
        <v>6</v>
      </c>
      <c r="K41" s="1">
        <v>45352</v>
      </c>
      <c r="L41" s="1">
        <v>45626</v>
      </c>
      <c r="M41" s="1">
        <v>45352</v>
      </c>
      <c r="N41" s="1">
        <v>45626</v>
      </c>
      <c r="O41" t="s">
        <v>238</v>
      </c>
      <c r="P41" t="s">
        <v>2634</v>
      </c>
      <c r="Q41" t="s">
        <v>2635</v>
      </c>
      <c r="R41" t="s">
        <v>2636</v>
      </c>
      <c r="S41" t="s">
        <v>2637</v>
      </c>
      <c r="T41" t="s">
        <v>1901</v>
      </c>
      <c r="U41" t="s">
        <v>434</v>
      </c>
      <c r="V41" s="8" t="str">
        <f>"19422"</f>
        <v>19422</v>
      </c>
      <c r="W41" t="s">
        <v>118</v>
      </c>
      <c r="X41" t="s">
        <v>132</v>
      </c>
      <c r="Y41" s="10">
        <v>12156540933</v>
      </c>
      <c r="AA41">
        <v>561730</v>
      </c>
      <c r="AB41" t="s">
        <v>2638</v>
      </c>
      <c r="AC41" t="s">
        <v>2639</v>
      </c>
      <c r="AD41" t="s">
        <v>132</v>
      </c>
      <c r="AE41" t="s">
        <v>378</v>
      </c>
      <c r="AF41" t="s">
        <v>2636</v>
      </c>
      <c r="AG41" t="s">
        <v>2637</v>
      </c>
      <c r="AH41" t="s">
        <v>1901</v>
      </c>
      <c r="AI41" t="s">
        <v>434</v>
      </c>
      <c r="AJ41" s="8" t="str">
        <f>"19422"</f>
        <v>19422</v>
      </c>
      <c r="AK41" t="s">
        <v>118</v>
      </c>
      <c r="AM41" s="10">
        <v>12156540933</v>
      </c>
      <c r="AO41" t="s">
        <v>2640</v>
      </c>
      <c r="AP41" t="s">
        <v>248</v>
      </c>
      <c r="AQ41" t="s">
        <v>1827</v>
      </c>
      <c r="AR41" t="s">
        <v>1828</v>
      </c>
      <c r="AS41" t="s">
        <v>1829</v>
      </c>
      <c r="AT41" t="s">
        <v>1830</v>
      </c>
      <c r="AU41" t="s">
        <v>132</v>
      </c>
      <c r="AV41" t="s">
        <v>1585</v>
      </c>
      <c r="AW41" t="s">
        <v>127</v>
      </c>
      <c r="AX41" s="8" t="str">
        <f>"77414"</f>
        <v>77414</v>
      </c>
      <c r="AY41" t="s">
        <v>118</v>
      </c>
      <c r="BA41" s="10">
        <v>19793187283</v>
      </c>
      <c r="BC41" t="s">
        <v>1831</v>
      </c>
      <c r="BD41" t="s">
        <v>1587</v>
      </c>
      <c r="BG41" t="s">
        <v>434</v>
      </c>
      <c r="BH41" s="1">
        <v>45261.791666666664</v>
      </c>
      <c r="BI41">
        <v>40</v>
      </c>
      <c r="BJ41">
        <v>0</v>
      </c>
      <c r="BK41">
        <v>8</v>
      </c>
      <c r="BL41">
        <v>8</v>
      </c>
      <c r="BM41">
        <v>8</v>
      </c>
      <c r="BN41">
        <v>8</v>
      </c>
      <c r="BO41">
        <v>8</v>
      </c>
      <c r="BP41">
        <v>0</v>
      </c>
      <c r="BQ41" t="str">
        <f>"7:30 AM"</f>
        <v>7:30 AM</v>
      </c>
      <c r="BR41" t="str">
        <f>"4:00 PM"</f>
        <v>4:00 PM</v>
      </c>
      <c r="BS41" t="s">
        <v>131</v>
      </c>
      <c r="BT41">
        <v>0</v>
      </c>
      <c r="BU41">
        <v>0</v>
      </c>
      <c r="BV41" t="s">
        <v>114</v>
      </c>
      <c r="BX41" s="2" t="s">
        <v>2641</v>
      </c>
      <c r="BY41" t="s">
        <v>2636</v>
      </c>
      <c r="BZ41" t="s">
        <v>132</v>
      </c>
      <c r="CA41" t="s">
        <v>1901</v>
      </c>
      <c r="CB41" t="s">
        <v>434</v>
      </c>
      <c r="CC41" s="8" t="str">
        <f>"19422"</f>
        <v>19422</v>
      </c>
      <c r="CD41" t="s">
        <v>878</v>
      </c>
      <c r="CE41" t="s">
        <v>443</v>
      </c>
      <c r="CF41" s="12">
        <v>18.71</v>
      </c>
      <c r="CG41" s="12">
        <v>20</v>
      </c>
      <c r="CH41" s="12">
        <v>28.07</v>
      </c>
      <c r="CI41" s="12">
        <v>30</v>
      </c>
      <c r="CJ41" t="s">
        <v>135</v>
      </c>
      <c r="CK41" t="s">
        <v>2642</v>
      </c>
      <c r="CL41" t="s">
        <v>2643</v>
      </c>
      <c r="CO41" t="s">
        <v>132</v>
      </c>
      <c r="CP41" t="s">
        <v>136</v>
      </c>
      <c r="CQ41" t="s">
        <v>136</v>
      </c>
      <c r="CR41" t="s">
        <v>136</v>
      </c>
      <c r="CS41" t="s">
        <v>136</v>
      </c>
      <c r="CT41" t="s">
        <v>136</v>
      </c>
      <c r="CU41" t="s">
        <v>114</v>
      </c>
      <c r="CV41" t="s">
        <v>2225</v>
      </c>
      <c r="CW41" s="10" t="str">
        <f>"+12156540933"</f>
        <v>+12156540933</v>
      </c>
      <c r="CX41" t="s">
        <v>2640</v>
      </c>
      <c r="CY41" t="s">
        <v>132</v>
      </c>
      <c r="CZ41" t="s">
        <v>137</v>
      </c>
      <c r="DA41" t="s">
        <v>114</v>
      </c>
      <c r="DB41" t="s">
        <v>114</v>
      </c>
      <c r="DC41" t="s">
        <v>136</v>
      </c>
      <c r="DD41" t="s">
        <v>114</v>
      </c>
    </row>
    <row r="42" spans="1:113" ht="15" customHeight="1" x14ac:dyDescent="0.25">
      <c r="A42" t="s">
        <v>21375</v>
      </c>
      <c r="B42" t="s">
        <v>152</v>
      </c>
      <c r="C42" s="1">
        <v>45262.398184259262</v>
      </c>
      <c r="D42" s="1">
        <v>45288</v>
      </c>
      <c r="E42" t="s">
        <v>132</v>
      </c>
      <c r="F42" t="s">
        <v>1595</v>
      </c>
      <c r="G42" t="str">
        <f>"37-3011.00"</f>
        <v>37-3011.00</v>
      </c>
      <c r="H42" t="s">
        <v>429</v>
      </c>
      <c r="I42">
        <v>45</v>
      </c>
      <c r="J42">
        <v>45</v>
      </c>
      <c r="K42" s="1">
        <v>45352</v>
      </c>
      <c r="L42" s="1">
        <v>45596</v>
      </c>
      <c r="M42" s="1">
        <v>45352</v>
      </c>
      <c r="N42" s="1">
        <v>45596</v>
      </c>
      <c r="O42" t="s">
        <v>116</v>
      </c>
      <c r="P42" t="s">
        <v>19071</v>
      </c>
      <c r="R42" t="s">
        <v>19072</v>
      </c>
      <c r="S42" t="s">
        <v>19073</v>
      </c>
      <c r="T42" t="s">
        <v>19074</v>
      </c>
      <c r="U42" t="s">
        <v>140</v>
      </c>
      <c r="V42" s="8" t="str">
        <f>"33781"</f>
        <v>33781</v>
      </c>
      <c r="W42" t="s">
        <v>118</v>
      </c>
      <c r="Y42" s="10">
        <v>17275850697</v>
      </c>
      <c r="AA42">
        <v>561730</v>
      </c>
      <c r="AB42" t="s">
        <v>5857</v>
      </c>
      <c r="AC42" t="s">
        <v>3311</v>
      </c>
      <c r="AE42" t="s">
        <v>764</v>
      </c>
      <c r="AF42" t="s">
        <v>19072</v>
      </c>
      <c r="AG42" t="s">
        <v>19073</v>
      </c>
      <c r="AH42" t="s">
        <v>19074</v>
      </c>
      <c r="AI42" t="s">
        <v>140</v>
      </c>
      <c r="AJ42" s="8" t="str">
        <f>"33781"</f>
        <v>33781</v>
      </c>
      <c r="AK42" t="s">
        <v>118</v>
      </c>
      <c r="AM42" s="10">
        <v>17275850697</v>
      </c>
      <c r="AO42" t="s">
        <v>19075</v>
      </c>
      <c r="AP42" t="s">
        <v>248</v>
      </c>
      <c r="AQ42" t="s">
        <v>1582</v>
      </c>
      <c r="AR42" t="s">
        <v>1583</v>
      </c>
      <c r="AS42" t="s">
        <v>631</v>
      </c>
      <c r="AT42" t="s">
        <v>1584</v>
      </c>
      <c r="AU42" t="s">
        <v>132</v>
      </c>
      <c r="AV42" t="s">
        <v>1585</v>
      </c>
      <c r="AW42" t="s">
        <v>127</v>
      </c>
      <c r="AX42" s="8" t="str">
        <f>"77414"</f>
        <v>77414</v>
      </c>
      <c r="AY42" t="s">
        <v>118</v>
      </c>
      <c r="BA42" s="10">
        <v>19793187280</v>
      </c>
      <c r="BC42" t="s">
        <v>1586</v>
      </c>
      <c r="BD42" t="s">
        <v>1587</v>
      </c>
      <c r="BG42" t="s">
        <v>140</v>
      </c>
      <c r="BH42" s="1">
        <v>45261.791666666664</v>
      </c>
      <c r="BI42">
        <v>40</v>
      </c>
      <c r="BJ42">
        <v>0</v>
      </c>
      <c r="BK42">
        <v>8</v>
      </c>
      <c r="BL42">
        <v>8</v>
      </c>
      <c r="BM42">
        <v>8</v>
      </c>
      <c r="BN42">
        <v>8</v>
      </c>
      <c r="BO42">
        <v>8</v>
      </c>
      <c r="BP42">
        <v>0</v>
      </c>
      <c r="BQ42" t="str">
        <f>"7:00 AM"</f>
        <v>7:00 AM</v>
      </c>
      <c r="BR42" t="str">
        <f>"4:00 PM"</f>
        <v>4:00 PM</v>
      </c>
      <c r="BS42" t="s">
        <v>131</v>
      </c>
      <c r="BT42">
        <v>0</v>
      </c>
      <c r="BU42">
        <v>0</v>
      </c>
      <c r="BV42" t="s">
        <v>114</v>
      </c>
      <c r="BX42" s="2" t="s">
        <v>19076</v>
      </c>
      <c r="BY42" t="s">
        <v>21376</v>
      </c>
      <c r="BZ42" t="s">
        <v>132</v>
      </c>
      <c r="CA42" t="s">
        <v>6179</v>
      </c>
      <c r="CB42" t="s">
        <v>140</v>
      </c>
      <c r="CC42" s="8" t="str">
        <f>"34211"</f>
        <v>34211</v>
      </c>
      <c r="CD42" t="s">
        <v>1729</v>
      </c>
      <c r="CE42" t="s">
        <v>1730</v>
      </c>
      <c r="CF42" s="12">
        <v>16.63</v>
      </c>
      <c r="CG42" s="12">
        <v>17.63</v>
      </c>
      <c r="CH42" s="12">
        <v>24.95</v>
      </c>
      <c r="CI42" s="12">
        <v>26.45</v>
      </c>
      <c r="CJ42" t="s">
        <v>135</v>
      </c>
      <c r="CK42" t="s">
        <v>7694</v>
      </c>
      <c r="CL42" t="s">
        <v>21377</v>
      </c>
      <c r="CO42" t="s">
        <v>132</v>
      </c>
      <c r="CP42" t="s">
        <v>136</v>
      </c>
      <c r="CQ42" t="s">
        <v>136</v>
      </c>
      <c r="CR42" t="s">
        <v>136</v>
      </c>
      <c r="CS42" t="s">
        <v>136</v>
      </c>
      <c r="CT42" t="s">
        <v>136</v>
      </c>
      <c r="CU42" t="s">
        <v>136</v>
      </c>
      <c r="CV42" t="s">
        <v>21378</v>
      </c>
      <c r="CW42" s="10" t="str">
        <f>"+17275850697"</f>
        <v>+17275850697</v>
      </c>
      <c r="CX42" t="s">
        <v>19075</v>
      </c>
      <c r="CY42" t="s">
        <v>132</v>
      </c>
      <c r="CZ42" t="s">
        <v>137</v>
      </c>
      <c r="DA42" t="s">
        <v>114</v>
      </c>
      <c r="DB42" t="s">
        <v>136</v>
      </c>
      <c r="DC42" t="s">
        <v>136</v>
      </c>
      <c r="DD42" t="s">
        <v>114</v>
      </c>
    </row>
    <row r="43" spans="1:113" ht="15" customHeight="1" x14ac:dyDescent="0.25">
      <c r="A43" t="s">
        <v>19070</v>
      </c>
      <c r="B43" t="s">
        <v>152</v>
      </c>
      <c r="C43" s="1">
        <v>45262.396865625</v>
      </c>
      <c r="D43" s="1">
        <v>45288</v>
      </c>
      <c r="E43" t="s">
        <v>132</v>
      </c>
      <c r="F43" t="s">
        <v>1595</v>
      </c>
      <c r="G43" t="str">
        <f>"37-3011.00"</f>
        <v>37-3011.00</v>
      </c>
      <c r="H43" t="s">
        <v>429</v>
      </c>
      <c r="I43">
        <v>90</v>
      </c>
      <c r="J43">
        <v>90</v>
      </c>
      <c r="K43" s="1">
        <v>45352</v>
      </c>
      <c r="L43" s="1">
        <v>45596</v>
      </c>
      <c r="M43" s="1">
        <v>45352</v>
      </c>
      <c r="N43" s="1">
        <v>45596</v>
      </c>
      <c r="O43" t="s">
        <v>116</v>
      </c>
      <c r="P43" t="s">
        <v>19071</v>
      </c>
      <c r="R43" t="s">
        <v>19072</v>
      </c>
      <c r="S43" t="s">
        <v>19073</v>
      </c>
      <c r="T43" t="s">
        <v>19074</v>
      </c>
      <c r="U43" t="s">
        <v>140</v>
      </c>
      <c r="V43" s="8" t="str">
        <f>"33781"</f>
        <v>33781</v>
      </c>
      <c r="W43" t="s">
        <v>118</v>
      </c>
      <c r="Y43" s="10">
        <v>17275850697</v>
      </c>
      <c r="AA43">
        <v>561730</v>
      </c>
      <c r="AB43" t="s">
        <v>5857</v>
      </c>
      <c r="AC43" t="s">
        <v>3311</v>
      </c>
      <c r="AE43" t="s">
        <v>764</v>
      </c>
      <c r="AF43" t="s">
        <v>19072</v>
      </c>
      <c r="AG43" t="s">
        <v>19073</v>
      </c>
      <c r="AH43" t="s">
        <v>19074</v>
      </c>
      <c r="AI43" t="s">
        <v>140</v>
      </c>
      <c r="AJ43" s="8" t="str">
        <f>"33781"</f>
        <v>33781</v>
      </c>
      <c r="AK43" t="s">
        <v>118</v>
      </c>
      <c r="AM43" s="10">
        <v>17275850697</v>
      </c>
      <c r="AO43" t="s">
        <v>19075</v>
      </c>
      <c r="AP43" t="s">
        <v>248</v>
      </c>
      <c r="AQ43" t="s">
        <v>1582</v>
      </c>
      <c r="AR43" t="s">
        <v>1583</v>
      </c>
      <c r="AS43" t="s">
        <v>631</v>
      </c>
      <c r="AT43" t="s">
        <v>1584</v>
      </c>
      <c r="AU43" t="s">
        <v>132</v>
      </c>
      <c r="AV43" t="s">
        <v>1585</v>
      </c>
      <c r="AW43" t="s">
        <v>127</v>
      </c>
      <c r="AX43" s="8" t="str">
        <f>"77414"</f>
        <v>77414</v>
      </c>
      <c r="AY43" t="s">
        <v>118</v>
      </c>
      <c r="BA43" s="10">
        <v>19793187280</v>
      </c>
      <c r="BC43" t="s">
        <v>1586</v>
      </c>
      <c r="BD43" t="s">
        <v>1587</v>
      </c>
      <c r="BG43" t="s">
        <v>140</v>
      </c>
      <c r="BH43" s="1">
        <v>45261.791666666664</v>
      </c>
      <c r="BI43">
        <v>40</v>
      </c>
      <c r="BJ43">
        <v>0</v>
      </c>
      <c r="BK43">
        <v>8</v>
      </c>
      <c r="BL43">
        <v>8</v>
      </c>
      <c r="BM43">
        <v>8</v>
      </c>
      <c r="BN43">
        <v>8</v>
      </c>
      <c r="BO43">
        <v>8</v>
      </c>
      <c r="BP43">
        <v>0</v>
      </c>
      <c r="BQ43" t="str">
        <f>"7:00 AM"</f>
        <v>7:00 AM</v>
      </c>
      <c r="BR43" t="str">
        <f>"4:00 PM"</f>
        <v>4:00 PM</v>
      </c>
      <c r="BS43" t="s">
        <v>131</v>
      </c>
      <c r="BT43">
        <v>0</v>
      </c>
      <c r="BU43">
        <v>0</v>
      </c>
      <c r="BV43" t="s">
        <v>114</v>
      </c>
      <c r="BX43" s="2" t="s">
        <v>19076</v>
      </c>
      <c r="BY43" t="s">
        <v>19072</v>
      </c>
      <c r="BZ43" t="s">
        <v>132</v>
      </c>
      <c r="CA43" t="s">
        <v>19074</v>
      </c>
      <c r="CB43" t="s">
        <v>140</v>
      </c>
      <c r="CC43" s="8" t="str">
        <f>"33781"</f>
        <v>33781</v>
      </c>
      <c r="CD43" t="s">
        <v>466</v>
      </c>
      <c r="CE43" t="s">
        <v>467</v>
      </c>
      <c r="CF43" s="12">
        <v>15.63</v>
      </c>
      <c r="CG43" s="12">
        <v>16.63</v>
      </c>
      <c r="CH43" s="12">
        <v>23.45</v>
      </c>
      <c r="CI43" s="12">
        <v>24.95</v>
      </c>
      <c r="CJ43" t="s">
        <v>135</v>
      </c>
      <c r="CK43" t="s">
        <v>7694</v>
      </c>
      <c r="CL43" t="s">
        <v>19077</v>
      </c>
      <c r="CO43" t="s">
        <v>132</v>
      </c>
      <c r="CP43" t="s">
        <v>136</v>
      </c>
      <c r="CQ43" t="s">
        <v>136</v>
      </c>
      <c r="CR43" t="s">
        <v>136</v>
      </c>
      <c r="CS43" t="s">
        <v>136</v>
      </c>
      <c r="CT43" t="s">
        <v>136</v>
      </c>
      <c r="CU43" t="s">
        <v>136</v>
      </c>
      <c r="CV43" t="s">
        <v>19078</v>
      </c>
      <c r="CW43" s="10" t="str">
        <f>"+17275850697"</f>
        <v>+17275850697</v>
      </c>
      <c r="CX43" t="s">
        <v>19075</v>
      </c>
      <c r="CY43" t="s">
        <v>132</v>
      </c>
      <c r="CZ43" t="s">
        <v>137</v>
      </c>
      <c r="DA43" t="s">
        <v>114</v>
      </c>
      <c r="DB43" t="s">
        <v>136</v>
      </c>
      <c r="DC43" t="s">
        <v>136</v>
      </c>
      <c r="DD43" t="s">
        <v>114</v>
      </c>
    </row>
    <row r="44" spans="1:113" ht="15" customHeight="1" x14ac:dyDescent="0.25">
      <c r="A44" t="s">
        <v>14966</v>
      </c>
      <c r="B44" t="s">
        <v>152</v>
      </c>
      <c r="C44" s="1">
        <v>45262.396732407411</v>
      </c>
      <c r="D44" s="1">
        <v>45288</v>
      </c>
      <c r="E44" t="s">
        <v>132</v>
      </c>
      <c r="F44" t="s">
        <v>1595</v>
      </c>
      <c r="G44" t="str">
        <f>"37-3011.00"</f>
        <v>37-3011.00</v>
      </c>
      <c r="H44" t="s">
        <v>429</v>
      </c>
      <c r="I44">
        <v>20</v>
      </c>
      <c r="J44">
        <v>20</v>
      </c>
      <c r="K44" s="1">
        <v>45352</v>
      </c>
      <c r="L44" s="1">
        <v>45657</v>
      </c>
      <c r="M44" s="1">
        <v>45352</v>
      </c>
      <c r="N44" s="1">
        <v>45657</v>
      </c>
      <c r="O44" t="s">
        <v>116</v>
      </c>
      <c r="P44" t="s">
        <v>14967</v>
      </c>
      <c r="R44" t="s">
        <v>14968</v>
      </c>
      <c r="S44" t="s">
        <v>132</v>
      </c>
      <c r="T44" t="s">
        <v>14969</v>
      </c>
      <c r="U44" t="s">
        <v>434</v>
      </c>
      <c r="V44" s="8" t="str">
        <f>"19063"</f>
        <v>19063</v>
      </c>
      <c r="W44" t="s">
        <v>118</v>
      </c>
      <c r="X44" t="s">
        <v>132</v>
      </c>
      <c r="Y44" s="10">
        <v>16103617832</v>
      </c>
      <c r="AA44">
        <v>561730</v>
      </c>
      <c r="AB44" t="s">
        <v>14970</v>
      </c>
      <c r="AC44" t="s">
        <v>14971</v>
      </c>
      <c r="AD44" t="s">
        <v>132</v>
      </c>
      <c r="AE44" t="s">
        <v>629</v>
      </c>
      <c r="AF44" t="s">
        <v>14968</v>
      </c>
      <c r="AG44" t="s">
        <v>132</v>
      </c>
      <c r="AH44" t="s">
        <v>14969</v>
      </c>
      <c r="AI44" t="s">
        <v>434</v>
      </c>
      <c r="AJ44" s="8" t="str">
        <f>"19063"</f>
        <v>19063</v>
      </c>
      <c r="AK44" t="s">
        <v>118</v>
      </c>
      <c r="AM44" s="10">
        <v>16103617832</v>
      </c>
      <c r="AO44" t="s">
        <v>14972</v>
      </c>
      <c r="AP44" t="s">
        <v>248</v>
      </c>
      <c r="AQ44" t="s">
        <v>5000</v>
      </c>
      <c r="AR44" t="s">
        <v>4889</v>
      </c>
      <c r="AS44" t="s">
        <v>2998</v>
      </c>
      <c r="AT44" t="s">
        <v>1584</v>
      </c>
      <c r="AU44" t="s">
        <v>132</v>
      </c>
      <c r="AV44" t="s">
        <v>1585</v>
      </c>
      <c r="AW44" t="s">
        <v>127</v>
      </c>
      <c r="AX44" s="8" t="str">
        <f>"77414"</f>
        <v>77414</v>
      </c>
      <c r="AY44" t="s">
        <v>118</v>
      </c>
      <c r="BA44" s="10">
        <v>19793187277</v>
      </c>
      <c r="BC44" t="s">
        <v>5001</v>
      </c>
      <c r="BD44" t="s">
        <v>1587</v>
      </c>
      <c r="BG44" t="s">
        <v>434</v>
      </c>
      <c r="BH44" s="1">
        <v>45261.791666666664</v>
      </c>
      <c r="BI44">
        <v>40</v>
      </c>
      <c r="BJ44">
        <v>0</v>
      </c>
      <c r="BK44">
        <v>8</v>
      </c>
      <c r="BL44">
        <v>8</v>
      </c>
      <c r="BM44">
        <v>8</v>
      </c>
      <c r="BN44">
        <v>8</v>
      </c>
      <c r="BO44">
        <v>8</v>
      </c>
      <c r="BP44">
        <v>0</v>
      </c>
      <c r="BQ44" t="str">
        <f>"7:00 AM"</f>
        <v>7:00 AM</v>
      </c>
      <c r="BR44" t="str">
        <f>"4:00 PM"</f>
        <v>4:00 PM</v>
      </c>
      <c r="BS44" t="s">
        <v>131</v>
      </c>
      <c r="BT44">
        <v>0</v>
      </c>
      <c r="BU44">
        <v>0</v>
      </c>
      <c r="BV44" t="s">
        <v>114</v>
      </c>
      <c r="BX44" s="2" t="s">
        <v>14973</v>
      </c>
      <c r="BY44" t="s">
        <v>14968</v>
      </c>
      <c r="BZ44" t="s">
        <v>132</v>
      </c>
      <c r="CA44" t="s">
        <v>14969</v>
      </c>
      <c r="CB44" t="s">
        <v>434</v>
      </c>
      <c r="CC44" s="8" t="str">
        <f>"19063"</f>
        <v>19063</v>
      </c>
      <c r="CD44" t="s">
        <v>442</v>
      </c>
      <c r="CE44" t="s">
        <v>443</v>
      </c>
      <c r="CF44" s="12">
        <v>18.71</v>
      </c>
      <c r="CG44" s="12">
        <v>22</v>
      </c>
      <c r="CH44" s="12">
        <v>28.07</v>
      </c>
      <c r="CI44" s="12">
        <v>33</v>
      </c>
      <c r="CJ44" t="s">
        <v>135</v>
      </c>
      <c r="CK44" t="s">
        <v>2642</v>
      </c>
      <c r="CL44" t="s">
        <v>14974</v>
      </c>
      <c r="CO44" t="s">
        <v>132</v>
      </c>
      <c r="CP44" t="s">
        <v>136</v>
      </c>
      <c r="CQ44" t="s">
        <v>136</v>
      </c>
      <c r="CR44" t="s">
        <v>136</v>
      </c>
      <c r="CS44" t="s">
        <v>136</v>
      </c>
      <c r="CT44" t="s">
        <v>136</v>
      </c>
      <c r="CU44" t="s">
        <v>114</v>
      </c>
      <c r="CV44" t="s">
        <v>2225</v>
      </c>
      <c r="CW44" s="10" t="str">
        <f>"+16103617832"</f>
        <v>+16103617832</v>
      </c>
      <c r="CX44" t="s">
        <v>14975</v>
      </c>
      <c r="CY44" t="s">
        <v>132</v>
      </c>
      <c r="CZ44" t="s">
        <v>137</v>
      </c>
      <c r="DA44" t="s">
        <v>114</v>
      </c>
      <c r="DB44" t="s">
        <v>114</v>
      </c>
      <c r="DC44" t="s">
        <v>136</v>
      </c>
      <c r="DD44" t="s">
        <v>114</v>
      </c>
    </row>
    <row r="45" spans="1:113" ht="15" customHeight="1" x14ac:dyDescent="0.25">
      <c r="A45" t="s">
        <v>21326</v>
      </c>
      <c r="B45" t="s">
        <v>152</v>
      </c>
      <c r="C45" s="1">
        <v>45262.388439699076</v>
      </c>
      <c r="D45" s="1">
        <v>45288</v>
      </c>
      <c r="E45" t="s">
        <v>132</v>
      </c>
      <c r="F45" t="s">
        <v>1595</v>
      </c>
      <c r="G45" t="str">
        <f>"37-3011.00"</f>
        <v>37-3011.00</v>
      </c>
      <c r="H45" t="s">
        <v>429</v>
      </c>
      <c r="I45">
        <v>6</v>
      </c>
      <c r="J45">
        <v>6</v>
      </c>
      <c r="K45" s="1">
        <v>45352</v>
      </c>
      <c r="L45" s="1">
        <v>45626</v>
      </c>
      <c r="M45" s="1">
        <v>45352</v>
      </c>
      <c r="N45" s="1">
        <v>45626</v>
      </c>
      <c r="O45" t="s">
        <v>238</v>
      </c>
      <c r="P45" t="s">
        <v>21327</v>
      </c>
      <c r="Q45" t="s">
        <v>21328</v>
      </c>
      <c r="R45" t="s">
        <v>21329</v>
      </c>
      <c r="S45" t="s">
        <v>132</v>
      </c>
      <c r="T45" t="s">
        <v>18779</v>
      </c>
      <c r="U45" t="s">
        <v>117</v>
      </c>
      <c r="V45" s="8" t="str">
        <f>"61615"</f>
        <v>61615</v>
      </c>
      <c r="W45" t="s">
        <v>118</v>
      </c>
      <c r="Y45" s="10">
        <v>13096914561</v>
      </c>
      <c r="AA45">
        <v>424930</v>
      </c>
      <c r="AB45" t="s">
        <v>21330</v>
      </c>
      <c r="AC45" t="s">
        <v>2914</v>
      </c>
      <c r="AE45" t="s">
        <v>3561</v>
      </c>
      <c r="AF45" t="s">
        <v>21329</v>
      </c>
      <c r="AH45" t="s">
        <v>18779</v>
      </c>
      <c r="AI45" t="s">
        <v>117</v>
      </c>
      <c r="AJ45" s="8" t="str">
        <f>"61615"</f>
        <v>61615</v>
      </c>
      <c r="AK45" t="s">
        <v>118</v>
      </c>
      <c r="AM45" s="10">
        <v>13096914561</v>
      </c>
      <c r="AO45" t="s">
        <v>21331</v>
      </c>
      <c r="AP45" t="s">
        <v>248</v>
      </c>
      <c r="AQ45" t="s">
        <v>2166</v>
      </c>
      <c r="AR45" t="s">
        <v>2167</v>
      </c>
      <c r="AS45" t="s">
        <v>631</v>
      </c>
      <c r="AT45" t="s">
        <v>1584</v>
      </c>
      <c r="AV45" t="s">
        <v>1585</v>
      </c>
      <c r="AW45" t="s">
        <v>127</v>
      </c>
      <c r="AX45" s="8" t="str">
        <f>"77414"</f>
        <v>77414</v>
      </c>
      <c r="AY45" t="s">
        <v>118</v>
      </c>
      <c r="BA45" s="10">
        <v>19793187282</v>
      </c>
      <c r="BC45" t="s">
        <v>2168</v>
      </c>
      <c r="BD45" t="s">
        <v>1587</v>
      </c>
      <c r="BG45" t="s">
        <v>117</v>
      </c>
      <c r="BH45" s="1">
        <v>45261.791666666664</v>
      </c>
      <c r="BI45">
        <v>40</v>
      </c>
      <c r="BJ45">
        <v>0</v>
      </c>
      <c r="BK45">
        <v>8</v>
      </c>
      <c r="BL45">
        <v>8</v>
      </c>
      <c r="BM45">
        <v>8</v>
      </c>
      <c r="BN45">
        <v>8</v>
      </c>
      <c r="BO45">
        <v>8</v>
      </c>
      <c r="BP45">
        <v>0</v>
      </c>
      <c r="BQ45" t="str">
        <f>"7:00 AM"</f>
        <v>7:00 AM</v>
      </c>
      <c r="BR45" t="str">
        <f>"4:00 PM"</f>
        <v>4:00 PM</v>
      </c>
      <c r="BS45" t="s">
        <v>131</v>
      </c>
      <c r="BT45">
        <v>0</v>
      </c>
      <c r="BU45">
        <v>0</v>
      </c>
      <c r="BV45" t="s">
        <v>114</v>
      </c>
      <c r="BX45" s="2" t="s">
        <v>21332</v>
      </c>
      <c r="BY45" t="s">
        <v>21329</v>
      </c>
      <c r="BZ45" t="s">
        <v>132</v>
      </c>
      <c r="CA45" t="s">
        <v>18779</v>
      </c>
      <c r="CB45" t="s">
        <v>117</v>
      </c>
      <c r="CC45" s="8" t="str">
        <f>"61615"</f>
        <v>61615</v>
      </c>
      <c r="CD45" t="s">
        <v>20412</v>
      </c>
      <c r="CE45" t="s">
        <v>21333</v>
      </c>
      <c r="CF45" s="12">
        <v>18.170000000000002</v>
      </c>
      <c r="CH45" s="12">
        <v>27.26</v>
      </c>
      <c r="CJ45" t="s">
        <v>135</v>
      </c>
      <c r="CK45" t="s">
        <v>3584</v>
      </c>
      <c r="CL45" t="s">
        <v>21334</v>
      </c>
      <c r="CO45" t="s">
        <v>132</v>
      </c>
      <c r="CP45" t="s">
        <v>136</v>
      </c>
      <c r="CQ45" t="s">
        <v>136</v>
      </c>
      <c r="CR45" t="s">
        <v>136</v>
      </c>
      <c r="CS45" t="s">
        <v>136</v>
      </c>
      <c r="CT45" t="s">
        <v>136</v>
      </c>
      <c r="CU45" t="s">
        <v>136</v>
      </c>
      <c r="CV45" t="s">
        <v>13774</v>
      </c>
      <c r="CW45" s="10" t="str">
        <f>"+13096892547"</f>
        <v>+13096892547</v>
      </c>
      <c r="CX45" t="s">
        <v>21331</v>
      </c>
      <c r="CY45" t="s">
        <v>132</v>
      </c>
      <c r="CZ45" t="s">
        <v>137</v>
      </c>
      <c r="DA45" t="s">
        <v>114</v>
      </c>
      <c r="DB45" t="s">
        <v>114</v>
      </c>
      <c r="DC45" t="s">
        <v>136</v>
      </c>
      <c r="DD45" t="s">
        <v>114</v>
      </c>
    </row>
    <row r="46" spans="1:113" ht="15" customHeight="1" x14ac:dyDescent="0.25">
      <c r="A46" t="s">
        <v>16440</v>
      </c>
      <c r="B46" t="s">
        <v>152</v>
      </c>
      <c r="C46" s="1">
        <v>45262.386487268515</v>
      </c>
      <c r="D46" s="1">
        <v>45288</v>
      </c>
      <c r="E46" t="s">
        <v>132</v>
      </c>
      <c r="F46" t="s">
        <v>1595</v>
      </c>
      <c r="G46" t="str">
        <f>"37-3011.00"</f>
        <v>37-3011.00</v>
      </c>
      <c r="H46" t="s">
        <v>429</v>
      </c>
      <c r="I46">
        <v>5</v>
      </c>
      <c r="J46">
        <v>5</v>
      </c>
      <c r="K46" s="1">
        <v>45352</v>
      </c>
      <c r="L46" s="1">
        <v>45633</v>
      </c>
      <c r="M46" s="1">
        <v>45352</v>
      </c>
      <c r="N46" s="1">
        <v>45633</v>
      </c>
      <c r="O46" t="s">
        <v>116</v>
      </c>
      <c r="P46" t="s">
        <v>16441</v>
      </c>
      <c r="Q46" t="s">
        <v>16442</v>
      </c>
      <c r="R46" t="s">
        <v>16443</v>
      </c>
      <c r="S46" t="s">
        <v>132</v>
      </c>
      <c r="T46" t="s">
        <v>16444</v>
      </c>
      <c r="U46" t="s">
        <v>581</v>
      </c>
      <c r="V46" s="8" t="str">
        <f>"20135"</f>
        <v>20135</v>
      </c>
      <c r="W46" t="s">
        <v>118</v>
      </c>
      <c r="Y46" s="10">
        <v>15409555720</v>
      </c>
      <c r="AA46">
        <v>561730</v>
      </c>
      <c r="AB46" t="s">
        <v>16445</v>
      </c>
      <c r="AC46" t="s">
        <v>2947</v>
      </c>
      <c r="AE46" t="s">
        <v>987</v>
      </c>
      <c r="AF46" t="s">
        <v>16443</v>
      </c>
      <c r="AG46" t="s">
        <v>132</v>
      </c>
      <c r="AH46" t="s">
        <v>16444</v>
      </c>
      <c r="AI46" t="s">
        <v>581</v>
      </c>
      <c r="AJ46" s="8" t="str">
        <f>"20135"</f>
        <v>20135</v>
      </c>
      <c r="AK46" t="s">
        <v>118</v>
      </c>
      <c r="AM46" s="10">
        <v>15409555720</v>
      </c>
      <c r="AO46" t="s">
        <v>16446</v>
      </c>
      <c r="AP46" t="s">
        <v>248</v>
      </c>
      <c r="AQ46" t="s">
        <v>2166</v>
      </c>
      <c r="AR46" t="s">
        <v>2167</v>
      </c>
      <c r="AS46" t="s">
        <v>631</v>
      </c>
      <c r="AT46" t="s">
        <v>1584</v>
      </c>
      <c r="AU46" t="s">
        <v>132</v>
      </c>
      <c r="AV46" t="s">
        <v>1585</v>
      </c>
      <c r="AW46" t="s">
        <v>127</v>
      </c>
      <c r="AX46" s="8" t="str">
        <f>"77414"</f>
        <v>77414</v>
      </c>
      <c r="AY46" t="s">
        <v>118</v>
      </c>
      <c r="BA46" s="10">
        <v>19793187282</v>
      </c>
      <c r="BC46" t="s">
        <v>2168</v>
      </c>
      <c r="BD46" t="s">
        <v>1587</v>
      </c>
      <c r="BG46" t="s">
        <v>581</v>
      </c>
      <c r="BH46" s="1">
        <v>45261.791666666664</v>
      </c>
      <c r="BI46">
        <v>40</v>
      </c>
      <c r="BJ46">
        <v>0</v>
      </c>
      <c r="BK46">
        <v>8</v>
      </c>
      <c r="BL46">
        <v>8</v>
      </c>
      <c r="BM46">
        <v>8</v>
      </c>
      <c r="BN46">
        <v>8</v>
      </c>
      <c r="BO46">
        <v>8</v>
      </c>
      <c r="BP46">
        <v>0</v>
      </c>
      <c r="BQ46" t="str">
        <f>"7:30 AM"</f>
        <v>7:30 AM</v>
      </c>
      <c r="BR46" t="str">
        <f>"3:30 PM"</f>
        <v>3:30 PM</v>
      </c>
      <c r="BS46" t="s">
        <v>131</v>
      </c>
      <c r="BT46">
        <v>0</v>
      </c>
      <c r="BU46">
        <v>0</v>
      </c>
      <c r="BV46" t="s">
        <v>114</v>
      </c>
      <c r="BX46" s="2" t="s">
        <v>16447</v>
      </c>
      <c r="BY46" t="s">
        <v>16448</v>
      </c>
      <c r="BZ46" t="s">
        <v>132</v>
      </c>
      <c r="CA46" t="s">
        <v>16449</v>
      </c>
      <c r="CB46" t="s">
        <v>581</v>
      </c>
      <c r="CC46" s="8" t="str">
        <f>"22611"</f>
        <v>22611</v>
      </c>
      <c r="CD46" t="s">
        <v>1606</v>
      </c>
      <c r="CE46" t="s">
        <v>1794</v>
      </c>
      <c r="CF46" s="12">
        <v>19.670000000000002</v>
      </c>
      <c r="CG46" s="12">
        <v>20</v>
      </c>
      <c r="CH46" s="12">
        <v>29.51</v>
      </c>
      <c r="CI46" s="12">
        <v>30</v>
      </c>
      <c r="CJ46" t="s">
        <v>135</v>
      </c>
      <c r="CK46" t="s">
        <v>13897</v>
      </c>
      <c r="CL46" t="s">
        <v>16450</v>
      </c>
      <c r="CO46" t="s">
        <v>132</v>
      </c>
      <c r="CP46" t="s">
        <v>136</v>
      </c>
      <c r="CQ46" t="s">
        <v>136</v>
      </c>
      <c r="CR46" t="s">
        <v>136</v>
      </c>
      <c r="CS46" t="s">
        <v>136</v>
      </c>
      <c r="CT46" t="s">
        <v>136</v>
      </c>
      <c r="CU46" t="s">
        <v>136</v>
      </c>
      <c r="CV46" t="s">
        <v>3580</v>
      </c>
      <c r="CW46" s="10" t="str">
        <f>"+15409555720"</f>
        <v>+15409555720</v>
      </c>
      <c r="CX46" t="s">
        <v>16446</v>
      </c>
      <c r="CY46" t="s">
        <v>132</v>
      </c>
      <c r="CZ46" t="s">
        <v>137</v>
      </c>
      <c r="DA46" t="s">
        <v>114</v>
      </c>
      <c r="DB46" t="s">
        <v>114</v>
      </c>
      <c r="DC46" t="s">
        <v>136</v>
      </c>
      <c r="DD46" t="s">
        <v>114</v>
      </c>
    </row>
    <row r="47" spans="1:113" ht="15" customHeight="1" x14ac:dyDescent="0.25">
      <c r="A47" t="s">
        <v>18937</v>
      </c>
      <c r="B47" t="s">
        <v>152</v>
      </c>
      <c r="C47" s="1">
        <v>45262.385853935186</v>
      </c>
      <c r="D47" s="1">
        <v>45288</v>
      </c>
      <c r="E47" t="s">
        <v>132</v>
      </c>
      <c r="F47" t="s">
        <v>1595</v>
      </c>
      <c r="G47" t="str">
        <f>"37-3011.00"</f>
        <v>37-3011.00</v>
      </c>
      <c r="H47" t="s">
        <v>429</v>
      </c>
      <c r="I47">
        <v>10</v>
      </c>
      <c r="J47">
        <v>10</v>
      </c>
      <c r="K47" s="1">
        <v>45352</v>
      </c>
      <c r="L47" s="1">
        <v>45638</v>
      </c>
      <c r="M47" s="1">
        <v>45352</v>
      </c>
      <c r="N47" s="1">
        <v>45638</v>
      </c>
      <c r="O47" t="s">
        <v>116</v>
      </c>
      <c r="P47" t="s">
        <v>18938</v>
      </c>
      <c r="R47" t="s">
        <v>18939</v>
      </c>
      <c r="S47" t="s">
        <v>18940</v>
      </c>
      <c r="T47" t="s">
        <v>3494</v>
      </c>
      <c r="U47" t="s">
        <v>581</v>
      </c>
      <c r="V47" s="8" t="str">
        <f>"20166"</f>
        <v>20166</v>
      </c>
      <c r="W47" t="s">
        <v>118</v>
      </c>
      <c r="Y47" s="10">
        <v>17034332739</v>
      </c>
      <c r="AA47">
        <v>561730</v>
      </c>
      <c r="AB47" t="s">
        <v>2869</v>
      </c>
      <c r="AC47" t="s">
        <v>7810</v>
      </c>
      <c r="AE47" t="s">
        <v>16073</v>
      </c>
      <c r="AF47" t="s">
        <v>18939</v>
      </c>
      <c r="AG47" t="s">
        <v>18940</v>
      </c>
      <c r="AH47" t="s">
        <v>3494</v>
      </c>
      <c r="AI47" t="s">
        <v>581</v>
      </c>
      <c r="AJ47" s="8" t="str">
        <f>"20166"</f>
        <v>20166</v>
      </c>
      <c r="AK47" t="s">
        <v>118</v>
      </c>
      <c r="AM47" s="10">
        <v>17034332739</v>
      </c>
      <c r="AO47" t="s">
        <v>18941</v>
      </c>
      <c r="AP47" t="s">
        <v>248</v>
      </c>
      <c r="AQ47" t="s">
        <v>1582</v>
      </c>
      <c r="AR47" t="s">
        <v>1583</v>
      </c>
      <c r="AS47" t="s">
        <v>631</v>
      </c>
      <c r="AT47" t="s">
        <v>1584</v>
      </c>
      <c r="AU47" t="s">
        <v>132</v>
      </c>
      <c r="AV47" t="s">
        <v>1585</v>
      </c>
      <c r="AW47" t="s">
        <v>127</v>
      </c>
      <c r="AX47" s="8" t="str">
        <f>"77414"</f>
        <v>77414</v>
      </c>
      <c r="AY47" t="s">
        <v>118</v>
      </c>
      <c r="BA47" s="10">
        <v>19793187280</v>
      </c>
      <c r="BC47" t="s">
        <v>1586</v>
      </c>
      <c r="BD47" t="s">
        <v>1587</v>
      </c>
      <c r="BG47" t="s">
        <v>581</v>
      </c>
      <c r="BH47" s="1">
        <v>45261.791666666664</v>
      </c>
      <c r="BI47">
        <v>40</v>
      </c>
      <c r="BJ47">
        <v>0</v>
      </c>
      <c r="BK47">
        <v>8</v>
      </c>
      <c r="BL47">
        <v>8</v>
      </c>
      <c r="BM47">
        <v>8</v>
      </c>
      <c r="BN47">
        <v>8</v>
      </c>
      <c r="BO47">
        <v>8</v>
      </c>
      <c r="BP47">
        <v>0</v>
      </c>
      <c r="BQ47" t="str">
        <f>"7:00 AM"</f>
        <v>7:00 AM</v>
      </c>
      <c r="BR47" t="str">
        <f>"4:00 PM"</f>
        <v>4:00 PM</v>
      </c>
      <c r="BS47" t="s">
        <v>131</v>
      </c>
      <c r="BT47">
        <v>0</v>
      </c>
      <c r="BU47">
        <v>0</v>
      </c>
      <c r="BV47" t="s">
        <v>114</v>
      </c>
      <c r="BX47" s="2" t="s">
        <v>18942</v>
      </c>
      <c r="BY47" t="s">
        <v>18939</v>
      </c>
      <c r="BZ47" t="s">
        <v>132</v>
      </c>
      <c r="CA47" t="s">
        <v>3494</v>
      </c>
      <c r="CB47" t="s">
        <v>581</v>
      </c>
      <c r="CC47" s="8" t="str">
        <f>"20166"</f>
        <v>20166</v>
      </c>
      <c r="CD47" t="s">
        <v>2761</v>
      </c>
      <c r="CE47" t="s">
        <v>1794</v>
      </c>
      <c r="CF47" s="12">
        <v>19.670000000000002</v>
      </c>
      <c r="CH47" s="12">
        <v>29.51</v>
      </c>
      <c r="CJ47" t="s">
        <v>135</v>
      </c>
      <c r="CK47" t="s">
        <v>7827</v>
      </c>
      <c r="CL47" t="s">
        <v>18943</v>
      </c>
      <c r="CO47" t="s">
        <v>132</v>
      </c>
      <c r="CP47" t="s">
        <v>136</v>
      </c>
      <c r="CQ47" t="s">
        <v>136</v>
      </c>
      <c r="CR47" t="s">
        <v>136</v>
      </c>
      <c r="CS47" t="s">
        <v>136</v>
      </c>
      <c r="CT47" t="s">
        <v>136</v>
      </c>
      <c r="CU47" t="s">
        <v>114</v>
      </c>
      <c r="CV47" t="s">
        <v>7829</v>
      </c>
      <c r="CW47" s="10" t="str">
        <f>"+17034332739"</f>
        <v>+17034332739</v>
      </c>
      <c r="CX47" t="s">
        <v>18941</v>
      </c>
      <c r="CY47" t="s">
        <v>132</v>
      </c>
      <c r="CZ47" t="s">
        <v>137</v>
      </c>
      <c r="DA47" t="s">
        <v>114</v>
      </c>
      <c r="DB47" t="s">
        <v>114</v>
      </c>
      <c r="DC47" t="s">
        <v>136</v>
      </c>
      <c r="DD47" t="s">
        <v>114</v>
      </c>
    </row>
    <row r="48" spans="1:113" ht="15" customHeight="1" x14ac:dyDescent="0.25">
      <c r="A48" t="s">
        <v>9408</v>
      </c>
      <c r="B48" t="s">
        <v>152</v>
      </c>
      <c r="C48" s="1">
        <v>45262.384650578701</v>
      </c>
      <c r="D48" s="1">
        <v>45288</v>
      </c>
      <c r="E48" t="s">
        <v>132</v>
      </c>
      <c r="F48" t="s">
        <v>236</v>
      </c>
      <c r="G48" t="str">
        <f>"39-3091.00"</f>
        <v>39-3091.00</v>
      </c>
      <c r="H48" t="s">
        <v>237</v>
      </c>
      <c r="I48">
        <v>32</v>
      </c>
      <c r="J48">
        <v>32</v>
      </c>
      <c r="K48" s="1">
        <v>45352</v>
      </c>
      <c r="L48" s="1">
        <v>45588</v>
      </c>
      <c r="M48" s="1">
        <v>45352</v>
      </c>
      <c r="N48" s="1">
        <v>45588</v>
      </c>
      <c r="O48" t="s">
        <v>238</v>
      </c>
      <c r="P48" t="s">
        <v>9409</v>
      </c>
      <c r="Q48" t="s">
        <v>9410</v>
      </c>
      <c r="R48" t="s">
        <v>9411</v>
      </c>
      <c r="T48" t="s">
        <v>1721</v>
      </c>
      <c r="U48" t="s">
        <v>1722</v>
      </c>
      <c r="V48" s="8" t="str">
        <f>"21409"</f>
        <v>21409</v>
      </c>
      <c r="W48" t="s">
        <v>118</v>
      </c>
      <c r="Y48" s="10">
        <v>14109741990</v>
      </c>
      <c r="AA48">
        <v>71399</v>
      </c>
      <c r="AB48" t="s">
        <v>4170</v>
      </c>
      <c r="AC48" t="s">
        <v>2631</v>
      </c>
      <c r="AE48" t="s">
        <v>1283</v>
      </c>
      <c r="AF48" t="s">
        <v>9411</v>
      </c>
      <c r="AH48" t="s">
        <v>1721</v>
      </c>
      <c r="AI48" t="s">
        <v>1722</v>
      </c>
      <c r="AJ48" s="8" t="str">
        <f>"21409"</f>
        <v>21409</v>
      </c>
      <c r="AK48" t="s">
        <v>118</v>
      </c>
      <c r="AM48" s="10">
        <v>14439491214</v>
      </c>
      <c r="AO48" t="s">
        <v>9412</v>
      </c>
      <c r="AP48" t="s">
        <v>248</v>
      </c>
      <c r="AQ48" t="s">
        <v>249</v>
      </c>
      <c r="AR48" t="s">
        <v>250</v>
      </c>
      <c r="AS48" t="s">
        <v>251</v>
      </c>
      <c r="AT48" t="s">
        <v>252</v>
      </c>
      <c r="AU48" t="s">
        <v>253</v>
      </c>
      <c r="AV48" t="s">
        <v>254</v>
      </c>
      <c r="AW48" t="s">
        <v>127</v>
      </c>
      <c r="AX48" s="8" t="str">
        <f>"78550"</f>
        <v>78550</v>
      </c>
      <c r="AY48" t="s">
        <v>118</v>
      </c>
      <c r="AZ48" t="s">
        <v>255</v>
      </c>
      <c r="BA48" s="10">
        <v>19564408720</v>
      </c>
      <c r="BB48" s="3" t="s">
        <v>256</v>
      </c>
      <c r="BC48" t="s">
        <v>257</v>
      </c>
      <c r="BD48" t="s">
        <v>258</v>
      </c>
      <c r="BG48" t="s">
        <v>1722</v>
      </c>
      <c r="BH48" s="1">
        <v>45261.791666666664</v>
      </c>
      <c r="BI48">
        <v>40</v>
      </c>
      <c r="BJ48">
        <v>8</v>
      </c>
      <c r="BK48">
        <v>0</v>
      </c>
      <c r="BL48">
        <v>0</v>
      </c>
      <c r="BM48">
        <v>8</v>
      </c>
      <c r="BN48">
        <v>8</v>
      </c>
      <c r="BO48">
        <v>8</v>
      </c>
      <c r="BP48">
        <v>8</v>
      </c>
      <c r="BQ48" t="str">
        <f>"1:00 PM"</f>
        <v>1:00 PM</v>
      </c>
      <c r="BR48" t="str">
        <f>"10:00 PM"</f>
        <v>10:00 PM</v>
      </c>
      <c r="BS48" t="s">
        <v>131</v>
      </c>
      <c r="BT48">
        <v>0</v>
      </c>
      <c r="BU48">
        <v>0</v>
      </c>
      <c r="BV48" t="s">
        <v>114</v>
      </c>
      <c r="BX48" s="2" t="s">
        <v>259</v>
      </c>
      <c r="BY48" t="s">
        <v>9413</v>
      </c>
      <c r="CA48" t="s">
        <v>9414</v>
      </c>
      <c r="CB48" t="s">
        <v>1722</v>
      </c>
      <c r="CC48" s="8" t="str">
        <f>"21032"</f>
        <v>21032</v>
      </c>
      <c r="CD48" t="s">
        <v>1991</v>
      </c>
      <c r="CE48" t="s">
        <v>1992</v>
      </c>
      <c r="CF48" s="12">
        <v>14.2</v>
      </c>
      <c r="CG48" s="12">
        <v>15.07</v>
      </c>
      <c r="CJ48" t="s">
        <v>135</v>
      </c>
      <c r="CK48" t="s">
        <v>264</v>
      </c>
      <c r="CL48" t="s">
        <v>9415</v>
      </c>
      <c r="CO48" t="s">
        <v>132</v>
      </c>
      <c r="CP48" t="s">
        <v>136</v>
      </c>
      <c r="CQ48" t="s">
        <v>136</v>
      </c>
      <c r="CR48" t="s">
        <v>114</v>
      </c>
      <c r="CS48" t="s">
        <v>136</v>
      </c>
      <c r="CT48" t="s">
        <v>136</v>
      </c>
      <c r="CU48" t="s">
        <v>136</v>
      </c>
      <c r="CV48" t="s">
        <v>9416</v>
      </c>
      <c r="CW48" s="10" t="str">
        <f>"+14439491214"</f>
        <v>+14439491214</v>
      </c>
      <c r="CX48" t="s">
        <v>9412</v>
      </c>
      <c r="CY48" t="s">
        <v>132</v>
      </c>
      <c r="CZ48" t="s">
        <v>137</v>
      </c>
      <c r="DA48" t="s">
        <v>114</v>
      </c>
      <c r="DB48" t="s">
        <v>136</v>
      </c>
      <c r="DC48" t="s">
        <v>136</v>
      </c>
      <c r="DD48" t="s">
        <v>114</v>
      </c>
    </row>
    <row r="49" spans="1:113" ht="15" customHeight="1" x14ac:dyDescent="0.25">
      <c r="A49" t="s">
        <v>20107</v>
      </c>
      <c r="B49" t="s">
        <v>152</v>
      </c>
      <c r="C49" s="1">
        <v>45262.383638425927</v>
      </c>
      <c r="D49" s="1">
        <v>45288</v>
      </c>
      <c r="E49" t="s">
        <v>132</v>
      </c>
      <c r="F49" t="s">
        <v>1595</v>
      </c>
      <c r="G49" t="str">
        <f>"37-3011.00"</f>
        <v>37-3011.00</v>
      </c>
      <c r="H49" t="s">
        <v>429</v>
      </c>
      <c r="I49">
        <v>14</v>
      </c>
      <c r="J49">
        <v>14</v>
      </c>
      <c r="K49" s="1">
        <v>45352</v>
      </c>
      <c r="L49" s="1">
        <v>45643</v>
      </c>
      <c r="M49" s="1">
        <v>45352</v>
      </c>
      <c r="N49" s="1">
        <v>45643</v>
      </c>
      <c r="O49" t="s">
        <v>116</v>
      </c>
      <c r="P49" t="s">
        <v>20108</v>
      </c>
      <c r="R49" t="s">
        <v>20109</v>
      </c>
      <c r="S49" t="s">
        <v>20110</v>
      </c>
      <c r="T49" t="s">
        <v>20111</v>
      </c>
      <c r="U49" t="s">
        <v>581</v>
      </c>
      <c r="V49" s="8" t="str">
        <f>"24092"</f>
        <v>24092</v>
      </c>
      <c r="W49" t="s">
        <v>118</v>
      </c>
      <c r="Y49" s="10">
        <v>15404893715</v>
      </c>
      <c r="AA49">
        <v>561730</v>
      </c>
      <c r="AB49" t="s">
        <v>20112</v>
      </c>
      <c r="AC49" t="s">
        <v>931</v>
      </c>
      <c r="AD49" t="s">
        <v>1829</v>
      </c>
      <c r="AE49" t="s">
        <v>629</v>
      </c>
      <c r="AF49" t="s">
        <v>20109</v>
      </c>
      <c r="AG49" t="s">
        <v>20110</v>
      </c>
      <c r="AH49" t="s">
        <v>20111</v>
      </c>
      <c r="AI49" t="s">
        <v>581</v>
      </c>
      <c r="AJ49" s="8" t="str">
        <f>"24092"</f>
        <v>24092</v>
      </c>
      <c r="AK49" t="s">
        <v>118</v>
      </c>
      <c r="AM49" s="10">
        <v>15404893715</v>
      </c>
      <c r="AO49" t="s">
        <v>20113</v>
      </c>
      <c r="AP49" t="s">
        <v>248</v>
      </c>
      <c r="AQ49" t="s">
        <v>1582</v>
      </c>
      <c r="AR49" t="s">
        <v>1583</v>
      </c>
      <c r="AS49" t="s">
        <v>631</v>
      </c>
      <c r="AT49" t="s">
        <v>1584</v>
      </c>
      <c r="AU49" t="s">
        <v>132</v>
      </c>
      <c r="AV49" t="s">
        <v>1585</v>
      </c>
      <c r="AW49" t="s">
        <v>127</v>
      </c>
      <c r="AX49" s="8" t="str">
        <f>"77414"</f>
        <v>77414</v>
      </c>
      <c r="AY49" t="s">
        <v>118</v>
      </c>
      <c r="BA49" s="10">
        <v>19793187280</v>
      </c>
      <c r="BC49" t="s">
        <v>1586</v>
      </c>
      <c r="BD49" t="s">
        <v>1587</v>
      </c>
      <c r="BG49" t="s">
        <v>581</v>
      </c>
      <c r="BH49" s="1">
        <v>45261.791666666664</v>
      </c>
      <c r="BI49">
        <v>48</v>
      </c>
      <c r="BJ49">
        <v>0</v>
      </c>
      <c r="BK49">
        <v>11</v>
      </c>
      <c r="BL49">
        <v>10</v>
      </c>
      <c r="BM49">
        <v>10</v>
      </c>
      <c r="BN49">
        <v>10</v>
      </c>
      <c r="BO49">
        <v>7</v>
      </c>
      <c r="BP49">
        <v>0</v>
      </c>
      <c r="BQ49" t="str">
        <f>"7:00 AM"</f>
        <v>7:00 AM</v>
      </c>
      <c r="BR49" t="str">
        <f>"5:30 PM"</f>
        <v>5:30 PM</v>
      </c>
      <c r="BS49" t="s">
        <v>131</v>
      </c>
      <c r="BT49">
        <v>0</v>
      </c>
      <c r="BU49">
        <v>0</v>
      </c>
      <c r="BV49" t="s">
        <v>114</v>
      </c>
      <c r="BX49" s="2" t="s">
        <v>20114</v>
      </c>
      <c r="BY49" t="s">
        <v>20109</v>
      </c>
      <c r="BZ49" t="s">
        <v>132</v>
      </c>
      <c r="CA49" t="s">
        <v>20111</v>
      </c>
      <c r="CB49" t="s">
        <v>581</v>
      </c>
      <c r="CC49" s="8" t="str">
        <f>"24092"</f>
        <v>24092</v>
      </c>
      <c r="CD49" t="s">
        <v>535</v>
      </c>
      <c r="CE49" t="s">
        <v>3545</v>
      </c>
      <c r="CF49" s="12">
        <v>15.49</v>
      </c>
      <c r="CG49" s="12">
        <v>18</v>
      </c>
      <c r="CH49" s="12">
        <v>23.24</v>
      </c>
      <c r="CI49" s="12">
        <v>27</v>
      </c>
      <c r="CJ49" t="s">
        <v>135</v>
      </c>
      <c r="CK49" t="s">
        <v>7600</v>
      </c>
      <c r="CL49" t="s">
        <v>20115</v>
      </c>
      <c r="CO49" t="s">
        <v>132</v>
      </c>
      <c r="CP49" t="s">
        <v>136</v>
      </c>
      <c r="CQ49" t="s">
        <v>136</v>
      </c>
      <c r="CR49" t="s">
        <v>136</v>
      </c>
      <c r="CS49" t="s">
        <v>136</v>
      </c>
      <c r="CT49" t="s">
        <v>136</v>
      </c>
      <c r="CU49" t="s">
        <v>136</v>
      </c>
      <c r="CV49" t="s">
        <v>20116</v>
      </c>
      <c r="CW49" s="10" t="str">
        <f>"+15404893715"</f>
        <v>+15404893715</v>
      </c>
      <c r="CX49" t="s">
        <v>20113</v>
      </c>
      <c r="CY49" t="s">
        <v>132</v>
      </c>
      <c r="CZ49" t="s">
        <v>137</v>
      </c>
      <c r="DA49" t="s">
        <v>114</v>
      </c>
      <c r="DB49" t="s">
        <v>114</v>
      </c>
      <c r="DC49" t="s">
        <v>136</v>
      </c>
      <c r="DD49" t="s">
        <v>114</v>
      </c>
    </row>
    <row r="50" spans="1:113" ht="15" customHeight="1" x14ac:dyDescent="0.25">
      <c r="A50" t="s">
        <v>18782</v>
      </c>
      <c r="B50" t="s">
        <v>152</v>
      </c>
      <c r="C50" s="1">
        <v>45262.380026851853</v>
      </c>
      <c r="D50" s="1">
        <v>45288</v>
      </c>
      <c r="E50" t="s">
        <v>132</v>
      </c>
      <c r="F50" t="s">
        <v>978</v>
      </c>
      <c r="G50" t="str">
        <f>"37-3011.00"</f>
        <v>37-3011.00</v>
      </c>
      <c r="H50" t="s">
        <v>429</v>
      </c>
      <c r="I50">
        <v>30</v>
      </c>
      <c r="J50">
        <v>30</v>
      </c>
      <c r="K50" s="1">
        <v>45352</v>
      </c>
      <c r="L50" s="1">
        <v>45614</v>
      </c>
      <c r="M50" s="1">
        <v>45352</v>
      </c>
      <c r="N50" s="1">
        <v>45614</v>
      </c>
      <c r="O50" t="s">
        <v>238</v>
      </c>
      <c r="P50" t="s">
        <v>18783</v>
      </c>
      <c r="R50" t="s">
        <v>18784</v>
      </c>
      <c r="S50" t="s">
        <v>132</v>
      </c>
      <c r="T50" t="s">
        <v>18785</v>
      </c>
      <c r="U50" t="s">
        <v>1776</v>
      </c>
      <c r="V50" s="8" t="str">
        <f>"07726"</f>
        <v>07726</v>
      </c>
      <c r="W50" t="s">
        <v>118</v>
      </c>
      <c r="Y50" s="10">
        <v>17329709300</v>
      </c>
      <c r="AA50">
        <v>561730</v>
      </c>
      <c r="AB50" t="s">
        <v>6472</v>
      </c>
      <c r="AC50" t="s">
        <v>2770</v>
      </c>
      <c r="AE50" t="s">
        <v>629</v>
      </c>
      <c r="AF50" t="s">
        <v>18784</v>
      </c>
      <c r="AG50" t="s">
        <v>132</v>
      </c>
      <c r="AH50" t="s">
        <v>18785</v>
      </c>
      <c r="AI50" t="s">
        <v>1776</v>
      </c>
      <c r="AJ50" s="8" t="str">
        <f>"07726"</f>
        <v>07726</v>
      </c>
      <c r="AK50" t="s">
        <v>118</v>
      </c>
      <c r="AM50" s="10">
        <v>17329709300</v>
      </c>
      <c r="AO50" t="s">
        <v>18786</v>
      </c>
      <c r="AP50" t="s">
        <v>248</v>
      </c>
      <c r="AQ50" t="s">
        <v>2166</v>
      </c>
      <c r="AR50" t="s">
        <v>2167</v>
      </c>
      <c r="AS50" t="s">
        <v>631</v>
      </c>
      <c r="AT50" t="s">
        <v>1584</v>
      </c>
      <c r="AU50" t="s">
        <v>132</v>
      </c>
      <c r="AV50" t="s">
        <v>1585</v>
      </c>
      <c r="AW50" t="s">
        <v>127</v>
      </c>
      <c r="AX50" s="8" t="str">
        <f>"77414"</f>
        <v>77414</v>
      </c>
      <c r="AY50" t="s">
        <v>118</v>
      </c>
      <c r="BA50" s="10">
        <v>19793187282</v>
      </c>
      <c r="BC50" t="s">
        <v>2168</v>
      </c>
      <c r="BD50" t="s">
        <v>1587</v>
      </c>
      <c r="BG50" t="s">
        <v>1776</v>
      </c>
      <c r="BH50" s="1">
        <v>45261.791666666664</v>
      </c>
      <c r="BI50">
        <v>40</v>
      </c>
      <c r="BJ50">
        <v>0</v>
      </c>
      <c r="BK50">
        <v>8</v>
      </c>
      <c r="BL50">
        <v>8</v>
      </c>
      <c r="BM50">
        <v>8</v>
      </c>
      <c r="BN50">
        <v>8</v>
      </c>
      <c r="BO50">
        <v>8</v>
      </c>
      <c r="BP50">
        <v>0</v>
      </c>
      <c r="BQ50" t="str">
        <f>"7:00 AM"</f>
        <v>7:00 AM</v>
      </c>
      <c r="BR50" t="str">
        <f>"4:00 PM"</f>
        <v>4:00 PM</v>
      </c>
      <c r="BS50" t="s">
        <v>131</v>
      </c>
      <c r="BT50">
        <v>0</v>
      </c>
      <c r="BU50">
        <v>3</v>
      </c>
      <c r="BV50" t="s">
        <v>114</v>
      </c>
      <c r="BX50" s="2" t="s">
        <v>18787</v>
      </c>
      <c r="BY50" t="s">
        <v>18784</v>
      </c>
      <c r="BZ50" t="s">
        <v>132</v>
      </c>
      <c r="CA50" t="s">
        <v>18785</v>
      </c>
      <c r="CB50" t="s">
        <v>1776</v>
      </c>
      <c r="CC50" s="8" t="str">
        <f>"07726"</f>
        <v>07726</v>
      </c>
      <c r="CD50" t="s">
        <v>3117</v>
      </c>
      <c r="CE50" t="s">
        <v>1418</v>
      </c>
      <c r="CF50" s="12">
        <v>20.81</v>
      </c>
      <c r="CH50" s="12">
        <v>31.22</v>
      </c>
      <c r="CJ50" t="s">
        <v>135</v>
      </c>
      <c r="CK50" t="s">
        <v>132</v>
      </c>
      <c r="CL50" t="s">
        <v>18788</v>
      </c>
      <c r="CO50" t="s">
        <v>132</v>
      </c>
      <c r="CP50" t="s">
        <v>136</v>
      </c>
      <c r="CQ50" t="s">
        <v>136</v>
      </c>
      <c r="CR50" t="s">
        <v>136</v>
      </c>
      <c r="CS50" t="s">
        <v>114</v>
      </c>
      <c r="CT50" t="s">
        <v>136</v>
      </c>
      <c r="CU50" t="s">
        <v>136</v>
      </c>
      <c r="CV50" t="s">
        <v>18789</v>
      </c>
      <c r="CW50" s="10" t="str">
        <f>"+17329709300"</f>
        <v>+17329709300</v>
      </c>
      <c r="CX50" t="s">
        <v>132</v>
      </c>
      <c r="CY50" t="s">
        <v>18790</v>
      </c>
      <c r="CZ50" t="s">
        <v>137</v>
      </c>
      <c r="DA50" t="s">
        <v>114</v>
      </c>
      <c r="DB50" t="s">
        <v>114</v>
      </c>
      <c r="DC50" t="s">
        <v>136</v>
      </c>
      <c r="DD50" t="s">
        <v>114</v>
      </c>
    </row>
    <row r="51" spans="1:113" ht="15" customHeight="1" x14ac:dyDescent="0.25">
      <c r="A51" t="s">
        <v>5648</v>
      </c>
      <c r="B51" t="s">
        <v>152</v>
      </c>
      <c r="C51" s="1">
        <v>45262.37922534722</v>
      </c>
      <c r="D51" s="1">
        <v>45288</v>
      </c>
      <c r="E51" t="s">
        <v>132</v>
      </c>
      <c r="F51" t="s">
        <v>1595</v>
      </c>
      <c r="G51" t="str">
        <f>"37-3011.00"</f>
        <v>37-3011.00</v>
      </c>
      <c r="H51" t="s">
        <v>429</v>
      </c>
      <c r="I51">
        <v>10</v>
      </c>
      <c r="J51">
        <v>10</v>
      </c>
      <c r="K51" s="1">
        <v>45352</v>
      </c>
      <c r="L51" s="1">
        <v>45640</v>
      </c>
      <c r="M51" s="1">
        <v>45352</v>
      </c>
      <c r="N51" s="1">
        <v>45640</v>
      </c>
      <c r="O51" t="s">
        <v>116</v>
      </c>
      <c r="P51" t="s">
        <v>5649</v>
      </c>
      <c r="Q51" t="s">
        <v>5650</v>
      </c>
      <c r="R51" t="s">
        <v>5651</v>
      </c>
      <c r="S51" t="s">
        <v>132</v>
      </c>
      <c r="T51" t="s">
        <v>5652</v>
      </c>
      <c r="U51" t="s">
        <v>1776</v>
      </c>
      <c r="V51" s="8" t="str">
        <f>"07405"</f>
        <v>07405</v>
      </c>
      <c r="W51" t="s">
        <v>118</v>
      </c>
      <c r="Y51" s="10">
        <v>19736366777</v>
      </c>
      <c r="AA51">
        <v>561730</v>
      </c>
      <c r="AB51" t="s">
        <v>5653</v>
      </c>
      <c r="AC51" t="s">
        <v>2022</v>
      </c>
      <c r="AE51" t="s">
        <v>561</v>
      </c>
      <c r="AF51" t="s">
        <v>5651</v>
      </c>
      <c r="AG51" t="s">
        <v>132</v>
      </c>
      <c r="AH51" t="s">
        <v>5652</v>
      </c>
      <c r="AI51" t="s">
        <v>1776</v>
      </c>
      <c r="AJ51" s="8" t="str">
        <f>"07405"</f>
        <v>07405</v>
      </c>
      <c r="AK51" t="s">
        <v>118</v>
      </c>
      <c r="AM51" s="10">
        <v>19736366777</v>
      </c>
      <c r="AO51" t="s">
        <v>5654</v>
      </c>
      <c r="AP51" t="s">
        <v>248</v>
      </c>
      <c r="AQ51" t="s">
        <v>2166</v>
      </c>
      <c r="AR51" t="s">
        <v>2167</v>
      </c>
      <c r="AS51" t="s">
        <v>631</v>
      </c>
      <c r="AT51" t="s">
        <v>1584</v>
      </c>
      <c r="AU51" t="s">
        <v>132</v>
      </c>
      <c r="AV51" t="s">
        <v>1585</v>
      </c>
      <c r="AW51" t="s">
        <v>127</v>
      </c>
      <c r="AX51" s="8" t="str">
        <f>"77414"</f>
        <v>77414</v>
      </c>
      <c r="AY51" t="s">
        <v>118</v>
      </c>
      <c r="BA51" s="10">
        <v>19793187282</v>
      </c>
      <c r="BC51" t="s">
        <v>2168</v>
      </c>
      <c r="BD51" t="s">
        <v>1587</v>
      </c>
      <c r="BG51" t="s">
        <v>1776</v>
      </c>
      <c r="BH51" s="1">
        <v>45261.791666666664</v>
      </c>
      <c r="BI51">
        <v>40</v>
      </c>
      <c r="BJ51">
        <v>0</v>
      </c>
      <c r="BK51">
        <v>8</v>
      </c>
      <c r="BL51">
        <v>8</v>
      </c>
      <c r="BM51">
        <v>8</v>
      </c>
      <c r="BN51">
        <v>8</v>
      </c>
      <c r="BO51">
        <v>8</v>
      </c>
      <c r="BP51">
        <v>0</v>
      </c>
      <c r="BQ51" t="str">
        <f>"8:00 AM"</f>
        <v>8:00 AM</v>
      </c>
      <c r="BR51" t="str">
        <f>"4:30 PM"</f>
        <v>4:30 PM</v>
      </c>
      <c r="BS51" t="s">
        <v>131</v>
      </c>
      <c r="BT51">
        <v>0</v>
      </c>
      <c r="BU51">
        <v>0</v>
      </c>
      <c r="BV51" t="s">
        <v>114</v>
      </c>
      <c r="BX51" s="2" t="s">
        <v>5655</v>
      </c>
      <c r="BY51" t="s">
        <v>5651</v>
      </c>
      <c r="BZ51" t="s">
        <v>132</v>
      </c>
      <c r="CA51" t="s">
        <v>5652</v>
      </c>
      <c r="CB51" t="s">
        <v>1776</v>
      </c>
      <c r="CC51" s="8" t="str">
        <f>"07405"</f>
        <v>07405</v>
      </c>
      <c r="CD51" t="s">
        <v>3534</v>
      </c>
      <c r="CE51" t="s">
        <v>1418</v>
      </c>
      <c r="CF51" s="12">
        <v>20.81</v>
      </c>
      <c r="CH51" s="12">
        <v>31.22</v>
      </c>
      <c r="CJ51" t="s">
        <v>135</v>
      </c>
      <c r="CK51" t="s">
        <v>3408</v>
      </c>
      <c r="CL51" t="s">
        <v>5656</v>
      </c>
      <c r="CO51" t="s">
        <v>132</v>
      </c>
      <c r="CP51" t="s">
        <v>136</v>
      </c>
      <c r="CQ51" t="s">
        <v>136</v>
      </c>
      <c r="CR51" t="s">
        <v>136</v>
      </c>
      <c r="CS51" t="s">
        <v>136</v>
      </c>
      <c r="CT51" t="s">
        <v>136</v>
      </c>
      <c r="CU51" t="s">
        <v>114</v>
      </c>
      <c r="CV51" t="s">
        <v>2171</v>
      </c>
      <c r="CW51" s="10" t="str">
        <f>"+19736366777"</f>
        <v>+19736366777</v>
      </c>
      <c r="CX51" t="s">
        <v>5657</v>
      </c>
      <c r="CY51" t="s">
        <v>132</v>
      </c>
      <c r="CZ51" t="s">
        <v>137</v>
      </c>
      <c r="DA51" t="s">
        <v>114</v>
      </c>
      <c r="DB51" t="s">
        <v>114</v>
      </c>
      <c r="DC51" t="s">
        <v>136</v>
      </c>
      <c r="DD51" t="s">
        <v>114</v>
      </c>
    </row>
    <row r="52" spans="1:113" ht="15" customHeight="1" x14ac:dyDescent="0.25">
      <c r="A52" t="s">
        <v>2528</v>
      </c>
      <c r="B52" t="s">
        <v>152</v>
      </c>
      <c r="C52" s="1">
        <v>45262.363475231483</v>
      </c>
      <c r="D52" s="1">
        <v>45288</v>
      </c>
      <c r="E52" t="s">
        <v>132</v>
      </c>
      <c r="F52" t="s">
        <v>1595</v>
      </c>
      <c r="G52" t="str">
        <f>"37-3011.00"</f>
        <v>37-3011.00</v>
      </c>
      <c r="H52" t="s">
        <v>429</v>
      </c>
      <c r="I52">
        <v>16</v>
      </c>
      <c r="J52">
        <v>16</v>
      </c>
      <c r="K52" s="1">
        <v>45352</v>
      </c>
      <c r="L52" s="1">
        <v>45627</v>
      </c>
      <c r="M52" s="1">
        <v>45352</v>
      </c>
      <c r="N52" s="1">
        <v>45627</v>
      </c>
      <c r="O52" t="s">
        <v>238</v>
      </c>
      <c r="P52" t="s">
        <v>2529</v>
      </c>
      <c r="R52" t="s">
        <v>2530</v>
      </c>
      <c r="T52" t="s">
        <v>2531</v>
      </c>
      <c r="U52" t="s">
        <v>543</v>
      </c>
      <c r="V52" s="8" t="str">
        <f>"44023"</f>
        <v>44023</v>
      </c>
      <c r="W52" t="s">
        <v>118</v>
      </c>
      <c r="Y52" s="10">
        <v>14405435123</v>
      </c>
      <c r="AA52">
        <v>56173</v>
      </c>
      <c r="AB52" t="s">
        <v>160</v>
      </c>
      <c r="AC52" t="s">
        <v>708</v>
      </c>
      <c r="AE52" t="s">
        <v>1836</v>
      </c>
      <c r="AF52" t="s">
        <v>2530</v>
      </c>
      <c r="AH52" t="s">
        <v>2531</v>
      </c>
      <c r="AI52" t="s">
        <v>543</v>
      </c>
      <c r="AJ52" s="8" t="str">
        <f>"44023"</f>
        <v>44023</v>
      </c>
      <c r="AK52" t="s">
        <v>118</v>
      </c>
      <c r="AM52" s="10">
        <v>14405435123</v>
      </c>
      <c r="AO52" t="s">
        <v>132</v>
      </c>
      <c r="AP52" t="s">
        <v>248</v>
      </c>
      <c r="AQ52" t="s">
        <v>1873</v>
      </c>
      <c r="AR52" t="s">
        <v>1265</v>
      </c>
      <c r="AT52" t="s">
        <v>579</v>
      </c>
      <c r="AV52" t="s">
        <v>580</v>
      </c>
      <c r="AW52" t="s">
        <v>581</v>
      </c>
      <c r="AX52" s="8" t="str">
        <f>"22903"</f>
        <v>22903</v>
      </c>
      <c r="AY52" t="s">
        <v>118</v>
      </c>
      <c r="BA52" s="10">
        <v>14342634300</v>
      </c>
      <c r="BC52" t="s">
        <v>1874</v>
      </c>
      <c r="BD52" t="s">
        <v>583</v>
      </c>
      <c r="BG52" t="s">
        <v>543</v>
      </c>
      <c r="BH52" s="1">
        <v>45261.791666666664</v>
      </c>
      <c r="BI52">
        <v>40</v>
      </c>
      <c r="BJ52">
        <v>0</v>
      </c>
      <c r="BK52">
        <v>8</v>
      </c>
      <c r="BL52">
        <v>8</v>
      </c>
      <c r="BM52">
        <v>8</v>
      </c>
      <c r="BN52">
        <v>8</v>
      </c>
      <c r="BO52">
        <v>8</v>
      </c>
      <c r="BP52">
        <v>0</v>
      </c>
      <c r="BQ52" t="str">
        <f>"7:00 AM"</f>
        <v>7:00 AM</v>
      </c>
      <c r="BR52" t="str">
        <f>"3:30 PM"</f>
        <v>3:30 PM</v>
      </c>
      <c r="BS52" t="s">
        <v>131</v>
      </c>
      <c r="BT52">
        <v>0</v>
      </c>
      <c r="BU52">
        <v>0</v>
      </c>
      <c r="BV52" t="s">
        <v>114</v>
      </c>
      <c r="BX52" s="2" t="s">
        <v>2532</v>
      </c>
      <c r="BY52" t="s">
        <v>2530</v>
      </c>
      <c r="CA52" t="s">
        <v>2531</v>
      </c>
      <c r="CB52" t="s">
        <v>543</v>
      </c>
      <c r="CC52" s="8" t="str">
        <f>"44023"</f>
        <v>44023</v>
      </c>
      <c r="CD52" t="s">
        <v>2533</v>
      </c>
      <c r="CE52" t="s">
        <v>1839</v>
      </c>
      <c r="CF52" s="12">
        <v>17.23</v>
      </c>
      <c r="CG52" s="12">
        <v>17.23</v>
      </c>
      <c r="CH52" s="12">
        <v>25.85</v>
      </c>
      <c r="CI52" s="12">
        <v>25.85</v>
      </c>
      <c r="CJ52" t="s">
        <v>135</v>
      </c>
      <c r="CK52" t="s">
        <v>590</v>
      </c>
      <c r="CL52" t="s">
        <v>2534</v>
      </c>
      <c r="CO52" t="s">
        <v>132</v>
      </c>
      <c r="CP52" t="s">
        <v>136</v>
      </c>
      <c r="CQ52" t="s">
        <v>114</v>
      </c>
      <c r="CR52" t="s">
        <v>136</v>
      </c>
      <c r="CS52" t="s">
        <v>136</v>
      </c>
      <c r="CT52" t="s">
        <v>136</v>
      </c>
      <c r="CU52" t="s">
        <v>136</v>
      </c>
      <c r="CV52" t="s">
        <v>2136</v>
      </c>
      <c r="CW52" s="10" t="str">
        <f>"N/A"</f>
        <v>N/A</v>
      </c>
      <c r="CX52" t="s">
        <v>2535</v>
      </c>
      <c r="CY52" t="s">
        <v>2025</v>
      </c>
      <c r="CZ52" t="s">
        <v>137</v>
      </c>
      <c r="DA52" t="s">
        <v>114</v>
      </c>
      <c r="DB52" t="s">
        <v>136</v>
      </c>
      <c r="DC52" t="s">
        <v>136</v>
      </c>
      <c r="DD52" t="s">
        <v>114</v>
      </c>
      <c r="DE52" t="s">
        <v>1877</v>
      </c>
      <c r="DF52" t="s">
        <v>1069</v>
      </c>
      <c r="DH52" t="s">
        <v>583</v>
      </c>
      <c r="DI52" t="s">
        <v>1874</v>
      </c>
    </row>
    <row r="53" spans="1:113" ht="15" customHeight="1" x14ac:dyDescent="0.25">
      <c r="A53" t="s">
        <v>17906</v>
      </c>
      <c r="B53" t="s">
        <v>152</v>
      </c>
      <c r="C53" s="1">
        <v>45262.363060648146</v>
      </c>
      <c r="D53" s="1">
        <v>45288</v>
      </c>
      <c r="E53" t="s">
        <v>132</v>
      </c>
      <c r="F53" t="s">
        <v>1595</v>
      </c>
      <c r="G53" t="str">
        <f>"37-3011.00"</f>
        <v>37-3011.00</v>
      </c>
      <c r="H53" t="s">
        <v>429</v>
      </c>
      <c r="I53">
        <v>24</v>
      </c>
      <c r="J53">
        <v>24</v>
      </c>
      <c r="K53" s="1">
        <v>45352</v>
      </c>
      <c r="L53" s="1">
        <v>45626</v>
      </c>
      <c r="M53" s="1">
        <v>45352</v>
      </c>
      <c r="N53" s="1">
        <v>45626</v>
      </c>
      <c r="O53" t="s">
        <v>238</v>
      </c>
      <c r="P53" t="s">
        <v>17907</v>
      </c>
      <c r="Q53" t="s">
        <v>17908</v>
      </c>
      <c r="R53" t="s">
        <v>17909</v>
      </c>
      <c r="T53" t="s">
        <v>5557</v>
      </c>
      <c r="U53" t="s">
        <v>819</v>
      </c>
      <c r="V53" s="8" t="str">
        <f>"46202"</f>
        <v>46202</v>
      </c>
      <c r="W53" t="s">
        <v>118</v>
      </c>
      <c r="Y53" s="10">
        <v>13177970809</v>
      </c>
      <c r="AA53">
        <v>56173</v>
      </c>
      <c r="AB53" t="s">
        <v>17910</v>
      </c>
      <c r="AC53" t="s">
        <v>7904</v>
      </c>
      <c r="AE53" t="s">
        <v>629</v>
      </c>
      <c r="AF53" t="s">
        <v>17909</v>
      </c>
      <c r="AH53" t="s">
        <v>5557</v>
      </c>
      <c r="AI53" t="s">
        <v>819</v>
      </c>
      <c r="AJ53" s="8" t="str">
        <f>"46202"</f>
        <v>46202</v>
      </c>
      <c r="AK53" t="s">
        <v>118</v>
      </c>
      <c r="AM53" s="10">
        <v>13178507067</v>
      </c>
      <c r="AO53" t="s">
        <v>132</v>
      </c>
      <c r="AP53" t="s">
        <v>248</v>
      </c>
      <c r="AQ53" t="s">
        <v>1873</v>
      </c>
      <c r="AR53" t="s">
        <v>1265</v>
      </c>
      <c r="AT53" t="s">
        <v>579</v>
      </c>
      <c r="AV53" t="s">
        <v>580</v>
      </c>
      <c r="AW53" t="s">
        <v>581</v>
      </c>
      <c r="AX53" s="8" t="str">
        <f>"22903"</f>
        <v>22903</v>
      </c>
      <c r="AY53" t="s">
        <v>118</v>
      </c>
      <c r="BA53" s="10">
        <v>14342634300</v>
      </c>
      <c r="BC53" t="s">
        <v>2810</v>
      </c>
      <c r="BD53" t="s">
        <v>583</v>
      </c>
      <c r="BG53" t="s">
        <v>819</v>
      </c>
      <c r="BH53" s="1">
        <v>45261.791666666664</v>
      </c>
      <c r="BI53">
        <v>40</v>
      </c>
      <c r="BJ53">
        <v>0</v>
      </c>
      <c r="BK53">
        <v>8</v>
      </c>
      <c r="BL53">
        <v>8</v>
      </c>
      <c r="BM53">
        <v>8</v>
      </c>
      <c r="BN53">
        <v>8</v>
      </c>
      <c r="BO53">
        <v>8</v>
      </c>
      <c r="BP53">
        <v>0</v>
      </c>
      <c r="BQ53" t="str">
        <f>"7:00 AM"</f>
        <v>7:00 AM</v>
      </c>
      <c r="BR53" t="str">
        <f>"3:30 PM"</f>
        <v>3:30 PM</v>
      </c>
      <c r="BS53" t="s">
        <v>131</v>
      </c>
      <c r="BT53">
        <v>0</v>
      </c>
      <c r="BU53">
        <v>3</v>
      </c>
      <c r="BV53" t="s">
        <v>114</v>
      </c>
      <c r="BX53" s="2" t="s">
        <v>17911</v>
      </c>
      <c r="BY53" t="s">
        <v>17912</v>
      </c>
      <c r="CA53" t="s">
        <v>5557</v>
      </c>
      <c r="CB53" t="s">
        <v>819</v>
      </c>
      <c r="CC53" s="8" t="str">
        <f>"46202"</f>
        <v>46202</v>
      </c>
      <c r="CD53" t="s">
        <v>1257</v>
      </c>
      <c r="CE53" t="s">
        <v>2111</v>
      </c>
      <c r="CF53" s="12">
        <v>17.190000000000001</v>
      </c>
      <c r="CH53" s="12">
        <v>25.79</v>
      </c>
      <c r="CJ53" t="s">
        <v>135</v>
      </c>
      <c r="CK53" t="s">
        <v>590</v>
      </c>
      <c r="CL53" t="s">
        <v>17913</v>
      </c>
      <c r="CO53" t="s">
        <v>132</v>
      </c>
      <c r="CP53" t="s">
        <v>136</v>
      </c>
      <c r="CQ53" t="s">
        <v>114</v>
      </c>
      <c r="CR53" t="s">
        <v>136</v>
      </c>
      <c r="CS53" t="s">
        <v>114</v>
      </c>
      <c r="CT53" t="s">
        <v>136</v>
      </c>
      <c r="CU53" t="s">
        <v>136</v>
      </c>
      <c r="CV53" t="s">
        <v>17914</v>
      </c>
      <c r="CW53" s="10" t="str">
        <f>"N/A"</f>
        <v>N/A</v>
      </c>
      <c r="CX53" t="s">
        <v>17915</v>
      </c>
      <c r="CY53" t="s">
        <v>2680</v>
      </c>
      <c r="CZ53" t="s">
        <v>137</v>
      </c>
      <c r="DA53" t="s">
        <v>114</v>
      </c>
      <c r="DB53" t="s">
        <v>136</v>
      </c>
      <c r="DC53" t="s">
        <v>136</v>
      </c>
      <c r="DD53" t="s">
        <v>114</v>
      </c>
      <c r="DE53" t="s">
        <v>1877</v>
      </c>
      <c r="DF53" t="s">
        <v>1069</v>
      </c>
      <c r="DH53" t="s">
        <v>583</v>
      </c>
      <c r="DI53" t="s">
        <v>1874</v>
      </c>
    </row>
    <row r="54" spans="1:113" ht="15" customHeight="1" x14ac:dyDescent="0.25">
      <c r="A54" t="s">
        <v>19903</v>
      </c>
      <c r="B54" t="s">
        <v>152</v>
      </c>
      <c r="C54" s="1">
        <v>45262.360786342593</v>
      </c>
      <c r="D54" s="1">
        <v>45288</v>
      </c>
      <c r="E54" t="s">
        <v>132</v>
      </c>
      <c r="F54" t="s">
        <v>1595</v>
      </c>
      <c r="G54" t="str">
        <f>"37-3011.00"</f>
        <v>37-3011.00</v>
      </c>
      <c r="H54" t="s">
        <v>429</v>
      </c>
      <c r="I54">
        <v>150</v>
      </c>
      <c r="J54">
        <v>150</v>
      </c>
      <c r="K54" s="1">
        <v>45352</v>
      </c>
      <c r="L54" s="1">
        <v>45626</v>
      </c>
      <c r="M54" s="1">
        <v>45352</v>
      </c>
      <c r="N54" s="1">
        <v>45626</v>
      </c>
      <c r="O54" t="s">
        <v>116</v>
      </c>
      <c r="P54" t="s">
        <v>19904</v>
      </c>
      <c r="R54" t="s">
        <v>19905</v>
      </c>
      <c r="S54" t="s">
        <v>132</v>
      </c>
      <c r="T54" t="s">
        <v>16471</v>
      </c>
      <c r="U54" t="s">
        <v>434</v>
      </c>
      <c r="V54" s="8" t="str">
        <f>"19462"</f>
        <v>19462</v>
      </c>
      <c r="W54" t="s">
        <v>118</v>
      </c>
      <c r="X54" t="s">
        <v>132</v>
      </c>
      <c r="Y54" s="10">
        <v>16108285488</v>
      </c>
      <c r="AA54">
        <v>561730</v>
      </c>
      <c r="AB54" t="s">
        <v>4998</v>
      </c>
      <c r="AC54" t="s">
        <v>4982</v>
      </c>
      <c r="AD54" t="s">
        <v>628</v>
      </c>
      <c r="AE54" t="s">
        <v>629</v>
      </c>
      <c r="AF54" t="s">
        <v>19905</v>
      </c>
      <c r="AG54" t="s">
        <v>132</v>
      </c>
      <c r="AH54" t="s">
        <v>16471</v>
      </c>
      <c r="AI54" t="s">
        <v>434</v>
      </c>
      <c r="AJ54" s="8" t="str">
        <f>"19462"</f>
        <v>19462</v>
      </c>
      <c r="AK54" t="s">
        <v>118</v>
      </c>
      <c r="AM54" s="10">
        <v>16108285488</v>
      </c>
      <c r="AO54" t="s">
        <v>4999</v>
      </c>
      <c r="AP54" t="s">
        <v>248</v>
      </c>
      <c r="AQ54" t="s">
        <v>5000</v>
      </c>
      <c r="AR54" t="s">
        <v>4889</v>
      </c>
      <c r="AS54" t="s">
        <v>2998</v>
      </c>
      <c r="AT54" t="s">
        <v>1584</v>
      </c>
      <c r="AU54" t="s">
        <v>132</v>
      </c>
      <c r="AV54" t="s">
        <v>1585</v>
      </c>
      <c r="AW54" t="s">
        <v>127</v>
      </c>
      <c r="AX54" s="8" t="str">
        <f>"77414"</f>
        <v>77414</v>
      </c>
      <c r="AY54" t="s">
        <v>118</v>
      </c>
      <c r="BA54" s="10">
        <v>19793187277</v>
      </c>
      <c r="BC54" t="s">
        <v>5001</v>
      </c>
      <c r="BD54" t="s">
        <v>1587</v>
      </c>
      <c r="BG54" t="s">
        <v>434</v>
      </c>
      <c r="BH54" s="1">
        <v>45261.791666666664</v>
      </c>
      <c r="BI54">
        <v>40</v>
      </c>
      <c r="BJ54">
        <v>0</v>
      </c>
      <c r="BK54">
        <v>8</v>
      </c>
      <c r="BL54">
        <v>8</v>
      </c>
      <c r="BM54">
        <v>8</v>
      </c>
      <c r="BN54">
        <v>8</v>
      </c>
      <c r="BO54">
        <v>8</v>
      </c>
      <c r="BP54">
        <v>0</v>
      </c>
      <c r="BQ54" t="str">
        <f>"7:00 AM"</f>
        <v>7:00 AM</v>
      </c>
      <c r="BR54" t="str">
        <f>"4:00 PM"</f>
        <v>4:00 PM</v>
      </c>
      <c r="BS54" t="s">
        <v>131</v>
      </c>
      <c r="BT54">
        <v>0</v>
      </c>
      <c r="BU54">
        <v>0</v>
      </c>
      <c r="BV54" t="s">
        <v>114</v>
      </c>
      <c r="BX54" s="2" t="s">
        <v>19906</v>
      </c>
      <c r="BY54" t="s">
        <v>19907</v>
      </c>
      <c r="BZ54" t="s">
        <v>132</v>
      </c>
      <c r="CA54" t="s">
        <v>16471</v>
      </c>
      <c r="CB54" t="s">
        <v>434</v>
      </c>
      <c r="CC54" s="8" t="str">
        <f>"19462"</f>
        <v>19462</v>
      </c>
      <c r="CD54" t="s">
        <v>878</v>
      </c>
      <c r="CE54" t="s">
        <v>443</v>
      </c>
      <c r="CF54" s="12">
        <v>18.71</v>
      </c>
      <c r="CG54" s="12">
        <v>21</v>
      </c>
      <c r="CH54" s="12">
        <v>28.07</v>
      </c>
      <c r="CI54" s="12">
        <v>31.5</v>
      </c>
      <c r="CJ54" t="s">
        <v>135</v>
      </c>
      <c r="CK54" t="s">
        <v>5004</v>
      </c>
      <c r="CL54" t="s">
        <v>19908</v>
      </c>
      <c r="CO54" t="s">
        <v>132</v>
      </c>
      <c r="CP54" t="s">
        <v>136</v>
      </c>
      <c r="CQ54" t="s">
        <v>136</v>
      </c>
      <c r="CR54" t="s">
        <v>136</v>
      </c>
      <c r="CS54" t="s">
        <v>136</v>
      </c>
      <c r="CT54" t="s">
        <v>136</v>
      </c>
      <c r="CU54" t="s">
        <v>114</v>
      </c>
      <c r="CV54" t="s">
        <v>3057</v>
      </c>
      <c r="CW54" s="10" t="str">
        <f>"+16108285488"</f>
        <v>+16108285488</v>
      </c>
      <c r="CX54" t="s">
        <v>4999</v>
      </c>
      <c r="CY54" t="s">
        <v>132</v>
      </c>
      <c r="CZ54" t="s">
        <v>137</v>
      </c>
      <c r="DA54" t="s">
        <v>114</v>
      </c>
      <c r="DB54" t="s">
        <v>114</v>
      </c>
      <c r="DC54" t="s">
        <v>136</v>
      </c>
      <c r="DD54" t="s">
        <v>114</v>
      </c>
    </row>
    <row r="55" spans="1:113" ht="15" customHeight="1" x14ac:dyDescent="0.25">
      <c r="A55" t="s">
        <v>14722</v>
      </c>
      <c r="B55" t="s">
        <v>152</v>
      </c>
      <c r="C55" s="1">
        <v>45262.349067824071</v>
      </c>
      <c r="D55" s="1">
        <v>45288</v>
      </c>
      <c r="E55" t="s">
        <v>132</v>
      </c>
      <c r="F55" t="s">
        <v>236</v>
      </c>
      <c r="G55" t="str">
        <f>"39-3091.00"</f>
        <v>39-3091.00</v>
      </c>
      <c r="H55" t="s">
        <v>237</v>
      </c>
      <c r="I55">
        <v>26</v>
      </c>
      <c r="J55">
        <v>26</v>
      </c>
      <c r="K55" s="1">
        <v>45352</v>
      </c>
      <c r="L55" s="1">
        <v>45596</v>
      </c>
      <c r="M55" s="1">
        <v>45352</v>
      </c>
      <c r="N55" s="1">
        <v>45596</v>
      </c>
      <c r="O55" t="s">
        <v>238</v>
      </c>
      <c r="P55" t="s">
        <v>14723</v>
      </c>
      <c r="Q55" t="s">
        <v>132</v>
      </c>
      <c r="R55" t="s">
        <v>14724</v>
      </c>
      <c r="S55" t="s">
        <v>14725</v>
      </c>
      <c r="T55" t="s">
        <v>14726</v>
      </c>
      <c r="U55" t="s">
        <v>1691</v>
      </c>
      <c r="V55" s="8" t="str">
        <f>"29555"</f>
        <v>29555</v>
      </c>
      <c r="W55" t="s">
        <v>118</v>
      </c>
      <c r="X55" t="s">
        <v>132</v>
      </c>
      <c r="Y55" s="10">
        <v>18439923277</v>
      </c>
      <c r="Z55" s="3" t="s">
        <v>256</v>
      </c>
      <c r="AA55">
        <v>71399</v>
      </c>
      <c r="AB55" t="s">
        <v>1103</v>
      </c>
      <c r="AC55" t="s">
        <v>3124</v>
      </c>
      <c r="AD55" t="s">
        <v>132</v>
      </c>
      <c r="AE55" t="s">
        <v>2372</v>
      </c>
      <c r="AF55" t="s">
        <v>14724</v>
      </c>
      <c r="AG55" t="s">
        <v>14725</v>
      </c>
      <c r="AH55" t="s">
        <v>14726</v>
      </c>
      <c r="AI55" t="s">
        <v>1691</v>
      </c>
      <c r="AJ55" s="8" t="str">
        <f>"29555"</f>
        <v>29555</v>
      </c>
      <c r="AK55" t="s">
        <v>118</v>
      </c>
      <c r="AM55" s="10">
        <v>18439923277</v>
      </c>
      <c r="AN55" s="3" t="s">
        <v>256</v>
      </c>
      <c r="AO55" t="s">
        <v>14727</v>
      </c>
      <c r="AP55" t="s">
        <v>248</v>
      </c>
      <c r="AQ55" t="s">
        <v>249</v>
      </c>
      <c r="AR55" t="s">
        <v>250</v>
      </c>
      <c r="AS55" t="s">
        <v>251</v>
      </c>
      <c r="AT55" t="s">
        <v>252</v>
      </c>
      <c r="AU55" t="s">
        <v>253</v>
      </c>
      <c r="AV55" t="s">
        <v>254</v>
      </c>
      <c r="AW55" t="s">
        <v>127</v>
      </c>
      <c r="AX55" s="8" t="str">
        <f>"78550"</f>
        <v>78550</v>
      </c>
      <c r="AY55" t="s">
        <v>118</v>
      </c>
      <c r="AZ55" t="s">
        <v>255</v>
      </c>
      <c r="BA55" s="10">
        <v>19564408720</v>
      </c>
      <c r="BB55" s="3" t="s">
        <v>256</v>
      </c>
      <c r="BC55" t="s">
        <v>257</v>
      </c>
      <c r="BD55" t="s">
        <v>258</v>
      </c>
      <c r="BG55" t="s">
        <v>1691</v>
      </c>
      <c r="BH55" s="1">
        <v>45261.791666666664</v>
      </c>
      <c r="BI55">
        <v>40</v>
      </c>
      <c r="BJ55">
        <v>8</v>
      </c>
      <c r="BK55">
        <v>0</v>
      </c>
      <c r="BL55">
        <v>0</v>
      </c>
      <c r="BM55">
        <v>8</v>
      </c>
      <c r="BN55">
        <v>8</v>
      </c>
      <c r="BO55">
        <v>8</v>
      </c>
      <c r="BP55">
        <v>8</v>
      </c>
      <c r="BQ55" t="str">
        <f>"1:00 PM"</f>
        <v>1:00 PM</v>
      </c>
      <c r="BR55" t="str">
        <f>"10:00 PM"</f>
        <v>10:00 PM</v>
      </c>
      <c r="BS55" t="s">
        <v>131</v>
      </c>
      <c r="BT55">
        <v>0</v>
      </c>
      <c r="BU55">
        <v>0</v>
      </c>
      <c r="BV55" t="s">
        <v>114</v>
      </c>
      <c r="BX55" s="2" t="s">
        <v>259</v>
      </c>
      <c r="BY55" t="s">
        <v>14728</v>
      </c>
      <c r="CA55" t="s">
        <v>14729</v>
      </c>
      <c r="CB55" t="s">
        <v>1691</v>
      </c>
      <c r="CC55" s="8" t="str">
        <f>"29546"</f>
        <v>29546</v>
      </c>
      <c r="CD55" t="s">
        <v>1257</v>
      </c>
      <c r="CE55" t="s">
        <v>4991</v>
      </c>
      <c r="CF55" s="12">
        <v>10.34</v>
      </c>
      <c r="CG55" s="12">
        <v>13.09</v>
      </c>
      <c r="CJ55" t="s">
        <v>135</v>
      </c>
      <c r="CK55" t="s">
        <v>264</v>
      </c>
      <c r="CL55" t="s">
        <v>14730</v>
      </c>
      <c r="CO55" t="s">
        <v>132</v>
      </c>
      <c r="CP55" t="s">
        <v>136</v>
      </c>
      <c r="CQ55" t="s">
        <v>136</v>
      </c>
      <c r="CR55" t="s">
        <v>114</v>
      </c>
      <c r="CS55" t="s">
        <v>136</v>
      </c>
      <c r="CT55" t="s">
        <v>136</v>
      </c>
      <c r="CU55" t="s">
        <v>136</v>
      </c>
      <c r="CV55" t="s">
        <v>2258</v>
      </c>
      <c r="CW55" s="10" t="str">
        <f>"+18439923277"</f>
        <v>+18439923277</v>
      </c>
      <c r="CX55" t="s">
        <v>14727</v>
      </c>
      <c r="CY55" t="s">
        <v>132</v>
      </c>
      <c r="CZ55" t="s">
        <v>137</v>
      </c>
      <c r="DA55" t="s">
        <v>114</v>
      </c>
      <c r="DB55" t="s">
        <v>136</v>
      </c>
      <c r="DC55" t="s">
        <v>136</v>
      </c>
      <c r="DD55" t="s">
        <v>114</v>
      </c>
    </row>
    <row r="56" spans="1:113" ht="15" customHeight="1" x14ac:dyDescent="0.25">
      <c r="A56" t="s">
        <v>18821</v>
      </c>
      <c r="B56" t="s">
        <v>152</v>
      </c>
      <c r="C56" s="1">
        <v>45262.341426736108</v>
      </c>
      <c r="D56" s="1">
        <v>45288</v>
      </c>
      <c r="E56" t="s">
        <v>132</v>
      </c>
      <c r="F56" t="s">
        <v>18822</v>
      </c>
      <c r="G56" t="str">
        <f>"47-2051.00"</f>
        <v>47-2051.00</v>
      </c>
      <c r="H56" t="s">
        <v>1291</v>
      </c>
      <c r="I56">
        <v>10</v>
      </c>
      <c r="J56">
        <v>10</v>
      </c>
      <c r="K56" s="1">
        <v>45352</v>
      </c>
      <c r="L56" s="1">
        <v>45641</v>
      </c>
      <c r="M56" s="1">
        <v>45352</v>
      </c>
      <c r="N56" s="1">
        <v>45641</v>
      </c>
      <c r="O56" t="s">
        <v>238</v>
      </c>
      <c r="P56" t="s">
        <v>5527</v>
      </c>
      <c r="R56" t="s">
        <v>5528</v>
      </c>
      <c r="T56" t="s">
        <v>5048</v>
      </c>
      <c r="U56" t="s">
        <v>434</v>
      </c>
      <c r="V56" s="8" t="str">
        <f>"15108"</f>
        <v>15108</v>
      </c>
      <c r="W56" t="s">
        <v>118</v>
      </c>
      <c r="Y56" s="10">
        <v>14124743059</v>
      </c>
      <c r="AA56">
        <v>56173</v>
      </c>
      <c r="AB56" t="s">
        <v>5529</v>
      </c>
      <c r="AC56" t="s">
        <v>218</v>
      </c>
      <c r="AD56" t="s">
        <v>2057</v>
      </c>
      <c r="AE56" t="s">
        <v>5530</v>
      </c>
      <c r="AF56" t="s">
        <v>5528</v>
      </c>
      <c r="AH56" t="s">
        <v>5048</v>
      </c>
      <c r="AI56" t="s">
        <v>434</v>
      </c>
      <c r="AJ56" s="8" t="str">
        <f>"15108"</f>
        <v>15108</v>
      </c>
      <c r="AK56" t="s">
        <v>118</v>
      </c>
      <c r="AM56" s="10">
        <v>14124743059</v>
      </c>
      <c r="AO56" t="s">
        <v>5531</v>
      </c>
      <c r="AP56" t="s">
        <v>248</v>
      </c>
      <c r="AQ56" t="s">
        <v>1860</v>
      </c>
      <c r="AR56" t="s">
        <v>1861</v>
      </c>
      <c r="AS56" t="s">
        <v>1862</v>
      </c>
      <c r="AT56" t="s">
        <v>1863</v>
      </c>
      <c r="AU56" t="s">
        <v>1864</v>
      </c>
      <c r="AV56" t="s">
        <v>1865</v>
      </c>
      <c r="AW56" t="s">
        <v>581</v>
      </c>
      <c r="AX56" s="8" t="str">
        <f>"24521"</f>
        <v>24521</v>
      </c>
      <c r="AY56" t="s">
        <v>118</v>
      </c>
      <c r="BA56" s="10">
        <v>14349460035</v>
      </c>
      <c r="BB56">
        <v>11</v>
      </c>
      <c r="BC56" t="s">
        <v>1866</v>
      </c>
      <c r="BD56" t="s">
        <v>1867</v>
      </c>
      <c r="BG56" t="s">
        <v>434</v>
      </c>
      <c r="BH56" s="1">
        <v>45261.791666666664</v>
      </c>
      <c r="BI56">
        <v>45</v>
      </c>
      <c r="BJ56">
        <v>0</v>
      </c>
      <c r="BK56">
        <v>8</v>
      </c>
      <c r="BL56">
        <v>8</v>
      </c>
      <c r="BM56">
        <v>8</v>
      </c>
      <c r="BN56">
        <v>8</v>
      </c>
      <c r="BO56">
        <v>8</v>
      </c>
      <c r="BP56">
        <v>5</v>
      </c>
      <c r="BQ56" t="str">
        <f>"8:00 AM"</f>
        <v>8:00 AM</v>
      </c>
      <c r="BR56" t="str">
        <f>"4:30 PM"</f>
        <v>4:30 PM</v>
      </c>
      <c r="BS56" t="s">
        <v>131</v>
      </c>
      <c r="BT56">
        <v>0</v>
      </c>
      <c r="BU56">
        <v>0</v>
      </c>
      <c r="BV56" t="s">
        <v>114</v>
      </c>
      <c r="BX56" s="2" t="s">
        <v>11163</v>
      </c>
      <c r="BY56" t="s">
        <v>5528</v>
      </c>
      <c r="CA56" t="s">
        <v>5048</v>
      </c>
      <c r="CB56" t="s">
        <v>434</v>
      </c>
      <c r="CC56" s="8" t="str">
        <f>"15108"</f>
        <v>15108</v>
      </c>
      <c r="CD56" t="s">
        <v>1886</v>
      </c>
      <c r="CE56" t="s">
        <v>1887</v>
      </c>
      <c r="CF56" s="12">
        <v>24.73</v>
      </c>
      <c r="CG56" s="12">
        <v>24.73</v>
      </c>
      <c r="CH56" s="12">
        <v>37.1</v>
      </c>
      <c r="CI56" s="12">
        <v>37.1</v>
      </c>
      <c r="CJ56" t="s">
        <v>135</v>
      </c>
      <c r="CK56" t="s">
        <v>9851</v>
      </c>
      <c r="CL56" t="s">
        <v>18823</v>
      </c>
      <c r="CO56" t="s">
        <v>132</v>
      </c>
      <c r="CP56" t="s">
        <v>136</v>
      </c>
      <c r="CQ56" t="s">
        <v>136</v>
      </c>
      <c r="CR56" t="s">
        <v>136</v>
      </c>
      <c r="CS56" t="s">
        <v>114</v>
      </c>
      <c r="CT56" t="s">
        <v>136</v>
      </c>
      <c r="CU56" t="s">
        <v>136</v>
      </c>
      <c r="CV56" s="2" t="s">
        <v>18824</v>
      </c>
      <c r="CW56" s="10" t="str">
        <f>"+14124743059"</f>
        <v>+14124743059</v>
      </c>
      <c r="CX56" t="s">
        <v>5531</v>
      </c>
      <c r="CY56" t="s">
        <v>132</v>
      </c>
      <c r="CZ56" t="s">
        <v>137</v>
      </c>
      <c r="DA56" t="s">
        <v>114</v>
      </c>
      <c r="DB56" t="s">
        <v>136</v>
      </c>
      <c r="DC56" t="s">
        <v>136</v>
      </c>
      <c r="DD56" t="s">
        <v>114</v>
      </c>
    </row>
    <row r="57" spans="1:113" ht="15" customHeight="1" x14ac:dyDescent="0.25">
      <c r="A57" t="s">
        <v>4994</v>
      </c>
      <c r="B57" t="s">
        <v>152</v>
      </c>
      <c r="C57" s="1">
        <v>45262.328178124997</v>
      </c>
      <c r="D57" s="1">
        <v>45288</v>
      </c>
      <c r="E57" t="s">
        <v>132</v>
      </c>
      <c r="F57" t="s">
        <v>1595</v>
      </c>
      <c r="G57" t="str">
        <f>"37-3011.00"</f>
        <v>37-3011.00</v>
      </c>
      <c r="H57" t="s">
        <v>429</v>
      </c>
      <c r="I57">
        <v>30</v>
      </c>
      <c r="J57">
        <v>30</v>
      </c>
      <c r="K57" s="1">
        <v>45352</v>
      </c>
      <c r="L57" s="1">
        <v>45626</v>
      </c>
      <c r="M57" s="1">
        <v>45352</v>
      </c>
      <c r="N57" s="1">
        <v>45626</v>
      </c>
      <c r="O57" t="s">
        <v>116</v>
      </c>
      <c r="P57" t="s">
        <v>4995</v>
      </c>
      <c r="R57" t="s">
        <v>4996</v>
      </c>
      <c r="S57" t="s">
        <v>132</v>
      </c>
      <c r="T57" t="s">
        <v>4997</v>
      </c>
      <c r="U57" t="s">
        <v>1776</v>
      </c>
      <c r="V57" s="8" t="str">
        <f>"08525"</f>
        <v>08525</v>
      </c>
      <c r="W57" t="s">
        <v>118</v>
      </c>
      <c r="X57" t="s">
        <v>132</v>
      </c>
      <c r="Y57" s="10">
        <v>16094660666</v>
      </c>
      <c r="AA57">
        <v>561730</v>
      </c>
      <c r="AB57" t="s">
        <v>4998</v>
      </c>
      <c r="AC57" t="s">
        <v>4982</v>
      </c>
      <c r="AD57" t="s">
        <v>628</v>
      </c>
      <c r="AE57" t="s">
        <v>629</v>
      </c>
      <c r="AF57" t="s">
        <v>4996</v>
      </c>
      <c r="AG57" t="s">
        <v>132</v>
      </c>
      <c r="AH57" t="s">
        <v>4997</v>
      </c>
      <c r="AI57" t="s">
        <v>1776</v>
      </c>
      <c r="AJ57" s="8" t="str">
        <f>"08525"</f>
        <v>08525</v>
      </c>
      <c r="AK57" t="s">
        <v>118</v>
      </c>
      <c r="AM57" s="10">
        <v>16094660666</v>
      </c>
      <c r="AO57" t="s">
        <v>4999</v>
      </c>
      <c r="AP57" t="s">
        <v>248</v>
      </c>
      <c r="AQ57" t="s">
        <v>5000</v>
      </c>
      <c r="AR57" t="s">
        <v>4889</v>
      </c>
      <c r="AS57" t="s">
        <v>2998</v>
      </c>
      <c r="AT57" t="s">
        <v>1584</v>
      </c>
      <c r="AU57" t="s">
        <v>132</v>
      </c>
      <c r="AV57" t="s">
        <v>1585</v>
      </c>
      <c r="AW57" t="s">
        <v>127</v>
      </c>
      <c r="AX57" s="8" t="str">
        <f>"77414"</f>
        <v>77414</v>
      </c>
      <c r="AY57" t="s">
        <v>118</v>
      </c>
      <c r="BA57" s="10">
        <v>19793187277</v>
      </c>
      <c r="BC57" t="s">
        <v>5001</v>
      </c>
      <c r="BD57" t="s">
        <v>1587</v>
      </c>
      <c r="BG57" t="s">
        <v>1776</v>
      </c>
      <c r="BH57" s="1">
        <v>45261.791666666664</v>
      </c>
      <c r="BI57">
        <v>40</v>
      </c>
      <c r="BJ57">
        <v>0</v>
      </c>
      <c r="BK57">
        <v>8</v>
      </c>
      <c r="BL57">
        <v>8</v>
      </c>
      <c r="BM57">
        <v>8</v>
      </c>
      <c r="BN57">
        <v>8</v>
      </c>
      <c r="BO57">
        <v>8</v>
      </c>
      <c r="BP57">
        <v>0</v>
      </c>
      <c r="BQ57" t="str">
        <f>"7:00 AM"</f>
        <v>7:00 AM</v>
      </c>
      <c r="BR57" t="str">
        <f>"4:00 PM"</f>
        <v>4:00 PM</v>
      </c>
      <c r="BS57" t="s">
        <v>131</v>
      </c>
      <c r="BT57">
        <v>0</v>
      </c>
      <c r="BU57">
        <v>0</v>
      </c>
      <c r="BV57" t="s">
        <v>114</v>
      </c>
      <c r="BX57" s="2" t="s">
        <v>5002</v>
      </c>
      <c r="BY57" t="s">
        <v>4996</v>
      </c>
      <c r="BZ57" t="s">
        <v>132</v>
      </c>
      <c r="CA57" t="s">
        <v>4997</v>
      </c>
      <c r="CB57" t="s">
        <v>1776</v>
      </c>
      <c r="CC57" s="8" t="str">
        <f>"08525"</f>
        <v>08525</v>
      </c>
      <c r="CD57" t="s">
        <v>5003</v>
      </c>
      <c r="CE57" t="s">
        <v>1418</v>
      </c>
      <c r="CF57" s="12">
        <v>20.81</v>
      </c>
      <c r="CG57" s="12">
        <v>21</v>
      </c>
      <c r="CH57" s="12">
        <v>31.22</v>
      </c>
      <c r="CI57" s="12">
        <v>31.5</v>
      </c>
      <c r="CJ57" t="s">
        <v>135</v>
      </c>
      <c r="CK57" t="s">
        <v>5004</v>
      </c>
      <c r="CL57" t="s">
        <v>5005</v>
      </c>
      <c r="CO57" t="s">
        <v>132</v>
      </c>
      <c r="CP57" t="s">
        <v>136</v>
      </c>
      <c r="CQ57" t="s">
        <v>136</v>
      </c>
      <c r="CR57" t="s">
        <v>136</v>
      </c>
      <c r="CS57" t="s">
        <v>136</v>
      </c>
      <c r="CT57" t="s">
        <v>136</v>
      </c>
      <c r="CU57" t="s">
        <v>114</v>
      </c>
      <c r="CV57" t="s">
        <v>3057</v>
      </c>
      <c r="CW57" s="10" t="str">
        <f>"+16094660666"</f>
        <v>+16094660666</v>
      </c>
      <c r="CX57" t="s">
        <v>4999</v>
      </c>
      <c r="CY57" t="s">
        <v>132</v>
      </c>
      <c r="CZ57" t="s">
        <v>137</v>
      </c>
      <c r="DA57" t="s">
        <v>114</v>
      </c>
      <c r="DB57" t="s">
        <v>114</v>
      </c>
      <c r="DC57" t="s">
        <v>136</v>
      </c>
      <c r="DD57" t="s">
        <v>114</v>
      </c>
    </row>
    <row r="58" spans="1:113" ht="15" customHeight="1" x14ac:dyDescent="0.25">
      <c r="A58" t="s">
        <v>21100</v>
      </c>
      <c r="B58" t="s">
        <v>152</v>
      </c>
      <c r="C58" s="1">
        <v>45262.324660995371</v>
      </c>
      <c r="D58" s="1">
        <v>45288</v>
      </c>
      <c r="E58" t="s">
        <v>132</v>
      </c>
      <c r="F58" t="s">
        <v>1595</v>
      </c>
      <c r="G58" t="str">
        <f>"37-3011.00"</f>
        <v>37-3011.00</v>
      </c>
      <c r="H58" t="s">
        <v>429</v>
      </c>
      <c r="I58">
        <v>8</v>
      </c>
      <c r="J58">
        <v>8</v>
      </c>
      <c r="K58" s="1">
        <v>45352</v>
      </c>
      <c r="L58" s="1">
        <v>45626</v>
      </c>
      <c r="M58" s="1">
        <v>45352</v>
      </c>
      <c r="N58" s="1">
        <v>45626</v>
      </c>
      <c r="O58" t="s">
        <v>116</v>
      </c>
      <c r="P58" t="s">
        <v>21101</v>
      </c>
      <c r="R58" t="s">
        <v>21102</v>
      </c>
      <c r="S58" t="s">
        <v>132</v>
      </c>
      <c r="T58" t="s">
        <v>3575</v>
      </c>
      <c r="U58" t="s">
        <v>2608</v>
      </c>
      <c r="V58" s="8" t="str">
        <f>"73099"</f>
        <v>73099</v>
      </c>
      <c r="W58" t="s">
        <v>118</v>
      </c>
      <c r="X58" t="s">
        <v>132</v>
      </c>
      <c r="Y58" s="10">
        <v>14058224888</v>
      </c>
      <c r="AA58">
        <v>561730</v>
      </c>
      <c r="AB58" t="s">
        <v>2186</v>
      </c>
      <c r="AC58" t="s">
        <v>9791</v>
      </c>
      <c r="AD58" t="s">
        <v>132</v>
      </c>
      <c r="AE58" t="s">
        <v>629</v>
      </c>
      <c r="AF58" t="s">
        <v>21103</v>
      </c>
      <c r="AG58" t="s">
        <v>132</v>
      </c>
      <c r="AH58" t="s">
        <v>3575</v>
      </c>
      <c r="AI58" t="s">
        <v>2608</v>
      </c>
      <c r="AJ58" s="8" t="str">
        <f>"73099"</f>
        <v>73099</v>
      </c>
      <c r="AK58" t="s">
        <v>118</v>
      </c>
      <c r="AM58" s="10">
        <v>14058224888</v>
      </c>
      <c r="AO58" t="s">
        <v>21104</v>
      </c>
      <c r="AP58" t="s">
        <v>248</v>
      </c>
      <c r="AQ58" t="s">
        <v>5000</v>
      </c>
      <c r="AR58" t="s">
        <v>4889</v>
      </c>
      <c r="AS58" t="s">
        <v>2998</v>
      </c>
      <c r="AT58" t="s">
        <v>1584</v>
      </c>
      <c r="AU58" t="s">
        <v>132</v>
      </c>
      <c r="AV58" t="s">
        <v>1585</v>
      </c>
      <c r="AW58" t="s">
        <v>127</v>
      </c>
      <c r="AX58" s="8" t="str">
        <f>"77414"</f>
        <v>77414</v>
      </c>
      <c r="AY58" t="s">
        <v>118</v>
      </c>
      <c r="BA58" s="10">
        <v>19793187277</v>
      </c>
      <c r="BC58" t="s">
        <v>5001</v>
      </c>
      <c r="BD58" t="s">
        <v>1587</v>
      </c>
      <c r="BG58" t="s">
        <v>2608</v>
      </c>
      <c r="BH58" s="1">
        <v>45261.791666666664</v>
      </c>
      <c r="BI58">
        <v>40</v>
      </c>
      <c r="BJ58">
        <v>0</v>
      </c>
      <c r="BK58">
        <v>8</v>
      </c>
      <c r="BL58">
        <v>8</v>
      </c>
      <c r="BM58">
        <v>8</v>
      </c>
      <c r="BN58">
        <v>8</v>
      </c>
      <c r="BO58">
        <v>8</v>
      </c>
      <c r="BP58">
        <v>0</v>
      </c>
      <c r="BQ58" t="str">
        <f>"7:00 AM"</f>
        <v>7:00 AM</v>
      </c>
      <c r="BR58" t="str">
        <f>"4:00 PM"</f>
        <v>4:00 PM</v>
      </c>
      <c r="BS58" t="s">
        <v>131</v>
      </c>
      <c r="BT58">
        <v>0</v>
      </c>
      <c r="BU58">
        <v>0</v>
      </c>
      <c r="BV58" t="s">
        <v>114</v>
      </c>
      <c r="BX58" s="2" t="s">
        <v>21105</v>
      </c>
      <c r="BY58" t="s">
        <v>21102</v>
      </c>
      <c r="BZ58" t="s">
        <v>132</v>
      </c>
      <c r="CA58" t="s">
        <v>3575</v>
      </c>
      <c r="CB58" t="s">
        <v>2608</v>
      </c>
      <c r="CC58" s="8" t="str">
        <f>"73099"</f>
        <v>73099</v>
      </c>
      <c r="CD58" t="s">
        <v>14716</v>
      </c>
      <c r="CE58" t="s">
        <v>3577</v>
      </c>
      <c r="CF58" s="12">
        <v>16.149999999999999</v>
      </c>
      <c r="CH58" s="12">
        <v>24.23</v>
      </c>
      <c r="CJ58" t="s">
        <v>135</v>
      </c>
      <c r="CK58" t="s">
        <v>3584</v>
      </c>
      <c r="CL58" t="s">
        <v>21106</v>
      </c>
      <c r="CO58" t="s">
        <v>132</v>
      </c>
      <c r="CP58" t="s">
        <v>136</v>
      </c>
      <c r="CQ58" t="s">
        <v>136</v>
      </c>
      <c r="CR58" t="s">
        <v>136</v>
      </c>
      <c r="CS58" t="s">
        <v>136</v>
      </c>
      <c r="CT58" t="s">
        <v>136</v>
      </c>
      <c r="CU58" t="s">
        <v>114</v>
      </c>
      <c r="CV58" t="s">
        <v>2225</v>
      </c>
      <c r="CW58" s="10" t="str">
        <f>"+14058224888"</f>
        <v>+14058224888</v>
      </c>
      <c r="CX58" t="s">
        <v>21104</v>
      </c>
      <c r="CY58" t="s">
        <v>132</v>
      </c>
      <c r="CZ58" t="s">
        <v>137</v>
      </c>
      <c r="DA58" t="s">
        <v>114</v>
      </c>
      <c r="DB58" t="s">
        <v>114</v>
      </c>
      <c r="DC58" t="s">
        <v>136</v>
      </c>
      <c r="DD58" t="s">
        <v>114</v>
      </c>
    </row>
    <row r="59" spans="1:113" ht="15" customHeight="1" x14ac:dyDescent="0.25">
      <c r="A59" t="s">
        <v>14916</v>
      </c>
      <c r="B59" t="s">
        <v>152</v>
      </c>
      <c r="C59" s="1">
        <v>45262.322890509262</v>
      </c>
      <c r="D59" s="1">
        <v>45288</v>
      </c>
      <c r="E59" t="s">
        <v>132</v>
      </c>
      <c r="F59" t="s">
        <v>1595</v>
      </c>
      <c r="G59" t="str">
        <f>"37-3011.00"</f>
        <v>37-3011.00</v>
      </c>
      <c r="H59" t="s">
        <v>429</v>
      </c>
      <c r="I59">
        <v>8</v>
      </c>
      <c r="J59">
        <v>8</v>
      </c>
      <c r="K59" s="1">
        <v>45352</v>
      </c>
      <c r="L59" s="1">
        <v>45626</v>
      </c>
      <c r="M59" s="1">
        <v>45352</v>
      </c>
      <c r="N59" s="1">
        <v>45626</v>
      </c>
      <c r="O59" t="s">
        <v>116</v>
      </c>
      <c r="P59" t="s">
        <v>14917</v>
      </c>
      <c r="R59" t="s">
        <v>14918</v>
      </c>
      <c r="S59" t="s">
        <v>132</v>
      </c>
      <c r="T59" t="s">
        <v>3575</v>
      </c>
      <c r="U59" t="s">
        <v>2608</v>
      </c>
      <c r="V59" s="8" t="str">
        <f>"73099"</f>
        <v>73099</v>
      </c>
      <c r="W59" t="s">
        <v>118</v>
      </c>
      <c r="X59" t="s">
        <v>132</v>
      </c>
      <c r="Y59" s="10">
        <v>14054732586</v>
      </c>
      <c r="AA59">
        <v>561730</v>
      </c>
      <c r="AB59" t="s">
        <v>2186</v>
      </c>
      <c r="AC59" t="s">
        <v>145</v>
      </c>
      <c r="AD59" t="s">
        <v>132</v>
      </c>
      <c r="AE59" t="s">
        <v>629</v>
      </c>
      <c r="AF59" t="s">
        <v>14918</v>
      </c>
      <c r="AG59" t="s">
        <v>132</v>
      </c>
      <c r="AH59" t="s">
        <v>3575</v>
      </c>
      <c r="AI59" t="s">
        <v>2608</v>
      </c>
      <c r="AJ59" s="8" t="str">
        <f>"73099"</f>
        <v>73099</v>
      </c>
      <c r="AK59" t="s">
        <v>118</v>
      </c>
      <c r="AM59" s="10">
        <v>14054732586</v>
      </c>
      <c r="AO59" t="s">
        <v>14919</v>
      </c>
      <c r="AP59" t="s">
        <v>248</v>
      </c>
      <c r="AQ59" t="s">
        <v>5000</v>
      </c>
      <c r="AR59" t="s">
        <v>4889</v>
      </c>
      <c r="AS59" t="s">
        <v>2998</v>
      </c>
      <c r="AT59" t="s">
        <v>1584</v>
      </c>
      <c r="AU59" t="s">
        <v>132</v>
      </c>
      <c r="AV59" t="s">
        <v>1585</v>
      </c>
      <c r="AW59" t="s">
        <v>127</v>
      </c>
      <c r="AX59" s="8" t="str">
        <f>"77414"</f>
        <v>77414</v>
      </c>
      <c r="AY59" t="s">
        <v>118</v>
      </c>
      <c r="BA59" s="10">
        <v>19793187277</v>
      </c>
      <c r="BC59" t="s">
        <v>5001</v>
      </c>
      <c r="BD59" t="s">
        <v>1587</v>
      </c>
      <c r="BG59" t="s">
        <v>2608</v>
      </c>
      <c r="BH59" s="1">
        <v>45261.791666666664</v>
      </c>
      <c r="BI59">
        <v>40</v>
      </c>
      <c r="BJ59">
        <v>0</v>
      </c>
      <c r="BK59">
        <v>8</v>
      </c>
      <c r="BL59">
        <v>8</v>
      </c>
      <c r="BM59">
        <v>8</v>
      </c>
      <c r="BN59">
        <v>8</v>
      </c>
      <c r="BO59">
        <v>8</v>
      </c>
      <c r="BP59">
        <v>0</v>
      </c>
      <c r="BQ59" t="str">
        <f>"7:00 AM"</f>
        <v>7:00 AM</v>
      </c>
      <c r="BR59" t="str">
        <f>"4:00 PM"</f>
        <v>4:00 PM</v>
      </c>
      <c r="BS59" t="s">
        <v>131</v>
      </c>
      <c r="BT59">
        <v>0</v>
      </c>
      <c r="BU59">
        <v>0</v>
      </c>
      <c r="BV59" t="s">
        <v>114</v>
      </c>
      <c r="BX59" s="2" t="s">
        <v>14920</v>
      </c>
      <c r="BY59" t="s">
        <v>14918</v>
      </c>
      <c r="BZ59" t="s">
        <v>132</v>
      </c>
      <c r="CA59" t="s">
        <v>3575</v>
      </c>
      <c r="CB59" t="s">
        <v>2608</v>
      </c>
      <c r="CC59" s="8" t="str">
        <f>"73099"</f>
        <v>73099</v>
      </c>
      <c r="CD59" t="s">
        <v>14716</v>
      </c>
      <c r="CE59" t="s">
        <v>3577</v>
      </c>
      <c r="CF59" s="12">
        <v>16.149999999999999</v>
      </c>
      <c r="CH59" s="12">
        <v>24.23</v>
      </c>
      <c r="CJ59" t="s">
        <v>135</v>
      </c>
      <c r="CK59" t="s">
        <v>4803</v>
      </c>
      <c r="CL59" t="s">
        <v>14921</v>
      </c>
      <c r="CO59" t="s">
        <v>132</v>
      </c>
      <c r="CP59" t="s">
        <v>136</v>
      </c>
      <c r="CQ59" t="s">
        <v>136</v>
      </c>
      <c r="CR59" t="s">
        <v>136</v>
      </c>
      <c r="CS59" t="s">
        <v>136</v>
      </c>
      <c r="CT59" t="s">
        <v>136</v>
      </c>
      <c r="CU59" t="s">
        <v>114</v>
      </c>
      <c r="CV59" t="s">
        <v>2225</v>
      </c>
      <c r="CW59" s="10" t="str">
        <f>"+14054732586"</f>
        <v>+14054732586</v>
      </c>
      <c r="CX59" t="s">
        <v>14919</v>
      </c>
      <c r="CY59" t="s">
        <v>132</v>
      </c>
      <c r="CZ59" t="s">
        <v>137</v>
      </c>
      <c r="DA59" t="s">
        <v>114</v>
      </c>
      <c r="DB59" t="s">
        <v>114</v>
      </c>
      <c r="DC59" t="s">
        <v>136</v>
      </c>
      <c r="DD59" t="s">
        <v>114</v>
      </c>
    </row>
    <row r="60" spans="1:113" ht="15" customHeight="1" x14ac:dyDescent="0.25">
      <c r="A60" t="s">
        <v>19977</v>
      </c>
      <c r="B60" t="s">
        <v>152</v>
      </c>
      <c r="C60" s="1">
        <v>45262.320950347224</v>
      </c>
      <c r="D60" s="1">
        <v>45288</v>
      </c>
      <c r="E60" t="s">
        <v>132</v>
      </c>
      <c r="F60" t="s">
        <v>1595</v>
      </c>
      <c r="G60" t="str">
        <f>"37-3011.00"</f>
        <v>37-3011.00</v>
      </c>
      <c r="H60" t="s">
        <v>429</v>
      </c>
      <c r="I60">
        <v>8</v>
      </c>
      <c r="J60">
        <v>8</v>
      </c>
      <c r="K60" s="1">
        <v>45352</v>
      </c>
      <c r="L60" s="1">
        <v>45626</v>
      </c>
      <c r="M60" s="1">
        <v>45352</v>
      </c>
      <c r="N60" s="1">
        <v>45626</v>
      </c>
      <c r="O60" t="s">
        <v>116</v>
      </c>
      <c r="P60" t="s">
        <v>19978</v>
      </c>
      <c r="R60" t="s">
        <v>19979</v>
      </c>
      <c r="S60" t="s">
        <v>132</v>
      </c>
      <c r="T60" t="s">
        <v>3575</v>
      </c>
      <c r="U60" t="s">
        <v>2608</v>
      </c>
      <c r="V60" s="8" t="str">
        <f>"73099"</f>
        <v>73099</v>
      </c>
      <c r="W60" t="s">
        <v>118</v>
      </c>
      <c r="X60" t="s">
        <v>132</v>
      </c>
      <c r="Y60" s="10">
        <v>14053266013</v>
      </c>
      <c r="AA60">
        <v>561730</v>
      </c>
      <c r="AB60" t="s">
        <v>2186</v>
      </c>
      <c r="AC60" t="s">
        <v>16490</v>
      </c>
      <c r="AD60" t="s">
        <v>132</v>
      </c>
      <c r="AE60" t="s">
        <v>629</v>
      </c>
      <c r="AF60" t="s">
        <v>19979</v>
      </c>
      <c r="AG60" t="s">
        <v>132</v>
      </c>
      <c r="AH60" t="s">
        <v>3575</v>
      </c>
      <c r="AI60" t="s">
        <v>2608</v>
      </c>
      <c r="AJ60" s="8" t="str">
        <f>"73099"</f>
        <v>73099</v>
      </c>
      <c r="AK60" t="s">
        <v>118</v>
      </c>
      <c r="AM60" s="10">
        <v>14053266013</v>
      </c>
      <c r="AO60" t="s">
        <v>19980</v>
      </c>
      <c r="AP60" t="s">
        <v>248</v>
      </c>
      <c r="AQ60" t="s">
        <v>5000</v>
      </c>
      <c r="AR60" t="s">
        <v>4889</v>
      </c>
      <c r="AS60" t="s">
        <v>2998</v>
      </c>
      <c r="AT60" t="s">
        <v>1584</v>
      </c>
      <c r="AU60" t="s">
        <v>132</v>
      </c>
      <c r="AV60" t="s">
        <v>1585</v>
      </c>
      <c r="AW60" t="s">
        <v>127</v>
      </c>
      <c r="AX60" s="8" t="str">
        <f>"77414"</f>
        <v>77414</v>
      </c>
      <c r="AY60" t="s">
        <v>118</v>
      </c>
      <c r="BA60" s="10">
        <v>19793187277</v>
      </c>
      <c r="BC60" t="s">
        <v>5001</v>
      </c>
      <c r="BD60" t="s">
        <v>1587</v>
      </c>
      <c r="BG60" t="s">
        <v>2608</v>
      </c>
      <c r="BH60" s="1">
        <v>45261.791666666664</v>
      </c>
      <c r="BI60">
        <v>40</v>
      </c>
      <c r="BJ60">
        <v>0</v>
      </c>
      <c r="BK60">
        <v>8</v>
      </c>
      <c r="BL60">
        <v>8</v>
      </c>
      <c r="BM60">
        <v>8</v>
      </c>
      <c r="BN60">
        <v>8</v>
      </c>
      <c r="BO60">
        <v>8</v>
      </c>
      <c r="BP60">
        <v>0</v>
      </c>
      <c r="BQ60" t="str">
        <f>"7:00 AM"</f>
        <v>7:00 AM</v>
      </c>
      <c r="BR60" t="str">
        <f>"4:00 PM"</f>
        <v>4:00 PM</v>
      </c>
      <c r="BS60" t="s">
        <v>131</v>
      </c>
      <c r="BT60">
        <v>0</v>
      </c>
      <c r="BU60">
        <v>0</v>
      </c>
      <c r="BV60" t="s">
        <v>114</v>
      </c>
      <c r="BX60" s="2" t="s">
        <v>14920</v>
      </c>
      <c r="BY60" t="s">
        <v>19979</v>
      </c>
      <c r="BZ60" t="s">
        <v>132</v>
      </c>
      <c r="CA60" t="s">
        <v>3575</v>
      </c>
      <c r="CB60" t="s">
        <v>2608</v>
      </c>
      <c r="CC60" s="8" t="str">
        <f>"73099"</f>
        <v>73099</v>
      </c>
      <c r="CD60" t="s">
        <v>14716</v>
      </c>
      <c r="CE60" t="s">
        <v>3577</v>
      </c>
      <c r="CF60" s="12">
        <v>16.149999999999999</v>
      </c>
      <c r="CG60" s="12">
        <v>17</v>
      </c>
      <c r="CH60" s="12">
        <v>24.23</v>
      </c>
      <c r="CI60" s="12">
        <v>25.5</v>
      </c>
      <c r="CJ60" t="s">
        <v>135</v>
      </c>
      <c r="CK60" t="s">
        <v>3408</v>
      </c>
      <c r="CL60" t="s">
        <v>19981</v>
      </c>
      <c r="CO60" t="s">
        <v>132</v>
      </c>
      <c r="CP60" t="s">
        <v>136</v>
      </c>
      <c r="CQ60" t="s">
        <v>136</v>
      </c>
      <c r="CR60" t="s">
        <v>136</v>
      </c>
      <c r="CS60" t="s">
        <v>136</v>
      </c>
      <c r="CT60" t="s">
        <v>136</v>
      </c>
      <c r="CU60" t="s">
        <v>114</v>
      </c>
      <c r="CV60" t="s">
        <v>2225</v>
      </c>
      <c r="CW60" s="10" t="str">
        <f>"+14053266013"</f>
        <v>+14053266013</v>
      </c>
      <c r="CX60" t="s">
        <v>19980</v>
      </c>
      <c r="CY60" t="s">
        <v>132</v>
      </c>
      <c r="CZ60" t="s">
        <v>137</v>
      </c>
      <c r="DA60" t="s">
        <v>114</v>
      </c>
      <c r="DB60" t="s">
        <v>114</v>
      </c>
      <c r="DC60" t="s">
        <v>136</v>
      </c>
      <c r="DD60" t="s">
        <v>114</v>
      </c>
    </row>
    <row r="61" spans="1:113" ht="15" customHeight="1" x14ac:dyDescent="0.25">
      <c r="A61" t="s">
        <v>10803</v>
      </c>
      <c r="B61" t="s">
        <v>152</v>
      </c>
      <c r="C61" s="1">
        <v>45262.313910069446</v>
      </c>
      <c r="D61" s="1">
        <v>45288</v>
      </c>
      <c r="E61" t="s">
        <v>132</v>
      </c>
      <c r="F61" t="s">
        <v>1595</v>
      </c>
      <c r="G61" t="str">
        <f>"37-3011.00"</f>
        <v>37-3011.00</v>
      </c>
      <c r="H61" t="s">
        <v>429</v>
      </c>
      <c r="I61">
        <v>23</v>
      </c>
      <c r="J61">
        <v>23</v>
      </c>
      <c r="K61" s="1">
        <v>45352</v>
      </c>
      <c r="L61" s="1">
        <v>45641</v>
      </c>
      <c r="M61" s="1">
        <v>45352</v>
      </c>
      <c r="N61" s="1">
        <v>45641</v>
      </c>
      <c r="O61" t="s">
        <v>116</v>
      </c>
      <c r="P61" t="s">
        <v>10804</v>
      </c>
      <c r="Q61" t="s">
        <v>10805</v>
      </c>
      <c r="R61" t="s">
        <v>10806</v>
      </c>
      <c r="S61" t="s">
        <v>132</v>
      </c>
      <c r="T61" t="s">
        <v>5069</v>
      </c>
      <c r="U61" t="s">
        <v>358</v>
      </c>
      <c r="V61" s="8" t="str">
        <f>"14564"</f>
        <v>14564</v>
      </c>
      <c r="W61" t="s">
        <v>118</v>
      </c>
      <c r="X61" t="s">
        <v>132</v>
      </c>
      <c r="Y61" s="10">
        <v>15852480452</v>
      </c>
      <c r="AA61">
        <v>561730</v>
      </c>
      <c r="AB61" t="s">
        <v>2948</v>
      </c>
      <c r="AC61" t="s">
        <v>160</v>
      </c>
      <c r="AD61" t="s">
        <v>3587</v>
      </c>
      <c r="AE61" t="s">
        <v>629</v>
      </c>
      <c r="AF61" t="s">
        <v>10806</v>
      </c>
      <c r="AG61" t="s">
        <v>132</v>
      </c>
      <c r="AH61" t="s">
        <v>5069</v>
      </c>
      <c r="AI61" t="s">
        <v>358</v>
      </c>
      <c r="AJ61" s="8" t="str">
        <f>"14564"</f>
        <v>14564</v>
      </c>
      <c r="AK61" t="s">
        <v>118</v>
      </c>
      <c r="AM61" s="10">
        <v>15852480452</v>
      </c>
      <c r="AO61" t="s">
        <v>10807</v>
      </c>
      <c r="AP61" t="s">
        <v>248</v>
      </c>
      <c r="AQ61" t="s">
        <v>5000</v>
      </c>
      <c r="AR61" t="s">
        <v>4889</v>
      </c>
      <c r="AS61" t="s">
        <v>2998</v>
      </c>
      <c r="AT61" t="s">
        <v>1584</v>
      </c>
      <c r="AU61" t="s">
        <v>132</v>
      </c>
      <c r="AV61" t="s">
        <v>1585</v>
      </c>
      <c r="AW61" t="s">
        <v>127</v>
      </c>
      <c r="AX61" s="8" t="str">
        <f>"77414"</f>
        <v>77414</v>
      </c>
      <c r="AY61" t="s">
        <v>118</v>
      </c>
      <c r="BA61" s="10">
        <v>19793187277</v>
      </c>
      <c r="BC61" t="s">
        <v>5001</v>
      </c>
      <c r="BD61" t="s">
        <v>1587</v>
      </c>
      <c r="BG61" t="s">
        <v>358</v>
      </c>
      <c r="BH61" s="1">
        <v>45261.791666666664</v>
      </c>
      <c r="BI61">
        <v>40</v>
      </c>
      <c r="BJ61">
        <v>0</v>
      </c>
      <c r="BK61">
        <v>8</v>
      </c>
      <c r="BL61">
        <v>8</v>
      </c>
      <c r="BM61">
        <v>8</v>
      </c>
      <c r="BN61">
        <v>8</v>
      </c>
      <c r="BO61">
        <v>8</v>
      </c>
      <c r="BP61">
        <v>0</v>
      </c>
      <c r="BQ61" t="str">
        <f>"7:00 AM"</f>
        <v>7:00 AM</v>
      </c>
      <c r="BR61" t="str">
        <f>"4:30 PM"</f>
        <v>4:30 PM</v>
      </c>
      <c r="BS61" t="s">
        <v>131</v>
      </c>
      <c r="BT61">
        <v>0</v>
      </c>
      <c r="BU61">
        <v>0</v>
      </c>
      <c r="BV61" t="s">
        <v>114</v>
      </c>
      <c r="BX61" s="2" t="s">
        <v>10808</v>
      </c>
      <c r="BY61" t="s">
        <v>10806</v>
      </c>
      <c r="BZ61" t="s">
        <v>132</v>
      </c>
      <c r="CA61" t="s">
        <v>5069</v>
      </c>
      <c r="CB61" t="s">
        <v>358</v>
      </c>
      <c r="CC61" s="8" t="str">
        <f>"14564"</f>
        <v>14564</v>
      </c>
      <c r="CD61" t="s">
        <v>4840</v>
      </c>
      <c r="CE61" t="s">
        <v>3589</v>
      </c>
      <c r="CF61" s="12">
        <v>18.489999999999998</v>
      </c>
      <c r="CG61" s="12">
        <v>20</v>
      </c>
      <c r="CH61" s="12">
        <v>27.74</v>
      </c>
      <c r="CI61" s="12">
        <v>30</v>
      </c>
      <c r="CJ61" t="s">
        <v>135</v>
      </c>
      <c r="CK61" t="s">
        <v>10809</v>
      </c>
      <c r="CL61" t="s">
        <v>10810</v>
      </c>
      <c r="CO61" t="s">
        <v>132</v>
      </c>
      <c r="CP61" t="s">
        <v>136</v>
      </c>
      <c r="CQ61" t="s">
        <v>136</v>
      </c>
      <c r="CR61" t="s">
        <v>136</v>
      </c>
      <c r="CS61" t="s">
        <v>136</v>
      </c>
      <c r="CT61" t="s">
        <v>136</v>
      </c>
      <c r="CU61" t="s">
        <v>136</v>
      </c>
      <c r="CV61" t="s">
        <v>10811</v>
      </c>
      <c r="CW61" s="10" t="str">
        <f>"+15852480452"</f>
        <v>+15852480452</v>
      </c>
      <c r="CX61" t="s">
        <v>10812</v>
      </c>
      <c r="CY61" t="s">
        <v>132</v>
      </c>
      <c r="CZ61" t="s">
        <v>137</v>
      </c>
      <c r="DA61" t="s">
        <v>114</v>
      </c>
      <c r="DB61" t="s">
        <v>114</v>
      </c>
      <c r="DC61" t="s">
        <v>136</v>
      </c>
      <c r="DD61" t="s">
        <v>114</v>
      </c>
    </row>
    <row r="62" spans="1:113" ht="15" customHeight="1" x14ac:dyDescent="0.25">
      <c r="A62" t="s">
        <v>5929</v>
      </c>
      <c r="B62" t="s">
        <v>152</v>
      </c>
      <c r="C62" s="1">
        <v>45262.052263888887</v>
      </c>
      <c r="D62" s="1">
        <v>45288</v>
      </c>
      <c r="E62" t="s">
        <v>132</v>
      </c>
      <c r="F62" t="s">
        <v>1961</v>
      </c>
      <c r="G62" t="str">
        <f>"37-3011.00"</f>
        <v>37-3011.00</v>
      </c>
      <c r="H62" t="s">
        <v>429</v>
      </c>
      <c r="I62">
        <v>26</v>
      </c>
      <c r="J62">
        <v>26</v>
      </c>
      <c r="K62" s="1">
        <v>45352</v>
      </c>
      <c r="L62" s="1">
        <v>45641</v>
      </c>
      <c r="M62" s="1">
        <v>45352</v>
      </c>
      <c r="N62" s="1">
        <v>45641</v>
      </c>
      <c r="O62" t="s">
        <v>238</v>
      </c>
      <c r="P62" t="s">
        <v>5930</v>
      </c>
      <c r="R62" t="s">
        <v>5931</v>
      </c>
      <c r="T62" t="s">
        <v>2851</v>
      </c>
      <c r="U62" t="s">
        <v>984</v>
      </c>
      <c r="V62" s="8" t="str">
        <f>"63132"</f>
        <v>63132</v>
      </c>
      <c r="W62" t="s">
        <v>118</v>
      </c>
      <c r="Y62" s="10">
        <v>13146577050</v>
      </c>
      <c r="AA62">
        <v>56173</v>
      </c>
      <c r="AB62" t="s">
        <v>5932</v>
      </c>
      <c r="AC62" t="s">
        <v>5933</v>
      </c>
      <c r="AE62" t="s">
        <v>654</v>
      </c>
      <c r="AF62" t="s">
        <v>5931</v>
      </c>
      <c r="AH62" t="s">
        <v>2851</v>
      </c>
      <c r="AI62" t="s">
        <v>984</v>
      </c>
      <c r="AJ62" s="8" t="str">
        <f>"63132"</f>
        <v>63132</v>
      </c>
      <c r="AK62" t="s">
        <v>118</v>
      </c>
      <c r="AM62" s="10">
        <v>13146577050</v>
      </c>
      <c r="AO62" t="s">
        <v>132</v>
      </c>
      <c r="AP62" t="s">
        <v>248</v>
      </c>
      <c r="AQ62" t="s">
        <v>354</v>
      </c>
      <c r="AR62" t="s">
        <v>355</v>
      </c>
      <c r="AT62" t="s">
        <v>356</v>
      </c>
      <c r="AV62" t="s">
        <v>357</v>
      </c>
      <c r="AW62" t="s">
        <v>358</v>
      </c>
      <c r="AX62" s="8" t="str">
        <f>"11590"</f>
        <v>11590</v>
      </c>
      <c r="AY62" t="s">
        <v>118</v>
      </c>
      <c r="BA62" s="10">
        <v>15163307168</v>
      </c>
      <c r="BC62" t="s">
        <v>359</v>
      </c>
      <c r="BD62" t="s">
        <v>360</v>
      </c>
      <c r="BG62" t="s">
        <v>984</v>
      </c>
      <c r="BH62" s="1">
        <v>45237.791666666664</v>
      </c>
      <c r="BI62">
        <v>40</v>
      </c>
      <c r="BJ62">
        <v>0</v>
      </c>
      <c r="BK62">
        <v>8</v>
      </c>
      <c r="BL62">
        <v>8</v>
      </c>
      <c r="BM62">
        <v>8</v>
      </c>
      <c r="BN62">
        <v>8</v>
      </c>
      <c r="BO62">
        <v>8</v>
      </c>
      <c r="BP62">
        <v>0</v>
      </c>
      <c r="BQ62" t="str">
        <f>"8:00 AM"</f>
        <v>8:00 AM</v>
      </c>
      <c r="BR62" t="str">
        <f>"5:00 PM"</f>
        <v>5:00 PM</v>
      </c>
      <c r="BS62" t="s">
        <v>131</v>
      </c>
      <c r="BT62">
        <v>0</v>
      </c>
      <c r="BU62">
        <v>0</v>
      </c>
      <c r="BV62" t="s">
        <v>114</v>
      </c>
      <c r="BX62" t="s">
        <v>131</v>
      </c>
      <c r="BY62" t="s">
        <v>5931</v>
      </c>
      <c r="CA62" t="s">
        <v>2851</v>
      </c>
      <c r="CB62" t="s">
        <v>984</v>
      </c>
      <c r="CC62" s="8" t="str">
        <f>"63132"</f>
        <v>63132</v>
      </c>
      <c r="CD62" t="s">
        <v>2851</v>
      </c>
      <c r="CE62" t="s">
        <v>1856</v>
      </c>
      <c r="CF62" s="12">
        <v>17.579999999999998</v>
      </c>
      <c r="CG62" s="12">
        <v>20</v>
      </c>
      <c r="CH62" s="12">
        <v>26.37</v>
      </c>
      <c r="CI62" s="12">
        <v>30</v>
      </c>
      <c r="CJ62" t="s">
        <v>135</v>
      </c>
      <c r="CK62" t="s">
        <v>2197</v>
      </c>
      <c r="CL62" t="s">
        <v>5934</v>
      </c>
      <c r="CO62" t="s">
        <v>132</v>
      </c>
      <c r="CP62" t="s">
        <v>136</v>
      </c>
      <c r="CQ62" t="s">
        <v>136</v>
      </c>
      <c r="CR62" t="s">
        <v>136</v>
      </c>
      <c r="CS62" t="s">
        <v>114</v>
      </c>
      <c r="CT62" t="s">
        <v>136</v>
      </c>
      <c r="CU62" t="s">
        <v>114</v>
      </c>
      <c r="CV62" t="s">
        <v>1480</v>
      </c>
      <c r="CW62" s="10" t="str">
        <f>"+13146577050"</f>
        <v>+13146577050</v>
      </c>
      <c r="CX62" t="s">
        <v>5935</v>
      </c>
      <c r="CY62" t="s">
        <v>132</v>
      </c>
      <c r="CZ62" t="s">
        <v>137</v>
      </c>
      <c r="DA62" t="s">
        <v>114</v>
      </c>
      <c r="DB62" t="s">
        <v>114</v>
      </c>
      <c r="DC62" t="s">
        <v>136</v>
      </c>
      <c r="DD62" t="s">
        <v>114</v>
      </c>
    </row>
    <row r="63" spans="1:113" ht="15" customHeight="1" x14ac:dyDescent="0.25">
      <c r="A63" t="s">
        <v>17860</v>
      </c>
      <c r="B63" t="s">
        <v>152</v>
      </c>
      <c r="C63" s="1">
        <v>45262.049527546296</v>
      </c>
      <c r="D63" s="1">
        <v>45288</v>
      </c>
      <c r="E63" t="s">
        <v>132</v>
      </c>
      <c r="F63" t="s">
        <v>1961</v>
      </c>
      <c r="G63" t="str">
        <f>"37-3011.00"</f>
        <v>37-3011.00</v>
      </c>
      <c r="H63" t="s">
        <v>429</v>
      </c>
      <c r="I63">
        <v>5</v>
      </c>
      <c r="J63">
        <v>5</v>
      </c>
      <c r="K63" s="1">
        <v>45352</v>
      </c>
      <c r="L63" s="1">
        <v>45650</v>
      </c>
      <c r="M63" s="1">
        <v>45352</v>
      </c>
      <c r="N63" s="1">
        <v>45650</v>
      </c>
      <c r="O63" t="s">
        <v>238</v>
      </c>
      <c r="P63" t="s">
        <v>17861</v>
      </c>
      <c r="R63" t="s">
        <v>17862</v>
      </c>
      <c r="T63" t="s">
        <v>17863</v>
      </c>
      <c r="U63" t="s">
        <v>984</v>
      </c>
      <c r="V63" s="8" t="str">
        <f>"63026"</f>
        <v>63026</v>
      </c>
      <c r="W63" t="s">
        <v>118</v>
      </c>
      <c r="Y63" s="10">
        <v>13146987449</v>
      </c>
      <c r="AA63">
        <v>56173</v>
      </c>
      <c r="AB63" t="s">
        <v>17864</v>
      </c>
      <c r="AC63" t="s">
        <v>5106</v>
      </c>
      <c r="AE63" t="s">
        <v>654</v>
      </c>
      <c r="AF63" t="s">
        <v>17862</v>
      </c>
      <c r="AH63" t="s">
        <v>17863</v>
      </c>
      <c r="AI63" t="s">
        <v>984</v>
      </c>
      <c r="AJ63" s="8" t="str">
        <f>"63026"</f>
        <v>63026</v>
      </c>
      <c r="AK63" t="s">
        <v>118</v>
      </c>
      <c r="AM63" s="10">
        <v>13146987449</v>
      </c>
      <c r="AO63" t="s">
        <v>132</v>
      </c>
      <c r="AP63" t="s">
        <v>248</v>
      </c>
      <c r="AQ63" t="s">
        <v>354</v>
      </c>
      <c r="AR63" t="s">
        <v>355</v>
      </c>
      <c r="AT63" t="s">
        <v>356</v>
      </c>
      <c r="AV63" t="s">
        <v>357</v>
      </c>
      <c r="AW63" t="s">
        <v>358</v>
      </c>
      <c r="AX63" s="8" t="str">
        <f>"11590"</f>
        <v>11590</v>
      </c>
      <c r="AY63" t="s">
        <v>118</v>
      </c>
      <c r="BA63" s="10">
        <v>15163307168</v>
      </c>
      <c r="BC63" t="s">
        <v>359</v>
      </c>
      <c r="BD63" t="s">
        <v>360</v>
      </c>
      <c r="BG63" t="s">
        <v>984</v>
      </c>
      <c r="BH63" s="1">
        <v>45231.833333333336</v>
      </c>
      <c r="BI63">
        <v>40</v>
      </c>
      <c r="BJ63">
        <v>0</v>
      </c>
      <c r="BK63">
        <v>8</v>
      </c>
      <c r="BL63">
        <v>8</v>
      </c>
      <c r="BM63">
        <v>8</v>
      </c>
      <c r="BN63">
        <v>8</v>
      </c>
      <c r="BO63">
        <v>8</v>
      </c>
      <c r="BP63">
        <v>0</v>
      </c>
      <c r="BQ63" t="str">
        <f>"8:00 AM"</f>
        <v>8:00 AM</v>
      </c>
      <c r="BR63" t="str">
        <f>"5:00 PM"</f>
        <v>5:00 PM</v>
      </c>
      <c r="BS63" t="s">
        <v>131</v>
      </c>
      <c r="BT63">
        <v>0</v>
      </c>
      <c r="BU63">
        <v>0</v>
      </c>
      <c r="BV63" t="s">
        <v>114</v>
      </c>
      <c r="BX63" t="s">
        <v>131</v>
      </c>
      <c r="BY63" t="s">
        <v>17862</v>
      </c>
      <c r="CA63" t="s">
        <v>17863</v>
      </c>
      <c r="CB63" t="s">
        <v>984</v>
      </c>
      <c r="CC63" s="8" t="str">
        <f>"63026"</f>
        <v>63026</v>
      </c>
      <c r="CD63" t="s">
        <v>2851</v>
      </c>
      <c r="CE63" t="s">
        <v>1856</v>
      </c>
      <c r="CF63" s="12">
        <v>17.579999999999998</v>
      </c>
      <c r="CG63" s="12">
        <v>17.579999999999998</v>
      </c>
      <c r="CH63" s="12">
        <v>26.37</v>
      </c>
      <c r="CI63" s="12">
        <v>26.37</v>
      </c>
      <c r="CJ63" t="s">
        <v>135</v>
      </c>
      <c r="CL63" t="s">
        <v>17865</v>
      </c>
      <c r="CO63" t="s">
        <v>132</v>
      </c>
      <c r="CP63" t="s">
        <v>136</v>
      </c>
      <c r="CQ63" t="s">
        <v>136</v>
      </c>
      <c r="CR63" t="s">
        <v>136</v>
      </c>
      <c r="CS63" t="s">
        <v>114</v>
      </c>
      <c r="CT63" t="s">
        <v>136</v>
      </c>
      <c r="CU63" t="s">
        <v>114</v>
      </c>
      <c r="CV63" t="s">
        <v>131</v>
      </c>
      <c r="CW63" s="10" t="str">
        <f>"+13146987449"</f>
        <v>+13146987449</v>
      </c>
      <c r="CX63" t="s">
        <v>17866</v>
      </c>
      <c r="CY63" t="s">
        <v>132</v>
      </c>
      <c r="CZ63" t="s">
        <v>137</v>
      </c>
      <c r="DA63" t="s">
        <v>114</v>
      </c>
      <c r="DB63" t="s">
        <v>114</v>
      </c>
      <c r="DC63" t="s">
        <v>136</v>
      </c>
      <c r="DD63" t="s">
        <v>114</v>
      </c>
    </row>
    <row r="64" spans="1:113" ht="15" customHeight="1" x14ac:dyDescent="0.25">
      <c r="A64" t="s">
        <v>7684</v>
      </c>
      <c r="B64" t="s">
        <v>152</v>
      </c>
      <c r="C64" s="1">
        <v>45262.040797685186</v>
      </c>
      <c r="D64" s="1">
        <v>45288</v>
      </c>
      <c r="E64" t="s">
        <v>132</v>
      </c>
      <c r="F64" t="s">
        <v>1961</v>
      </c>
      <c r="G64" t="str">
        <f>"37-3011.00"</f>
        <v>37-3011.00</v>
      </c>
      <c r="H64" t="s">
        <v>429</v>
      </c>
      <c r="I64">
        <v>3</v>
      </c>
      <c r="J64">
        <v>3</v>
      </c>
      <c r="K64" s="1">
        <v>45352</v>
      </c>
      <c r="L64" s="1">
        <v>45626</v>
      </c>
      <c r="M64" s="1">
        <v>45352</v>
      </c>
      <c r="N64" s="1">
        <v>45626</v>
      </c>
      <c r="O64" t="s">
        <v>238</v>
      </c>
      <c r="P64" t="s">
        <v>7685</v>
      </c>
      <c r="R64" t="s">
        <v>7686</v>
      </c>
      <c r="T64" t="s">
        <v>7687</v>
      </c>
      <c r="U64" t="s">
        <v>358</v>
      </c>
      <c r="V64" s="8" t="str">
        <f>"10994"</f>
        <v>10994</v>
      </c>
      <c r="W64" t="s">
        <v>118</v>
      </c>
      <c r="Y64" s="10">
        <v>18543530606</v>
      </c>
      <c r="AA64">
        <v>56173</v>
      </c>
      <c r="AB64" t="s">
        <v>7688</v>
      </c>
      <c r="AC64" t="s">
        <v>7459</v>
      </c>
      <c r="AE64" t="s">
        <v>7689</v>
      </c>
      <c r="AF64" t="s">
        <v>7686</v>
      </c>
      <c r="AH64" t="s">
        <v>7687</v>
      </c>
      <c r="AI64" t="s">
        <v>358</v>
      </c>
      <c r="AJ64" s="8" t="str">
        <f>"10994"</f>
        <v>10994</v>
      </c>
      <c r="AK64" t="s">
        <v>118</v>
      </c>
      <c r="AM64" s="10">
        <v>18543530606</v>
      </c>
      <c r="AO64" t="s">
        <v>796</v>
      </c>
      <c r="AP64" t="s">
        <v>248</v>
      </c>
      <c r="AQ64" t="s">
        <v>354</v>
      </c>
      <c r="AR64" t="s">
        <v>355</v>
      </c>
      <c r="AT64" t="s">
        <v>356</v>
      </c>
      <c r="AV64" t="s">
        <v>357</v>
      </c>
      <c r="AW64" t="s">
        <v>358</v>
      </c>
      <c r="AX64" s="8" t="str">
        <f>"11590"</f>
        <v>11590</v>
      </c>
      <c r="AY64" t="s">
        <v>118</v>
      </c>
      <c r="BA64" s="10">
        <v>15163307168</v>
      </c>
      <c r="BC64" t="s">
        <v>359</v>
      </c>
      <c r="BD64" t="s">
        <v>360</v>
      </c>
      <c r="BG64" t="s">
        <v>358</v>
      </c>
      <c r="BH64" s="1">
        <v>45222.833333333336</v>
      </c>
      <c r="BI64">
        <v>40</v>
      </c>
      <c r="BJ64">
        <v>0</v>
      </c>
      <c r="BK64">
        <v>8</v>
      </c>
      <c r="BL64">
        <v>8</v>
      </c>
      <c r="BM64">
        <v>8</v>
      </c>
      <c r="BN64">
        <v>8</v>
      </c>
      <c r="BO64">
        <v>8</v>
      </c>
      <c r="BP64">
        <v>0</v>
      </c>
      <c r="BQ64" t="str">
        <f>"8:00 AM"</f>
        <v>8:00 AM</v>
      </c>
      <c r="BR64" t="str">
        <f>"5:00 PM"</f>
        <v>5:00 PM</v>
      </c>
      <c r="BS64" t="s">
        <v>131</v>
      </c>
      <c r="BT64">
        <v>0</v>
      </c>
      <c r="BU64">
        <v>0</v>
      </c>
      <c r="BV64" t="s">
        <v>114</v>
      </c>
      <c r="BX64" t="s">
        <v>796</v>
      </c>
      <c r="BY64" t="s">
        <v>7686</v>
      </c>
      <c r="CA64" t="s">
        <v>7687</v>
      </c>
      <c r="CB64" t="s">
        <v>358</v>
      </c>
      <c r="CC64" s="8" t="str">
        <f>"10994"</f>
        <v>10994</v>
      </c>
      <c r="CD64" t="s">
        <v>5237</v>
      </c>
      <c r="CE64" t="s">
        <v>1418</v>
      </c>
      <c r="CF64" s="12">
        <v>20.81</v>
      </c>
      <c r="CG64" s="12">
        <v>20.81</v>
      </c>
      <c r="CH64" s="12">
        <v>31.22</v>
      </c>
      <c r="CI64" s="12">
        <v>31.22</v>
      </c>
      <c r="CJ64" t="s">
        <v>135</v>
      </c>
      <c r="CK64" t="s">
        <v>132</v>
      </c>
      <c r="CL64" t="s">
        <v>7690</v>
      </c>
      <c r="CO64" t="s">
        <v>132</v>
      </c>
      <c r="CP64" t="s">
        <v>136</v>
      </c>
      <c r="CQ64" t="s">
        <v>136</v>
      </c>
      <c r="CR64" t="s">
        <v>136</v>
      </c>
      <c r="CS64" t="s">
        <v>114</v>
      </c>
      <c r="CT64" t="s">
        <v>136</v>
      </c>
      <c r="CU64" t="s">
        <v>114</v>
      </c>
      <c r="CV64" t="s">
        <v>1480</v>
      </c>
      <c r="CW64" s="10" t="str">
        <f>"+18543530606"</f>
        <v>+18543530606</v>
      </c>
      <c r="CX64" t="s">
        <v>7691</v>
      </c>
      <c r="CY64" t="s">
        <v>132</v>
      </c>
      <c r="CZ64" t="s">
        <v>137</v>
      </c>
      <c r="DA64" t="s">
        <v>114</v>
      </c>
      <c r="DB64" t="s">
        <v>114</v>
      </c>
      <c r="DC64" t="s">
        <v>136</v>
      </c>
      <c r="DD64" t="s">
        <v>114</v>
      </c>
    </row>
    <row r="65" spans="1:113" ht="15" customHeight="1" x14ac:dyDescent="0.25">
      <c r="A65" t="s">
        <v>13666</v>
      </c>
      <c r="B65" t="s">
        <v>152</v>
      </c>
      <c r="C65" s="1">
        <v>45262.040102777777</v>
      </c>
      <c r="D65" s="1">
        <v>45288</v>
      </c>
      <c r="E65" t="s">
        <v>132</v>
      </c>
      <c r="F65" t="s">
        <v>1961</v>
      </c>
      <c r="G65" t="str">
        <f>"37-3011.00"</f>
        <v>37-3011.00</v>
      </c>
      <c r="H65" t="s">
        <v>429</v>
      </c>
      <c r="I65">
        <v>9</v>
      </c>
      <c r="J65">
        <v>9</v>
      </c>
      <c r="K65" s="1">
        <v>45352</v>
      </c>
      <c r="L65" s="1">
        <v>45636</v>
      </c>
      <c r="M65" s="1">
        <v>45352</v>
      </c>
      <c r="N65" s="1">
        <v>45636</v>
      </c>
      <c r="O65" t="s">
        <v>238</v>
      </c>
      <c r="P65" t="s">
        <v>13667</v>
      </c>
      <c r="R65" t="s">
        <v>13668</v>
      </c>
      <c r="T65" t="s">
        <v>3036</v>
      </c>
      <c r="U65" t="s">
        <v>984</v>
      </c>
      <c r="V65" s="8" t="str">
        <f>"63366"</f>
        <v>63366</v>
      </c>
      <c r="W65" t="s">
        <v>118</v>
      </c>
      <c r="Y65" s="10">
        <v>16369789374</v>
      </c>
      <c r="AA65">
        <v>56173</v>
      </c>
      <c r="AB65" t="s">
        <v>13669</v>
      </c>
      <c r="AC65" t="s">
        <v>13670</v>
      </c>
      <c r="AE65" t="s">
        <v>5076</v>
      </c>
      <c r="AF65" t="s">
        <v>13668</v>
      </c>
      <c r="AH65" t="s">
        <v>3036</v>
      </c>
      <c r="AI65" t="s">
        <v>984</v>
      </c>
      <c r="AJ65" s="8" t="str">
        <f>"63366"</f>
        <v>63366</v>
      </c>
      <c r="AK65" t="s">
        <v>118</v>
      </c>
      <c r="AM65" s="10">
        <v>16369789374</v>
      </c>
      <c r="AO65" t="s">
        <v>132</v>
      </c>
      <c r="AP65" t="s">
        <v>248</v>
      </c>
      <c r="AQ65" t="s">
        <v>354</v>
      </c>
      <c r="AR65" t="s">
        <v>355</v>
      </c>
      <c r="AT65" t="s">
        <v>356</v>
      </c>
      <c r="AV65" t="s">
        <v>357</v>
      </c>
      <c r="AW65" t="s">
        <v>358</v>
      </c>
      <c r="AX65" s="8" t="str">
        <f>"11590"</f>
        <v>11590</v>
      </c>
      <c r="AY65" t="s">
        <v>118</v>
      </c>
      <c r="BA65" s="10">
        <v>15163307168</v>
      </c>
      <c r="BC65" t="s">
        <v>359</v>
      </c>
      <c r="BD65" t="s">
        <v>360</v>
      </c>
      <c r="BG65" t="s">
        <v>984</v>
      </c>
      <c r="BH65" s="1">
        <v>45238.791666666664</v>
      </c>
      <c r="BI65">
        <v>40</v>
      </c>
      <c r="BJ65">
        <v>0</v>
      </c>
      <c r="BK65">
        <v>8</v>
      </c>
      <c r="BL65">
        <v>8</v>
      </c>
      <c r="BM65">
        <v>8</v>
      </c>
      <c r="BN65">
        <v>8</v>
      </c>
      <c r="BO65">
        <v>8</v>
      </c>
      <c r="BP65">
        <v>0</v>
      </c>
      <c r="BQ65" t="str">
        <f>"8:00 AM"</f>
        <v>8:00 AM</v>
      </c>
      <c r="BR65" t="str">
        <f>"5:00 PM"</f>
        <v>5:00 PM</v>
      </c>
      <c r="BS65" t="s">
        <v>131</v>
      </c>
      <c r="BT65">
        <v>0</v>
      </c>
      <c r="BU65">
        <v>0</v>
      </c>
      <c r="BV65" t="s">
        <v>114</v>
      </c>
      <c r="BX65" t="s">
        <v>1480</v>
      </c>
      <c r="BY65" t="s">
        <v>13668</v>
      </c>
      <c r="CA65" t="s">
        <v>3036</v>
      </c>
      <c r="CB65" t="s">
        <v>984</v>
      </c>
      <c r="CC65" s="8" t="str">
        <f>"63366"</f>
        <v>63366</v>
      </c>
      <c r="CD65" t="s">
        <v>1855</v>
      </c>
      <c r="CE65" t="s">
        <v>1856</v>
      </c>
      <c r="CF65" s="12">
        <v>17.579999999999998</v>
      </c>
      <c r="CG65" s="12">
        <v>17.579999999999998</v>
      </c>
      <c r="CH65" s="12">
        <v>26.37</v>
      </c>
      <c r="CI65" s="12">
        <v>26.37</v>
      </c>
      <c r="CJ65" t="s">
        <v>135</v>
      </c>
      <c r="CL65" t="s">
        <v>13671</v>
      </c>
      <c r="CO65" t="s">
        <v>132</v>
      </c>
      <c r="CP65" t="s">
        <v>136</v>
      </c>
      <c r="CQ65" t="s">
        <v>136</v>
      </c>
      <c r="CR65" t="s">
        <v>136</v>
      </c>
      <c r="CS65" t="s">
        <v>114</v>
      </c>
      <c r="CT65" t="s">
        <v>136</v>
      </c>
      <c r="CU65" t="s">
        <v>114</v>
      </c>
      <c r="CV65" t="s">
        <v>1480</v>
      </c>
      <c r="CW65" s="10" t="str">
        <f>"+16369789374"</f>
        <v>+16369789374</v>
      </c>
      <c r="CX65" t="s">
        <v>13672</v>
      </c>
      <c r="CY65" t="s">
        <v>132</v>
      </c>
      <c r="CZ65" t="s">
        <v>137</v>
      </c>
      <c r="DA65" t="s">
        <v>114</v>
      </c>
      <c r="DB65" t="s">
        <v>114</v>
      </c>
      <c r="DC65" t="s">
        <v>136</v>
      </c>
      <c r="DD65" t="s">
        <v>114</v>
      </c>
    </row>
    <row r="66" spans="1:113" ht="15" customHeight="1" x14ac:dyDescent="0.25">
      <c r="A66" t="s">
        <v>15277</v>
      </c>
      <c r="B66" t="s">
        <v>152</v>
      </c>
      <c r="C66" s="1">
        <v>45262.039838078701</v>
      </c>
      <c r="D66" s="1">
        <v>45288</v>
      </c>
      <c r="E66" t="s">
        <v>132</v>
      </c>
      <c r="F66" t="s">
        <v>1961</v>
      </c>
      <c r="G66" t="str">
        <f>"37-3011.00"</f>
        <v>37-3011.00</v>
      </c>
      <c r="H66" t="s">
        <v>429</v>
      </c>
      <c r="I66">
        <v>26</v>
      </c>
      <c r="J66">
        <v>26</v>
      </c>
      <c r="K66" s="1">
        <v>45352</v>
      </c>
      <c r="L66" s="1">
        <v>45626</v>
      </c>
      <c r="M66" s="1">
        <v>45352</v>
      </c>
      <c r="N66" s="1">
        <v>45626</v>
      </c>
      <c r="O66" t="s">
        <v>238</v>
      </c>
      <c r="P66" t="s">
        <v>15278</v>
      </c>
      <c r="R66" t="s">
        <v>15279</v>
      </c>
      <c r="T66" t="s">
        <v>15280</v>
      </c>
      <c r="U66" t="s">
        <v>984</v>
      </c>
      <c r="V66" s="8" t="str">
        <f>"63304"</f>
        <v>63304</v>
      </c>
      <c r="W66" t="s">
        <v>118</v>
      </c>
      <c r="Y66" s="10">
        <v>16362445651</v>
      </c>
      <c r="AA66">
        <v>56173</v>
      </c>
      <c r="AB66" t="s">
        <v>6242</v>
      </c>
      <c r="AC66" t="s">
        <v>6243</v>
      </c>
      <c r="AE66" t="s">
        <v>654</v>
      </c>
      <c r="AF66" t="s">
        <v>15279</v>
      </c>
      <c r="AH66" t="s">
        <v>1855</v>
      </c>
      <c r="AI66" t="s">
        <v>984</v>
      </c>
      <c r="AJ66" s="8" t="str">
        <f>"63304"</f>
        <v>63304</v>
      </c>
      <c r="AK66" t="s">
        <v>118</v>
      </c>
      <c r="AM66" s="10">
        <v>16362445651</v>
      </c>
      <c r="AO66" t="s">
        <v>132</v>
      </c>
      <c r="AP66" t="s">
        <v>248</v>
      </c>
      <c r="AQ66" t="s">
        <v>354</v>
      </c>
      <c r="AR66" t="s">
        <v>355</v>
      </c>
      <c r="AT66" t="s">
        <v>356</v>
      </c>
      <c r="AV66" t="s">
        <v>357</v>
      </c>
      <c r="AW66" t="s">
        <v>358</v>
      </c>
      <c r="AX66" s="8" t="str">
        <f>"11590"</f>
        <v>11590</v>
      </c>
      <c r="AY66" t="s">
        <v>118</v>
      </c>
      <c r="BA66" s="10">
        <v>15163307168</v>
      </c>
      <c r="BC66" t="s">
        <v>359</v>
      </c>
      <c r="BD66" t="s">
        <v>360</v>
      </c>
      <c r="BG66" t="s">
        <v>984</v>
      </c>
      <c r="BH66" s="1">
        <v>45237.791666666664</v>
      </c>
      <c r="BI66">
        <v>40</v>
      </c>
      <c r="BJ66">
        <v>0</v>
      </c>
      <c r="BK66">
        <v>8</v>
      </c>
      <c r="BL66">
        <v>8</v>
      </c>
      <c r="BM66">
        <v>8</v>
      </c>
      <c r="BN66">
        <v>8</v>
      </c>
      <c r="BO66">
        <v>8</v>
      </c>
      <c r="BP66">
        <v>0</v>
      </c>
      <c r="BQ66" t="str">
        <f>"8:00 AM"</f>
        <v>8:00 AM</v>
      </c>
      <c r="BR66" t="str">
        <f>"5:00 PM"</f>
        <v>5:00 PM</v>
      </c>
      <c r="BS66" t="s">
        <v>131</v>
      </c>
      <c r="BT66">
        <v>0</v>
      </c>
      <c r="BU66">
        <v>0</v>
      </c>
      <c r="BV66" t="s">
        <v>114</v>
      </c>
      <c r="BX66" t="s">
        <v>1789</v>
      </c>
      <c r="BY66" t="s">
        <v>15279</v>
      </c>
      <c r="CA66" t="s">
        <v>15280</v>
      </c>
      <c r="CB66" t="s">
        <v>984</v>
      </c>
      <c r="CC66" s="8" t="str">
        <f>"63304"</f>
        <v>63304</v>
      </c>
      <c r="CD66" t="s">
        <v>1855</v>
      </c>
      <c r="CE66" t="s">
        <v>1856</v>
      </c>
      <c r="CF66" s="12">
        <v>17.579999999999998</v>
      </c>
      <c r="CG66" s="12">
        <v>17.579999999999998</v>
      </c>
      <c r="CH66" s="12">
        <v>26.37</v>
      </c>
      <c r="CI66" s="12">
        <v>26.37</v>
      </c>
      <c r="CJ66" t="s">
        <v>135</v>
      </c>
      <c r="CL66" t="s">
        <v>15281</v>
      </c>
      <c r="CO66" t="s">
        <v>132</v>
      </c>
      <c r="CP66" t="s">
        <v>136</v>
      </c>
      <c r="CQ66" t="s">
        <v>136</v>
      </c>
      <c r="CR66" t="s">
        <v>136</v>
      </c>
      <c r="CS66" t="s">
        <v>114</v>
      </c>
      <c r="CT66" t="s">
        <v>136</v>
      </c>
      <c r="CU66" t="s">
        <v>114</v>
      </c>
      <c r="CV66" t="s">
        <v>1789</v>
      </c>
      <c r="CW66" s="10" t="str">
        <f>"+16362445651"</f>
        <v>+16362445651</v>
      </c>
      <c r="CX66" t="s">
        <v>15282</v>
      </c>
      <c r="CY66" t="s">
        <v>132</v>
      </c>
      <c r="CZ66" t="s">
        <v>137</v>
      </c>
      <c r="DA66" t="s">
        <v>114</v>
      </c>
      <c r="DB66" t="s">
        <v>114</v>
      </c>
      <c r="DC66" t="s">
        <v>136</v>
      </c>
      <c r="DD66" t="s">
        <v>114</v>
      </c>
    </row>
    <row r="67" spans="1:113" ht="15" customHeight="1" x14ac:dyDescent="0.25">
      <c r="A67" t="s">
        <v>16178</v>
      </c>
      <c r="B67" t="s">
        <v>152</v>
      </c>
      <c r="C67" s="1">
        <v>45262.032463310185</v>
      </c>
      <c r="D67" s="1">
        <v>45288</v>
      </c>
      <c r="E67" t="s">
        <v>132</v>
      </c>
      <c r="F67" t="s">
        <v>1961</v>
      </c>
      <c r="G67" t="str">
        <f>"37-3011.00"</f>
        <v>37-3011.00</v>
      </c>
      <c r="H67" t="s">
        <v>429</v>
      </c>
      <c r="I67">
        <v>28</v>
      </c>
      <c r="J67">
        <v>28</v>
      </c>
      <c r="K67" s="1">
        <v>45352</v>
      </c>
      <c r="L67" s="1">
        <v>45641</v>
      </c>
      <c r="M67" s="1">
        <v>45352</v>
      </c>
      <c r="N67" s="1">
        <v>45641</v>
      </c>
      <c r="O67" t="s">
        <v>238</v>
      </c>
      <c r="P67" t="s">
        <v>16179</v>
      </c>
      <c r="R67" t="s">
        <v>16180</v>
      </c>
      <c r="T67" t="s">
        <v>5488</v>
      </c>
      <c r="U67" t="s">
        <v>903</v>
      </c>
      <c r="V67" s="8" t="str">
        <f>"03907"</f>
        <v>03907</v>
      </c>
      <c r="W67" t="s">
        <v>118</v>
      </c>
      <c r="Y67" s="10">
        <v>12073611935</v>
      </c>
      <c r="AA67">
        <v>56173</v>
      </c>
      <c r="AB67" t="s">
        <v>16181</v>
      </c>
      <c r="AC67" t="s">
        <v>355</v>
      </c>
      <c r="AE67" t="s">
        <v>654</v>
      </c>
      <c r="AF67" t="s">
        <v>16180</v>
      </c>
      <c r="AH67" t="s">
        <v>5488</v>
      </c>
      <c r="AI67" t="s">
        <v>903</v>
      </c>
      <c r="AJ67" s="8" t="str">
        <f>"03907"</f>
        <v>03907</v>
      </c>
      <c r="AK67" t="s">
        <v>118</v>
      </c>
      <c r="AM67" s="10">
        <v>12073601935</v>
      </c>
      <c r="AO67" t="s">
        <v>132</v>
      </c>
      <c r="AP67" t="s">
        <v>248</v>
      </c>
      <c r="AQ67" t="s">
        <v>354</v>
      </c>
      <c r="AR67" t="s">
        <v>355</v>
      </c>
      <c r="AT67" t="s">
        <v>356</v>
      </c>
      <c r="AV67" t="s">
        <v>357</v>
      </c>
      <c r="AW67" t="s">
        <v>358</v>
      </c>
      <c r="AX67" s="8" t="str">
        <f>"11590"</f>
        <v>11590</v>
      </c>
      <c r="AY67" t="s">
        <v>118</v>
      </c>
      <c r="BA67" s="10">
        <v>15163307168</v>
      </c>
      <c r="BC67" t="s">
        <v>359</v>
      </c>
      <c r="BD67" t="s">
        <v>360</v>
      </c>
      <c r="BG67" t="s">
        <v>903</v>
      </c>
      <c r="BH67" s="1">
        <v>45216.833333333336</v>
      </c>
      <c r="BI67">
        <v>40</v>
      </c>
      <c r="BJ67">
        <v>0</v>
      </c>
      <c r="BK67">
        <v>8</v>
      </c>
      <c r="BL67">
        <v>8</v>
      </c>
      <c r="BM67">
        <v>8</v>
      </c>
      <c r="BN67">
        <v>8</v>
      </c>
      <c r="BO67">
        <v>8</v>
      </c>
      <c r="BP67">
        <v>0</v>
      </c>
      <c r="BQ67" t="str">
        <f>"8:00 AM"</f>
        <v>8:00 AM</v>
      </c>
      <c r="BR67" t="str">
        <f>"5:00 PM"</f>
        <v>5:00 PM</v>
      </c>
      <c r="BS67" t="s">
        <v>131</v>
      </c>
      <c r="BT67">
        <v>0</v>
      </c>
      <c r="BU67">
        <v>0</v>
      </c>
      <c r="BV67" t="s">
        <v>114</v>
      </c>
      <c r="BX67" t="s">
        <v>1480</v>
      </c>
      <c r="BY67" t="s">
        <v>16180</v>
      </c>
      <c r="CA67" t="s">
        <v>5488</v>
      </c>
      <c r="CB67" t="s">
        <v>903</v>
      </c>
      <c r="CC67" s="8" t="str">
        <f>"03907"</f>
        <v>03907</v>
      </c>
      <c r="CD67" t="s">
        <v>2222</v>
      </c>
      <c r="CE67" t="s">
        <v>2196</v>
      </c>
      <c r="CF67" s="12">
        <v>19.82</v>
      </c>
      <c r="CG67" s="12">
        <v>23</v>
      </c>
      <c r="CH67" s="12">
        <v>29.73</v>
      </c>
      <c r="CI67" s="12">
        <v>34.5</v>
      </c>
      <c r="CJ67" t="s">
        <v>135</v>
      </c>
      <c r="CK67" t="s">
        <v>16182</v>
      </c>
      <c r="CL67" t="s">
        <v>16183</v>
      </c>
      <c r="CO67" t="s">
        <v>132</v>
      </c>
      <c r="CP67" t="s">
        <v>136</v>
      </c>
      <c r="CQ67" t="s">
        <v>136</v>
      </c>
      <c r="CR67" t="s">
        <v>136</v>
      </c>
      <c r="CS67" t="s">
        <v>114</v>
      </c>
      <c r="CT67" t="s">
        <v>136</v>
      </c>
      <c r="CU67" t="s">
        <v>114</v>
      </c>
      <c r="CV67" t="s">
        <v>1480</v>
      </c>
      <c r="CW67" s="10" t="str">
        <f>"+12073611935"</f>
        <v>+12073611935</v>
      </c>
      <c r="CX67" t="s">
        <v>16184</v>
      </c>
      <c r="CY67" t="s">
        <v>132</v>
      </c>
      <c r="CZ67" t="s">
        <v>137</v>
      </c>
      <c r="DA67" t="s">
        <v>114</v>
      </c>
      <c r="DB67" t="s">
        <v>114</v>
      </c>
      <c r="DC67" t="s">
        <v>136</v>
      </c>
      <c r="DD67" t="s">
        <v>114</v>
      </c>
    </row>
    <row r="68" spans="1:113" ht="15" customHeight="1" x14ac:dyDescent="0.25">
      <c r="A68" t="s">
        <v>17640</v>
      </c>
      <c r="B68" t="s">
        <v>152</v>
      </c>
      <c r="C68" s="1">
        <v>45262.031558333336</v>
      </c>
      <c r="D68" s="1">
        <v>45288</v>
      </c>
      <c r="E68" t="s">
        <v>132</v>
      </c>
      <c r="F68" t="s">
        <v>1595</v>
      </c>
      <c r="G68" t="str">
        <f>"37-3011.00"</f>
        <v>37-3011.00</v>
      </c>
      <c r="H68" t="s">
        <v>429</v>
      </c>
      <c r="I68">
        <v>16</v>
      </c>
      <c r="J68">
        <v>16</v>
      </c>
      <c r="K68" s="1">
        <v>45352</v>
      </c>
      <c r="L68" s="1">
        <v>45626</v>
      </c>
      <c r="M68" s="1">
        <v>45352</v>
      </c>
      <c r="N68" s="1">
        <v>45626</v>
      </c>
      <c r="O68" t="s">
        <v>238</v>
      </c>
      <c r="P68" t="s">
        <v>10849</v>
      </c>
      <c r="R68" t="s">
        <v>10850</v>
      </c>
      <c r="T68" t="s">
        <v>2578</v>
      </c>
      <c r="U68" t="s">
        <v>375</v>
      </c>
      <c r="V68" s="8" t="str">
        <f>"28657"</f>
        <v>28657</v>
      </c>
      <c r="W68" t="s">
        <v>118</v>
      </c>
      <c r="Y68" s="10">
        <v>18282607089</v>
      </c>
      <c r="AA68">
        <v>56173</v>
      </c>
      <c r="AB68" t="s">
        <v>10851</v>
      </c>
      <c r="AC68" t="s">
        <v>2449</v>
      </c>
      <c r="AE68" t="s">
        <v>561</v>
      </c>
      <c r="AF68" t="s">
        <v>10850</v>
      </c>
      <c r="AH68" t="s">
        <v>2578</v>
      </c>
      <c r="AI68" t="s">
        <v>375</v>
      </c>
      <c r="AJ68" s="8" t="str">
        <f>"28657"</f>
        <v>28657</v>
      </c>
      <c r="AK68" t="s">
        <v>118</v>
      </c>
      <c r="AM68" s="10">
        <v>18282607089</v>
      </c>
      <c r="AO68" t="s">
        <v>10852</v>
      </c>
      <c r="AP68" t="s">
        <v>248</v>
      </c>
      <c r="AQ68" t="s">
        <v>849</v>
      </c>
      <c r="AR68" t="s">
        <v>850</v>
      </c>
      <c r="AS68" t="s">
        <v>132</v>
      </c>
      <c r="AT68" t="s">
        <v>1253</v>
      </c>
      <c r="AU68" t="s">
        <v>852</v>
      </c>
      <c r="AV68" t="s">
        <v>853</v>
      </c>
      <c r="AW68" t="s">
        <v>854</v>
      </c>
      <c r="AX68" s="8" t="str">
        <f>"83814"</f>
        <v>83814</v>
      </c>
      <c r="AY68" t="s">
        <v>118</v>
      </c>
      <c r="BA68" s="10">
        <v>12087772654</v>
      </c>
      <c r="BC68" t="s">
        <v>855</v>
      </c>
      <c r="BD68" t="s">
        <v>856</v>
      </c>
      <c r="BG68" t="s">
        <v>550</v>
      </c>
      <c r="BH68" s="1">
        <v>45260.791666666664</v>
      </c>
      <c r="BI68">
        <v>40</v>
      </c>
      <c r="BJ68">
        <v>0</v>
      </c>
      <c r="BK68">
        <v>8</v>
      </c>
      <c r="BL68">
        <v>8</v>
      </c>
      <c r="BM68">
        <v>8</v>
      </c>
      <c r="BN68">
        <v>8</v>
      </c>
      <c r="BO68">
        <v>8</v>
      </c>
      <c r="BP68">
        <v>0</v>
      </c>
      <c r="BQ68" t="str">
        <f>"7:00 AM"</f>
        <v>7:00 AM</v>
      </c>
      <c r="BR68" t="str">
        <f>"5:00 PM"</f>
        <v>5:00 PM</v>
      </c>
      <c r="BS68" t="s">
        <v>131</v>
      </c>
      <c r="BT68">
        <v>0</v>
      </c>
      <c r="BU68">
        <v>0</v>
      </c>
      <c r="BV68" t="s">
        <v>114</v>
      </c>
      <c r="BX68" t="s">
        <v>3491</v>
      </c>
      <c r="BY68" t="s">
        <v>17641</v>
      </c>
      <c r="CA68" t="s">
        <v>542</v>
      </c>
      <c r="CB68" t="s">
        <v>550</v>
      </c>
      <c r="CC68" s="8" t="str">
        <f>"30525"</f>
        <v>30525</v>
      </c>
      <c r="CD68" t="s">
        <v>7495</v>
      </c>
      <c r="CE68" t="s">
        <v>7496</v>
      </c>
      <c r="CF68" s="12">
        <v>15.97</v>
      </c>
      <c r="CH68" s="12">
        <v>23.96</v>
      </c>
      <c r="CJ68" t="s">
        <v>135</v>
      </c>
      <c r="CK68" t="s">
        <v>132</v>
      </c>
      <c r="CL68" t="s">
        <v>17642</v>
      </c>
      <c r="CO68" t="s">
        <v>132</v>
      </c>
      <c r="CP68" t="s">
        <v>136</v>
      </c>
      <c r="CQ68" t="s">
        <v>136</v>
      </c>
      <c r="CR68" t="s">
        <v>136</v>
      </c>
      <c r="CS68" t="s">
        <v>136</v>
      </c>
      <c r="CT68" t="s">
        <v>136</v>
      </c>
      <c r="CU68" t="s">
        <v>136</v>
      </c>
      <c r="CV68" t="s">
        <v>10855</v>
      </c>
      <c r="CW68" s="10" t="str">
        <f>"+18282607089"</f>
        <v>+18282607089</v>
      </c>
      <c r="CX68" t="s">
        <v>10852</v>
      </c>
      <c r="CY68" t="s">
        <v>132</v>
      </c>
      <c r="CZ68" t="s">
        <v>137</v>
      </c>
      <c r="DA68" t="s">
        <v>114</v>
      </c>
      <c r="DB68" t="s">
        <v>136</v>
      </c>
      <c r="DC68" t="s">
        <v>136</v>
      </c>
      <c r="DD68" t="s">
        <v>114</v>
      </c>
    </row>
    <row r="69" spans="1:113" ht="15" customHeight="1" x14ac:dyDescent="0.25">
      <c r="A69" t="s">
        <v>19921</v>
      </c>
      <c r="B69" t="s">
        <v>152</v>
      </c>
      <c r="C69" s="1">
        <v>45262.031496296295</v>
      </c>
      <c r="D69" s="1">
        <v>45288</v>
      </c>
      <c r="E69" t="s">
        <v>132</v>
      </c>
      <c r="F69" t="s">
        <v>1961</v>
      </c>
      <c r="G69" t="str">
        <f>"37-3011.00"</f>
        <v>37-3011.00</v>
      </c>
      <c r="H69" t="s">
        <v>429</v>
      </c>
      <c r="I69">
        <v>2</v>
      </c>
      <c r="J69">
        <v>2</v>
      </c>
      <c r="K69" s="1">
        <v>45352</v>
      </c>
      <c r="L69" s="1">
        <v>45641</v>
      </c>
      <c r="M69" s="1">
        <v>45352</v>
      </c>
      <c r="N69" s="1">
        <v>45641</v>
      </c>
      <c r="O69" t="s">
        <v>238</v>
      </c>
      <c r="P69" t="s">
        <v>19922</v>
      </c>
      <c r="R69" t="s">
        <v>19923</v>
      </c>
      <c r="T69" t="s">
        <v>11308</v>
      </c>
      <c r="U69" t="s">
        <v>358</v>
      </c>
      <c r="V69" s="8" t="str">
        <f>"11978"</f>
        <v>11978</v>
      </c>
      <c r="W69" t="s">
        <v>118</v>
      </c>
      <c r="Y69" s="10">
        <v>16318131315</v>
      </c>
      <c r="AA69">
        <v>56173</v>
      </c>
      <c r="AB69" t="s">
        <v>15228</v>
      </c>
      <c r="AC69" t="s">
        <v>19924</v>
      </c>
      <c r="AE69" t="s">
        <v>654</v>
      </c>
      <c r="AF69" t="s">
        <v>19923</v>
      </c>
      <c r="AH69" t="s">
        <v>9392</v>
      </c>
      <c r="AI69" t="s">
        <v>358</v>
      </c>
      <c r="AJ69" s="8" t="str">
        <f>"11978"</f>
        <v>11978</v>
      </c>
      <c r="AK69" t="s">
        <v>118</v>
      </c>
      <c r="AM69" s="10">
        <v>16318131315</v>
      </c>
      <c r="AO69" t="s">
        <v>132</v>
      </c>
      <c r="AP69" t="s">
        <v>248</v>
      </c>
      <c r="AQ69" t="s">
        <v>354</v>
      </c>
      <c r="AR69" t="s">
        <v>355</v>
      </c>
      <c r="AT69" t="s">
        <v>356</v>
      </c>
      <c r="AV69" t="s">
        <v>357</v>
      </c>
      <c r="AW69" t="s">
        <v>358</v>
      </c>
      <c r="AX69" s="8" t="str">
        <f>"11590"</f>
        <v>11590</v>
      </c>
      <c r="AY69" t="s">
        <v>118</v>
      </c>
      <c r="BA69" s="10">
        <v>15163307168</v>
      </c>
      <c r="BC69" t="s">
        <v>359</v>
      </c>
      <c r="BD69" t="s">
        <v>360</v>
      </c>
      <c r="BG69" t="s">
        <v>358</v>
      </c>
      <c r="BH69" s="1">
        <v>45216.833333333336</v>
      </c>
      <c r="BI69">
        <v>40</v>
      </c>
      <c r="BJ69">
        <v>0</v>
      </c>
      <c r="BK69">
        <v>8</v>
      </c>
      <c r="BL69">
        <v>8</v>
      </c>
      <c r="BM69">
        <v>8</v>
      </c>
      <c r="BN69">
        <v>8</v>
      </c>
      <c r="BO69">
        <v>8</v>
      </c>
      <c r="BP69">
        <v>0</v>
      </c>
      <c r="BQ69" t="str">
        <f>"8:00 AM"</f>
        <v>8:00 AM</v>
      </c>
      <c r="BR69" t="str">
        <f>"5:00 PM"</f>
        <v>5:00 PM</v>
      </c>
      <c r="BS69" t="s">
        <v>131</v>
      </c>
      <c r="BT69">
        <v>0</v>
      </c>
      <c r="BU69">
        <v>0</v>
      </c>
      <c r="BV69" t="s">
        <v>114</v>
      </c>
      <c r="BX69" t="s">
        <v>132</v>
      </c>
      <c r="BY69" t="s">
        <v>19925</v>
      </c>
      <c r="CA69" t="s">
        <v>9392</v>
      </c>
      <c r="CB69" t="s">
        <v>358</v>
      </c>
      <c r="CC69" s="8" t="str">
        <f>"11978"</f>
        <v>11978</v>
      </c>
      <c r="CD69" t="s">
        <v>1752</v>
      </c>
      <c r="CE69" t="s">
        <v>1418</v>
      </c>
      <c r="CF69" s="12">
        <v>20.81</v>
      </c>
      <c r="CG69" s="12">
        <v>20.81</v>
      </c>
      <c r="CH69" s="12">
        <v>31.22</v>
      </c>
      <c r="CI69" s="12">
        <v>31.22</v>
      </c>
      <c r="CJ69" t="s">
        <v>135</v>
      </c>
      <c r="CK69" t="s">
        <v>132</v>
      </c>
      <c r="CL69" t="s">
        <v>19926</v>
      </c>
      <c r="CO69" t="s">
        <v>132</v>
      </c>
      <c r="CP69" t="s">
        <v>136</v>
      </c>
      <c r="CQ69" t="s">
        <v>136</v>
      </c>
      <c r="CR69" t="s">
        <v>136</v>
      </c>
      <c r="CS69" t="s">
        <v>114</v>
      </c>
      <c r="CT69" t="s">
        <v>136</v>
      </c>
      <c r="CU69" t="s">
        <v>114</v>
      </c>
      <c r="CV69" t="s">
        <v>1480</v>
      </c>
      <c r="CW69" s="10" t="str">
        <f>"+16318131315"</f>
        <v>+16318131315</v>
      </c>
      <c r="CX69" t="s">
        <v>19927</v>
      </c>
      <c r="CY69" t="s">
        <v>132</v>
      </c>
      <c r="CZ69" t="s">
        <v>137</v>
      </c>
      <c r="DA69" t="s">
        <v>114</v>
      </c>
      <c r="DB69" t="s">
        <v>114</v>
      </c>
      <c r="DC69" t="s">
        <v>136</v>
      </c>
      <c r="DD69" t="s">
        <v>114</v>
      </c>
    </row>
    <row r="70" spans="1:113" ht="15" customHeight="1" x14ac:dyDescent="0.25">
      <c r="A70" t="s">
        <v>15013</v>
      </c>
      <c r="B70" t="s">
        <v>152</v>
      </c>
      <c r="C70" s="1">
        <v>45262.031296412039</v>
      </c>
      <c r="D70" s="1">
        <v>45288</v>
      </c>
      <c r="E70" t="s">
        <v>132</v>
      </c>
      <c r="F70" t="s">
        <v>1595</v>
      </c>
      <c r="G70" t="str">
        <f>"37-3011.00"</f>
        <v>37-3011.00</v>
      </c>
      <c r="H70" t="s">
        <v>429</v>
      </c>
      <c r="I70">
        <v>185</v>
      </c>
      <c r="J70">
        <v>185</v>
      </c>
      <c r="K70" s="1">
        <v>45352</v>
      </c>
      <c r="L70" s="1">
        <v>45626</v>
      </c>
      <c r="M70" s="1">
        <v>45352</v>
      </c>
      <c r="N70" s="1">
        <v>45626</v>
      </c>
      <c r="O70" t="s">
        <v>238</v>
      </c>
      <c r="P70" t="s">
        <v>10849</v>
      </c>
      <c r="R70" t="s">
        <v>10850</v>
      </c>
      <c r="T70" t="s">
        <v>2578</v>
      </c>
      <c r="U70" t="s">
        <v>375</v>
      </c>
      <c r="V70" s="8" t="str">
        <f>"28657"</f>
        <v>28657</v>
      </c>
      <c r="W70" t="s">
        <v>118</v>
      </c>
      <c r="Y70" s="10">
        <v>18282607089</v>
      </c>
      <c r="AA70">
        <v>56173</v>
      </c>
      <c r="AB70" t="s">
        <v>10851</v>
      </c>
      <c r="AC70" t="s">
        <v>2449</v>
      </c>
      <c r="AE70" t="s">
        <v>561</v>
      </c>
      <c r="AF70" t="s">
        <v>10850</v>
      </c>
      <c r="AH70" t="s">
        <v>2578</v>
      </c>
      <c r="AI70" t="s">
        <v>375</v>
      </c>
      <c r="AJ70" s="8" t="str">
        <f>"28657"</f>
        <v>28657</v>
      </c>
      <c r="AK70" t="s">
        <v>118</v>
      </c>
      <c r="AM70" s="10">
        <v>18282607089</v>
      </c>
      <c r="AO70" t="s">
        <v>10852</v>
      </c>
      <c r="AP70" t="s">
        <v>248</v>
      </c>
      <c r="AQ70" t="s">
        <v>849</v>
      </c>
      <c r="AR70" t="s">
        <v>850</v>
      </c>
      <c r="AS70" t="s">
        <v>132</v>
      </c>
      <c r="AT70" t="s">
        <v>1253</v>
      </c>
      <c r="AU70" t="s">
        <v>852</v>
      </c>
      <c r="AV70" t="s">
        <v>853</v>
      </c>
      <c r="AW70" t="s">
        <v>854</v>
      </c>
      <c r="AX70" s="8" t="str">
        <f>"83814"</f>
        <v>83814</v>
      </c>
      <c r="AY70" t="s">
        <v>118</v>
      </c>
      <c r="BA70" s="10">
        <v>12087772654</v>
      </c>
      <c r="BC70" t="s">
        <v>855</v>
      </c>
      <c r="BD70" t="s">
        <v>856</v>
      </c>
      <c r="BG70" t="s">
        <v>550</v>
      </c>
      <c r="BH70" s="1">
        <v>45260.791666666664</v>
      </c>
      <c r="BI70">
        <v>40</v>
      </c>
      <c r="BJ70">
        <v>0</v>
      </c>
      <c r="BK70">
        <v>8</v>
      </c>
      <c r="BL70">
        <v>8</v>
      </c>
      <c r="BM70">
        <v>8</v>
      </c>
      <c r="BN70">
        <v>8</v>
      </c>
      <c r="BO70">
        <v>8</v>
      </c>
      <c r="BP70">
        <v>0</v>
      </c>
      <c r="BQ70" t="str">
        <f>"7:00 AM"</f>
        <v>7:00 AM</v>
      </c>
      <c r="BR70" t="str">
        <f>"5:00 PM"</f>
        <v>5:00 PM</v>
      </c>
      <c r="BS70" t="s">
        <v>131</v>
      </c>
      <c r="BT70">
        <v>0</v>
      </c>
      <c r="BU70">
        <v>0</v>
      </c>
      <c r="BV70" t="s">
        <v>114</v>
      </c>
      <c r="BX70" t="s">
        <v>3491</v>
      </c>
      <c r="BY70" t="s">
        <v>15014</v>
      </c>
      <c r="CA70" t="s">
        <v>573</v>
      </c>
      <c r="CB70" t="s">
        <v>550</v>
      </c>
      <c r="CC70" s="8" t="str">
        <f>"30319"</f>
        <v>30319</v>
      </c>
      <c r="CD70" t="s">
        <v>3096</v>
      </c>
      <c r="CE70" t="s">
        <v>552</v>
      </c>
      <c r="CF70" s="12">
        <v>17.07</v>
      </c>
      <c r="CH70" s="12">
        <v>25.61</v>
      </c>
      <c r="CJ70" t="s">
        <v>135</v>
      </c>
      <c r="CK70" t="s">
        <v>132</v>
      </c>
      <c r="CL70" t="s">
        <v>15015</v>
      </c>
      <c r="CO70" t="s">
        <v>132</v>
      </c>
      <c r="CP70" t="s">
        <v>136</v>
      </c>
      <c r="CQ70" t="s">
        <v>136</v>
      </c>
      <c r="CR70" t="s">
        <v>136</v>
      </c>
      <c r="CS70" t="s">
        <v>136</v>
      </c>
      <c r="CT70" t="s">
        <v>136</v>
      </c>
      <c r="CU70" t="s">
        <v>136</v>
      </c>
      <c r="CV70" t="s">
        <v>10855</v>
      </c>
      <c r="CW70" s="10" t="str">
        <f>"+18282607089"</f>
        <v>+18282607089</v>
      </c>
      <c r="CX70" t="s">
        <v>10852</v>
      </c>
      <c r="CY70" t="s">
        <v>132</v>
      </c>
      <c r="CZ70" t="s">
        <v>137</v>
      </c>
      <c r="DA70" t="s">
        <v>114</v>
      </c>
      <c r="DB70" t="s">
        <v>136</v>
      </c>
      <c r="DC70" t="s">
        <v>136</v>
      </c>
      <c r="DD70" t="s">
        <v>114</v>
      </c>
    </row>
    <row r="71" spans="1:113" ht="15" customHeight="1" x14ac:dyDescent="0.25">
      <c r="A71" t="s">
        <v>19829</v>
      </c>
      <c r="B71" t="s">
        <v>152</v>
      </c>
      <c r="C71" s="1">
        <v>45262.030347453707</v>
      </c>
      <c r="D71" s="1">
        <v>45288</v>
      </c>
      <c r="E71" t="s">
        <v>132</v>
      </c>
      <c r="F71" t="s">
        <v>1961</v>
      </c>
      <c r="G71" t="str">
        <f>"37-3011.00"</f>
        <v>37-3011.00</v>
      </c>
      <c r="H71" t="s">
        <v>429</v>
      </c>
      <c r="I71">
        <v>8</v>
      </c>
      <c r="J71">
        <v>8</v>
      </c>
      <c r="K71" s="1">
        <v>45352</v>
      </c>
      <c r="L71" s="1">
        <v>45646</v>
      </c>
      <c r="M71" s="1">
        <v>45352</v>
      </c>
      <c r="N71" s="1">
        <v>45646</v>
      </c>
      <c r="O71" t="s">
        <v>238</v>
      </c>
      <c r="P71" t="s">
        <v>19830</v>
      </c>
      <c r="R71" t="s">
        <v>19831</v>
      </c>
      <c r="T71" t="s">
        <v>5151</v>
      </c>
      <c r="U71" t="s">
        <v>358</v>
      </c>
      <c r="V71" s="8" t="str">
        <f>"11976"</f>
        <v>11976</v>
      </c>
      <c r="W71" t="s">
        <v>118</v>
      </c>
      <c r="Y71" s="10">
        <v>16317261970</v>
      </c>
      <c r="AA71">
        <v>56173</v>
      </c>
      <c r="AB71" t="s">
        <v>19832</v>
      </c>
      <c r="AC71" t="s">
        <v>1826</v>
      </c>
      <c r="AE71" t="s">
        <v>654</v>
      </c>
      <c r="AF71" t="s">
        <v>19833</v>
      </c>
      <c r="AH71" t="s">
        <v>5151</v>
      </c>
      <c r="AI71" t="s">
        <v>358</v>
      </c>
      <c r="AJ71" s="8" t="str">
        <f>"11978"</f>
        <v>11978</v>
      </c>
      <c r="AK71" t="s">
        <v>118</v>
      </c>
      <c r="AM71" s="10">
        <v>16317261970</v>
      </c>
      <c r="AO71" t="s">
        <v>132</v>
      </c>
      <c r="AP71" t="s">
        <v>248</v>
      </c>
      <c r="AQ71" t="s">
        <v>354</v>
      </c>
      <c r="AR71" t="s">
        <v>355</v>
      </c>
      <c r="AT71" t="s">
        <v>356</v>
      </c>
      <c r="AV71" t="s">
        <v>357</v>
      </c>
      <c r="AW71" t="s">
        <v>358</v>
      </c>
      <c r="AX71" s="8" t="str">
        <f>"11590"</f>
        <v>11590</v>
      </c>
      <c r="AY71" t="s">
        <v>118</v>
      </c>
      <c r="BA71" s="10">
        <v>15163307168</v>
      </c>
      <c r="BC71" t="s">
        <v>359</v>
      </c>
      <c r="BD71" t="s">
        <v>360</v>
      </c>
      <c r="BG71" t="s">
        <v>358</v>
      </c>
      <c r="BH71" s="1">
        <v>45215.833333333336</v>
      </c>
      <c r="BI71">
        <v>40</v>
      </c>
      <c r="BJ71">
        <v>0</v>
      </c>
      <c r="BK71">
        <v>8</v>
      </c>
      <c r="BL71">
        <v>8</v>
      </c>
      <c r="BM71">
        <v>8</v>
      </c>
      <c r="BN71">
        <v>8</v>
      </c>
      <c r="BO71">
        <v>8</v>
      </c>
      <c r="BP71">
        <v>0</v>
      </c>
      <c r="BQ71" t="str">
        <f>"8:00 AM"</f>
        <v>8:00 AM</v>
      </c>
      <c r="BR71" t="str">
        <f>"5:00 PM"</f>
        <v>5:00 PM</v>
      </c>
      <c r="BS71" t="s">
        <v>131</v>
      </c>
      <c r="BT71">
        <v>0</v>
      </c>
      <c r="BU71">
        <v>1</v>
      </c>
      <c r="BV71" t="s">
        <v>114</v>
      </c>
      <c r="BX71" t="s">
        <v>19834</v>
      </c>
      <c r="BY71" t="s">
        <v>19831</v>
      </c>
      <c r="CA71" t="s">
        <v>5151</v>
      </c>
      <c r="CB71" t="s">
        <v>358</v>
      </c>
      <c r="CC71" s="8" t="str">
        <f>"11976"</f>
        <v>11976</v>
      </c>
      <c r="CD71" t="s">
        <v>1752</v>
      </c>
      <c r="CE71" t="s">
        <v>1418</v>
      </c>
      <c r="CF71" s="12">
        <v>20.81</v>
      </c>
      <c r="CG71" s="12">
        <v>20.81</v>
      </c>
      <c r="CH71" s="12">
        <v>31.22</v>
      </c>
      <c r="CI71" s="12">
        <v>31.22</v>
      </c>
      <c r="CJ71" t="s">
        <v>135</v>
      </c>
      <c r="CK71" t="s">
        <v>132</v>
      </c>
      <c r="CL71" t="s">
        <v>19835</v>
      </c>
      <c r="CO71" t="s">
        <v>132</v>
      </c>
      <c r="CP71" t="s">
        <v>136</v>
      </c>
      <c r="CQ71" t="s">
        <v>136</v>
      </c>
      <c r="CR71" t="s">
        <v>136</v>
      </c>
      <c r="CS71" t="s">
        <v>114</v>
      </c>
      <c r="CT71" t="s">
        <v>136</v>
      </c>
      <c r="CU71" t="s">
        <v>114</v>
      </c>
      <c r="CV71" t="s">
        <v>1480</v>
      </c>
      <c r="CW71" s="10" t="str">
        <f>"+16317261970"</f>
        <v>+16317261970</v>
      </c>
      <c r="CX71" t="s">
        <v>19836</v>
      </c>
      <c r="CY71" t="s">
        <v>132</v>
      </c>
      <c r="CZ71" t="s">
        <v>137</v>
      </c>
      <c r="DA71" t="s">
        <v>114</v>
      </c>
      <c r="DB71" t="s">
        <v>114</v>
      </c>
      <c r="DC71" t="s">
        <v>136</v>
      </c>
      <c r="DD71" t="s">
        <v>114</v>
      </c>
    </row>
    <row r="72" spans="1:113" ht="15" customHeight="1" x14ac:dyDescent="0.25">
      <c r="A72" t="s">
        <v>5230</v>
      </c>
      <c r="B72" t="s">
        <v>152</v>
      </c>
      <c r="C72" s="1">
        <v>45262.030100000004</v>
      </c>
      <c r="D72" s="1">
        <v>45288</v>
      </c>
      <c r="E72" t="s">
        <v>132</v>
      </c>
      <c r="F72" t="s">
        <v>1961</v>
      </c>
      <c r="G72" t="str">
        <f>"37-3011.00"</f>
        <v>37-3011.00</v>
      </c>
      <c r="H72" t="s">
        <v>429</v>
      </c>
      <c r="I72">
        <v>8</v>
      </c>
      <c r="J72">
        <v>8</v>
      </c>
      <c r="K72" s="1">
        <v>45352</v>
      </c>
      <c r="L72" s="1">
        <v>45641</v>
      </c>
      <c r="M72" s="1">
        <v>45352</v>
      </c>
      <c r="N72" s="1">
        <v>45641</v>
      </c>
      <c r="O72" t="s">
        <v>238</v>
      </c>
      <c r="P72" t="s">
        <v>5231</v>
      </c>
      <c r="R72" t="s">
        <v>5232</v>
      </c>
      <c r="T72" t="s">
        <v>5233</v>
      </c>
      <c r="U72" t="s">
        <v>358</v>
      </c>
      <c r="V72" s="8" t="str">
        <f>"10956"</f>
        <v>10956</v>
      </c>
      <c r="W72" t="s">
        <v>118</v>
      </c>
      <c r="Y72" s="10">
        <v>18454266007</v>
      </c>
      <c r="AA72">
        <v>56173</v>
      </c>
      <c r="AB72" t="s">
        <v>5234</v>
      </c>
      <c r="AC72" t="s">
        <v>5235</v>
      </c>
      <c r="AE72" t="s">
        <v>654</v>
      </c>
      <c r="AF72" t="s">
        <v>5236</v>
      </c>
      <c r="AH72" t="s">
        <v>5233</v>
      </c>
      <c r="AI72" t="s">
        <v>358</v>
      </c>
      <c r="AJ72" s="8" t="str">
        <f>"10956"</f>
        <v>10956</v>
      </c>
      <c r="AK72" t="s">
        <v>118</v>
      </c>
      <c r="AM72" s="10">
        <v>18454266007</v>
      </c>
      <c r="AO72" t="s">
        <v>132</v>
      </c>
      <c r="AP72" t="s">
        <v>248</v>
      </c>
      <c r="AQ72" t="s">
        <v>354</v>
      </c>
      <c r="AR72" t="s">
        <v>355</v>
      </c>
      <c r="AT72" t="s">
        <v>356</v>
      </c>
      <c r="AV72" t="s">
        <v>357</v>
      </c>
      <c r="AW72" t="s">
        <v>358</v>
      </c>
      <c r="AX72" s="8" t="str">
        <f>"11590"</f>
        <v>11590</v>
      </c>
      <c r="AY72" t="s">
        <v>118</v>
      </c>
      <c r="BA72" s="10">
        <v>15163307168</v>
      </c>
      <c r="BC72" t="s">
        <v>359</v>
      </c>
      <c r="BD72" t="s">
        <v>360</v>
      </c>
      <c r="BG72" t="s">
        <v>358</v>
      </c>
      <c r="BH72" s="1">
        <v>45215.833333333336</v>
      </c>
      <c r="BI72">
        <v>40</v>
      </c>
      <c r="BJ72">
        <v>0</v>
      </c>
      <c r="BK72">
        <v>8</v>
      </c>
      <c r="BL72">
        <v>8</v>
      </c>
      <c r="BM72">
        <v>8</v>
      </c>
      <c r="BN72">
        <v>8</v>
      </c>
      <c r="BO72">
        <v>8</v>
      </c>
      <c r="BP72">
        <v>0</v>
      </c>
      <c r="BQ72" t="str">
        <f>"8:00 AM"</f>
        <v>8:00 AM</v>
      </c>
      <c r="BR72" t="str">
        <f>"5:00 PM"</f>
        <v>5:00 PM</v>
      </c>
      <c r="BS72" t="s">
        <v>131</v>
      </c>
      <c r="BT72">
        <v>0</v>
      </c>
      <c r="BU72">
        <v>0</v>
      </c>
      <c r="BV72" t="s">
        <v>114</v>
      </c>
      <c r="BX72" t="s">
        <v>132</v>
      </c>
      <c r="BY72" t="s">
        <v>5236</v>
      </c>
      <c r="CA72" t="s">
        <v>5233</v>
      </c>
      <c r="CB72" t="s">
        <v>358</v>
      </c>
      <c r="CC72" s="8" t="str">
        <f>"10956"</f>
        <v>10956</v>
      </c>
      <c r="CD72" t="s">
        <v>5237</v>
      </c>
      <c r="CE72" t="s">
        <v>1418</v>
      </c>
      <c r="CF72" s="12">
        <v>20.81</v>
      </c>
      <c r="CG72" s="12">
        <v>20.81</v>
      </c>
      <c r="CH72" s="12">
        <v>31.22</v>
      </c>
      <c r="CI72" s="12">
        <v>31.22</v>
      </c>
      <c r="CJ72" t="s">
        <v>135</v>
      </c>
      <c r="CK72" t="s">
        <v>132</v>
      </c>
      <c r="CL72" t="s">
        <v>5238</v>
      </c>
      <c r="CO72" t="s">
        <v>132</v>
      </c>
      <c r="CP72" t="s">
        <v>136</v>
      </c>
      <c r="CQ72" t="s">
        <v>136</v>
      </c>
      <c r="CR72" t="s">
        <v>136</v>
      </c>
      <c r="CS72" t="s">
        <v>114</v>
      </c>
      <c r="CT72" t="s">
        <v>136</v>
      </c>
      <c r="CU72" t="s">
        <v>114</v>
      </c>
      <c r="CV72" t="s">
        <v>1480</v>
      </c>
      <c r="CW72" s="10" t="str">
        <f>"+18454266007"</f>
        <v>+18454266007</v>
      </c>
      <c r="CX72" t="s">
        <v>5239</v>
      </c>
      <c r="CY72" t="s">
        <v>132</v>
      </c>
      <c r="CZ72" t="s">
        <v>137</v>
      </c>
      <c r="DA72" t="s">
        <v>114</v>
      </c>
      <c r="DB72" t="s">
        <v>114</v>
      </c>
      <c r="DC72" t="s">
        <v>136</v>
      </c>
      <c r="DD72" t="s">
        <v>114</v>
      </c>
    </row>
    <row r="73" spans="1:113" ht="15" customHeight="1" x14ac:dyDescent="0.25">
      <c r="A73" t="s">
        <v>7479</v>
      </c>
      <c r="B73" t="s">
        <v>152</v>
      </c>
      <c r="C73" s="1">
        <v>45262.027303356481</v>
      </c>
      <c r="D73" s="1">
        <v>45288</v>
      </c>
      <c r="E73" t="s">
        <v>132</v>
      </c>
      <c r="F73" t="s">
        <v>7480</v>
      </c>
      <c r="G73" t="str">
        <f>"37-3011.00"</f>
        <v>37-3011.00</v>
      </c>
      <c r="H73" t="s">
        <v>429</v>
      </c>
      <c r="I73">
        <v>5</v>
      </c>
      <c r="J73">
        <v>5</v>
      </c>
      <c r="K73" s="1">
        <v>45352</v>
      </c>
      <c r="L73" s="1">
        <v>45631</v>
      </c>
      <c r="M73" s="1">
        <v>45352</v>
      </c>
      <c r="N73" s="1">
        <v>45631</v>
      </c>
      <c r="O73" t="s">
        <v>238</v>
      </c>
      <c r="P73" t="s">
        <v>7481</v>
      </c>
      <c r="R73" t="s">
        <v>7482</v>
      </c>
      <c r="T73" t="s">
        <v>7483</v>
      </c>
      <c r="U73" t="s">
        <v>358</v>
      </c>
      <c r="V73" s="8" t="str">
        <f>"11965"</f>
        <v>11965</v>
      </c>
      <c r="W73" t="s">
        <v>118</v>
      </c>
      <c r="Y73" s="10">
        <v>16317490127</v>
      </c>
      <c r="AA73">
        <v>56173</v>
      </c>
      <c r="AB73" t="s">
        <v>7484</v>
      </c>
      <c r="AC73" t="s">
        <v>7485</v>
      </c>
      <c r="AE73" t="s">
        <v>654</v>
      </c>
      <c r="AF73" t="s">
        <v>7482</v>
      </c>
      <c r="AH73" t="s">
        <v>7483</v>
      </c>
      <c r="AI73" t="s">
        <v>358</v>
      </c>
      <c r="AJ73" s="8" t="str">
        <f>"11965"</f>
        <v>11965</v>
      </c>
      <c r="AK73" t="s">
        <v>118</v>
      </c>
      <c r="AM73" s="10">
        <v>16317490127</v>
      </c>
      <c r="AO73" t="s">
        <v>132</v>
      </c>
      <c r="AP73" t="s">
        <v>248</v>
      </c>
      <c r="AQ73" t="s">
        <v>354</v>
      </c>
      <c r="AR73" t="s">
        <v>355</v>
      </c>
      <c r="AT73" t="s">
        <v>356</v>
      </c>
      <c r="AV73" t="s">
        <v>357</v>
      </c>
      <c r="AW73" t="s">
        <v>358</v>
      </c>
      <c r="AX73" s="8" t="str">
        <f>"11590"</f>
        <v>11590</v>
      </c>
      <c r="AY73" t="s">
        <v>118</v>
      </c>
      <c r="BA73" s="10">
        <v>15163307168</v>
      </c>
      <c r="BC73" t="s">
        <v>359</v>
      </c>
      <c r="BD73" t="s">
        <v>360</v>
      </c>
      <c r="BG73" t="s">
        <v>358</v>
      </c>
      <c r="BH73" s="1">
        <v>45214.833333333336</v>
      </c>
      <c r="BI73">
        <v>40</v>
      </c>
      <c r="BJ73">
        <v>0</v>
      </c>
      <c r="BK73">
        <v>8</v>
      </c>
      <c r="BL73">
        <v>8</v>
      </c>
      <c r="BM73">
        <v>8</v>
      </c>
      <c r="BN73">
        <v>8</v>
      </c>
      <c r="BO73">
        <v>8</v>
      </c>
      <c r="BP73">
        <v>0</v>
      </c>
      <c r="BQ73" t="str">
        <f>"8:00 AM"</f>
        <v>8:00 AM</v>
      </c>
      <c r="BR73" t="str">
        <f>"5:00 PM"</f>
        <v>5:00 PM</v>
      </c>
      <c r="BS73" t="s">
        <v>131</v>
      </c>
      <c r="BT73">
        <v>0</v>
      </c>
      <c r="BU73">
        <v>0</v>
      </c>
      <c r="BV73" t="s">
        <v>114</v>
      </c>
      <c r="BX73" t="s">
        <v>132</v>
      </c>
      <c r="BY73" t="s">
        <v>7486</v>
      </c>
      <c r="CA73" t="s">
        <v>7483</v>
      </c>
      <c r="CB73" t="s">
        <v>358</v>
      </c>
      <c r="CC73" s="8" t="str">
        <f>"11965"</f>
        <v>11965</v>
      </c>
      <c r="CD73" t="s">
        <v>1752</v>
      </c>
      <c r="CE73" t="s">
        <v>1418</v>
      </c>
      <c r="CF73" s="12">
        <v>20.81</v>
      </c>
      <c r="CG73" s="12">
        <v>20.81</v>
      </c>
      <c r="CH73" s="12">
        <v>31.22</v>
      </c>
      <c r="CI73" s="12">
        <v>31.22</v>
      </c>
      <c r="CJ73" t="s">
        <v>135</v>
      </c>
      <c r="CK73" t="s">
        <v>132</v>
      </c>
      <c r="CL73" t="s">
        <v>7487</v>
      </c>
      <c r="CO73" t="s">
        <v>132</v>
      </c>
      <c r="CP73" t="s">
        <v>136</v>
      </c>
      <c r="CQ73" t="s">
        <v>136</v>
      </c>
      <c r="CR73" t="s">
        <v>136</v>
      </c>
      <c r="CS73" t="s">
        <v>114</v>
      </c>
      <c r="CT73" t="s">
        <v>136</v>
      </c>
      <c r="CU73" t="s">
        <v>114</v>
      </c>
      <c r="CV73" t="s">
        <v>1480</v>
      </c>
      <c r="CW73" s="10" t="str">
        <f>"+16317490127"</f>
        <v>+16317490127</v>
      </c>
      <c r="CX73" t="s">
        <v>7488</v>
      </c>
      <c r="CY73" t="s">
        <v>132</v>
      </c>
      <c r="CZ73" t="s">
        <v>137</v>
      </c>
      <c r="DA73" t="s">
        <v>114</v>
      </c>
      <c r="DB73" t="s">
        <v>114</v>
      </c>
      <c r="DC73" t="s">
        <v>136</v>
      </c>
      <c r="DD73" t="s">
        <v>114</v>
      </c>
    </row>
    <row r="74" spans="1:113" ht="15" customHeight="1" x14ac:dyDescent="0.25">
      <c r="A74" t="s">
        <v>18981</v>
      </c>
      <c r="B74" t="s">
        <v>152</v>
      </c>
      <c r="C74" s="1">
        <v>45262.019386574073</v>
      </c>
      <c r="D74" s="1">
        <v>45288</v>
      </c>
      <c r="E74" t="s">
        <v>132</v>
      </c>
      <c r="F74" t="s">
        <v>1961</v>
      </c>
      <c r="G74" t="str">
        <f>"37-3011.00"</f>
        <v>37-3011.00</v>
      </c>
      <c r="H74" t="s">
        <v>429</v>
      </c>
      <c r="I74">
        <v>15</v>
      </c>
      <c r="J74">
        <v>15</v>
      </c>
      <c r="K74" s="1">
        <v>45352</v>
      </c>
      <c r="L74" s="1">
        <v>45641</v>
      </c>
      <c r="M74" s="1">
        <v>45352</v>
      </c>
      <c r="N74" s="1">
        <v>45641</v>
      </c>
      <c r="O74" t="s">
        <v>238</v>
      </c>
      <c r="P74" t="s">
        <v>18982</v>
      </c>
      <c r="R74" t="s">
        <v>18983</v>
      </c>
      <c r="T74" t="s">
        <v>18984</v>
      </c>
      <c r="U74" t="s">
        <v>358</v>
      </c>
      <c r="V74" s="8" t="str">
        <f>"10989"</f>
        <v>10989</v>
      </c>
      <c r="W74" t="s">
        <v>118</v>
      </c>
      <c r="Y74" s="10">
        <v>18456272491</v>
      </c>
      <c r="AA74">
        <v>56173</v>
      </c>
      <c r="AB74" t="s">
        <v>16596</v>
      </c>
      <c r="AC74" t="s">
        <v>13364</v>
      </c>
      <c r="AE74" t="s">
        <v>654</v>
      </c>
      <c r="AF74" t="s">
        <v>18983</v>
      </c>
      <c r="AH74" t="s">
        <v>18984</v>
      </c>
      <c r="AI74" t="s">
        <v>358</v>
      </c>
      <c r="AJ74" s="8" t="str">
        <f>"10989"</f>
        <v>10989</v>
      </c>
      <c r="AK74" t="s">
        <v>118</v>
      </c>
      <c r="AM74" s="10">
        <v>18456272491</v>
      </c>
      <c r="AO74" t="s">
        <v>132</v>
      </c>
      <c r="AP74" t="s">
        <v>248</v>
      </c>
      <c r="AQ74" t="s">
        <v>354</v>
      </c>
      <c r="AR74" t="s">
        <v>355</v>
      </c>
      <c r="AT74" t="s">
        <v>356</v>
      </c>
      <c r="AV74" t="s">
        <v>357</v>
      </c>
      <c r="AW74" t="s">
        <v>358</v>
      </c>
      <c r="AX74" s="8" t="str">
        <f>"11590"</f>
        <v>11590</v>
      </c>
      <c r="AY74" t="s">
        <v>118</v>
      </c>
      <c r="BA74" s="10">
        <v>15163307168</v>
      </c>
      <c r="BC74" t="s">
        <v>359</v>
      </c>
      <c r="BD74" t="s">
        <v>360</v>
      </c>
      <c r="BG74" t="s">
        <v>358</v>
      </c>
      <c r="BH74" s="1">
        <v>45203.833333333336</v>
      </c>
      <c r="BI74">
        <v>40</v>
      </c>
      <c r="BJ74">
        <v>0</v>
      </c>
      <c r="BK74">
        <v>8</v>
      </c>
      <c r="BL74">
        <v>8</v>
      </c>
      <c r="BM74">
        <v>8</v>
      </c>
      <c r="BN74">
        <v>8</v>
      </c>
      <c r="BO74">
        <v>8</v>
      </c>
      <c r="BP74">
        <v>0</v>
      </c>
      <c r="BQ74" t="str">
        <f>"8:00 AM"</f>
        <v>8:00 AM</v>
      </c>
      <c r="BR74" t="str">
        <f>"5:00 PM"</f>
        <v>5:00 PM</v>
      </c>
      <c r="BS74" t="s">
        <v>131</v>
      </c>
      <c r="BT74">
        <v>0</v>
      </c>
      <c r="BU74">
        <v>0</v>
      </c>
      <c r="BV74" t="s">
        <v>114</v>
      </c>
      <c r="BX74" t="s">
        <v>132</v>
      </c>
      <c r="BY74" t="s">
        <v>18983</v>
      </c>
      <c r="CA74" t="s">
        <v>18984</v>
      </c>
      <c r="CB74" t="s">
        <v>358</v>
      </c>
      <c r="CC74" s="8" t="str">
        <f>"10989"</f>
        <v>10989</v>
      </c>
      <c r="CD74" t="s">
        <v>5237</v>
      </c>
      <c r="CE74" t="s">
        <v>1418</v>
      </c>
      <c r="CF74" s="12">
        <v>20.81</v>
      </c>
      <c r="CG74" s="12">
        <v>20.81</v>
      </c>
      <c r="CH74" s="12">
        <v>31.22</v>
      </c>
      <c r="CI74" s="12">
        <v>31.22</v>
      </c>
      <c r="CJ74" t="s">
        <v>135</v>
      </c>
      <c r="CK74" t="s">
        <v>132</v>
      </c>
      <c r="CL74" t="s">
        <v>18985</v>
      </c>
      <c r="CO74" t="s">
        <v>132</v>
      </c>
      <c r="CP74" t="s">
        <v>136</v>
      </c>
      <c r="CQ74" t="s">
        <v>136</v>
      </c>
      <c r="CR74" t="s">
        <v>136</v>
      </c>
      <c r="CS74" t="s">
        <v>114</v>
      </c>
      <c r="CT74" t="s">
        <v>136</v>
      </c>
      <c r="CU74" t="s">
        <v>114</v>
      </c>
      <c r="CV74" t="s">
        <v>1480</v>
      </c>
      <c r="CW74" s="10" t="str">
        <f>"+18456272491"</f>
        <v>+18456272491</v>
      </c>
      <c r="CX74" t="s">
        <v>16598</v>
      </c>
      <c r="CY74" t="s">
        <v>132</v>
      </c>
      <c r="CZ74" t="s">
        <v>137</v>
      </c>
      <c r="DA74" t="s">
        <v>114</v>
      </c>
      <c r="DB74" t="s">
        <v>114</v>
      </c>
      <c r="DC74" t="s">
        <v>136</v>
      </c>
      <c r="DD74" t="s">
        <v>114</v>
      </c>
    </row>
    <row r="75" spans="1:113" ht="15" customHeight="1" x14ac:dyDescent="0.25">
      <c r="A75" t="s">
        <v>17541</v>
      </c>
      <c r="B75" t="s">
        <v>152</v>
      </c>
      <c r="C75" s="1">
        <v>45262.014026620367</v>
      </c>
      <c r="D75" s="1">
        <v>45288</v>
      </c>
      <c r="E75" t="s">
        <v>132</v>
      </c>
      <c r="F75" t="s">
        <v>1961</v>
      </c>
      <c r="G75" t="str">
        <f>"37-3011.00"</f>
        <v>37-3011.00</v>
      </c>
      <c r="H75" t="s">
        <v>429</v>
      </c>
      <c r="I75">
        <v>27</v>
      </c>
      <c r="J75">
        <v>27</v>
      </c>
      <c r="K75" s="1">
        <v>45352</v>
      </c>
      <c r="L75" s="1">
        <v>45646</v>
      </c>
      <c r="M75" s="1">
        <v>45352</v>
      </c>
      <c r="N75" s="1">
        <v>45646</v>
      </c>
      <c r="O75" t="s">
        <v>238</v>
      </c>
      <c r="P75" t="s">
        <v>8192</v>
      </c>
      <c r="R75" t="s">
        <v>8193</v>
      </c>
      <c r="T75" t="s">
        <v>5522</v>
      </c>
      <c r="U75" t="s">
        <v>1776</v>
      </c>
      <c r="V75" s="8" t="str">
        <f>"08535"</f>
        <v>08535</v>
      </c>
      <c r="W75" t="s">
        <v>118</v>
      </c>
      <c r="Y75" s="10">
        <v>17326853430</v>
      </c>
      <c r="AA75">
        <v>56173</v>
      </c>
      <c r="AB75" t="s">
        <v>5523</v>
      </c>
      <c r="AC75" t="s">
        <v>2749</v>
      </c>
      <c r="AE75" t="s">
        <v>654</v>
      </c>
      <c r="AF75" t="s">
        <v>8193</v>
      </c>
      <c r="AH75" t="s">
        <v>5522</v>
      </c>
      <c r="AI75" t="s">
        <v>1776</v>
      </c>
      <c r="AJ75" s="8" t="str">
        <f>"08535"</f>
        <v>08535</v>
      </c>
      <c r="AK75" t="s">
        <v>118</v>
      </c>
      <c r="AM75" s="10">
        <v>17326853430</v>
      </c>
      <c r="AO75" t="s">
        <v>132</v>
      </c>
      <c r="AP75" t="s">
        <v>248</v>
      </c>
      <c r="AQ75" t="s">
        <v>354</v>
      </c>
      <c r="AR75" t="s">
        <v>355</v>
      </c>
      <c r="AT75" t="s">
        <v>356</v>
      </c>
      <c r="AV75" t="s">
        <v>357</v>
      </c>
      <c r="AW75" t="s">
        <v>358</v>
      </c>
      <c r="AX75" s="8" t="str">
        <f>"11590"</f>
        <v>11590</v>
      </c>
      <c r="AY75" t="s">
        <v>118</v>
      </c>
      <c r="BA75" s="10">
        <v>15163307168</v>
      </c>
      <c r="BC75" t="s">
        <v>359</v>
      </c>
      <c r="BD75" t="s">
        <v>360</v>
      </c>
      <c r="BG75" t="s">
        <v>1776</v>
      </c>
      <c r="BH75" s="1">
        <v>45238.791666666664</v>
      </c>
      <c r="BI75">
        <v>40</v>
      </c>
      <c r="BJ75">
        <v>0</v>
      </c>
      <c r="BK75">
        <v>8</v>
      </c>
      <c r="BL75">
        <v>8</v>
      </c>
      <c r="BM75">
        <v>8</v>
      </c>
      <c r="BN75">
        <v>8</v>
      </c>
      <c r="BO75">
        <v>8</v>
      </c>
      <c r="BP75">
        <v>0</v>
      </c>
      <c r="BQ75" t="str">
        <f>"8:00 AM"</f>
        <v>8:00 AM</v>
      </c>
      <c r="BR75" t="str">
        <f>"5:00 PM"</f>
        <v>5:00 PM</v>
      </c>
      <c r="BS75" t="s">
        <v>147</v>
      </c>
      <c r="BT75">
        <v>0</v>
      </c>
      <c r="BU75">
        <v>0</v>
      </c>
      <c r="BV75" t="s">
        <v>114</v>
      </c>
      <c r="BX75" t="s">
        <v>1789</v>
      </c>
      <c r="BY75" t="s">
        <v>17542</v>
      </c>
      <c r="CA75" t="s">
        <v>5522</v>
      </c>
      <c r="CB75" t="s">
        <v>1776</v>
      </c>
      <c r="CC75" s="8" t="str">
        <f>"08535"</f>
        <v>08535</v>
      </c>
      <c r="CD75" t="s">
        <v>3721</v>
      </c>
      <c r="CE75" t="s">
        <v>443</v>
      </c>
      <c r="CF75" s="12">
        <v>18.71</v>
      </c>
      <c r="CG75" s="12">
        <v>18.71</v>
      </c>
      <c r="CH75" s="12">
        <v>28.07</v>
      </c>
      <c r="CI75" s="12">
        <v>28.07</v>
      </c>
      <c r="CJ75" t="s">
        <v>135</v>
      </c>
      <c r="CL75" t="s">
        <v>17543</v>
      </c>
      <c r="CO75" t="s">
        <v>132</v>
      </c>
      <c r="CP75" t="s">
        <v>136</v>
      </c>
      <c r="CQ75" t="s">
        <v>136</v>
      </c>
      <c r="CR75" t="s">
        <v>136</v>
      </c>
      <c r="CS75" t="s">
        <v>114</v>
      </c>
      <c r="CT75" t="s">
        <v>136</v>
      </c>
      <c r="CU75" t="s">
        <v>114</v>
      </c>
      <c r="CV75" t="s">
        <v>1789</v>
      </c>
      <c r="CW75" s="10" t="str">
        <f>"+17326853430"</f>
        <v>+17326853430</v>
      </c>
      <c r="CX75" t="s">
        <v>132</v>
      </c>
      <c r="CY75" t="s">
        <v>8195</v>
      </c>
      <c r="CZ75" t="s">
        <v>137</v>
      </c>
      <c r="DA75" t="s">
        <v>114</v>
      </c>
      <c r="DB75" t="s">
        <v>114</v>
      </c>
      <c r="DC75" t="s">
        <v>136</v>
      </c>
      <c r="DD75" t="s">
        <v>114</v>
      </c>
    </row>
    <row r="76" spans="1:113" ht="15" customHeight="1" x14ac:dyDescent="0.25">
      <c r="A76" t="s">
        <v>12562</v>
      </c>
      <c r="B76" t="s">
        <v>152</v>
      </c>
      <c r="C76" s="1">
        <v>45262.00906585648</v>
      </c>
      <c r="D76" s="1">
        <v>45288</v>
      </c>
      <c r="E76" t="s">
        <v>132</v>
      </c>
      <c r="F76" t="s">
        <v>2588</v>
      </c>
      <c r="G76" t="str">
        <f>"37-2011.00"</f>
        <v>37-2011.00</v>
      </c>
      <c r="H76" t="s">
        <v>1089</v>
      </c>
      <c r="I76">
        <v>8</v>
      </c>
      <c r="J76">
        <v>8</v>
      </c>
      <c r="K76" s="1">
        <v>45352</v>
      </c>
      <c r="L76" s="1">
        <v>45641</v>
      </c>
      <c r="M76" s="1">
        <v>45352</v>
      </c>
      <c r="N76" s="1">
        <v>45641</v>
      </c>
      <c r="O76" t="s">
        <v>238</v>
      </c>
      <c r="P76" t="s">
        <v>11039</v>
      </c>
      <c r="R76" t="s">
        <v>11040</v>
      </c>
      <c r="T76" t="s">
        <v>10987</v>
      </c>
      <c r="U76" t="s">
        <v>358</v>
      </c>
      <c r="V76" s="8" t="str">
        <f>"11801"</f>
        <v>11801</v>
      </c>
      <c r="W76" t="s">
        <v>118</v>
      </c>
      <c r="Y76" s="10">
        <v>15164334311</v>
      </c>
      <c r="AA76">
        <v>561790</v>
      </c>
      <c r="AB76" t="s">
        <v>11041</v>
      </c>
      <c r="AC76" t="s">
        <v>4294</v>
      </c>
      <c r="AE76" t="s">
        <v>654</v>
      </c>
      <c r="AF76" t="s">
        <v>11042</v>
      </c>
      <c r="AH76" t="s">
        <v>10987</v>
      </c>
      <c r="AI76" t="s">
        <v>358</v>
      </c>
      <c r="AJ76" s="8" t="str">
        <f>"11801"</f>
        <v>11801</v>
      </c>
      <c r="AK76" t="s">
        <v>118</v>
      </c>
      <c r="AM76" s="10">
        <v>15164334311</v>
      </c>
      <c r="AO76" t="s">
        <v>132</v>
      </c>
      <c r="AP76" t="s">
        <v>248</v>
      </c>
      <c r="AQ76" t="s">
        <v>354</v>
      </c>
      <c r="AR76" t="s">
        <v>355</v>
      </c>
      <c r="AT76" t="s">
        <v>356</v>
      </c>
      <c r="AV76" t="s">
        <v>357</v>
      </c>
      <c r="AW76" t="s">
        <v>358</v>
      </c>
      <c r="AX76" s="8" t="str">
        <f>"11590"</f>
        <v>11590</v>
      </c>
      <c r="AY76" t="s">
        <v>118</v>
      </c>
      <c r="BA76" s="10">
        <v>15163307168</v>
      </c>
      <c r="BC76" t="s">
        <v>359</v>
      </c>
      <c r="BD76" t="s">
        <v>360</v>
      </c>
      <c r="BG76" t="s">
        <v>358</v>
      </c>
      <c r="BH76" s="1">
        <v>45201.833333333336</v>
      </c>
      <c r="BI76">
        <v>40</v>
      </c>
      <c r="BJ76">
        <v>0</v>
      </c>
      <c r="BK76">
        <v>8</v>
      </c>
      <c r="BL76">
        <v>8</v>
      </c>
      <c r="BM76">
        <v>8</v>
      </c>
      <c r="BN76">
        <v>8</v>
      </c>
      <c r="BO76">
        <v>8</v>
      </c>
      <c r="BP76">
        <v>0</v>
      </c>
      <c r="BQ76" t="str">
        <f>"8:00 AM"</f>
        <v>8:00 AM</v>
      </c>
      <c r="BR76" t="str">
        <f>"4:00 PM"</f>
        <v>4:00 PM</v>
      </c>
      <c r="BS76" t="s">
        <v>131</v>
      </c>
      <c r="BT76">
        <v>0</v>
      </c>
      <c r="BU76">
        <v>0</v>
      </c>
      <c r="BV76" t="s">
        <v>114</v>
      </c>
      <c r="BX76" t="s">
        <v>132</v>
      </c>
      <c r="BY76" t="s">
        <v>11040</v>
      </c>
      <c r="CA76" t="s">
        <v>10987</v>
      </c>
      <c r="CB76" t="s">
        <v>358</v>
      </c>
      <c r="CC76" s="8" t="str">
        <f>"11801"</f>
        <v>11801</v>
      </c>
      <c r="CD76" t="s">
        <v>2352</v>
      </c>
      <c r="CE76" t="s">
        <v>1418</v>
      </c>
      <c r="CF76" s="12">
        <v>20.14</v>
      </c>
      <c r="CG76" s="12">
        <v>20.14</v>
      </c>
      <c r="CH76" s="12">
        <v>30.21</v>
      </c>
      <c r="CI76" s="12">
        <v>30.21</v>
      </c>
      <c r="CJ76" t="s">
        <v>135</v>
      </c>
      <c r="CK76" t="s">
        <v>132</v>
      </c>
      <c r="CL76" t="s">
        <v>12563</v>
      </c>
      <c r="CO76" t="s">
        <v>132</v>
      </c>
      <c r="CP76" t="s">
        <v>136</v>
      </c>
      <c r="CQ76" t="s">
        <v>136</v>
      </c>
      <c r="CR76" t="s">
        <v>136</v>
      </c>
      <c r="CS76" t="s">
        <v>114</v>
      </c>
      <c r="CT76" t="s">
        <v>136</v>
      </c>
      <c r="CU76" t="s">
        <v>114</v>
      </c>
      <c r="CV76" t="s">
        <v>1480</v>
      </c>
      <c r="CW76" s="10" t="str">
        <f>"+15164334311"</f>
        <v>+15164334311</v>
      </c>
      <c r="CX76" t="s">
        <v>11044</v>
      </c>
      <c r="CY76" t="s">
        <v>132</v>
      </c>
      <c r="CZ76" t="s">
        <v>137</v>
      </c>
      <c r="DA76" t="s">
        <v>114</v>
      </c>
      <c r="DB76" t="s">
        <v>114</v>
      </c>
      <c r="DC76" t="s">
        <v>136</v>
      </c>
      <c r="DD76" t="s">
        <v>114</v>
      </c>
    </row>
    <row r="77" spans="1:113" ht="15" customHeight="1" x14ac:dyDescent="0.25">
      <c r="A77" t="s">
        <v>12662</v>
      </c>
      <c r="B77" t="s">
        <v>152</v>
      </c>
      <c r="C77" s="1">
        <v>45262.007579513891</v>
      </c>
      <c r="D77" s="1">
        <v>45288</v>
      </c>
      <c r="E77" t="s">
        <v>132</v>
      </c>
      <c r="F77" t="s">
        <v>1595</v>
      </c>
      <c r="G77" t="str">
        <f>"37-3011.00"</f>
        <v>37-3011.00</v>
      </c>
      <c r="H77" t="s">
        <v>429</v>
      </c>
      <c r="I77">
        <v>8</v>
      </c>
      <c r="J77">
        <v>8</v>
      </c>
      <c r="K77" s="1">
        <v>45352</v>
      </c>
      <c r="L77" s="1">
        <v>45642</v>
      </c>
      <c r="M77" s="1">
        <v>45352</v>
      </c>
      <c r="N77" s="1">
        <v>45642</v>
      </c>
      <c r="O77" t="s">
        <v>238</v>
      </c>
      <c r="P77" t="s">
        <v>12663</v>
      </c>
      <c r="Q77" t="s">
        <v>12664</v>
      </c>
      <c r="R77" t="s">
        <v>12665</v>
      </c>
      <c r="S77" t="s">
        <v>12666</v>
      </c>
      <c r="T77" t="s">
        <v>3768</v>
      </c>
      <c r="U77" t="s">
        <v>543</v>
      </c>
      <c r="V77" s="8" t="str">
        <f>"43702"</f>
        <v>43702</v>
      </c>
      <c r="W77" t="s">
        <v>118</v>
      </c>
      <c r="Y77" s="10">
        <v>17408493075</v>
      </c>
      <c r="AA77">
        <v>56173</v>
      </c>
      <c r="AB77" t="s">
        <v>12667</v>
      </c>
      <c r="AC77" t="s">
        <v>690</v>
      </c>
      <c r="AE77" t="s">
        <v>629</v>
      </c>
      <c r="AF77" t="s">
        <v>12665</v>
      </c>
      <c r="AG77" t="s">
        <v>12666</v>
      </c>
      <c r="AH77" t="s">
        <v>3768</v>
      </c>
      <c r="AI77" t="s">
        <v>543</v>
      </c>
      <c r="AJ77" s="8" t="str">
        <f>"43702"</f>
        <v>43702</v>
      </c>
      <c r="AK77" t="s">
        <v>118</v>
      </c>
      <c r="AM77" s="10">
        <v>17408493075</v>
      </c>
      <c r="AO77" t="s">
        <v>132</v>
      </c>
      <c r="AP77" t="s">
        <v>248</v>
      </c>
      <c r="AQ77" t="s">
        <v>12668</v>
      </c>
      <c r="AR77" t="s">
        <v>12669</v>
      </c>
      <c r="AT77" t="s">
        <v>579</v>
      </c>
      <c r="AV77" t="s">
        <v>580</v>
      </c>
      <c r="AW77" t="s">
        <v>581</v>
      </c>
      <c r="AX77" s="8" t="str">
        <f>"22903"</f>
        <v>22903</v>
      </c>
      <c r="AY77" t="s">
        <v>118</v>
      </c>
      <c r="BA77" s="10">
        <v>14342634300</v>
      </c>
      <c r="BC77" t="s">
        <v>2271</v>
      </c>
      <c r="BD77" t="s">
        <v>583</v>
      </c>
      <c r="BG77" t="s">
        <v>543</v>
      </c>
      <c r="BH77" s="1">
        <v>45261.791666666664</v>
      </c>
      <c r="BI77">
        <v>40</v>
      </c>
      <c r="BJ77">
        <v>0</v>
      </c>
      <c r="BK77">
        <v>8</v>
      </c>
      <c r="BL77">
        <v>8</v>
      </c>
      <c r="BM77">
        <v>8</v>
      </c>
      <c r="BN77">
        <v>8</v>
      </c>
      <c r="BO77">
        <v>8</v>
      </c>
      <c r="BP77">
        <v>0</v>
      </c>
      <c r="BQ77" t="str">
        <f>"7:00 AM"</f>
        <v>7:00 AM</v>
      </c>
      <c r="BR77" t="str">
        <f>"3:30 PM"</f>
        <v>3:30 PM</v>
      </c>
      <c r="BS77" t="s">
        <v>131</v>
      </c>
      <c r="BT77">
        <v>0</v>
      </c>
      <c r="BU77">
        <v>3</v>
      </c>
      <c r="BV77" t="s">
        <v>114</v>
      </c>
      <c r="BX77" s="2" t="s">
        <v>12670</v>
      </c>
      <c r="BY77" t="s">
        <v>12665</v>
      </c>
      <c r="CA77" t="s">
        <v>3768</v>
      </c>
      <c r="CB77" t="s">
        <v>543</v>
      </c>
      <c r="CC77" s="8" t="str">
        <f>"43701"</f>
        <v>43701</v>
      </c>
      <c r="CD77" t="s">
        <v>12575</v>
      </c>
      <c r="CE77" t="s">
        <v>11205</v>
      </c>
      <c r="CF77" s="12">
        <v>17.46</v>
      </c>
      <c r="CG77" s="12">
        <v>17.46</v>
      </c>
      <c r="CH77" s="12">
        <v>26.19</v>
      </c>
      <c r="CI77" s="12">
        <v>26.19</v>
      </c>
      <c r="CJ77" t="s">
        <v>135</v>
      </c>
      <c r="CK77" t="s">
        <v>590</v>
      </c>
      <c r="CL77" t="s">
        <v>12671</v>
      </c>
      <c r="CO77" t="s">
        <v>132</v>
      </c>
      <c r="CP77" t="s">
        <v>136</v>
      </c>
      <c r="CQ77" t="s">
        <v>136</v>
      </c>
      <c r="CR77" t="s">
        <v>136</v>
      </c>
      <c r="CS77" t="s">
        <v>114</v>
      </c>
      <c r="CT77" t="s">
        <v>136</v>
      </c>
      <c r="CU77" t="s">
        <v>136</v>
      </c>
      <c r="CV77" t="s">
        <v>12672</v>
      </c>
      <c r="CW77" s="10" t="str">
        <f>"N/A"</f>
        <v>N/A</v>
      </c>
      <c r="CX77" t="s">
        <v>12673</v>
      </c>
      <c r="CY77" t="s">
        <v>2025</v>
      </c>
      <c r="CZ77" t="s">
        <v>137</v>
      </c>
      <c r="DA77" t="s">
        <v>114</v>
      </c>
      <c r="DB77" t="s">
        <v>136</v>
      </c>
      <c r="DC77" t="s">
        <v>136</v>
      </c>
      <c r="DD77" t="s">
        <v>114</v>
      </c>
      <c r="DE77" t="s">
        <v>2273</v>
      </c>
      <c r="DF77" t="s">
        <v>1069</v>
      </c>
      <c r="DH77" t="s">
        <v>583</v>
      </c>
      <c r="DI77" t="s">
        <v>2271</v>
      </c>
    </row>
    <row r="78" spans="1:113" ht="15" customHeight="1" x14ac:dyDescent="0.25">
      <c r="A78" t="s">
        <v>19982</v>
      </c>
      <c r="B78" t="s">
        <v>152</v>
      </c>
      <c r="C78" s="1">
        <v>45262.003443171299</v>
      </c>
      <c r="D78" s="1">
        <v>45288</v>
      </c>
      <c r="E78" t="s">
        <v>132</v>
      </c>
      <c r="F78" t="s">
        <v>1595</v>
      </c>
      <c r="G78" t="str">
        <f>"37-3011.00"</f>
        <v>37-3011.00</v>
      </c>
      <c r="H78" t="s">
        <v>429</v>
      </c>
      <c r="I78">
        <v>10</v>
      </c>
      <c r="J78">
        <v>10</v>
      </c>
      <c r="K78" s="1">
        <v>45352</v>
      </c>
      <c r="L78" s="1">
        <v>45626</v>
      </c>
      <c r="M78" s="1">
        <v>45352</v>
      </c>
      <c r="N78" s="1">
        <v>45626</v>
      </c>
      <c r="O78" t="s">
        <v>116</v>
      </c>
      <c r="P78" t="s">
        <v>19983</v>
      </c>
      <c r="R78" t="s">
        <v>19984</v>
      </c>
      <c r="S78" t="s">
        <v>19985</v>
      </c>
      <c r="T78" t="s">
        <v>2863</v>
      </c>
      <c r="U78" t="s">
        <v>543</v>
      </c>
      <c r="V78" s="8" t="str">
        <f>"44026"</f>
        <v>44026</v>
      </c>
      <c r="W78" t="s">
        <v>118</v>
      </c>
      <c r="Y78" s="10">
        <v>14403361590</v>
      </c>
      <c r="AA78">
        <v>561730</v>
      </c>
      <c r="AB78" t="s">
        <v>17895</v>
      </c>
      <c r="AC78" t="s">
        <v>19986</v>
      </c>
      <c r="AD78" t="s">
        <v>962</v>
      </c>
      <c r="AE78" t="s">
        <v>17695</v>
      </c>
      <c r="AF78" t="s">
        <v>19984</v>
      </c>
      <c r="AG78" t="s">
        <v>19985</v>
      </c>
      <c r="AH78" t="s">
        <v>2863</v>
      </c>
      <c r="AI78" t="s">
        <v>543</v>
      </c>
      <c r="AJ78" s="8" t="str">
        <f>"44026"</f>
        <v>44026</v>
      </c>
      <c r="AK78" t="s">
        <v>118</v>
      </c>
      <c r="AM78" s="10">
        <v>14403361590</v>
      </c>
      <c r="AO78" t="s">
        <v>19987</v>
      </c>
      <c r="AP78" t="s">
        <v>248</v>
      </c>
      <c r="AQ78" t="s">
        <v>1860</v>
      </c>
      <c r="AR78" t="s">
        <v>1861</v>
      </c>
      <c r="AS78" t="s">
        <v>1862</v>
      </c>
      <c r="AT78" t="s">
        <v>1863</v>
      </c>
      <c r="AU78" t="s">
        <v>1864</v>
      </c>
      <c r="AV78" t="s">
        <v>1865</v>
      </c>
      <c r="AW78" t="s">
        <v>581</v>
      </c>
      <c r="AX78" s="8" t="str">
        <f>"24521"</f>
        <v>24521</v>
      </c>
      <c r="AY78" t="s">
        <v>118</v>
      </c>
      <c r="BA78" s="10">
        <v>14349460035</v>
      </c>
      <c r="BB78">
        <v>11</v>
      </c>
      <c r="BC78" t="s">
        <v>1866</v>
      </c>
      <c r="BD78" t="s">
        <v>1867</v>
      </c>
      <c r="BG78" t="s">
        <v>543</v>
      </c>
      <c r="BH78" s="1">
        <v>45261.791666666664</v>
      </c>
      <c r="BI78">
        <v>40</v>
      </c>
      <c r="BJ78">
        <v>0</v>
      </c>
      <c r="BK78">
        <v>8</v>
      </c>
      <c r="BL78">
        <v>8</v>
      </c>
      <c r="BM78">
        <v>8</v>
      </c>
      <c r="BN78">
        <v>8</v>
      </c>
      <c r="BO78">
        <v>8</v>
      </c>
      <c r="BP78">
        <v>0</v>
      </c>
      <c r="BQ78" t="str">
        <f>"7:30 AM"</f>
        <v>7:30 AM</v>
      </c>
      <c r="BR78" t="str">
        <f>"4:15 PM"</f>
        <v>4:15 PM</v>
      </c>
      <c r="BS78" t="s">
        <v>131</v>
      </c>
      <c r="BT78">
        <v>0</v>
      </c>
      <c r="BU78">
        <v>0</v>
      </c>
      <c r="BV78" t="s">
        <v>114</v>
      </c>
      <c r="BX78" s="2" t="s">
        <v>19988</v>
      </c>
      <c r="BY78" t="s">
        <v>19984</v>
      </c>
      <c r="CA78" t="s">
        <v>2863</v>
      </c>
      <c r="CB78" t="s">
        <v>543</v>
      </c>
      <c r="CC78" s="8" t="str">
        <f>"44026"</f>
        <v>44026</v>
      </c>
      <c r="CD78" t="s">
        <v>2533</v>
      </c>
      <c r="CE78" t="s">
        <v>1839</v>
      </c>
      <c r="CF78" s="12">
        <v>17.23</v>
      </c>
      <c r="CG78" s="12">
        <v>17.23</v>
      </c>
      <c r="CH78" s="12">
        <v>25.85</v>
      </c>
      <c r="CI78" s="12">
        <v>25.85</v>
      </c>
      <c r="CJ78" t="s">
        <v>135</v>
      </c>
      <c r="CK78" t="s">
        <v>19989</v>
      </c>
      <c r="CL78" t="s">
        <v>19990</v>
      </c>
      <c r="CO78" t="s">
        <v>132</v>
      </c>
      <c r="CP78" t="s">
        <v>136</v>
      </c>
      <c r="CQ78" t="s">
        <v>136</v>
      </c>
      <c r="CR78" t="s">
        <v>136</v>
      </c>
      <c r="CS78" t="s">
        <v>136</v>
      </c>
      <c r="CT78" t="s">
        <v>136</v>
      </c>
      <c r="CU78" t="s">
        <v>114</v>
      </c>
      <c r="CV78" s="2" t="s">
        <v>14846</v>
      </c>
      <c r="CW78" s="10" t="str">
        <f>"+14403361590"</f>
        <v>+14403361590</v>
      </c>
      <c r="CX78" t="s">
        <v>19987</v>
      </c>
      <c r="CY78" t="s">
        <v>132</v>
      </c>
      <c r="CZ78" t="s">
        <v>137</v>
      </c>
      <c r="DA78" t="s">
        <v>114</v>
      </c>
      <c r="DB78" t="s">
        <v>136</v>
      </c>
      <c r="DC78" t="s">
        <v>136</v>
      </c>
      <c r="DD78" t="s">
        <v>114</v>
      </c>
    </row>
    <row r="79" spans="1:113" ht="15" customHeight="1" x14ac:dyDescent="0.25">
      <c r="A79" t="s">
        <v>11131</v>
      </c>
      <c r="B79" t="s">
        <v>152</v>
      </c>
      <c r="C79" s="1">
        <v>45262.002263078706</v>
      </c>
      <c r="D79" s="1">
        <v>45288</v>
      </c>
      <c r="E79" t="s">
        <v>132</v>
      </c>
      <c r="F79" t="s">
        <v>11132</v>
      </c>
      <c r="G79" t="str">
        <f>"39-9032.00"</f>
        <v>39-9032.00</v>
      </c>
      <c r="H79" t="s">
        <v>5300</v>
      </c>
      <c r="I79">
        <v>3</v>
      </c>
      <c r="J79">
        <v>3</v>
      </c>
      <c r="K79" s="1">
        <v>45352</v>
      </c>
      <c r="L79" s="1">
        <v>45541</v>
      </c>
      <c r="M79" s="1">
        <v>45352</v>
      </c>
      <c r="N79" s="1">
        <v>45541</v>
      </c>
      <c r="O79" t="s">
        <v>116</v>
      </c>
      <c r="P79" t="s">
        <v>11133</v>
      </c>
      <c r="R79" t="s">
        <v>5716</v>
      </c>
      <c r="T79" t="s">
        <v>5717</v>
      </c>
      <c r="U79" t="s">
        <v>127</v>
      </c>
      <c r="V79" s="8" t="str">
        <f>"75762"</f>
        <v>75762</v>
      </c>
      <c r="W79" t="s">
        <v>118</v>
      </c>
      <c r="Y79" s="10">
        <v>19035611153</v>
      </c>
      <c r="AA79">
        <v>72111</v>
      </c>
      <c r="AB79" t="s">
        <v>2044</v>
      </c>
      <c r="AC79" t="s">
        <v>2045</v>
      </c>
      <c r="AE79" t="s">
        <v>4835</v>
      </c>
      <c r="AF79" t="s">
        <v>4836</v>
      </c>
      <c r="AH79" t="s">
        <v>955</v>
      </c>
      <c r="AI79" t="s">
        <v>140</v>
      </c>
      <c r="AJ79" s="8" t="str">
        <f>"32819"</f>
        <v>32819</v>
      </c>
      <c r="AK79" t="s">
        <v>118</v>
      </c>
      <c r="AM79" s="10">
        <v>14074056774</v>
      </c>
      <c r="AO79" t="s">
        <v>132</v>
      </c>
      <c r="AP79" t="s">
        <v>248</v>
      </c>
      <c r="AQ79" t="s">
        <v>673</v>
      </c>
      <c r="AR79" t="s">
        <v>674</v>
      </c>
      <c r="AT79" t="s">
        <v>579</v>
      </c>
      <c r="AV79" t="s">
        <v>580</v>
      </c>
      <c r="AW79" t="s">
        <v>581</v>
      </c>
      <c r="AX79" s="8" t="str">
        <f>"22903"</f>
        <v>22903</v>
      </c>
      <c r="AY79" t="s">
        <v>118</v>
      </c>
      <c r="BA79" s="10">
        <v>14342634300</v>
      </c>
      <c r="BC79" t="s">
        <v>675</v>
      </c>
      <c r="BD79" t="s">
        <v>583</v>
      </c>
      <c r="BG79" t="s">
        <v>127</v>
      </c>
      <c r="BH79" s="1">
        <v>45261.791666666664</v>
      </c>
      <c r="BI79">
        <v>40</v>
      </c>
      <c r="BJ79">
        <v>8</v>
      </c>
      <c r="BK79">
        <v>0</v>
      </c>
      <c r="BL79">
        <v>8</v>
      </c>
      <c r="BM79">
        <v>8</v>
      </c>
      <c r="BN79">
        <v>8</v>
      </c>
      <c r="BO79">
        <v>0</v>
      </c>
      <c r="BP79">
        <v>8</v>
      </c>
      <c r="BQ79" t="str">
        <f>"11:30 AM"</f>
        <v>11:30 AM</v>
      </c>
      <c r="BR79" t="str">
        <f>"8:00 PM"</f>
        <v>8:00 PM</v>
      </c>
      <c r="BS79" t="s">
        <v>131</v>
      </c>
      <c r="BT79">
        <v>0</v>
      </c>
      <c r="BU79">
        <v>0</v>
      </c>
      <c r="BV79" t="s">
        <v>114</v>
      </c>
      <c r="BX79" t="s">
        <v>11134</v>
      </c>
      <c r="BY79" t="s">
        <v>5716</v>
      </c>
      <c r="CA79" t="s">
        <v>5717</v>
      </c>
      <c r="CB79" t="s">
        <v>127</v>
      </c>
      <c r="CC79" s="8" t="str">
        <f>"75762"</f>
        <v>75762</v>
      </c>
      <c r="CD79" t="s">
        <v>2421</v>
      </c>
      <c r="CE79" t="s">
        <v>5719</v>
      </c>
      <c r="CF79" s="12">
        <v>14.64</v>
      </c>
      <c r="CG79" s="12">
        <v>14.64</v>
      </c>
      <c r="CH79" s="12">
        <v>21.96</v>
      </c>
      <c r="CI79" s="12">
        <v>21.96</v>
      </c>
      <c r="CJ79" t="s">
        <v>135</v>
      </c>
      <c r="CK79" t="s">
        <v>590</v>
      </c>
      <c r="CL79" t="s">
        <v>11135</v>
      </c>
      <c r="CO79" t="s">
        <v>132</v>
      </c>
      <c r="CP79" t="s">
        <v>114</v>
      </c>
      <c r="CQ79" t="s">
        <v>114</v>
      </c>
      <c r="CR79" t="s">
        <v>136</v>
      </c>
      <c r="CS79" t="s">
        <v>136</v>
      </c>
      <c r="CT79" t="s">
        <v>136</v>
      </c>
      <c r="CU79" t="s">
        <v>136</v>
      </c>
      <c r="CV79" t="s">
        <v>5375</v>
      </c>
      <c r="CW79" s="10" t="str">
        <f>"+14073956456"</f>
        <v>+14073956456</v>
      </c>
      <c r="CX79" t="s">
        <v>132</v>
      </c>
      <c r="CY79" t="s">
        <v>1853</v>
      </c>
      <c r="CZ79" t="s">
        <v>137</v>
      </c>
      <c r="DA79" t="s">
        <v>114</v>
      </c>
      <c r="DB79" t="s">
        <v>136</v>
      </c>
      <c r="DC79" t="s">
        <v>136</v>
      </c>
      <c r="DD79" t="s">
        <v>114</v>
      </c>
      <c r="DE79" t="s">
        <v>673</v>
      </c>
      <c r="DF79" t="s">
        <v>674</v>
      </c>
      <c r="DH79" t="s">
        <v>583</v>
      </c>
      <c r="DI79" t="s">
        <v>675</v>
      </c>
    </row>
    <row r="80" spans="1:113" ht="15" customHeight="1" x14ac:dyDescent="0.25">
      <c r="A80" t="s">
        <v>21120</v>
      </c>
      <c r="B80" t="s">
        <v>152</v>
      </c>
      <c r="C80" s="1">
        <v>45262.001892592591</v>
      </c>
      <c r="D80" s="1">
        <v>45288</v>
      </c>
      <c r="E80" t="s">
        <v>132</v>
      </c>
      <c r="F80" t="s">
        <v>15310</v>
      </c>
      <c r="G80" t="str">
        <f>"43-4081.00"</f>
        <v>43-4081.00</v>
      </c>
      <c r="H80" t="s">
        <v>952</v>
      </c>
      <c r="I80">
        <v>2</v>
      </c>
      <c r="J80">
        <v>2</v>
      </c>
      <c r="K80" s="1">
        <v>45352</v>
      </c>
      <c r="L80" s="1">
        <v>45541</v>
      </c>
      <c r="M80" s="1">
        <v>45352</v>
      </c>
      <c r="N80" s="1">
        <v>45541</v>
      </c>
      <c r="O80" t="s">
        <v>116</v>
      </c>
      <c r="P80" t="s">
        <v>5715</v>
      </c>
      <c r="R80" t="s">
        <v>5716</v>
      </c>
      <c r="T80" t="s">
        <v>5717</v>
      </c>
      <c r="U80" t="s">
        <v>127</v>
      </c>
      <c r="V80" s="8" t="str">
        <f>"75762"</f>
        <v>75762</v>
      </c>
      <c r="W80" t="s">
        <v>118</v>
      </c>
      <c r="Y80" s="10">
        <v>19035611153</v>
      </c>
      <c r="AA80">
        <v>72111</v>
      </c>
      <c r="AB80" t="s">
        <v>2044</v>
      </c>
      <c r="AC80" t="s">
        <v>2045</v>
      </c>
      <c r="AE80" t="s">
        <v>4835</v>
      </c>
      <c r="AF80" t="s">
        <v>4836</v>
      </c>
      <c r="AH80" t="s">
        <v>955</v>
      </c>
      <c r="AI80" t="s">
        <v>140</v>
      </c>
      <c r="AJ80" s="8" t="str">
        <f>"32819"</f>
        <v>32819</v>
      </c>
      <c r="AK80" t="s">
        <v>118</v>
      </c>
      <c r="AM80" s="10">
        <v>14074056774</v>
      </c>
      <c r="AO80" t="s">
        <v>132</v>
      </c>
      <c r="AP80" t="s">
        <v>248</v>
      </c>
      <c r="AQ80" t="s">
        <v>673</v>
      </c>
      <c r="AR80" t="s">
        <v>674</v>
      </c>
      <c r="AT80" t="s">
        <v>579</v>
      </c>
      <c r="AV80" t="s">
        <v>580</v>
      </c>
      <c r="AW80" t="s">
        <v>581</v>
      </c>
      <c r="AX80" s="8" t="str">
        <f>"22903"</f>
        <v>22903</v>
      </c>
      <c r="AY80" t="s">
        <v>118</v>
      </c>
      <c r="BA80" s="10">
        <v>14342634300</v>
      </c>
      <c r="BC80" t="s">
        <v>675</v>
      </c>
      <c r="BD80" t="s">
        <v>583</v>
      </c>
      <c r="BG80" t="s">
        <v>127</v>
      </c>
      <c r="BH80" s="1">
        <v>45261.791666666664</v>
      </c>
      <c r="BI80">
        <v>40</v>
      </c>
      <c r="BJ80">
        <v>0</v>
      </c>
      <c r="BK80">
        <v>8</v>
      </c>
      <c r="BL80">
        <v>8</v>
      </c>
      <c r="BM80">
        <v>0</v>
      </c>
      <c r="BN80">
        <v>8</v>
      </c>
      <c r="BO80">
        <v>8</v>
      </c>
      <c r="BP80">
        <v>8</v>
      </c>
      <c r="BQ80" t="str">
        <f>"6:00 AM"</f>
        <v>6:00 AM</v>
      </c>
      <c r="BR80" t="str">
        <f>"2:30 PM"</f>
        <v>2:30 PM</v>
      </c>
      <c r="BS80" t="s">
        <v>131</v>
      </c>
      <c r="BT80">
        <v>0</v>
      </c>
      <c r="BU80">
        <v>0</v>
      </c>
      <c r="BV80" t="s">
        <v>114</v>
      </c>
      <c r="BX80" t="s">
        <v>15199</v>
      </c>
      <c r="BY80" t="s">
        <v>5716</v>
      </c>
      <c r="CA80" t="s">
        <v>5717</v>
      </c>
      <c r="CB80" t="s">
        <v>127</v>
      </c>
      <c r="CC80" s="8" t="str">
        <f>"75762"</f>
        <v>75762</v>
      </c>
      <c r="CD80" t="s">
        <v>2421</v>
      </c>
      <c r="CE80" t="s">
        <v>5719</v>
      </c>
      <c r="CF80" s="12">
        <v>13</v>
      </c>
      <c r="CG80" s="12">
        <v>13</v>
      </c>
      <c r="CH80" s="12">
        <v>19.5</v>
      </c>
      <c r="CI80" s="12">
        <v>19.5</v>
      </c>
      <c r="CJ80" t="s">
        <v>135</v>
      </c>
      <c r="CK80" t="s">
        <v>590</v>
      </c>
      <c r="CL80" t="s">
        <v>21121</v>
      </c>
      <c r="CO80" t="s">
        <v>132</v>
      </c>
      <c r="CP80" t="s">
        <v>114</v>
      </c>
      <c r="CQ80" t="s">
        <v>114</v>
      </c>
      <c r="CR80" t="s">
        <v>136</v>
      </c>
      <c r="CS80" t="s">
        <v>136</v>
      </c>
      <c r="CT80" t="s">
        <v>136</v>
      </c>
      <c r="CU80" t="s">
        <v>136</v>
      </c>
      <c r="CV80" t="s">
        <v>5375</v>
      </c>
      <c r="CW80" s="10" t="str">
        <f>"+14073956456"</f>
        <v>+14073956456</v>
      </c>
      <c r="CX80" t="s">
        <v>132</v>
      </c>
      <c r="CY80" t="s">
        <v>1853</v>
      </c>
      <c r="CZ80" t="s">
        <v>137</v>
      </c>
      <c r="DA80" t="s">
        <v>114</v>
      </c>
      <c r="DB80" t="s">
        <v>136</v>
      </c>
      <c r="DC80" t="s">
        <v>136</v>
      </c>
      <c r="DD80" t="s">
        <v>114</v>
      </c>
      <c r="DE80" t="s">
        <v>673</v>
      </c>
      <c r="DF80" t="s">
        <v>674</v>
      </c>
      <c r="DH80" t="s">
        <v>583</v>
      </c>
      <c r="DI80" t="s">
        <v>675</v>
      </c>
    </row>
    <row r="81" spans="1:113" ht="15" customHeight="1" x14ac:dyDescent="0.25">
      <c r="A81" t="s">
        <v>5712</v>
      </c>
      <c r="B81" t="s">
        <v>152</v>
      </c>
      <c r="C81" s="1">
        <v>45262.001724652779</v>
      </c>
      <c r="D81" s="1">
        <v>45288</v>
      </c>
      <c r="E81" t="s">
        <v>132</v>
      </c>
      <c r="F81" t="s">
        <v>5713</v>
      </c>
      <c r="G81" t="str">
        <f>"49-9071.00"</f>
        <v>49-9071.00</v>
      </c>
      <c r="H81" t="s">
        <v>5714</v>
      </c>
      <c r="I81">
        <v>1</v>
      </c>
      <c r="J81">
        <v>1</v>
      </c>
      <c r="K81" s="1">
        <v>45352</v>
      </c>
      <c r="L81" s="1">
        <v>45541</v>
      </c>
      <c r="M81" s="1">
        <v>45352</v>
      </c>
      <c r="N81" s="1">
        <v>45541</v>
      </c>
      <c r="O81" t="s">
        <v>116</v>
      </c>
      <c r="P81" t="s">
        <v>5715</v>
      </c>
      <c r="R81" t="s">
        <v>5716</v>
      </c>
      <c r="T81" t="s">
        <v>5717</v>
      </c>
      <c r="U81" t="s">
        <v>127</v>
      </c>
      <c r="V81" s="8" t="str">
        <f>"75762"</f>
        <v>75762</v>
      </c>
      <c r="W81" t="s">
        <v>118</v>
      </c>
      <c r="Y81" s="10">
        <v>19035611153</v>
      </c>
      <c r="AA81">
        <v>72111</v>
      </c>
      <c r="AB81" t="s">
        <v>2044</v>
      </c>
      <c r="AC81" t="s">
        <v>2045</v>
      </c>
      <c r="AE81" t="s">
        <v>4835</v>
      </c>
      <c r="AF81" t="s">
        <v>4836</v>
      </c>
      <c r="AH81" t="s">
        <v>955</v>
      </c>
      <c r="AI81" t="s">
        <v>140</v>
      </c>
      <c r="AJ81" s="8" t="str">
        <f>"32819"</f>
        <v>32819</v>
      </c>
      <c r="AK81" t="s">
        <v>118</v>
      </c>
      <c r="AM81" s="10">
        <v>14074056774</v>
      </c>
      <c r="AO81" t="s">
        <v>132</v>
      </c>
      <c r="AP81" t="s">
        <v>248</v>
      </c>
      <c r="AQ81" t="s">
        <v>673</v>
      </c>
      <c r="AR81" t="s">
        <v>674</v>
      </c>
      <c r="AT81" t="s">
        <v>579</v>
      </c>
      <c r="AV81" t="s">
        <v>580</v>
      </c>
      <c r="AW81" t="s">
        <v>581</v>
      </c>
      <c r="AX81" s="8" t="str">
        <f>"22903"</f>
        <v>22903</v>
      </c>
      <c r="AY81" t="s">
        <v>118</v>
      </c>
      <c r="BA81" s="10">
        <v>14342634300</v>
      </c>
      <c r="BC81" t="s">
        <v>675</v>
      </c>
      <c r="BD81" t="s">
        <v>583</v>
      </c>
      <c r="BG81" t="s">
        <v>127</v>
      </c>
      <c r="BH81" s="1">
        <v>45261.791666666664</v>
      </c>
      <c r="BI81">
        <v>40</v>
      </c>
      <c r="BJ81">
        <v>8</v>
      </c>
      <c r="BK81">
        <v>0</v>
      </c>
      <c r="BL81">
        <v>8</v>
      </c>
      <c r="BM81">
        <v>8</v>
      </c>
      <c r="BN81">
        <v>8</v>
      </c>
      <c r="BO81">
        <v>0</v>
      </c>
      <c r="BP81">
        <v>8</v>
      </c>
      <c r="BQ81" t="str">
        <f>"7:00 AM"</f>
        <v>7:00 AM</v>
      </c>
      <c r="BR81" t="str">
        <f>"3:30 PM"</f>
        <v>3:30 PM</v>
      </c>
      <c r="BS81" t="s">
        <v>131</v>
      </c>
      <c r="BT81">
        <v>0</v>
      </c>
      <c r="BU81">
        <v>0</v>
      </c>
      <c r="BV81" t="s">
        <v>114</v>
      </c>
      <c r="BX81" t="s">
        <v>5718</v>
      </c>
      <c r="BY81" t="s">
        <v>5716</v>
      </c>
      <c r="CA81" t="s">
        <v>5717</v>
      </c>
      <c r="CB81" t="s">
        <v>127</v>
      </c>
      <c r="CC81" s="8" t="str">
        <f>"75762"</f>
        <v>75762</v>
      </c>
      <c r="CD81" t="s">
        <v>2421</v>
      </c>
      <c r="CE81" t="s">
        <v>5719</v>
      </c>
      <c r="CF81" s="12">
        <v>18.510000000000002</v>
      </c>
      <c r="CG81" s="12">
        <v>18.510000000000002</v>
      </c>
      <c r="CH81" s="12">
        <v>27.77</v>
      </c>
      <c r="CI81" s="12">
        <v>27.77</v>
      </c>
      <c r="CJ81" t="s">
        <v>135</v>
      </c>
      <c r="CK81" t="s">
        <v>590</v>
      </c>
      <c r="CL81" t="s">
        <v>5720</v>
      </c>
      <c r="CO81" t="s">
        <v>132</v>
      </c>
      <c r="CP81" t="s">
        <v>114</v>
      </c>
      <c r="CQ81" t="s">
        <v>114</v>
      </c>
      <c r="CR81" t="s">
        <v>136</v>
      </c>
      <c r="CS81" t="s">
        <v>136</v>
      </c>
      <c r="CT81" t="s">
        <v>136</v>
      </c>
      <c r="CU81" t="s">
        <v>136</v>
      </c>
      <c r="CV81" t="s">
        <v>4837</v>
      </c>
      <c r="CW81" s="10" t="str">
        <f>"+14073956456"</f>
        <v>+14073956456</v>
      </c>
      <c r="CX81" t="s">
        <v>132</v>
      </c>
      <c r="CY81" t="s">
        <v>1853</v>
      </c>
      <c r="CZ81" t="s">
        <v>137</v>
      </c>
      <c r="DA81" t="s">
        <v>114</v>
      </c>
      <c r="DB81" t="s">
        <v>136</v>
      </c>
      <c r="DC81" t="s">
        <v>136</v>
      </c>
      <c r="DD81" t="s">
        <v>114</v>
      </c>
      <c r="DE81" t="s">
        <v>673</v>
      </c>
      <c r="DF81" t="s">
        <v>674</v>
      </c>
      <c r="DH81" t="s">
        <v>583</v>
      </c>
      <c r="DI81" t="s">
        <v>675</v>
      </c>
    </row>
    <row r="82" spans="1:113" ht="15" customHeight="1" x14ac:dyDescent="0.25">
      <c r="A82" t="s">
        <v>21254</v>
      </c>
      <c r="B82" t="s">
        <v>152</v>
      </c>
      <c r="C82" s="1">
        <v>45262.001504398148</v>
      </c>
      <c r="D82" s="1">
        <v>45288</v>
      </c>
      <c r="E82" t="s">
        <v>132</v>
      </c>
      <c r="F82" t="s">
        <v>1059</v>
      </c>
      <c r="G82" t="str">
        <f>"35-2014.00"</f>
        <v>35-2014.00</v>
      </c>
      <c r="H82" t="s">
        <v>154</v>
      </c>
      <c r="I82">
        <v>3</v>
      </c>
      <c r="J82">
        <v>3</v>
      </c>
      <c r="K82" s="1">
        <v>45352</v>
      </c>
      <c r="L82" s="1">
        <v>45541</v>
      </c>
      <c r="M82" s="1">
        <v>45352</v>
      </c>
      <c r="N82" s="1">
        <v>45541</v>
      </c>
      <c r="O82" t="s">
        <v>116</v>
      </c>
      <c r="P82" t="s">
        <v>5715</v>
      </c>
      <c r="R82" t="s">
        <v>5716</v>
      </c>
      <c r="T82" t="s">
        <v>5717</v>
      </c>
      <c r="U82" t="s">
        <v>127</v>
      </c>
      <c r="V82" s="8" t="str">
        <f>"75762"</f>
        <v>75762</v>
      </c>
      <c r="W82" t="s">
        <v>118</v>
      </c>
      <c r="Y82" s="10">
        <v>19035611153</v>
      </c>
      <c r="AA82">
        <v>72111</v>
      </c>
      <c r="AB82" t="s">
        <v>2044</v>
      </c>
      <c r="AC82" t="s">
        <v>2045</v>
      </c>
      <c r="AE82" t="s">
        <v>4835</v>
      </c>
      <c r="AF82" t="s">
        <v>4836</v>
      </c>
      <c r="AH82" t="s">
        <v>955</v>
      </c>
      <c r="AI82" t="s">
        <v>140</v>
      </c>
      <c r="AJ82" s="8" t="str">
        <f>"32819"</f>
        <v>32819</v>
      </c>
      <c r="AK82" t="s">
        <v>118</v>
      </c>
      <c r="AM82" s="10">
        <v>14074056774</v>
      </c>
      <c r="AO82" t="s">
        <v>132</v>
      </c>
      <c r="AP82" t="s">
        <v>248</v>
      </c>
      <c r="AQ82" t="s">
        <v>673</v>
      </c>
      <c r="AR82" t="s">
        <v>674</v>
      </c>
      <c r="AT82" t="s">
        <v>579</v>
      </c>
      <c r="AV82" t="s">
        <v>580</v>
      </c>
      <c r="AW82" t="s">
        <v>581</v>
      </c>
      <c r="AX82" s="8" t="str">
        <f>"22903"</f>
        <v>22903</v>
      </c>
      <c r="AY82" t="s">
        <v>118</v>
      </c>
      <c r="BA82" s="10">
        <v>14342634300</v>
      </c>
      <c r="BC82" t="s">
        <v>675</v>
      </c>
      <c r="BD82" t="s">
        <v>583</v>
      </c>
      <c r="BG82" t="s">
        <v>127</v>
      </c>
      <c r="BH82" s="1">
        <v>45261.791666666664</v>
      </c>
      <c r="BI82">
        <v>40</v>
      </c>
      <c r="BJ82">
        <v>0</v>
      </c>
      <c r="BK82">
        <v>8</v>
      </c>
      <c r="BL82">
        <v>8</v>
      </c>
      <c r="BM82">
        <v>0</v>
      </c>
      <c r="BN82">
        <v>8</v>
      </c>
      <c r="BO82">
        <v>8</v>
      </c>
      <c r="BP82">
        <v>8</v>
      </c>
      <c r="BQ82" t="str">
        <f>"10:00 AM"</f>
        <v>10:00 AM</v>
      </c>
      <c r="BR82" t="str">
        <f>"6:30 PM"</f>
        <v>6:30 PM</v>
      </c>
      <c r="BS82" t="s">
        <v>131</v>
      </c>
      <c r="BT82">
        <v>0</v>
      </c>
      <c r="BU82">
        <v>0</v>
      </c>
      <c r="BV82" t="s">
        <v>114</v>
      </c>
      <c r="BX82" t="s">
        <v>15199</v>
      </c>
      <c r="BY82" t="s">
        <v>5716</v>
      </c>
      <c r="CA82" t="s">
        <v>5717</v>
      </c>
      <c r="CB82" t="s">
        <v>127</v>
      </c>
      <c r="CC82" s="8" t="str">
        <f>"75762"</f>
        <v>75762</v>
      </c>
      <c r="CD82" t="s">
        <v>2421</v>
      </c>
      <c r="CE82" t="s">
        <v>5719</v>
      </c>
      <c r="CF82" s="12">
        <v>13.51</v>
      </c>
      <c r="CG82" s="12">
        <v>13.51</v>
      </c>
      <c r="CH82" s="12">
        <v>20.27</v>
      </c>
      <c r="CI82" s="12">
        <v>20.27</v>
      </c>
      <c r="CJ82" t="s">
        <v>135</v>
      </c>
      <c r="CK82" t="s">
        <v>590</v>
      </c>
      <c r="CL82" t="s">
        <v>21255</v>
      </c>
      <c r="CO82" t="s">
        <v>132</v>
      </c>
      <c r="CP82" t="s">
        <v>114</v>
      </c>
      <c r="CQ82" t="s">
        <v>114</v>
      </c>
      <c r="CR82" t="s">
        <v>136</v>
      </c>
      <c r="CS82" t="s">
        <v>136</v>
      </c>
      <c r="CT82" t="s">
        <v>136</v>
      </c>
      <c r="CU82" t="s">
        <v>136</v>
      </c>
      <c r="CV82" t="s">
        <v>4837</v>
      </c>
      <c r="CW82" s="10" t="str">
        <f>"+14073956456"</f>
        <v>+14073956456</v>
      </c>
      <c r="CX82" t="s">
        <v>132</v>
      </c>
      <c r="CY82" t="s">
        <v>1853</v>
      </c>
      <c r="CZ82" t="s">
        <v>137</v>
      </c>
      <c r="DA82" t="s">
        <v>114</v>
      </c>
      <c r="DB82" t="s">
        <v>136</v>
      </c>
      <c r="DC82" t="s">
        <v>136</v>
      </c>
      <c r="DD82" t="s">
        <v>114</v>
      </c>
      <c r="DE82" t="s">
        <v>673</v>
      </c>
      <c r="DF82" t="s">
        <v>674</v>
      </c>
      <c r="DH82" t="s">
        <v>583</v>
      </c>
      <c r="DI82" t="s">
        <v>675</v>
      </c>
    </row>
    <row r="83" spans="1:113" ht="15" customHeight="1" x14ac:dyDescent="0.25">
      <c r="A83" t="s">
        <v>24053</v>
      </c>
      <c r="B83" t="s">
        <v>152</v>
      </c>
      <c r="C83" s="1">
        <v>45262.001110879632</v>
      </c>
      <c r="D83" s="1">
        <v>45288</v>
      </c>
      <c r="E83" t="s">
        <v>132</v>
      </c>
      <c r="F83" t="s">
        <v>7793</v>
      </c>
      <c r="G83" t="str">
        <f>"33-9092.00"</f>
        <v>33-9092.00</v>
      </c>
      <c r="H83" t="s">
        <v>5975</v>
      </c>
      <c r="I83">
        <v>7</v>
      </c>
      <c r="J83">
        <v>7</v>
      </c>
      <c r="K83" s="1">
        <v>45352</v>
      </c>
      <c r="L83" s="1">
        <v>45566</v>
      </c>
      <c r="M83" s="1">
        <v>45352</v>
      </c>
      <c r="N83" s="1">
        <v>45566</v>
      </c>
      <c r="O83" t="s">
        <v>238</v>
      </c>
      <c r="P83" t="s">
        <v>6159</v>
      </c>
      <c r="R83" t="s">
        <v>10996</v>
      </c>
      <c r="T83" t="s">
        <v>1690</v>
      </c>
      <c r="U83" t="s">
        <v>1691</v>
      </c>
      <c r="V83" s="8" t="str">
        <f>"29577"</f>
        <v>29577</v>
      </c>
      <c r="W83" t="s">
        <v>118</v>
      </c>
      <c r="Y83" s="10">
        <v>18439135392</v>
      </c>
      <c r="AA83">
        <v>72111</v>
      </c>
      <c r="AB83" t="s">
        <v>2044</v>
      </c>
      <c r="AC83" t="s">
        <v>2045</v>
      </c>
      <c r="AE83" t="s">
        <v>4835</v>
      </c>
      <c r="AF83" t="s">
        <v>4836</v>
      </c>
      <c r="AH83" t="s">
        <v>955</v>
      </c>
      <c r="AI83" t="s">
        <v>140</v>
      </c>
      <c r="AJ83" s="8" t="str">
        <f>"32819"</f>
        <v>32819</v>
      </c>
      <c r="AK83" t="s">
        <v>118</v>
      </c>
      <c r="AM83" s="10">
        <v>14074056774</v>
      </c>
      <c r="AO83" t="s">
        <v>132</v>
      </c>
      <c r="AP83" t="s">
        <v>248</v>
      </c>
      <c r="AQ83" t="s">
        <v>673</v>
      </c>
      <c r="AR83" t="s">
        <v>674</v>
      </c>
      <c r="AT83" t="s">
        <v>579</v>
      </c>
      <c r="AV83" t="s">
        <v>580</v>
      </c>
      <c r="AW83" t="s">
        <v>581</v>
      </c>
      <c r="AX83" s="8" t="str">
        <f>"22903"</f>
        <v>22903</v>
      </c>
      <c r="AY83" t="s">
        <v>118</v>
      </c>
      <c r="BA83" s="10">
        <v>14342634300</v>
      </c>
      <c r="BC83" t="s">
        <v>675</v>
      </c>
      <c r="BD83" t="s">
        <v>583</v>
      </c>
      <c r="BG83" t="s">
        <v>1691</v>
      </c>
      <c r="BH83" s="1">
        <v>45261.791666666664</v>
      </c>
      <c r="BI83">
        <v>40</v>
      </c>
      <c r="BJ83">
        <v>8</v>
      </c>
      <c r="BK83">
        <v>0</v>
      </c>
      <c r="BL83">
        <v>8</v>
      </c>
      <c r="BM83">
        <v>8</v>
      </c>
      <c r="BN83">
        <v>0</v>
      </c>
      <c r="BO83">
        <v>8</v>
      </c>
      <c r="BP83">
        <v>8</v>
      </c>
      <c r="BQ83" t="str">
        <f>"9:30 AM"</f>
        <v>9:30 AM</v>
      </c>
      <c r="BR83" t="str">
        <f>"6:00 PM"</f>
        <v>6:00 PM</v>
      </c>
      <c r="BS83" t="s">
        <v>131</v>
      </c>
      <c r="BT83">
        <v>0</v>
      </c>
      <c r="BU83">
        <v>0</v>
      </c>
      <c r="BV83" t="s">
        <v>114</v>
      </c>
      <c r="BX83" s="2" t="s">
        <v>10839</v>
      </c>
      <c r="BY83" t="s">
        <v>10998</v>
      </c>
      <c r="CA83" t="s">
        <v>1690</v>
      </c>
      <c r="CB83" t="s">
        <v>1691</v>
      </c>
      <c r="CC83" s="8" t="str">
        <f>"29577"</f>
        <v>29577</v>
      </c>
      <c r="CD83" t="s">
        <v>1692</v>
      </c>
      <c r="CE83" t="s">
        <v>1693</v>
      </c>
      <c r="CF83" s="12">
        <v>14</v>
      </c>
      <c r="CG83" s="12">
        <v>14</v>
      </c>
      <c r="CH83" s="12">
        <v>21</v>
      </c>
      <c r="CI83" s="12">
        <v>21</v>
      </c>
      <c r="CJ83" t="s">
        <v>135</v>
      </c>
      <c r="CK83" t="s">
        <v>590</v>
      </c>
      <c r="CL83" t="s">
        <v>24054</v>
      </c>
      <c r="CO83" t="s">
        <v>132</v>
      </c>
      <c r="CP83" t="s">
        <v>136</v>
      </c>
      <c r="CQ83" t="s">
        <v>114</v>
      </c>
      <c r="CR83" t="s">
        <v>136</v>
      </c>
      <c r="CS83" t="s">
        <v>136</v>
      </c>
      <c r="CT83" t="s">
        <v>136</v>
      </c>
      <c r="CU83" t="s">
        <v>136</v>
      </c>
      <c r="CV83" t="s">
        <v>4987</v>
      </c>
      <c r="CW83" s="10" t="str">
        <f>"+18439135392"</f>
        <v>+18439135392</v>
      </c>
      <c r="CX83" t="s">
        <v>132</v>
      </c>
      <c r="CY83" t="s">
        <v>2004</v>
      </c>
      <c r="CZ83" t="s">
        <v>137</v>
      </c>
      <c r="DA83" t="s">
        <v>114</v>
      </c>
      <c r="DB83" t="s">
        <v>136</v>
      </c>
      <c r="DC83" t="s">
        <v>136</v>
      </c>
      <c r="DD83" t="s">
        <v>114</v>
      </c>
      <c r="DE83" t="s">
        <v>673</v>
      </c>
      <c r="DF83" t="s">
        <v>674</v>
      </c>
      <c r="DH83" t="s">
        <v>583</v>
      </c>
      <c r="DI83" t="s">
        <v>675</v>
      </c>
    </row>
    <row r="84" spans="1:113" ht="15" customHeight="1" x14ac:dyDescent="0.25">
      <c r="A84" t="s">
        <v>10995</v>
      </c>
      <c r="B84" t="s">
        <v>152</v>
      </c>
      <c r="C84" s="1">
        <v>45262.000901273146</v>
      </c>
      <c r="D84" s="1">
        <v>45288</v>
      </c>
      <c r="E84" t="s">
        <v>132</v>
      </c>
      <c r="F84" t="s">
        <v>5713</v>
      </c>
      <c r="G84" t="str">
        <f>"49-9071.00"</f>
        <v>49-9071.00</v>
      </c>
      <c r="H84" t="s">
        <v>5714</v>
      </c>
      <c r="I84">
        <v>2</v>
      </c>
      <c r="J84">
        <v>2</v>
      </c>
      <c r="K84" s="1">
        <v>45352</v>
      </c>
      <c r="L84" s="1">
        <v>45657</v>
      </c>
      <c r="M84" s="1">
        <v>45352</v>
      </c>
      <c r="N84" s="1">
        <v>45657</v>
      </c>
      <c r="O84" t="s">
        <v>116</v>
      </c>
      <c r="P84" t="s">
        <v>6159</v>
      </c>
      <c r="R84" t="s">
        <v>10996</v>
      </c>
      <c r="T84" t="s">
        <v>1690</v>
      </c>
      <c r="U84" t="s">
        <v>1691</v>
      </c>
      <c r="V84" s="8" t="str">
        <f>"29577"</f>
        <v>29577</v>
      </c>
      <c r="W84" t="s">
        <v>118</v>
      </c>
      <c r="Y84" s="10">
        <v>18439135392</v>
      </c>
      <c r="AA84">
        <v>72111</v>
      </c>
      <c r="AB84" t="s">
        <v>2044</v>
      </c>
      <c r="AC84" t="s">
        <v>2045</v>
      </c>
      <c r="AE84" t="s">
        <v>4835</v>
      </c>
      <c r="AF84" t="s">
        <v>4836</v>
      </c>
      <c r="AH84" t="s">
        <v>955</v>
      </c>
      <c r="AI84" t="s">
        <v>140</v>
      </c>
      <c r="AJ84" s="8" t="str">
        <f>"32819"</f>
        <v>32819</v>
      </c>
      <c r="AK84" t="s">
        <v>118</v>
      </c>
      <c r="AM84" s="10">
        <v>14074056774</v>
      </c>
      <c r="AO84" t="s">
        <v>132</v>
      </c>
      <c r="AP84" t="s">
        <v>248</v>
      </c>
      <c r="AQ84" t="s">
        <v>673</v>
      </c>
      <c r="AR84" t="s">
        <v>674</v>
      </c>
      <c r="AT84" t="s">
        <v>579</v>
      </c>
      <c r="AV84" t="s">
        <v>580</v>
      </c>
      <c r="AW84" t="s">
        <v>581</v>
      </c>
      <c r="AX84" s="8" t="str">
        <f>"22903"</f>
        <v>22903</v>
      </c>
      <c r="AY84" t="s">
        <v>118</v>
      </c>
      <c r="BA84" s="10">
        <v>14342634300</v>
      </c>
      <c r="BC84" t="s">
        <v>675</v>
      </c>
      <c r="BD84" t="s">
        <v>583</v>
      </c>
      <c r="BG84" t="s">
        <v>1691</v>
      </c>
      <c r="BH84" s="1">
        <v>45261.791666666664</v>
      </c>
      <c r="BI84">
        <v>40</v>
      </c>
      <c r="BJ84">
        <v>8</v>
      </c>
      <c r="BK84">
        <v>0</v>
      </c>
      <c r="BL84">
        <v>8</v>
      </c>
      <c r="BM84">
        <v>8</v>
      </c>
      <c r="BN84">
        <v>0</v>
      </c>
      <c r="BO84">
        <v>8</v>
      </c>
      <c r="BP84">
        <v>8</v>
      </c>
      <c r="BQ84" t="str">
        <f>"7:30 AM"</f>
        <v>7:30 AM</v>
      </c>
      <c r="BR84" t="str">
        <f>"4:00 PM"</f>
        <v>4:00 PM</v>
      </c>
      <c r="BS84" t="s">
        <v>131</v>
      </c>
      <c r="BT84">
        <v>0</v>
      </c>
      <c r="BU84">
        <v>0</v>
      </c>
      <c r="BV84" t="s">
        <v>114</v>
      </c>
      <c r="BX84" t="s">
        <v>10997</v>
      </c>
      <c r="BY84" t="s">
        <v>10998</v>
      </c>
      <c r="CA84" t="s">
        <v>1690</v>
      </c>
      <c r="CB84" t="s">
        <v>1691</v>
      </c>
      <c r="CC84" s="8" t="str">
        <f>"29577"</f>
        <v>29577</v>
      </c>
      <c r="CD84" t="s">
        <v>1692</v>
      </c>
      <c r="CE84" t="s">
        <v>1693</v>
      </c>
      <c r="CF84" s="12">
        <v>17.27</v>
      </c>
      <c r="CG84" s="12">
        <v>17.27</v>
      </c>
      <c r="CH84" s="12">
        <v>25.91</v>
      </c>
      <c r="CI84" s="12">
        <v>25.91</v>
      </c>
      <c r="CJ84" t="s">
        <v>135</v>
      </c>
      <c r="CK84" t="s">
        <v>590</v>
      </c>
      <c r="CL84" t="s">
        <v>10999</v>
      </c>
      <c r="CO84" t="s">
        <v>132</v>
      </c>
      <c r="CP84" t="s">
        <v>136</v>
      </c>
      <c r="CQ84" t="s">
        <v>114</v>
      </c>
      <c r="CR84" t="s">
        <v>136</v>
      </c>
      <c r="CS84" t="s">
        <v>136</v>
      </c>
      <c r="CT84" t="s">
        <v>136</v>
      </c>
      <c r="CU84" t="s">
        <v>136</v>
      </c>
      <c r="CV84" t="s">
        <v>6107</v>
      </c>
      <c r="CW84" s="10" t="str">
        <f>"+18439135392"</f>
        <v>+18439135392</v>
      </c>
      <c r="CX84" t="s">
        <v>132</v>
      </c>
      <c r="CY84" t="s">
        <v>2004</v>
      </c>
      <c r="CZ84" t="s">
        <v>137</v>
      </c>
      <c r="DA84" t="s">
        <v>114</v>
      </c>
      <c r="DB84" t="s">
        <v>136</v>
      </c>
      <c r="DC84" t="s">
        <v>136</v>
      </c>
      <c r="DD84" t="s">
        <v>114</v>
      </c>
      <c r="DE84" t="s">
        <v>673</v>
      </c>
      <c r="DF84" t="s">
        <v>674</v>
      </c>
      <c r="DH84" t="s">
        <v>583</v>
      </c>
      <c r="DI84" t="s">
        <v>675</v>
      </c>
    </row>
    <row r="85" spans="1:113" ht="15" customHeight="1" x14ac:dyDescent="0.25">
      <c r="A85" t="s">
        <v>12320</v>
      </c>
      <c r="B85" t="s">
        <v>152</v>
      </c>
      <c r="C85" s="1">
        <v>45262.000555208331</v>
      </c>
      <c r="D85" s="1">
        <v>45288</v>
      </c>
      <c r="E85" t="s">
        <v>132</v>
      </c>
      <c r="F85" t="s">
        <v>1953</v>
      </c>
      <c r="G85" t="str">
        <f>"37-3011.00"</f>
        <v>37-3011.00</v>
      </c>
      <c r="H85" t="s">
        <v>429</v>
      </c>
      <c r="I85">
        <v>11</v>
      </c>
      <c r="J85">
        <v>11</v>
      </c>
      <c r="K85" s="1">
        <v>45352</v>
      </c>
      <c r="L85" s="1">
        <v>45611</v>
      </c>
      <c r="M85" s="1">
        <v>45352</v>
      </c>
      <c r="N85" s="1">
        <v>45611</v>
      </c>
      <c r="O85" t="s">
        <v>116</v>
      </c>
      <c r="P85" t="s">
        <v>9302</v>
      </c>
      <c r="Q85" t="s">
        <v>9303</v>
      </c>
      <c r="R85" t="s">
        <v>9304</v>
      </c>
      <c r="S85" t="s">
        <v>9305</v>
      </c>
      <c r="T85" t="s">
        <v>9306</v>
      </c>
      <c r="U85" t="s">
        <v>2262</v>
      </c>
      <c r="V85" s="8" t="str">
        <f>"06902"</f>
        <v>06902</v>
      </c>
      <c r="W85" t="s">
        <v>118</v>
      </c>
      <c r="Y85" s="10">
        <v>12033231131</v>
      </c>
      <c r="AA85">
        <v>56173</v>
      </c>
      <c r="AB85" t="s">
        <v>9307</v>
      </c>
      <c r="AC85" t="s">
        <v>931</v>
      </c>
      <c r="AD85" t="s">
        <v>2103</v>
      </c>
      <c r="AE85" t="s">
        <v>9308</v>
      </c>
      <c r="AF85" t="s">
        <v>9309</v>
      </c>
      <c r="AG85" t="s">
        <v>9310</v>
      </c>
      <c r="AH85" t="s">
        <v>3273</v>
      </c>
      <c r="AI85" t="s">
        <v>375</v>
      </c>
      <c r="AJ85" s="8" t="str">
        <f>"28278"</f>
        <v>28278</v>
      </c>
      <c r="AK85" t="s">
        <v>118</v>
      </c>
      <c r="AM85" s="10">
        <v>17049051353</v>
      </c>
      <c r="AO85" t="s">
        <v>9311</v>
      </c>
      <c r="AP85" t="s">
        <v>248</v>
      </c>
      <c r="AQ85" t="s">
        <v>9312</v>
      </c>
      <c r="AR85" t="s">
        <v>2849</v>
      </c>
      <c r="AT85" t="s">
        <v>9313</v>
      </c>
      <c r="AV85" t="s">
        <v>9314</v>
      </c>
      <c r="AW85" t="s">
        <v>1722</v>
      </c>
      <c r="AX85" s="8" t="str">
        <f>"20815"</f>
        <v>20815</v>
      </c>
      <c r="AY85" t="s">
        <v>118</v>
      </c>
      <c r="BA85" s="10">
        <v>13012520385</v>
      </c>
      <c r="BC85" t="s">
        <v>9315</v>
      </c>
      <c r="BD85" t="s">
        <v>9316</v>
      </c>
      <c r="BG85" t="s">
        <v>558</v>
      </c>
      <c r="BH85" s="1">
        <v>45261.791666666664</v>
      </c>
      <c r="BI85">
        <v>40</v>
      </c>
      <c r="BJ85">
        <v>0</v>
      </c>
      <c r="BK85">
        <v>8</v>
      </c>
      <c r="BL85">
        <v>8</v>
      </c>
      <c r="BM85">
        <v>8</v>
      </c>
      <c r="BN85">
        <v>8</v>
      </c>
      <c r="BO85">
        <v>8</v>
      </c>
      <c r="BP85">
        <v>0</v>
      </c>
      <c r="BQ85" t="str">
        <f>"8:00 AM"</f>
        <v>8:00 AM</v>
      </c>
      <c r="BR85" t="str">
        <f>"4:00 PM"</f>
        <v>4:00 PM</v>
      </c>
      <c r="BS85" t="s">
        <v>131</v>
      </c>
      <c r="BT85">
        <v>0</v>
      </c>
      <c r="BU85">
        <v>0</v>
      </c>
      <c r="BV85" t="s">
        <v>114</v>
      </c>
      <c r="BX85" t="s">
        <v>9317</v>
      </c>
      <c r="BY85" t="s">
        <v>9303</v>
      </c>
      <c r="BZ85" t="s">
        <v>12321</v>
      </c>
      <c r="CA85" t="s">
        <v>2811</v>
      </c>
      <c r="CB85" t="s">
        <v>558</v>
      </c>
      <c r="CC85" s="8" t="str">
        <f>"85719"</f>
        <v>85719</v>
      </c>
      <c r="CD85" t="s">
        <v>2812</v>
      </c>
      <c r="CE85" t="s">
        <v>2813</v>
      </c>
      <c r="CF85" s="12">
        <v>17.309999999999999</v>
      </c>
      <c r="CG85" s="12">
        <v>17.309999999999999</v>
      </c>
      <c r="CH85" s="12">
        <v>25.97</v>
      </c>
      <c r="CI85" s="12">
        <v>25.97</v>
      </c>
      <c r="CJ85" t="s">
        <v>135</v>
      </c>
      <c r="CK85" t="s">
        <v>9318</v>
      </c>
      <c r="CL85" t="s">
        <v>12322</v>
      </c>
      <c r="CO85" t="s">
        <v>132</v>
      </c>
      <c r="CP85" t="s">
        <v>136</v>
      </c>
      <c r="CQ85" t="s">
        <v>136</v>
      </c>
      <c r="CR85" t="s">
        <v>136</v>
      </c>
      <c r="CS85" t="s">
        <v>114</v>
      </c>
      <c r="CT85" t="s">
        <v>136</v>
      </c>
      <c r="CU85" t="s">
        <v>114</v>
      </c>
      <c r="CV85" t="s">
        <v>12323</v>
      </c>
      <c r="CW85" s="10" t="str">
        <f>"+15206289699"</f>
        <v>+15206289699</v>
      </c>
      <c r="CX85" t="s">
        <v>12324</v>
      </c>
      <c r="CY85" t="s">
        <v>132</v>
      </c>
      <c r="CZ85" t="s">
        <v>137</v>
      </c>
      <c r="DA85" t="s">
        <v>114</v>
      </c>
      <c r="DB85" t="s">
        <v>114</v>
      </c>
      <c r="DC85" t="s">
        <v>136</v>
      </c>
      <c r="DD85" t="s">
        <v>114</v>
      </c>
    </row>
    <row r="86" spans="1:113" ht="15" customHeight="1" x14ac:dyDescent="0.25">
      <c r="A86" t="s">
        <v>18817</v>
      </c>
      <c r="B86" t="s">
        <v>152</v>
      </c>
      <c r="C86" s="1">
        <v>45262.000391319445</v>
      </c>
      <c r="D86" s="1">
        <v>45288</v>
      </c>
      <c r="E86" t="s">
        <v>132</v>
      </c>
      <c r="F86" t="s">
        <v>15310</v>
      </c>
      <c r="G86" t="str">
        <f>"43-4081.00"</f>
        <v>43-4081.00</v>
      </c>
      <c r="H86" t="s">
        <v>952</v>
      </c>
      <c r="I86">
        <v>3</v>
      </c>
      <c r="J86">
        <v>3</v>
      </c>
      <c r="K86" s="1">
        <v>45352</v>
      </c>
      <c r="L86" s="1">
        <v>45657</v>
      </c>
      <c r="M86" s="1">
        <v>45352</v>
      </c>
      <c r="N86" s="1">
        <v>45657</v>
      </c>
      <c r="O86" t="s">
        <v>116</v>
      </c>
      <c r="P86" t="s">
        <v>18818</v>
      </c>
      <c r="R86" t="s">
        <v>16296</v>
      </c>
      <c r="T86" t="s">
        <v>5136</v>
      </c>
      <c r="U86" t="s">
        <v>984</v>
      </c>
      <c r="V86" s="8" t="str">
        <f>"65616"</f>
        <v>65616</v>
      </c>
      <c r="W86" t="s">
        <v>118</v>
      </c>
      <c r="Y86" s="10">
        <v>14173344443</v>
      </c>
      <c r="AA86">
        <v>72111</v>
      </c>
      <c r="AB86" t="s">
        <v>2044</v>
      </c>
      <c r="AC86" t="s">
        <v>2045</v>
      </c>
      <c r="AE86" t="s">
        <v>4835</v>
      </c>
      <c r="AF86" t="s">
        <v>4836</v>
      </c>
      <c r="AH86" t="s">
        <v>955</v>
      </c>
      <c r="AI86" t="s">
        <v>140</v>
      </c>
      <c r="AJ86" s="8" t="str">
        <f>"32819"</f>
        <v>32819</v>
      </c>
      <c r="AK86" t="s">
        <v>118</v>
      </c>
      <c r="AM86" s="10">
        <v>14074056774</v>
      </c>
      <c r="AO86" t="s">
        <v>132</v>
      </c>
      <c r="AP86" t="s">
        <v>248</v>
      </c>
      <c r="AQ86" t="s">
        <v>673</v>
      </c>
      <c r="AR86" t="s">
        <v>674</v>
      </c>
      <c r="AT86" t="s">
        <v>579</v>
      </c>
      <c r="AV86" t="s">
        <v>580</v>
      </c>
      <c r="AW86" t="s">
        <v>581</v>
      </c>
      <c r="AX86" s="8" t="str">
        <f>"22903"</f>
        <v>22903</v>
      </c>
      <c r="AY86" t="s">
        <v>118</v>
      </c>
      <c r="BA86" s="10">
        <v>14342634300</v>
      </c>
      <c r="BC86" t="s">
        <v>675</v>
      </c>
      <c r="BD86" t="s">
        <v>583</v>
      </c>
      <c r="BG86" t="s">
        <v>984</v>
      </c>
      <c r="BH86" s="1">
        <v>45261.791666666664</v>
      </c>
      <c r="BI86">
        <v>40</v>
      </c>
      <c r="BJ86">
        <v>8</v>
      </c>
      <c r="BK86">
        <v>0</v>
      </c>
      <c r="BL86">
        <v>8</v>
      </c>
      <c r="BM86">
        <v>8</v>
      </c>
      <c r="BN86">
        <v>8</v>
      </c>
      <c r="BO86">
        <v>0</v>
      </c>
      <c r="BP86">
        <v>8</v>
      </c>
      <c r="BQ86" t="str">
        <f>"6:00 AM"</f>
        <v>6:00 AM</v>
      </c>
      <c r="BR86" t="str">
        <f>"2:30 PM"</f>
        <v>2:30 PM</v>
      </c>
      <c r="BS86" t="s">
        <v>131</v>
      </c>
      <c r="BT86">
        <v>0</v>
      </c>
      <c r="BU86">
        <v>0</v>
      </c>
      <c r="BV86" t="s">
        <v>114</v>
      </c>
      <c r="BX86" s="2" t="s">
        <v>18819</v>
      </c>
      <c r="BY86" t="s">
        <v>16296</v>
      </c>
      <c r="CA86" t="s">
        <v>5136</v>
      </c>
      <c r="CB86" t="s">
        <v>984</v>
      </c>
      <c r="CC86" s="8" t="str">
        <f>"65616"</f>
        <v>65616</v>
      </c>
      <c r="CD86" t="s">
        <v>5140</v>
      </c>
      <c r="CE86" t="s">
        <v>5141</v>
      </c>
      <c r="CF86" s="12">
        <v>14</v>
      </c>
      <c r="CG86" s="12">
        <v>14</v>
      </c>
      <c r="CH86" s="12">
        <v>21</v>
      </c>
      <c r="CI86" s="12">
        <v>21</v>
      </c>
      <c r="CJ86" t="s">
        <v>135</v>
      </c>
      <c r="CK86" t="s">
        <v>590</v>
      </c>
      <c r="CL86" t="s">
        <v>18820</v>
      </c>
      <c r="CO86" t="s">
        <v>132</v>
      </c>
      <c r="CP86" t="s">
        <v>114</v>
      </c>
      <c r="CQ86" t="s">
        <v>114</v>
      </c>
      <c r="CR86" t="s">
        <v>136</v>
      </c>
      <c r="CS86" t="s">
        <v>136</v>
      </c>
      <c r="CT86" t="s">
        <v>136</v>
      </c>
      <c r="CU86" t="s">
        <v>136</v>
      </c>
      <c r="CV86" t="s">
        <v>5375</v>
      </c>
      <c r="CW86" s="10" t="str">
        <f>"+14073956456"</f>
        <v>+14073956456</v>
      </c>
      <c r="CX86" t="s">
        <v>132</v>
      </c>
      <c r="CY86" t="s">
        <v>4838</v>
      </c>
      <c r="CZ86" t="s">
        <v>137</v>
      </c>
      <c r="DA86" t="s">
        <v>114</v>
      </c>
      <c r="DB86" t="s">
        <v>136</v>
      </c>
      <c r="DC86" t="s">
        <v>136</v>
      </c>
      <c r="DD86" t="s">
        <v>114</v>
      </c>
      <c r="DE86" t="s">
        <v>673</v>
      </c>
      <c r="DF86" t="s">
        <v>674</v>
      </c>
      <c r="DH86" t="s">
        <v>583</v>
      </c>
      <c r="DI86" t="s">
        <v>675</v>
      </c>
    </row>
    <row r="87" spans="1:113" ht="15" customHeight="1" x14ac:dyDescent="0.25">
      <c r="A87" t="s">
        <v>21127</v>
      </c>
      <c r="B87" t="s">
        <v>152</v>
      </c>
      <c r="C87" s="1">
        <v>45261.622134490739</v>
      </c>
      <c r="D87" s="1">
        <v>45288</v>
      </c>
      <c r="E87" t="s">
        <v>132</v>
      </c>
      <c r="F87" t="s">
        <v>21128</v>
      </c>
      <c r="G87" t="str">
        <f>"35-3023.00"</f>
        <v>35-3023.00</v>
      </c>
      <c r="H87" t="s">
        <v>1365</v>
      </c>
      <c r="I87">
        <v>20</v>
      </c>
      <c r="J87">
        <v>20</v>
      </c>
      <c r="K87" s="1">
        <v>45350</v>
      </c>
      <c r="L87" s="1">
        <v>45654</v>
      </c>
      <c r="M87" s="1">
        <v>45350</v>
      </c>
      <c r="N87" s="1">
        <v>45654</v>
      </c>
      <c r="O87" t="s">
        <v>238</v>
      </c>
      <c r="P87" t="s">
        <v>21129</v>
      </c>
      <c r="R87" t="s">
        <v>21130</v>
      </c>
      <c r="T87" t="s">
        <v>2952</v>
      </c>
      <c r="U87" t="s">
        <v>543</v>
      </c>
      <c r="V87" s="8" t="str">
        <f>"44436"</f>
        <v>44436</v>
      </c>
      <c r="W87" t="s">
        <v>118</v>
      </c>
      <c r="Y87" s="10">
        <v>13302331615</v>
      </c>
      <c r="AA87">
        <v>711190</v>
      </c>
      <c r="AB87" t="s">
        <v>5248</v>
      </c>
      <c r="AC87" t="s">
        <v>6102</v>
      </c>
      <c r="AE87" t="s">
        <v>561</v>
      </c>
      <c r="AF87" t="s">
        <v>21130</v>
      </c>
      <c r="AH87" t="s">
        <v>2952</v>
      </c>
      <c r="AI87" t="s">
        <v>543</v>
      </c>
      <c r="AJ87" s="8" t="str">
        <f>"44436"</f>
        <v>44436</v>
      </c>
      <c r="AK87" t="s">
        <v>118</v>
      </c>
      <c r="AM87" s="10">
        <v>13302331615</v>
      </c>
      <c r="AO87" t="s">
        <v>21131</v>
      </c>
      <c r="AP87" t="s">
        <v>248</v>
      </c>
      <c r="AQ87" t="s">
        <v>3290</v>
      </c>
      <c r="AR87" t="s">
        <v>2001</v>
      </c>
      <c r="AT87" t="s">
        <v>3291</v>
      </c>
      <c r="AV87" t="s">
        <v>3292</v>
      </c>
      <c r="AW87" t="s">
        <v>402</v>
      </c>
      <c r="AX87" s="8" t="str">
        <f>"93446"</f>
        <v>93446</v>
      </c>
      <c r="AY87" t="s">
        <v>118</v>
      </c>
      <c r="AZ87" t="s">
        <v>3293</v>
      </c>
      <c r="BA87" s="10">
        <v>13217042589</v>
      </c>
      <c r="BC87" t="s">
        <v>3294</v>
      </c>
      <c r="BD87" t="s">
        <v>3295</v>
      </c>
      <c r="BG87" t="s">
        <v>543</v>
      </c>
      <c r="BH87" s="1">
        <v>45260.791666666664</v>
      </c>
      <c r="BI87">
        <v>40</v>
      </c>
      <c r="BJ87">
        <v>8</v>
      </c>
      <c r="BK87">
        <v>0</v>
      </c>
      <c r="BL87">
        <v>0</v>
      </c>
      <c r="BM87">
        <v>8</v>
      </c>
      <c r="BN87">
        <v>8</v>
      </c>
      <c r="BO87">
        <v>8</v>
      </c>
      <c r="BP87">
        <v>8</v>
      </c>
      <c r="BQ87" t="str">
        <f>"1:00 PM"</f>
        <v>1:00 PM</v>
      </c>
      <c r="BR87" t="str">
        <f>"10:00 PM"</f>
        <v>10:00 PM</v>
      </c>
      <c r="BS87" t="s">
        <v>131</v>
      </c>
      <c r="BT87">
        <v>0</v>
      </c>
      <c r="BU87">
        <v>0</v>
      </c>
      <c r="BV87" t="s">
        <v>114</v>
      </c>
      <c r="BX87" s="2" t="s">
        <v>21132</v>
      </c>
      <c r="BY87" t="s">
        <v>21130</v>
      </c>
      <c r="CA87" t="s">
        <v>2952</v>
      </c>
      <c r="CB87" t="s">
        <v>543</v>
      </c>
      <c r="CC87" s="8" t="str">
        <f>"44436"</f>
        <v>44436</v>
      </c>
      <c r="CD87" t="s">
        <v>11073</v>
      </c>
      <c r="CE87" t="s">
        <v>3206</v>
      </c>
      <c r="CF87" s="12">
        <v>10.4</v>
      </c>
      <c r="CG87" s="12">
        <v>12.66</v>
      </c>
      <c r="CJ87" t="s">
        <v>7623</v>
      </c>
      <c r="CK87" t="s">
        <v>3300</v>
      </c>
      <c r="CL87" t="s">
        <v>21133</v>
      </c>
      <c r="CO87" t="s">
        <v>132</v>
      </c>
      <c r="CP87" t="s">
        <v>136</v>
      </c>
      <c r="CQ87" t="s">
        <v>136</v>
      </c>
      <c r="CR87" t="s">
        <v>114</v>
      </c>
      <c r="CS87" t="s">
        <v>136</v>
      </c>
      <c r="CT87" t="s">
        <v>136</v>
      </c>
      <c r="CU87" t="s">
        <v>136</v>
      </c>
      <c r="CV87" t="s">
        <v>21134</v>
      </c>
      <c r="CW87" s="10" t="str">
        <f>"+13302331615"</f>
        <v>+13302331615</v>
      </c>
      <c r="CX87" t="s">
        <v>21131</v>
      </c>
      <c r="CY87" t="s">
        <v>132</v>
      </c>
      <c r="CZ87" t="s">
        <v>137</v>
      </c>
      <c r="DA87" t="s">
        <v>114</v>
      </c>
      <c r="DB87" t="s">
        <v>114</v>
      </c>
      <c r="DC87" t="s">
        <v>136</v>
      </c>
      <c r="DD87" t="s">
        <v>114</v>
      </c>
    </row>
    <row r="88" spans="1:113" ht="15" customHeight="1" x14ac:dyDescent="0.25">
      <c r="A88" t="s">
        <v>3281</v>
      </c>
      <c r="B88" t="s">
        <v>152</v>
      </c>
      <c r="C88" s="1">
        <v>45261.553085300926</v>
      </c>
      <c r="D88" s="1">
        <v>45288</v>
      </c>
      <c r="E88" t="s">
        <v>132</v>
      </c>
      <c r="F88" t="s">
        <v>3282</v>
      </c>
      <c r="G88" t="str">
        <f>"37-3011.00"</f>
        <v>37-3011.00</v>
      </c>
      <c r="H88" t="s">
        <v>429</v>
      </c>
      <c r="I88">
        <v>20</v>
      </c>
      <c r="J88">
        <v>20</v>
      </c>
      <c r="K88" s="1">
        <v>45350</v>
      </c>
      <c r="L88" s="1">
        <v>45625</v>
      </c>
      <c r="M88" s="1">
        <v>45350</v>
      </c>
      <c r="N88" s="1">
        <v>45625</v>
      </c>
      <c r="O88" t="s">
        <v>116</v>
      </c>
      <c r="P88" t="s">
        <v>3283</v>
      </c>
      <c r="Q88" t="s">
        <v>3284</v>
      </c>
      <c r="R88" t="s">
        <v>3285</v>
      </c>
      <c r="T88" t="s">
        <v>3286</v>
      </c>
      <c r="U88" t="s">
        <v>1434</v>
      </c>
      <c r="V88" s="8" t="str">
        <f>"40330"</f>
        <v>40330</v>
      </c>
      <c r="W88" t="s">
        <v>118</v>
      </c>
      <c r="Y88" s="10">
        <v>18594252185</v>
      </c>
      <c r="AA88">
        <v>56173</v>
      </c>
      <c r="AB88" t="s">
        <v>3287</v>
      </c>
      <c r="AC88" t="s">
        <v>3288</v>
      </c>
      <c r="AE88" t="s">
        <v>654</v>
      </c>
      <c r="AF88" t="s">
        <v>3285</v>
      </c>
      <c r="AH88" t="s">
        <v>3286</v>
      </c>
      <c r="AI88" t="s">
        <v>1434</v>
      </c>
      <c r="AJ88" s="8" t="str">
        <f>"40330"</f>
        <v>40330</v>
      </c>
      <c r="AK88" t="s">
        <v>118</v>
      </c>
      <c r="AM88" s="10">
        <v>18594252185</v>
      </c>
      <c r="AO88" t="s">
        <v>3289</v>
      </c>
      <c r="AP88" t="s">
        <v>248</v>
      </c>
      <c r="AQ88" t="s">
        <v>3290</v>
      </c>
      <c r="AR88" t="s">
        <v>2001</v>
      </c>
      <c r="AT88" t="s">
        <v>3291</v>
      </c>
      <c r="AV88" t="s">
        <v>3292</v>
      </c>
      <c r="AW88" t="s">
        <v>402</v>
      </c>
      <c r="AX88" s="8" t="str">
        <f>"93446"</f>
        <v>93446</v>
      </c>
      <c r="AY88" t="s">
        <v>118</v>
      </c>
      <c r="AZ88" t="s">
        <v>3293</v>
      </c>
      <c r="BA88" s="10">
        <v>13217042589</v>
      </c>
      <c r="BC88" t="s">
        <v>3294</v>
      </c>
      <c r="BD88" t="s">
        <v>3295</v>
      </c>
      <c r="BG88" t="s">
        <v>1434</v>
      </c>
      <c r="BH88" s="1">
        <v>45246.791666666664</v>
      </c>
      <c r="BI88">
        <v>35</v>
      </c>
      <c r="BJ88">
        <v>0</v>
      </c>
      <c r="BK88">
        <v>6</v>
      </c>
      <c r="BL88">
        <v>6</v>
      </c>
      <c r="BM88">
        <v>6</v>
      </c>
      <c r="BN88">
        <v>6</v>
      </c>
      <c r="BO88">
        <v>6</v>
      </c>
      <c r="BP88">
        <v>5</v>
      </c>
      <c r="BQ88" t="str">
        <f>"7:00 AM"</f>
        <v>7:00 AM</v>
      </c>
      <c r="BR88" t="str">
        <f>"2:00 PM"</f>
        <v>2:00 PM</v>
      </c>
      <c r="BS88" t="s">
        <v>131</v>
      </c>
      <c r="BT88">
        <v>0</v>
      </c>
      <c r="BU88">
        <v>0</v>
      </c>
      <c r="BV88" t="s">
        <v>114</v>
      </c>
      <c r="BX88" s="2" t="s">
        <v>3296</v>
      </c>
      <c r="BY88" t="s">
        <v>3297</v>
      </c>
      <c r="CA88" t="s">
        <v>3286</v>
      </c>
      <c r="CB88" t="s">
        <v>1434</v>
      </c>
      <c r="CC88" s="8" t="str">
        <f>"40330"</f>
        <v>40330</v>
      </c>
      <c r="CD88" t="s">
        <v>3298</v>
      </c>
      <c r="CE88" t="s">
        <v>3299</v>
      </c>
      <c r="CF88" s="12">
        <v>13.94</v>
      </c>
      <c r="CG88" s="12">
        <v>13.94</v>
      </c>
      <c r="CH88" s="12">
        <v>20.91</v>
      </c>
      <c r="CI88" s="12">
        <v>20.91</v>
      </c>
      <c r="CJ88" t="s">
        <v>135</v>
      </c>
      <c r="CK88" t="s">
        <v>3300</v>
      </c>
      <c r="CL88" t="s">
        <v>3301</v>
      </c>
      <c r="CO88" t="s">
        <v>132</v>
      </c>
      <c r="CP88" t="s">
        <v>136</v>
      </c>
      <c r="CQ88" t="s">
        <v>136</v>
      </c>
      <c r="CR88" t="s">
        <v>136</v>
      </c>
      <c r="CS88" t="s">
        <v>136</v>
      </c>
      <c r="CT88" t="s">
        <v>136</v>
      </c>
      <c r="CU88" t="s">
        <v>136</v>
      </c>
      <c r="CV88" t="s">
        <v>3302</v>
      </c>
      <c r="CW88" s="10" t="str">
        <f>"+18594252185"</f>
        <v>+18594252185</v>
      </c>
      <c r="CX88" t="s">
        <v>3303</v>
      </c>
      <c r="CY88" t="s">
        <v>132</v>
      </c>
      <c r="CZ88" t="s">
        <v>137</v>
      </c>
      <c r="DA88" t="s">
        <v>114</v>
      </c>
      <c r="DB88" t="s">
        <v>114</v>
      </c>
      <c r="DC88" t="s">
        <v>136</v>
      </c>
      <c r="DD88" t="s">
        <v>114</v>
      </c>
    </row>
    <row r="89" spans="1:113" ht="15" customHeight="1" x14ac:dyDescent="0.25">
      <c r="A89" t="s">
        <v>19779</v>
      </c>
      <c r="B89" t="s">
        <v>152</v>
      </c>
      <c r="C89" s="1">
        <v>45261.538306249997</v>
      </c>
      <c r="D89" s="1">
        <v>45288</v>
      </c>
      <c r="E89" t="s">
        <v>132</v>
      </c>
      <c r="F89" t="s">
        <v>17811</v>
      </c>
      <c r="G89" t="str">
        <f>"35-2011.00"</f>
        <v>35-2011.00</v>
      </c>
      <c r="H89" t="s">
        <v>138</v>
      </c>
      <c r="I89">
        <v>15</v>
      </c>
      <c r="J89">
        <v>15</v>
      </c>
      <c r="K89" s="1">
        <v>45350</v>
      </c>
      <c r="L89" s="1">
        <v>45650</v>
      </c>
      <c r="M89" s="1">
        <v>45350</v>
      </c>
      <c r="N89" s="1">
        <v>45650</v>
      </c>
      <c r="O89" t="s">
        <v>116</v>
      </c>
      <c r="P89" t="s">
        <v>19780</v>
      </c>
      <c r="Q89" t="s">
        <v>19781</v>
      </c>
      <c r="R89" t="s">
        <v>19782</v>
      </c>
      <c r="T89" t="s">
        <v>6192</v>
      </c>
      <c r="U89" t="s">
        <v>375</v>
      </c>
      <c r="V89" s="8" t="str">
        <f>"27106"</f>
        <v>27106</v>
      </c>
      <c r="W89" t="s">
        <v>118</v>
      </c>
      <c r="Y89" s="10">
        <v>17048729891</v>
      </c>
      <c r="AA89">
        <v>72251</v>
      </c>
      <c r="AB89" t="s">
        <v>2924</v>
      </c>
      <c r="AC89" t="s">
        <v>19783</v>
      </c>
      <c r="AE89" t="s">
        <v>561</v>
      </c>
      <c r="AF89" t="s">
        <v>19784</v>
      </c>
      <c r="AH89" t="s">
        <v>9604</v>
      </c>
      <c r="AI89" t="s">
        <v>375</v>
      </c>
      <c r="AJ89" s="8" t="str">
        <f>"28625"</f>
        <v>28625</v>
      </c>
      <c r="AK89" t="s">
        <v>118</v>
      </c>
      <c r="AM89" s="10">
        <v>17325519192</v>
      </c>
      <c r="AO89" t="s">
        <v>19785</v>
      </c>
      <c r="AP89" t="s">
        <v>248</v>
      </c>
      <c r="AQ89" t="s">
        <v>3290</v>
      </c>
      <c r="AR89" t="s">
        <v>2001</v>
      </c>
      <c r="AT89" t="s">
        <v>3291</v>
      </c>
      <c r="AV89" t="s">
        <v>3292</v>
      </c>
      <c r="AW89" t="s">
        <v>402</v>
      </c>
      <c r="AX89" s="8" t="str">
        <f>"93446"</f>
        <v>93446</v>
      </c>
      <c r="AY89" t="s">
        <v>118</v>
      </c>
      <c r="AZ89" t="s">
        <v>3293</v>
      </c>
      <c r="BA89" s="10">
        <v>13217042589</v>
      </c>
      <c r="BC89" t="s">
        <v>3294</v>
      </c>
      <c r="BD89" t="s">
        <v>3295</v>
      </c>
      <c r="BG89" t="s">
        <v>375</v>
      </c>
      <c r="BH89" s="1">
        <v>45239.791666666664</v>
      </c>
      <c r="BI89">
        <v>35</v>
      </c>
      <c r="BJ89">
        <v>5</v>
      </c>
      <c r="BK89">
        <v>5</v>
      </c>
      <c r="BL89">
        <v>5</v>
      </c>
      <c r="BM89">
        <v>5</v>
      </c>
      <c r="BN89">
        <v>5</v>
      </c>
      <c r="BO89">
        <v>5</v>
      </c>
      <c r="BP89">
        <v>5</v>
      </c>
      <c r="BQ89" t="str">
        <f>"9:00 AM"</f>
        <v>9:00 AM</v>
      </c>
      <c r="BR89" t="str">
        <f>"11:00 PM"</f>
        <v>11:00 PM</v>
      </c>
      <c r="BS89" t="s">
        <v>131</v>
      </c>
      <c r="BT89">
        <v>0</v>
      </c>
      <c r="BU89">
        <v>0</v>
      </c>
      <c r="BV89" t="s">
        <v>114</v>
      </c>
      <c r="BX89" s="2" t="s">
        <v>19786</v>
      </c>
      <c r="BY89" t="s">
        <v>19787</v>
      </c>
      <c r="CA89" t="s">
        <v>6192</v>
      </c>
      <c r="CB89" t="s">
        <v>375</v>
      </c>
      <c r="CC89" s="8" t="str">
        <f>"27106"</f>
        <v>27106</v>
      </c>
      <c r="CD89" t="s">
        <v>6193</v>
      </c>
      <c r="CE89" t="s">
        <v>6194</v>
      </c>
      <c r="CF89" s="12">
        <v>11.11</v>
      </c>
      <c r="CG89" s="12">
        <v>11.11</v>
      </c>
      <c r="CH89" s="12">
        <v>16.670000000000002</v>
      </c>
      <c r="CI89" s="12">
        <v>16.670000000000002</v>
      </c>
      <c r="CJ89" t="s">
        <v>135</v>
      </c>
      <c r="CK89" t="s">
        <v>3300</v>
      </c>
      <c r="CL89" t="s">
        <v>19788</v>
      </c>
      <c r="CO89" t="s">
        <v>132</v>
      </c>
      <c r="CP89" t="s">
        <v>114</v>
      </c>
      <c r="CQ89" t="s">
        <v>136</v>
      </c>
      <c r="CR89" t="s">
        <v>136</v>
      </c>
      <c r="CS89" t="s">
        <v>136</v>
      </c>
      <c r="CT89" t="s">
        <v>136</v>
      </c>
      <c r="CU89" t="s">
        <v>136</v>
      </c>
      <c r="CV89" s="2" t="s">
        <v>19789</v>
      </c>
      <c r="CW89" s="10" t="str">
        <f>"+17325519192"</f>
        <v>+17325519192</v>
      </c>
      <c r="CX89" t="s">
        <v>19785</v>
      </c>
      <c r="CY89" t="s">
        <v>132</v>
      </c>
      <c r="CZ89" t="s">
        <v>137</v>
      </c>
      <c r="DA89" t="s">
        <v>114</v>
      </c>
      <c r="DB89" t="s">
        <v>114</v>
      </c>
      <c r="DC89" t="s">
        <v>136</v>
      </c>
      <c r="DD89" t="s">
        <v>114</v>
      </c>
    </row>
    <row r="90" spans="1:113" ht="15" customHeight="1" x14ac:dyDescent="0.25">
      <c r="A90" t="s">
        <v>22889</v>
      </c>
      <c r="B90" t="s">
        <v>152</v>
      </c>
      <c r="C90" s="1">
        <v>45260.754843981478</v>
      </c>
      <c r="D90" s="1">
        <v>45288</v>
      </c>
      <c r="E90" t="s">
        <v>132</v>
      </c>
      <c r="F90" t="s">
        <v>1961</v>
      </c>
      <c r="G90" t="str">
        <f>"37-3011.00"</f>
        <v>37-3011.00</v>
      </c>
      <c r="H90" t="s">
        <v>429</v>
      </c>
      <c r="I90">
        <v>10</v>
      </c>
      <c r="J90">
        <v>10</v>
      </c>
      <c r="K90" s="1">
        <v>45350</v>
      </c>
      <c r="L90" s="1">
        <v>45636</v>
      </c>
      <c r="M90" s="1">
        <v>45350</v>
      </c>
      <c r="N90" s="1">
        <v>45636</v>
      </c>
      <c r="O90" t="s">
        <v>116</v>
      </c>
      <c r="P90" t="s">
        <v>22890</v>
      </c>
      <c r="R90" t="s">
        <v>22891</v>
      </c>
      <c r="T90" t="s">
        <v>2867</v>
      </c>
      <c r="U90" t="s">
        <v>211</v>
      </c>
      <c r="V90" s="8" t="str">
        <f>"84025"</f>
        <v>84025</v>
      </c>
      <c r="W90" t="s">
        <v>118</v>
      </c>
      <c r="Y90" s="10">
        <v>18014257898</v>
      </c>
      <c r="AA90">
        <v>561730</v>
      </c>
      <c r="AB90" t="s">
        <v>1169</v>
      </c>
      <c r="AC90" t="s">
        <v>2309</v>
      </c>
      <c r="AE90" t="s">
        <v>987</v>
      </c>
      <c r="AF90" t="s">
        <v>22892</v>
      </c>
      <c r="AH90" t="s">
        <v>4839</v>
      </c>
      <c r="AI90" t="s">
        <v>211</v>
      </c>
      <c r="AJ90" s="8" t="str">
        <f>"84025"</f>
        <v>84025</v>
      </c>
      <c r="AK90" t="s">
        <v>118</v>
      </c>
      <c r="AM90" s="10">
        <v>18014257898</v>
      </c>
      <c r="AO90" t="s">
        <v>22893</v>
      </c>
      <c r="AP90" t="s">
        <v>248</v>
      </c>
      <c r="AQ90" t="s">
        <v>3290</v>
      </c>
      <c r="AR90" t="s">
        <v>2001</v>
      </c>
      <c r="AT90" t="s">
        <v>3291</v>
      </c>
      <c r="AV90" t="s">
        <v>3292</v>
      </c>
      <c r="AW90" t="s">
        <v>402</v>
      </c>
      <c r="AX90" s="8" t="str">
        <f>"93446"</f>
        <v>93446</v>
      </c>
      <c r="AY90" t="s">
        <v>118</v>
      </c>
      <c r="AZ90" t="s">
        <v>3293</v>
      </c>
      <c r="BA90" s="10">
        <v>13217042589</v>
      </c>
      <c r="BC90" t="s">
        <v>3294</v>
      </c>
      <c r="BD90" t="s">
        <v>3295</v>
      </c>
      <c r="BG90" t="s">
        <v>211</v>
      </c>
      <c r="BH90" s="1">
        <v>45237.791666666664</v>
      </c>
      <c r="BI90">
        <v>40</v>
      </c>
      <c r="BJ90">
        <v>0</v>
      </c>
      <c r="BK90">
        <v>8</v>
      </c>
      <c r="BL90">
        <v>8</v>
      </c>
      <c r="BM90">
        <v>8</v>
      </c>
      <c r="BN90">
        <v>8</v>
      </c>
      <c r="BO90">
        <v>8</v>
      </c>
      <c r="BP90">
        <v>0</v>
      </c>
      <c r="BQ90" t="str">
        <f>"8:00 AM"</f>
        <v>8:00 AM</v>
      </c>
      <c r="BR90" t="str">
        <f>"5:00 PM"</f>
        <v>5:00 PM</v>
      </c>
      <c r="BS90" t="s">
        <v>131</v>
      </c>
      <c r="BT90">
        <v>0</v>
      </c>
      <c r="BU90">
        <v>0</v>
      </c>
      <c r="BV90" t="s">
        <v>114</v>
      </c>
      <c r="BX90" s="2" t="s">
        <v>22894</v>
      </c>
      <c r="BY90" t="s">
        <v>22891</v>
      </c>
      <c r="CA90" t="s">
        <v>4839</v>
      </c>
      <c r="CB90" t="s">
        <v>211</v>
      </c>
      <c r="CC90" s="8" t="str">
        <f>"84025"</f>
        <v>84025</v>
      </c>
      <c r="CD90" t="s">
        <v>4300</v>
      </c>
      <c r="CE90" t="s">
        <v>1482</v>
      </c>
      <c r="CF90" s="12">
        <v>18.920000000000002</v>
      </c>
      <c r="CG90" s="12">
        <v>18.920000000000002</v>
      </c>
      <c r="CH90" s="12">
        <v>28.38</v>
      </c>
      <c r="CI90" s="12">
        <v>28.38</v>
      </c>
      <c r="CJ90" t="s">
        <v>135</v>
      </c>
      <c r="CK90" t="s">
        <v>3300</v>
      </c>
      <c r="CL90" t="s">
        <v>22895</v>
      </c>
      <c r="CO90" t="s">
        <v>132</v>
      </c>
      <c r="CP90" t="s">
        <v>136</v>
      </c>
      <c r="CQ90" t="s">
        <v>136</v>
      </c>
      <c r="CR90" t="s">
        <v>136</v>
      </c>
      <c r="CS90" t="s">
        <v>136</v>
      </c>
      <c r="CT90" t="s">
        <v>136</v>
      </c>
      <c r="CU90" t="s">
        <v>114</v>
      </c>
      <c r="CV90" t="s">
        <v>132</v>
      </c>
      <c r="CW90" s="10" t="str">
        <f>"N/A"</f>
        <v>N/A</v>
      </c>
      <c r="CX90" t="s">
        <v>22896</v>
      </c>
      <c r="CY90" t="s">
        <v>22897</v>
      </c>
      <c r="CZ90" t="s">
        <v>137</v>
      </c>
      <c r="DA90" t="s">
        <v>114</v>
      </c>
      <c r="DB90" t="s">
        <v>114</v>
      </c>
      <c r="DC90" t="s">
        <v>136</v>
      </c>
      <c r="DD90" t="s">
        <v>114</v>
      </c>
    </row>
    <row r="91" spans="1:113" ht="15" customHeight="1" x14ac:dyDescent="0.25">
      <c r="A91" t="s">
        <v>21318</v>
      </c>
      <c r="B91" t="s">
        <v>152</v>
      </c>
      <c r="C91" s="1">
        <v>45260.603271180553</v>
      </c>
      <c r="D91" s="1">
        <v>45288</v>
      </c>
      <c r="E91" t="s">
        <v>132</v>
      </c>
      <c r="F91" t="s">
        <v>1707</v>
      </c>
      <c r="G91" t="str">
        <f>"39-3091.00"</f>
        <v>39-3091.00</v>
      </c>
      <c r="H91" t="s">
        <v>237</v>
      </c>
      <c r="I91">
        <v>55</v>
      </c>
      <c r="J91">
        <v>55</v>
      </c>
      <c r="K91" s="1">
        <v>45346</v>
      </c>
      <c r="L91" s="1">
        <v>45618</v>
      </c>
      <c r="M91" s="1">
        <v>45346</v>
      </c>
      <c r="N91" s="1">
        <v>45618</v>
      </c>
      <c r="O91" t="s">
        <v>238</v>
      </c>
      <c r="P91" t="s">
        <v>21319</v>
      </c>
      <c r="R91" t="s">
        <v>21320</v>
      </c>
      <c r="S91" t="s">
        <v>21321</v>
      </c>
      <c r="T91" t="s">
        <v>7445</v>
      </c>
      <c r="U91" t="s">
        <v>558</v>
      </c>
      <c r="V91" s="8" t="str">
        <f>"85296"</f>
        <v>85296</v>
      </c>
      <c r="W91" t="s">
        <v>118</v>
      </c>
      <c r="Y91" s="10">
        <v>14806527760</v>
      </c>
      <c r="AA91">
        <v>71399</v>
      </c>
      <c r="AB91" t="s">
        <v>9446</v>
      </c>
      <c r="AC91" t="s">
        <v>3368</v>
      </c>
      <c r="AE91" t="s">
        <v>561</v>
      </c>
      <c r="AF91" t="s">
        <v>21322</v>
      </c>
      <c r="AH91" t="s">
        <v>7445</v>
      </c>
      <c r="AI91" t="s">
        <v>558</v>
      </c>
      <c r="AJ91" s="8" t="str">
        <f>"85122"</f>
        <v>85122</v>
      </c>
      <c r="AK91" t="s">
        <v>118</v>
      </c>
      <c r="AM91" s="10">
        <v>14806527760</v>
      </c>
      <c r="AO91" t="s">
        <v>21323</v>
      </c>
      <c r="AP91" t="s">
        <v>121</v>
      </c>
      <c r="AQ91" t="s">
        <v>1718</v>
      </c>
      <c r="AR91" t="s">
        <v>708</v>
      </c>
      <c r="AS91" t="s">
        <v>1719</v>
      </c>
      <c r="AT91" t="s">
        <v>1720</v>
      </c>
      <c r="AU91" t="s">
        <v>799</v>
      </c>
      <c r="AV91" t="s">
        <v>1721</v>
      </c>
      <c r="AW91" t="s">
        <v>1722</v>
      </c>
      <c r="AX91" s="8" t="str">
        <f>"21401"</f>
        <v>21401</v>
      </c>
      <c r="AY91" t="s">
        <v>118</v>
      </c>
      <c r="BA91" s="10">
        <v>14105739955</v>
      </c>
      <c r="BB91">
        <v>0</v>
      </c>
      <c r="BC91" t="s">
        <v>1723</v>
      </c>
      <c r="BD91" t="s">
        <v>1724</v>
      </c>
      <c r="BE91" t="s">
        <v>1722</v>
      </c>
      <c r="BF91" t="s">
        <v>1725</v>
      </c>
      <c r="BG91" t="s">
        <v>558</v>
      </c>
      <c r="BH91" s="1">
        <v>45259.791666666664</v>
      </c>
      <c r="BI91">
        <v>35</v>
      </c>
      <c r="BJ91">
        <v>7</v>
      </c>
      <c r="BK91">
        <v>0</v>
      </c>
      <c r="BL91">
        <v>0</v>
      </c>
      <c r="BM91">
        <v>7</v>
      </c>
      <c r="BN91">
        <v>7</v>
      </c>
      <c r="BO91">
        <v>7</v>
      </c>
      <c r="BP91">
        <v>7</v>
      </c>
      <c r="BQ91" t="str">
        <f>"4:00 PM"</f>
        <v>4:00 PM</v>
      </c>
      <c r="BR91" t="str">
        <f>"11:00 PM"</f>
        <v>11:00 PM</v>
      </c>
      <c r="BS91" t="s">
        <v>131</v>
      </c>
      <c r="BT91">
        <v>0</v>
      </c>
      <c r="BU91">
        <v>0</v>
      </c>
      <c r="BV91" t="s">
        <v>114</v>
      </c>
      <c r="BX91" s="2" t="s">
        <v>21324</v>
      </c>
      <c r="BY91" t="s">
        <v>13945</v>
      </c>
      <c r="CA91" t="s">
        <v>557</v>
      </c>
      <c r="CB91" t="s">
        <v>558</v>
      </c>
      <c r="CC91" s="8" t="str">
        <f>"85122"</f>
        <v>85122</v>
      </c>
      <c r="CD91" t="s">
        <v>564</v>
      </c>
      <c r="CE91" t="s">
        <v>565</v>
      </c>
      <c r="CF91" s="12">
        <v>10.1</v>
      </c>
      <c r="CG91" s="12">
        <v>15.74</v>
      </c>
      <c r="CH91" s="12">
        <v>15.15</v>
      </c>
      <c r="CI91" s="12">
        <v>23.61</v>
      </c>
      <c r="CJ91" t="s">
        <v>135</v>
      </c>
      <c r="CK91" t="s">
        <v>9241</v>
      </c>
      <c r="CL91" t="s">
        <v>21325</v>
      </c>
      <c r="CO91" t="s">
        <v>132</v>
      </c>
      <c r="CP91" t="s">
        <v>136</v>
      </c>
      <c r="CQ91" t="s">
        <v>114</v>
      </c>
      <c r="CR91" t="s">
        <v>136</v>
      </c>
      <c r="CS91" t="s">
        <v>136</v>
      </c>
      <c r="CT91" t="s">
        <v>136</v>
      </c>
      <c r="CU91" t="s">
        <v>136</v>
      </c>
      <c r="CV91" s="2" t="s">
        <v>9243</v>
      </c>
      <c r="CW91" s="10" t="str">
        <f>"+14806521160"</f>
        <v>+14806521160</v>
      </c>
      <c r="CX91" t="s">
        <v>21323</v>
      </c>
      <c r="CY91" t="s">
        <v>132</v>
      </c>
      <c r="CZ91" t="s">
        <v>137</v>
      </c>
      <c r="DA91" t="s">
        <v>114</v>
      </c>
      <c r="DB91" t="s">
        <v>114</v>
      </c>
      <c r="DC91" t="s">
        <v>136</v>
      </c>
      <c r="DD91" t="s">
        <v>114</v>
      </c>
    </row>
    <row r="92" spans="1:113" ht="15" customHeight="1" x14ac:dyDescent="0.25">
      <c r="A92" t="s">
        <v>9518</v>
      </c>
      <c r="B92" t="s">
        <v>152</v>
      </c>
      <c r="C92" s="1">
        <v>45260.400141435188</v>
      </c>
      <c r="D92" s="1">
        <v>45288</v>
      </c>
      <c r="E92" t="s">
        <v>132</v>
      </c>
      <c r="F92" t="s">
        <v>1595</v>
      </c>
      <c r="G92" t="str">
        <f>"37-3011.00"</f>
        <v>37-3011.00</v>
      </c>
      <c r="H92" t="s">
        <v>429</v>
      </c>
      <c r="I92">
        <v>25</v>
      </c>
      <c r="J92">
        <v>25</v>
      </c>
      <c r="K92" s="1">
        <v>45350</v>
      </c>
      <c r="L92" s="1">
        <v>45627</v>
      </c>
      <c r="M92" s="1">
        <v>45350</v>
      </c>
      <c r="N92" s="1">
        <v>45627</v>
      </c>
      <c r="O92" t="s">
        <v>238</v>
      </c>
      <c r="P92" t="s">
        <v>9519</v>
      </c>
      <c r="R92" t="s">
        <v>9520</v>
      </c>
      <c r="T92" t="s">
        <v>5557</v>
      </c>
      <c r="U92" t="s">
        <v>819</v>
      </c>
      <c r="V92" s="8" t="str">
        <f>"46268"</f>
        <v>46268</v>
      </c>
      <c r="W92" t="s">
        <v>118</v>
      </c>
      <c r="Y92" s="10">
        <v>13172476316</v>
      </c>
      <c r="AA92">
        <v>56173</v>
      </c>
      <c r="AB92" t="s">
        <v>9521</v>
      </c>
      <c r="AC92" t="s">
        <v>250</v>
      </c>
      <c r="AD92" t="s">
        <v>1798</v>
      </c>
      <c r="AE92" t="s">
        <v>2928</v>
      </c>
      <c r="AF92" t="s">
        <v>9520</v>
      </c>
      <c r="AH92" t="s">
        <v>5557</v>
      </c>
      <c r="AI92" t="s">
        <v>819</v>
      </c>
      <c r="AJ92" s="8" t="str">
        <f>"46268"</f>
        <v>46268</v>
      </c>
      <c r="AK92" t="s">
        <v>118</v>
      </c>
      <c r="AM92" s="10">
        <v>13172476316</v>
      </c>
      <c r="AO92" t="s">
        <v>132</v>
      </c>
      <c r="AP92" t="s">
        <v>248</v>
      </c>
      <c r="AQ92" t="s">
        <v>2132</v>
      </c>
      <c r="AR92" t="s">
        <v>2133</v>
      </c>
      <c r="AT92" t="s">
        <v>1350</v>
      </c>
      <c r="AU92" t="s">
        <v>1351</v>
      </c>
      <c r="AV92" t="s">
        <v>1352</v>
      </c>
      <c r="AW92" t="s">
        <v>581</v>
      </c>
      <c r="AX92" s="8" t="str">
        <f>"22949"</f>
        <v>22949</v>
      </c>
      <c r="AY92" t="s">
        <v>118</v>
      </c>
      <c r="BA92" s="10">
        <v>14342634300</v>
      </c>
      <c r="BC92" t="s">
        <v>1353</v>
      </c>
      <c r="BD92" t="s">
        <v>583</v>
      </c>
      <c r="BG92" t="s">
        <v>819</v>
      </c>
      <c r="BH92" s="1">
        <v>45259.791666666664</v>
      </c>
      <c r="BI92">
        <v>40</v>
      </c>
      <c r="BJ92">
        <v>0</v>
      </c>
      <c r="BK92">
        <v>8</v>
      </c>
      <c r="BL92">
        <v>8</v>
      </c>
      <c r="BM92">
        <v>8</v>
      </c>
      <c r="BN92">
        <v>8</v>
      </c>
      <c r="BO92">
        <v>8</v>
      </c>
      <c r="BP92">
        <v>0</v>
      </c>
      <c r="BQ92" t="str">
        <f>"7:00 AM"</f>
        <v>7:00 AM</v>
      </c>
      <c r="BR92" t="str">
        <f>"3:30 PM"</f>
        <v>3:30 PM</v>
      </c>
      <c r="BS92" t="s">
        <v>131</v>
      </c>
      <c r="BT92">
        <v>0</v>
      </c>
      <c r="BU92">
        <v>0</v>
      </c>
      <c r="BV92" t="s">
        <v>114</v>
      </c>
      <c r="BX92" s="2" t="s">
        <v>585</v>
      </c>
      <c r="BY92" t="s">
        <v>9522</v>
      </c>
      <c r="CA92" t="s">
        <v>5557</v>
      </c>
      <c r="CB92" t="s">
        <v>819</v>
      </c>
      <c r="CC92" s="8" t="str">
        <f>"46268"</f>
        <v>46268</v>
      </c>
      <c r="CD92" t="s">
        <v>1257</v>
      </c>
      <c r="CE92" t="s">
        <v>2111</v>
      </c>
      <c r="CF92" s="12">
        <v>17.190000000000001</v>
      </c>
      <c r="CG92" s="12">
        <v>17.190000000000001</v>
      </c>
      <c r="CH92" s="12">
        <v>25.79</v>
      </c>
      <c r="CI92" s="12">
        <v>25.79</v>
      </c>
      <c r="CJ92" t="s">
        <v>135</v>
      </c>
      <c r="CK92" t="s">
        <v>590</v>
      </c>
      <c r="CL92" t="s">
        <v>9523</v>
      </c>
      <c r="CO92" t="s">
        <v>132</v>
      </c>
      <c r="CP92" t="s">
        <v>136</v>
      </c>
      <c r="CQ92" t="s">
        <v>114</v>
      </c>
      <c r="CR92" t="s">
        <v>136</v>
      </c>
      <c r="CS92" t="s">
        <v>136</v>
      </c>
      <c r="CT92" t="s">
        <v>136</v>
      </c>
      <c r="CU92" t="s">
        <v>136</v>
      </c>
      <c r="CV92" t="s">
        <v>9524</v>
      </c>
      <c r="CW92" s="10" t="str">
        <f>"N/A"</f>
        <v>N/A</v>
      </c>
      <c r="CX92" t="s">
        <v>9525</v>
      </c>
      <c r="CY92" t="s">
        <v>2680</v>
      </c>
      <c r="CZ92" t="s">
        <v>137</v>
      </c>
      <c r="DA92" t="s">
        <v>114</v>
      </c>
      <c r="DB92" t="s">
        <v>114</v>
      </c>
      <c r="DC92" t="s">
        <v>136</v>
      </c>
      <c r="DD92" t="s">
        <v>114</v>
      </c>
      <c r="DE92" t="s">
        <v>1361</v>
      </c>
      <c r="DF92" t="s">
        <v>1362</v>
      </c>
      <c r="DH92" t="s">
        <v>583</v>
      </c>
      <c r="DI92" t="s">
        <v>1353</v>
      </c>
    </row>
    <row r="93" spans="1:113" ht="15" customHeight="1" x14ac:dyDescent="0.25">
      <c r="A93" t="s">
        <v>4949</v>
      </c>
      <c r="B93" t="s">
        <v>152</v>
      </c>
      <c r="C93" s="1">
        <v>45258.567346875003</v>
      </c>
      <c r="D93" s="1">
        <v>45288</v>
      </c>
      <c r="E93" t="s">
        <v>132</v>
      </c>
      <c r="F93" t="s">
        <v>1595</v>
      </c>
      <c r="G93" t="str">
        <f>"37-3011.00"</f>
        <v>37-3011.00</v>
      </c>
      <c r="H93" t="s">
        <v>429</v>
      </c>
      <c r="I93">
        <v>7</v>
      </c>
      <c r="J93">
        <v>7</v>
      </c>
      <c r="K93" s="1">
        <v>45348</v>
      </c>
      <c r="L93" s="1">
        <v>45652</v>
      </c>
      <c r="M93" s="1">
        <v>45348</v>
      </c>
      <c r="N93" s="1">
        <v>45652</v>
      </c>
      <c r="O93" t="s">
        <v>116</v>
      </c>
      <c r="P93" t="s">
        <v>4950</v>
      </c>
      <c r="R93" t="s">
        <v>4951</v>
      </c>
      <c r="T93" t="s">
        <v>2848</v>
      </c>
      <c r="U93" t="s">
        <v>984</v>
      </c>
      <c r="V93" s="8" t="str">
        <f>"63119"</f>
        <v>63119</v>
      </c>
      <c r="W93" t="s">
        <v>118</v>
      </c>
      <c r="Y93" s="10">
        <v>16362367364</v>
      </c>
      <c r="AA93">
        <v>56173</v>
      </c>
      <c r="AB93" t="s">
        <v>4952</v>
      </c>
      <c r="AC93" t="s">
        <v>2521</v>
      </c>
      <c r="AE93" t="s">
        <v>561</v>
      </c>
      <c r="AF93" t="s">
        <v>4951</v>
      </c>
      <c r="AH93" t="s">
        <v>2848</v>
      </c>
      <c r="AI93" t="s">
        <v>984</v>
      </c>
      <c r="AJ93" s="8" t="str">
        <f>"63119"</f>
        <v>63119</v>
      </c>
      <c r="AK93" t="s">
        <v>118</v>
      </c>
      <c r="AM93" s="10">
        <v>16362367364</v>
      </c>
      <c r="AO93" t="s">
        <v>4953</v>
      </c>
      <c r="AP93" t="s">
        <v>248</v>
      </c>
      <c r="AQ93" t="s">
        <v>849</v>
      </c>
      <c r="AR93" t="s">
        <v>850</v>
      </c>
      <c r="AS93" t="s">
        <v>132</v>
      </c>
      <c r="AT93" t="s">
        <v>851</v>
      </c>
      <c r="AU93" t="s">
        <v>852</v>
      </c>
      <c r="AV93" t="s">
        <v>853</v>
      </c>
      <c r="AW93" t="s">
        <v>854</v>
      </c>
      <c r="AX93" s="8" t="str">
        <f>"83814"</f>
        <v>83814</v>
      </c>
      <c r="AY93" t="s">
        <v>118</v>
      </c>
      <c r="BA93" s="10">
        <v>12087772654</v>
      </c>
      <c r="BC93" t="s">
        <v>855</v>
      </c>
      <c r="BD93" t="s">
        <v>856</v>
      </c>
      <c r="BG93" t="s">
        <v>984</v>
      </c>
      <c r="BH93" s="1">
        <v>45257.791666666664</v>
      </c>
      <c r="BI93">
        <v>40</v>
      </c>
      <c r="BJ93">
        <v>0</v>
      </c>
      <c r="BK93">
        <v>8</v>
      </c>
      <c r="BL93">
        <v>8</v>
      </c>
      <c r="BM93">
        <v>8</v>
      </c>
      <c r="BN93">
        <v>8</v>
      </c>
      <c r="BO93">
        <v>8</v>
      </c>
      <c r="BP93">
        <v>0</v>
      </c>
      <c r="BQ93" t="str">
        <f>"7:30 AM"</f>
        <v>7:30 AM</v>
      </c>
      <c r="BR93" t="str">
        <f>"3:30 PM"</f>
        <v>3:30 PM</v>
      </c>
      <c r="BS93" t="s">
        <v>131</v>
      </c>
      <c r="BT93">
        <v>0</v>
      </c>
      <c r="BU93">
        <v>3</v>
      </c>
      <c r="BV93" t="s">
        <v>114</v>
      </c>
      <c r="BX93" s="2" t="s">
        <v>4954</v>
      </c>
      <c r="BY93" t="s">
        <v>4955</v>
      </c>
      <c r="CA93" t="s">
        <v>2848</v>
      </c>
      <c r="CB93" t="s">
        <v>984</v>
      </c>
      <c r="CC93" s="8" t="str">
        <f>"63119"</f>
        <v>63119</v>
      </c>
      <c r="CD93" t="s">
        <v>2851</v>
      </c>
      <c r="CE93" t="s">
        <v>1856</v>
      </c>
      <c r="CF93" s="12">
        <v>17.579999999999998</v>
      </c>
      <c r="CG93" s="12">
        <v>25</v>
      </c>
      <c r="CH93" s="12">
        <v>26.37</v>
      </c>
      <c r="CI93" s="12">
        <v>37.5</v>
      </c>
      <c r="CJ93" t="s">
        <v>135</v>
      </c>
      <c r="CK93" t="s">
        <v>1899</v>
      </c>
      <c r="CL93" t="s">
        <v>4956</v>
      </c>
      <c r="CO93" t="s">
        <v>132</v>
      </c>
      <c r="CP93" t="s">
        <v>136</v>
      </c>
      <c r="CQ93" t="s">
        <v>136</v>
      </c>
      <c r="CR93" t="s">
        <v>136</v>
      </c>
      <c r="CS93" t="s">
        <v>114</v>
      </c>
      <c r="CT93" t="s">
        <v>136</v>
      </c>
      <c r="CU93" t="s">
        <v>114</v>
      </c>
      <c r="CV93" t="s">
        <v>1040</v>
      </c>
      <c r="CW93" s="10" t="str">
        <f>"+16362367364"</f>
        <v>+16362367364</v>
      </c>
      <c r="CX93" t="s">
        <v>4953</v>
      </c>
      <c r="CY93" t="s">
        <v>132</v>
      </c>
      <c r="CZ93" t="s">
        <v>137</v>
      </c>
      <c r="DA93" t="s">
        <v>114</v>
      </c>
      <c r="DB93" t="s">
        <v>136</v>
      </c>
      <c r="DC93" t="s">
        <v>136</v>
      </c>
      <c r="DD93" t="s">
        <v>114</v>
      </c>
    </row>
    <row r="94" spans="1:113" ht="15" customHeight="1" x14ac:dyDescent="0.25">
      <c r="A94" t="s">
        <v>19837</v>
      </c>
      <c r="B94" t="s">
        <v>152</v>
      </c>
      <c r="C94" s="1">
        <v>45258.428103240738</v>
      </c>
      <c r="D94" s="1">
        <v>45288</v>
      </c>
      <c r="E94" t="s">
        <v>132</v>
      </c>
      <c r="F94" t="s">
        <v>9275</v>
      </c>
      <c r="G94" t="str">
        <f>"37-3011.00"</f>
        <v>37-3011.00</v>
      </c>
      <c r="H94" t="s">
        <v>429</v>
      </c>
      <c r="I94">
        <v>18</v>
      </c>
      <c r="J94">
        <v>18</v>
      </c>
      <c r="K94" s="1">
        <v>45348</v>
      </c>
      <c r="L94" s="1">
        <v>45639</v>
      </c>
      <c r="M94" s="1">
        <v>45348</v>
      </c>
      <c r="N94" s="1">
        <v>45639</v>
      </c>
      <c r="O94" t="s">
        <v>116</v>
      </c>
      <c r="P94" t="s">
        <v>19838</v>
      </c>
      <c r="R94" t="s">
        <v>19839</v>
      </c>
      <c r="S94" t="s">
        <v>19840</v>
      </c>
      <c r="T94" t="s">
        <v>126</v>
      </c>
      <c r="U94" t="s">
        <v>127</v>
      </c>
      <c r="V94" s="8" t="str">
        <f>"78217"</f>
        <v>78217</v>
      </c>
      <c r="W94" t="s">
        <v>118</v>
      </c>
      <c r="Y94" s="10">
        <v>12104033898</v>
      </c>
      <c r="AA94">
        <v>561730</v>
      </c>
      <c r="AB94" t="s">
        <v>19841</v>
      </c>
      <c r="AC94" t="s">
        <v>2561</v>
      </c>
      <c r="AD94" t="s">
        <v>132</v>
      </c>
      <c r="AE94" t="s">
        <v>19842</v>
      </c>
      <c r="AF94" t="s">
        <v>19839</v>
      </c>
      <c r="AG94" t="s">
        <v>19840</v>
      </c>
      <c r="AH94" t="s">
        <v>126</v>
      </c>
      <c r="AI94" t="s">
        <v>127</v>
      </c>
      <c r="AJ94" s="8" t="str">
        <f>"78217"</f>
        <v>78217</v>
      </c>
      <c r="AK94" t="s">
        <v>118</v>
      </c>
      <c r="AM94" s="10">
        <v>12104033898</v>
      </c>
      <c r="AO94" t="s">
        <v>19843</v>
      </c>
      <c r="AP94" t="s">
        <v>248</v>
      </c>
      <c r="AQ94" t="s">
        <v>2452</v>
      </c>
      <c r="AR94" t="s">
        <v>2453</v>
      </c>
      <c r="AS94" t="s">
        <v>515</v>
      </c>
      <c r="AT94" t="s">
        <v>2454</v>
      </c>
      <c r="AU94" t="s">
        <v>132</v>
      </c>
      <c r="AV94" t="s">
        <v>1585</v>
      </c>
      <c r="AW94" t="s">
        <v>127</v>
      </c>
      <c r="AX94" s="8" t="str">
        <f>"77414"</f>
        <v>77414</v>
      </c>
      <c r="AY94" t="s">
        <v>118</v>
      </c>
      <c r="BA94" s="10">
        <v>19793187278</v>
      </c>
      <c r="BC94" t="s">
        <v>2455</v>
      </c>
      <c r="BD94" t="s">
        <v>1587</v>
      </c>
      <c r="BG94" t="s">
        <v>127</v>
      </c>
      <c r="BH94" s="1">
        <v>45257.791666666664</v>
      </c>
      <c r="BI94">
        <v>40</v>
      </c>
      <c r="BJ94">
        <v>0</v>
      </c>
      <c r="BK94">
        <v>8</v>
      </c>
      <c r="BL94">
        <v>8</v>
      </c>
      <c r="BM94">
        <v>8</v>
      </c>
      <c r="BN94">
        <v>8</v>
      </c>
      <c r="BO94">
        <v>8</v>
      </c>
      <c r="BP94">
        <v>0</v>
      </c>
      <c r="BQ94" t="str">
        <f>"8:00 AM"</f>
        <v>8:00 AM</v>
      </c>
      <c r="BR94" t="str">
        <f>"5:00 PM"</f>
        <v>5:00 PM</v>
      </c>
      <c r="BS94" t="s">
        <v>131</v>
      </c>
      <c r="BT94">
        <v>0</v>
      </c>
      <c r="BU94">
        <v>0</v>
      </c>
      <c r="BV94" t="s">
        <v>114</v>
      </c>
      <c r="BX94" s="2" t="s">
        <v>19844</v>
      </c>
      <c r="BY94" t="s">
        <v>19839</v>
      </c>
      <c r="BZ94" t="s">
        <v>132</v>
      </c>
      <c r="CA94" t="s">
        <v>126</v>
      </c>
      <c r="CB94" t="s">
        <v>127</v>
      </c>
      <c r="CC94" s="8" t="str">
        <f>"78217"</f>
        <v>78217</v>
      </c>
      <c r="CD94" t="s">
        <v>1941</v>
      </c>
      <c r="CE94" t="s">
        <v>1287</v>
      </c>
      <c r="CF94" s="12">
        <v>15.69</v>
      </c>
      <c r="CG94" s="12">
        <v>19</v>
      </c>
      <c r="CH94" s="12">
        <v>23.54</v>
      </c>
      <c r="CI94" s="12">
        <v>28.5</v>
      </c>
      <c r="CJ94" t="s">
        <v>135</v>
      </c>
      <c r="CK94" t="s">
        <v>3584</v>
      </c>
      <c r="CL94" t="s">
        <v>19845</v>
      </c>
      <c r="CO94" t="s">
        <v>132</v>
      </c>
      <c r="CP94" t="s">
        <v>136</v>
      </c>
      <c r="CQ94" t="s">
        <v>136</v>
      </c>
      <c r="CR94" t="s">
        <v>136</v>
      </c>
      <c r="CS94" t="s">
        <v>136</v>
      </c>
      <c r="CT94" t="s">
        <v>136</v>
      </c>
      <c r="CU94" t="s">
        <v>114</v>
      </c>
      <c r="CV94" t="s">
        <v>131</v>
      </c>
      <c r="CW94" s="10" t="str">
        <f>"+12104033898"</f>
        <v>+12104033898</v>
      </c>
      <c r="CX94" t="s">
        <v>19846</v>
      </c>
      <c r="CY94" t="s">
        <v>132</v>
      </c>
      <c r="CZ94" t="s">
        <v>137</v>
      </c>
      <c r="DA94" t="s">
        <v>114</v>
      </c>
      <c r="DB94" t="s">
        <v>114</v>
      </c>
      <c r="DC94" t="s">
        <v>136</v>
      </c>
      <c r="DD94" t="s">
        <v>114</v>
      </c>
    </row>
    <row r="95" spans="1:113" ht="15" customHeight="1" x14ac:dyDescent="0.25">
      <c r="A95" t="s">
        <v>20096</v>
      </c>
      <c r="B95" t="s">
        <v>152</v>
      </c>
      <c r="C95" s="1">
        <v>45257.639931365738</v>
      </c>
      <c r="D95" s="1">
        <v>45288</v>
      </c>
      <c r="E95" t="s">
        <v>132</v>
      </c>
      <c r="F95" t="s">
        <v>1595</v>
      </c>
      <c r="G95" t="str">
        <f>"37-3011.00"</f>
        <v>37-3011.00</v>
      </c>
      <c r="H95" t="s">
        <v>429</v>
      </c>
      <c r="I95">
        <v>25</v>
      </c>
      <c r="J95">
        <v>25</v>
      </c>
      <c r="K95" s="1">
        <v>45345</v>
      </c>
      <c r="L95" s="1">
        <v>45611</v>
      </c>
      <c r="M95" s="1">
        <v>45345</v>
      </c>
      <c r="N95" s="1">
        <v>45611</v>
      </c>
      <c r="O95" t="s">
        <v>116</v>
      </c>
      <c r="P95" t="s">
        <v>7294</v>
      </c>
      <c r="R95" t="s">
        <v>7295</v>
      </c>
      <c r="S95" t="s">
        <v>7296</v>
      </c>
      <c r="T95" t="s">
        <v>985</v>
      </c>
      <c r="U95" t="s">
        <v>127</v>
      </c>
      <c r="V95" s="8" t="str">
        <f>"75002"</f>
        <v>75002</v>
      </c>
      <c r="W95" t="s">
        <v>118</v>
      </c>
      <c r="Y95" s="10">
        <v>19725160001</v>
      </c>
      <c r="AA95">
        <v>56173</v>
      </c>
      <c r="AB95" t="s">
        <v>7297</v>
      </c>
      <c r="AC95" t="s">
        <v>7298</v>
      </c>
      <c r="AE95" t="s">
        <v>629</v>
      </c>
      <c r="AF95" t="s">
        <v>7295</v>
      </c>
      <c r="AG95" t="s">
        <v>7296</v>
      </c>
      <c r="AH95" t="s">
        <v>985</v>
      </c>
      <c r="AI95" t="s">
        <v>127</v>
      </c>
      <c r="AJ95" s="8" t="str">
        <f>"75002"</f>
        <v>75002</v>
      </c>
      <c r="AK95" t="s">
        <v>118</v>
      </c>
      <c r="AM95" s="10">
        <v>19725160001</v>
      </c>
      <c r="AO95" t="s">
        <v>7299</v>
      </c>
      <c r="AP95" t="s">
        <v>248</v>
      </c>
      <c r="AQ95" t="s">
        <v>3017</v>
      </c>
      <c r="AR95" t="s">
        <v>3018</v>
      </c>
      <c r="AS95" t="s">
        <v>631</v>
      </c>
      <c r="AT95" t="s">
        <v>3371</v>
      </c>
      <c r="AV95" t="s">
        <v>1168</v>
      </c>
      <c r="AW95" t="s">
        <v>127</v>
      </c>
      <c r="AX95" s="8" t="str">
        <f>"75098"</f>
        <v>75098</v>
      </c>
      <c r="AY95" t="s">
        <v>118</v>
      </c>
      <c r="BA95" s="10">
        <v>19724424244</v>
      </c>
      <c r="BC95" t="s">
        <v>3372</v>
      </c>
      <c r="BD95" t="s">
        <v>3021</v>
      </c>
      <c r="BG95" t="s">
        <v>127</v>
      </c>
      <c r="BH95" s="1">
        <v>45256.791666666664</v>
      </c>
      <c r="BI95">
        <v>40</v>
      </c>
      <c r="BJ95">
        <v>0</v>
      </c>
      <c r="BK95">
        <v>8</v>
      </c>
      <c r="BL95">
        <v>8</v>
      </c>
      <c r="BM95">
        <v>8</v>
      </c>
      <c r="BN95">
        <v>8</v>
      </c>
      <c r="BO95">
        <v>8</v>
      </c>
      <c r="BP95">
        <v>0</v>
      </c>
      <c r="BQ95" t="str">
        <f>"7:00 AM"</f>
        <v>7:00 AM</v>
      </c>
      <c r="BR95" t="str">
        <f>"7:00 PM"</f>
        <v>7:00 PM</v>
      </c>
      <c r="BS95" t="s">
        <v>131</v>
      </c>
      <c r="BT95">
        <v>0</v>
      </c>
      <c r="BU95">
        <v>0</v>
      </c>
      <c r="BV95" t="s">
        <v>114</v>
      </c>
      <c r="BX95" t="s">
        <v>1480</v>
      </c>
      <c r="BY95" t="s">
        <v>7300</v>
      </c>
      <c r="CA95" t="s">
        <v>985</v>
      </c>
      <c r="CB95" t="s">
        <v>127</v>
      </c>
      <c r="CC95" s="8" t="str">
        <f>"75002"</f>
        <v>75002</v>
      </c>
      <c r="CD95" t="s">
        <v>1177</v>
      </c>
      <c r="CE95" t="s">
        <v>263</v>
      </c>
      <c r="CF95" s="12">
        <v>16.86</v>
      </c>
      <c r="CG95" s="12">
        <v>24</v>
      </c>
      <c r="CH95" s="12">
        <v>25.29</v>
      </c>
      <c r="CI95" s="12">
        <v>36</v>
      </c>
      <c r="CJ95" t="s">
        <v>135</v>
      </c>
      <c r="CL95" t="s">
        <v>7301</v>
      </c>
      <c r="CO95" t="s">
        <v>132</v>
      </c>
      <c r="CP95" t="s">
        <v>136</v>
      </c>
      <c r="CQ95" t="s">
        <v>136</v>
      </c>
      <c r="CR95" t="s">
        <v>136</v>
      </c>
      <c r="CS95" t="s">
        <v>136</v>
      </c>
      <c r="CT95" t="s">
        <v>136</v>
      </c>
      <c r="CU95" t="s">
        <v>136</v>
      </c>
      <c r="CV95" t="s">
        <v>7302</v>
      </c>
      <c r="CW95" s="10" t="str">
        <f>"+19725160001"</f>
        <v>+19725160001</v>
      </c>
      <c r="CX95" t="s">
        <v>132</v>
      </c>
      <c r="CY95" t="s">
        <v>3190</v>
      </c>
      <c r="CZ95" t="s">
        <v>137</v>
      </c>
      <c r="DA95" t="s">
        <v>114</v>
      </c>
      <c r="DB95" t="s">
        <v>114</v>
      </c>
      <c r="DC95" t="s">
        <v>136</v>
      </c>
      <c r="DD95" t="s">
        <v>114</v>
      </c>
    </row>
    <row r="96" spans="1:113" ht="15" customHeight="1" x14ac:dyDescent="0.25">
      <c r="A96" t="s">
        <v>19003</v>
      </c>
      <c r="B96" t="s">
        <v>152</v>
      </c>
      <c r="C96" s="1">
        <v>45247.723470486111</v>
      </c>
      <c r="D96" s="1">
        <v>45288</v>
      </c>
      <c r="E96" t="s">
        <v>132</v>
      </c>
      <c r="F96" t="s">
        <v>19004</v>
      </c>
      <c r="G96" t="str">
        <f>"53-3052.00"</f>
        <v>53-3052.00</v>
      </c>
      <c r="H96" t="s">
        <v>19005</v>
      </c>
      <c r="I96">
        <v>7</v>
      </c>
      <c r="J96">
        <v>7</v>
      </c>
      <c r="K96" s="1">
        <v>45337</v>
      </c>
      <c r="L96" s="1">
        <v>45504</v>
      </c>
      <c r="M96" s="1">
        <v>45337</v>
      </c>
      <c r="N96" s="1">
        <v>45504</v>
      </c>
      <c r="O96" t="s">
        <v>116</v>
      </c>
      <c r="P96" t="s">
        <v>19006</v>
      </c>
      <c r="R96" t="s">
        <v>19007</v>
      </c>
      <c r="T96" t="s">
        <v>16273</v>
      </c>
      <c r="U96" t="s">
        <v>127</v>
      </c>
      <c r="V96" s="8" t="str">
        <f>"77868"</f>
        <v>77868</v>
      </c>
      <c r="W96" t="s">
        <v>118</v>
      </c>
      <c r="Y96" s="10">
        <v>19795877547</v>
      </c>
      <c r="AA96">
        <v>485510</v>
      </c>
      <c r="AB96" t="s">
        <v>19008</v>
      </c>
      <c r="AC96" t="s">
        <v>13869</v>
      </c>
      <c r="AE96" t="s">
        <v>537</v>
      </c>
      <c r="AF96" t="s">
        <v>19007</v>
      </c>
      <c r="AH96" t="s">
        <v>16273</v>
      </c>
      <c r="AI96" t="s">
        <v>127</v>
      </c>
      <c r="AJ96" s="8" t="str">
        <f>"77868"</f>
        <v>77868</v>
      </c>
      <c r="AK96" t="s">
        <v>118</v>
      </c>
      <c r="AM96" s="10">
        <v>19795877547</v>
      </c>
      <c r="AO96" t="s">
        <v>19009</v>
      </c>
      <c r="AP96" t="s">
        <v>121</v>
      </c>
      <c r="AQ96" t="s">
        <v>745</v>
      </c>
      <c r="AR96" t="s">
        <v>746</v>
      </c>
      <c r="AT96" t="s">
        <v>2558</v>
      </c>
      <c r="AU96" t="s">
        <v>2559</v>
      </c>
      <c r="AV96" t="s">
        <v>603</v>
      </c>
      <c r="AW96" t="s">
        <v>127</v>
      </c>
      <c r="AX96" s="8" t="str">
        <f>"78735"</f>
        <v>78735</v>
      </c>
      <c r="AY96" t="s">
        <v>118</v>
      </c>
      <c r="BA96" s="10">
        <v>15128942128</v>
      </c>
      <c r="BC96" t="s">
        <v>748</v>
      </c>
      <c r="BD96" t="s">
        <v>749</v>
      </c>
      <c r="BE96" t="s">
        <v>127</v>
      </c>
      <c r="BF96" t="s">
        <v>750</v>
      </c>
      <c r="BG96" t="s">
        <v>127</v>
      </c>
      <c r="BH96" s="1">
        <v>45249.791666666664</v>
      </c>
      <c r="BI96">
        <v>40</v>
      </c>
      <c r="BJ96">
        <v>8</v>
      </c>
      <c r="BK96">
        <v>0</v>
      </c>
      <c r="BL96">
        <v>0</v>
      </c>
      <c r="BM96">
        <v>8</v>
      </c>
      <c r="BN96">
        <v>8</v>
      </c>
      <c r="BO96">
        <v>8</v>
      </c>
      <c r="BP96">
        <v>8</v>
      </c>
      <c r="BQ96" t="str">
        <f>"8:00 AM"</f>
        <v>8:00 AM</v>
      </c>
      <c r="BR96" t="str">
        <f>"5:00 PM"</f>
        <v>5:00 PM</v>
      </c>
      <c r="BS96" t="s">
        <v>147</v>
      </c>
      <c r="BT96">
        <v>0</v>
      </c>
      <c r="BU96">
        <v>12</v>
      </c>
      <c r="BV96" t="s">
        <v>114</v>
      </c>
      <c r="BX96" s="2" t="s">
        <v>19010</v>
      </c>
      <c r="BY96" t="s">
        <v>19011</v>
      </c>
      <c r="CA96" t="s">
        <v>2564</v>
      </c>
      <c r="CB96" t="s">
        <v>127</v>
      </c>
      <c r="CC96" s="8" t="str">
        <f>"77002"</f>
        <v>77002</v>
      </c>
      <c r="CD96" t="s">
        <v>3327</v>
      </c>
      <c r="CE96" t="s">
        <v>879</v>
      </c>
      <c r="CF96" s="12">
        <v>23.43</v>
      </c>
      <c r="CG96" s="12">
        <v>23.43</v>
      </c>
      <c r="CH96" s="12">
        <v>35.15</v>
      </c>
      <c r="CI96" s="12">
        <v>35.15</v>
      </c>
      <c r="CJ96" t="s">
        <v>135</v>
      </c>
      <c r="CL96" t="s">
        <v>19012</v>
      </c>
      <c r="CO96" t="s">
        <v>132</v>
      </c>
      <c r="CP96" t="s">
        <v>136</v>
      </c>
      <c r="CQ96" t="s">
        <v>136</v>
      </c>
      <c r="CR96" t="s">
        <v>136</v>
      </c>
      <c r="CS96" t="s">
        <v>136</v>
      </c>
      <c r="CT96" t="s">
        <v>136</v>
      </c>
      <c r="CU96" t="s">
        <v>136</v>
      </c>
      <c r="CV96" t="s">
        <v>19013</v>
      </c>
      <c r="CW96" s="10" t="str">
        <f>"+19795877547"</f>
        <v>+19795877547</v>
      </c>
      <c r="CX96" t="s">
        <v>19009</v>
      </c>
      <c r="CY96" t="s">
        <v>132</v>
      </c>
      <c r="CZ96" t="s">
        <v>137</v>
      </c>
      <c r="DA96" t="s">
        <v>114</v>
      </c>
      <c r="DB96" t="s">
        <v>114</v>
      </c>
      <c r="DC96" t="s">
        <v>136</v>
      </c>
      <c r="DD96" t="s">
        <v>114</v>
      </c>
    </row>
    <row r="97" spans="1:113" ht="15" customHeight="1" x14ac:dyDescent="0.25">
      <c r="A97" t="s">
        <v>8075</v>
      </c>
      <c r="B97" t="s">
        <v>152</v>
      </c>
      <c r="C97" s="1">
        <v>45128.830344560185</v>
      </c>
      <c r="D97" s="1">
        <v>45288</v>
      </c>
      <c r="E97" t="s">
        <v>114</v>
      </c>
      <c r="F97" t="s">
        <v>5178</v>
      </c>
      <c r="G97" t="str">
        <f>"31-1122.00"</f>
        <v>31-1122.00</v>
      </c>
      <c r="H97" t="s">
        <v>8076</v>
      </c>
      <c r="I97">
        <v>2</v>
      </c>
      <c r="J97">
        <v>2</v>
      </c>
      <c r="K97" s="1">
        <v>45214</v>
      </c>
      <c r="L97" s="1">
        <v>46174</v>
      </c>
      <c r="M97" s="1">
        <v>45214</v>
      </c>
      <c r="N97" s="1">
        <v>46174</v>
      </c>
      <c r="O97" t="s">
        <v>184</v>
      </c>
      <c r="P97" t="s">
        <v>8077</v>
      </c>
      <c r="R97" t="s">
        <v>8078</v>
      </c>
      <c r="T97" t="s">
        <v>8079</v>
      </c>
      <c r="U97" t="s">
        <v>375</v>
      </c>
      <c r="V97" s="8" t="str">
        <f>"28739"</f>
        <v>28739</v>
      </c>
      <c r="W97" t="s">
        <v>118</v>
      </c>
      <c r="Y97" s="10">
        <v>12166301473</v>
      </c>
      <c r="AA97">
        <v>6216</v>
      </c>
      <c r="AB97" t="s">
        <v>8080</v>
      </c>
      <c r="AC97" t="s">
        <v>8081</v>
      </c>
      <c r="AE97" t="s">
        <v>1349</v>
      </c>
      <c r="AF97" t="s">
        <v>8078</v>
      </c>
      <c r="AH97" t="s">
        <v>8079</v>
      </c>
      <c r="AI97" t="s">
        <v>375</v>
      </c>
      <c r="AJ97" s="8" t="str">
        <f>"28739"</f>
        <v>28739</v>
      </c>
      <c r="AK97" t="s">
        <v>118</v>
      </c>
      <c r="AM97" s="10">
        <v>12166301473</v>
      </c>
      <c r="AO97" t="s">
        <v>8082</v>
      </c>
      <c r="AP97" t="s">
        <v>121</v>
      </c>
      <c r="AQ97" t="s">
        <v>3935</v>
      </c>
      <c r="AR97" t="s">
        <v>3936</v>
      </c>
      <c r="AS97" t="s">
        <v>3937</v>
      </c>
      <c r="AT97" t="s">
        <v>3938</v>
      </c>
      <c r="AU97" t="s">
        <v>3939</v>
      </c>
      <c r="AV97" t="s">
        <v>3940</v>
      </c>
      <c r="AW97" t="s">
        <v>2262</v>
      </c>
      <c r="AX97" s="8" t="str">
        <f>"06510"</f>
        <v>06510</v>
      </c>
      <c r="AY97" t="s">
        <v>118</v>
      </c>
      <c r="BA97" s="10">
        <v>19198270660</v>
      </c>
      <c r="BC97" t="s">
        <v>3941</v>
      </c>
      <c r="BD97" t="s">
        <v>3942</v>
      </c>
      <c r="BE97" t="s">
        <v>375</v>
      </c>
      <c r="BF97" t="s">
        <v>3943</v>
      </c>
      <c r="BG97" t="s">
        <v>375</v>
      </c>
      <c r="BH97" s="1">
        <v>45127.833333333336</v>
      </c>
      <c r="BI97">
        <v>40</v>
      </c>
      <c r="BJ97">
        <v>0</v>
      </c>
      <c r="BK97">
        <v>8</v>
      </c>
      <c r="BL97">
        <v>8</v>
      </c>
      <c r="BM97">
        <v>8</v>
      </c>
      <c r="BN97">
        <v>8</v>
      </c>
      <c r="BO97">
        <v>8</v>
      </c>
      <c r="BP97">
        <v>0</v>
      </c>
      <c r="BQ97" t="str">
        <f>"9:00 AM"</f>
        <v>9:00 AM</v>
      </c>
      <c r="BR97" t="str">
        <f>"5:00 PM"</f>
        <v>5:00 PM</v>
      </c>
      <c r="BS97" t="s">
        <v>147</v>
      </c>
      <c r="BT97">
        <v>0</v>
      </c>
      <c r="BU97">
        <v>0</v>
      </c>
      <c r="BV97" t="s">
        <v>114</v>
      </c>
      <c r="BX97" t="s">
        <v>8083</v>
      </c>
      <c r="BY97" t="s">
        <v>8084</v>
      </c>
      <c r="CA97" t="s">
        <v>8079</v>
      </c>
      <c r="CB97" t="s">
        <v>375</v>
      </c>
      <c r="CC97" s="8" t="str">
        <f>"28739"</f>
        <v>28739</v>
      </c>
      <c r="CD97" t="s">
        <v>8085</v>
      </c>
      <c r="CE97" t="s">
        <v>2135</v>
      </c>
      <c r="CF97" s="12">
        <v>12.95</v>
      </c>
      <c r="CG97" s="12">
        <v>12.95</v>
      </c>
      <c r="CH97" s="12">
        <v>19.43</v>
      </c>
      <c r="CI97" s="12">
        <v>19.43</v>
      </c>
      <c r="CJ97" t="s">
        <v>135</v>
      </c>
      <c r="CL97" t="s">
        <v>8086</v>
      </c>
      <c r="CO97" t="s">
        <v>132</v>
      </c>
      <c r="CP97" t="s">
        <v>114</v>
      </c>
      <c r="CQ97" t="s">
        <v>114</v>
      </c>
      <c r="CR97" t="s">
        <v>136</v>
      </c>
      <c r="CS97" t="s">
        <v>114</v>
      </c>
      <c r="CT97" t="s">
        <v>136</v>
      </c>
      <c r="CU97" t="s">
        <v>136</v>
      </c>
      <c r="CV97" t="s">
        <v>8087</v>
      </c>
      <c r="CW97" s="10" t="str">
        <f>"+12166301473"</f>
        <v>+12166301473</v>
      </c>
      <c r="CX97" t="s">
        <v>8082</v>
      </c>
      <c r="CY97" t="s">
        <v>132</v>
      </c>
      <c r="CZ97" t="s">
        <v>137</v>
      </c>
      <c r="DA97" t="s">
        <v>114</v>
      </c>
      <c r="DB97" t="s">
        <v>114</v>
      </c>
      <c r="DC97" t="s">
        <v>136</v>
      </c>
      <c r="DD97" t="s">
        <v>114</v>
      </c>
    </row>
    <row r="98" spans="1:113" ht="15" customHeight="1" x14ac:dyDescent="0.25">
      <c r="A98" t="s">
        <v>5590</v>
      </c>
      <c r="B98" t="s">
        <v>152</v>
      </c>
      <c r="C98" s="1">
        <v>45262.443763425923</v>
      </c>
      <c r="D98" s="1">
        <v>45287</v>
      </c>
      <c r="E98" t="s">
        <v>132</v>
      </c>
      <c r="F98" t="s">
        <v>5366</v>
      </c>
      <c r="G98" t="str">
        <f>"37-3011.00"</f>
        <v>37-3011.00</v>
      </c>
      <c r="H98" t="s">
        <v>429</v>
      </c>
      <c r="I98">
        <v>6</v>
      </c>
      <c r="J98">
        <v>6</v>
      </c>
      <c r="K98" s="1">
        <v>45352</v>
      </c>
      <c r="L98" s="1">
        <v>45625</v>
      </c>
      <c r="M98" s="1">
        <v>45352</v>
      </c>
      <c r="N98" s="1">
        <v>45625</v>
      </c>
      <c r="O98" t="s">
        <v>238</v>
      </c>
      <c r="P98" t="s">
        <v>5591</v>
      </c>
      <c r="R98" t="s">
        <v>5592</v>
      </c>
      <c r="S98" t="s">
        <v>5593</v>
      </c>
      <c r="T98" t="s">
        <v>5594</v>
      </c>
      <c r="U98" t="s">
        <v>740</v>
      </c>
      <c r="V98" s="8" t="str">
        <f>"51501"</f>
        <v>51501</v>
      </c>
      <c r="W98" t="s">
        <v>118</v>
      </c>
      <c r="Y98" s="10">
        <v>15159650951</v>
      </c>
      <c r="AA98">
        <v>56173</v>
      </c>
      <c r="AB98" t="s">
        <v>5595</v>
      </c>
      <c r="AC98" t="s">
        <v>5596</v>
      </c>
      <c r="AE98" t="s">
        <v>5597</v>
      </c>
      <c r="AF98" t="s">
        <v>5592</v>
      </c>
      <c r="AG98" t="s">
        <v>5593</v>
      </c>
      <c r="AH98" t="s">
        <v>5594</v>
      </c>
      <c r="AI98" t="s">
        <v>740</v>
      </c>
      <c r="AJ98" s="8" t="str">
        <f>"51501"</f>
        <v>51501</v>
      </c>
      <c r="AK98" t="s">
        <v>118</v>
      </c>
      <c r="AM98" s="10">
        <v>15159650951</v>
      </c>
      <c r="AO98" t="s">
        <v>132</v>
      </c>
      <c r="AP98" t="s">
        <v>248</v>
      </c>
      <c r="AQ98" t="s">
        <v>673</v>
      </c>
      <c r="AR98" t="s">
        <v>674</v>
      </c>
      <c r="AT98" t="s">
        <v>579</v>
      </c>
      <c r="AV98" t="s">
        <v>580</v>
      </c>
      <c r="AW98" t="s">
        <v>581</v>
      </c>
      <c r="AX98" s="8" t="str">
        <f>"22903"</f>
        <v>22903</v>
      </c>
      <c r="AY98" t="s">
        <v>118</v>
      </c>
      <c r="BA98" s="10">
        <v>14342634300</v>
      </c>
      <c r="BC98" t="s">
        <v>675</v>
      </c>
      <c r="BD98" t="s">
        <v>583</v>
      </c>
      <c r="BG98" t="s">
        <v>740</v>
      </c>
      <c r="BH98" s="1">
        <v>45261.791666666664</v>
      </c>
      <c r="BI98">
        <v>40</v>
      </c>
      <c r="BJ98">
        <v>0</v>
      </c>
      <c r="BK98">
        <v>8</v>
      </c>
      <c r="BL98">
        <v>8</v>
      </c>
      <c r="BM98">
        <v>8</v>
      </c>
      <c r="BN98">
        <v>8</v>
      </c>
      <c r="BO98">
        <v>8</v>
      </c>
      <c r="BP98">
        <v>0</v>
      </c>
      <c r="BQ98" t="str">
        <f>"7:00 AM"</f>
        <v>7:00 AM</v>
      </c>
      <c r="BR98" t="str">
        <f>"3:30 PM"</f>
        <v>3:30 PM</v>
      </c>
      <c r="BS98" t="s">
        <v>131</v>
      </c>
      <c r="BT98">
        <v>0</v>
      </c>
      <c r="BU98">
        <v>0</v>
      </c>
      <c r="BV98" t="s">
        <v>114</v>
      </c>
      <c r="BX98" s="2" t="s">
        <v>5598</v>
      </c>
      <c r="BY98" t="s">
        <v>5592</v>
      </c>
      <c r="CA98" t="s">
        <v>5594</v>
      </c>
      <c r="CB98" t="s">
        <v>740</v>
      </c>
      <c r="CC98" s="8" t="str">
        <f>"51501"</f>
        <v>51501</v>
      </c>
      <c r="CD98" t="s">
        <v>5599</v>
      </c>
      <c r="CE98" t="s">
        <v>2100</v>
      </c>
      <c r="CF98" s="12">
        <v>17.690000000000001</v>
      </c>
      <c r="CG98" s="12">
        <v>17.690000000000001</v>
      </c>
      <c r="CH98" s="12">
        <v>26.54</v>
      </c>
      <c r="CI98" s="12">
        <v>26.54</v>
      </c>
      <c r="CJ98" t="s">
        <v>135</v>
      </c>
      <c r="CK98" t="s">
        <v>590</v>
      </c>
      <c r="CL98" t="s">
        <v>5600</v>
      </c>
      <c r="CO98" t="s">
        <v>132</v>
      </c>
      <c r="CP98" t="s">
        <v>136</v>
      </c>
      <c r="CQ98" t="s">
        <v>136</v>
      </c>
      <c r="CR98" t="s">
        <v>136</v>
      </c>
      <c r="CS98" t="s">
        <v>136</v>
      </c>
      <c r="CT98" t="s">
        <v>136</v>
      </c>
      <c r="CU98" t="s">
        <v>136</v>
      </c>
      <c r="CV98" t="s">
        <v>5601</v>
      </c>
      <c r="CW98" s="10" t="str">
        <f>"N/A"</f>
        <v>N/A</v>
      </c>
      <c r="CX98" t="s">
        <v>5602</v>
      </c>
      <c r="CY98" t="s">
        <v>5603</v>
      </c>
      <c r="CZ98" t="s">
        <v>137</v>
      </c>
      <c r="DA98" t="s">
        <v>114</v>
      </c>
      <c r="DB98" t="s">
        <v>136</v>
      </c>
      <c r="DC98" t="s">
        <v>136</v>
      </c>
      <c r="DD98" t="s">
        <v>114</v>
      </c>
      <c r="DE98" t="s">
        <v>673</v>
      </c>
      <c r="DF98" t="s">
        <v>674</v>
      </c>
      <c r="DH98" t="s">
        <v>583</v>
      </c>
      <c r="DI98" t="s">
        <v>675</v>
      </c>
    </row>
    <row r="99" spans="1:113" ht="15" customHeight="1" x14ac:dyDescent="0.25">
      <c r="A99" t="s">
        <v>16501</v>
      </c>
      <c r="B99" t="s">
        <v>152</v>
      </c>
      <c r="C99" s="1">
        <v>45262.439474768522</v>
      </c>
      <c r="D99" s="1">
        <v>45287</v>
      </c>
      <c r="E99" t="s">
        <v>132</v>
      </c>
      <c r="F99" t="s">
        <v>5366</v>
      </c>
      <c r="G99" t="str">
        <f>"37-3011.00"</f>
        <v>37-3011.00</v>
      </c>
      <c r="H99" t="s">
        <v>429</v>
      </c>
      <c r="I99">
        <v>9</v>
      </c>
      <c r="J99">
        <v>9</v>
      </c>
      <c r="K99" s="1">
        <v>45352</v>
      </c>
      <c r="L99" s="1">
        <v>45625</v>
      </c>
      <c r="M99" s="1">
        <v>45352</v>
      </c>
      <c r="N99" s="1">
        <v>45625</v>
      </c>
      <c r="O99" t="s">
        <v>238</v>
      </c>
      <c r="P99" t="s">
        <v>16502</v>
      </c>
      <c r="R99" t="s">
        <v>16503</v>
      </c>
      <c r="S99" t="s">
        <v>5593</v>
      </c>
      <c r="T99" t="s">
        <v>7809</v>
      </c>
      <c r="U99" t="s">
        <v>740</v>
      </c>
      <c r="V99" s="8" t="str">
        <f>"52404"</f>
        <v>52404</v>
      </c>
      <c r="W99" t="s">
        <v>118</v>
      </c>
      <c r="Y99" s="10">
        <v>15159650951</v>
      </c>
      <c r="AA99">
        <v>56173</v>
      </c>
      <c r="AB99" t="s">
        <v>5595</v>
      </c>
      <c r="AC99" t="s">
        <v>5596</v>
      </c>
      <c r="AE99" t="s">
        <v>5597</v>
      </c>
      <c r="AF99" t="s">
        <v>16503</v>
      </c>
      <c r="AG99" t="s">
        <v>5593</v>
      </c>
      <c r="AH99" t="s">
        <v>7809</v>
      </c>
      <c r="AI99" t="s">
        <v>740</v>
      </c>
      <c r="AJ99" s="8" t="str">
        <f>"52404"</f>
        <v>52404</v>
      </c>
      <c r="AK99" t="s">
        <v>118</v>
      </c>
      <c r="AM99" s="10">
        <v>15159650951</v>
      </c>
      <c r="AO99" t="s">
        <v>132</v>
      </c>
      <c r="AP99" t="s">
        <v>248</v>
      </c>
      <c r="AQ99" t="s">
        <v>673</v>
      </c>
      <c r="AR99" t="s">
        <v>674</v>
      </c>
      <c r="AT99" t="s">
        <v>579</v>
      </c>
      <c r="AV99" t="s">
        <v>580</v>
      </c>
      <c r="AW99" t="s">
        <v>581</v>
      </c>
      <c r="AX99" s="8" t="str">
        <f>"22903"</f>
        <v>22903</v>
      </c>
      <c r="AY99" t="s">
        <v>118</v>
      </c>
      <c r="BA99" s="10">
        <v>14342634300</v>
      </c>
      <c r="BC99" t="s">
        <v>675</v>
      </c>
      <c r="BD99" t="s">
        <v>583</v>
      </c>
      <c r="BG99" t="s">
        <v>740</v>
      </c>
      <c r="BH99" s="1">
        <v>45261.791666666664</v>
      </c>
      <c r="BI99">
        <v>40</v>
      </c>
      <c r="BJ99">
        <v>0</v>
      </c>
      <c r="BK99">
        <v>8</v>
      </c>
      <c r="BL99">
        <v>8</v>
      </c>
      <c r="BM99">
        <v>8</v>
      </c>
      <c r="BN99">
        <v>8</v>
      </c>
      <c r="BO99">
        <v>8</v>
      </c>
      <c r="BP99">
        <v>0</v>
      </c>
      <c r="BQ99" t="str">
        <f>"7:00 AM"</f>
        <v>7:00 AM</v>
      </c>
      <c r="BR99" t="str">
        <f>"3:30 PM"</f>
        <v>3:30 PM</v>
      </c>
      <c r="BS99" t="s">
        <v>131</v>
      </c>
      <c r="BT99">
        <v>0</v>
      </c>
      <c r="BU99">
        <v>0</v>
      </c>
      <c r="BV99" t="s">
        <v>114</v>
      </c>
      <c r="BX99" s="2" t="s">
        <v>13648</v>
      </c>
      <c r="BY99" t="s">
        <v>16504</v>
      </c>
      <c r="CA99" t="s">
        <v>7809</v>
      </c>
      <c r="CB99" t="s">
        <v>740</v>
      </c>
      <c r="CC99" s="8" t="str">
        <f>"52404"</f>
        <v>52404</v>
      </c>
      <c r="CD99" t="s">
        <v>5367</v>
      </c>
      <c r="CE99" t="s">
        <v>5368</v>
      </c>
      <c r="CF99" s="12">
        <v>17.38</v>
      </c>
      <c r="CH99" s="12">
        <v>26.07</v>
      </c>
      <c r="CJ99" t="s">
        <v>135</v>
      </c>
      <c r="CK99" t="s">
        <v>590</v>
      </c>
      <c r="CL99" t="s">
        <v>16505</v>
      </c>
      <c r="CO99" t="s">
        <v>132</v>
      </c>
      <c r="CP99" t="s">
        <v>136</v>
      </c>
      <c r="CQ99" t="s">
        <v>136</v>
      </c>
      <c r="CR99" t="s">
        <v>136</v>
      </c>
      <c r="CS99" t="s">
        <v>136</v>
      </c>
      <c r="CT99" t="s">
        <v>136</v>
      </c>
      <c r="CU99" t="s">
        <v>136</v>
      </c>
      <c r="CV99" t="s">
        <v>7230</v>
      </c>
      <c r="CW99" s="10" t="str">
        <f>"N/A"</f>
        <v>N/A</v>
      </c>
      <c r="CX99" t="s">
        <v>5602</v>
      </c>
      <c r="CY99" t="s">
        <v>5603</v>
      </c>
      <c r="CZ99" t="s">
        <v>137</v>
      </c>
      <c r="DA99" t="s">
        <v>114</v>
      </c>
      <c r="DB99" t="s">
        <v>136</v>
      </c>
      <c r="DC99" t="s">
        <v>136</v>
      </c>
      <c r="DD99" t="s">
        <v>114</v>
      </c>
      <c r="DE99" t="s">
        <v>673</v>
      </c>
      <c r="DF99" t="s">
        <v>674</v>
      </c>
      <c r="DH99" t="s">
        <v>583</v>
      </c>
      <c r="DI99" t="s">
        <v>675</v>
      </c>
    </row>
    <row r="100" spans="1:113" ht="15" customHeight="1" x14ac:dyDescent="0.25">
      <c r="A100" t="s">
        <v>13530</v>
      </c>
      <c r="B100" t="s">
        <v>152</v>
      </c>
      <c r="C100" s="1">
        <v>45262.435506481481</v>
      </c>
      <c r="D100" s="1">
        <v>45287</v>
      </c>
      <c r="E100" t="s">
        <v>132</v>
      </c>
      <c r="F100" t="s">
        <v>13531</v>
      </c>
      <c r="G100" t="str">
        <f>"37-3011.00"</f>
        <v>37-3011.00</v>
      </c>
      <c r="H100" t="s">
        <v>429</v>
      </c>
      <c r="I100">
        <v>1</v>
      </c>
      <c r="J100">
        <v>1</v>
      </c>
      <c r="K100" s="1">
        <v>45352</v>
      </c>
      <c r="L100" s="1">
        <v>45625</v>
      </c>
      <c r="M100" s="1">
        <v>45352</v>
      </c>
      <c r="N100" s="1">
        <v>45625</v>
      </c>
      <c r="O100" t="s">
        <v>238</v>
      </c>
      <c r="P100" t="s">
        <v>13532</v>
      </c>
      <c r="R100" t="s">
        <v>13533</v>
      </c>
      <c r="S100" t="s">
        <v>5593</v>
      </c>
      <c r="T100" t="s">
        <v>3013</v>
      </c>
      <c r="U100" t="s">
        <v>740</v>
      </c>
      <c r="V100" s="8" t="str">
        <f>"50313"</f>
        <v>50313</v>
      </c>
      <c r="W100" t="s">
        <v>118</v>
      </c>
      <c r="Y100" s="10">
        <v>15159650951</v>
      </c>
      <c r="AA100">
        <v>56173</v>
      </c>
      <c r="AB100" t="s">
        <v>5595</v>
      </c>
      <c r="AC100" t="s">
        <v>5596</v>
      </c>
      <c r="AE100" t="s">
        <v>5597</v>
      </c>
      <c r="AF100" t="s">
        <v>13533</v>
      </c>
      <c r="AG100" t="s">
        <v>5593</v>
      </c>
      <c r="AH100" t="s">
        <v>3013</v>
      </c>
      <c r="AI100" t="s">
        <v>740</v>
      </c>
      <c r="AJ100" s="8" t="str">
        <f>"50313"</f>
        <v>50313</v>
      </c>
      <c r="AK100" t="s">
        <v>118</v>
      </c>
      <c r="AM100" s="10">
        <v>15159650951</v>
      </c>
      <c r="AO100" t="s">
        <v>132</v>
      </c>
      <c r="AP100" t="s">
        <v>248</v>
      </c>
      <c r="AQ100" t="s">
        <v>673</v>
      </c>
      <c r="AR100" t="s">
        <v>674</v>
      </c>
      <c r="AT100" t="s">
        <v>579</v>
      </c>
      <c r="AV100" t="s">
        <v>580</v>
      </c>
      <c r="AW100" t="s">
        <v>581</v>
      </c>
      <c r="AX100" s="8" t="str">
        <f>"22903"</f>
        <v>22903</v>
      </c>
      <c r="AY100" t="s">
        <v>118</v>
      </c>
      <c r="BA100" s="10">
        <v>14342634300</v>
      </c>
      <c r="BC100" t="s">
        <v>675</v>
      </c>
      <c r="BD100" t="s">
        <v>583</v>
      </c>
      <c r="BG100" t="s">
        <v>740</v>
      </c>
      <c r="BH100" s="1">
        <v>45261.791666666664</v>
      </c>
      <c r="BI100">
        <v>40</v>
      </c>
      <c r="BJ100">
        <v>0</v>
      </c>
      <c r="BK100">
        <v>8</v>
      </c>
      <c r="BL100">
        <v>8</v>
      </c>
      <c r="BM100">
        <v>8</v>
      </c>
      <c r="BN100">
        <v>8</v>
      </c>
      <c r="BO100">
        <v>8</v>
      </c>
      <c r="BP100">
        <v>0</v>
      </c>
      <c r="BQ100" t="str">
        <f>"7:00 AM"</f>
        <v>7:00 AM</v>
      </c>
      <c r="BR100" t="str">
        <f>"3:30 PM"</f>
        <v>3:30 PM</v>
      </c>
      <c r="BS100" t="s">
        <v>131</v>
      </c>
      <c r="BT100">
        <v>0</v>
      </c>
      <c r="BU100">
        <v>3</v>
      </c>
      <c r="BV100" t="s">
        <v>114</v>
      </c>
      <c r="BX100" s="2" t="s">
        <v>13534</v>
      </c>
      <c r="BY100" t="s">
        <v>13535</v>
      </c>
      <c r="CA100" t="s">
        <v>3013</v>
      </c>
      <c r="CB100" t="s">
        <v>740</v>
      </c>
      <c r="CC100" s="8" t="str">
        <f>"50313"</f>
        <v>50313</v>
      </c>
      <c r="CD100" t="s">
        <v>938</v>
      </c>
      <c r="CE100" t="s">
        <v>2302</v>
      </c>
      <c r="CF100" s="12">
        <v>18.100000000000001</v>
      </c>
      <c r="CG100" s="12">
        <v>18.100000000000001</v>
      </c>
      <c r="CH100" s="12">
        <v>27.15</v>
      </c>
      <c r="CI100" s="12">
        <v>27.15</v>
      </c>
      <c r="CJ100" t="s">
        <v>135</v>
      </c>
      <c r="CK100" t="s">
        <v>590</v>
      </c>
      <c r="CL100" t="s">
        <v>13536</v>
      </c>
      <c r="CO100" t="s">
        <v>132</v>
      </c>
      <c r="CP100" t="s">
        <v>136</v>
      </c>
      <c r="CQ100" t="s">
        <v>136</v>
      </c>
      <c r="CR100" t="s">
        <v>136</v>
      </c>
      <c r="CS100" t="s">
        <v>114</v>
      </c>
      <c r="CT100" t="s">
        <v>136</v>
      </c>
      <c r="CU100" t="s">
        <v>136</v>
      </c>
      <c r="CV100" t="s">
        <v>13537</v>
      </c>
      <c r="CW100" s="10" t="str">
        <f>"N/A"</f>
        <v>N/A</v>
      </c>
      <c r="CX100" t="s">
        <v>5602</v>
      </c>
      <c r="CY100" t="s">
        <v>5603</v>
      </c>
      <c r="CZ100" t="s">
        <v>137</v>
      </c>
      <c r="DA100" t="s">
        <v>114</v>
      </c>
      <c r="DB100" t="s">
        <v>136</v>
      </c>
      <c r="DC100" t="s">
        <v>136</v>
      </c>
      <c r="DD100" t="s">
        <v>114</v>
      </c>
      <c r="DE100" t="s">
        <v>673</v>
      </c>
      <c r="DF100" t="s">
        <v>674</v>
      </c>
      <c r="DH100" t="s">
        <v>583</v>
      </c>
      <c r="DI100" t="s">
        <v>675</v>
      </c>
    </row>
    <row r="101" spans="1:113" ht="15" customHeight="1" x14ac:dyDescent="0.25">
      <c r="A101" t="s">
        <v>13647</v>
      </c>
      <c r="B101" t="s">
        <v>152</v>
      </c>
      <c r="C101" s="1">
        <v>45262.430029398151</v>
      </c>
      <c r="D101" s="1">
        <v>45287</v>
      </c>
      <c r="E101" t="s">
        <v>132</v>
      </c>
      <c r="F101" t="s">
        <v>5366</v>
      </c>
      <c r="G101" t="str">
        <f>"37-3011.00"</f>
        <v>37-3011.00</v>
      </c>
      <c r="H101" t="s">
        <v>429</v>
      </c>
      <c r="I101">
        <v>24</v>
      </c>
      <c r="J101">
        <v>24</v>
      </c>
      <c r="K101" s="1">
        <v>45352</v>
      </c>
      <c r="L101" s="1">
        <v>45625</v>
      </c>
      <c r="M101" s="1">
        <v>45352</v>
      </c>
      <c r="N101" s="1">
        <v>45625</v>
      </c>
      <c r="O101" t="s">
        <v>238</v>
      </c>
      <c r="P101" t="s">
        <v>13532</v>
      </c>
      <c r="R101" t="s">
        <v>13533</v>
      </c>
      <c r="S101" t="s">
        <v>5593</v>
      </c>
      <c r="T101" t="s">
        <v>3013</v>
      </c>
      <c r="U101" t="s">
        <v>740</v>
      </c>
      <c r="V101" s="8" t="str">
        <f>"50313"</f>
        <v>50313</v>
      </c>
      <c r="W101" t="s">
        <v>118</v>
      </c>
      <c r="Y101" s="10">
        <v>15159650951</v>
      </c>
      <c r="AA101">
        <v>56173</v>
      </c>
      <c r="AB101" t="s">
        <v>5595</v>
      </c>
      <c r="AC101" t="s">
        <v>5596</v>
      </c>
      <c r="AE101" t="s">
        <v>5597</v>
      </c>
      <c r="AF101" t="s">
        <v>13533</v>
      </c>
      <c r="AG101" t="s">
        <v>5593</v>
      </c>
      <c r="AH101" t="s">
        <v>3013</v>
      </c>
      <c r="AI101" t="s">
        <v>740</v>
      </c>
      <c r="AJ101" s="8" t="str">
        <f>"50313"</f>
        <v>50313</v>
      </c>
      <c r="AK101" t="s">
        <v>118</v>
      </c>
      <c r="AM101" s="10">
        <v>15159650951</v>
      </c>
      <c r="AO101" t="s">
        <v>132</v>
      </c>
      <c r="AP101" t="s">
        <v>248</v>
      </c>
      <c r="AQ101" t="s">
        <v>673</v>
      </c>
      <c r="AR101" t="s">
        <v>674</v>
      </c>
      <c r="AT101" t="s">
        <v>579</v>
      </c>
      <c r="AV101" t="s">
        <v>580</v>
      </c>
      <c r="AW101" t="s">
        <v>581</v>
      </c>
      <c r="AX101" s="8" t="str">
        <f>"22903"</f>
        <v>22903</v>
      </c>
      <c r="AY101" t="s">
        <v>118</v>
      </c>
      <c r="BA101" s="10">
        <v>14342634300</v>
      </c>
      <c r="BC101" t="s">
        <v>675</v>
      </c>
      <c r="BD101" t="s">
        <v>583</v>
      </c>
      <c r="BG101" t="s">
        <v>740</v>
      </c>
      <c r="BH101" s="1">
        <v>45261.791666666664</v>
      </c>
      <c r="BI101">
        <v>40</v>
      </c>
      <c r="BJ101">
        <v>0</v>
      </c>
      <c r="BK101">
        <v>8</v>
      </c>
      <c r="BL101">
        <v>8</v>
      </c>
      <c r="BM101">
        <v>8</v>
      </c>
      <c r="BN101">
        <v>8</v>
      </c>
      <c r="BO101">
        <v>8</v>
      </c>
      <c r="BP101">
        <v>0</v>
      </c>
      <c r="BQ101" t="str">
        <f>"7:00 AM"</f>
        <v>7:00 AM</v>
      </c>
      <c r="BR101" t="str">
        <f>"3:30 PM"</f>
        <v>3:30 PM</v>
      </c>
      <c r="BS101" t="s">
        <v>131</v>
      </c>
      <c r="BT101">
        <v>0</v>
      </c>
      <c r="BU101">
        <v>0</v>
      </c>
      <c r="BV101" t="s">
        <v>114</v>
      </c>
      <c r="BX101" s="2" t="s">
        <v>13648</v>
      </c>
      <c r="BY101" t="s">
        <v>13533</v>
      </c>
      <c r="CA101" t="s">
        <v>3013</v>
      </c>
      <c r="CB101" t="s">
        <v>740</v>
      </c>
      <c r="CC101" s="8" t="str">
        <f>"50313"</f>
        <v>50313</v>
      </c>
      <c r="CD101" t="s">
        <v>938</v>
      </c>
      <c r="CE101" t="s">
        <v>2302</v>
      </c>
      <c r="CF101" s="12">
        <v>17.600000000000001</v>
      </c>
      <c r="CG101" s="12">
        <v>17.600000000000001</v>
      </c>
      <c r="CH101" s="12">
        <v>26.4</v>
      </c>
      <c r="CI101" s="12">
        <v>26.4</v>
      </c>
      <c r="CJ101" t="s">
        <v>135</v>
      </c>
      <c r="CK101" t="s">
        <v>590</v>
      </c>
      <c r="CL101" t="s">
        <v>13649</v>
      </c>
      <c r="CO101" t="s">
        <v>132</v>
      </c>
      <c r="CP101" t="s">
        <v>136</v>
      </c>
      <c r="CQ101" t="s">
        <v>136</v>
      </c>
      <c r="CR101" t="s">
        <v>136</v>
      </c>
      <c r="CS101" t="s">
        <v>136</v>
      </c>
      <c r="CT101" t="s">
        <v>136</v>
      </c>
      <c r="CU101" t="s">
        <v>136</v>
      </c>
      <c r="CV101" t="s">
        <v>13537</v>
      </c>
      <c r="CW101" s="10" t="str">
        <f>"N/A"</f>
        <v>N/A</v>
      </c>
      <c r="CX101" t="s">
        <v>5602</v>
      </c>
      <c r="CY101" t="s">
        <v>5603</v>
      </c>
      <c r="CZ101" t="s">
        <v>137</v>
      </c>
      <c r="DA101" t="s">
        <v>114</v>
      </c>
      <c r="DB101" t="s">
        <v>136</v>
      </c>
      <c r="DC101" t="s">
        <v>136</v>
      </c>
      <c r="DD101" t="s">
        <v>114</v>
      </c>
      <c r="DE101" t="s">
        <v>673</v>
      </c>
      <c r="DF101" t="s">
        <v>674</v>
      </c>
      <c r="DH101" t="s">
        <v>583</v>
      </c>
      <c r="DI101" t="s">
        <v>675</v>
      </c>
    </row>
    <row r="102" spans="1:113" ht="15" customHeight="1" x14ac:dyDescent="0.25">
      <c r="A102" t="s">
        <v>21420</v>
      </c>
      <c r="B102" t="s">
        <v>152</v>
      </c>
      <c r="C102" s="1">
        <v>45262.086141203705</v>
      </c>
      <c r="D102" s="1">
        <v>45287</v>
      </c>
      <c r="E102" t="s">
        <v>132</v>
      </c>
      <c r="F102" t="s">
        <v>1961</v>
      </c>
      <c r="G102" t="str">
        <f>"37-3011.00"</f>
        <v>37-3011.00</v>
      </c>
      <c r="H102" t="s">
        <v>429</v>
      </c>
      <c r="I102">
        <v>13</v>
      </c>
      <c r="J102">
        <v>13</v>
      </c>
      <c r="K102" s="1">
        <v>45352</v>
      </c>
      <c r="L102" s="1">
        <v>45646</v>
      </c>
      <c r="M102" s="1">
        <v>45352</v>
      </c>
      <c r="N102" s="1">
        <v>45646</v>
      </c>
      <c r="O102" t="s">
        <v>238</v>
      </c>
      <c r="P102" t="s">
        <v>21421</v>
      </c>
      <c r="R102" t="s">
        <v>21422</v>
      </c>
      <c r="T102" t="s">
        <v>1855</v>
      </c>
      <c r="U102" t="s">
        <v>984</v>
      </c>
      <c r="V102" s="8" t="str">
        <f>"63301"</f>
        <v>63301</v>
      </c>
      <c r="W102" t="s">
        <v>118</v>
      </c>
      <c r="Y102" s="10">
        <v>13142436784</v>
      </c>
      <c r="AA102">
        <v>56173</v>
      </c>
      <c r="AB102" t="s">
        <v>12397</v>
      </c>
      <c r="AC102" t="s">
        <v>5998</v>
      </c>
      <c r="AE102" t="s">
        <v>654</v>
      </c>
      <c r="AF102" t="s">
        <v>21423</v>
      </c>
      <c r="AH102" t="s">
        <v>1855</v>
      </c>
      <c r="AI102" t="s">
        <v>984</v>
      </c>
      <c r="AJ102" s="8" t="str">
        <f>"63301"</f>
        <v>63301</v>
      </c>
      <c r="AK102" t="s">
        <v>118</v>
      </c>
      <c r="AM102" s="10">
        <v>13142436784</v>
      </c>
      <c r="AO102" t="s">
        <v>132</v>
      </c>
      <c r="AP102" t="s">
        <v>248</v>
      </c>
      <c r="AQ102" t="s">
        <v>354</v>
      </c>
      <c r="AR102" t="s">
        <v>355</v>
      </c>
      <c r="AT102" t="s">
        <v>356</v>
      </c>
      <c r="AV102" t="s">
        <v>357</v>
      </c>
      <c r="AW102" t="s">
        <v>358</v>
      </c>
      <c r="AX102" s="8" t="str">
        <f>"11590"</f>
        <v>11590</v>
      </c>
      <c r="AY102" t="s">
        <v>118</v>
      </c>
      <c r="BA102" s="10">
        <v>15163307168</v>
      </c>
      <c r="BC102" t="s">
        <v>359</v>
      </c>
      <c r="BD102" t="s">
        <v>360</v>
      </c>
      <c r="BG102" t="s">
        <v>984</v>
      </c>
      <c r="BH102" s="1">
        <v>45260.791666666664</v>
      </c>
      <c r="BI102">
        <v>40</v>
      </c>
      <c r="BJ102">
        <v>0</v>
      </c>
      <c r="BK102">
        <v>8</v>
      </c>
      <c r="BL102">
        <v>8</v>
      </c>
      <c r="BM102">
        <v>8</v>
      </c>
      <c r="BN102">
        <v>8</v>
      </c>
      <c r="BO102">
        <v>8</v>
      </c>
      <c r="BP102">
        <v>0</v>
      </c>
      <c r="BQ102" t="str">
        <f>"8:00 AM"</f>
        <v>8:00 AM</v>
      </c>
      <c r="BR102" t="str">
        <f>"5:00 PM"</f>
        <v>5:00 PM</v>
      </c>
      <c r="BS102" t="s">
        <v>131</v>
      </c>
      <c r="BT102">
        <v>0</v>
      </c>
      <c r="BU102">
        <v>0</v>
      </c>
      <c r="BV102" t="s">
        <v>114</v>
      </c>
      <c r="BX102" t="s">
        <v>1789</v>
      </c>
      <c r="BY102" t="s">
        <v>21423</v>
      </c>
      <c r="CA102" t="s">
        <v>1855</v>
      </c>
      <c r="CB102" t="s">
        <v>984</v>
      </c>
      <c r="CC102" s="8" t="str">
        <f>"63301"</f>
        <v>63301</v>
      </c>
      <c r="CD102" t="s">
        <v>1855</v>
      </c>
      <c r="CE102" t="s">
        <v>1856</v>
      </c>
      <c r="CF102" s="12">
        <v>17.579999999999998</v>
      </c>
      <c r="CG102" s="12">
        <v>19</v>
      </c>
      <c r="CH102" s="12">
        <v>26.37</v>
      </c>
      <c r="CI102" s="12">
        <v>28.5</v>
      </c>
      <c r="CJ102" t="s">
        <v>135</v>
      </c>
      <c r="CK102" t="s">
        <v>1795</v>
      </c>
      <c r="CL102" t="s">
        <v>21424</v>
      </c>
      <c r="CO102" t="s">
        <v>132</v>
      </c>
      <c r="CP102" t="s">
        <v>136</v>
      </c>
      <c r="CQ102" t="s">
        <v>136</v>
      </c>
      <c r="CR102" t="s">
        <v>136</v>
      </c>
      <c r="CS102" t="s">
        <v>114</v>
      </c>
      <c r="CT102" t="s">
        <v>136</v>
      </c>
      <c r="CU102" t="s">
        <v>114</v>
      </c>
      <c r="CV102" t="s">
        <v>1480</v>
      </c>
      <c r="CW102" s="10" t="str">
        <f>"+13142436784"</f>
        <v>+13142436784</v>
      </c>
      <c r="CX102" t="s">
        <v>21425</v>
      </c>
      <c r="CY102" t="s">
        <v>132</v>
      </c>
      <c r="CZ102" t="s">
        <v>137</v>
      </c>
      <c r="DA102" t="s">
        <v>114</v>
      </c>
      <c r="DB102" t="s">
        <v>114</v>
      </c>
      <c r="DC102" t="s">
        <v>136</v>
      </c>
      <c r="DD102" t="s">
        <v>114</v>
      </c>
    </row>
    <row r="103" spans="1:113" ht="15" customHeight="1" x14ac:dyDescent="0.25">
      <c r="A103" t="s">
        <v>16532</v>
      </c>
      <c r="B103" t="s">
        <v>152</v>
      </c>
      <c r="C103" s="1">
        <v>45262.069040625</v>
      </c>
      <c r="D103" s="1">
        <v>45287</v>
      </c>
      <c r="E103" t="s">
        <v>132</v>
      </c>
      <c r="F103" t="s">
        <v>1961</v>
      </c>
      <c r="G103" t="str">
        <f>"37-3011.00"</f>
        <v>37-3011.00</v>
      </c>
      <c r="H103" t="s">
        <v>429</v>
      </c>
      <c r="I103">
        <v>3</v>
      </c>
      <c r="J103">
        <v>3</v>
      </c>
      <c r="K103" s="1">
        <v>45352</v>
      </c>
      <c r="L103" s="1">
        <v>45596</v>
      </c>
      <c r="M103" s="1">
        <v>45352</v>
      </c>
      <c r="N103" s="1">
        <v>45596</v>
      </c>
      <c r="O103" t="s">
        <v>238</v>
      </c>
      <c r="P103" t="s">
        <v>16533</v>
      </c>
      <c r="R103" t="s">
        <v>16534</v>
      </c>
      <c r="T103" t="s">
        <v>3036</v>
      </c>
      <c r="U103" t="s">
        <v>984</v>
      </c>
      <c r="V103" s="8" t="str">
        <f>"63366"</f>
        <v>63366</v>
      </c>
      <c r="W103" t="s">
        <v>118</v>
      </c>
      <c r="Y103" s="10">
        <v>13146504878</v>
      </c>
      <c r="AA103">
        <v>56173</v>
      </c>
      <c r="AB103" t="s">
        <v>16535</v>
      </c>
      <c r="AC103" t="s">
        <v>4819</v>
      </c>
      <c r="AE103" t="s">
        <v>654</v>
      </c>
      <c r="AF103" t="s">
        <v>16534</v>
      </c>
      <c r="AH103" t="s">
        <v>3036</v>
      </c>
      <c r="AI103" t="s">
        <v>984</v>
      </c>
      <c r="AJ103" s="8" t="str">
        <f>"63366"</f>
        <v>63366</v>
      </c>
      <c r="AK103" t="s">
        <v>118</v>
      </c>
      <c r="AM103" s="10">
        <v>13146504878</v>
      </c>
      <c r="AO103" t="s">
        <v>132</v>
      </c>
      <c r="AP103" t="s">
        <v>248</v>
      </c>
      <c r="AQ103" t="s">
        <v>354</v>
      </c>
      <c r="AR103" t="s">
        <v>355</v>
      </c>
      <c r="AT103" t="s">
        <v>356</v>
      </c>
      <c r="AV103" t="s">
        <v>357</v>
      </c>
      <c r="AW103" t="s">
        <v>358</v>
      </c>
      <c r="AX103" s="8" t="str">
        <f>"11590"</f>
        <v>11590</v>
      </c>
      <c r="AY103" t="s">
        <v>118</v>
      </c>
      <c r="BA103" s="10">
        <v>15163307168</v>
      </c>
      <c r="BC103" t="s">
        <v>2774</v>
      </c>
      <c r="BD103" t="s">
        <v>360</v>
      </c>
      <c r="BG103" t="s">
        <v>984</v>
      </c>
      <c r="BH103" s="1">
        <v>45242.791666666664</v>
      </c>
      <c r="BI103">
        <v>40</v>
      </c>
      <c r="BJ103">
        <v>0</v>
      </c>
      <c r="BK103">
        <v>8</v>
      </c>
      <c r="BL103">
        <v>8</v>
      </c>
      <c r="BM103">
        <v>8</v>
      </c>
      <c r="BN103">
        <v>8</v>
      </c>
      <c r="BO103">
        <v>8</v>
      </c>
      <c r="BP103">
        <v>0</v>
      </c>
      <c r="BQ103" t="str">
        <f>"7:00 AM"</f>
        <v>7:00 AM</v>
      </c>
      <c r="BR103" t="str">
        <f>"4:00 PM"</f>
        <v>4:00 PM</v>
      </c>
      <c r="BS103" t="s">
        <v>131</v>
      </c>
      <c r="BT103">
        <v>0</v>
      </c>
      <c r="BU103">
        <v>0</v>
      </c>
      <c r="BV103" t="s">
        <v>114</v>
      </c>
      <c r="BX103" t="s">
        <v>1789</v>
      </c>
      <c r="BY103" t="s">
        <v>16536</v>
      </c>
      <c r="CA103" t="s">
        <v>7455</v>
      </c>
      <c r="CB103" t="s">
        <v>984</v>
      </c>
      <c r="CC103" s="8" t="str">
        <f>"63376"</f>
        <v>63376</v>
      </c>
      <c r="CD103" t="s">
        <v>1855</v>
      </c>
      <c r="CE103" t="s">
        <v>1856</v>
      </c>
      <c r="CF103" s="12">
        <v>17.579999999999998</v>
      </c>
      <c r="CG103" s="12">
        <v>17.579999999999998</v>
      </c>
      <c r="CH103" s="12">
        <v>26.37</v>
      </c>
      <c r="CI103" s="12">
        <v>26.37</v>
      </c>
      <c r="CJ103" t="s">
        <v>135</v>
      </c>
      <c r="CL103" t="s">
        <v>16537</v>
      </c>
      <c r="CO103" t="s">
        <v>132</v>
      </c>
      <c r="CP103" t="s">
        <v>136</v>
      </c>
      <c r="CQ103" t="s">
        <v>136</v>
      </c>
      <c r="CR103" t="s">
        <v>136</v>
      </c>
      <c r="CS103" t="s">
        <v>114</v>
      </c>
      <c r="CT103" t="s">
        <v>136</v>
      </c>
      <c r="CU103" t="s">
        <v>114</v>
      </c>
      <c r="CV103" t="s">
        <v>1789</v>
      </c>
      <c r="CW103" s="10" t="str">
        <f>"+13146504878"</f>
        <v>+13146504878</v>
      </c>
      <c r="CX103" t="s">
        <v>16538</v>
      </c>
      <c r="CY103" t="s">
        <v>132</v>
      </c>
      <c r="CZ103" t="s">
        <v>137</v>
      </c>
      <c r="DA103" t="s">
        <v>114</v>
      </c>
      <c r="DB103" t="s">
        <v>114</v>
      </c>
      <c r="DC103" t="s">
        <v>136</v>
      </c>
      <c r="DD103" t="s">
        <v>114</v>
      </c>
    </row>
    <row r="104" spans="1:113" ht="15" customHeight="1" x14ac:dyDescent="0.25">
      <c r="A104" t="s">
        <v>13930</v>
      </c>
      <c r="B104" t="s">
        <v>152</v>
      </c>
      <c r="C104" s="1">
        <v>45262.060762384259</v>
      </c>
      <c r="D104" s="1">
        <v>45287</v>
      </c>
      <c r="E104" t="s">
        <v>132</v>
      </c>
      <c r="F104" t="s">
        <v>1961</v>
      </c>
      <c r="G104" t="str">
        <f>"37-3011.00"</f>
        <v>37-3011.00</v>
      </c>
      <c r="H104" t="s">
        <v>429</v>
      </c>
      <c r="I104">
        <v>30</v>
      </c>
      <c r="J104">
        <v>30</v>
      </c>
      <c r="K104" s="1">
        <v>45352</v>
      </c>
      <c r="L104" s="1">
        <v>45626</v>
      </c>
      <c r="M104" s="1">
        <v>45352</v>
      </c>
      <c r="N104" s="1">
        <v>45626</v>
      </c>
      <c r="O104" t="s">
        <v>238</v>
      </c>
      <c r="P104" t="s">
        <v>13931</v>
      </c>
      <c r="R104" t="s">
        <v>13932</v>
      </c>
      <c r="T104" t="s">
        <v>13933</v>
      </c>
      <c r="U104" t="s">
        <v>984</v>
      </c>
      <c r="V104" s="8" t="str">
        <f>"64119"</f>
        <v>64119</v>
      </c>
      <c r="W104" t="s">
        <v>118</v>
      </c>
      <c r="Y104" s="10">
        <v>18167819234</v>
      </c>
      <c r="AA104">
        <v>56173</v>
      </c>
      <c r="AB104" t="s">
        <v>13934</v>
      </c>
      <c r="AC104" t="s">
        <v>10773</v>
      </c>
      <c r="AE104" t="s">
        <v>654</v>
      </c>
      <c r="AF104" t="s">
        <v>13935</v>
      </c>
      <c r="AH104" t="s">
        <v>13933</v>
      </c>
      <c r="AI104" t="s">
        <v>984</v>
      </c>
      <c r="AJ104" s="8" t="str">
        <f>"64119"</f>
        <v>64119</v>
      </c>
      <c r="AK104" t="s">
        <v>118</v>
      </c>
      <c r="AM104" s="10">
        <v>18167819234</v>
      </c>
      <c r="AO104" t="s">
        <v>132</v>
      </c>
      <c r="AP104" t="s">
        <v>248</v>
      </c>
      <c r="AQ104" t="s">
        <v>354</v>
      </c>
      <c r="AR104" t="s">
        <v>355</v>
      </c>
      <c r="AT104" t="s">
        <v>356</v>
      </c>
      <c r="AV104" t="s">
        <v>357</v>
      </c>
      <c r="AW104" t="s">
        <v>358</v>
      </c>
      <c r="AX104" s="8" t="str">
        <f>"11590"</f>
        <v>11590</v>
      </c>
      <c r="AY104" t="s">
        <v>118</v>
      </c>
      <c r="BA104" s="10">
        <v>15163307168</v>
      </c>
      <c r="BC104" t="s">
        <v>359</v>
      </c>
      <c r="BD104" t="s">
        <v>360</v>
      </c>
      <c r="BG104" t="s">
        <v>984</v>
      </c>
      <c r="BH104" s="1">
        <v>45215.833333333336</v>
      </c>
      <c r="BI104">
        <v>40</v>
      </c>
      <c r="BJ104">
        <v>0</v>
      </c>
      <c r="BK104">
        <v>8</v>
      </c>
      <c r="BL104">
        <v>8</v>
      </c>
      <c r="BM104">
        <v>8</v>
      </c>
      <c r="BN104">
        <v>8</v>
      </c>
      <c r="BO104">
        <v>8</v>
      </c>
      <c r="BP104">
        <v>0</v>
      </c>
      <c r="BQ104" t="str">
        <f>"8:00 AM"</f>
        <v>8:00 AM</v>
      </c>
      <c r="BR104" t="str">
        <f>"5:00 PM"</f>
        <v>5:00 PM</v>
      </c>
      <c r="BS104" t="s">
        <v>131</v>
      </c>
      <c r="BT104">
        <v>0</v>
      </c>
      <c r="BU104">
        <v>0</v>
      </c>
      <c r="BV104" t="s">
        <v>114</v>
      </c>
      <c r="BX104" t="s">
        <v>1480</v>
      </c>
      <c r="BY104" t="s">
        <v>13932</v>
      </c>
      <c r="CA104" t="s">
        <v>13933</v>
      </c>
      <c r="CB104" t="s">
        <v>984</v>
      </c>
      <c r="CC104" s="8" t="str">
        <f>"64119"</f>
        <v>64119</v>
      </c>
      <c r="CD104" t="s">
        <v>859</v>
      </c>
      <c r="CE104" t="s">
        <v>2431</v>
      </c>
      <c r="CF104" s="12">
        <v>17.47</v>
      </c>
      <c r="CG104" s="12">
        <v>23</v>
      </c>
      <c r="CH104" s="12">
        <v>26.21</v>
      </c>
      <c r="CI104" s="12">
        <v>34.5</v>
      </c>
      <c r="CJ104" t="s">
        <v>135</v>
      </c>
      <c r="CK104" t="s">
        <v>13936</v>
      </c>
      <c r="CL104" t="s">
        <v>13937</v>
      </c>
      <c r="CO104" t="s">
        <v>132</v>
      </c>
      <c r="CP104" t="s">
        <v>136</v>
      </c>
      <c r="CQ104" t="s">
        <v>136</v>
      </c>
      <c r="CR104" t="s">
        <v>136</v>
      </c>
      <c r="CS104" t="s">
        <v>114</v>
      </c>
      <c r="CT104" t="s">
        <v>136</v>
      </c>
      <c r="CU104" t="s">
        <v>114</v>
      </c>
      <c r="CV104" t="s">
        <v>1480</v>
      </c>
      <c r="CW104" s="10" t="str">
        <f>"+18167819234"</f>
        <v>+18167819234</v>
      </c>
      <c r="CX104" t="s">
        <v>13938</v>
      </c>
      <c r="CY104" t="s">
        <v>132</v>
      </c>
      <c r="CZ104" t="s">
        <v>137</v>
      </c>
      <c r="DA104" t="s">
        <v>114</v>
      </c>
      <c r="DB104" t="s">
        <v>114</v>
      </c>
      <c r="DC104" t="s">
        <v>136</v>
      </c>
      <c r="DD104" t="s">
        <v>114</v>
      </c>
    </row>
    <row r="105" spans="1:113" ht="15" customHeight="1" x14ac:dyDescent="0.25">
      <c r="A105" t="s">
        <v>21967</v>
      </c>
      <c r="B105" t="s">
        <v>152</v>
      </c>
      <c r="C105" s="1">
        <v>45262.051565856484</v>
      </c>
      <c r="D105" s="1">
        <v>45287</v>
      </c>
      <c r="E105" t="s">
        <v>132</v>
      </c>
      <c r="F105" t="s">
        <v>1961</v>
      </c>
      <c r="G105" t="str">
        <f>"37-3011.00"</f>
        <v>37-3011.00</v>
      </c>
      <c r="H105" t="s">
        <v>429</v>
      </c>
      <c r="I105">
        <v>4</v>
      </c>
      <c r="J105">
        <v>4</v>
      </c>
      <c r="K105" s="1">
        <v>45352</v>
      </c>
      <c r="L105" s="1">
        <v>45646</v>
      </c>
      <c r="M105" s="1">
        <v>45352</v>
      </c>
      <c r="N105" s="1">
        <v>45646</v>
      </c>
      <c r="O105" t="s">
        <v>238</v>
      </c>
      <c r="P105" t="s">
        <v>21968</v>
      </c>
      <c r="R105" t="s">
        <v>21969</v>
      </c>
      <c r="T105" t="s">
        <v>2591</v>
      </c>
      <c r="U105" t="s">
        <v>358</v>
      </c>
      <c r="V105" s="8" t="str">
        <f>"11969"</f>
        <v>11969</v>
      </c>
      <c r="W105" t="s">
        <v>118</v>
      </c>
      <c r="Y105" s="10">
        <v>16312877664</v>
      </c>
      <c r="AA105">
        <v>56173</v>
      </c>
      <c r="AB105" t="s">
        <v>21970</v>
      </c>
      <c r="AC105" t="s">
        <v>21971</v>
      </c>
      <c r="AE105" t="s">
        <v>654</v>
      </c>
      <c r="AF105" t="s">
        <v>21969</v>
      </c>
      <c r="AH105" t="s">
        <v>2591</v>
      </c>
      <c r="AI105" t="s">
        <v>358</v>
      </c>
      <c r="AJ105" s="8" t="str">
        <f>"11969"</f>
        <v>11969</v>
      </c>
      <c r="AK105" t="s">
        <v>118</v>
      </c>
      <c r="AM105" s="10">
        <v>16312877664</v>
      </c>
      <c r="AO105" t="s">
        <v>132</v>
      </c>
      <c r="AP105" t="s">
        <v>248</v>
      </c>
      <c r="AQ105" t="s">
        <v>354</v>
      </c>
      <c r="AR105" t="s">
        <v>355</v>
      </c>
      <c r="AT105" t="s">
        <v>356</v>
      </c>
      <c r="AV105" t="s">
        <v>357</v>
      </c>
      <c r="AW105" t="s">
        <v>358</v>
      </c>
      <c r="AX105" s="8" t="str">
        <f>"11590"</f>
        <v>11590</v>
      </c>
      <c r="AY105" t="s">
        <v>118</v>
      </c>
      <c r="BA105" s="10">
        <v>15163307168</v>
      </c>
      <c r="BC105" t="s">
        <v>359</v>
      </c>
      <c r="BD105" t="s">
        <v>360</v>
      </c>
      <c r="BG105" t="s">
        <v>358</v>
      </c>
      <c r="BH105" s="1">
        <v>45237.791666666664</v>
      </c>
      <c r="BI105">
        <v>40</v>
      </c>
      <c r="BJ105">
        <v>0</v>
      </c>
      <c r="BK105">
        <v>8</v>
      </c>
      <c r="BL105">
        <v>8</v>
      </c>
      <c r="BM105">
        <v>8</v>
      </c>
      <c r="BN105">
        <v>8</v>
      </c>
      <c r="BO105">
        <v>8</v>
      </c>
      <c r="BP105">
        <v>0</v>
      </c>
      <c r="BQ105" t="str">
        <f>"8:00 AM"</f>
        <v>8:00 AM</v>
      </c>
      <c r="BR105" t="str">
        <f>"5:00 PM"</f>
        <v>5:00 PM</v>
      </c>
      <c r="BS105" t="s">
        <v>131</v>
      </c>
      <c r="BT105">
        <v>0</v>
      </c>
      <c r="BU105">
        <v>0</v>
      </c>
      <c r="BV105" t="s">
        <v>114</v>
      </c>
      <c r="BX105" t="s">
        <v>132</v>
      </c>
      <c r="BY105" t="s">
        <v>21969</v>
      </c>
      <c r="CA105" t="s">
        <v>2591</v>
      </c>
      <c r="CB105" t="s">
        <v>358</v>
      </c>
      <c r="CC105" s="8" t="str">
        <f>"11968"</f>
        <v>11968</v>
      </c>
      <c r="CD105" t="s">
        <v>1752</v>
      </c>
      <c r="CE105" t="s">
        <v>1418</v>
      </c>
      <c r="CF105" s="12">
        <v>20.81</v>
      </c>
      <c r="CG105" s="12">
        <v>20.81</v>
      </c>
      <c r="CH105" s="12">
        <v>31.22</v>
      </c>
      <c r="CI105" s="12">
        <v>31.22</v>
      </c>
      <c r="CJ105" t="s">
        <v>135</v>
      </c>
      <c r="CK105" t="s">
        <v>132</v>
      </c>
      <c r="CL105" t="s">
        <v>21972</v>
      </c>
      <c r="CO105" t="s">
        <v>132</v>
      </c>
      <c r="CP105" t="s">
        <v>136</v>
      </c>
      <c r="CQ105" t="s">
        <v>136</v>
      </c>
      <c r="CR105" t="s">
        <v>136</v>
      </c>
      <c r="CS105" t="s">
        <v>114</v>
      </c>
      <c r="CT105" t="s">
        <v>136</v>
      </c>
      <c r="CU105" t="s">
        <v>114</v>
      </c>
      <c r="CV105" t="s">
        <v>1480</v>
      </c>
      <c r="CW105" s="10" t="str">
        <f>"+16312877664"</f>
        <v>+16312877664</v>
      </c>
      <c r="CX105" t="s">
        <v>21973</v>
      </c>
      <c r="CY105" t="s">
        <v>132</v>
      </c>
      <c r="CZ105" t="s">
        <v>137</v>
      </c>
      <c r="DA105" t="s">
        <v>114</v>
      </c>
      <c r="DB105" t="s">
        <v>114</v>
      </c>
      <c r="DC105" t="s">
        <v>136</v>
      </c>
      <c r="DD105" t="s">
        <v>114</v>
      </c>
    </row>
    <row r="106" spans="1:113" ht="15" customHeight="1" x14ac:dyDescent="0.25">
      <c r="A106" t="s">
        <v>7721</v>
      </c>
      <c r="B106" t="s">
        <v>152</v>
      </c>
      <c r="C106" s="1">
        <v>45262.050300925926</v>
      </c>
      <c r="D106" s="1">
        <v>45287</v>
      </c>
      <c r="E106" t="s">
        <v>132</v>
      </c>
      <c r="F106" t="s">
        <v>1961</v>
      </c>
      <c r="G106" t="str">
        <f>"37-3011.00"</f>
        <v>37-3011.00</v>
      </c>
      <c r="H106" t="s">
        <v>429</v>
      </c>
      <c r="I106">
        <v>13</v>
      </c>
      <c r="J106">
        <v>13</v>
      </c>
      <c r="K106" s="1">
        <v>45352</v>
      </c>
      <c r="L106" s="1">
        <v>45644</v>
      </c>
      <c r="M106" s="1">
        <v>45352</v>
      </c>
      <c r="N106" s="1">
        <v>45644</v>
      </c>
      <c r="O106" t="s">
        <v>238</v>
      </c>
      <c r="P106" t="s">
        <v>7722</v>
      </c>
      <c r="R106" t="s">
        <v>7723</v>
      </c>
      <c r="T106" t="s">
        <v>7724</v>
      </c>
      <c r="U106" t="s">
        <v>984</v>
      </c>
      <c r="V106" s="8" t="str">
        <f>"64063"</f>
        <v>64063</v>
      </c>
      <c r="W106" t="s">
        <v>118</v>
      </c>
      <c r="Y106" s="10">
        <v>18163050541</v>
      </c>
      <c r="AA106">
        <v>56173</v>
      </c>
      <c r="AB106" t="s">
        <v>7725</v>
      </c>
      <c r="AC106" t="s">
        <v>7726</v>
      </c>
      <c r="AE106" t="s">
        <v>654</v>
      </c>
      <c r="AF106" t="s">
        <v>7723</v>
      </c>
      <c r="AH106" t="s">
        <v>7727</v>
      </c>
      <c r="AI106" t="s">
        <v>984</v>
      </c>
      <c r="AJ106" s="8" t="str">
        <f>"64063"</f>
        <v>64063</v>
      </c>
      <c r="AK106" t="s">
        <v>118</v>
      </c>
      <c r="AM106" s="10">
        <v>18163050541</v>
      </c>
      <c r="AO106" t="s">
        <v>132</v>
      </c>
      <c r="AP106" t="s">
        <v>248</v>
      </c>
      <c r="AQ106" t="s">
        <v>354</v>
      </c>
      <c r="AR106" t="s">
        <v>355</v>
      </c>
      <c r="AT106" t="s">
        <v>356</v>
      </c>
      <c r="AV106" t="s">
        <v>357</v>
      </c>
      <c r="AW106" t="s">
        <v>358</v>
      </c>
      <c r="AX106" s="8" t="str">
        <f>"11590"</f>
        <v>11590</v>
      </c>
      <c r="AY106" t="s">
        <v>118</v>
      </c>
      <c r="BA106" s="10">
        <v>15163307168</v>
      </c>
      <c r="BC106" t="s">
        <v>359</v>
      </c>
      <c r="BD106" t="s">
        <v>360</v>
      </c>
      <c r="BG106" t="s">
        <v>984</v>
      </c>
      <c r="BH106" s="1">
        <v>45232.833333333336</v>
      </c>
      <c r="BI106">
        <v>40</v>
      </c>
      <c r="BJ106">
        <v>0</v>
      </c>
      <c r="BK106">
        <v>8</v>
      </c>
      <c r="BL106">
        <v>8</v>
      </c>
      <c r="BM106">
        <v>8</v>
      </c>
      <c r="BN106">
        <v>8</v>
      </c>
      <c r="BO106">
        <v>8</v>
      </c>
      <c r="BP106">
        <v>0</v>
      </c>
      <c r="BQ106" t="str">
        <f>"8:00 AM"</f>
        <v>8:00 AM</v>
      </c>
      <c r="BR106" t="str">
        <f>"5:00 PM"</f>
        <v>5:00 PM</v>
      </c>
      <c r="BS106" t="s">
        <v>131</v>
      </c>
      <c r="BT106">
        <v>0</v>
      </c>
      <c r="BU106">
        <v>0</v>
      </c>
      <c r="BV106" t="s">
        <v>114</v>
      </c>
      <c r="BX106" t="s">
        <v>1789</v>
      </c>
      <c r="BY106" t="s">
        <v>7723</v>
      </c>
      <c r="CA106" t="s">
        <v>7724</v>
      </c>
      <c r="CB106" t="s">
        <v>984</v>
      </c>
      <c r="CC106" s="8" t="str">
        <f>"64063"</f>
        <v>64063</v>
      </c>
      <c r="CD106" t="s">
        <v>859</v>
      </c>
      <c r="CE106" t="s">
        <v>2431</v>
      </c>
      <c r="CF106" s="12">
        <v>17.5</v>
      </c>
      <c r="CG106" s="12">
        <v>22</v>
      </c>
      <c r="CH106" s="12">
        <v>26.25</v>
      </c>
      <c r="CI106" s="12">
        <v>33</v>
      </c>
      <c r="CJ106" t="s">
        <v>135</v>
      </c>
      <c r="CK106" t="s">
        <v>2197</v>
      </c>
      <c r="CL106" t="s">
        <v>7728</v>
      </c>
      <c r="CO106" t="s">
        <v>132</v>
      </c>
      <c r="CP106" t="s">
        <v>136</v>
      </c>
      <c r="CQ106" t="s">
        <v>136</v>
      </c>
      <c r="CR106" t="s">
        <v>136</v>
      </c>
      <c r="CS106" t="s">
        <v>114</v>
      </c>
      <c r="CT106" t="s">
        <v>136</v>
      </c>
      <c r="CU106" t="s">
        <v>114</v>
      </c>
      <c r="CV106" t="s">
        <v>1480</v>
      </c>
      <c r="CW106" s="10" t="str">
        <f>"+18165373224"</f>
        <v>+18165373224</v>
      </c>
      <c r="CX106" t="s">
        <v>7729</v>
      </c>
      <c r="CY106" t="s">
        <v>132</v>
      </c>
      <c r="CZ106" t="s">
        <v>137</v>
      </c>
      <c r="DA106" t="s">
        <v>114</v>
      </c>
      <c r="DB106" t="s">
        <v>114</v>
      </c>
      <c r="DC106" t="s">
        <v>136</v>
      </c>
      <c r="DD106" t="s">
        <v>114</v>
      </c>
    </row>
    <row r="107" spans="1:113" ht="15" customHeight="1" x14ac:dyDescent="0.25">
      <c r="A107" t="s">
        <v>16264</v>
      </c>
      <c r="B107" t="s">
        <v>152</v>
      </c>
      <c r="C107" s="1">
        <v>45262.049734722219</v>
      </c>
      <c r="D107" s="1">
        <v>45287</v>
      </c>
      <c r="E107" t="s">
        <v>132</v>
      </c>
      <c r="F107" t="s">
        <v>1961</v>
      </c>
      <c r="G107" t="str">
        <f>"37-3011.00"</f>
        <v>37-3011.00</v>
      </c>
      <c r="H107" t="s">
        <v>429</v>
      </c>
      <c r="I107">
        <v>18</v>
      </c>
      <c r="J107">
        <v>18</v>
      </c>
      <c r="K107" s="1">
        <v>45352</v>
      </c>
      <c r="L107" s="1">
        <v>45641</v>
      </c>
      <c r="M107" s="1">
        <v>45352</v>
      </c>
      <c r="N107" s="1">
        <v>45641</v>
      </c>
      <c r="O107" t="s">
        <v>238</v>
      </c>
      <c r="P107" t="s">
        <v>16265</v>
      </c>
      <c r="R107" t="s">
        <v>16266</v>
      </c>
      <c r="T107" t="s">
        <v>1855</v>
      </c>
      <c r="U107" t="s">
        <v>984</v>
      </c>
      <c r="V107" s="8" t="str">
        <f>"63304"</f>
        <v>63304</v>
      </c>
      <c r="W107" t="s">
        <v>118</v>
      </c>
      <c r="Y107" s="10">
        <v>13143937754</v>
      </c>
      <c r="AA107">
        <v>56173</v>
      </c>
      <c r="AB107" t="s">
        <v>16267</v>
      </c>
      <c r="AC107" t="s">
        <v>5105</v>
      </c>
      <c r="AE107" t="s">
        <v>654</v>
      </c>
      <c r="AF107" t="s">
        <v>16268</v>
      </c>
      <c r="AH107" t="s">
        <v>1855</v>
      </c>
      <c r="AI107" t="s">
        <v>984</v>
      </c>
      <c r="AJ107" s="8" t="str">
        <f>"63304"</f>
        <v>63304</v>
      </c>
      <c r="AK107" t="s">
        <v>118</v>
      </c>
      <c r="AM107" s="10">
        <v>13143937754</v>
      </c>
      <c r="AO107" t="s">
        <v>132</v>
      </c>
      <c r="AP107" t="s">
        <v>248</v>
      </c>
      <c r="AQ107" t="s">
        <v>354</v>
      </c>
      <c r="AR107" t="s">
        <v>355</v>
      </c>
      <c r="AT107" t="s">
        <v>356</v>
      </c>
      <c r="AV107" t="s">
        <v>357</v>
      </c>
      <c r="AW107" t="s">
        <v>358</v>
      </c>
      <c r="AX107" s="8" t="str">
        <f>"11590"</f>
        <v>11590</v>
      </c>
      <c r="AY107" t="s">
        <v>118</v>
      </c>
      <c r="BA107" s="10">
        <v>15163307168</v>
      </c>
      <c r="BC107" t="s">
        <v>359</v>
      </c>
      <c r="BD107" t="s">
        <v>360</v>
      </c>
      <c r="BG107" t="s">
        <v>984</v>
      </c>
      <c r="BH107" s="1">
        <v>45232.833333333336</v>
      </c>
      <c r="BI107">
        <v>40</v>
      </c>
      <c r="BJ107">
        <v>0</v>
      </c>
      <c r="BK107">
        <v>8</v>
      </c>
      <c r="BL107">
        <v>8</v>
      </c>
      <c r="BM107">
        <v>8</v>
      </c>
      <c r="BN107">
        <v>8</v>
      </c>
      <c r="BO107">
        <v>8</v>
      </c>
      <c r="BP107">
        <v>0</v>
      </c>
      <c r="BQ107" t="str">
        <f>"8:00 AM"</f>
        <v>8:00 AM</v>
      </c>
      <c r="BR107" t="str">
        <f>"5:00 PM"</f>
        <v>5:00 PM</v>
      </c>
      <c r="BS107" t="s">
        <v>147</v>
      </c>
      <c r="BT107">
        <v>0</v>
      </c>
      <c r="BU107">
        <v>0</v>
      </c>
      <c r="BV107" t="s">
        <v>114</v>
      </c>
      <c r="BX107" t="s">
        <v>1789</v>
      </c>
      <c r="BY107" t="s">
        <v>16266</v>
      </c>
      <c r="CA107" t="s">
        <v>15280</v>
      </c>
      <c r="CB107" t="s">
        <v>984</v>
      </c>
      <c r="CC107" s="8" t="str">
        <f>"63304"</f>
        <v>63304</v>
      </c>
      <c r="CD107" t="s">
        <v>1855</v>
      </c>
      <c r="CE107" t="s">
        <v>1856</v>
      </c>
      <c r="CF107" s="12">
        <v>17.579999999999998</v>
      </c>
      <c r="CG107" s="12">
        <v>20</v>
      </c>
      <c r="CH107" s="12">
        <v>26.37</v>
      </c>
      <c r="CI107" s="12">
        <v>30</v>
      </c>
      <c r="CJ107" t="s">
        <v>135</v>
      </c>
      <c r="CK107" t="s">
        <v>2197</v>
      </c>
      <c r="CL107" t="s">
        <v>16269</v>
      </c>
      <c r="CO107" t="s">
        <v>132</v>
      </c>
      <c r="CP107" t="s">
        <v>136</v>
      </c>
      <c r="CQ107" t="s">
        <v>136</v>
      </c>
      <c r="CR107" t="s">
        <v>136</v>
      </c>
      <c r="CS107" t="s">
        <v>114</v>
      </c>
      <c r="CT107" t="s">
        <v>136</v>
      </c>
      <c r="CU107" t="s">
        <v>114</v>
      </c>
      <c r="CV107" t="s">
        <v>1480</v>
      </c>
      <c r="CW107" s="10" t="str">
        <f>"+13143937754"</f>
        <v>+13143937754</v>
      </c>
      <c r="CX107" t="s">
        <v>16270</v>
      </c>
      <c r="CY107" t="s">
        <v>132</v>
      </c>
      <c r="CZ107" t="s">
        <v>137</v>
      </c>
      <c r="DA107" t="s">
        <v>114</v>
      </c>
      <c r="DB107" t="s">
        <v>114</v>
      </c>
      <c r="DC107" t="s">
        <v>136</v>
      </c>
      <c r="DD107" t="s">
        <v>114</v>
      </c>
    </row>
    <row r="108" spans="1:113" ht="15" customHeight="1" x14ac:dyDescent="0.25">
      <c r="A108" t="s">
        <v>9331</v>
      </c>
      <c r="B108" t="s">
        <v>152</v>
      </c>
      <c r="C108" s="1">
        <v>45262.049421412034</v>
      </c>
      <c r="D108" s="1">
        <v>45287</v>
      </c>
      <c r="E108" t="s">
        <v>132</v>
      </c>
      <c r="F108" t="s">
        <v>1595</v>
      </c>
      <c r="G108" t="str">
        <f>"37-3011.00"</f>
        <v>37-3011.00</v>
      </c>
      <c r="H108" t="s">
        <v>429</v>
      </c>
      <c r="I108">
        <v>15</v>
      </c>
      <c r="J108">
        <v>15</v>
      </c>
      <c r="K108" s="1">
        <v>45352</v>
      </c>
      <c r="L108" s="1">
        <v>45627</v>
      </c>
      <c r="M108" s="1">
        <v>45352</v>
      </c>
      <c r="N108" s="1">
        <v>45627</v>
      </c>
      <c r="O108" t="s">
        <v>116</v>
      </c>
      <c r="P108" t="s">
        <v>9332</v>
      </c>
      <c r="R108" t="s">
        <v>9333</v>
      </c>
      <c r="T108" t="s">
        <v>9334</v>
      </c>
      <c r="U108" t="s">
        <v>434</v>
      </c>
      <c r="V108" s="8" t="str">
        <f>"15136"</f>
        <v>15136</v>
      </c>
      <c r="W108" t="s">
        <v>118</v>
      </c>
      <c r="Y108" s="10">
        <v>14124583740</v>
      </c>
      <c r="AA108">
        <v>56173</v>
      </c>
      <c r="AB108" t="s">
        <v>9335</v>
      </c>
      <c r="AC108" t="s">
        <v>3279</v>
      </c>
      <c r="AE108" t="s">
        <v>561</v>
      </c>
      <c r="AF108" t="s">
        <v>9333</v>
      </c>
      <c r="AH108" t="s">
        <v>9334</v>
      </c>
      <c r="AI108" t="s">
        <v>434</v>
      </c>
      <c r="AJ108" s="8" t="str">
        <f>"15136"</f>
        <v>15136</v>
      </c>
      <c r="AK108" t="s">
        <v>118</v>
      </c>
      <c r="AM108" s="10">
        <v>14124583740</v>
      </c>
      <c r="AO108" t="s">
        <v>9336</v>
      </c>
      <c r="AP108" t="s">
        <v>248</v>
      </c>
      <c r="AQ108" t="s">
        <v>1601</v>
      </c>
      <c r="AR108" t="s">
        <v>1602</v>
      </c>
      <c r="AT108" t="s">
        <v>1253</v>
      </c>
      <c r="AU108" t="s">
        <v>852</v>
      </c>
      <c r="AV108" t="s">
        <v>853</v>
      </c>
      <c r="AW108" t="s">
        <v>854</v>
      </c>
      <c r="AX108" s="8" t="str">
        <f>"83814"</f>
        <v>83814</v>
      </c>
      <c r="AY108" t="s">
        <v>118</v>
      </c>
      <c r="BA108" s="10">
        <v>12087772654</v>
      </c>
      <c r="BC108" t="s">
        <v>1603</v>
      </c>
      <c r="BD108" t="s">
        <v>856</v>
      </c>
      <c r="BG108" t="s">
        <v>434</v>
      </c>
      <c r="BH108" s="1">
        <v>45260.791666666664</v>
      </c>
      <c r="BI108">
        <v>40</v>
      </c>
      <c r="BJ108">
        <v>0</v>
      </c>
      <c r="BK108">
        <v>8</v>
      </c>
      <c r="BL108">
        <v>8</v>
      </c>
      <c r="BM108">
        <v>8</v>
      </c>
      <c r="BN108">
        <v>8</v>
      </c>
      <c r="BO108">
        <v>8</v>
      </c>
      <c r="BP108">
        <v>0</v>
      </c>
      <c r="BQ108" t="str">
        <f>"7:00 AM"</f>
        <v>7:00 AM</v>
      </c>
      <c r="BR108" t="str">
        <f>"3:00 PM"</f>
        <v>3:00 PM</v>
      </c>
      <c r="BS108" t="s">
        <v>131</v>
      </c>
      <c r="BT108">
        <v>0</v>
      </c>
      <c r="BU108">
        <v>3</v>
      </c>
      <c r="BV108" t="s">
        <v>114</v>
      </c>
      <c r="BX108" t="s">
        <v>9337</v>
      </c>
      <c r="BY108" t="s">
        <v>9338</v>
      </c>
      <c r="CA108" t="s">
        <v>5721</v>
      </c>
      <c r="CB108" t="s">
        <v>434</v>
      </c>
      <c r="CC108" s="8" t="str">
        <f>"15136"</f>
        <v>15136</v>
      </c>
      <c r="CD108" t="s">
        <v>1886</v>
      </c>
      <c r="CE108" t="s">
        <v>1887</v>
      </c>
      <c r="CF108" s="12">
        <v>16.84</v>
      </c>
      <c r="CG108" s="12">
        <v>19</v>
      </c>
      <c r="CH108" s="12">
        <v>25.26</v>
      </c>
      <c r="CI108" s="12">
        <v>28.5</v>
      </c>
      <c r="CJ108" t="s">
        <v>135</v>
      </c>
      <c r="CK108" t="s">
        <v>1899</v>
      </c>
      <c r="CL108" t="s">
        <v>9339</v>
      </c>
      <c r="CO108" t="s">
        <v>132</v>
      </c>
      <c r="CP108" t="s">
        <v>136</v>
      </c>
      <c r="CQ108" t="s">
        <v>136</v>
      </c>
      <c r="CR108" t="s">
        <v>136</v>
      </c>
      <c r="CS108" t="s">
        <v>114</v>
      </c>
      <c r="CT108" t="s">
        <v>136</v>
      </c>
      <c r="CU108" t="s">
        <v>136</v>
      </c>
      <c r="CV108" t="s">
        <v>9340</v>
      </c>
      <c r="CW108" s="10" t="str">
        <f>"+14124007129"</f>
        <v>+14124007129</v>
      </c>
      <c r="CX108" t="s">
        <v>9336</v>
      </c>
      <c r="CY108" t="s">
        <v>132</v>
      </c>
      <c r="CZ108" t="s">
        <v>137</v>
      </c>
      <c r="DA108" t="s">
        <v>114</v>
      </c>
      <c r="DB108" t="s">
        <v>136</v>
      </c>
      <c r="DC108" t="s">
        <v>136</v>
      </c>
      <c r="DD108" t="s">
        <v>114</v>
      </c>
    </row>
    <row r="109" spans="1:113" ht="15" customHeight="1" x14ac:dyDescent="0.25">
      <c r="A109" t="s">
        <v>22121</v>
      </c>
      <c r="B109" t="s">
        <v>152</v>
      </c>
      <c r="C109" s="1">
        <v>45262.047927546293</v>
      </c>
      <c r="D109" s="1">
        <v>45287</v>
      </c>
      <c r="E109" t="s">
        <v>132</v>
      </c>
      <c r="F109" t="s">
        <v>1961</v>
      </c>
      <c r="G109" t="str">
        <f>"37-3011.00"</f>
        <v>37-3011.00</v>
      </c>
      <c r="H109" t="s">
        <v>429</v>
      </c>
      <c r="I109">
        <v>8</v>
      </c>
      <c r="J109">
        <v>8</v>
      </c>
      <c r="K109" s="1">
        <v>45352</v>
      </c>
      <c r="L109" s="1">
        <v>45639</v>
      </c>
      <c r="M109" s="1">
        <v>45352</v>
      </c>
      <c r="N109" s="1">
        <v>45639</v>
      </c>
      <c r="O109" t="s">
        <v>238</v>
      </c>
      <c r="P109" t="s">
        <v>22122</v>
      </c>
      <c r="R109" t="s">
        <v>22123</v>
      </c>
      <c r="T109" t="s">
        <v>1855</v>
      </c>
      <c r="U109" t="s">
        <v>984</v>
      </c>
      <c r="V109" s="8" t="str">
        <f>"63304"</f>
        <v>63304</v>
      </c>
      <c r="W109" t="s">
        <v>118</v>
      </c>
      <c r="Y109" s="10">
        <v>13142808845</v>
      </c>
      <c r="AA109">
        <v>56173</v>
      </c>
      <c r="AB109" t="s">
        <v>22124</v>
      </c>
      <c r="AC109" t="s">
        <v>9279</v>
      </c>
      <c r="AE109" t="s">
        <v>654</v>
      </c>
      <c r="AF109" t="s">
        <v>22123</v>
      </c>
      <c r="AH109" t="s">
        <v>1855</v>
      </c>
      <c r="AI109" t="s">
        <v>984</v>
      </c>
      <c r="AJ109" s="8" t="str">
        <f>"63304"</f>
        <v>63304</v>
      </c>
      <c r="AK109" t="s">
        <v>118</v>
      </c>
      <c r="AM109" s="10">
        <v>13142808845</v>
      </c>
      <c r="AO109" t="s">
        <v>132</v>
      </c>
      <c r="AP109" t="s">
        <v>248</v>
      </c>
      <c r="AQ109" t="s">
        <v>354</v>
      </c>
      <c r="AR109" t="s">
        <v>355</v>
      </c>
      <c r="AT109" t="s">
        <v>356</v>
      </c>
      <c r="AV109" t="s">
        <v>357</v>
      </c>
      <c r="AW109" t="s">
        <v>358</v>
      </c>
      <c r="AX109" s="8" t="str">
        <f>"11590"</f>
        <v>11590</v>
      </c>
      <c r="AY109" t="s">
        <v>118</v>
      </c>
      <c r="BA109" s="10">
        <v>15163307168</v>
      </c>
      <c r="BC109" t="s">
        <v>359</v>
      </c>
      <c r="BD109" t="s">
        <v>360</v>
      </c>
      <c r="BG109" t="s">
        <v>984</v>
      </c>
      <c r="BH109" s="1">
        <v>45231.833333333336</v>
      </c>
      <c r="BI109">
        <v>40</v>
      </c>
      <c r="BJ109">
        <v>0</v>
      </c>
      <c r="BK109">
        <v>8</v>
      </c>
      <c r="BL109">
        <v>8</v>
      </c>
      <c r="BM109">
        <v>8</v>
      </c>
      <c r="BN109">
        <v>8</v>
      </c>
      <c r="BO109">
        <v>8</v>
      </c>
      <c r="BP109">
        <v>0</v>
      </c>
      <c r="BQ109" t="str">
        <f>"8:00 AM"</f>
        <v>8:00 AM</v>
      </c>
      <c r="BR109" t="str">
        <f>"5:00 PM"</f>
        <v>5:00 PM</v>
      </c>
      <c r="BS109" t="s">
        <v>131</v>
      </c>
      <c r="BT109">
        <v>0</v>
      </c>
      <c r="BU109">
        <v>0</v>
      </c>
      <c r="BV109" t="s">
        <v>114</v>
      </c>
      <c r="BX109" t="s">
        <v>1480</v>
      </c>
      <c r="BY109" t="s">
        <v>22123</v>
      </c>
      <c r="CA109" t="s">
        <v>1855</v>
      </c>
      <c r="CB109" t="s">
        <v>984</v>
      </c>
      <c r="CC109" s="8" t="str">
        <f>"63304"</f>
        <v>63304</v>
      </c>
      <c r="CD109" t="s">
        <v>2851</v>
      </c>
      <c r="CE109" t="s">
        <v>1856</v>
      </c>
      <c r="CF109" s="12">
        <v>17.579999999999998</v>
      </c>
      <c r="CG109" s="12">
        <v>19.579999999999998</v>
      </c>
      <c r="CH109" s="12">
        <v>26.37</v>
      </c>
      <c r="CI109" s="12">
        <v>29.37</v>
      </c>
      <c r="CJ109" t="s">
        <v>135</v>
      </c>
      <c r="CK109" t="s">
        <v>13929</v>
      </c>
      <c r="CL109" t="s">
        <v>22125</v>
      </c>
      <c r="CO109" t="s">
        <v>132</v>
      </c>
      <c r="CP109" t="s">
        <v>136</v>
      </c>
      <c r="CQ109" t="s">
        <v>136</v>
      </c>
      <c r="CR109" t="s">
        <v>136</v>
      </c>
      <c r="CS109" t="s">
        <v>114</v>
      </c>
      <c r="CT109" t="s">
        <v>136</v>
      </c>
      <c r="CU109" t="s">
        <v>114</v>
      </c>
      <c r="CV109" t="s">
        <v>1789</v>
      </c>
      <c r="CW109" s="10" t="str">
        <f>"+13142808845"</f>
        <v>+13142808845</v>
      </c>
      <c r="CX109" t="s">
        <v>22126</v>
      </c>
      <c r="CY109" t="s">
        <v>132</v>
      </c>
      <c r="CZ109" t="s">
        <v>137</v>
      </c>
      <c r="DA109" t="s">
        <v>114</v>
      </c>
      <c r="DB109" t="s">
        <v>114</v>
      </c>
      <c r="DC109" t="s">
        <v>136</v>
      </c>
      <c r="DD109" t="s">
        <v>114</v>
      </c>
    </row>
    <row r="110" spans="1:113" ht="15" customHeight="1" x14ac:dyDescent="0.25">
      <c r="A110" t="s">
        <v>2618</v>
      </c>
      <c r="B110" t="s">
        <v>152</v>
      </c>
      <c r="C110" s="1">
        <v>45262.044807986109</v>
      </c>
      <c r="D110" s="1">
        <v>45287</v>
      </c>
      <c r="E110" t="s">
        <v>132</v>
      </c>
      <c r="F110" t="s">
        <v>1961</v>
      </c>
      <c r="G110" t="str">
        <f>"37-3011.00"</f>
        <v>37-3011.00</v>
      </c>
      <c r="H110" t="s">
        <v>429</v>
      </c>
      <c r="I110">
        <v>3</v>
      </c>
      <c r="J110">
        <v>3</v>
      </c>
      <c r="K110" s="1">
        <v>45352</v>
      </c>
      <c r="L110" s="1">
        <v>45626</v>
      </c>
      <c r="M110" s="1">
        <v>45352</v>
      </c>
      <c r="N110" s="1">
        <v>45626</v>
      </c>
      <c r="O110" t="s">
        <v>238</v>
      </c>
      <c r="P110" t="s">
        <v>2619</v>
      </c>
      <c r="R110" t="s">
        <v>2620</v>
      </c>
      <c r="T110" t="s">
        <v>2621</v>
      </c>
      <c r="U110" t="s">
        <v>358</v>
      </c>
      <c r="V110" s="8" t="str">
        <f>"11901"</f>
        <v>11901</v>
      </c>
      <c r="W110" t="s">
        <v>118</v>
      </c>
      <c r="Y110" s="10">
        <v>16315667269</v>
      </c>
      <c r="AA110">
        <v>56173</v>
      </c>
      <c r="AB110" t="s">
        <v>2622</v>
      </c>
      <c r="AC110" t="s">
        <v>2623</v>
      </c>
      <c r="AE110" t="s">
        <v>654</v>
      </c>
      <c r="AF110" t="s">
        <v>2620</v>
      </c>
      <c r="AH110" t="s">
        <v>2621</v>
      </c>
      <c r="AI110" t="s">
        <v>358</v>
      </c>
      <c r="AJ110" s="8" t="str">
        <f>"11901"</f>
        <v>11901</v>
      </c>
      <c r="AK110" t="s">
        <v>118</v>
      </c>
      <c r="AM110" s="10">
        <v>16315667269</v>
      </c>
      <c r="AO110" t="s">
        <v>132</v>
      </c>
      <c r="AP110" t="s">
        <v>248</v>
      </c>
      <c r="AQ110" t="s">
        <v>354</v>
      </c>
      <c r="AR110" t="s">
        <v>355</v>
      </c>
      <c r="AT110" t="s">
        <v>356</v>
      </c>
      <c r="AV110" t="s">
        <v>357</v>
      </c>
      <c r="AW110" t="s">
        <v>358</v>
      </c>
      <c r="AX110" s="8" t="str">
        <f>"11590"</f>
        <v>11590</v>
      </c>
      <c r="AY110" t="s">
        <v>118</v>
      </c>
      <c r="BA110" s="10">
        <v>15163307168</v>
      </c>
      <c r="BC110" t="s">
        <v>359</v>
      </c>
      <c r="BD110" t="s">
        <v>360</v>
      </c>
      <c r="BG110" t="s">
        <v>358</v>
      </c>
      <c r="BH110" s="1">
        <v>45228.833333333336</v>
      </c>
      <c r="BI110">
        <v>40</v>
      </c>
      <c r="BJ110">
        <v>0</v>
      </c>
      <c r="BK110">
        <v>8</v>
      </c>
      <c r="BL110">
        <v>8</v>
      </c>
      <c r="BM110">
        <v>8</v>
      </c>
      <c r="BN110">
        <v>8</v>
      </c>
      <c r="BO110">
        <v>8</v>
      </c>
      <c r="BP110">
        <v>0</v>
      </c>
      <c r="BQ110" t="str">
        <f>"8:00 AM"</f>
        <v>8:00 AM</v>
      </c>
      <c r="BR110" t="str">
        <f>"5:00 PM"</f>
        <v>5:00 PM</v>
      </c>
      <c r="BS110" t="s">
        <v>131</v>
      </c>
      <c r="BT110">
        <v>0</v>
      </c>
      <c r="BU110">
        <v>0</v>
      </c>
      <c r="BV110" t="s">
        <v>114</v>
      </c>
      <c r="BX110" t="s">
        <v>132</v>
      </c>
      <c r="BY110" t="s">
        <v>2624</v>
      </c>
      <c r="CA110" t="s">
        <v>2621</v>
      </c>
      <c r="CB110" t="s">
        <v>358</v>
      </c>
      <c r="CC110" s="8" t="str">
        <f>"11901"</f>
        <v>11901</v>
      </c>
      <c r="CD110" t="s">
        <v>1752</v>
      </c>
      <c r="CE110" t="s">
        <v>1418</v>
      </c>
      <c r="CF110" s="12">
        <v>20.81</v>
      </c>
      <c r="CG110" s="12">
        <v>20.81</v>
      </c>
      <c r="CH110" s="12">
        <v>31.22</v>
      </c>
      <c r="CI110" s="12">
        <v>31.22</v>
      </c>
      <c r="CJ110" t="s">
        <v>135</v>
      </c>
      <c r="CK110" t="s">
        <v>132</v>
      </c>
      <c r="CL110" t="s">
        <v>2625</v>
      </c>
      <c r="CO110" t="s">
        <v>132</v>
      </c>
      <c r="CP110" t="s">
        <v>136</v>
      </c>
      <c r="CQ110" t="s">
        <v>136</v>
      </c>
      <c r="CR110" t="s">
        <v>136</v>
      </c>
      <c r="CS110" t="s">
        <v>114</v>
      </c>
      <c r="CT110" t="s">
        <v>136</v>
      </c>
      <c r="CU110" t="s">
        <v>114</v>
      </c>
      <c r="CV110" t="s">
        <v>1480</v>
      </c>
      <c r="CW110" s="10" t="str">
        <f>"+16315667269"</f>
        <v>+16315667269</v>
      </c>
      <c r="CX110" t="s">
        <v>2626</v>
      </c>
      <c r="CY110" t="s">
        <v>132</v>
      </c>
      <c r="CZ110" t="s">
        <v>137</v>
      </c>
      <c r="DA110" t="s">
        <v>114</v>
      </c>
      <c r="DB110" t="s">
        <v>114</v>
      </c>
      <c r="DC110" t="s">
        <v>136</v>
      </c>
      <c r="DD110" t="s">
        <v>114</v>
      </c>
    </row>
    <row r="111" spans="1:113" ht="15" customHeight="1" x14ac:dyDescent="0.25">
      <c r="A111" t="s">
        <v>2480</v>
      </c>
      <c r="B111" t="s">
        <v>152</v>
      </c>
      <c r="C111" s="1">
        <v>45262.040533449072</v>
      </c>
      <c r="D111" s="1">
        <v>45287</v>
      </c>
      <c r="E111" t="s">
        <v>132</v>
      </c>
      <c r="F111" t="s">
        <v>1961</v>
      </c>
      <c r="G111" t="str">
        <f>"37-3011.00"</f>
        <v>37-3011.00</v>
      </c>
      <c r="H111" t="s">
        <v>429</v>
      </c>
      <c r="I111">
        <v>6</v>
      </c>
      <c r="J111">
        <v>6</v>
      </c>
      <c r="K111" s="1">
        <v>45352</v>
      </c>
      <c r="L111" s="1">
        <v>45611</v>
      </c>
      <c r="M111" s="1">
        <v>45352</v>
      </c>
      <c r="N111" s="1">
        <v>45611</v>
      </c>
      <c r="O111" t="s">
        <v>238</v>
      </c>
      <c r="P111" t="s">
        <v>2481</v>
      </c>
      <c r="R111" t="s">
        <v>2482</v>
      </c>
      <c r="T111" t="s">
        <v>2483</v>
      </c>
      <c r="U111" t="s">
        <v>2090</v>
      </c>
      <c r="V111" s="8" t="str">
        <f>"68028"</f>
        <v>68028</v>
      </c>
      <c r="W111" t="s">
        <v>118</v>
      </c>
      <c r="Y111" s="10">
        <v>14023323641</v>
      </c>
      <c r="AA111">
        <v>56173</v>
      </c>
      <c r="AB111" t="s">
        <v>2484</v>
      </c>
      <c r="AC111" t="s">
        <v>2485</v>
      </c>
      <c r="AE111" t="s">
        <v>654</v>
      </c>
      <c r="AF111" t="s">
        <v>2482</v>
      </c>
      <c r="AH111" t="s">
        <v>2483</v>
      </c>
      <c r="AI111" t="s">
        <v>2090</v>
      </c>
      <c r="AJ111" s="8" t="str">
        <f>"68028"</f>
        <v>68028</v>
      </c>
      <c r="AK111" t="s">
        <v>118</v>
      </c>
      <c r="AM111" s="10">
        <v>14023323641</v>
      </c>
      <c r="AO111" t="s">
        <v>132</v>
      </c>
      <c r="AP111" t="s">
        <v>248</v>
      </c>
      <c r="AQ111" t="s">
        <v>354</v>
      </c>
      <c r="AR111" t="s">
        <v>355</v>
      </c>
      <c r="AT111" t="s">
        <v>356</v>
      </c>
      <c r="AV111" t="s">
        <v>357</v>
      </c>
      <c r="AW111" t="s">
        <v>358</v>
      </c>
      <c r="AX111" s="8" t="str">
        <f>"11590"</f>
        <v>11590</v>
      </c>
      <c r="AY111" t="s">
        <v>118</v>
      </c>
      <c r="BA111" s="10">
        <v>15163307168</v>
      </c>
      <c r="BC111" t="s">
        <v>359</v>
      </c>
      <c r="BD111" t="s">
        <v>360</v>
      </c>
      <c r="BG111" t="s">
        <v>2090</v>
      </c>
      <c r="BH111" s="1">
        <v>45237.791666666664</v>
      </c>
      <c r="BI111">
        <v>40</v>
      </c>
      <c r="BJ111">
        <v>0</v>
      </c>
      <c r="BK111">
        <v>8</v>
      </c>
      <c r="BL111">
        <v>8</v>
      </c>
      <c r="BM111">
        <v>8</v>
      </c>
      <c r="BN111">
        <v>8</v>
      </c>
      <c r="BO111">
        <v>8</v>
      </c>
      <c r="BP111">
        <v>0</v>
      </c>
      <c r="BQ111" t="str">
        <f>"8:00 AM"</f>
        <v>8:00 AM</v>
      </c>
      <c r="BR111" t="str">
        <f>"5:00 PM"</f>
        <v>5:00 PM</v>
      </c>
      <c r="BS111" t="s">
        <v>131</v>
      </c>
      <c r="BT111">
        <v>0</v>
      </c>
      <c r="BU111">
        <v>0</v>
      </c>
      <c r="BV111" t="s">
        <v>114</v>
      </c>
      <c r="BX111" t="s">
        <v>1789</v>
      </c>
      <c r="BY111" t="s">
        <v>2486</v>
      </c>
      <c r="CA111" t="s">
        <v>2483</v>
      </c>
      <c r="CB111" t="s">
        <v>2090</v>
      </c>
      <c r="CC111" s="8" t="str">
        <f>"38028"</f>
        <v>38028</v>
      </c>
      <c r="CD111" t="s">
        <v>2487</v>
      </c>
      <c r="CE111" t="s">
        <v>2100</v>
      </c>
      <c r="CF111" s="12">
        <v>17.7</v>
      </c>
      <c r="CG111" s="12">
        <v>19</v>
      </c>
      <c r="CH111" s="12">
        <v>26.55</v>
      </c>
      <c r="CI111" s="12">
        <v>28.5</v>
      </c>
      <c r="CJ111" t="s">
        <v>135</v>
      </c>
      <c r="CK111" t="s">
        <v>2197</v>
      </c>
      <c r="CL111" t="s">
        <v>2488</v>
      </c>
      <c r="CO111" t="s">
        <v>132</v>
      </c>
      <c r="CP111" t="s">
        <v>136</v>
      </c>
      <c r="CQ111" t="s">
        <v>136</v>
      </c>
      <c r="CR111" t="s">
        <v>136</v>
      </c>
      <c r="CS111" t="s">
        <v>114</v>
      </c>
      <c r="CT111" t="s">
        <v>136</v>
      </c>
      <c r="CU111" t="s">
        <v>114</v>
      </c>
      <c r="CV111" t="s">
        <v>1480</v>
      </c>
      <c r="CW111" s="10" t="str">
        <f>"+14023323641"</f>
        <v>+14023323641</v>
      </c>
      <c r="CX111" t="s">
        <v>2489</v>
      </c>
      <c r="CY111" t="s">
        <v>132</v>
      </c>
      <c r="CZ111" t="s">
        <v>137</v>
      </c>
      <c r="DA111" t="s">
        <v>114</v>
      </c>
      <c r="DB111" t="s">
        <v>114</v>
      </c>
      <c r="DC111" t="s">
        <v>136</v>
      </c>
      <c r="DD111" t="s">
        <v>114</v>
      </c>
    </row>
    <row r="112" spans="1:113" ht="15" customHeight="1" x14ac:dyDescent="0.25">
      <c r="A112" t="s">
        <v>17806</v>
      </c>
      <c r="B112" t="s">
        <v>152</v>
      </c>
      <c r="C112" s="1">
        <v>45262.040335879632</v>
      </c>
      <c r="D112" s="1">
        <v>45287</v>
      </c>
      <c r="E112" t="s">
        <v>132</v>
      </c>
      <c r="F112" t="s">
        <v>1961</v>
      </c>
      <c r="G112" t="str">
        <f>"37-3011.00"</f>
        <v>37-3011.00</v>
      </c>
      <c r="H112" t="s">
        <v>429</v>
      </c>
      <c r="I112">
        <v>28</v>
      </c>
      <c r="J112">
        <v>28</v>
      </c>
      <c r="K112" s="1">
        <v>45352</v>
      </c>
      <c r="L112" s="1">
        <v>45627</v>
      </c>
      <c r="M112" s="1">
        <v>45352</v>
      </c>
      <c r="N112" s="1">
        <v>45627</v>
      </c>
      <c r="O112" t="s">
        <v>238</v>
      </c>
      <c r="P112" t="s">
        <v>17807</v>
      </c>
      <c r="R112" t="s">
        <v>6240</v>
      </c>
      <c r="T112" t="s">
        <v>17808</v>
      </c>
      <c r="U112" t="s">
        <v>984</v>
      </c>
      <c r="V112" s="8" t="str">
        <f>"65049"</f>
        <v>65049</v>
      </c>
      <c r="W112" t="s">
        <v>118</v>
      </c>
      <c r="Y112" s="10">
        <v>15733929993</v>
      </c>
      <c r="AA112">
        <v>56173</v>
      </c>
      <c r="AB112" t="s">
        <v>6242</v>
      </c>
      <c r="AC112" t="s">
        <v>2754</v>
      </c>
      <c r="AE112" t="s">
        <v>654</v>
      </c>
      <c r="AF112" t="s">
        <v>6240</v>
      </c>
      <c r="AH112" t="s">
        <v>9281</v>
      </c>
      <c r="AI112" t="s">
        <v>984</v>
      </c>
      <c r="AJ112" s="8" t="str">
        <f>"65049"</f>
        <v>65049</v>
      </c>
      <c r="AK112" t="s">
        <v>118</v>
      </c>
      <c r="AM112" s="10">
        <v>15733929993</v>
      </c>
      <c r="AO112" t="s">
        <v>132</v>
      </c>
      <c r="AP112" t="s">
        <v>248</v>
      </c>
      <c r="AQ112" t="s">
        <v>354</v>
      </c>
      <c r="AR112" t="s">
        <v>355</v>
      </c>
      <c r="AT112" t="s">
        <v>356</v>
      </c>
      <c r="AV112" t="s">
        <v>357</v>
      </c>
      <c r="AW112" t="s">
        <v>358</v>
      </c>
      <c r="AX112" s="8" t="str">
        <f>"11590"</f>
        <v>11590</v>
      </c>
      <c r="AY112" t="s">
        <v>118</v>
      </c>
      <c r="BA112" s="10">
        <v>15163307168</v>
      </c>
      <c r="BC112" t="s">
        <v>359</v>
      </c>
      <c r="BD112" t="s">
        <v>360</v>
      </c>
      <c r="BG112" t="s">
        <v>984</v>
      </c>
      <c r="BH112" s="1">
        <v>45237.791666666664</v>
      </c>
      <c r="BI112">
        <v>40</v>
      </c>
      <c r="BJ112">
        <v>0</v>
      </c>
      <c r="BK112">
        <v>8</v>
      </c>
      <c r="BL112">
        <v>8</v>
      </c>
      <c r="BM112">
        <v>8</v>
      </c>
      <c r="BN112">
        <v>8</v>
      </c>
      <c r="BO112">
        <v>8</v>
      </c>
      <c r="BP112">
        <v>0</v>
      </c>
      <c r="BQ112" t="str">
        <f>"8:00 AM"</f>
        <v>8:00 AM</v>
      </c>
      <c r="BR112" t="str">
        <f>"5:00 PM"</f>
        <v>5:00 PM</v>
      </c>
      <c r="BS112" t="s">
        <v>131</v>
      </c>
      <c r="BT112">
        <v>0</v>
      </c>
      <c r="BU112">
        <v>0</v>
      </c>
      <c r="BV112" t="s">
        <v>114</v>
      </c>
      <c r="BX112" t="s">
        <v>1789</v>
      </c>
      <c r="BY112" t="s">
        <v>6240</v>
      </c>
      <c r="CA112" t="s">
        <v>9281</v>
      </c>
      <c r="CB112" t="s">
        <v>984</v>
      </c>
      <c r="CC112" s="8" t="str">
        <f>"65049"</f>
        <v>65049</v>
      </c>
      <c r="CD112" t="s">
        <v>480</v>
      </c>
      <c r="CE112" t="s">
        <v>998</v>
      </c>
      <c r="CF112" s="12">
        <v>15.52</v>
      </c>
      <c r="CG112" s="12">
        <v>15.52</v>
      </c>
      <c r="CH112" s="12">
        <v>23.28</v>
      </c>
      <c r="CI112" s="12">
        <v>23.28</v>
      </c>
      <c r="CJ112" t="s">
        <v>135</v>
      </c>
      <c r="CL112" t="s">
        <v>17809</v>
      </c>
      <c r="CO112" t="s">
        <v>132</v>
      </c>
      <c r="CP112" t="s">
        <v>136</v>
      </c>
      <c r="CQ112" t="s">
        <v>136</v>
      </c>
      <c r="CR112" t="s">
        <v>136</v>
      </c>
      <c r="CS112" t="s">
        <v>114</v>
      </c>
      <c r="CT112" t="s">
        <v>136</v>
      </c>
      <c r="CU112" t="s">
        <v>114</v>
      </c>
      <c r="CV112" t="s">
        <v>1789</v>
      </c>
      <c r="CW112" s="10" t="str">
        <f>"+15733929993"</f>
        <v>+15733929993</v>
      </c>
      <c r="CX112" t="s">
        <v>17810</v>
      </c>
      <c r="CY112" t="s">
        <v>132</v>
      </c>
      <c r="CZ112" t="s">
        <v>137</v>
      </c>
      <c r="DA112" t="s">
        <v>114</v>
      </c>
      <c r="DB112" t="s">
        <v>114</v>
      </c>
      <c r="DC112" t="s">
        <v>136</v>
      </c>
      <c r="DD112" t="s">
        <v>114</v>
      </c>
    </row>
    <row r="113" spans="1:108" ht="15" customHeight="1" x14ac:dyDescent="0.25">
      <c r="A113" t="s">
        <v>12287</v>
      </c>
      <c r="B113" t="s">
        <v>152</v>
      </c>
      <c r="C113" s="1">
        <v>45262.038636226855</v>
      </c>
      <c r="D113" s="1">
        <v>45287</v>
      </c>
      <c r="E113" t="s">
        <v>132</v>
      </c>
      <c r="F113" t="s">
        <v>2346</v>
      </c>
      <c r="G113" t="str">
        <f>"53-7062.00"</f>
        <v>53-7062.00</v>
      </c>
      <c r="H113" t="s">
        <v>2078</v>
      </c>
      <c r="I113">
        <v>4</v>
      </c>
      <c r="J113">
        <v>4</v>
      </c>
      <c r="K113" s="1">
        <v>45352</v>
      </c>
      <c r="L113" s="1">
        <v>45641</v>
      </c>
      <c r="M113" s="1">
        <v>45352</v>
      </c>
      <c r="N113" s="1">
        <v>45641</v>
      </c>
      <c r="O113" t="s">
        <v>238</v>
      </c>
      <c r="P113" t="s">
        <v>12288</v>
      </c>
      <c r="Q113" t="s">
        <v>12289</v>
      </c>
      <c r="R113" t="s">
        <v>12290</v>
      </c>
      <c r="T113" t="s">
        <v>12291</v>
      </c>
      <c r="U113" t="s">
        <v>358</v>
      </c>
      <c r="V113" s="8" t="str">
        <f>"11507"</f>
        <v>11507</v>
      </c>
      <c r="W113" t="s">
        <v>118</v>
      </c>
      <c r="Y113" s="10">
        <v>15163387804</v>
      </c>
      <c r="AA113">
        <v>56173</v>
      </c>
      <c r="AB113" t="s">
        <v>12292</v>
      </c>
      <c r="AC113" t="s">
        <v>1791</v>
      </c>
      <c r="AE113" t="s">
        <v>438</v>
      </c>
      <c r="AF113" t="s">
        <v>12290</v>
      </c>
      <c r="AH113" t="s">
        <v>12291</v>
      </c>
      <c r="AI113" t="s">
        <v>358</v>
      </c>
      <c r="AJ113" s="8" t="str">
        <f>"11507"</f>
        <v>11507</v>
      </c>
      <c r="AK113" t="s">
        <v>118</v>
      </c>
      <c r="AM113" s="10">
        <v>15163387804</v>
      </c>
      <c r="AO113" t="s">
        <v>132</v>
      </c>
      <c r="AP113" t="s">
        <v>248</v>
      </c>
      <c r="AQ113" t="s">
        <v>354</v>
      </c>
      <c r="AR113" t="s">
        <v>355</v>
      </c>
      <c r="AT113" t="s">
        <v>356</v>
      </c>
      <c r="AV113" t="s">
        <v>357</v>
      </c>
      <c r="AW113" t="s">
        <v>358</v>
      </c>
      <c r="AX113" s="8" t="str">
        <f>"11590"</f>
        <v>11590</v>
      </c>
      <c r="AY113" t="s">
        <v>118</v>
      </c>
      <c r="BA113" s="10">
        <v>15163307168</v>
      </c>
      <c r="BC113" t="s">
        <v>359</v>
      </c>
      <c r="BD113" t="s">
        <v>360</v>
      </c>
      <c r="BG113" t="s">
        <v>358</v>
      </c>
      <c r="BH113" s="1">
        <v>45221.833333333336</v>
      </c>
      <c r="BI113">
        <v>40</v>
      </c>
      <c r="BJ113">
        <v>0</v>
      </c>
      <c r="BK113">
        <v>8</v>
      </c>
      <c r="BL113">
        <v>8</v>
      </c>
      <c r="BM113">
        <v>8</v>
      </c>
      <c r="BN113">
        <v>8</v>
      </c>
      <c r="BO113">
        <v>8</v>
      </c>
      <c r="BP113">
        <v>0</v>
      </c>
      <c r="BQ113" t="str">
        <f>"8:00 AM"</f>
        <v>8:00 AM</v>
      </c>
      <c r="BR113" t="str">
        <f>"5:00 PM"</f>
        <v>5:00 PM</v>
      </c>
      <c r="BS113" t="s">
        <v>131</v>
      </c>
      <c r="BT113">
        <v>0</v>
      </c>
      <c r="BU113">
        <v>0</v>
      </c>
      <c r="BV113" t="s">
        <v>114</v>
      </c>
      <c r="BX113" t="s">
        <v>132</v>
      </c>
      <c r="BY113" t="s">
        <v>12290</v>
      </c>
      <c r="CA113" t="s">
        <v>12291</v>
      </c>
      <c r="CB113" t="s">
        <v>358</v>
      </c>
      <c r="CC113" s="8" t="str">
        <f>"11507"</f>
        <v>11507</v>
      </c>
      <c r="CD113" t="s">
        <v>2352</v>
      </c>
      <c r="CE113" t="s">
        <v>1418</v>
      </c>
      <c r="CF113" s="12">
        <v>19.399999999999999</v>
      </c>
      <c r="CG113" s="12">
        <v>19.399999999999999</v>
      </c>
      <c r="CH113" s="12">
        <v>29.1</v>
      </c>
      <c r="CI113" s="12">
        <v>29.1</v>
      </c>
      <c r="CJ113" t="s">
        <v>135</v>
      </c>
      <c r="CK113" t="s">
        <v>132</v>
      </c>
      <c r="CL113" t="s">
        <v>12293</v>
      </c>
      <c r="CO113" t="s">
        <v>132</v>
      </c>
      <c r="CP113" t="s">
        <v>136</v>
      </c>
      <c r="CQ113" t="s">
        <v>136</v>
      </c>
      <c r="CR113" t="s">
        <v>136</v>
      </c>
      <c r="CS113" t="s">
        <v>114</v>
      </c>
      <c r="CT113" t="s">
        <v>136</v>
      </c>
      <c r="CU113" t="s">
        <v>114</v>
      </c>
      <c r="CV113" t="s">
        <v>1480</v>
      </c>
      <c r="CW113" s="10" t="str">
        <f>"+15163387804"</f>
        <v>+15163387804</v>
      </c>
      <c r="CX113" t="s">
        <v>12294</v>
      </c>
      <c r="CY113" t="s">
        <v>132</v>
      </c>
      <c r="CZ113" t="s">
        <v>137</v>
      </c>
      <c r="DA113" t="s">
        <v>114</v>
      </c>
      <c r="DB113" t="s">
        <v>114</v>
      </c>
      <c r="DC113" t="s">
        <v>136</v>
      </c>
      <c r="DD113" t="s">
        <v>114</v>
      </c>
    </row>
    <row r="114" spans="1:108" ht="15" customHeight="1" x14ac:dyDescent="0.25">
      <c r="A114" t="s">
        <v>22862</v>
      </c>
      <c r="B114" t="s">
        <v>152</v>
      </c>
      <c r="C114" s="1">
        <v>45262.037742129629</v>
      </c>
      <c r="D114" s="1">
        <v>45287</v>
      </c>
      <c r="E114" t="s">
        <v>132</v>
      </c>
      <c r="F114" t="s">
        <v>22863</v>
      </c>
      <c r="G114" t="str">
        <f>"47-2022.00"</f>
        <v>47-2022.00</v>
      </c>
      <c r="H114" t="s">
        <v>311</v>
      </c>
      <c r="I114">
        <v>10</v>
      </c>
      <c r="J114">
        <v>10</v>
      </c>
      <c r="K114" s="1">
        <v>45352</v>
      </c>
      <c r="L114" s="1">
        <v>45641</v>
      </c>
      <c r="M114" s="1">
        <v>45352</v>
      </c>
      <c r="N114" s="1">
        <v>45641</v>
      </c>
      <c r="O114" t="s">
        <v>238</v>
      </c>
      <c r="P114" t="s">
        <v>13712</v>
      </c>
      <c r="R114" t="s">
        <v>13713</v>
      </c>
      <c r="T114" t="s">
        <v>2221</v>
      </c>
      <c r="U114" t="s">
        <v>903</v>
      </c>
      <c r="V114" s="8" t="str">
        <f>"03902"</f>
        <v>03902</v>
      </c>
      <c r="W114" t="s">
        <v>118</v>
      </c>
      <c r="Y114" s="10">
        <v>12073518007</v>
      </c>
      <c r="AA114">
        <v>56173</v>
      </c>
      <c r="AB114" t="s">
        <v>13714</v>
      </c>
      <c r="AC114" t="s">
        <v>2904</v>
      </c>
      <c r="AE114" t="s">
        <v>654</v>
      </c>
      <c r="AF114" t="s">
        <v>13713</v>
      </c>
      <c r="AH114" t="s">
        <v>2221</v>
      </c>
      <c r="AI114" t="s">
        <v>903</v>
      </c>
      <c r="AJ114" s="8" t="str">
        <f>"03902"</f>
        <v>03902</v>
      </c>
      <c r="AK114" t="s">
        <v>118</v>
      </c>
      <c r="AM114" s="10">
        <v>12073518007</v>
      </c>
      <c r="AO114" t="s">
        <v>132</v>
      </c>
      <c r="AP114" t="s">
        <v>248</v>
      </c>
      <c r="AQ114" t="s">
        <v>354</v>
      </c>
      <c r="AR114" t="s">
        <v>355</v>
      </c>
      <c r="AT114" t="s">
        <v>356</v>
      </c>
      <c r="AV114" t="s">
        <v>357</v>
      </c>
      <c r="AW114" t="s">
        <v>358</v>
      </c>
      <c r="AX114" s="8" t="str">
        <f>"11590"</f>
        <v>11590</v>
      </c>
      <c r="AY114" t="s">
        <v>118</v>
      </c>
      <c r="BA114" s="10">
        <v>15163307168</v>
      </c>
      <c r="BC114" t="s">
        <v>359</v>
      </c>
      <c r="BD114" t="s">
        <v>360</v>
      </c>
      <c r="BG114" t="s">
        <v>903</v>
      </c>
      <c r="BH114" s="1">
        <v>45220.833333333336</v>
      </c>
      <c r="BI114">
        <v>40</v>
      </c>
      <c r="BJ114">
        <v>0</v>
      </c>
      <c r="BK114">
        <v>8</v>
      </c>
      <c r="BL114">
        <v>8</v>
      </c>
      <c r="BM114">
        <v>8</v>
      </c>
      <c r="BN114">
        <v>8</v>
      </c>
      <c r="BO114">
        <v>8</v>
      </c>
      <c r="BP114">
        <v>0</v>
      </c>
      <c r="BQ114" t="str">
        <f>"8:00 AM"</f>
        <v>8:00 AM</v>
      </c>
      <c r="BR114" t="str">
        <f>"5:00 PM"</f>
        <v>5:00 PM</v>
      </c>
      <c r="BS114" t="s">
        <v>131</v>
      </c>
      <c r="BT114">
        <v>0</v>
      </c>
      <c r="BU114">
        <v>0</v>
      </c>
      <c r="BV114" t="s">
        <v>114</v>
      </c>
      <c r="BX114" t="s">
        <v>1789</v>
      </c>
      <c r="BY114" t="s">
        <v>13715</v>
      </c>
      <c r="CA114" t="s">
        <v>2221</v>
      </c>
      <c r="CB114" t="s">
        <v>903</v>
      </c>
      <c r="CC114" s="8" t="str">
        <f>"03902"</f>
        <v>03902</v>
      </c>
      <c r="CD114" t="s">
        <v>2222</v>
      </c>
      <c r="CE114" t="s">
        <v>2196</v>
      </c>
      <c r="CF114" s="12">
        <v>24.25</v>
      </c>
      <c r="CG114" s="12">
        <v>24.25</v>
      </c>
      <c r="CH114" s="12">
        <v>36.380000000000003</v>
      </c>
      <c r="CI114" s="12">
        <v>36.380000000000003</v>
      </c>
      <c r="CJ114" t="s">
        <v>135</v>
      </c>
      <c r="CL114" t="s">
        <v>22864</v>
      </c>
      <c r="CO114" t="s">
        <v>132</v>
      </c>
      <c r="CP114" t="s">
        <v>136</v>
      </c>
      <c r="CQ114" t="s">
        <v>136</v>
      </c>
      <c r="CR114" t="s">
        <v>136</v>
      </c>
      <c r="CS114" t="s">
        <v>114</v>
      </c>
      <c r="CT114" t="s">
        <v>136</v>
      </c>
      <c r="CU114" t="s">
        <v>136</v>
      </c>
      <c r="CV114" t="s">
        <v>22865</v>
      </c>
      <c r="CW114" s="10" t="str">
        <f>"+12073518007"</f>
        <v>+12073518007</v>
      </c>
      <c r="CX114" t="s">
        <v>13716</v>
      </c>
      <c r="CY114" t="s">
        <v>132</v>
      </c>
      <c r="CZ114" t="s">
        <v>137</v>
      </c>
      <c r="DA114" t="s">
        <v>114</v>
      </c>
      <c r="DB114" t="s">
        <v>114</v>
      </c>
      <c r="DC114" t="s">
        <v>136</v>
      </c>
      <c r="DD114" t="s">
        <v>114</v>
      </c>
    </row>
    <row r="115" spans="1:108" ht="15" customHeight="1" x14ac:dyDescent="0.25">
      <c r="A115" t="s">
        <v>22287</v>
      </c>
      <c r="B115" t="s">
        <v>152</v>
      </c>
      <c r="C115" s="1">
        <v>45262.036845601855</v>
      </c>
      <c r="D115" s="1">
        <v>45287</v>
      </c>
      <c r="E115" t="s">
        <v>132</v>
      </c>
      <c r="F115" t="s">
        <v>1961</v>
      </c>
      <c r="G115" t="str">
        <f>"37-3011.00"</f>
        <v>37-3011.00</v>
      </c>
      <c r="H115" t="s">
        <v>429</v>
      </c>
      <c r="I115">
        <v>10</v>
      </c>
      <c r="J115">
        <v>10</v>
      </c>
      <c r="K115" s="1">
        <v>45352</v>
      </c>
      <c r="L115" s="1">
        <v>45596</v>
      </c>
      <c r="M115" s="1">
        <v>45352</v>
      </c>
      <c r="N115" s="1">
        <v>45596</v>
      </c>
      <c r="O115" t="s">
        <v>238</v>
      </c>
      <c r="P115" t="s">
        <v>22288</v>
      </c>
      <c r="R115" t="s">
        <v>22289</v>
      </c>
      <c r="T115" t="s">
        <v>2591</v>
      </c>
      <c r="U115" t="s">
        <v>358</v>
      </c>
      <c r="V115" s="8" t="str">
        <f>"11968"</f>
        <v>11968</v>
      </c>
      <c r="W115" t="s">
        <v>118</v>
      </c>
      <c r="Y115" s="10">
        <v>16312831310</v>
      </c>
      <c r="AA115">
        <v>713910</v>
      </c>
      <c r="AB115" t="s">
        <v>22290</v>
      </c>
      <c r="AC115" t="s">
        <v>3609</v>
      </c>
      <c r="AE115" t="s">
        <v>1119</v>
      </c>
      <c r="AF115" t="s">
        <v>22289</v>
      </c>
      <c r="AH115" t="s">
        <v>2591</v>
      </c>
      <c r="AI115" t="s">
        <v>358</v>
      </c>
      <c r="AJ115" s="8" t="str">
        <f>"11968"</f>
        <v>11968</v>
      </c>
      <c r="AK115" t="s">
        <v>118</v>
      </c>
      <c r="AM115" s="10">
        <v>16312831310</v>
      </c>
      <c r="AO115" t="s">
        <v>132</v>
      </c>
      <c r="AP115" t="s">
        <v>248</v>
      </c>
      <c r="AQ115" t="s">
        <v>354</v>
      </c>
      <c r="AR115" t="s">
        <v>355</v>
      </c>
      <c r="AT115" t="s">
        <v>356</v>
      </c>
      <c r="AV115" t="s">
        <v>357</v>
      </c>
      <c r="AW115" t="s">
        <v>358</v>
      </c>
      <c r="AX115" s="8" t="str">
        <f>"11590"</f>
        <v>11590</v>
      </c>
      <c r="AY115" t="s">
        <v>118</v>
      </c>
      <c r="BA115" s="10">
        <v>15163307168</v>
      </c>
      <c r="BC115" t="s">
        <v>359</v>
      </c>
      <c r="BD115" t="s">
        <v>360</v>
      </c>
      <c r="BG115" t="s">
        <v>358</v>
      </c>
      <c r="BH115" s="1">
        <v>45217.833333333336</v>
      </c>
      <c r="BI115">
        <v>40</v>
      </c>
      <c r="BJ115">
        <v>8</v>
      </c>
      <c r="BK115">
        <v>0</v>
      </c>
      <c r="BL115">
        <v>8</v>
      </c>
      <c r="BM115">
        <v>0</v>
      </c>
      <c r="BN115">
        <v>8</v>
      </c>
      <c r="BO115">
        <v>8</v>
      </c>
      <c r="BP115">
        <v>8</v>
      </c>
      <c r="BQ115" t="str">
        <f>"8:00 AM"</f>
        <v>8:00 AM</v>
      </c>
      <c r="BR115" t="str">
        <f>"5:00 PM"</f>
        <v>5:00 PM</v>
      </c>
      <c r="BS115" t="s">
        <v>131</v>
      </c>
      <c r="BT115">
        <v>0</v>
      </c>
      <c r="BU115">
        <v>3</v>
      </c>
      <c r="BV115" t="s">
        <v>114</v>
      </c>
      <c r="BX115" t="s">
        <v>22291</v>
      </c>
      <c r="BY115" t="s">
        <v>22289</v>
      </c>
      <c r="CA115" t="s">
        <v>2591</v>
      </c>
      <c r="CB115" t="s">
        <v>358</v>
      </c>
      <c r="CC115" s="8" t="str">
        <f>"11968"</f>
        <v>11968</v>
      </c>
      <c r="CD115" t="s">
        <v>1752</v>
      </c>
      <c r="CE115" t="s">
        <v>1418</v>
      </c>
      <c r="CF115" s="12">
        <v>20.81</v>
      </c>
      <c r="CG115" s="12">
        <v>20.81</v>
      </c>
      <c r="CH115" s="12">
        <v>31.22</v>
      </c>
      <c r="CI115" s="12">
        <v>31.22</v>
      </c>
      <c r="CJ115" t="s">
        <v>135</v>
      </c>
      <c r="CK115" t="s">
        <v>22292</v>
      </c>
      <c r="CL115" t="s">
        <v>22293</v>
      </c>
      <c r="CO115" t="s">
        <v>132</v>
      </c>
      <c r="CP115" t="s">
        <v>114</v>
      </c>
      <c r="CQ115" t="s">
        <v>114</v>
      </c>
      <c r="CR115" t="s">
        <v>136</v>
      </c>
      <c r="CS115" t="s">
        <v>114</v>
      </c>
      <c r="CT115" t="s">
        <v>136</v>
      </c>
      <c r="CU115" t="s">
        <v>136</v>
      </c>
      <c r="CV115" t="s">
        <v>22294</v>
      </c>
      <c r="CW115" s="10" t="str">
        <f>"+16312831310"</f>
        <v>+16312831310</v>
      </c>
      <c r="CX115" t="s">
        <v>22295</v>
      </c>
      <c r="CY115" t="s">
        <v>132</v>
      </c>
      <c r="CZ115" t="s">
        <v>137</v>
      </c>
      <c r="DA115" t="s">
        <v>114</v>
      </c>
      <c r="DB115" t="s">
        <v>114</v>
      </c>
      <c r="DC115" t="s">
        <v>136</v>
      </c>
      <c r="DD115" t="s">
        <v>114</v>
      </c>
    </row>
    <row r="116" spans="1:108" ht="15" customHeight="1" x14ac:dyDescent="0.25">
      <c r="A116" t="s">
        <v>5560</v>
      </c>
      <c r="B116" t="s">
        <v>152</v>
      </c>
      <c r="C116" s="1">
        <v>45262.033649421297</v>
      </c>
      <c r="D116" s="1">
        <v>45287</v>
      </c>
      <c r="E116" t="s">
        <v>132</v>
      </c>
      <c r="F116" t="s">
        <v>2346</v>
      </c>
      <c r="G116" t="str">
        <f>"53-7062.00"</f>
        <v>53-7062.00</v>
      </c>
      <c r="H116" t="s">
        <v>2078</v>
      </c>
      <c r="I116">
        <v>15</v>
      </c>
      <c r="J116">
        <v>15</v>
      </c>
      <c r="K116" s="1">
        <v>45352</v>
      </c>
      <c r="L116" s="1">
        <v>45641</v>
      </c>
      <c r="M116" s="1">
        <v>45352</v>
      </c>
      <c r="N116" s="1">
        <v>45641</v>
      </c>
      <c r="O116" t="s">
        <v>238</v>
      </c>
      <c r="P116" t="s">
        <v>5561</v>
      </c>
      <c r="R116" t="s">
        <v>5562</v>
      </c>
      <c r="T116" t="s">
        <v>2719</v>
      </c>
      <c r="U116" t="s">
        <v>903</v>
      </c>
      <c r="V116" s="8" t="str">
        <f>"03909"</f>
        <v>03909</v>
      </c>
      <c r="W116" t="s">
        <v>118</v>
      </c>
      <c r="Y116" s="10">
        <v>12074510156</v>
      </c>
      <c r="AA116">
        <v>56173</v>
      </c>
      <c r="AB116" t="s">
        <v>5563</v>
      </c>
      <c r="AC116" t="s">
        <v>5235</v>
      </c>
      <c r="AE116" t="s">
        <v>654</v>
      </c>
      <c r="AF116" t="s">
        <v>5562</v>
      </c>
      <c r="AH116" t="s">
        <v>2719</v>
      </c>
      <c r="AI116" t="s">
        <v>903</v>
      </c>
      <c r="AJ116" s="8" t="str">
        <f>"03909"</f>
        <v>03909</v>
      </c>
      <c r="AK116" t="s">
        <v>118</v>
      </c>
      <c r="AM116" s="10">
        <v>12074510156</v>
      </c>
      <c r="AO116" t="s">
        <v>132</v>
      </c>
      <c r="AP116" t="s">
        <v>248</v>
      </c>
      <c r="AQ116" t="s">
        <v>354</v>
      </c>
      <c r="AR116" t="s">
        <v>355</v>
      </c>
      <c r="AT116" t="s">
        <v>356</v>
      </c>
      <c r="AV116" t="s">
        <v>357</v>
      </c>
      <c r="AW116" t="s">
        <v>358</v>
      </c>
      <c r="AX116" s="8" t="str">
        <f>"11590"</f>
        <v>11590</v>
      </c>
      <c r="AY116" t="s">
        <v>118</v>
      </c>
      <c r="BA116" s="10">
        <v>15163307168</v>
      </c>
      <c r="BC116" t="s">
        <v>359</v>
      </c>
      <c r="BD116" t="s">
        <v>360</v>
      </c>
      <c r="BG116" t="s">
        <v>903</v>
      </c>
      <c r="BH116" s="1">
        <v>45216.833333333336</v>
      </c>
      <c r="BI116">
        <v>40</v>
      </c>
      <c r="BJ116">
        <v>0</v>
      </c>
      <c r="BK116">
        <v>8</v>
      </c>
      <c r="BL116">
        <v>8</v>
      </c>
      <c r="BM116">
        <v>8</v>
      </c>
      <c r="BN116">
        <v>8</v>
      </c>
      <c r="BO116">
        <v>8</v>
      </c>
      <c r="BP116">
        <v>0</v>
      </c>
      <c r="BQ116" t="str">
        <f>"8:00 AM"</f>
        <v>8:00 AM</v>
      </c>
      <c r="BR116" t="str">
        <f>"5:00 PM"</f>
        <v>5:00 PM</v>
      </c>
      <c r="BS116" t="s">
        <v>131</v>
      </c>
      <c r="BT116">
        <v>0</v>
      </c>
      <c r="BU116">
        <v>0</v>
      </c>
      <c r="BV116" t="s">
        <v>114</v>
      </c>
      <c r="BX116" t="s">
        <v>1789</v>
      </c>
      <c r="BY116" t="s">
        <v>5562</v>
      </c>
      <c r="CA116" t="s">
        <v>2719</v>
      </c>
      <c r="CB116" t="s">
        <v>903</v>
      </c>
      <c r="CC116" s="8" t="str">
        <f>"03909"</f>
        <v>03909</v>
      </c>
      <c r="CD116" t="s">
        <v>2222</v>
      </c>
      <c r="CE116" t="s">
        <v>2196</v>
      </c>
      <c r="CF116" s="12">
        <v>18.71</v>
      </c>
      <c r="CG116" s="12">
        <v>23</v>
      </c>
      <c r="CH116" s="12">
        <v>28.07</v>
      </c>
      <c r="CI116" s="12">
        <v>34.5</v>
      </c>
      <c r="CJ116" t="s">
        <v>135</v>
      </c>
      <c r="CK116" t="s">
        <v>2197</v>
      </c>
      <c r="CL116" t="s">
        <v>5564</v>
      </c>
      <c r="CO116" t="s">
        <v>132</v>
      </c>
      <c r="CP116" t="s">
        <v>136</v>
      </c>
      <c r="CQ116" t="s">
        <v>136</v>
      </c>
      <c r="CR116" t="s">
        <v>136</v>
      </c>
      <c r="CS116" t="s">
        <v>114</v>
      </c>
      <c r="CT116" t="s">
        <v>136</v>
      </c>
      <c r="CU116" t="s">
        <v>136</v>
      </c>
      <c r="CV116" t="s">
        <v>5565</v>
      </c>
      <c r="CW116" s="10" t="str">
        <f>"+12074510156"</f>
        <v>+12074510156</v>
      </c>
      <c r="CX116" t="s">
        <v>132</v>
      </c>
      <c r="CY116" t="s">
        <v>5566</v>
      </c>
      <c r="CZ116" t="s">
        <v>137</v>
      </c>
      <c r="DA116" t="s">
        <v>114</v>
      </c>
      <c r="DB116" t="s">
        <v>114</v>
      </c>
      <c r="DC116" t="s">
        <v>136</v>
      </c>
      <c r="DD116" t="s">
        <v>114</v>
      </c>
    </row>
    <row r="117" spans="1:108" ht="15" customHeight="1" x14ac:dyDescent="0.25">
      <c r="A117" t="s">
        <v>5145</v>
      </c>
      <c r="B117" t="s">
        <v>152</v>
      </c>
      <c r="C117" s="1">
        <v>45262.033643518516</v>
      </c>
      <c r="D117" s="1">
        <v>45287</v>
      </c>
      <c r="E117" t="s">
        <v>132</v>
      </c>
      <c r="F117" t="s">
        <v>5146</v>
      </c>
      <c r="G117" t="str">
        <f>"45-2092.00"</f>
        <v>45-2092.00</v>
      </c>
      <c r="H117" t="s">
        <v>2007</v>
      </c>
      <c r="I117">
        <v>20</v>
      </c>
      <c r="J117">
        <v>20</v>
      </c>
      <c r="K117" s="1">
        <v>45352</v>
      </c>
      <c r="L117" s="1">
        <v>45626</v>
      </c>
      <c r="M117" s="1">
        <v>45352</v>
      </c>
      <c r="N117" s="1">
        <v>45626</v>
      </c>
      <c r="O117" t="s">
        <v>238</v>
      </c>
      <c r="P117" t="s">
        <v>5147</v>
      </c>
      <c r="R117" t="s">
        <v>5148</v>
      </c>
      <c r="T117" t="s">
        <v>5149</v>
      </c>
      <c r="U117" t="s">
        <v>358</v>
      </c>
      <c r="V117" s="8" t="str">
        <f>"11976"</f>
        <v>11976</v>
      </c>
      <c r="W117" t="s">
        <v>118</v>
      </c>
      <c r="Y117" s="10">
        <v>16317264767</v>
      </c>
      <c r="AA117">
        <v>44422</v>
      </c>
      <c r="AB117" t="s">
        <v>5150</v>
      </c>
      <c r="AC117" t="s">
        <v>1124</v>
      </c>
      <c r="AE117" t="s">
        <v>654</v>
      </c>
      <c r="AF117" t="s">
        <v>5148</v>
      </c>
      <c r="AH117" t="s">
        <v>5151</v>
      </c>
      <c r="AI117" t="s">
        <v>358</v>
      </c>
      <c r="AJ117" s="8" t="str">
        <f>"11976"</f>
        <v>11976</v>
      </c>
      <c r="AK117" t="s">
        <v>118</v>
      </c>
      <c r="AM117" s="10">
        <v>16317264767</v>
      </c>
      <c r="AO117" t="s">
        <v>132</v>
      </c>
      <c r="AP117" t="s">
        <v>248</v>
      </c>
      <c r="AQ117" t="s">
        <v>354</v>
      </c>
      <c r="AR117" t="s">
        <v>355</v>
      </c>
      <c r="AT117" t="s">
        <v>356</v>
      </c>
      <c r="AV117" t="s">
        <v>357</v>
      </c>
      <c r="AW117" t="s">
        <v>358</v>
      </c>
      <c r="AX117" s="8" t="str">
        <f>"11590"</f>
        <v>11590</v>
      </c>
      <c r="AY117" t="s">
        <v>118</v>
      </c>
      <c r="BA117" s="10">
        <v>15163307168</v>
      </c>
      <c r="BC117" t="s">
        <v>359</v>
      </c>
      <c r="BD117" t="s">
        <v>360</v>
      </c>
      <c r="BG117" t="s">
        <v>358</v>
      </c>
      <c r="BH117" s="1">
        <v>45223.833333333336</v>
      </c>
      <c r="BI117">
        <v>40</v>
      </c>
      <c r="BJ117">
        <v>0</v>
      </c>
      <c r="BK117">
        <v>8</v>
      </c>
      <c r="BL117">
        <v>8</v>
      </c>
      <c r="BM117">
        <v>0</v>
      </c>
      <c r="BN117">
        <v>8</v>
      </c>
      <c r="BO117">
        <v>8</v>
      </c>
      <c r="BP117">
        <v>8</v>
      </c>
      <c r="BQ117" t="str">
        <f>"8:00 AM"</f>
        <v>8:00 AM</v>
      </c>
      <c r="BR117" t="str">
        <f>"5:00 PM"</f>
        <v>5:00 PM</v>
      </c>
      <c r="BS117" t="s">
        <v>131</v>
      </c>
      <c r="BT117">
        <v>0</v>
      </c>
      <c r="BU117">
        <v>0</v>
      </c>
      <c r="BV117" t="s">
        <v>114</v>
      </c>
      <c r="BX117" t="s">
        <v>132</v>
      </c>
      <c r="BY117" t="s">
        <v>5148</v>
      </c>
      <c r="CA117" t="s">
        <v>5151</v>
      </c>
      <c r="CB117" t="s">
        <v>358</v>
      </c>
      <c r="CC117" s="8" t="str">
        <f>"11976"</f>
        <v>11976</v>
      </c>
      <c r="CD117" t="s">
        <v>1752</v>
      </c>
      <c r="CE117" t="s">
        <v>1418</v>
      </c>
      <c r="CF117" s="12">
        <v>18.670000000000002</v>
      </c>
      <c r="CG117" s="12">
        <v>18.670000000000002</v>
      </c>
      <c r="CH117" s="12">
        <v>28.01</v>
      </c>
      <c r="CI117" s="12">
        <v>28.01</v>
      </c>
      <c r="CJ117" t="s">
        <v>135</v>
      </c>
      <c r="CK117" t="s">
        <v>132</v>
      </c>
      <c r="CL117" t="s">
        <v>5152</v>
      </c>
      <c r="CO117" t="s">
        <v>132</v>
      </c>
      <c r="CP117" t="s">
        <v>114</v>
      </c>
      <c r="CQ117" t="s">
        <v>114</v>
      </c>
      <c r="CR117" t="s">
        <v>136</v>
      </c>
      <c r="CS117" t="s">
        <v>114</v>
      </c>
      <c r="CT117" t="s">
        <v>136</v>
      </c>
      <c r="CU117" t="s">
        <v>114</v>
      </c>
      <c r="CV117" t="s">
        <v>1480</v>
      </c>
      <c r="CW117" s="10" t="str">
        <f>"+16317264767"</f>
        <v>+16317264767</v>
      </c>
      <c r="CX117" t="s">
        <v>5153</v>
      </c>
      <c r="CY117" t="s">
        <v>132</v>
      </c>
      <c r="CZ117" t="s">
        <v>137</v>
      </c>
      <c r="DA117" t="s">
        <v>114</v>
      </c>
      <c r="DB117" t="s">
        <v>114</v>
      </c>
      <c r="DC117" t="s">
        <v>136</v>
      </c>
      <c r="DD117" t="s">
        <v>114</v>
      </c>
    </row>
    <row r="118" spans="1:108" ht="15" customHeight="1" x14ac:dyDescent="0.25">
      <c r="A118" t="s">
        <v>18896</v>
      </c>
      <c r="B118" t="s">
        <v>152</v>
      </c>
      <c r="C118" s="1">
        <v>45262.033306712961</v>
      </c>
      <c r="D118" s="1">
        <v>45287</v>
      </c>
      <c r="E118" t="s">
        <v>132</v>
      </c>
      <c r="F118" t="s">
        <v>1961</v>
      </c>
      <c r="G118" t="str">
        <f>"37-3011.00"</f>
        <v>37-3011.00</v>
      </c>
      <c r="H118" t="s">
        <v>429</v>
      </c>
      <c r="I118">
        <v>20</v>
      </c>
      <c r="J118">
        <v>20</v>
      </c>
      <c r="K118" s="1">
        <v>45352</v>
      </c>
      <c r="L118" s="1">
        <v>45636</v>
      </c>
      <c r="M118" s="1">
        <v>45352</v>
      </c>
      <c r="N118" s="1">
        <v>45636</v>
      </c>
      <c r="O118" t="s">
        <v>238</v>
      </c>
      <c r="P118" t="s">
        <v>5147</v>
      </c>
      <c r="R118" t="s">
        <v>5148</v>
      </c>
      <c r="T118" t="s">
        <v>5149</v>
      </c>
      <c r="U118" t="s">
        <v>358</v>
      </c>
      <c r="V118" s="8" t="str">
        <f>"11976"</f>
        <v>11976</v>
      </c>
      <c r="W118" t="s">
        <v>118</v>
      </c>
      <c r="Y118" s="10">
        <v>16317264767</v>
      </c>
      <c r="AA118">
        <v>56173</v>
      </c>
      <c r="AB118" t="s">
        <v>5150</v>
      </c>
      <c r="AC118" t="s">
        <v>1124</v>
      </c>
      <c r="AE118" t="s">
        <v>654</v>
      </c>
      <c r="AF118" t="s">
        <v>5148</v>
      </c>
      <c r="AH118" t="s">
        <v>5151</v>
      </c>
      <c r="AI118" t="s">
        <v>358</v>
      </c>
      <c r="AJ118" s="8" t="str">
        <f>"11976"</f>
        <v>11976</v>
      </c>
      <c r="AK118" t="s">
        <v>118</v>
      </c>
      <c r="AM118" s="10">
        <v>16317264767</v>
      </c>
      <c r="AO118" t="s">
        <v>132</v>
      </c>
      <c r="AP118" t="s">
        <v>248</v>
      </c>
      <c r="AQ118" t="s">
        <v>354</v>
      </c>
      <c r="AR118" t="s">
        <v>355</v>
      </c>
      <c r="AT118" t="s">
        <v>356</v>
      </c>
      <c r="AV118" t="s">
        <v>357</v>
      </c>
      <c r="AW118" t="s">
        <v>358</v>
      </c>
      <c r="AX118" s="8" t="str">
        <f>"11590"</f>
        <v>11590</v>
      </c>
      <c r="AY118" t="s">
        <v>118</v>
      </c>
      <c r="BA118" s="10">
        <v>15163307168</v>
      </c>
      <c r="BC118" t="s">
        <v>359</v>
      </c>
      <c r="BD118" t="s">
        <v>360</v>
      </c>
      <c r="BG118" t="s">
        <v>358</v>
      </c>
      <c r="BH118" s="1">
        <v>45223.833333333336</v>
      </c>
      <c r="BI118">
        <v>40</v>
      </c>
      <c r="BJ118">
        <v>0</v>
      </c>
      <c r="BK118">
        <v>8</v>
      </c>
      <c r="BL118">
        <v>8</v>
      </c>
      <c r="BM118">
        <v>8</v>
      </c>
      <c r="BN118">
        <v>8</v>
      </c>
      <c r="BO118">
        <v>8</v>
      </c>
      <c r="BP118">
        <v>0</v>
      </c>
      <c r="BQ118" t="str">
        <f>"8:00 AM"</f>
        <v>8:00 AM</v>
      </c>
      <c r="BR118" t="str">
        <f>"5:00 PM"</f>
        <v>5:00 PM</v>
      </c>
      <c r="BS118" t="s">
        <v>131</v>
      </c>
      <c r="BT118">
        <v>0</v>
      </c>
      <c r="BU118">
        <v>0</v>
      </c>
      <c r="BV118" t="s">
        <v>114</v>
      </c>
      <c r="BX118" t="s">
        <v>132</v>
      </c>
      <c r="BY118" t="s">
        <v>5148</v>
      </c>
      <c r="CA118" t="s">
        <v>5151</v>
      </c>
      <c r="CB118" t="s">
        <v>358</v>
      </c>
      <c r="CC118" s="8" t="str">
        <f>"11976"</f>
        <v>11976</v>
      </c>
      <c r="CD118" t="s">
        <v>1752</v>
      </c>
      <c r="CE118" t="s">
        <v>1418</v>
      </c>
      <c r="CF118" s="12">
        <v>20.81</v>
      </c>
      <c r="CG118" s="12">
        <v>20.81</v>
      </c>
      <c r="CH118" s="12">
        <v>31.22</v>
      </c>
      <c r="CI118" s="12">
        <v>31.22</v>
      </c>
      <c r="CJ118" t="s">
        <v>135</v>
      </c>
      <c r="CK118" t="s">
        <v>132</v>
      </c>
      <c r="CL118" t="s">
        <v>18897</v>
      </c>
      <c r="CO118" t="s">
        <v>132</v>
      </c>
      <c r="CP118" t="s">
        <v>136</v>
      </c>
      <c r="CQ118" t="s">
        <v>136</v>
      </c>
      <c r="CR118" t="s">
        <v>136</v>
      </c>
      <c r="CS118" t="s">
        <v>114</v>
      </c>
      <c r="CT118" t="s">
        <v>136</v>
      </c>
      <c r="CU118" t="s">
        <v>114</v>
      </c>
      <c r="CV118" t="s">
        <v>1480</v>
      </c>
      <c r="CW118" s="10" t="str">
        <f>"+16317264767"</f>
        <v>+16317264767</v>
      </c>
      <c r="CX118" t="s">
        <v>5153</v>
      </c>
      <c r="CY118" t="s">
        <v>132</v>
      </c>
      <c r="CZ118" t="s">
        <v>137</v>
      </c>
      <c r="DA118" t="s">
        <v>114</v>
      </c>
      <c r="DB118" t="s">
        <v>114</v>
      </c>
      <c r="DC118" t="s">
        <v>136</v>
      </c>
      <c r="DD118" t="s">
        <v>114</v>
      </c>
    </row>
    <row r="119" spans="1:108" ht="15" customHeight="1" x14ac:dyDescent="0.25">
      <c r="A119" t="s">
        <v>17629</v>
      </c>
      <c r="B119" t="s">
        <v>152</v>
      </c>
      <c r="C119" s="1">
        <v>45262.030668171297</v>
      </c>
      <c r="D119" s="1">
        <v>45287</v>
      </c>
      <c r="E119" t="s">
        <v>132</v>
      </c>
      <c r="F119" t="s">
        <v>9455</v>
      </c>
      <c r="G119" t="str">
        <f>"37-3011.00"</f>
        <v>37-3011.00</v>
      </c>
      <c r="H119" t="s">
        <v>429</v>
      </c>
      <c r="I119">
        <v>2</v>
      </c>
      <c r="J119">
        <v>2</v>
      </c>
      <c r="K119" s="1">
        <v>45352</v>
      </c>
      <c r="L119" s="1">
        <v>45626</v>
      </c>
      <c r="M119" s="1">
        <v>45352</v>
      </c>
      <c r="N119" s="1">
        <v>45626</v>
      </c>
      <c r="O119" t="s">
        <v>238</v>
      </c>
      <c r="P119" t="s">
        <v>17630</v>
      </c>
      <c r="R119" t="s">
        <v>17631</v>
      </c>
      <c r="T119" t="s">
        <v>7837</v>
      </c>
      <c r="U119" t="s">
        <v>358</v>
      </c>
      <c r="V119" s="8" t="str">
        <f>"12845"</f>
        <v>12845</v>
      </c>
      <c r="W119" t="s">
        <v>118</v>
      </c>
      <c r="Y119" s="10">
        <v>15186685478</v>
      </c>
      <c r="AA119">
        <v>72111</v>
      </c>
      <c r="AB119" t="s">
        <v>17632</v>
      </c>
      <c r="AC119" t="s">
        <v>17633</v>
      </c>
      <c r="AE119" t="s">
        <v>5143</v>
      </c>
      <c r="AF119" t="s">
        <v>17631</v>
      </c>
      <c r="AH119" t="s">
        <v>7837</v>
      </c>
      <c r="AI119" t="s">
        <v>358</v>
      </c>
      <c r="AJ119" s="8" t="str">
        <f>"12845"</f>
        <v>12845</v>
      </c>
      <c r="AK119" t="s">
        <v>118</v>
      </c>
      <c r="AM119" s="10">
        <v>15186685478</v>
      </c>
      <c r="AO119" t="s">
        <v>132</v>
      </c>
      <c r="AP119" t="s">
        <v>248</v>
      </c>
      <c r="AQ119" t="s">
        <v>354</v>
      </c>
      <c r="AR119" t="s">
        <v>355</v>
      </c>
      <c r="AT119" t="s">
        <v>356</v>
      </c>
      <c r="AV119" t="s">
        <v>357</v>
      </c>
      <c r="AW119" t="s">
        <v>358</v>
      </c>
      <c r="AX119" s="8" t="str">
        <f>"11590"</f>
        <v>11590</v>
      </c>
      <c r="AY119" t="s">
        <v>118</v>
      </c>
      <c r="BA119" s="10">
        <v>15163307168</v>
      </c>
      <c r="BC119" t="s">
        <v>359</v>
      </c>
      <c r="BD119" t="s">
        <v>360</v>
      </c>
      <c r="BG119" t="s">
        <v>358</v>
      </c>
      <c r="BH119" s="1">
        <v>45215.833333333336</v>
      </c>
      <c r="BI119">
        <v>40</v>
      </c>
      <c r="BJ119">
        <v>0</v>
      </c>
      <c r="BK119">
        <v>8</v>
      </c>
      <c r="BL119">
        <v>8</v>
      </c>
      <c r="BM119">
        <v>8</v>
      </c>
      <c r="BN119">
        <v>8</v>
      </c>
      <c r="BO119">
        <v>8</v>
      </c>
      <c r="BP119">
        <v>0</v>
      </c>
      <c r="BQ119" t="str">
        <f>"7:30 AM"</f>
        <v>7:30 AM</v>
      </c>
      <c r="BR119" t="str">
        <f>"4:30 PM"</f>
        <v>4:30 PM</v>
      </c>
      <c r="BS119" t="s">
        <v>131</v>
      </c>
      <c r="BT119">
        <v>0</v>
      </c>
      <c r="BU119">
        <v>0</v>
      </c>
      <c r="BV119" t="s">
        <v>114</v>
      </c>
      <c r="BX119" t="s">
        <v>132</v>
      </c>
      <c r="BY119" t="s">
        <v>17631</v>
      </c>
      <c r="CA119" t="s">
        <v>7837</v>
      </c>
      <c r="CB119" t="s">
        <v>358</v>
      </c>
      <c r="CC119" s="8" t="str">
        <f>"12845"</f>
        <v>12845</v>
      </c>
      <c r="CD119" t="s">
        <v>1017</v>
      </c>
      <c r="CE119" t="s">
        <v>3626</v>
      </c>
      <c r="CF119" s="12">
        <v>17.989999999999998</v>
      </c>
      <c r="CG119" s="12">
        <v>17.989999999999998</v>
      </c>
      <c r="CH119" s="12">
        <v>26.99</v>
      </c>
      <c r="CI119" s="12">
        <v>26.99</v>
      </c>
      <c r="CJ119" t="s">
        <v>135</v>
      </c>
      <c r="CK119" t="s">
        <v>132</v>
      </c>
      <c r="CL119" t="s">
        <v>17634</v>
      </c>
      <c r="CO119" t="s">
        <v>132</v>
      </c>
      <c r="CP119" t="s">
        <v>114</v>
      </c>
      <c r="CQ119" t="s">
        <v>114</v>
      </c>
      <c r="CR119" t="s">
        <v>136</v>
      </c>
      <c r="CS119" t="s">
        <v>114</v>
      </c>
      <c r="CT119" t="s">
        <v>136</v>
      </c>
      <c r="CU119" t="s">
        <v>114</v>
      </c>
      <c r="CV119" t="s">
        <v>1480</v>
      </c>
      <c r="CW119" s="10" t="str">
        <f>"+15186685478"</f>
        <v>+15186685478</v>
      </c>
      <c r="CX119" t="s">
        <v>17635</v>
      </c>
      <c r="CY119" t="s">
        <v>132</v>
      </c>
      <c r="CZ119" t="s">
        <v>137</v>
      </c>
      <c r="DA119" t="s">
        <v>114</v>
      </c>
      <c r="DB119" t="s">
        <v>114</v>
      </c>
      <c r="DC119" t="s">
        <v>136</v>
      </c>
      <c r="DD119" t="s">
        <v>114</v>
      </c>
    </row>
    <row r="120" spans="1:108" ht="15" customHeight="1" x14ac:dyDescent="0.25">
      <c r="A120" t="s">
        <v>18833</v>
      </c>
      <c r="B120" t="s">
        <v>152</v>
      </c>
      <c r="C120" s="1">
        <v>45262.028685185185</v>
      </c>
      <c r="D120" s="1">
        <v>45287</v>
      </c>
      <c r="E120" t="s">
        <v>132</v>
      </c>
      <c r="F120" t="s">
        <v>1961</v>
      </c>
      <c r="G120" t="str">
        <f>"37-3011.00"</f>
        <v>37-3011.00</v>
      </c>
      <c r="H120" t="s">
        <v>429</v>
      </c>
      <c r="I120">
        <v>8</v>
      </c>
      <c r="J120">
        <v>8</v>
      </c>
      <c r="K120" s="1">
        <v>45352</v>
      </c>
      <c r="L120" s="1">
        <v>45641</v>
      </c>
      <c r="M120" s="1">
        <v>45352</v>
      </c>
      <c r="N120" s="1">
        <v>45641</v>
      </c>
      <c r="O120" t="s">
        <v>238</v>
      </c>
      <c r="P120" t="s">
        <v>18834</v>
      </c>
      <c r="R120" t="s">
        <v>18835</v>
      </c>
      <c r="T120" t="s">
        <v>2591</v>
      </c>
      <c r="U120" t="s">
        <v>358</v>
      </c>
      <c r="V120" s="8" t="str">
        <f>"11968"</f>
        <v>11968</v>
      </c>
      <c r="W120" t="s">
        <v>118</v>
      </c>
      <c r="Y120" s="10">
        <v>16312041013</v>
      </c>
      <c r="AA120">
        <v>56173</v>
      </c>
      <c r="AB120" t="s">
        <v>18836</v>
      </c>
      <c r="AC120" t="s">
        <v>481</v>
      </c>
      <c r="AE120" t="s">
        <v>654</v>
      </c>
      <c r="AF120" t="s">
        <v>18835</v>
      </c>
      <c r="AH120" t="s">
        <v>2591</v>
      </c>
      <c r="AI120" t="s">
        <v>358</v>
      </c>
      <c r="AJ120" s="8" t="str">
        <f>"11968"</f>
        <v>11968</v>
      </c>
      <c r="AK120" t="s">
        <v>118</v>
      </c>
      <c r="AM120" s="10">
        <v>16312041013</v>
      </c>
      <c r="AO120" t="s">
        <v>132</v>
      </c>
      <c r="AP120" t="s">
        <v>248</v>
      </c>
      <c r="AQ120" t="s">
        <v>354</v>
      </c>
      <c r="AR120" t="s">
        <v>355</v>
      </c>
      <c r="AT120" t="s">
        <v>356</v>
      </c>
      <c r="AV120" t="s">
        <v>357</v>
      </c>
      <c r="AW120" t="s">
        <v>358</v>
      </c>
      <c r="AX120" s="8" t="str">
        <f>"11590"</f>
        <v>11590</v>
      </c>
      <c r="AY120" t="s">
        <v>118</v>
      </c>
      <c r="BA120" s="10">
        <v>15163307168</v>
      </c>
      <c r="BC120" t="s">
        <v>359</v>
      </c>
      <c r="BD120" t="s">
        <v>360</v>
      </c>
      <c r="BG120" t="s">
        <v>358</v>
      </c>
      <c r="BH120" s="1">
        <v>45215.833333333336</v>
      </c>
      <c r="BI120">
        <v>40</v>
      </c>
      <c r="BJ120">
        <v>0</v>
      </c>
      <c r="BK120">
        <v>8</v>
      </c>
      <c r="BL120">
        <v>8</v>
      </c>
      <c r="BM120">
        <v>8</v>
      </c>
      <c r="BN120">
        <v>8</v>
      </c>
      <c r="BO120">
        <v>8</v>
      </c>
      <c r="BP120">
        <v>0</v>
      </c>
      <c r="BQ120" t="str">
        <f>"8:00 AM"</f>
        <v>8:00 AM</v>
      </c>
      <c r="BR120" t="str">
        <f>"5:00 PM"</f>
        <v>5:00 PM</v>
      </c>
      <c r="BS120" t="s">
        <v>131</v>
      </c>
      <c r="BT120">
        <v>0</v>
      </c>
      <c r="BU120">
        <v>0</v>
      </c>
      <c r="BV120" t="s">
        <v>114</v>
      </c>
      <c r="BX120" t="s">
        <v>132</v>
      </c>
      <c r="BY120" t="s">
        <v>18837</v>
      </c>
      <c r="CA120" t="s">
        <v>2591</v>
      </c>
      <c r="CB120" t="s">
        <v>358</v>
      </c>
      <c r="CC120" s="8" t="str">
        <f>"11968"</f>
        <v>11968</v>
      </c>
      <c r="CD120" t="s">
        <v>1752</v>
      </c>
      <c r="CE120" t="s">
        <v>1418</v>
      </c>
      <c r="CF120" s="12">
        <v>20.81</v>
      </c>
      <c r="CG120" s="12">
        <v>20.81</v>
      </c>
      <c r="CH120" s="12">
        <v>31.22</v>
      </c>
      <c r="CI120" s="12">
        <v>31.22</v>
      </c>
      <c r="CJ120" t="s">
        <v>135</v>
      </c>
      <c r="CK120" t="s">
        <v>132</v>
      </c>
      <c r="CL120" t="s">
        <v>18838</v>
      </c>
      <c r="CO120" t="s">
        <v>132</v>
      </c>
      <c r="CP120" t="s">
        <v>136</v>
      </c>
      <c r="CQ120" t="s">
        <v>136</v>
      </c>
      <c r="CR120" t="s">
        <v>136</v>
      </c>
      <c r="CS120" t="s">
        <v>114</v>
      </c>
      <c r="CT120" t="s">
        <v>136</v>
      </c>
      <c r="CU120" t="s">
        <v>114</v>
      </c>
      <c r="CV120" t="s">
        <v>1480</v>
      </c>
      <c r="CW120" s="10" t="str">
        <f>"+16312041013"</f>
        <v>+16312041013</v>
      </c>
      <c r="CX120" t="s">
        <v>18839</v>
      </c>
      <c r="CY120" t="s">
        <v>132</v>
      </c>
      <c r="CZ120" t="s">
        <v>137</v>
      </c>
      <c r="DA120" t="s">
        <v>114</v>
      </c>
      <c r="DB120" t="s">
        <v>114</v>
      </c>
      <c r="DC120" t="s">
        <v>136</v>
      </c>
      <c r="DD120" t="s">
        <v>114</v>
      </c>
    </row>
    <row r="121" spans="1:108" ht="15" customHeight="1" x14ac:dyDescent="0.25">
      <c r="A121" t="s">
        <v>16526</v>
      </c>
      <c r="B121" t="s">
        <v>152</v>
      </c>
      <c r="C121" s="1">
        <v>45262.028401851851</v>
      </c>
      <c r="D121" s="1">
        <v>45287</v>
      </c>
      <c r="E121" t="s">
        <v>132</v>
      </c>
      <c r="F121" t="s">
        <v>1961</v>
      </c>
      <c r="G121" t="str">
        <f>"37-3011.00"</f>
        <v>37-3011.00</v>
      </c>
      <c r="H121" t="s">
        <v>429</v>
      </c>
      <c r="I121">
        <v>3</v>
      </c>
      <c r="J121">
        <v>3</v>
      </c>
      <c r="K121" s="1">
        <v>45352</v>
      </c>
      <c r="L121" s="1">
        <v>45646</v>
      </c>
      <c r="M121" s="1">
        <v>45352</v>
      </c>
      <c r="N121" s="1">
        <v>45646</v>
      </c>
      <c r="O121" t="s">
        <v>238</v>
      </c>
      <c r="P121" t="s">
        <v>16527</v>
      </c>
      <c r="R121" t="s">
        <v>16528</v>
      </c>
      <c r="T121" t="s">
        <v>12661</v>
      </c>
      <c r="U121" t="s">
        <v>358</v>
      </c>
      <c r="V121" s="8" t="str">
        <f>"11954"</f>
        <v>11954</v>
      </c>
      <c r="W121" t="s">
        <v>118</v>
      </c>
      <c r="Y121" s="10">
        <v>16316684224</v>
      </c>
      <c r="AA121">
        <v>56173</v>
      </c>
      <c r="AB121" t="s">
        <v>16529</v>
      </c>
      <c r="AC121" t="s">
        <v>9454</v>
      </c>
      <c r="AE121" t="s">
        <v>654</v>
      </c>
      <c r="AF121" t="s">
        <v>16528</v>
      </c>
      <c r="AH121" t="s">
        <v>12661</v>
      </c>
      <c r="AI121" t="s">
        <v>358</v>
      </c>
      <c r="AJ121" s="8" t="str">
        <f>"11954"</f>
        <v>11954</v>
      </c>
      <c r="AK121" t="s">
        <v>118</v>
      </c>
      <c r="AM121" s="10">
        <v>16316684224</v>
      </c>
      <c r="AO121" t="s">
        <v>132</v>
      </c>
      <c r="AP121" t="s">
        <v>248</v>
      </c>
      <c r="AQ121" t="s">
        <v>354</v>
      </c>
      <c r="AR121" t="s">
        <v>355</v>
      </c>
      <c r="AT121" t="s">
        <v>356</v>
      </c>
      <c r="AV121" t="s">
        <v>357</v>
      </c>
      <c r="AW121" t="s">
        <v>358</v>
      </c>
      <c r="AX121" s="8" t="str">
        <f>"11590"</f>
        <v>11590</v>
      </c>
      <c r="AY121" t="s">
        <v>118</v>
      </c>
      <c r="BA121" s="10">
        <v>15163307168</v>
      </c>
      <c r="BC121" t="s">
        <v>359</v>
      </c>
      <c r="BD121" t="s">
        <v>360</v>
      </c>
      <c r="BG121" t="s">
        <v>358</v>
      </c>
      <c r="BH121" s="1">
        <v>45215.833333333336</v>
      </c>
      <c r="BI121">
        <v>40</v>
      </c>
      <c r="BJ121">
        <v>0</v>
      </c>
      <c r="BK121">
        <v>8</v>
      </c>
      <c r="BL121">
        <v>8</v>
      </c>
      <c r="BM121">
        <v>8</v>
      </c>
      <c r="BN121">
        <v>8</v>
      </c>
      <c r="BO121">
        <v>8</v>
      </c>
      <c r="BP121">
        <v>0</v>
      </c>
      <c r="BQ121" t="str">
        <f>"8:00 AM"</f>
        <v>8:00 AM</v>
      </c>
      <c r="BR121" t="str">
        <f>"5:00 PM"</f>
        <v>5:00 PM</v>
      </c>
      <c r="BS121" t="s">
        <v>131</v>
      </c>
      <c r="BT121">
        <v>0</v>
      </c>
      <c r="BU121">
        <v>0</v>
      </c>
      <c r="BV121" t="s">
        <v>114</v>
      </c>
      <c r="BX121" t="s">
        <v>132</v>
      </c>
      <c r="BY121" t="s">
        <v>16528</v>
      </c>
      <c r="CA121" t="s">
        <v>12661</v>
      </c>
      <c r="CB121" t="s">
        <v>358</v>
      </c>
      <c r="CC121" s="8" t="str">
        <f>"11954"</f>
        <v>11954</v>
      </c>
      <c r="CD121" t="s">
        <v>1752</v>
      </c>
      <c r="CE121" t="s">
        <v>1418</v>
      </c>
      <c r="CF121" s="12">
        <v>20.81</v>
      </c>
      <c r="CG121" s="12">
        <v>20.81</v>
      </c>
      <c r="CH121" s="12">
        <v>31.22</v>
      </c>
      <c r="CI121" s="12">
        <v>31.22</v>
      </c>
      <c r="CJ121" t="s">
        <v>135</v>
      </c>
      <c r="CK121" t="s">
        <v>132</v>
      </c>
      <c r="CL121" t="s">
        <v>16530</v>
      </c>
      <c r="CO121" t="s">
        <v>132</v>
      </c>
      <c r="CP121" t="s">
        <v>136</v>
      </c>
      <c r="CQ121" t="s">
        <v>136</v>
      </c>
      <c r="CR121" t="s">
        <v>136</v>
      </c>
      <c r="CS121" t="s">
        <v>114</v>
      </c>
      <c r="CT121" t="s">
        <v>136</v>
      </c>
      <c r="CU121" t="s">
        <v>114</v>
      </c>
      <c r="CV121" t="s">
        <v>1480</v>
      </c>
      <c r="CW121" s="10" t="str">
        <f>"+16316684224"</f>
        <v>+16316684224</v>
      </c>
      <c r="CX121" t="s">
        <v>16531</v>
      </c>
      <c r="CY121" t="s">
        <v>132</v>
      </c>
      <c r="CZ121" t="s">
        <v>137</v>
      </c>
      <c r="DA121" t="s">
        <v>114</v>
      </c>
      <c r="DB121" t="s">
        <v>114</v>
      </c>
      <c r="DC121" t="s">
        <v>136</v>
      </c>
      <c r="DD121" t="s">
        <v>114</v>
      </c>
    </row>
    <row r="122" spans="1:108" ht="15" customHeight="1" x14ac:dyDescent="0.25">
      <c r="A122" t="s">
        <v>15178</v>
      </c>
      <c r="B122" t="s">
        <v>152</v>
      </c>
      <c r="C122" s="1">
        <v>45262.02792291667</v>
      </c>
      <c r="D122" s="1">
        <v>45287</v>
      </c>
      <c r="E122" t="s">
        <v>132</v>
      </c>
      <c r="F122" t="s">
        <v>1961</v>
      </c>
      <c r="G122" t="str">
        <f>"37-3011.00"</f>
        <v>37-3011.00</v>
      </c>
      <c r="H122" t="s">
        <v>429</v>
      </c>
      <c r="I122">
        <v>4</v>
      </c>
      <c r="J122">
        <v>4</v>
      </c>
      <c r="K122" s="1">
        <v>45352</v>
      </c>
      <c r="L122" s="1">
        <v>45641</v>
      </c>
      <c r="M122" s="1">
        <v>45352</v>
      </c>
      <c r="N122" s="1">
        <v>45641</v>
      </c>
      <c r="O122" t="s">
        <v>238</v>
      </c>
      <c r="P122" t="s">
        <v>15179</v>
      </c>
      <c r="R122" t="s">
        <v>15180</v>
      </c>
      <c r="T122" t="s">
        <v>8170</v>
      </c>
      <c r="U122" t="s">
        <v>358</v>
      </c>
      <c r="V122" s="8" t="str">
        <f>"11952"</f>
        <v>11952</v>
      </c>
      <c r="W122" t="s">
        <v>118</v>
      </c>
      <c r="Y122" s="10">
        <v>16312986571</v>
      </c>
      <c r="AA122">
        <v>56173</v>
      </c>
      <c r="AB122" t="s">
        <v>8074</v>
      </c>
      <c r="AC122" t="s">
        <v>4883</v>
      </c>
      <c r="AE122" t="s">
        <v>654</v>
      </c>
      <c r="AF122" t="s">
        <v>15180</v>
      </c>
      <c r="AH122" t="s">
        <v>8170</v>
      </c>
      <c r="AI122" t="s">
        <v>358</v>
      </c>
      <c r="AJ122" s="8" t="str">
        <f>"11952"</f>
        <v>11952</v>
      </c>
      <c r="AK122" t="s">
        <v>118</v>
      </c>
      <c r="AM122" s="10">
        <v>16312986571</v>
      </c>
      <c r="AO122" t="s">
        <v>132</v>
      </c>
      <c r="AP122" t="s">
        <v>248</v>
      </c>
      <c r="AQ122" t="s">
        <v>354</v>
      </c>
      <c r="AR122" t="s">
        <v>355</v>
      </c>
      <c r="AT122" t="s">
        <v>356</v>
      </c>
      <c r="AV122" t="s">
        <v>357</v>
      </c>
      <c r="AW122" t="s">
        <v>358</v>
      </c>
      <c r="AX122" s="8" t="str">
        <f>"11590"</f>
        <v>11590</v>
      </c>
      <c r="AY122" t="s">
        <v>118</v>
      </c>
      <c r="BA122" s="10">
        <v>15163307168</v>
      </c>
      <c r="BC122" t="s">
        <v>359</v>
      </c>
      <c r="BD122" t="s">
        <v>360</v>
      </c>
      <c r="BG122" t="s">
        <v>358</v>
      </c>
      <c r="BH122" s="1">
        <v>45214.833333333336</v>
      </c>
      <c r="BI122">
        <v>40</v>
      </c>
      <c r="BJ122">
        <v>0</v>
      </c>
      <c r="BK122">
        <v>8</v>
      </c>
      <c r="BL122">
        <v>8</v>
      </c>
      <c r="BM122">
        <v>8</v>
      </c>
      <c r="BN122">
        <v>8</v>
      </c>
      <c r="BO122">
        <v>8</v>
      </c>
      <c r="BP122">
        <v>0</v>
      </c>
      <c r="BQ122" t="str">
        <f>"8:00 AM"</f>
        <v>8:00 AM</v>
      </c>
      <c r="BR122" t="str">
        <f>"5:00 PM"</f>
        <v>5:00 PM</v>
      </c>
      <c r="BS122" t="s">
        <v>131</v>
      </c>
      <c r="BT122">
        <v>0</v>
      </c>
      <c r="BU122">
        <v>0</v>
      </c>
      <c r="BV122" t="s">
        <v>114</v>
      </c>
      <c r="BX122" t="s">
        <v>132</v>
      </c>
      <c r="BY122" t="s">
        <v>15181</v>
      </c>
      <c r="CA122" t="s">
        <v>8170</v>
      </c>
      <c r="CB122" t="s">
        <v>358</v>
      </c>
      <c r="CC122" s="8" t="str">
        <f>"11952"</f>
        <v>11952</v>
      </c>
      <c r="CD122" t="s">
        <v>1752</v>
      </c>
      <c r="CE122" t="s">
        <v>1418</v>
      </c>
      <c r="CF122" s="12">
        <v>20.81</v>
      </c>
      <c r="CG122" s="12">
        <v>20.81</v>
      </c>
      <c r="CH122" s="12">
        <v>31.22</v>
      </c>
      <c r="CI122" s="12">
        <v>31.22</v>
      </c>
      <c r="CJ122" t="s">
        <v>135</v>
      </c>
      <c r="CK122" t="s">
        <v>132</v>
      </c>
      <c r="CL122" t="s">
        <v>15182</v>
      </c>
      <c r="CO122" t="s">
        <v>132</v>
      </c>
      <c r="CP122" t="s">
        <v>136</v>
      </c>
      <c r="CQ122" t="s">
        <v>136</v>
      </c>
      <c r="CR122" t="s">
        <v>136</v>
      </c>
      <c r="CS122" t="s">
        <v>114</v>
      </c>
      <c r="CT122" t="s">
        <v>136</v>
      </c>
      <c r="CU122" t="s">
        <v>114</v>
      </c>
      <c r="CV122" t="s">
        <v>1480</v>
      </c>
      <c r="CW122" s="10" t="str">
        <f>"+16312986571"</f>
        <v>+16312986571</v>
      </c>
      <c r="CX122" t="s">
        <v>15183</v>
      </c>
      <c r="CY122" t="s">
        <v>132</v>
      </c>
      <c r="CZ122" t="s">
        <v>137</v>
      </c>
      <c r="DA122" t="s">
        <v>114</v>
      </c>
      <c r="DB122" t="s">
        <v>114</v>
      </c>
      <c r="DC122" t="s">
        <v>136</v>
      </c>
      <c r="DD122" t="s">
        <v>114</v>
      </c>
    </row>
    <row r="123" spans="1:108" ht="15" customHeight="1" x14ac:dyDescent="0.25">
      <c r="A123" t="s">
        <v>19147</v>
      </c>
      <c r="B123" t="s">
        <v>152</v>
      </c>
      <c r="C123" s="1">
        <v>45262.023473263886</v>
      </c>
      <c r="D123" s="1">
        <v>45287</v>
      </c>
      <c r="E123" t="s">
        <v>132</v>
      </c>
      <c r="F123" t="s">
        <v>1961</v>
      </c>
      <c r="G123" t="str">
        <f>"37-3011.00"</f>
        <v>37-3011.00</v>
      </c>
      <c r="H123" t="s">
        <v>429</v>
      </c>
      <c r="I123">
        <v>2</v>
      </c>
      <c r="J123">
        <v>2</v>
      </c>
      <c r="K123" s="1">
        <v>45352</v>
      </c>
      <c r="L123" s="1">
        <v>45646</v>
      </c>
      <c r="M123" s="1">
        <v>45352</v>
      </c>
      <c r="N123" s="1">
        <v>45646</v>
      </c>
      <c r="O123" t="s">
        <v>238</v>
      </c>
      <c r="P123" t="s">
        <v>19148</v>
      </c>
      <c r="R123" t="s">
        <v>19149</v>
      </c>
      <c r="T123" t="s">
        <v>357</v>
      </c>
      <c r="U123" t="s">
        <v>358</v>
      </c>
      <c r="V123" s="8" t="str">
        <f>"11590"</f>
        <v>11590</v>
      </c>
      <c r="W123" t="s">
        <v>118</v>
      </c>
      <c r="Y123" s="10">
        <v>15163343586</v>
      </c>
      <c r="AA123">
        <v>56173</v>
      </c>
      <c r="AB123" t="s">
        <v>15799</v>
      </c>
      <c r="AC123" t="s">
        <v>4444</v>
      </c>
      <c r="AE123" t="s">
        <v>654</v>
      </c>
      <c r="AF123" t="s">
        <v>19149</v>
      </c>
      <c r="AH123" t="s">
        <v>357</v>
      </c>
      <c r="AI123" t="s">
        <v>358</v>
      </c>
      <c r="AJ123" s="8" t="str">
        <f>"11590"</f>
        <v>11590</v>
      </c>
      <c r="AK123" t="s">
        <v>118</v>
      </c>
      <c r="AM123" s="10">
        <v>15163343586</v>
      </c>
      <c r="AO123" t="s">
        <v>132</v>
      </c>
      <c r="AP123" t="s">
        <v>248</v>
      </c>
      <c r="AQ123" t="s">
        <v>354</v>
      </c>
      <c r="AR123" t="s">
        <v>355</v>
      </c>
      <c r="AT123" t="s">
        <v>356</v>
      </c>
      <c r="AV123" t="s">
        <v>357</v>
      </c>
      <c r="AW123" t="s">
        <v>358</v>
      </c>
      <c r="AX123" s="8" t="str">
        <f>"11590"</f>
        <v>11590</v>
      </c>
      <c r="AY123" t="s">
        <v>118</v>
      </c>
      <c r="BA123" s="10">
        <v>15163307168</v>
      </c>
      <c r="BC123" t="s">
        <v>359</v>
      </c>
      <c r="BD123" t="s">
        <v>360</v>
      </c>
      <c r="BG123" t="s">
        <v>358</v>
      </c>
      <c r="BH123" s="1">
        <v>45208.833333333336</v>
      </c>
      <c r="BI123">
        <v>40</v>
      </c>
      <c r="BJ123">
        <v>0</v>
      </c>
      <c r="BK123">
        <v>8</v>
      </c>
      <c r="BL123">
        <v>8</v>
      </c>
      <c r="BM123">
        <v>8</v>
      </c>
      <c r="BN123">
        <v>8</v>
      </c>
      <c r="BO123">
        <v>8</v>
      </c>
      <c r="BP123">
        <v>0</v>
      </c>
      <c r="BQ123" t="str">
        <f>"8:00 AM"</f>
        <v>8:00 AM</v>
      </c>
      <c r="BR123" t="str">
        <f>"5:00 PM"</f>
        <v>5:00 PM</v>
      </c>
      <c r="BS123" t="s">
        <v>131</v>
      </c>
      <c r="BT123">
        <v>0</v>
      </c>
      <c r="BU123">
        <v>0</v>
      </c>
      <c r="BV123" t="s">
        <v>114</v>
      </c>
      <c r="BX123" t="s">
        <v>132</v>
      </c>
      <c r="BY123" t="s">
        <v>19149</v>
      </c>
      <c r="CA123" t="s">
        <v>357</v>
      </c>
      <c r="CB123" t="s">
        <v>358</v>
      </c>
      <c r="CC123" s="8" t="str">
        <f>"11590"</f>
        <v>11590</v>
      </c>
      <c r="CD123" t="s">
        <v>2352</v>
      </c>
      <c r="CE123" t="s">
        <v>1418</v>
      </c>
      <c r="CF123" s="12">
        <v>20.81</v>
      </c>
      <c r="CG123" s="12">
        <v>20.81</v>
      </c>
      <c r="CH123" s="12">
        <v>31.22</v>
      </c>
      <c r="CI123" s="12">
        <v>31.22</v>
      </c>
      <c r="CJ123" t="s">
        <v>135</v>
      </c>
      <c r="CK123" t="s">
        <v>132</v>
      </c>
      <c r="CL123" t="s">
        <v>19150</v>
      </c>
      <c r="CO123" t="s">
        <v>132</v>
      </c>
      <c r="CP123" t="s">
        <v>136</v>
      </c>
      <c r="CQ123" t="s">
        <v>136</v>
      </c>
      <c r="CR123" t="s">
        <v>136</v>
      </c>
      <c r="CS123" t="s">
        <v>114</v>
      </c>
      <c r="CT123" t="s">
        <v>136</v>
      </c>
      <c r="CU123" t="s">
        <v>114</v>
      </c>
      <c r="CV123" t="s">
        <v>1480</v>
      </c>
      <c r="CW123" s="10" t="str">
        <f>"+15163343586"</f>
        <v>+15163343586</v>
      </c>
      <c r="CX123" t="s">
        <v>19151</v>
      </c>
      <c r="CY123" t="s">
        <v>132</v>
      </c>
      <c r="CZ123" t="s">
        <v>137</v>
      </c>
      <c r="DA123" t="s">
        <v>114</v>
      </c>
      <c r="DB123" t="s">
        <v>114</v>
      </c>
      <c r="DC123" t="s">
        <v>136</v>
      </c>
      <c r="DD123" t="s">
        <v>114</v>
      </c>
    </row>
    <row r="124" spans="1:108" ht="15" customHeight="1" x14ac:dyDescent="0.25">
      <c r="A124" t="s">
        <v>9432</v>
      </c>
      <c r="B124" t="s">
        <v>152</v>
      </c>
      <c r="C124" s="1">
        <v>45262.022750462966</v>
      </c>
      <c r="D124" s="1">
        <v>45287</v>
      </c>
      <c r="E124" t="s">
        <v>132</v>
      </c>
      <c r="F124" t="s">
        <v>1961</v>
      </c>
      <c r="G124" t="str">
        <f>"37-3011.00"</f>
        <v>37-3011.00</v>
      </c>
      <c r="H124" t="s">
        <v>429</v>
      </c>
      <c r="I124">
        <v>7</v>
      </c>
      <c r="J124">
        <v>7</v>
      </c>
      <c r="K124" s="1">
        <v>45352</v>
      </c>
      <c r="L124" s="1">
        <v>45627</v>
      </c>
      <c r="M124" s="1">
        <v>45352</v>
      </c>
      <c r="N124" s="1">
        <v>45627</v>
      </c>
      <c r="O124" t="s">
        <v>238</v>
      </c>
      <c r="P124" t="s">
        <v>9433</v>
      </c>
      <c r="R124" t="s">
        <v>9434</v>
      </c>
      <c r="T124" t="s">
        <v>2591</v>
      </c>
      <c r="U124" t="s">
        <v>358</v>
      </c>
      <c r="V124" s="8" t="str">
        <f>"11968"</f>
        <v>11968</v>
      </c>
      <c r="W124" t="s">
        <v>118</v>
      </c>
      <c r="Y124" s="10">
        <v>16316045693</v>
      </c>
      <c r="AA124">
        <v>56173</v>
      </c>
      <c r="AB124" t="s">
        <v>9435</v>
      </c>
      <c r="AC124" t="s">
        <v>859</v>
      </c>
      <c r="AE124" t="s">
        <v>654</v>
      </c>
      <c r="AF124" t="s">
        <v>9434</v>
      </c>
      <c r="AH124" t="s">
        <v>2591</v>
      </c>
      <c r="AI124" t="s">
        <v>358</v>
      </c>
      <c r="AJ124" s="8" t="str">
        <f>"11968"</f>
        <v>11968</v>
      </c>
      <c r="AK124" t="s">
        <v>118</v>
      </c>
      <c r="AM124" s="10">
        <v>16316045693</v>
      </c>
      <c r="AO124" t="s">
        <v>132</v>
      </c>
      <c r="AP124" t="s">
        <v>248</v>
      </c>
      <c r="AQ124" t="s">
        <v>354</v>
      </c>
      <c r="AR124" t="s">
        <v>355</v>
      </c>
      <c r="AT124" t="s">
        <v>356</v>
      </c>
      <c r="AV124" t="s">
        <v>357</v>
      </c>
      <c r="AW124" t="s">
        <v>358</v>
      </c>
      <c r="AX124" s="8" t="str">
        <f>"11590"</f>
        <v>11590</v>
      </c>
      <c r="AY124" t="s">
        <v>118</v>
      </c>
      <c r="BA124" s="10">
        <v>15163307168</v>
      </c>
      <c r="BC124" t="s">
        <v>359</v>
      </c>
      <c r="BD124" t="s">
        <v>360</v>
      </c>
      <c r="BG124" t="s">
        <v>358</v>
      </c>
      <c r="BH124" s="1">
        <v>45208.833333333336</v>
      </c>
      <c r="BI124">
        <v>40</v>
      </c>
      <c r="BJ124">
        <v>0</v>
      </c>
      <c r="BK124">
        <v>8</v>
      </c>
      <c r="BL124">
        <v>8</v>
      </c>
      <c r="BM124">
        <v>8</v>
      </c>
      <c r="BN124">
        <v>8</v>
      </c>
      <c r="BO124">
        <v>8</v>
      </c>
      <c r="BP124">
        <v>0</v>
      </c>
      <c r="BQ124" t="str">
        <f>"8:00 AM"</f>
        <v>8:00 AM</v>
      </c>
      <c r="BR124" t="str">
        <f>"5:00 PM"</f>
        <v>5:00 PM</v>
      </c>
      <c r="BS124" t="s">
        <v>131</v>
      </c>
      <c r="BT124">
        <v>0</v>
      </c>
      <c r="BU124">
        <v>0</v>
      </c>
      <c r="BV124" t="s">
        <v>114</v>
      </c>
      <c r="BX124" t="s">
        <v>132</v>
      </c>
      <c r="BY124" t="s">
        <v>9434</v>
      </c>
      <c r="CA124" t="s">
        <v>2591</v>
      </c>
      <c r="CB124" t="s">
        <v>358</v>
      </c>
      <c r="CC124" s="8" t="str">
        <f>"11968"</f>
        <v>11968</v>
      </c>
      <c r="CD124" t="s">
        <v>1752</v>
      </c>
      <c r="CE124" t="s">
        <v>1418</v>
      </c>
      <c r="CF124" s="12">
        <v>21</v>
      </c>
      <c r="CG124" s="12">
        <v>21</v>
      </c>
      <c r="CH124" s="12">
        <v>31.5</v>
      </c>
      <c r="CI124" s="12">
        <v>31.5</v>
      </c>
      <c r="CJ124" t="s">
        <v>135</v>
      </c>
      <c r="CK124" t="s">
        <v>132</v>
      </c>
      <c r="CL124" t="s">
        <v>9436</v>
      </c>
      <c r="CO124" t="s">
        <v>132</v>
      </c>
      <c r="CP124" t="s">
        <v>136</v>
      </c>
      <c r="CQ124" t="s">
        <v>136</v>
      </c>
      <c r="CR124" t="s">
        <v>136</v>
      </c>
      <c r="CS124" t="s">
        <v>114</v>
      </c>
      <c r="CT124" t="s">
        <v>136</v>
      </c>
      <c r="CU124" t="s">
        <v>114</v>
      </c>
      <c r="CV124" t="s">
        <v>1480</v>
      </c>
      <c r="CW124" s="10" t="str">
        <f>"+16316045693"</f>
        <v>+16316045693</v>
      </c>
      <c r="CX124" t="s">
        <v>9437</v>
      </c>
      <c r="CY124" t="s">
        <v>132</v>
      </c>
      <c r="CZ124" t="s">
        <v>137</v>
      </c>
      <c r="DA124" t="s">
        <v>114</v>
      </c>
      <c r="DB124" t="s">
        <v>114</v>
      </c>
      <c r="DC124" t="s">
        <v>136</v>
      </c>
      <c r="DD124" t="s">
        <v>114</v>
      </c>
    </row>
    <row r="125" spans="1:108" ht="15" customHeight="1" x14ac:dyDescent="0.25">
      <c r="A125" t="s">
        <v>23090</v>
      </c>
      <c r="B125" t="s">
        <v>152</v>
      </c>
      <c r="C125" s="1">
        <v>45262.022453240737</v>
      </c>
      <c r="D125" s="1">
        <v>45287</v>
      </c>
      <c r="E125" t="s">
        <v>132</v>
      </c>
      <c r="F125" t="s">
        <v>1961</v>
      </c>
      <c r="G125" t="str">
        <f>"37-3011.00"</f>
        <v>37-3011.00</v>
      </c>
      <c r="H125" t="s">
        <v>429</v>
      </c>
      <c r="I125">
        <v>3</v>
      </c>
      <c r="J125">
        <v>3</v>
      </c>
      <c r="K125" s="1">
        <v>45352</v>
      </c>
      <c r="L125" s="1">
        <v>45626</v>
      </c>
      <c r="M125" s="1">
        <v>45352</v>
      </c>
      <c r="N125" s="1">
        <v>45626</v>
      </c>
      <c r="O125" t="s">
        <v>238</v>
      </c>
      <c r="P125" t="s">
        <v>19913</v>
      </c>
      <c r="R125" t="s">
        <v>19914</v>
      </c>
      <c r="T125" t="s">
        <v>19915</v>
      </c>
      <c r="U125" t="s">
        <v>358</v>
      </c>
      <c r="V125" s="8" t="str">
        <f>"11746"</f>
        <v>11746</v>
      </c>
      <c r="W125" t="s">
        <v>118</v>
      </c>
      <c r="Y125" s="10">
        <v>16314625952</v>
      </c>
      <c r="AA125">
        <v>44422</v>
      </c>
      <c r="AB125" t="s">
        <v>19916</v>
      </c>
      <c r="AC125" t="s">
        <v>19917</v>
      </c>
      <c r="AE125" t="s">
        <v>654</v>
      </c>
      <c r="AF125" t="s">
        <v>19918</v>
      </c>
      <c r="AH125" t="s">
        <v>19915</v>
      </c>
      <c r="AI125" t="s">
        <v>358</v>
      </c>
      <c r="AJ125" s="8" t="str">
        <f>"11746"</f>
        <v>11746</v>
      </c>
      <c r="AK125" t="s">
        <v>118</v>
      </c>
      <c r="AM125" s="10">
        <v>16314625952</v>
      </c>
      <c r="AO125" t="s">
        <v>132</v>
      </c>
      <c r="AP125" t="s">
        <v>248</v>
      </c>
      <c r="AQ125" t="s">
        <v>354</v>
      </c>
      <c r="AR125" t="s">
        <v>355</v>
      </c>
      <c r="AT125" t="s">
        <v>356</v>
      </c>
      <c r="AV125" t="s">
        <v>357</v>
      </c>
      <c r="AW125" t="s">
        <v>358</v>
      </c>
      <c r="AX125" s="8" t="str">
        <f>"11590"</f>
        <v>11590</v>
      </c>
      <c r="AY125" t="s">
        <v>118</v>
      </c>
      <c r="BA125" s="10">
        <v>15163307168</v>
      </c>
      <c r="BC125" t="s">
        <v>359</v>
      </c>
      <c r="BD125" t="s">
        <v>360</v>
      </c>
      <c r="BG125" t="s">
        <v>358</v>
      </c>
      <c r="BH125" s="1">
        <v>45208.833333333336</v>
      </c>
      <c r="BI125">
        <v>40</v>
      </c>
      <c r="BJ125">
        <v>0</v>
      </c>
      <c r="BK125">
        <v>8</v>
      </c>
      <c r="BL125">
        <v>8</v>
      </c>
      <c r="BM125">
        <v>8</v>
      </c>
      <c r="BN125">
        <v>8</v>
      </c>
      <c r="BO125">
        <v>8</v>
      </c>
      <c r="BP125">
        <v>0</v>
      </c>
      <c r="BQ125" t="str">
        <f>"8:00 AM"</f>
        <v>8:00 AM</v>
      </c>
      <c r="BR125" t="str">
        <f>"5:00 PM"</f>
        <v>5:00 PM</v>
      </c>
      <c r="BS125" t="s">
        <v>131</v>
      </c>
      <c r="BT125">
        <v>0</v>
      </c>
      <c r="BU125">
        <v>0</v>
      </c>
      <c r="BV125" t="s">
        <v>114</v>
      </c>
      <c r="BX125" t="s">
        <v>132</v>
      </c>
      <c r="BY125" t="s">
        <v>19918</v>
      </c>
      <c r="CA125" t="s">
        <v>19915</v>
      </c>
      <c r="CB125" t="s">
        <v>358</v>
      </c>
      <c r="CC125" s="8" t="str">
        <f>"11746"</f>
        <v>11746</v>
      </c>
      <c r="CD125" t="s">
        <v>1752</v>
      </c>
      <c r="CE125" t="s">
        <v>1418</v>
      </c>
      <c r="CF125" s="12">
        <v>20.81</v>
      </c>
      <c r="CG125" s="12">
        <v>20.81</v>
      </c>
      <c r="CH125" s="12">
        <v>31.22</v>
      </c>
      <c r="CI125" s="12">
        <v>31.22</v>
      </c>
      <c r="CJ125" t="s">
        <v>135</v>
      </c>
      <c r="CK125" t="s">
        <v>132</v>
      </c>
      <c r="CL125" t="s">
        <v>23091</v>
      </c>
      <c r="CO125" t="s">
        <v>132</v>
      </c>
      <c r="CP125" t="s">
        <v>136</v>
      </c>
      <c r="CQ125" t="s">
        <v>136</v>
      </c>
      <c r="CR125" t="s">
        <v>136</v>
      </c>
      <c r="CS125" t="s">
        <v>114</v>
      </c>
      <c r="CT125" t="s">
        <v>136</v>
      </c>
      <c r="CU125" t="s">
        <v>114</v>
      </c>
      <c r="CV125" t="s">
        <v>1480</v>
      </c>
      <c r="CW125" s="10" t="str">
        <f>"+16314625952"</f>
        <v>+16314625952</v>
      </c>
      <c r="CX125" t="s">
        <v>19920</v>
      </c>
      <c r="CY125" t="s">
        <v>132</v>
      </c>
      <c r="CZ125" t="s">
        <v>137</v>
      </c>
      <c r="DA125" t="s">
        <v>114</v>
      </c>
      <c r="DB125" t="s">
        <v>114</v>
      </c>
      <c r="DC125" t="s">
        <v>136</v>
      </c>
      <c r="DD125" t="s">
        <v>114</v>
      </c>
    </row>
    <row r="126" spans="1:108" ht="15" customHeight="1" x14ac:dyDescent="0.25">
      <c r="A126" t="s">
        <v>19912</v>
      </c>
      <c r="B126" t="s">
        <v>152</v>
      </c>
      <c r="C126" s="1">
        <v>45262.022264004627</v>
      </c>
      <c r="D126" s="1">
        <v>45287</v>
      </c>
      <c r="E126" t="s">
        <v>132</v>
      </c>
      <c r="F126" t="s">
        <v>5146</v>
      </c>
      <c r="G126" t="str">
        <f>"45-2092.00"</f>
        <v>45-2092.00</v>
      </c>
      <c r="H126" t="s">
        <v>2007</v>
      </c>
      <c r="I126">
        <v>3</v>
      </c>
      <c r="J126">
        <v>3</v>
      </c>
      <c r="K126" s="1">
        <v>45352</v>
      </c>
      <c r="L126" s="1">
        <v>45626</v>
      </c>
      <c r="M126" s="1">
        <v>45352</v>
      </c>
      <c r="N126" s="1">
        <v>45626</v>
      </c>
      <c r="O126" t="s">
        <v>238</v>
      </c>
      <c r="P126" t="s">
        <v>19913</v>
      </c>
      <c r="R126" t="s">
        <v>19914</v>
      </c>
      <c r="T126" t="s">
        <v>19915</v>
      </c>
      <c r="U126" t="s">
        <v>358</v>
      </c>
      <c r="V126" s="8" t="str">
        <f>"11746"</f>
        <v>11746</v>
      </c>
      <c r="W126" t="s">
        <v>118</v>
      </c>
      <c r="Y126" s="10">
        <v>16314625952</v>
      </c>
      <c r="AA126">
        <v>44422</v>
      </c>
      <c r="AB126" t="s">
        <v>19916</v>
      </c>
      <c r="AC126" t="s">
        <v>19917</v>
      </c>
      <c r="AE126" t="s">
        <v>654</v>
      </c>
      <c r="AF126" t="s">
        <v>19918</v>
      </c>
      <c r="AH126" t="s">
        <v>19915</v>
      </c>
      <c r="AI126" t="s">
        <v>358</v>
      </c>
      <c r="AJ126" s="8" t="str">
        <f>"11746"</f>
        <v>11746</v>
      </c>
      <c r="AK126" t="s">
        <v>118</v>
      </c>
      <c r="AM126" s="10">
        <v>16314625952</v>
      </c>
      <c r="AO126" t="s">
        <v>132</v>
      </c>
      <c r="AP126" t="s">
        <v>248</v>
      </c>
      <c r="AQ126" t="s">
        <v>354</v>
      </c>
      <c r="AR126" t="s">
        <v>355</v>
      </c>
      <c r="AT126" t="s">
        <v>356</v>
      </c>
      <c r="AV126" t="s">
        <v>357</v>
      </c>
      <c r="AW126" t="s">
        <v>358</v>
      </c>
      <c r="AX126" s="8" t="str">
        <f>"11590"</f>
        <v>11590</v>
      </c>
      <c r="AY126" t="s">
        <v>118</v>
      </c>
      <c r="BA126" s="10">
        <v>15163307168</v>
      </c>
      <c r="BC126" t="s">
        <v>359</v>
      </c>
      <c r="BD126" t="s">
        <v>360</v>
      </c>
      <c r="BG126" t="s">
        <v>358</v>
      </c>
      <c r="BH126" s="1">
        <v>45208.833333333336</v>
      </c>
      <c r="BI126">
        <v>40</v>
      </c>
      <c r="BJ126">
        <v>0</v>
      </c>
      <c r="BK126">
        <v>8</v>
      </c>
      <c r="BL126">
        <v>8</v>
      </c>
      <c r="BM126">
        <v>8</v>
      </c>
      <c r="BN126">
        <v>8</v>
      </c>
      <c r="BO126">
        <v>8</v>
      </c>
      <c r="BP126">
        <v>0</v>
      </c>
      <c r="BQ126" t="str">
        <f>"8:00 AM"</f>
        <v>8:00 AM</v>
      </c>
      <c r="BR126" t="str">
        <f>"5:00 PM"</f>
        <v>5:00 PM</v>
      </c>
      <c r="BS126" t="s">
        <v>131</v>
      </c>
      <c r="BT126">
        <v>0</v>
      </c>
      <c r="BU126">
        <v>0</v>
      </c>
      <c r="BV126" t="s">
        <v>114</v>
      </c>
      <c r="BX126" t="s">
        <v>132</v>
      </c>
      <c r="BY126" t="s">
        <v>19918</v>
      </c>
      <c r="CA126" t="s">
        <v>19915</v>
      </c>
      <c r="CB126" t="s">
        <v>358</v>
      </c>
      <c r="CC126" s="8" t="str">
        <f>"11746"</f>
        <v>11746</v>
      </c>
      <c r="CD126" t="s">
        <v>1752</v>
      </c>
      <c r="CE126" t="s">
        <v>1418</v>
      </c>
      <c r="CF126" s="12">
        <v>18.670000000000002</v>
      </c>
      <c r="CG126" s="12">
        <v>18.670000000000002</v>
      </c>
      <c r="CH126" s="12">
        <v>28.01</v>
      </c>
      <c r="CI126" s="12">
        <v>28.01</v>
      </c>
      <c r="CJ126" t="s">
        <v>135</v>
      </c>
      <c r="CK126" t="s">
        <v>132</v>
      </c>
      <c r="CL126" t="s">
        <v>19919</v>
      </c>
      <c r="CO126" t="s">
        <v>132</v>
      </c>
      <c r="CP126" t="s">
        <v>114</v>
      </c>
      <c r="CQ126" t="s">
        <v>114</v>
      </c>
      <c r="CR126" t="s">
        <v>136</v>
      </c>
      <c r="CS126" t="s">
        <v>114</v>
      </c>
      <c r="CT126" t="s">
        <v>136</v>
      </c>
      <c r="CU126" t="s">
        <v>114</v>
      </c>
      <c r="CV126" t="s">
        <v>1480</v>
      </c>
      <c r="CW126" s="10" t="str">
        <f>"+16314625952"</f>
        <v>+16314625952</v>
      </c>
      <c r="CX126" t="s">
        <v>19920</v>
      </c>
      <c r="CY126" t="s">
        <v>132</v>
      </c>
      <c r="CZ126" t="s">
        <v>137</v>
      </c>
      <c r="DA126" t="s">
        <v>114</v>
      </c>
      <c r="DB126" t="s">
        <v>114</v>
      </c>
      <c r="DC126" t="s">
        <v>136</v>
      </c>
      <c r="DD126" t="s">
        <v>114</v>
      </c>
    </row>
    <row r="127" spans="1:108" ht="15" customHeight="1" x14ac:dyDescent="0.25">
      <c r="A127" t="s">
        <v>4878</v>
      </c>
      <c r="B127" t="s">
        <v>152</v>
      </c>
      <c r="C127" s="1">
        <v>45262.022056365742</v>
      </c>
      <c r="D127" s="1">
        <v>45287</v>
      </c>
      <c r="E127" t="s">
        <v>132</v>
      </c>
      <c r="F127" t="s">
        <v>1961</v>
      </c>
      <c r="G127" t="str">
        <f>"37-3011.00"</f>
        <v>37-3011.00</v>
      </c>
      <c r="H127" t="s">
        <v>429</v>
      </c>
      <c r="I127">
        <v>7</v>
      </c>
      <c r="J127">
        <v>7</v>
      </c>
      <c r="K127" s="1">
        <v>45352</v>
      </c>
      <c r="L127" s="1">
        <v>45627</v>
      </c>
      <c r="M127" s="1">
        <v>45352</v>
      </c>
      <c r="N127" s="1">
        <v>45627</v>
      </c>
      <c r="O127" t="s">
        <v>238</v>
      </c>
      <c r="P127" t="s">
        <v>4879</v>
      </c>
      <c r="R127" t="s">
        <v>4880</v>
      </c>
      <c r="T127" t="s">
        <v>4881</v>
      </c>
      <c r="U127" t="s">
        <v>358</v>
      </c>
      <c r="V127" s="8" t="str">
        <f>"11975"</f>
        <v>11975</v>
      </c>
      <c r="W127" t="s">
        <v>118</v>
      </c>
      <c r="Y127" s="10">
        <v>16315379500</v>
      </c>
      <c r="AA127">
        <v>56173</v>
      </c>
      <c r="AB127" t="s">
        <v>4882</v>
      </c>
      <c r="AC127" t="s">
        <v>4883</v>
      </c>
      <c r="AE127" t="s">
        <v>654</v>
      </c>
      <c r="AF127" t="s">
        <v>4884</v>
      </c>
      <c r="AH127" t="s">
        <v>4881</v>
      </c>
      <c r="AI127" t="s">
        <v>358</v>
      </c>
      <c r="AJ127" s="8" t="str">
        <f>"11975"</f>
        <v>11975</v>
      </c>
      <c r="AK127" t="s">
        <v>118</v>
      </c>
      <c r="AM127" s="10">
        <v>16315379500</v>
      </c>
      <c r="AO127" t="s">
        <v>132</v>
      </c>
      <c r="AP127" t="s">
        <v>248</v>
      </c>
      <c r="AQ127" t="s">
        <v>354</v>
      </c>
      <c r="AR127" t="s">
        <v>355</v>
      </c>
      <c r="AT127" t="s">
        <v>356</v>
      </c>
      <c r="AV127" t="s">
        <v>357</v>
      </c>
      <c r="AW127" t="s">
        <v>358</v>
      </c>
      <c r="AX127" s="8" t="str">
        <f>"11590"</f>
        <v>11590</v>
      </c>
      <c r="AY127" t="s">
        <v>118</v>
      </c>
      <c r="BA127" s="10">
        <v>15163307168</v>
      </c>
      <c r="BC127" t="s">
        <v>359</v>
      </c>
      <c r="BD127" t="s">
        <v>360</v>
      </c>
      <c r="BG127" t="s">
        <v>358</v>
      </c>
      <c r="BH127" s="1">
        <v>45208.833333333336</v>
      </c>
      <c r="BI127">
        <v>40</v>
      </c>
      <c r="BJ127">
        <v>0</v>
      </c>
      <c r="BK127">
        <v>8</v>
      </c>
      <c r="BL127">
        <v>8</v>
      </c>
      <c r="BM127">
        <v>8</v>
      </c>
      <c r="BN127">
        <v>8</v>
      </c>
      <c r="BO127">
        <v>8</v>
      </c>
      <c r="BP127">
        <v>0</v>
      </c>
      <c r="BQ127" t="str">
        <f>"8:00 AM"</f>
        <v>8:00 AM</v>
      </c>
      <c r="BR127" t="str">
        <f>"5:00 PM"</f>
        <v>5:00 PM</v>
      </c>
      <c r="BS127" t="s">
        <v>131</v>
      </c>
      <c r="BT127">
        <v>0</v>
      </c>
      <c r="BU127">
        <v>0</v>
      </c>
      <c r="BV127" t="s">
        <v>114</v>
      </c>
      <c r="BX127" t="s">
        <v>132</v>
      </c>
      <c r="BY127" t="s">
        <v>4884</v>
      </c>
      <c r="CA127" t="s">
        <v>2591</v>
      </c>
      <c r="CB127" t="s">
        <v>358</v>
      </c>
      <c r="CC127" s="8" t="str">
        <f>"11968"</f>
        <v>11968</v>
      </c>
      <c r="CD127" t="s">
        <v>1752</v>
      </c>
      <c r="CE127" t="s">
        <v>1418</v>
      </c>
      <c r="CF127" s="12">
        <v>20.81</v>
      </c>
      <c r="CG127" s="12">
        <v>20.81</v>
      </c>
      <c r="CH127" s="12">
        <v>31.22</v>
      </c>
      <c r="CI127" s="12">
        <v>31.22</v>
      </c>
      <c r="CJ127" t="s">
        <v>135</v>
      </c>
      <c r="CK127" t="s">
        <v>132</v>
      </c>
      <c r="CL127" t="s">
        <v>4885</v>
      </c>
      <c r="CO127" t="s">
        <v>132</v>
      </c>
      <c r="CP127" t="s">
        <v>136</v>
      </c>
      <c r="CQ127" t="s">
        <v>136</v>
      </c>
      <c r="CR127" t="s">
        <v>136</v>
      </c>
      <c r="CS127" t="s">
        <v>114</v>
      </c>
      <c r="CT127" t="s">
        <v>136</v>
      </c>
      <c r="CU127" t="s">
        <v>114</v>
      </c>
      <c r="CV127" t="s">
        <v>1480</v>
      </c>
      <c r="CW127" s="10" t="str">
        <f>"+16315379500"</f>
        <v>+16315379500</v>
      </c>
      <c r="CX127" t="s">
        <v>4886</v>
      </c>
      <c r="CY127" t="s">
        <v>132</v>
      </c>
      <c r="CZ127" t="s">
        <v>137</v>
      </c>
      <c r="DA127" t="s">
        <v>114</v>
      </c>
      <c r="DB127" t="s">
        <v>114</v>
      </c>
      <c r="DC127" t="s">
        <v>136</v>
      </c>
      <c r="DD127" t="s">
        <v>114</v>
      </c>
    </row>
    <row r="128" spans="1:108" ht="15" customHeight="1" x14ac:dyDescent="0.25">
      <c r="A128" t="s">
        <v>3099</v>
      </c>
      <c r="B128" t="s">
        <v>152</v>
      </c>
      <c r="C128" s="1">
        <v>45262.021818634261</v>
      </c>
      <c r="D128" s="1">
        <v>45287</v>
      </c>
      <c r="E128" t="s">
        <v>132</v>
      </c>
      <c r="F128" t="s">
        <v>1961</v>
      </c>
      <c r="G128" t="str">
        <f>"37-3011.00"</f>
        <v>37-3011.00</v>
      </c>
      <c r="H128" t="s">
        <v>429</v>
      </c>
      <c r="I128">
        <v>11</v>
      </c>
      <c r="J128">
        <v>11</v>
      </c>
      <c r="K128" s="1">
        <v>45352</v>
      </c>
      <c r="L128" s="1">
        <v>45636</v>
      </c>
      <c r="M128" s="1">
        <v>45352</v>
      </c>
      <c r="N128" s="1">
        <v>45636</v>
      </c>
      <c r="O128" t="s">
        <v>238</v>
      </c>
      <c r="P128" t="s">
        <v>3100</v>
      </c>
      <c r="R128" t="s">
        <v>3101</v>
      </c>
      <c r="T128" t="s">
        <v>3102</v>
      </c>
      <c r="U128" t="s">
        <v>358</v>
      </c>
      <c r="V128" s="8" t="str">
        <f>"11937"</f>
        <v>11937</v>
      </c>
      <c r="W128" t="s">
        <v>118</v>
      </c>
      <c r="Y128" s="10">
        <v>16313247373</v>
      </c>
      <c r="AA128">
        <v>56173</v>
      </c>
      <c r="AB128" t="s">
        <v>3103</v>
      </c>
      <c r="AC128" t="s">
        <v>3104</v>
      </c>
      <c r="AE128" t="s">
        <v>654</v>
      </c>
      <c r="AF128" t="s">
        <v>3101</v>
      </c>
      <c r="AH128" t="s">
        <v>3102</v>
      </c>
      <c r="AI128" t="s">
        <v>358</v>
      </c>
      <c r="AJ128" s="8" t="str">
        <f>"11937"</f>
        <v>11937</v>
      </c>
      <c r="AK128" t="s">
        <v>118</v>
      </c>
      <c r="AM128" s="10">
        <v>16313247373</v>
      </c>
      <c r="AO128" t="s">
        <v>132</v>
      </c>
      <c r="AP128" t="s">
        <v>248</v>
      </c>
      <c r="AQ128" t="s">
        <v>354</v>
      </c>
      <c r="AR128" t="s">
        <v>355</v>
      </c>
      <c r="AT128" t="s">
        <v>356</v>
      </c>
      <c r="AV128" t="s">
        <v>357</v>
      </c>
      <c r="AW128" t="s">
        <v>358</v>
      </c>
      <c r="AX128" s="8" t="str">
        <f>"11590"</f>
        <v>11590</v>
      </c>
      <c r="AY128" t="s">
        <v>118</v>
      </c>
      <c r="BA128" s="10">
        <v>15163307168</v>
      </c>
      <c r="BC128" t="s">
        <v>359</v>
      </c>
      <c r="BD128" t="s">
        <v>360</v>
      </c>
      <c r="BG128" t="s">
        <v>358</v>
      </c>
      <c r="BH128" s="1">
        <v>45208.833333333336</v>
      </c>
      <c r="BI128">
        <v>40</v>
      </c>
      <c r="BJ128">
        <v>0</v>
      </c>
      <c r="BK128">
        <v>8</v>
      </c>
      <c r="BL128">
        <v>8</v>
      </c>
      <c r="BM128">
        <v>8</v>
      </c>
      <c r="BN128">
        <v>8</v>
      </c>
      <c r="BO128">
        <v>8</v>
      </c>
      <c r="BP128">
        <v>0</v>
      </c>
      <c r="BQ128" t="str">
        <f>"8:00 AM"</f>
        <v>8:00 AM</v>
      </c>
      <c r="BR128" t="str">
        <f>"5:00 PM"</f>
        <v>5:00 PM</v>
      </c>
      <c r="BS128" t="s">
        <v>131</v>
      </c>
      <c r="BT128">
        <v>0</v>
      </c>
      <c r="BU128">
        <v>0</v>
      </c>
      <c r="BV128" t="s">
        <v>114</v>
      </c>
      <c r="BX128" t="s">
        <v>132</v>
      </c>
      <c r="BY128" t="s">
        <v>3101</v>
      </c>
      <c r="CA128" t="s">
        <v>3102</v>
      </c>
      <c r="CB128" t="s">
        <v>358</v>
      </c>
      <c r="CC128" s="8" t="str">
        <f>"11937"</f>
        <v>11937</v>
      </c>
      <c r="CD128" t="s">
        <v>1752</v>
      </c>
      <c r="CE128" t="s">
        <v>1418</v>
      </c>
      <c r="CF128" s="12">
        <v>20.81</v>
      </c>
      <c r="CG128" s="12">
        <v>20.81</v>
      </c>
      <c r="CH128" s="12">
        <v>31.22</v>
      </c>
      <c r="CI128" s="12">
        <v>31.22</v>
      </c>
      <c r="CJ128" t="s">
        <v>135</v>
      </c>
      <c r="CK128" t="s">
        <v>132</v>
      </c>
      <c r="CL128" t="s">
        <v>3105</v>
      </c>
      <c r="CO128" t="s">
        <v>132</v>
      </c>
      <c r="CP128" t="s">
        <v>136</v>
      </c>
      <c r="CQ128" t="s">
        <v>136</v>
      </c>
      <c r="CR128" t="s">
        <v>136</v>
      </c>
      <c r="CS128" t="s">
        <v>114</v>
      </c>
      <c r="CT128" t="s">
        <v>136</v>
      </c>
      <c r="CU128" t="s">
        <v>114</v>
      </c>
      <c r="CV128" t="s">
        <v>1480</v>
      </c>
      <c r="CW128" s="10" t="str">
        <f>"+16313247373"</f>
        <v>+16313247373</v>
      </c>
      <c r="CX128" t="s">
        <v>3106</v>
      </c>
      <c r="CY128" t="s">
        <v>132</v>
      </c>
      <c r="CZ128" t="s">
        <v>137</v>
      </c>
      <c r="DA128" t="s">
        <v>114</v>
      </c>
      <c r="DB128" t="s">
        <v>114</v>
      </c>
      <c r="DC128" t="s">
        <v>136</v>
      </c>
      <c r="DD128" t="s">
        <v>114</v>
      </c>
    </row>
    <row r="129" spans="1:108" ht="15" customHeight="1" x14ac:dyDescent="0.25">
      <c r="A129" t="s">
        <v>15049</v>
      </c>
      <c r="B129" t="s">
        <v>152</v>
      </c>
      <c r="C129" s="1">
        <v>45262.021157523151</v>
      </c>
      <c r="D129" s="1">
        <v>45287</v>
      </c>
      <c r="E129" t="s">
        <v>132</v>
      </c>
      <c r="F129" t="s">
        <v>15050</v>
      </c>
      <c r="G129" t="str">
        <f>"37-3011.00"</f>
        <v>37-3011.00</v>
      </c>
      <c r="H129" t="s">
        <v>429</v>
      </c>
      <c r="I129">
        <v>6</v>
      </c>
      <c r="J129">
        <v>6</v>
      </c>
      <c r="K129" s="1">
        <v>45352</v>
      </c>
      <c r="L129" s="1">
        <v>45597</v>
      </c>
      <c r="M129" s="1">
        <v>45352</v>
      </c>
      <c r="N129" s="1">
        <v>45597</v>
      </c>
      <c r="O129" t="s">
        <v>238</v>
      </c>
      <c r="P129" t="s">
        <v>8023</v>
      </c>
      <c r="Q129" t="s">
        <v>8024</v>
      </c>
      <c r="R129" t="s">
        <v>8025</v>
      </c>
      <c r="T129" t="s">
        <v>7837</v>
      </c>
      <c r="U129" t="s">
        <v>358</v>
      </c>
      <c r="V129" s="8" t="str">
        <f>"12845"</f>
        <v>12845</v>
      </c>
      <c r="W129" t="s">
        <v>118</v>
      </c>
      <c r="Y129" s="10">
        <v>15186685401</v>
      </c>
      <c r="AA129">
        <v>721110</v>
      </c>
      <c r="AB129" t="s">
        <v>8026</v>
      </c>
      <c r="AC129" t="s">
        <v>1958</v>
      </c>
      <c r="AE129" t="s">
        <v>654</v>
      </c>
      <c r="AF129" t="s">
        <v>8025</v>
      </c>
      <c r="AH129" t="s">
        <v>7837</v>
      </c>
      <c r="AI129" t="s">
        <v>358</v>
      </c>
      <c r="AJ129" s="8" t="str">
        <f>"12845"</f>
        <v>12845</v>
      </c>
      <c r="AK129" t="s">
        <v>118</v>
      </c>
      <c r="AM129" s="10">
        <v>15186685401</v>
      </c>
      <c r="AO129" t="s">
        <v>132</v>
      </c>
      <c r="AP129" t="s">
        <v>248</v>
      </c>
      <c r="AQ129" t="s">
        <v>354</v>
      </c>
      <c r="AR129" t="s">
        <v>355</v>
      </c>
      <c r="AT129" t="s">
        <v>356</v>
      </c>
      <c r="AV129" t="s">
        <v>357</v>
      </c>
      <c r="AW129" t="s">
        <v>358</v>
      </c>
      <c r="AX129" s="8" t="str">
        <f>"11590"</f>
        <v>11590</v>
      </c>
      <c r="AY129" t="s">
        <v>118</v>
      </c>
      <c r="BA129" s="10">
        <v>15163307168</v>
      </c>
      <c r="BC129" t="s">
        <v>359</v>
      </c>
      <c r="BD129" t="s">
        <v>360</v>
      </c>
      <c r="BG129" t="s">
        <v>358</v>
      </c>
      <c r="BH129" s="1">
        <v>45208.833333333336</v>
      </c>
      <c r="BI129">
        <v>35</v>
      </c>
      <c r="BJ129">
        <v>7</v>
      </c>
      <c r="BK129">
        <v>0</v>
      </c>
      <c r="BL129">
        <v>7</v>
      </c>
      <c r="BM129">
        <v>0</v>
      </c>
      <c r="BN129">
        <v>7</v>
      </c>
      <c r="BO129">
        <v>7</v>
      </c>
      <c r="BP129">
        <v>7</v>
      </c>
      <c r="BQ129" t="str">
        <f>"6:00 AM"</f>
        <v>6:00 AM</v>
      </c>
      <c r="BR129" t="str">
        <f>"2:00 PM"</f>
        <v>2:00 PM</v>
      </c>
      <c r="BS129" t="s">
        <v>131</v>
      </c>
      <c r="BT129">
        <v>0</v>
      </c>
      <c r="BU129">
        <v>0</v>
      </c>
      <c r="BV129" t="s">
        <v>114</v>
      </c>
      <c r="BX129" t="s">
        <v>132</v>
      </c>
      <c r="BY129" t="s">
        <v>8025</v>
      </c>
      <c r="CA129" t="s">
        <v>7837</v>
      </c>
      <c r="CB129" t="s">
        <v>358</v>
      </c>
      <c r="CC129" s="8" t="str">
        <f>"12845"</f>
        <v>12845</v>
      </c>
      <c r="CD129" t="s">
        <v>1017</v>
      </c>
      <c r="CE129" t="s">
        <v>3626</v>
      </c>
      <c r="CF129" s="12">
        <v>17.989999999999998</v>
      </c>
      <c r="CG129" s="12">
        <v>17.989999999999998</v>
      </c>
      <c r="CH129" s="12">
        <v>26.99</v>
      </c>
      <c r="CI129" s="12">
        <v>26.99</v>
      </c>
      <c r="CJ129" t="s">
        <v>135</v>
      </c>
      <c r="CK129" t="s">
        <v>15051</v>
      </c>
      <c r="CL129" t="s">
        <v>15052</v>
      </c>
      <c r="CO129" t="s">
        <v>132</v>
      </c>
      <c r="CP129" t="s">
        <v>114</v>
      </c>
      <c r="CQ129" t="s">
        <v>114</v>
      </c>
      <c r="CR129" t="s">
        <v>136</v>
      </c>
      <c r="CS129" t="s">
        <v>114</v>
      </c>
      <c r="CT129" t="s">
        <v>136</v>
      </c>
      <c r="CU129" t="s">
        <v>114</v>
      </c>
      <c r="CV129" t="s">
        <v>1480</v>
      </c>
      <c r="CW129" s="10" t="str">
        <f>"+15186685401"</f>
        <v>+15186685401</v>
      </c>
      <c r="CX129" t="s">
        <v>8027</v>
      </c>
      <c r="CY129" t="s">
        <v>132</v>
      </c>
      <c r="CZ129" t="s">
        <v>137</v>
      </c>
      <c r="DA129" t="s">
        <v>114</v>
      </c>
      <c r="DB129" t="s">
        <v>114</v>
      </c>
      <c r="DC129" t="s">
        <v>136</v>
      </c>
      <c r="DD129" t="s">
        <v>114</v>
      </c>
    </row>
    <row r="130" spans="1:108" ht="15" customHeight="1" x14ac:dyDescent="0.25">
      <c r="A130" t="s">
        <v>5885</v>
      </c>
      <c r="B130" t="s">
        <v>152</v>
      </c>
      <c r="C130" s="1">
        <v>45262.020927083337</v>
      </c>
      <c r="D130" s="1">
        <v>45287</v>
      </c>
      <c r="E130" t="s">
        <v>132</v>
      </c>
      <c r="F130" t="s">
        <v>1961</v>
      </c>
      <c r="G130" t="str">
        <f>"37-3011.00"</f>
        <v>37-3011.00</v>
      </c>
      <c r="H130" t="s">
        <v>429</v>
      </c>
      <c r="I130">
        <v>12</v>
      </c>
      <c r="J130">
        <v>12</v>
      </c>
      <c r="K130" s="1">
        <v>45352</v>
      </c>
      <c r="L130" s="1">
        <v>45641</v>
      </c>
      <c r="M130" s="1">
        <v>45352</v>
      </c>
      <c r="N130" s="1">
        <v>45641</v>
      </c>
      <c r="O130" t="s">
        <v>238</v>
      </c>
      <c r="P130" t="s">
        <v>5886</v>
      </c>
      <c r="R130" t="s">
        <v>5887</v>
      </c>
      <c r="T130" t="s">
        <v>2591</v>
      </c>
      <c r="U130" t="s">
        <v>358</v>
      </c>
      <c r="V130" s="8" t="str">
        <f>"11968"</f>
        <v>11968</v>
      </c>
      <c r="W130" t="s">
        <v>118</v>
      </c>
      <c r="Y130" s="10">
        <v>16317264498</v>
      </c>
      <c r="AA130">
        <v>56173</v>
      </c>
      <c r="AB130" t="s">
        <v>5888</v>
      </c>
      <c r="AC130" t="s">
        <v>5889</v>
      </c>
      <c r="AE130" t="s">
        <v>654</v>
      </c>
      <c r="AF130" t="s">
        <v>5887</v>
      </c>
      <c r="AH130" t="s">
        <v>2591</v>
      </c>
      <c r="AI130" t="s">
        <v>358</v>
      </c>
      <c r="AJ130" s="8" t="str">
        <f>"11968"</f>
        <v>11968</v>
      </c>
      <c r="AK130" t="s">
        <v>118</v>
      </c>
      <c r="AM130" s="10">
        <v>16317264498</v>
      </c>
      <c r="AO130" t="s">
        <v>132</v>
      </c>
      <c r="AP130" t="s">
        <v>248</v>
      </c>
      <c r="AQ130" t="s">
        <v>354</v>
      </c>
      <c r="AR130" t="s">
        <v>355</v>
      </c>
      <c r="AT130" t="s">
        <v>356</v>
      </c>
      <c r="AV130" t="s">
        <v>357</v>
      </c>
      <c r="AW130" t="s">
        <v>358</v>
      </c>
      <c r="AX130" s="8" t="str">
        <f>"11590"</f>
        <v>11590</v>
      </c>
      <c r="AY130" t="s">
        <v>118</v>
      </c>
      <c r="BA130" s="10">
        <v>15163307168</v>
      </c>
      <c r="BC130" t="s">
        <v>359</v>
      </c>
      <c r="BD130" t="s">
        <v>360</v>
      </c>
      <c r="BG130" t="s">
        <v>358</v>
      </c>
      <c r="BH130" s="1">
        <v>45204.833333333336</v>
      </c>
      <c r="BI130">
        <v>40</v>
      </c>
      <c r="BJ130">
        <v>0</v>
      </c>
      <c r="BK130">
        <v>8</v>
      </c>
      <c r="BL130">
        <v>8</v>
      </c>
      <c r="BM130">
        <v>8</v>
      </c>
      <c r="BN130">
        <v>8</v>
      </c>
      <c r="BO130">
        <v>8</v>
      </c>
      <c r="BP130">
        <v>0</v>
      </c>
      <c r="BQ130" t="str">
        <f>"8:00 AM"</f>
        <v>8:00 AM</v>
      </c>
      <c r="BR130" t="str">
        <f>"5:00 PM"</f>
        <v>5:00 PM</v>
      </c>
      <c r="BS130" t="s">
        <v>131</v>
      </c>
      <c r="BT130">
        <v>0</v>
      </c>
      <c r="BU130">
        <v>0</v>
      </c>
      <c r="BV130" t="s">
        <v>114</v>
      </c>
      <c r="BX130" t="s">
        <v>132</v>
      </c>
      <c r="BY130" t="s">
        <v>5887</v>
      </c>
      <c r="CA130" t="s">
        <v>2591</v>
      </c>
      <c r="CB130" t="s">
        <v>358</v>
      </c>
      <c r="CC130" s="8" t="str">
        <f>"11968"</f>
        <v>11968</v>
      </c>
      <c r="CD130" t="s">
        <v>1752</v>
      </c>
      <c r="CE130" t="s">
        <v>1418</v>
      </c>
      <c r="CF130" s="12">
        <v>20.81</v>
      </c>
      <c r="CG130" s="12">
        <v>24</v>
      </c>
      <c r="CH130" s="12">
        <v>31.22</v>
      </c>
      <c r="CI130" s="12">
        <v>36</v>
      </c>
      <c r="CJ130" t="s">
        <v>135</v>
      </c>
      <c r="CK130" t="s">
        <v>5890</v>
      </c>
      <c r="CL130" t="s">
        <v>5891</v>
      </c>
      <c r="CO130" t="s">
        <v>132</v>
      </c>
      <c r="CP130" t="s">
        <v>136</v>
      </c>
      <c r="CQ130" t="s">
        <v>136</v>
      </c>
      <c r="CR130" t="s">
        <v>136</v>
      </c>
      <c r="CS130" t="s">
        <v>114</v>
      </c>
      <c r="CT130" t="s">
        <v>136</v>
      </c>
      <c r="CU130" t="s">
        <v>114</v>
      </c>
      <c r="CV130" t="s">
        <v>1480</v>
      </c>
      <c r="CW130" s="10" t="str">
        <f>"+16317264498"</f>
        <v>+16317264498</v>
      </c>
      <c r="CX130" t="s">
        <v>5892</v>
      </c>
      <c r="CY130" t="s">
        <v>132</v>
      </c>
      <c r="CZ130" t="s">
        <v>137</v>
      </c>
      <c r="DA130" t="s">
        <v>114</v>
      </c>
      <c r="DB130" t="s">
        <v>114</v>
      </c>
      <c r="DC130" t="s">
        <v>136</v>
      </c>
      <c r="DD130" t="s">
        <v>114</v>
      </c>
    </row>
    <row r="131" spans="1:108" ht="15" customHeight="1" x14ac:dyDescent="0.25">
      <c r="A131" t="s">
        <v>12228</v>
      </c>
      <c r="B131" t="s">
        <v>152</v>
      </c>
      <c r="C131" s="1">
        <v>45262.02048240741</v>
      </c>
      <c r="D131" s="1">
        <v>45287</v>
      </c>
      <c r="E131" t="s">
        <v>132</v>
      </c>
      <c r="F131" t="s">
        <v>1961</v>
      </c>
      <c r="G131" t="str">
        <f>"37-3011.00"</f>
        <v>37-3011.00</v>
      </c>
      <c r="H131" t="s">
        <v>429</v>
      </c>
      <c r="I131">
        <v>18</v>
      </c>
      <c r="J131">
        <v>18</v>
      </c>
      <c r="K131" s="1">
        <v>45352</v>
      </c>
      <c r="L131" s="1">
        <v>45641</v>
      </c>
      <c r="M131" s="1">
        <v>45352</v>
      </c>
      <c r="N131" s="1">
        <v>45641</v>
      </c>
      <c r="O131" t="s">
        <v>238</v>
      </c>
      <c r="P131" t="s">
        <v>5040</v>
      </c>
      <c r="R131" t="s">
        <v>5041</v>
      </c>
      <c r="T131" t="s">
        <v>5042</v>
      </c>
      <c r="U131" t="s">
        <v>358</v>
      </c>
      <c r="V131" s="8" t="str">
        <f>"11747"</f>
        <v>11747</v>
      </c>
      <c r="W131" t="s">
        <v>118</v>
      </c>
      <c r="Y131" s="10">
        <v>16314238362</v>
      </c>
      <c r="AA131">
        <v>56173</v>
      </c>
      <c r="AB131" t="s">
        <v>5043</v>
      </c>
      <c r="AC131" t="s">
        <v>5044</v>
      </c>
      <c r="AE131" t="s">
        <v>654</v>
      </c>
      <c r="AF131" t="s">
        <v>5041</v>
      </c>
      <c r="AH131" t="s">
        <v>5042</v>
      </c>
      <c r="AI131" t="s">
        <v>358</v>
      </c>
      <c r="AJ131" s="8" t="str">
        <f>"11747"</f>
        <v>11747</v>
      </c>
      <c r="AK131" t="s">
        <v>118</v>
      </c>
      <c r="AM131" s="10">
        <v>16314238362</v>
      </c>
      <c r="AO131" t="s">
        <v>132</v>
      </c>
      <c r="AP131" t="s">
        <v>248</v>
      </c>
      <c r="AQ131" t="s">
        <v>354</v>
      </c>
      <c r="AR131" t="s">
        <v>355</v>
      </c>
      <c r="AT131" t="s">
        <v>356</v>
      </c>
      <c r="AV131" t="s">
        <v>357</v>
      </c>
      <c r="AW131" t="s">
        <v>358</v>
      </c>
      <c r="AX131" s="8" t="str">
        <f>"11590"</f>
        <v>11590</v>
      </c>
      <c r="AY131" t="s">
        <v>118</v>
      </c>
      <c r="BA131" s="10">
        <v>15163307168</v>
      </c>
      <c r="BC131" t="s">
        <v>359</v>
      </c>
      <c r="BD131" t="s">
        <v>360</v>
      </c>
      <c r="BG131" t="s">
        <v>358</v>
      </c>
      <c r="BH131" s="1">
        <v>45204.833333333336</v>
      </c>
      <c r="BI131">
        <v>40</v>
      </c>
      <c r="BJ131">
        <v>0</v>
      </c>
      <c r="BK131">
        <v>8</v>
      </c>
      <c r="BL131">
        <v>8</v>
      </c>
      <c r="BM131">
        <v>8</v>
      </c>
      <c r="BN131">
        <v>8</v>
      </c>
      <c r="BO131">
        <v>8</v>
      </c>
      <c r="BP131">
        <v>0</v>
      </c>
      <c r="BQ131" t="str">
        <f>"8:00 AM"</f>
        <v>8:00 AM</v>
      </c>
      <c r="BR131" t="str">
        <f>"5:00 PM"</f>
        <v>5:00 PM</v>
      </c>
      <c r="BS131" t="s">
        <v>131</v>
      </c>
      <c r="BT131">
        <v>0</v>
      </c>
      <c r="BU131">
        <v>0</v>
      </c>
      <c r="BV131" t="s">
        <v>114</v>
      </c>
      <c r="BX131" t="s">
        <v>132</v>
      </c>
      <c r="BY131" t="s">
        <v>5041</v>
      </c>
      <c r="CA131" t="s">
        <v>5042</v>
      </c>
      <c r="CB131" t="s">
        <v>358</v>
      </c>
      <c r="CC131" s="8" t="str">
        <f>"11747"</f>
        <v>11747</v>
      </c>
      <c r="CD131" t="s">
        <v>1752</v>
      </c>
      <c r="CE131" t="s">
        <v>1418</v>
      </c>
      <c r="CF131" s="12">
        <v>20.81</v>
      </c>
      <c r="CG131" s="12">
        <v>20.81</v>
      </c>
      <c r="CH131" s="12">
        <v>31.22</v>
      </c>
      <c r="CI131" s="12">
        <v>31.22</v>
      </c>
      <c r="CJ131" t="s">
        <v>135</v>
      </c>
      <c r="CK131" t="s">
        <v>132</v>
      </c>
      <c r="CL131" t="s">
        <v>12229</v>
      </c>
      <c r="CO131" t="s">
        <v>132</v>
      </c>
      <c r="CP131" t="s">
        <v>136</v>
      </c>
      <c r="CQ131" t="s">
        <v>136</v>
      </c>
      <c r="CR131" t="s">
        <v>136</v>
      </c>
      <c r="CS131" t="s">
        <v>114</v>
      </c>
      <c r="CT131" t="s">
        <v>136</v>
      </c>
      <c r="CU131" t="s">
        <v>114</v>
      </c>
      <c r="CV131" t="s">
        <v>1480</v>
      </c>
      <c r="CW131" s="10" t="str">
        <f>"+16314238362"</f>
        <v>+16314238362</v>
      </c>
      <c r="CX131" t="s">
        <v>5047</v>
      </c>
      <c r="CY131" t="s">
        <v>132</v>
      </c>
      <c r="CZ131" t="s">
        <v>137</v>
      </c>
      <c r="DA131" t="s">
        <v>114</v>
      </c>
      <c r="DB131" t="s">
        <v>114</v>
      </c>
      <c r="DC131" t="s">
        <v>136</v>
      </c>
      <c r="DD131" t="s">
        <v>114</v>
      </c>
    </row>
    <row r="132" spans="1:108" ht="15" customHeight="1" x14ac:dyDescent="0.25">
      <c r="A132" t="s">
        <v>21211</v>
      </c>
      <c r="B132" t="s">
        <v>152</v>
      </c>
      <c r="C132" s="1">
        <v>45262.019871296296</v>
      </c>
      <c r="D132" s="1">
        <v>45287</v>
      </c>
      <c r="E132" t="s">
        <v>132</v>
      </c>
      <c r="F132" t="s">
        <v>1961</v>
      </c>
      <c r="G132" t="str">
        <f>"37-3011.00"</f>
        <v>37-3011.00</v>
      </c>
      <c r="H132" t="s">
        <v>429</v>
      </c>
      <c r="I132">
        <v>4</v>
      </c>
      <c r="J132">
        <v>4</v>
      </c>
      <c r="K132" s="1">
        <v>45352</v>
      </c>
      <c r="L132" s="1">
        <v>45641</v>
      </c>
      <c r="M132" s="1">
        <v>45352</v>
      </c>
      <c r="N132" s="1">
        <v>45641</v>
      </c>
      <c r="O132" t="s">
        <v>238</v>
      </c>
      <c r="P132" t="s">
        <v>21212</v>
      </c>
      <c r="R132" t="s">
        <v>21213</v>
      </c>
      <c r="T132" t="s">
        <v>2591</v>
      </c>
      <c r="U132" t="s">
        <v>358</v>
      </c>
      <c r="V132" s="8" t="str">
        <f>"11969"</f>
        <v>11969</v>
      </c>
      <c r="W132" t="s">
        <v>118</v>
      </c>
      <c r="Y132" s="10">
        <v>16312871123</v>
      </c>
      <c r="AA132">
        <v>56173</v>
      </c>
      <c r="AB132" t="s">
        <v>8085</v>
      </c>
      <c r="AC132" t="s">
        <v>21214</v>
      </c>
      <c r="AE132" t="s">
        <v>654</v>
      </c>
      <c r="AF132" t="s">
        <v>21213</v>
      </c>
      <c r="AH132" t="s">
        <v>2591</v>
      </c>
      <c r="AI132" t="s">
        <v>358</v>
      </c>
      <c r="AJ132" s="8" t="str">
        <f>"11969"</f>
        <v>11969</v>
      </c>
      <c r="AK132" t="s">
        <v>118</v>
      </c>
      <c r="AM132" s="10">
        <v>16312871123</v>
      </c>
      <c r="AO132" t="s">
        <v>132</v>
      </c>
      <c r="AP132" t="s">
        <v>248</v>
      </c>
      <c r="AQ132" t="s">
        <v>354</v>
      </c>
      <c r="AR132" t="s">
        <v>355</v>
      </c>
      <c r="AT132" t="s">
        <v>356</v>
      </c>
      <c r="AV132" t="s">
        <v>357</v>
      </c>
      <c r="AW132" t="s">
        <v>358</v>
      </c>
      <c r="AX132" s="8" t="str">
        <f>"11590"</f>
        <v>11590</v>
      </c>
      <c r="AY132" t="s">
        <v>118</v>
      </c>
      <c r="BA132" s="10">
        <v>15163307168</v>
      </c>
      <c r="BC132" t="s">
        <v>359</v>
      </c>
      <c r="BD132" t="s">
        <v>360</v>
      </c>
      <c r="BG132" t="s">
        <v>358</v>
      </c>
      <c r="BH132" s="1">
        <v>45204.833333333336</v>
      </c>
      <c r="BI132">
        <v>40</v>
      </c>
      <c r="BJ132">
        <v>0</v>
      </c>
      <c r="BK132">
        <v>8</v>
      </c>
      <c r="BL132">
        <v>8</v>
      </c>
      <c r="BM132">
        <v>8</v>
      </c>
      <c r="BN132">
        <v>8</v>
      </c>
      <c r="BO132">
        <v>8</v>
      </c>
      <c r="BP132">
        <v>0</v>
      </c>
      <c r="BQ132" t="str">
        <f>"8:00 AM"</f>
        <v>8:00 AM</v>
      </c>
      <c r="BR132" t="str">
        <f>"5:00 PM"</f>
        <v>5:00 PM</v>
      </c>
      <c r="BS132" t="s">
        <v>131</v>
      </c>
      <c r="BT132">
        <v>0</v>
      </c>
      <c r="BU132">
        <v>0</v>
      </c>
      <c r="BV132" t="s">
        <v>114</v>
      </c>
      <c r="BX132" t="s">
        <v>132</v>
      </c>
      <c r="BY132" t="s">
        <v>21213</v>
      </c>
      <c r="CA132" t="s">
        <v>2591</v>
      </c>
      <c r="CB132" t="s">
        <v>358</v>
      </c>
      <c r="CC132" s="8" t="str">
        <f>"11969"</f>
        <v>11969</v>
      </c>
      <c r="CD132" t="s">
        <v>1752</v>
      </c>
      <c r="CE132" t="s">
        <v>1418</v>
      </c>
      <c r="CF132" s="12">
        <v>20.81</v>
      </c>
      <c r="CG132" s="12">
        <v>20.81</v>
      </c>
      <c r="CH132" s="12">
        <v>31.22</v>
      </c>
      <c r="CI132" s="12">
        <v>31.22</v>
      </c>
      <c r="CJ132" t="s">
        <v>135</v>
      </c>
      <c r="CK132" t="s">
        <v>132</v>
      </c>
      <c r="CL132" t="s">
        <v>21215</v>
      </c>
      <c r="CO132" t="s">
        <v>132</v>
      </c>
      <c r="CP132" t="s">
        <v>136</v>
      </c>
      <c r="CQ132" t="s">
        <v>136</v>
      </c>
      <c r="CR132" t="s">
        <v>136</v>
      </c>
      <c r="CS132" t="s">
        <v>114</v>
      </c>
      <c r="CT132" t="s">
        <v>136</v>
      </c>
      <c r="CU132" t="s">
        <v>114</v>
      </c>
      <c r="CV132" t="s">
        <v>1480</v>
      </c>
      <c r="CW132" s="10" t="str">
        <f>"+16312871123"</f>
        <v>+16312871123</v>
      </c>
      <c r="CX132" t="s">
        <v>21216</v>
      </c>
      <c r="CY132" t="s">
        <v>132</v>
      </c>
      <c r="CZ132" t="s">
        <v>137</v>
      </c>
      <c r="DA132" t="s">
        <v>114</v>
      </c>
      <c r="DB132" t="s">
        <v>114</v>
      </c>
      <c r="DC132" t="s">
        <v>136</v>
      </c>
      <c r="DD132" t="s">
        <v>114</v>
      </c>
    </row>
    <row r="133" spans="1:108" ht="15" customHeight="1" x14ac:dyDescent="0.25">
      <c r="A133" t="s">
        <v>14905</v>
      </c>
      <c r="B133" t="s">
        <v>152</v>
      </c>
      <c r="C133" s="1">
        <v>45262.019669907408</v>
      </c>
      <c r="D133" s="1">
        <v>45287</v>
      </c>
      <c r="E133" t="s">
        <v>132</v>
      </c>
      <c r="F133" t="s">
        <v>14906</v>
      </c>
      <c r="G133" t="str">
        <f>"53-7061.00"</f>
        <v>53-7061.00</v>
      </c>
      <c r="H133" t="s">
        <v>4866</v>
      </c>
      <c r="I133">
        <v>8</v>
      </c>
      <c r="J133">
        <v>8</v>
      </c>
      <c r="K133" s="1">
        <v>45352</v>
      </c>
      <c r="L133" s="1">
        <v>45566</v>
      </c>
      <c r="M133" s="1">
        <v>45352</v>
      </c>
      <c r="N133" s="1">
        <v>45566</v>
      </c>
      <c r="O133" t="s">
        <v>238</v>
      </c>
      <c r="P133" t="s">
        <v>14907</v>
      </c>
      <c r="R133" t="s">
        <v>14908</v>
      </c>
      <c r="T133" t="s">
        <v>14909</v>
      </c>
      <c r="U133" t="s">
        <v>358</v>
      </c>
      <c r="V133" s="8" t="str">
        <f>"11972"</f>
        <v>11972</v>
      </c>
      <c r="W133" t="s">
        <v>118</v>
      </c>
      <c r="Y133" s="10">
        <v>16313251986</v>
      </c>
      <c r="AA133">
        <v>811490</v>
      </c>
      <c r="AB133" t="s">
        <v>14910</v>
      </c>
      <c r="AC133" t="s">
        <v>5705</v>
      </c>
      <c r="AE133" t="s">
        <v>654</v>
      </c>
      <c r="AF133" t="s">
        <v>14911</v>
      </c>
      <c r="AH133" t="s">
        <v>14912</v>
      </c>
      <c r="AI133" t="s">
        <v>358</v>
      </c>
      <c r="AJ133" s="8" t="str">
        <f>"11972"</f>
        <v>11972</v>
      </c>
      <c r="AK133" t="s">
        <v>118</v>
      </c>
      <c r="AM133" s="10">
        <v>16313251986</v>
      </c>
      <c r="AO133" t="s">
        <v>132</v>
      </c>
      <c r="AP133" t="s">
        <v>248</v>
      </c>
      <c r="AQ133" t="s">
        <v>354</v>
      </c>
      <c r="AR133" t="s">
        <v>355</v>
      </c>
      <c r="AT133" t="s">
        <v>356</v>
      </c>
      <c r="AV133" t="s">
        <v>357</v>
      </c>
      <c r="AW133" t="s">
        <v>358</v>
      </c>
      <c r="AX133" s="8" t="str">
        <f>"11590"</f>
        <v>11590</v>
      </c>
      <c r="AY133" t="s">
        <v>118</v>
      </c>
      <c r="BA133" s="10">
        <v>15163307168</v>
      </c>
      <c r="BC133" t="s">
        <v>359</v>
      </c>
      <c r="BD133" t="s">
        <v>360</v>
      </c>
      <c r="BG133" t="s">
        <v>358</v>
      </c>
      <c r="BH133" s="1">
        <v>45203.833333333336</v>
      </c>
      <c r="BI133">
        <v>40</v>
      </c>
      <c r="BJ133">
        <v>0</v>
      </c>
      <c r="BK133">
        <v>8</v>
      </c>
      <c r="BL133">
        <v>8</v>
      </c>
      <c r="BM133">
        <v>8</v>
      </c>
      <c r="BN133">
        <v>8</v>
      </c>
      <c r="BO133">
        <v>8</v>
      </c>
      <c r="BP133">
        <v>0</v>
      </c>
      <c r="BQ133" t="str">
        <f>"8:00 AM"</f>
        <v>8:00 AM</v>
      </c>
      <c r="BR133" t="str">
        <f>"5:00 PM"</f>
        <v>5:00 PM</v>
      </c>
      <c r="BS133" t="s">
        <v>131</v>
      </c>
      <c r="BT133">
        <v>0</v>
      </c>
      <c r="BU133">
        <v>1</v>
      </c>
      <c r="BV133" t="s">
        <v>114</v>
      </c>
      <c r="BX133" t="s">
        <v>14913</v>
      </c>
      <c r="BY133" t="s">
        <v>14908</v>
      </c>
      <c r="CA133" t="s">
        <v>14909</v>
      </c>
      <c r="CB133" t="s">
        <v>358</v>
      </c>
      <c r="CC133" s="8" t="str">
        <f>"11972"</f>
        <v>11972</v>
      </c>
      <c r="CD133" t="s">
        <v>1752</v>
      </c>
      <c r="CE133" t="s">
        <v>1418</v>
      </c>
      <c r="CF133" s="12">
        <v>20.18</v>
      </c>
      <c r="CG133" s="12">
        <v>20.18</v>
      </c>
      <c r="CH133" s="12">
        <v>30.27</v>
      </c>
      <c r="CI133" s="12">
        <v>30.27</v>
      </c>
      <c r="CJ133" t="s">
        <v>135</v>
      </c>
      <c r="CK133" t="s">
        <v>132</v>
      </c>
      <c r="CL133" t="s">
        <v>14914</v>
      </c>
      <c r="CO133" t="s">
        <v>132</v>
      </c>
      <c r="CP133" t="s">
        <v>114</v>
      </c>
      <c r="CQ133" t="s">
        <v>114</v>
      </c>
      <c r="CR133" t="s">
        <v>136</v>
      </c>
      <c r="CS133" t="s">
        <v>114</v>
      </c>
      <c r="CT133" t="s">
        <v>136</v>
      </c>
      <c r="CU133" t="s">
        <v>114</v>
      </c>
      <c r="CV133" t="s">
        <v>1480</v>
      </c>
      <c r="CW133" s="10" t="str">
        <f>"+16313251986"</f>
        <v>+16313251986</v>
      </c>
      <c r="CX133" t="s">
        <v>14915</v>
      </c>
      <c r="CY133" t="s">
        <v>132</v>
      </c>
      <c r="CZ133" t="s">
        <v>137</v>
      </c>
      <c r="DA133" t="s">
        <v>114</v>
      </c>
      <c r="DB133" t="s">
        <v>114</v>
      </c>
      <c r="DC133" t="s">
        <v>136</v>
      </c>
      <c r="DD133" t="s">
        <v>114</v>
      </c>
    </row>
    <row r="134" spans="1:108" ht="15" customHeight="1" x14ac:dyDescent="0.25">
      <c r="A134" t="s">
        <v>13515</v>
      </c>
      <c r="B134" t="s">
        <v>152</v>
      </c>
      <c r="C134" s="1">
        <v>45262.018932638886</v>
      </c>
      <c r="D134" s="1">
        <v>45287</v>
      </c>
      <c r="E134" t="s">
        <v>132</v>
      </c>
      <c r="F134" t="s">
        <v>9391</v>
      </c>
      <c r="G134" t="str">
        <f>"53-7062.00"</f>
        <v>53-7062.00</v>
      </c>
      <c r="H134" t="s">
        <v>2078</v>
      </c>
      <c r="I134">
        <v>9</v>
      </c>
      <c r="J134">
        <v>9</v>
      </c>
      <c r="K134" s="1">
        <v>45352</v>
      </c>
      <c r="L134" s="1">
        <v>45636</v>
      </c>
      <c r="M134" s="1">
        <v>45352</v>
      </c>
      <c r="N134" s="1">
        <v>45636</v>
      </c>
      <c r="O134" t="s">
        <v>238</v>
      </c>
      <c r="P134" t="s">
        <v>13516</v>
      </c>
      <c r="R134" t="s">
        <v>13517</v>
      </c>
      <c r="T134" t="s">
        <v>13518</v>
      </c>
      <c r="U134" t="s">
        <v>358</v>
      </c>
      <c r="V134" s="8" t="str">
        <f>"11768"</f>
        <v>11768</v>
      </c>
      <c r="W134" t="s">
        <v>118</v>
      </c>
      <c r="Y134" s="10">
        <v>16317545118</v>
      </c>
      <c r="AA134">
        <v>42332</v>
      </c>
      <c r="AB134" t="s">
        <v>13519</v>
      </c>
      <c r="AC134" t="s">
        <v>13520</v>
      </c>
      <c r="AE134" t="s">
        <v>654</v>
      </c>
      <c r="AF134" t="s">
        <v>13517</v>
      </c>
      <c r="AH134" t="s">
        <v>13518</v>
      </c>
      <c r="AI134" t="s">
        <v>358</v>
      </c>
      <c r="AJ134" s="8" t="str">
        <f>"11768"</f>
        <v>11768</v>
      </c>
      <c r="AK134" t="s">
        <v>118</v>
      </c>
      <c r="AM134" s="10">
        <v>16317545118</v>
      </c>
      <c r="AO134" t="s">
        <v>132</v>
      </c>
      <c r="AP134" t="s">
        <v>248</v>
      </c>
      <c r="AQ134" t="s">
        <v>354</v>
      </c>
      <c r="AR134" t="s">
        <v>355</v>
      </c>
      <c r="AT134" t="s">
        <v>356</v>
      </c>
      <c r="AV134" t="s">
        <v>357</v>
      </c>
      <c r="AW134" t="s">
        <v>358</v>
      </c>
      <c r="AX134" s="8" t="str">
        <f>"11590"</f>
        <v>11590</v>
      </c>
      <c r="AY134" t="s">
        <v>118</v>
      </c>
      <c r="BA134" s="10">
        <v>15163307168</v>
      </c>
      <c r="BC134" t="s">
        <v>359</v>
      </c>
      <c r="BD134" t="s">
        <v>360</v>
      </c>
      <c r="BG134" t="s">
        <v>358</v>
      </c>
      <c r="BH134" s="1">
        <v>45203.833333333336</v>
      </c>
      <c r="BI134">
        <v>40</v>
      </c>
      <c r="BJ134">
        <v>0</v>
      </c>
      <c r="BK134">
        <v>8</v>
      </c>
      <c r="BL134">
        <v>8</v>
      </c>
      <c r="BM134">
        <v>8</v>
      </c>
      <c r="BN134">
        <v>8</v>
      </c>
      <c r="BO134">
        <v>8</v>
      </c>
      <c r="BP134">
        <v>0</v>
      </c>
      <c r="BQ134" t="str">
        <f>"8:00 AM"</f>
        <v>8:00 AM</v>
      </c>
      <c r="BR134" t="str">
        <f>"5:00 PM"</f>
        <v>5:00 PM</v>
      </c>
      <c r="BS134" t="s">
        <v>131</v>
      </c>
      <c r="BT134">
        <v>0</v>
      </c>
      <c r="BU134">
        <v>1</v>
      </c>
      <c r="BV134" t="s">
        <v>114</v>
      </c>
      <c r="BX134" t="s">
        <v>13521</v>
      </c>
      <c r="BY134" t="s">
        <v>13517</v>
      </c>
      <c r="CA134" t="s">
        <v>13518</v>
      </c>
      <c r="CB134" t="s">
        <v>358</v>
      </c>
      <c r="CC134" s="8" t="str">
        <f>"11768"</f>
        <v>11768</v>
      </c>
      <c r="CD134" t="s">
        <v>1752</v>
      </c>
      <c r="CE134" t="s">
        <v>1418</v>
      </c>
      <c r="CF134" s="12">
        <v>20.18</v>
      </c>
      <c r="CG134" s="12">
        <v>20.18</v>
      </c>
      <c r="CH134" s="12">
        <v>30.27</v>
      </c>
      <c r="CI134" s="12">
        <v>30.27</v>
      </c>
      <c r="CJ134" t="s">
        <v>135</v>
      </c>
      <c r="CK134" t="s">
        <v>132</v>
      </c>
      <c r="CL134" t="s">
        <v>13522</v>
      </c>
      <c r="CO134" t="s">
        <v>132</v>
      </c>
      <c r="CP134" t="s">
        <v>136</v>
      </c>
      <c r="CQ134" t="s">
        <v>136</v>
      </c>
      <c r="CR134" t="s">
        <v>136</v>
      </c>
      <c r="CS134" t="s">
        <v>114</v>
      </c>
      <c r="CT134" t="s">
        <v>136</v>
      </c>
      <c r="CU134" t="s">
        <v>114</v>
      </c>
      <c r="CV134" t="s">
        <v>1480</v>
      </c>
      <c r="CW134" s="10" t="str">
        <f>"+16317545118"</f>
        <v>+16317545118</v>
      </c>
      <c r="CX134" t="s">
        <v>13523</v>
      </c>
      <c r="CY134" t="s">
        <v>132</v>
      </c>
      <c r="CZ134" t="s">
        <v>137</v>
      </c>
      <c r="DA134" t="s">
        <v>114</v>
      </c>
      <c r="DB134" t="s">
        <v>114</v>
      </c>
      <c r="DC134" t="s">
        <v>136</v>
      </c>
      <c r="DD134" t="s">
        <v>114</v>
      </c>
    </row>
    <row r="135" spans="1:108" ht="15" customHeight="1" x14ac:dyDescent="0.25">
      <c r="A135" t="s">
        <v>8166</v>
      </c>
      <c r="B135" t="s">
        <v>152</v>
      </c>
      <c r="C135" s="1">
        <v>45262.018754398145</v>
      </c>
      <c r="D135" s="1">
        <v>45287</v>
      </c>
      <c r="E135" t="s">
        <v>132</v>
      </c>
      <c r="F135" t="s">
        <v>8167</v>
      </c>
      <c r="G135" t="str">
        <f>"37-2011.00"</f>
        <v>37-2011.00</v>
      </c>
      <c r="H135" t="s">
        <v>1089</v>
      </c>
      <c r="I135">
        <v>50</v>
      </c>
      <c r="J135">
        <v>50</v>
      </c>
      <c r="K135" s="1">
        <v>45352</v>
      </c>
      <c r="L135" s="1">
        <v>45626</v>
      </c>
      <c r="M135" s="1">
        <v>45352</v>
      </c>
      <c r="N135" s="1">
        <v>45626</v>
      </c>
      <c r="O135" t="s">
        <v>238</v>
      </c>
      <c r="P135" t="s">
        <v>8168</v>
      </c>
      <c r="R135" t="s">
        <v>8169</v>
      </c>
      <c r="T135" t="s">
        <v>8170</v>
      </c>
      <c r="U135" t="s">
        <v>358</v>
      </c>
      <c r="V135" s="8" t="str">
        <f>"11952"</f>
        <v>11952</v>
      </c>
      <c r="W135" t="s">
        <v>118</v>
      </c>
      <c r="Y135" s="10">
        <v>16312985500</v>
      </c>
      <c r="AA135">
        <v>561720</v>
      </c>
      <c r="AB135" t="s">
        <v>8171</v>
      </c>
      <c r="AC135" t="s">
        <v>1958</v>
      </c>
      <c r="AE135" t="s">
        <v>654</v>
      </c>
      <c r="AF135" t="s">
        <v>8172</v>
      </c>
      <c r="AH135" t="s">
        <v>8170</v>
      </c>
      <c r="AI135" t="s">
        <v>358</v>
      </c>
      <c r="AJ135" s="8" t="str">
        <f>"11952"</f>
        <v>11952</v>
      </c>
      <c r="AK135" t="s">
        <v>118</v>
      </c>
      <c r="AM135" s="10">
        <v>16312985500</v>
      </c>
      <c r="AO135" t="s">
        <v>132</v>
      </c>
      <c r="AP135" t="s">
        <v>248</v>
      </c>
      <c r="AQ135" t="s">
        <v>354</v>
      </c>
      <c r="AR135" t="s">
        <v>355</v>
      </c>
      <c r="AT135" t="s">
        <v>356</v>
      </c>
      <c r="AV135" t="s">
        <v>357</v>
      </c>
      <c r="AW135" t="s">
        <v>358</v>
      </c>
      <c r="AX135" s="8" t="str">
        <f>"11590"</f>
        <v>11590</v>
      </c>
      <c r="AY135" t="s">
        <v>118</v>
      </c>
      <c r="BA135" s="10">
        <v>15163307168</v>
      </c>
      <c r="BC135" t="s">
        <v>359</v>
      </c>
      <c r="BD135" t="s">
        <v>360</v>
      </c>
      <c r="BG135" t="s">
        <v>358</v>
      </c>
      <c r="BH135" s="1">
        <v>45203.833333333336</v>
      </c>
      <c r="BI135">
        <v>40</v>
      </c>
      <c r="BJ135">
        <v>0</v>
      </c>
      <c r="BK135">
        <v>8</v>
      </c>
      <c r="BL135">
        <v>8</v>
      </c>
      <c r="BM135">
        <v>8</v>
      </c>
      <c r="BN135">
        <v>8</v>
      </c>
      <c r="BO135">
        <v>8</v>
      </c>
      <c r="BP135">
        <v>0</v>
      </c>
      <c r="BQ135" t="str">
        <f>"8:00 AM"</f>
        <v>8:00 AM</v>
      </c>
      <c r="BR135" t="str">
        <f>"5:00 PM"</f>
        <v>5:00 PM</v>
      </c>
      <c r="BS135" t="s">
        <v>131</v>
      </c>
      <c r="BT135">
        <v>0</v>
      </c>
      <c r="BU135">
        <v>1</v>
      </c>
      <c r="BV135" t="s">
        <v>114</v>
      </c>
      <c r="BX135" t="s">
        <v>8173</v>
      </c>
      <c r="BY135" t="s">
        <v>8169</v>
      </c>
      <c r="CA135" t="s">
        <v>8170</v>
      </c>
      <c r="CB135" t="s">
        <v>358</v>
      </c>
      <c r="CC135" s="8" t="str">
        <f>"11952"</f>
        <v>11952</v>
      </c>
      <c r="CD135" t="s">
        <v>1752</v>
      </c>
      <c r="CE135" t="s">
        <v>1418</v>
      </c>
      <c r="CF135" s="12">
        <v>20.14</v>
      </c>
      <c r="CG135" s="12">
        <v>20.14</v>
      </c>
      <c r="CH135" s="12">
        <v>30.21</v>
      </c>
      <c r="CI135" s="12">
        <v>30.21</v>
      </c>
      <c r="CJ135" t="s">
        <v>135</v>
      </c>
      <c r="CK135" t="s">
        <v>132</v>
      </c>
      <c r="CL135" t="s">
        <v>8174</v>
      </c>
      <c r="CO135" t="s">
        <v>132</v>
      </c>
      <c r="CP135" t="s">
        <v>136</v>
      </c>
      <c r="CQ135" t="s">
        <v>136</v>
      </c>
      <c r="CR135" t="s">
        <v>136</v>
      </c>
      <c r="CS135" t="s">
        <v>114</v>
      </c>
      <c r="CT135" t="s">
        <v>136</v>
      </c>
      <c r="CU135" t="s">
        <v>114</v>
      </c>
      <c r="CV135" t="s">
        <v>1480</v>
      </c>
      <c r="CW135" s="10" t="str">
        <f>"+16312985500"</f>
        <v>+16312985500</v>
      </c>
      <c r="CX135" t="s">
        <v>8175</v>
      </c>
      <c r="CY135" t="s">
        <v>132</v>
      </c>
      <c r="CZ135" t="s">
        <v>137</v>
      </c>
      <c r="DA135" t="s">
        <v>114</v>
      </c>
      <c r="DB135" t="s">
        <v>114</v>
      </c>
      <c r="DC135" t="s">
        <v>136</v>
      </c>
      <c r="DD135" t="s">
        <v>114</v>
      </c>
    </row>
    <row r="136" spans="1:108" ht="15" customHeight="1" x14ac:dyDescent="0.25">
      <c r="A136" t="s">
        <v>18944</v>
      </c>
      <c r="B136" t="s">
        <v>152</v>
      </c>
      <c r="C136" s="1">
        <v>45262.018233564813</v>
      </c>
      <c r="D136" s="1">
        <v>45287</v>
      </c>
      <c r="E136" t="s">
        <v>132</v>
      </c>
      <c r="F136" t="s">
        <v>1961</v>
      </c>
      <c r="G136" t="str">
        <f>"37-3011.00"</f>
        <v>37-3011.00</v>
      </c>
      <c r="H136" t="s">
        <v>429</v>
      </c>
      <c r="I136">
        <v>6</v>
      </c>
      <c r="J136">
        <v>6</v>
      </c>
      <c r="K136" s="1">
        <v>45352</v>
      </c>
      <c r="L136" s="1">
        <v>45646</v>
      </c>
      <c r="M136" s="1">
        <v>45352</v>
      </c>
      <c r="N136" s="1">
        <v>45646</v>
      </c>
      <c r="O136" t="s">
        <v>238</v>
      </c>
      <c r="P136" t="s">
        <v>18945</v>
      </c>
      <c r="R136" t="s">
        <v>18946</v>
      </c>
      <c r="T136" t="s">
        <v>3102</v>
      </c>
      <c r="U136" t="s">
        <v>358</v>
      </c>
      <c r="V136" s="8" t="str">
        <f>"11937"</f>
        <v>11937</v>
      </c>
      <c r="W136" t="s">
        <v>118</v>
      </c>
      <c r="Y136" s="10">
        <v>16314880064</v>
      </c>
      <c r="AA136">
        <v>56173</v>
      </c>
      <c r="AB136" t="s">
        <v>18947</v>
      </c>
      <c r="AC136" t="s">
        <v>355</v>
      </c>
      <c r="AE136" t="s">
        <v>654</v>
      </c>
      <c r="AF136" t="s">
        <v>18946</v>
      </c>
      <c r="AH136" t="s">
        <v>3102</v>
      </c>
      <c r="AI136" t="s">
        <v>358</v>
      </c>
      <c r="AJ136" s="8" t="str">
        <f>"11937"</f>
        <v>11937</v>
      </c>
      <c r="AK136" t="s">
        <v>118</v>
      </c>
      <c r="AM136" s="10">
        <v>16314880064</v>
      </c>
      <c r="AO136" t="s">
        <v>132</v>
      </c>
      <c r="AP136" t="s">
        <v>248</v>
      </c>
      <c r="AQ136" t="s">
        <v>354</v>
      </c>
      <c r="AR136" t="s">
        <v>355</v>
      </c>
      <c r="AT136" t="s">
        <v>356</v>
      </c>
      <c r="AV136" t="s">
        <v>357</v>
      </c>
      <c r="AW136" t="s">
        <v>358</v>
      </c>
      <c r="AX136" s="8" t="str">
        <f>"11590"</f>
        <v>11590</v>
      </c>
      <c r="AY136" t="s">
        <v>118</v>
      </c>
      <c r="BA136" s="10">
        <v>15163307168</v>
      </c>
      <c r="BC136" t="s">
        <v>359</v>
      </c>
      <c r="BD136" t="s">
        <v>360</v>
      </c>
      <c r="BG136" t="s">
        <v>358</v>
      </c>
      <c r="BH136" s="1">
        <v>45203.833333333336</v>
      </c>
      <c r="BI136">
        <v>40</v>
      </c>
      <c r="BJ136">
        <v>0</v>
      </c>
      <c r="BK136">
        <v>8</v>
      </c>
      <c r="BL136">
        <v>8</v>
      </c>
      <c r="BM136">
        <v>8</v>
      </c>
      <c r="BN136">
        <v>8</v>
      </c>
      <c r="BO136">
        <v>8</v>
      </c>
      <c r="BP136">
        <v>0</v>
      </c>
      <c r="BQ136" t="str">
        <f>"8:00 AM"</f>
        <v>8:00 AM</v>
      </c>
      <c r="BR136" t="str">
        <f>"5:00 PM"</f>
        <v>5:00 PM</v>
      </c>
      <c r="BS136" t="s">
        <v>131</v>
      </c>
      <c r="BT136">
        <v>0</v>
      </c>
      <c r="BU136">
        <v>0</v>
      </c>
      <c r="BV136" t="s">
        <v>114</v>
      </c>
      <c r="BX136" t="s">
        <v>132</v>
      </c>
      <c r="BY136" t="s">
        <v>18946</v>
      </c>
      <c r="CA136" t="s">
        <v>3102</v>
      </c>
      <c r="CB136" t="s">
        <v>358</v>
      </c>
      <c r="CC136" s="8" t="str">
        <f>"11937"</f>
        <v>11937</v>
      </c>
      <c r="CD136" t="s">
        <v>1752</v>
      </c>
      <c r="CE136" t="s">
        <v>1418</v>
      </c>
      <c r="CF136" s="12">
        <v>20.81</v>
      </c>
      <c r="CG136" s="12">
        <v>20.81</v>
      </c>
      <c r="CH136" s="12">
        <v>31.22</v>
      </c>
      <c r="CI136" s="12">
        <v>31.22</v>
      </c>
      <c r="CJ136" t="s">
        <v>135</v>
      </c>
      <c r="CK136" t="s">
        <v>132</v>
      </c>
      <c r="CL136" t="s">
        <v>18948</v>
      </c>
      <c r="CO136" t="s">
        <v>132</v>
      </c>
      <c r="CP136" t="s">
        <v>136</v>
      </c>
      <c r="CQ136" t="s">
        <v>136</v>
      </c>
      <c r="CR136" t="s">
        <v>136</v>
      </c>
      <c r="CS136" t="s">
        <v>114</v>
      </c>
      <c r="CT136" t="s">
        <v>136</v>
      </c>
      <c r="CU136" t="s">
        <v>114</v>
      </c>
      <c r="CV136" t="s">
        <v>1480</v>
      </c>
      <c r="CW136" s="10" t="str">
        <f>"+16314880064"</f>
        <v>+16314880064</v>
      </c>
      <c r="CX136" t="s">
        <v>18949</v>
      </c>
      <c r="CY136" t="s">
        <v>132</v>
      </c>
      <c r="CZ136" t="s">
        <v>137</v>
      </c>
      <c r="DA136" t="s">
        <v>114</v>
      </c>
      <c r="DB136" t="s">
        <v>114</v>
      </c>
      <c r="DC136" t="s">
        <v>136</v>
      </c>
      <c r="DD136" t="s">
        <v>114</v>
      </c>
    </row>
    <row r="137" spans="1:108" ht="15" customHeight="1" x14ac:dyDescent="0.25">
      <c r="A137" t="s">
        <v>16592</v>
      </c>
      <c r="B137" t="s">
        <v>152</v>
      </c>
      <c r="C137" s="1">
        <v>45262.018025231482</v>
      </c>
      <c r="D137" s="1">
        <v>45287</v>
      </c>
      <c r="E137" t="s">
        <v>132</v>
      </c>
      <c r="F137" t="s">
        <v>1961</v>
      </c>
      <c r="G137" t="str">
        <f>"37-3011.00"</f>
        <v>37-3011.00</v>
      </c>
      <c r="H137" t="s">
        <v>429</v>
      </c>
      <c r="I137">
        <v>15</v>
      </c>
      <c r="J137">
        <v>15</v>
      </c>
      <c r="K137" s="1">
        <v>45352</v>
      </c>
      <c r="L137" s="1">
        <v>45641</v>
      </c>
      <c r="M137" s="1">
        <v>45352</v>
      </c>
      <c r="N137" s="1">
        <v>45641</v>
      </c>
      <c r="O137" t="s">
        <v>238</v>
      </c>
      <c r="P137" t="s">
        <v>16593</v>
      </c>
      <c r="R137" t="s">
        <v>16594</v>
      </c>
      <c r="T137" t="s">
        <v>16595</v>
      </c>
      <c r="U137" t="s">
        <v>358</v>
      </c>
      <c r="V137" s="8" t="str">
        <f>"10994"</f>
        <v>10994</v>
      </c>
      <c r="W137" t="s">
        <v>118</v>
      </c>
      <c r="Y137" s="10">
        <v>18456272491</v>
      </c>
      <c r="AA137">
        <v>56173</v>
      </c>
      <c r="AB137" t="s">
        <v>16596</v>
      </c>
      <c r="AC137" t="s">
        <v>2754</v>
      </c>
      <c r="AE137" t="s">
        <v>654</v>
      </c>
      <c r="AF137" t="s">
        <v>16594</v>
      </c>
      <c r="AH137" t="s">
        <v>7687</v>
      </c>
      <c r="AI137" t="s">
        <v>358</v>
      </c>
      <c r="AJ137" s="8" t="str">
        <f>"10994"</f>
        <v>10994</v>
      </c>
      <c r="AK137" t="s">
        <v>118</v>
      </c>
      <c r="AM137" s="10">
        <v>18456272491</v>
      </c>
      <c r="AO137" t="s">
        <v>132</v>
      </c>
      <c r="AP137" t="s">
        <v>248</v>
      </c>
      <c r="AQ137" t="s">
        <v>354</v>
      </c>
      <c r="AR137" t="s">
        <v>355</v>
      </c>
      <c r="AT137" t="s">
        <v>356</v>
      </c>
      <c r="AV137" t="s">
        <v>357</v>
      </c>
      <c r="AW137" t="s">
        <v>358</v>
      </c>
      <c r="AX137" s="8" t="str">
        <f>"11590"</f>
        <v>11590</v>
      </c>
      <c r="AY137" t="s">
        <v>118</v>
      </c>
      <c r="BA137" s="10">
        <v>15163307168</v>
      </c>
      <c r="BC137" t="s">
        <v>359</v>
      </c>
      <c r="BD137" t="s">
        <v>360</v>
      </c>
      <c r="BG137" t="s">
        <v>358</v>
      </c>
      <c r="BH137" s="1">
        <v>45203.833333333336</v>
      </c>
      <c r="BI137">
        <v>40</v>
      </c>
      <c r="BJ137">
        <v>0</v>
      </c>
      <c r="BK137">
        <v>8</v>
      </c>
      <c r="BL137">
        <v>8</v>
      </c>
      <c r="BM137">
        <v>8</v>
      </c>
      <c r="BN137">
        <v>8</v>
      </c>
      <c r="BO137">
        <v>8</v>
      </c>
      <c r="BP137">
        <v>0</v>
      </c>
      <c r="BQ137" t="str">
        <f>"8:00 AM"</f>
        <v>8:00 AM</v>
      </c>
      <c r="BR137" t="str">
        <f>"5:00 PM"</f>
        <v>5:00 PM</v>
      </c>
      <c r="BS137" t="s">
        <v>131</v>
      </c>
      <c r="BT137">
        <v>0</v>
      </c>
      <c r="BU137">
        <v>0</v>
      </c>
      <c r="BV137" t="s">
        <v>114</v>
      </c>
      <c r="BX137" t="s">
        <v>132</v>
      </c>
      <c r="BY137" t="s">
        <v>16594</v>
      </c>
      <c r="CA137" t="s">
        <v>7687</v>
      </c>
      <c r="CB137" t="s">
        <v>358</v>
      </c>
      <c r="CC137" s="8" t="str">
        <f>"10994"</f>
        <v>10994</v>
      </c>
      <c r="CD137" t="s">
        <v>5237</v>
      </c>
      <c r="CE137" t="s">
        <v>1418</v>
      </c>
      <c r="CF137" s="12">
        <v>20.81</v>
      </c>
      <c r="CG137" s="12">
        <v>20.81</v>
      </c>
      <c r="CH137" s="12">
        <v>31.22</v>
      </c>
      <c r="CI137" s="12">
        <v>31.22</v>
      </c>
      <c r="CJ137" t="s">
        <v>135</v>
      </c>
      <c r="CK137" t="s">
        <v>132</v>
      </c>
      <c r="CL137" t="s">
        <v>16597</v>
      </c>
      <c r="CO137" t="s">
        <v>132</v>
      </c>
      <c r="CP137" t="s">
        <v>136</v>
      </c>
      <c r="CQ137" t="s">
        <v>136</v>
      </c>
      <c r="CR137" t="s">
        <v>136</v>
      </c>
      <c r="CS137" t="s">
        <v>114</v>
      </c>
      <c r="CT137" t="s">
        <v>136</v>
      </c>
      <c r="CU137" t="s">
        <v>114</v>
      </c>
      <c r="CV137" t="s">
        <v>1480</v>
      </c>
      <c r="CW137" s="10" t="str">
        <f>"+18456272491"</f>
        <v>+18456272491</v>
      </c>
      <c r="CX137" t="s">
        <v>16598</v>
      </c>
      <c r="CY137" t="s">
        <v>132</v>
      </c>
      <c r="CZ137" t="s">
        <v>137</v>
      </c>
      <c r="DA137" t="s">
        <v>114</v>
      </c>
      <c r="DB137" t="s">
        <v>114</v>
      </c>
      <c r="DC137" t="s">
        <v>136</v>
      </c>
      <c r="DD137" t="s">
        <v>114</v>
      </c>
    </row>
    <row r="138" spans="1:108" ht="15" customHeight="1" x14ac:dyDescent="0.25">
      <c r="A138" t="s">
        <v>17559</v>
      </c>
      <c r="B138" t="s">
        <v>152</v>
      </c>
      <c r="C138" s="1">
        <v>45262.017792361112</v>
      </c>
      <c r="D138" s="1">
        <v>45287</v>
      </c>
      <c r="E138" t="s">
        <v>132</v>
      </c>
      <c r="F138" t="s">
        <v>1961</v>
      </c>
      <c r="G138" t="str">
        <f>"37-3011.00"</f>
        <v>37-3011.00</v>
      </c>
      <c r="H138" t="s">
        <v>429</v>
      </c>
      <c r="I138">
        <v>4</v>
      </c>
      <c r="J138">
        <v>4</v>
      </c>
      <c r="K138" s="1">
        <v>45352</v>
      </c>
      <c r="L138" s="1">
        <v>45611</v>
      </c>
      <c r="M138" s="1">
        <v>45352</v>
      </c>
      <c r="N138" s="1">
        <v>45611</v>
      </c>
      <c r="O138" t="s">
        <v>238</v>
      </c>
      <c r="P138" t="s">
        <v>17560</v>
      </c>
      <c r="R138" t="s">
        <v>17561</v>
      </c>
      <c r="S138" t="s">
        <v>17562</v>
      </c>
      <c r="T138" t="s">
        <v>4881</v>
      </c>
      <c r="U138" t="s">
        <v>358</v>
      </c>
      <c r="V138" s="8" t="str">
        <f>"11975"</f>
        <v>11975</v>
      </c>
      <c r="W138" t="s">
        <v>118</v>
      </c>
      <c r="Y138" s="10">
        <v>16315375017</v>
      </c>
      <c r="AA138">
        <v>56173</v>
      </c>
      <c r="AB138" t="s">
        <v>17563</v>
      </c>
      <c r="AC138" t="s">
        <v>17564</v>
      </c>
      <c r="AE138" t="s">
        <v>438</v>
      </c>
      <c r="AF138" t="s">
        <v>17562</v>
      </c>
      <c r="AG138" t="s">
        <v>17561</v>
      </c>
      <c r="AH138" t="s">
        <v>4881</v>
      </c>
      <c r="AI138" t="s">
        <v>358</v>
      </c>
      <c r="AJ138" s="8" t="str">
        <f>"11975"</f>
        <v>11975</v>
      </c>
      <c r="AK138" t="s">
        <v>118</v>
      </c>
      <c r="AM138" s="10">
        <v>16315375017</v>
      </c>
      <c r="AO138" t="s">
        <v>132</v>
      </c>
      <c r="AP138" t="s">
        <v>248</v>
      </c>
      <c r="AQ138" t="s">
        <v>354</v>
      </c>
      <c r="AR138" t="s">
        <v>355</v>
      </c>
      <c r="AT138" t="s">
        <v>356</v>
      </c>
      <c r="AV138" t="s">
        <v>357</v>
      </c>
      <c r="AW138" t="s">
        <v>358</v>
      </c>
      <c r="AX138" s="8" t="str">
        <f>"11590"</f>
        <v>11590</v>
      </c>
      <c r="AY138" t="s">
        <v>118</v>
      </c>
      <c r="BA138" s="10">
        <v>15163307168</v>
      </c>
      <c r="BC138" t="s">
        <v>359</v>
      </c>
      <c r="BD138" t="s">
        <v>360</v>
      </c>
      <c r="BG138" t="s">
        <v>358</v>
      </c>
      <c r="BH138" s="1">
        <v>45202.833333333336</v>
      </c>
      <c r="BI138">
        <v>40</v>
      </c>
      <c r="BJ138">
        <v>0</v>
      </c>
      <c r="BK138">
        <v>8</v>
      </c>
      <c r="BL138">
        <v>8</v>
      </c>
      <c r="BM138">
        <v>8</v>
      </c>
      <c r="BN138">
        <v>8</v>
      </c>
      <c r="BO138">
        <v>8</v>
      </c>
      <c r="BP138">
        <v>0</v>
      </c>
      <c r="BQ138" t="str">
        <f>"8:00 AM"</f>
        <v>8:00 AM</v>
      </c>
      <c r="BR138" t="str">
        <f>"5:00 PM"</f>
        <v>5:00 PM</v>
      </c>
      <c r="BS138" t="s">
        <v>131</v>
      </c>
      <c r="BT138">
        <v>0</v>
      </c>
      <c r="BU138">
        <v>0</v>
      </c>
      <c r="BV138" t="s">
        <v>114</v>
      </c>
      <c r="BX138" t="s">
        <v>132</v>
      </c>
      <c r="BY138" t="s">
        <v>17561</v>
      </c>
      <c r="CA138" t="s">
        <v>4881</v>
      </c>
      <c r="CB138" t="s">
        <v>358</v>
      </c>
      <c r="CC138" s="8" t="str">
        <f>"11975"</f>
        <v>11975</v>
      </c>
      <c r="CD138" t="s">
        <v>1752</v>
      </c>
      <c r="CE138" t="s">
        <v>1418</v>
      </c>
      <c r="CF138" s="12">
        <v>20.81</v>
      </c>
      <c r="CG138" s="12">
        <v>23</v>
      </c>
      <c r="CH138" s="12">
        <v>31.22</v>
      </c>
      <c r="CI138" s="12">
        <v>34.5</v>
      </c>
      <c r="CJ138" t="s">
        <v>135</v>
      </c>
      <c r="CK138" t="s">
        <v>17565</v>
      </c>
      <c r="CL138" t="s">
        <v>17566</v>
      </c>
      <c r="CO138" t="s">
        <v>132</v>
      </c>
      <c r="CP138" t="s">
        <v>136</v>
      </c>
      <c r="CQ138" t="s">
        <v>136</v>
      </c>
      <c r="CR138" t="s">
        <v>136</v>
      </c>
      <c r="CS138" t="s">
        <v>114</v>
      </c>
      <c r="CT138" t="s">
        <v>136</v>
      </c>
      <c r="CU138" t="s">
        <v>114</v>
      </c>
      <c r="CV138" t="s">
        <v>1480</v>
      </c>
      <c r="CW138" s="10" t="str">
        <f>"+16315375017"</f>
        <v>+16315375017</v>
      </c>
      <c r="CX138" t="s">
        <v>17567</v>
      </c>
      <c r="CY138" t="s">
        <v>132</v>
      </c>
      <c r="CZ138" t="s">
        <v>137</v>
      </c>
      <c r="DA138" t="s">
        <v>114</v>
      </c>
      <c r="DB138" t="s">
        <v>114</v>
      </c>
      <c r="DC138" t="s">
        <v>136</v>
      </c>
      <c r="DD138" t="s">
        <v>114</v>
      </c>
    </row>
    <row r="139" spans="1:108" ht="15" customHeight="1" x14ac:dyDescent="0.25">
      <c r="A139" t="s">
        <v>18970</v>
      </c>
      <c r="B139" t="s">
        <v>152</v>
      </c>
      <c r="C139" s="1">
        <v>45262.017545023147</v>
      </c>
      <c r="D139" s="1">
        <v>45287</v>
      </c>
      <c r="E139" t="s">
        <v>132</v>
      </c>
      <c r="F139" t="s">
        <v>1961</v>
      </c>
      <c r="G139" t="str">
        <f>"37-3011.00"</f>
        <v>37-3011.00</v>
      </c>
      <c r="H139" t="s">
        <v>429</v>
      </c>
      <c r="I139">
        <v>7</v>
      </c>
      <c r="J139">
        <v>7</v>
      </c>
      <c r="K139" s="1">
        <v>45352</v>
      </c>
      <c r="L139" s="1">
        <v>45646</v>
      </c>
      <c r="M139" s="1">
        <v>45352</v>
      </c>
      <c r="N139" s="1">
        <v>45646</v>
      </c>
      <c r="O139" t="s">
        <v>238</v>
      </c>
      <c r="P139" t="s">
        <v>18971</v>
      </c>
      <c r="R139" t="s">
        <v>18972</v>
      </c>
      <c r="T139" t="s">
        <v>12651</v>
      </c>
      <c r="U139" t="s">
        <v>358</v>
      </c>
      <c r="V139" s="8" t="str">
        <f>"11942"</f>
        <v>11942</v>
      </c>
      <c r="W139" t="s">
        <v>118</v>
      </c>
      <c r="Y139" s="10">
        <v>15165236030</v>
      </c>
      <c r="AA139">
        <v>56173</v>
      </c>
      <c r="AB139" t="s">
        <v>18973</v>
      </c>
      <c r="AC139" t="s">
        <v>16185</v>
      </c>
      <c r="AE139" t="s">
        <v>654</v>
      </c>
      <c r="AF139" t="s">
        <v>18974</v>
      </c>
      <c r="AH139" t="s">
        <v>12651</v>
      </c>
      <c r="AI139" t="s">
        <v>358</v>
      </c>
      <c r="AJ139" s="8" t="str">
        <f>"11942"</f>
        <v>11942</v>
      </c>
      <c r="AK139" t="s">
        <v>118</v>
      </c>
      <c r="AM139" s="10">
        <v>15165236030</v>
      </c>
      <c r="AO139" t="s">
        <v>132</v>
      </c>
      <c r="AP139" t="s">
        <v>248</v>
      </c>
      <c r="AQ139" t="s">
        <v>354</v>
      </c>
      <c r="AR139" t="s">
        <v>355</v>
      </c>
      <c r="AT139" t="s">
        <v>356</v>
      </c>
      <c r="AV139" t="s">
        <v>357</v>
      </c>
      <c r="AW139" t="s">
        <v>358</v>
      </c>
      <c r="AX139" s="8" t="str">
        <f>"11590"</f>
        <v>11590</v>
      </c>
      <c r="AY139" t="s">
        <v>118</v>
      </c>
      <c r="BA139" s="10">
        <v>15163307168</v>
      </c>
      <c r="BC139" t="s">
        <v>359</v>
      </c>
      <c r="BD139" t="s">
        <v>360</v>
      </c>
      <c r="BG139" t="s">
        <v>358</v>
      </c>
      <c r="BH139" s="1">
        <v>45202.833333333336</v>
      </c>
      <c r="BI139">
        <v>40</v>
      </c>
      <c r="BJ139">
        <v>0</v>
      </c>
      <c r="BK139">
        <v>8</v>
      </c>
      <c r="BL139">
        <v>8</v>
      </c>
      <c r="BM139">
        <v>8</v>
      </c>
      <c r="BN139">
        <v>8</v>
      </c>
      <c r="BO139">
        <v>8</v>
      </c>
      <c r="BP139">
        <v>0</v>
      </c>
      <c r="BQ139" t="str">
        <f>"8:00 AM"</f>
        <v>8:00 AM</v>
      </c>
      <c r="BR139" t="str">
        <f>"5:00 PM"</f>
        <v>5:00 PM</v>
      </c>
      <c r="BS139" t="s">
        <v>131</v>
      </c>
      <c r="BT139">
        <v>0</v>
      </c>
      <c r="BU139">
        <v>0</v>
      </c>
      <c r="BV139" t="s">
        <v>114</v>
      </c>
      <c r="BX139" t="s">
        <v>132</v>
      </c>
      <c r="BY139" t="s">
        <v>18972</v>
      </c>
      <c r="CA139" t="s">
        <v>12651</v>
      </c>
      <c r="CB139" t="s">
        <v>358</v>
      </c>
      <c r="CC139" s="8" t="str">
        <f>"11942"</f>
        <v>11942</v>
      </c>
      <c r="CD139" t="s">
        <v>1752</v>
      </c>
      <c r="CE139" t="s">
        <v>1418</v>
      </c>
      <c r="CF139" s="12">
        <v>20.81</v>
      </c>
      <c r="CG139" s="12">
        <v>20.81</v>
      </c>
      <c r="CH139" s="12">
        <v>31.22</v>
      </c>
      <c r="CI139" s="12">
        <v>31.22</v>
      </c>
      <c r="CJ139" t="s">
        <v>135</v>
      </c>
      <c r="CK139" t="s">
        <v>132</v>
      </c>
      <c r="CL139" t="s">
        <v>18975</v>
      </c>
      <c r="CO139" t="s">
        <v>132</v>
      </c>
      <c r="CP139" t="s">
        <v>136</v>
      </c>
      <c r="CQ139" t="s">
        <v>136</v>
      </c>
      <c r="CR139" t="s">
        <v>136</v>
      </c>
      <c r="CS139" t="s">
        <v>114</v>
      </c>
      <c r="CT139" t="s">
        <v>136</v>
      </c>
      <c r="CU139" t="s">
        <v>114</v>
      </c>
      <c r="CV139" t="s">
        <v>1480</v>
      </c>
      <c r="CW139" s="10" t="str">
        <f>"+15165236030"</f>
        <v>+15165236030</v>
      </c>
      <c r="CX139" t="s">
        <v>18976</v>
      </c>
      <c r="CY139" t="s">
        <v>132</v>
      </c>
      <c r="CZ139" t="s">
        <v>137</v>
      </c>
      <c r="DA139" t="s">
        <v>114</v>
      </c>
      <c r="DB139" t="s">
        <v>114</v>
      </c>
      <c r="DC139" t="s">
        <v>136</v>
      </c>
      <c r="DD139" t="s">
        <v>114</v>
      </c>
    </row>
    <row r="140" spans="1:108" ht="15" customHeight="1" x14ac:dyDescent="0.25">
      <c r="A140" t="s">
        <v>17461</v>
      </c>
      <c r="B140" t="s">
        <v>152</v>
      </c>
      <c r="C140" s="1">
        <v>45262.016824421298</v>
      </c>
      <c r="D140" s="1">
        <v>45287</v>
      </c>
      <c r="E140" t="s">
        <v>132</v>
      </c>
      <c r="F140" t="s">
        <v>5146</v>
      </c>
      <c r="G140" t="str">
        <f>"45-2092.00"</f>
        <v>45-2092.00</v>
      </c>
      <c r="H140" t="s">
        <v>2007</v>
      </c>
      <c r="I140">
        <v>15</v>
      </c>
      <c r="J140">
        <v>15</v>
      </c>
      <c r="K140" s="1">
        <v>45352</v>
      </c>
      <c r="L140" s="1">
        <v>45641</v>
      </c>
      <c r="M140" s="1">
        <v>45352</v>
      </c>
      <c r="N140" s="1">
        <v>45641</v>
      </c>
      <c r="O140" t="s">
        <v>238</v>
      </c>
      <c r="P140" t="s">
        <v>14710</v>
      </c>
      <c r="R140" t="s">
        <v>14711</v>
      </c>
      <c r="T140" t="s">
        <v>14712</v>
      </c>
      <c r="U140" t="s">
        <v>358</v>
      </c>
      <c r="V140" s="8" t="str">
        <f>"10913"</f>
        <v>10913</v>
      </c>
      <c r="W140" t="s">
        <v>118</v>
      </c>
      <c r="Y140" s="10">
        <v>18453536500</v>
      </c>
      <c r="AA140">
        <v>56173</v>
      </c>
      <c r="AB140" t="s">
        <v>14713</v>
      </c>
      <c r="AC140" t="s">
        <v>3338</v>
      </c>
      <c r="AE140" t="s">
        <v>654</v>
      </c>
      <c r="AF140" t="s">
        <v>14711</v>
      </c>
      <c r="AH140" t="s">
        <v>14712</v>
      </c>
      <c r="AI140" t="s">
        <v>358</v>
      </c>
      <c r="AJ140" s="8" t="str">
        <f>"10913"</f>
        <v>10913</v>
      </c>
      <c r="AK140" t="s">
        <v>118</v>
      </c>
      <c r="AM140" s="10">
        <v>18453536500</v>
      </c>
      <c r="AO140" t="s">
        <v>132</v>
      </c>
      <c r="AP140" t="s">
        <v>248</v>
      </c>
      <c r="AQ140" t="s">
        <v>354</v>
      </c>
      <c r="AR140" t="s">
        <v>355</v>
      </c>
      <c r="AT140" t="s">
        <v>356</v>
      </c>
      <c r="AV140" t="s">
        <v>357</v>
      </c>
      <c r="AW140" t="s">
        <v>358</v>
      </c>
      <c r="AX140" s="8" t="str">
        <f>"11590"</f>
        <v>11590</v>
      </c>
      <c r="AY140" t="s">
        <v>118</v>
      </c>
      <c r="BA140" s="10">
        <v>15163307168</v>
      </c>
      <c r="BC140" t="s">
        <v>359</v>
      </c>
      <c r="BD140" t="s">
        <v>360</v>
      </c>
      <c r="BG140" t="s">
        <v>358</v>
      </c>
      <c r="BH140" s="1">
        <v>45228.833333333336</v>
      </c>
      <c r="BI140">
        <v>40</v>
      </c>
      <c r="BJ140">
        <v>0</v>
      </c>
      <c r="BK140">
        <v>8</v>
      </c>
      <c r="BL140">
        <v>0</v>
      </c>
      <c r="BM140">
        <v>8</v>
      </c>
      <c r="BN140">
        <v>8</v>
      </c>
      <c r="BO140">
        <v>8</v>
      </c>
      <c r="BP140">
        <v>8</v>
      </c>
      <c r="BQ140" t="str">
        <f>"8:00 AM"</f>
        <v>8:00 AM</v>
      </c>
      <c r="BR140" t="str">
        <f>"5:00 PM"</f>
        <v>5:00 PM</v>
      </c>
      <c r="BS140" t="s">
        <v>131</v>
      </c>
      <c r="BT140">
        <v>0</v>
      </c>
      <c r="BU140">
        <v>0</v>
      </c>
      <c r="BV140" t="s">
        <v>114</v>
      </c>
      <c r="BX140" t="s">
        <v>17462</v>
      </c>
      <c r="BY140" t="s">
        <v>14711</v>
      </c>
      <c r="CA140" t="s">
        <v>14712</v>
      </c>
      <c r="CB140" t="s">
        <v>358</v>
      </c>
      <c r="CC140" s="8" t="str">
        <f>"10913"</f>
        <v>10913</v>
      </c>
      <c r="CD140" t="s">
        <v>5237</v>
      </c>
      <c r="CE140" t="s">
        <v>1418</v>
      </c>
      <c r="CF140" s="12">
        <v>18.670000000000002</v>
      </c>
      <c r="CG140" s="12">
        <v>18.670000000000002</v>
      </c>
      <c r="CH140" s="12">
        <v>28.01</v>
      </c>
      <c r="CI140" s="12">
        <v>28.01</v>
      </c>
      <c r="CJ140" t="s">
        <v>135</v>
      </c>
      <c r="CK140" t="s">
        <v>132</v>
      </c>
      <c r="CL140" t="s">
        <v>17463</v>
      </c>
      <c r="CO140" t="s">
        <v>132</v>
      </c>
      <c r="CP140" t="s">
        <v>114</v>
      </c>
      <c r="CQ140" t="s">
        <v>114</v>
      </c>
      <c r="CR140" t="s">
        <v>136</v>
      </c>
      <c r="CS140" t="s">
        <v>114</v>
      </c>
      <c r="CT140" t="s">
        <v>136</v>
      </c>
      <c r="CU140" t="s">
        <v>114</v>
      </c>
      <c r="CV140" t="s">
        <v>1480</v>
      </c>
      <c r="CW140" s="10" t="str">
        <f>"+18453536500"</f>
        <v>+18453536500</v>
      </c>
      <c r="CX140" t="s">
        <v>14715</v>
      </c>
      <c r="CY140" t="s">
        <v>132</v>
      </c>
      <c r="CZ140" t="s">
        <v>137</v>
      </c>
      <c r="DA140" t="s">
        <v>114</v>
      </c>
      <c r="DB140" t="s">
        <v>114</v>
      </c>
      <c r="DC140" t="s">
        <v>136</v>
      </c>
      <c r="DD140" t="s">
        <v>114</v>
      </c>
    </row>
    <row r="141" spans="1:108" ht="15" customHeight="1" x14ac:dyDescent="0.25">
      <c r="A141" t="s">
        <v>18791</v>
      </c>
      <c r="B141" t="s">
        <v>152</v>
      </c>
      <c r="C141" s="1">
        <v>45262.010770370369</v>
      </c>
      <c r="D141" s="1">
        <v>45287</v>
      </c>
      <c r="E141" t="s">
        <v>132</v>
      </c>
      <c r="F141" t="s">
        <v>1961</v>
      </c>
      <c r="G141" t="str">
        <f>"37-3011.00"</f>
        <v>37-3011.00</v>
      </c>
      <c r="H141" t="s">
        <v>429</v>
      </c>
      <c r="I141">
        <v>6</v>
      </c>
      <c r="J141">
        <v>6</v>
      </c>
      <c r="K141" s="1">
        <v>45352</v>
      </c>
      <c r="L141" s="1">
        <v>45609</v>
      </c>
      <c r="M141" s="1">
        <v>45352</v>
      </c>
      <c r="N141" s="1">
        <v>45609</v>
      </c>
      <c r="O141" t="s">
        <v>238</v>
      </c>
      <c r="P141" t="s">
        <v>9535</v>
      </c>
      <c r="R141" t="s">
        <v>9536</v>
      </c>
      <c r="S141" t="s">
        <v>9540</v>
      </c>
      <c r="T141" t="s">
        <v>9537</v>
      </c>
      <c r="U141" t="s">
        <v>358</v>
      </c>
      <c r="V141" s="8" t="str">
        <f>"11932"</f>
        <v>11932</v>
      </c>
      <c r="W141" t="s">
        <v>118</v>
      </c>
      <c r="Y141" s="10">
        <v>16315371818</v>
      </c>
      <c r="AA141">
        <v>71391</v>
      </c>
      <c r="AB141" t="s">
        <v>9538</v>
      </c>
      <c r="AC141" t="s">
        <v>7528</v>
      </c>
      <c r="AE141" t="s">
        <v>9539</v>
      </c>
      <c r="AF141" t="s">
        <v>9540</v>
      </c>
      <c r="AG141" t="s">
        <v>18792</v>
      </c>
      <c r="AH141" t="s">
        <v>9537</v>
      </c>
      <c r="AI141" t="s">
        <v>358</v>
      </c>
      <c r="AJ141" s="8" t="str">
        <f>"11932"</f>
        <v>11932</v>
      </c>
      <c r="AK141" t="s">
        <v>118</v>
      </c>
      <c r="AM141" s="10">
        <v>16315371818</v>
      </c>
      <c r="AO141" t="s">
        <v>132</v>
      </c>
      <c r="AP141" t="s">
        <v>248</v>
      </c>
      <c r="AQ141" t="s">
        <v>354</v>
      </c>
      <c r="AR141" t="s">
        <v>355</v>
      </c>
      <c r="AT141" t="s">
        <v>356</v>
      </c>
      <c r="AV141" t="s">
        <v>357</v>
      </c>
      <c r="AW141" t="s">
        <v>358</v>
      </c>
      <c r="AX141" s="8" t="str">
        <f>"11590"</f>
        <v>11590</v>
      </c>
      <c r="AY141" t="s">
        <v>118</v>
      </c>
      <c r="BA141" s="10">
        <v>15163307168</v>
      </c>
      <c r="BC141" t="s">
        <v>359</v>
      </c>
      <c r="BD141" t="s">
        <v>360</v>
      </c>
      <c r="BG141" t="s">
        <v>358</v>
      </c>
      <c r="BH141" s="1">
        <v>45202.833333333336</v>
      </c>
      <c r="BI141">
        <v>40</v>
      </c>
      <c r="BJ141">
        <v>8</v>
      </c>
      <c r="BK141">
        <v>0</v>
      </c>
      <c r="BL141">
        <v>8</v>
      </c>
      <c r="BM141">
        <v>0</v>
      </c>
      <c r="BN141">
        <v>8</v>
      </c>
      <c r="BO141">
        <v>8</v>
      </c>
      <c r="BP141">
        <v>8</v>
      </c>
      <c r="BQ141" t="str">
        <f>"6:00 AM"</f>
        <v>6:00 AM</v>
      </c>
      <c r="BR141" t="str">
        <f>"2:00 PM"</f>
        <v>2:00 PM</v>
      </c>
      <c r="BS141" t="s">
        <v>131</v>
      </c>
      <c r="BT141">
        <v>0</v>
      </c>
      <c r="BU141">
        <v>0</v>
      </c>
      <c r="BV141" t="s">
        <v>114</v>
      </c>
      <c r="BX141" t="s">
        <v>132</v>
      </c>
      <c r="BY141" t="s">
        <v>9536</v>
      </c>
      <c r="CA141" t="s">
        <v>9537</v>
      </c>
      <c r="CB141" t="s">
        <v>358</v>
      </c>
      <c r="CC141" s="8" t="str">
        <f>"11932"</f>
        <v>11932</v>
      </c>
      <c r="CD141" t="s">
        <v>1752</v>
      </c>
      <c r="CE141" t="s">
        <v>1418</v>
      </c>
      <c r="CF141" s="12">
        <v>20.81</v>
      </c>
      <c r="CG141" s="12">
        <v>20.81</v>
      </c>
      <c r="CH141" s="12">
        <v>31.22</v>
      </c>
      <c r="CI141" s="12">
        <v>31.22</v>
      </c>
      <c r="CJ141" t="s">
        <v>135</v>
      </c>
      <c r="CK141" t="s">
        <v>18793</v>
      </c>
      <c r="CL141" t="s">
        <v>18794</v>
      </c>
      <c r="CO141" t="s">
        <v>132</v>
      </c>
      <c r="CP141" t="s">
        <v>114</v>
      </c>
      <c r="CQ141" t="s">
        <v>114</v>
      </c>
      <c r="CR141" t="s">
        <v>136</v>
      </c>
      <c r="CS141" t="s">
        <v>114</v>
      </c>
      <c r="CT141" t="s">
        <v>136</v>
      </c>
      <c r="CU141" t="s">
        <v>136</v>
      </c>
      <c r="CV141" t="s">
        <v>18795</v>
      </c>
      <c r="CW141" s="10" t="str">
        <f>"+16315371818"</f>
        <v>+16315371818</v>
      </c>
      <c r="CX141" t="s">
        <v>9541</v>
      </c>
      <c r="CY141" t="s">
        <v>132</v>
      </c>
      <c r="CZ141" t="s">
        <v>137</v>
      </c>
      <c r="DA141" t="s">
        <v>114</v>
      </c>
      <c r="DB141" t="s">
        <v>114</v>
      </c>
      <c r="DC141" t="s">
        <v>136</v>
      </c>
      <c r="DD141" t="s">
        <v>114</v>
      </c>
    </row>
    <row r="142" spans="1:108" ht="15" customHeight="1" x14ac:dyDescent="0.25">
      <c r="A142" t="s">
        <v>14709</v>
      </c>
      <c r="B142" t="s">
        <v>152</v>
      </c>
      <c r="C142" s="1">
        <v>45262.009964236109</v>
      </c>
      <c r="D142" s="1">
        <v>45287</v>
      </c>
      <c r="E142" t="s">
        <v>132</v>
      </c>
      <c r="F142" t="s">
        <v>1961</v>
      </c>
      <c r="G142" t="str">
        <f>"37-3011.00"</f>
        <v>37-3011.00</v>
      </c>
      <c r="H142" t="s">
        <v>429</v>
      </c>
      <c r="I142">
        <v>27</v>
      </c>
      <c r="J142">
        <v>27</v>
      </c>
      <c r="K142" s="1">
        <v>45352</v>
      </c>
      <c r="L142" s="1">
        <v>45646</v>
      </c>
      <c r="M142" s="1">
        <v>45352</v>
      </c>
      <c r="N142" s="1">
        <v>45646</v>
      </c>
      <c r="O142" t="s">
        <v>238</v>
      </c>
      <c r="P142" t="s">
        <v>14710</v>
      </c>
      <c r="R142" t="s">
        <v>14711</v>
      </c>
      <c r="T142" t="s">
        <v>14712</v>
      </c>
      <c r="U142" t="s">
        <v>358</v>
      </c>
      <c r="V142" s="8" t="str">
        <f>"10913"</f>
        <v>10913</v>
      </c>
      <c r="W142" t="s">
        <v>118</v>
      </c>
      <c r="Y142" s="10">
        <v>18453536500</v>
      </c>
      <c r="AA142">
        <v>56173</v>
      </c>
      <c r="AB142" t="s">
        <v>14713</v>
      </c>
      <c r="AC142" t="s">
        <v>3338</v>
      </c>
      <c r="AE142" t="s">
        <v>654</v>
      </c>
      <c r="AF142" t="s">
        <v>14711</v>
      </c>
      <c r="AH142" t="s">
        <v>14712</v>
      </c>
      <c r="AI142" t="s">
        <v>358</v>
      </c>
      <c r="AJ142" s="8" t="str">
        <f>"10913"</f>
        <v>10913</v>
      </c>
      <c r="AK142" t="s">
        <v>118</v>
      </c>
      <c r="AM142" s="10">
        <v>18453536500</v>
      </c>
      <c r="AO142" t="s">
        <v>132</v>
      </c>
      <c r="AP142" t="s">
        <v>248</v>
      </c>
      <c r="AQ142" t="s">
        <v>354</v>
      </c>
      <c r="AR142" t="s">
        <v>355</v>
      </c>
      <c r="AT142" t="s">
        <v>356</v>
      </c>
      <c r="AV142" t="s">
        <v>357</v>
      </c>
      <c r="AW142" t="s">
        <v>358</v>
      </c>
      <c r="AX142" s="8" t="str">
        <f>"11590"</f>
        <v>11590</v>
      </c>
      <c r="AY142" t="s">
        <v>118</v>
      </c>
      <c r="BA142" s="10">
        <v>15163307168</v>
      </c>
      <c r="BC142" t="s">
        <v>359</v>
      </c>
      <c r="BD142" t="s">
        <v>360</v>
      </c>
      <c r="BG142" t="s">
        <v>358</v>
      </c>
      <c r="BH142" s="1">
        <v>45228.833333333336</v>
      </c>
      <c r="BI142">
        <v>40</v>
      </c>
      <c r="BJ142">
        <v>0</v>
      </c>
      <c r="BK142">
        <v>8</v>
      </c>
      <c r="BL142">
        <v>8</v>
      </c>
      <c r="BM142">
        <v>8</v>
      </c>
      <c r="BN142">
        <v>8</v>
      </c>
      <c r="BO142">
        <v>8</v>
      </c>
      <c r="BP142">
        <v>0</v>
      </c>
      <c r="BQ142" t="str">
        <f>"8:00 AM"</f>
        <v>8:00 AM</v>
      </c>
      <c r="BR142" t="str">
        <f>"5:00 PM"</f>
        <v>5:00 PM</v>
      </c>
      <c r="BS142" t="s">
        <v>131</v>
      </c>
      <c r="BT142">
        <v>0</v>
      </c>
      <c r="BU142">
        <v>0</v>
      </c>
      <c r="BV142" t="s">
        <v>114</v>
      </c>
      <c r="BX142" t="s">
        <v>132</v>
      </c>
      <c r="BY142" t="s">
        <v>14711</v>
      </c>
      <c r="CA142" t="s">
        <v>14712</v>
      </c>
      <c r="CB142" t="s">
        <v>358</v>
      </c>
      <c r="CC142" s="8" t="str">
        <f>"10913"</f>
        <v>10913</v>
      </c>
      <c r="CD142" t="s">
        <v>5237</v>
      </c>
      <c r="CE142" t="s">
        <v>1418</v>
      </c>
      <c r="CF142" s="12">
        <v>20.81</v>
      </c>
      <c r="CG142" s="12">
        <v>20.81</v>
      </c>
      <c r="CH142" s="12">
        <v>31.22</v>
      </c>
      <c r="CI142" s="12">
        <v>31.22</v>
      </c>
      <c r="CJ142" t="s">
        <v>135</v>
      </c>
      <c r="CK142" t="s">
        <v>132</v>
      </c>
      <c r="CL142" t="s">
        <v>14714</v>
      </c>
      <c r="CO142" t="s">
        <v>132</v>
      </c>
      <c r="CP142" t="s">
        <v>136</v>
      </c>
      <c r="CQ142" t="s">
        <v>136</v>
      </c>
      <c r="CR142" t="s">
        <v>136</v>
      </c>
      <c r="CS142" t="s">
        <v>114</v>
      </c>
      <c r="CT142" t="s">
        <v>136</v>
      </c>
      <c r="CU142" t="s">
        <v>114</v>
      </c>
      <c r="CV142" t="s">
        <v>1480</v>
      </c>
      <c r="CW142" s="10" t="str">
        <f>"+18453536500"</f>
        <v>+18453536500</v>
      </c>
      <c r="CX142" t="s">
        <v>14715</v>
      </c>
      <c r="CY142" t="s">
        <v>132</v>
      </c>
      <c r="CZ142" t="s">
        <v>137</v>
      </c>
      <c r="DA142" t="s">
        <v>114</v>
      </c>
      <c r="DB142" t="s">
        <v>114</v>
      </c>
      <c r="DC142" t="s">
        <v>136</v>
      </c>
      <c r="DD142" t="s">
        <v>114</v>
      </c>
    </row>
    <row r="143" spans="1:108" ht="15" customHeight="1" x14ac:dyDescent="0.25">
      <c r="A143" t="s">
        <v>16404</v>
      </c>
      <c r="B143" t="s">
        <v>152</v>
      </c>
      <c r="C143" s="1">
        <v>45262.008470717592</v>
      </c>
      <c r="D143" s="1">
        <v>45287</v>
      </c>
      <c r="E143" t="s">
        <v>132</v>
      </c>
      <c r="F143" t="s">
        <v>1961</v>
      </c>
      <c r="G143" t="str">
        <f>"37-3011.00"</f>
        <v>37-3011.00</v>
      </c>
      <c r="H143" t="s">
        <v>429</v>
      </c>
      <c r="I143">
        <v>6</v>
      </c>
      <c r="J143">
        <v>6</v>
      </c>
      <c r="K143" s="1">
        <v>45352</v>
      </c>
      <c r="L143" s="1">
        <v>45641</v>
      </c>
      <c r="M143" s="1">
        <v>45352</v>
      </c>
      <c r="N143" s="1">
        <v>45641</v>
      </c>
      <c r="O143" t="s">
        <v>238</v>
      </c>
      <c r="P143" t="s">
        <v>16405</v>
      </c>
      <c r="R143" t="s">
        <v>16406</v>
      </c>
      <c r="T143" t="s">
        <v>2621</v>
      </c>
      <c r="U143" t="s">
        <v>358</v>
      </c>
      <c r="V143" s="8" t="str">
        <f>"11901"</f>
        <v>11901</v>
      </c>
      <c r="W143" t="s">
        <v>118</v>
      </c>
      <c r="Y143" s="10">
        <v>12039792091</v>
      </c>
      <c r="AA143">
        <v>56173</v>
      </c>
      <c r="AB143" t="s">
        <v>16407</v>
      </c>
      <c r="AC143" t="s">
        <v>16408</v>
      </c>
      <c r="AE143" t="s">
        <v>654</v>
      </c>
      <c r="AF143" t="s">
        <v>16406</v>
      </c>
      <c r="AG143" t="s">
        <v>16409</v>
      </c>
      <c r="AH143" t="s">
        <v>2621</v>
      </c>
      <c r="AI143" t="s">
        <v>358</v>
      </c>
      <c r="AJ143" s="8" t="str">
        <f>"11901"</f>
        <v>11901</v>
      </c>
      <c r="AK143" t="s">
        <v>118</v>
      </c>
      <c r="AM143" s="10">
        <v>12039792091</v>
      </c>
      <c r="AO143" t="s">
        <v>132</v>
      </c>
      <c r="AP143" t="s">
        <v>248</v>
      </c>
      <c r="AQ143" t="s">
        <v>354</v>
      </c>
      <c r="AR143" t="s">
        <v>355</v>
      </c>
      <c r="AT143" t="s">
        <v>356</v>
      </c>
      <c r="AV143" t="s">
        <v>357</v>
      </c>
      <c r="AW143" t="s">
        <v>358</v>
      </c>
      <c r="AX143" s="8" t="str">
        <f>"11590"</f>
        <v>11590</v>
      </c>
      <c r="AY143" t="s">
        <v>118</v>
      </c>
      <c r="BA143" s="10">
        <v>15163307168</v>
      </c>
      <c r="BC143" t="s">
        <v>359</v>
      </c>
      <c r="BD143" t="s">
        <v>360</v>
      </c>
      <c r="BG143" t="s">
        <v>358</v>
      </c>
      <c r="BH143" s="1">
        <v>45228.833333333336</v>
      </c>
      <c r="BI143">
        <v>40</v>
      </c>
      <c r="BJ143">
        <v>0</v>
      </c>
      <c r="BK143">
        <v>8</v>
      </c>
      <c r="BL143">
        <v>8</v>
      </c>
      <c r="BM143">
        <v>8</v>
      </c>
      <c r="BN143">
        <v>8</v>
      </c>
      <c r="BO143">
        <v>8</v>
      </c>
      <c r="BP143">
        <v>0</v>
      </c>
      <c r="BQ143" t="str">
        <f>"8:00 AM"</f>
        <v>8:00 AM</v>
      </c>
      <c r="BR143" t="str">
        <f>"5:00 PM"</f>
        <v>5:00 PM</v>
      </c>
      <c r="BS143" t="s">
        <v>131</v>
      </c>
      <c r="BT143">
        <v>0</v>
      </c>
      <c r="BU143">
        <v>0</v>
      </c>
      <c r="BV143" t="s">
        <v>114</v>
      </c>
      <c r="BX143" t="s">
        <v>132</v>
      </c>
      <c r="BY143" t="s">
        <v>16406</v>
      </c>
      <c r="CA143" t="s">
        <v>2621</v>
      </c>
      <c r="CB143" t="s">
        <v>358</v>
      </c>
      <c r="CC143" s="8" t="str">
        <f>"11901"</f>
        <v>11901</v>
      </c>
      <c r="CD143" t="s">
        <v>1752</v>
      </c>
      <c r="CE143" t="s">
        <v>1418</v>
      </c>
      <c r="CF143" s="12">
        <v>20.81</v>
      </c>
      <c r="CG143" s="12">
        <v>20.81</v>
      </c>
      <c r="CH143" s="12">
        <v>31.22</v>
      </c>
      <c r="CI143" s="12">
        <v>31.22</v>
      </c>
      <c r="CJ143" t="s">
        <v>135</v>
      </c>
      <c r="CK143" t="s">
        <v>132</v>
      </c>
      <c r="CL143" t="s">
        <v>16410</v>
      </c>
      <c r="CO143" t="s">
        <v>132</v>
      </c>
      <c r="CP143" t="s">
        <v>136</v>
      </c>
      <c r="CQ143" t="s">
        <v>136</v>
      </c>
      <c r="CR143" t="s">
        <v>136</v>
      </c>
      <c r="CS143" t="s">
        <v>114</v>
      </c>
      <c r="CT143" t="s">
        <v>136</v>
      </c>
      <c r="CU143" t="s">
        <v>114</v>
      </c>
      <c r="CV143" t="s">
        <v>1480</v>
      </c>
      <c r="CW143" s="10" t="str">
        <f>"+12039792091"</f>
        <v>+12039792091</v>
      </c>
      <c r="CX143" t="s">
        <v>16411</v>
      </c>
      <c r="CY143" t="s">
        <v>132</v>
      </c>
      <c r="CZ143" t="s">
        <v>137</v>
      </c>
      <c r="DA143" t="s">
        <v>114</v>
      </c>
      <c r="DB143" t="s">
        <v>114</v>
      </c>
      <c r="DC143" t="s">
        <v>136</v>
      </c>
      <c r="DD143" t="s">
        <v>114</v>
      </c>
    </row>
    <row r="144" spans="1:108" ht="15" customHeight="1" x14ac:dyDescent="0.25">
      <c r="A144" t="s">
        <v>22087</v>
      </c>
      <c r="B144" t="s">
        <v>152</v>
      </c>
      <c r="C144" s="1">
        <v>45262.007556944445</v>
      </c>
      <c r="D144" s="1">
        <v>45287</v>
      </c>
      <c r="E144" t="s">
        <v>132</v>
      </c>
      <c r="F144" t="s">
        <v>17792</v>
      </c>
      <c r="G144" t="str">
        <f>"47-3014.00"</f>
        <v>47-3014.00</v>
      </c>
      <c r="H144" t="s">
        <v>4850</v>
      </c>
      <c r="I144">
        <v>2</v>
      </c>
      <c r="J144">
        <v>2</v>
      </c>
      <c r="K144" s="1">
        <v>45352</v>
      </c>
      <c r="L144" s="1">
        <v>45646</v>
      </c>
      <c r="M144" s="1">
        <v>45352</v>
      </c>
      <c r="N144" s="1">
        <v>45646</v>
      </c>
      <c r="O144" t="s">
        <v>238</v>
      </c>
      <c r="P144" t="s">
        <v>22088</v>
      </c>
      <c r="R144" t="s">
        <v>22089</v>
      </c>
      <c r="T144" t="s">
        <v>22090</v>
      </c>
      <c r="U144" t="s">
        <v>358</v>
      </c>
      <c r="V144" s="8" t="str">
        <f>"11791"</f>
        <v>11791</v>
      </c>
      <c r="W144" t="s">
        <v>118</v>
      </c>
      <c r="Y144" s="10">
        <v>15163648377</v>
      </c>
      <c r="AA144">
        <v>23832</v>
      </c>
      <c r="AB144" t="s">
        <v>22091</v>
      </c>
      <c r="AC144" t="s">
        <v>22092</v>
      </c>
      <c r="AE144" t="s">
        <v>654</v>
      </c>
      <c r="AF144" t="s">
        <v>22093</v>
      </c>
      <c r="AH144" t="s">
        <v>22090</v>
      </c>
      <c r="AI144" t="s">
        <v>358</v>
      </c>
      <c r="AJ144" s="8" t="str">
        <f>"11791"</f>
        <v>11791</v>
      </c>
      <c r="AK144" t="s">
        <v>118</v>
      </c>
      <c r="AM144" s="10">
        <v>15163648377</v>
      </c>
      <c r="AO144" t="s">
        <v>132</v>
      </c>
      <c r="AP144" t="s">
        <v>248</v>
      </c>
      <c r="AQ144" t="s">
        <v>354</v>
      </c>
      <c r="AR144" t="s">
        <v>355</v>
      </c>
      <c r="AT144" t="s">
        <v>356</v>
      </c>
      <c r="AV144" t="s">
        <v>357</v>
      </c>
      <c r="AW144" t="s">
        <v>358</v>
      </c>
      <c r="AX144" s="8" t="str">
        <f>"11590"</f>
        <v>11590</v>
      </c>
      <c r="AY144" t="s">
        <v>118</v>
      </c>
      <c r="BA144" s="10">
        <v>15163307168</v>
      </c>
      <c r="BC144" t="s">
        <v>359</v>
      </c>
      <c r="BD144" t="s">
        <v>360</v>
      </c>
      <c r="BG144" t="s">
        <v>358</v>
      </c>
      <c r="BH144" s="1">
        <v>45224.833333333336</v>
      </c>
      <c r="BI144">
        <v>40</v>
      </c>
      <c r="BJ144">
        <v>0</v>
      </c>
      <c r="BK144">
        <v>8</v>
      </c>
      <c r="BL144">
        <v>8</v>
      </c>
      <c r="BM144">
        <v>8</v>
      </c>
      <c r="BN144">
        <v>8</v>
      </c>
      <c r="BO144">
        <v>8</v>
      </c>
      <c r="BP144">
        <v>0</v>
      </c>
      <c r="BQ144" t="str">
        <f>"8:00 AM"</f>
        <v>8:00 AM</v>
      </c>
      <c r="BR144" t="str">
        <f>"5:00 PM"</f>
        <v>5:00 PM</v>
      </c>
      <c r="BS144" t="s">
        <v>131</v>
      </c>
      <c r="BT144">
        <v>0</v>
      </c>
      <c r="BU144">
        <v>1</v>
      </c>
      <c r="BV144" t="s">
        <v>114</v>
      </c>
      <c r="BX144" t="s">
        <v>22094</v>
      </c>
      <c r="BY144" t="s">
        <v>22089</v>
      </c>
      <c r="CA144" t="s">
        <v>22090</v>
      </c>
      <c r="CB144" t="s">
        <v>358</v>
      </c>
      <c r="CC144" s="8" t="str">
        <f>"11791"</f>
        <v>11791</v>
      </c>
      <c r="CD144" t="s">
        <v>2352</v>
      </c>
      <c r="CE144" t="s">
        <v>1418</v>
      </c>
      <c r="CF144" s="12">
        <v>26.38</v>
      </c>
      <c r="CG144" s="12">
        <v>26.38</v>
      </c>
      <c r="CH144" s="12">
        <v>39.57</v>
      </c>
      <c r="CI144" s="12">
        <v>39.57</v>
      </c>
      <c r="CJ144" t="s">
        <v>135</v>
      </c>
      <c r="CK144" t="s">
        <v>132</v>
      </c>
      <c r="CL144" t="s">
        <v>22095</v>
      </c>
      <c r="CO144" t="s">
        <v>132</v>
      </c>
      <c r="CP144" t="s">
        <v>136</v>
      </c>
      <c r="CQ144" t="s">
        <v>136</v>
      </c>
      <c r="CR144" t="s">
        <v>136</v>
      </c>
      <c r="CS144" t="s">
        <v>114</v>
      </c>
      <c r="CT144" t="s">
        <v>136</v>
      </c>
      <c r="CU144" t="s">
        <v>114</v>
      </c>
      <c r="CV144" t="s">
        <v>1480</v>
      </c>
      <c r="CW144" s="10" t="str">
        <f>"+15163648377"</f>
        <v>+15163648377</v>
      </c>
      <c r="CX144" t="s">
        <v>22096</v>
      </c>
      <c r="CY144" t="s">
        <v>132</v>
      </c>
      <c r="CZ144" t="s">
        <v>137</v>
      </c>
      <c r="DA144" t="s">
        <v>114</v>
      </c>
      <c r="DB144" t="s">
        <v>114</v>
      </c>
      <c r="DC144" t="s">
        <v>136</v>
      </c>
      <c r="DD144" t="s">
        <v>114</v>
      </c>
    </row>
    <row r="145" spans="1:113" ht="15" customHeight="1" x14ac:dyDescent="0.25">
      <c r="A145" t="s">
        <v>23851</v>
      </c>
      <c r="B145" t="s">
        <v>152</v>
      </c>
      <c r="C145" s="1">
        <v>45262.007231597221</v>
      </c>
      <c r="D145" s="1">
        <v>45287</v>
      </c>
      <c r="E145" t="s">
        <v>132</v>
      </c>
      <c r="F145" t="s">
        <v>1961</v>
      </c>
      <c r="G145" t="str">
        <f>"37-3011.00"</f>
        <v>37-3011.00</v>
      </c>
      <c r="H145" t="s">
        <v>429</v>
      </c>
      <c r="I145">
        <v>30</v>
      </c>
      <c r="J145">
        <v>30</v>
      </c>
      <c r="K145" s="1">
        <v>45352</v>
      </c>
      <c r="L145" s="1">
        <v>45646</v>
      </c>
      <c r="M145" s="1">
        <v>45352</v>
      </c>
      <c r="N145" s="1">
        <v>45646</v>
      </c>
      <c r="O145" t="s">
        <v>238</v>
      </c>
      <c r="P145" t="s">
        <v>23852</v>
      </c>
      <c r="R145" t="s">
        <v>23853</v>
      </c>
      <c r="T145" t="s">
        <v>23854</v>
      </c>
      <c r="U145" t="s">
        <v>358</v>
      </c>
      <c r="V145" s="8" t="str">
        <f>"11940"</f>
        <v>11940</v>
      </c>
      <c r="W145" t="s">
        <v>118</v>
      </c>
      <c r="Y145" s="10">
        <v>16318782884</v>
      </c>
      <c r="AA145">
        <v>56173</v>
      </c>
      <c r="AB145" t="s">
        <v>23855</v>
      </c>
      <c r="AC145" t="s">
        <v>23856</v>
      </c>
      <c r="AE145" t="s">
        <v>654</v>
      </c>
      <c r="AF145" t="s">
        <v>23857</v>
      </c>
      <c r="AH145" t="s">
        <v>23854</v>
      </c>
      <c r="AI145" t="s">
        <v>358</v>
      </c>
      <c r="AJ145" s="8" t="str">
        <f>"11940"</f>
        <v>11940</v>
      </c>
      <c r="AK145" t="s">
        <v>118</v>
      </c>
      <c r="AM145" s="10">
        <v>16318782884</v>
      </c>
      <c r="AO145" t="s">
        <v>132</v>
      </c>
      <c r="AP145" t="s">
        <v>248</v>
      </c>
      <c r="AQ145" t="s">
        <v>354</v>
      </c>
      <c r="AR145" t="s">
        <v>355</v>
      </c>
      <c r="AT145" t="s">
        <v>356</v>
      </c>
      <c r="AV145" t="s">
        <v>357</v>
      </c>
      <c r="AW145" t="s">
        <v>358</v>
      </c>
      <c r="AX145" s="8" t="str">
        <f>"11590"</f>
        <v>11590</v>
      </c>
      <c r="AY145" t="s">
        <v>118</v>
      </c>
      <c r="BA145" s="10">
        <v>15163307168</v>
      </c>
      <c r="BC145" t="s">
        <v>359</v>
      </c>
      <c r="BD145" t="s">
        <v>360</v>
      </c>
      <c r="BG145" t="s">
        <v>358</v>
      </c>
      <c r="BH145" s="1">
        <v>45203.833333333336</v>
      </c>
      <c r="BI145">
        <v>40</v>
      </c>
      <c r="BJ145">
        <v>0</v>
      </c>
      <c r="BK145">
        <v>8</v>
      </c>
      <c r="BL145">
        <v>8</v>
      </c>
      <c r="BM145">
        <v>8</v>
      </c>
      <c r="BN145">
        <v>8</v>
      </c>
      <c r="BO145">
        <v>8</v>
      </c>
      <c r="BP145">
        <v>0</v>
      </c>
      <c r="BQ145" t="str">
        <f>"8:00 AM"</f>
        <v>8:00 AM</v>
      </c>
      <c r="BR145" t="str">
        <f>"5:00 PM"</f>
        <v>5:00 PM</v>
      </c>
      <c r="BS145" t="s">
        <v>131</v>
      </c>
      <c r="BT145">
        <v>0</v>
      </c>
      <c r="BU145">
        <v>0</v>
      </c>
      <c r="BV145" t="s">
        <v>114</v>
      </c>
      <c r="BX145" t="s">
        <v>132</v>
      </c>
      <c r="BY145" t="s">
        <v>23853</v>
      </c>
      <c r="CA145" t="s">
        <v>23854</v>
      </c>
      <c r="CB145" t="s">
        <v>358</v>
      </c>
      <c r="CC145" s="8" t="str">
        <f>"11940"</f>
        <v>11940</v>
      </c>
      <c r="CD145" t="s">
        <v>1752</v>
      </c>
      <c r="CE145" t="s">
        <v>1418</v>
      </c>
      <c r="CF145" s="12">
        <v>20.81</v>
      </c>
      <c r="CG145" s="12">
        <v>20.81</v>
      </c>
      <c r="CH145" s="12">
        <v>31.22</v>
      </c>
      <c r="CI145" s="12">
        <v>31.22</v>
      </c>
      <c r="CJ145" t="s">
        <v>135</v>
      </c>
      <c r="CK145" t="s">
        <v>132</v>
      </c>
      <c r="CL145" t="s">
        <v>23858</v>
      </c>
      <c r="CO145" t="s">
        <v>132</v>
      </c>
      <c r="CP145" t="s">
        <v>136</v>
      </c>
      <c r="CQ145" t="s">
        <v>136</v>
      </c>
      <c r="CR145" t="s">
        <v>136</v>
      </c>
      <c r="CS145" t="s">
        <v>114</v>
      </c>
      <c r="CT145" t="s">
        <v>136</v>
      </c>
      <c r="CU145" t="s">
        <v>114</v>
      </c>
      <c r="CV145" t="s">
        <v>1480</v>
      </c>
      <c r="CW145" s="10" t="str">
        <f>"+16318782884"</f>
        <v>+16318782884</v>
      </c>
      <c r="CX145" t="s">
        <v>23859</v>
      </c>
      <c r="CY145" t="s">
        <v>132</v>
      </c>
      <c r="CZ145" t="s">
        <v>137</v>
      </c>
      <c r="DA145" t="s">
        <v>114</v>
      </c>
      <c r="DB145" t="s">
        <v>114</v>
      </c>
      <c r="DC145" t="s">
        <v>136</v>
      </c>
      <c r="DD145" t="s">
        <v>114</v>
      </c>
    </row>
    <row r="146" spans="1:113" ht="15" customHeight="1" x14ac:dyDescent="0.25">
      <c r="A146" t="s">
        <v>21335</v>
      </c>
      <c r="B146" t="s">
        <v>152</v>
      </c>
      <c r="C146" s="1">
        <v>45262.004028240743</v>
      </c>
      <c r="D146" s="1">
        <v>45287</v>
      </c>
      <c r="E146" t="s">
        <v>132</v>
      </c>
      <c r="F146" t="s">
        <v>1879</v>
      </c>
      <c r="G146" t="str">
        <f>"37-2012.00"</f>
        <v>37-2012.00</v>
      </c>
      <c r="H146" t="s">
        <v>205</v>
      </c>
      <c r="I146">
        <v>14</v>
      </c>
      <c r="J146">
        <v>14</v>
      </c>
      <c r="K146" s="1">
        <v>45352</v>
      </c>
      <c r="L146" s="1">
        <v>45597</v>
      </c>
      <c r="M146" s="1">
        <v>45352</v>
      </c>
      <c r="N146" s="1">
        <v>45597</v>
      </c>
      <c r="O146" t="s">
        <v>116</v>
      </c>
      <c r="P146" t="s">
        <v>1971</v>
      </c>
      <c r="R146" t="s">
        <v>1972</v>
      </c>
      <c r="T146" t="s">
        <v>1973</v>
      </c>
      <c r="U146" t="s">
        <v>375</v>
      </c>
      <c r="V146" s="8" t="str">
        <f>"28717"</f>
        <v>28717</v>
      </c>
      <c r="W146" t="s">
        <v>118</v>
      </c>
      <c r="Y146" s="10">
        <v>18287434707</v>
      </c>
      <c r="AA146">
        <v>713910</v>
      </c>
      <c r="AB146" t="s">
        <v>1974</v>
      </c>
      <c r="AC146" t="s">
        <v>1975</v>
      </c>
      <c r="AE146" t="s">
        <v>1119</v>
      </c>
      <c r="AF146" t="s">
        <v>1972</v>
      </c>
      <c r="AH146" t="s">
        <v>1973</v>
      </c>
      <c r="AI146" t="s">
        <v>375</v>
      </c>
      <c r="AJ146" s="8" t="str">
        <f>"28717"</f>
        <v>28717</v>
      </c>
      <c r="AK146" t="s">
        <v>118</v>
      </c>
      <c r="AM146" s="10">
        <v>18287434707</v>
      </c>
      <c r="AO146" t="s">
        <v>132</v>
      </c>
      <c r="AP146" t="s">
        <v>248</v>
      </c>
      <c r="AQ146" t="s">
        <v>354</v>
      </c>
      <c r="AR146" t="s">
        <v>355</v>
      </c>
      <c r="AT146" t="s">
        <v>356</v>
      </c>
      <c r="AV146" t="s">
        <v>357</v>
      </c>
      <c r="AW146" t="s">
        <v>358</v>
      </c>
      <c r="AX146" s="8" t="str">
        <f>"11590"</f>
        <v>11590</v>
      </c>
      <c r="AY146" t="s">
        <v>118</v>
      </c>
      <c r="BA146" s="10">
        <v>15163307168</v>
      </c>
      <c r="BC146" t="s">
        <v>359</v>
      </c>
      <c r="BD146" t="s">
        <v>360</v>
      </c>
      <c r="BG146" t="s">
        <v>375</v>
      </c>
      <c r="BH146" s="1">
        <v>45260.791666666664</v>
      </c>
      <c r="BI146">
        <v>40</v>
      </c>
      <c r="BJ146">
        <v>8</v>
      </c>
      <c r="BK146">
        <v>0</v>
      </c>
      <c r="BL146">
        <v>8</v>
      </c>
      <c r="BM146">
        <v>0</v>
      </c>
      <c r="BN146">
        <v>8</v>
      </c>
      <c r="BO146">
        <v>8</v>
      </c>
      <c r="BP146">
        <v>8</v>
      </c>
      <c r="BQ146" t="str">
        <f>"8:00 AM"</f>
        <v>8:00 AM</v>
      </c>
      <c r="BR146" t="str">
        <f>"8:00 PM"</f>
        <v>8:00 PM</v>
      </c>
      <c r="BS146" t="s">
        <v>131</v>
      </c>
      <c r="BT146">
        <v>0</v>
      </c>
      <c r="BU146">
        <v>0</v>
      </c>
      <c r="BV146" t="s">
        <v>114</v>
      </c>
      <c r="BX146" t="s">
        <v>1480</v>
      </c>
      <c r="BY146" t="s">
        <v>21336</v>
      </c>
      <c r="CA146" t="s">
        <v>1973</v>
      </c>
      <c r="CB146" t="s">
        <v>375</v>
      </c>
      <c r="CC146" s="8" t="str">
        <f>"28717"</f>
        <v>28717</v>
      </c>
      <c r="CD146" t="s">
        <v>859</v>
      </c>
      <c r="CE146" t="s">
        <v>641</v>
      </c>
      <c r="CF146" s="12">
        <v>16</v>
      </c>
      <c r="CG146" s="12">
        <v>19</v>
      </c>
      <c r="CH146" s="12">
        <v>24</v>
      </c>
      <c r="CI146" s="12">
        <v>28.5</v>
      </c>
      <c r="CJ146" t="s">
        <v>135</v>
      </c>
      <c r="CK146" t="s">
        <v>2197</v>
      </c>
      <c r="CL146" t="s">
        <v>21337</v>
      </c>
      <c r="CO146" t="s">
        <v>132</v>
      </c>
      <c r="CP146" t="s">
        <v>114</v>
      </c>
      <c r="CQ146" t="s">
        <v>114</v>
      </c>
      <c r="CR146" t="s">
        <v>136</v>
      </c>
      <c r="CS146" t="s">
        <v>114</v>
      </c>
      <c r="CT146" t="s">
        <v>136</v>
      </c>
      <c r="CU146" t="s">
        <v>136</v>
      </c>
      <c r="CV146" t="s">
        <v>21338</v>
      </c>
      <c r="CW146" s="10" t="str">
        <f>"+18287434700"</f>
        <v>+18287434700</v>
      </c>
      <c r="CX146" t="s">
        <v>1976</v>
      </c>
      <c r="CY146" t="s">
        <v>132</v>
      </c>
      <c r="CZ146" t="s">
        <v>137</v>
      </c>
      <c r="DA146" t="s">
        <v>114</v>
      </c>
      <c r="DB146" t="s">
        <v>114</v>
      </c>
      <c r="DC146" t="s">
        <v>136</v>
      </c>
      <c r="DD146" t="s">
        <v>114</v>
      </c>
    </row>
    <row r="147" spans="1:113" ht="15" customHeight="1" x14ac:dyDescent="0.25">
      <c r="A147" t="s">
        <v>12596</v>
      </c>
      <c r="B147" t="s">
        <v>152</v>
      </c>
      <c r="C147" s="1">
        <v>45262.003981712965</v>
      </c>
      <c r="D147" s="1">
        <v>45287</v>
      </c>
      <c r="E147" t="s">
        <v>132</v>
      </c>
      <c r="F147" t="s">
        <v>2230</v>
      </c>
      <c r="G147" t="str">
        <f>"37-3011.00"</f>
        <v>37-3011.00</v>
      </c>
      <c r="H147" t="s">
        <v>429</v>
      </c>
      <c r="I147">
        <v>6</v>
      </c>
      <c r="J147">
        <v>6</v>
      </c>
      <c r="K147" s="1">
        <v>45352</v>
      </c>
      <c r="L147" s="1">
        <v>45641</v>
      </c>
      <c r="M147" s="1">
        <v>45352</v>
      </c>
      <c r="N147" s="1">
        <v>45641</v>
      </c>
      <c r="O147" t="s">
        <v>238</v>
      </c>
      <c r="P147" t="s">
        <v>12597</v>
      </c>
      <c r="R147" t="s">
        <v>12598</v>
      </c>
      <c r="T147" t="s">
        <v>12599</v>
      </c>
      <c r="U147" t="s">
        <v>581</v>
      </c>
      <c r="V147" s="8" t="str">
        <f>"22578"</f>
        <v>22578</v>
      </c>
      <c r="W147" t="s">
        <v>118</v>
      </c>
      <c r="Y147" s="10">
        <v>18045774272</v>
      </c>
      <c r="AA147">
        <v>56173</v>
      </c>
      <c r="AB147" t="s">
        <v>6202</v>
      </c>
      <c r="AC147" t="s">
        <v>3077</v>
      </c>
      <c r="AD147" t="s">
        <v>3439</v>
      </c>
      <c r="AE147" t="s">
        <v>561</v>
      </c>
      <c r="AF147" t="s">
        <v>12598</v>
      </c>
      <c r="AH147" t="s">
        <v>12599</v>
      </c>
      <c r="AI147" t="s">
        <v>581</v>
      </c>
      <c r="AJ147" s="8" t="str">
        <f>"22578"</f>
        <v>22578</v>
      </c>
      <c r="AK147" t="s">
        <v>118</v>
      </c>
      <c r="AM147" s="10">
        <v>18045774272</v>
      </c>
      <c r="AO147" t="s">
        <v>12600</v>
      </c>
      <c r="AP147" t="s">
        <v>248</v>
      </c>
      <c r="AQ147" t="s">
        <v>1860</v>
      </c>
      <c r="AR147" t="s">
        <v>1861</v>
      </c>
      <c r="AS147" t="s">
        <v>1862</v>
      </c>
      <c r="AT147" t="s">
        <v>1863</v>
      </c>
      <c r="AU147" t="s">
        <v>1864</v>
      </c>
      <c r="AV147" t="s">
        <v>1865</v>
      </c>
      <c r="AW147" t="s">
        <v>581</v>
      </c>
      <c r="AX147" s="8" t="str">
        <f>"24521"</f>
        <v>24521</v>
      </c>
      <c r="AY147" t="s">
        <v>118</v>
      </c>
      <c r="BA147" s="10">
        <v>14349460035</v>
      </c>
      <c r="BB147">
        <v>11</v>
      </c>
      <c r="BC147" t="s">
        <v>1866</v>
      </c>
      <c r="BD147" t="s">
        <v>1867</v>
      </c>
      <c r="BG147" t="s">
        <v>581</v>
      </c>
      <c r="BH147" s="1">
        <v>45261.791666666664</v>
      </c>
      <c r="BI147">
        <v>40</v>
      </c>
      <c r="BJ147">
        <v>0</v>
      </c>
      <c r="BK147">
        <v>8</v>
      </c>
      <c r="BL147">
        <v>8</v>
      </c>
      <c r="BM147">
        <v>8</v>
      </c>
      <c r="BN147">
        <v>8</v>
      </c>
      <c r="BO147">
        <v>8</v>
      </c>
      <c r="BP147">
        <v>0</v>
      </c>
      <c r="BQ147" t="str">
        <f>"7:00 AM"</f>
        <v>7:00 AM</v>
      </c>
      <c r="BR147" t="str">
        <f>"3:00 PM"</f>
        <v>3:00 PM</v>
      </c>
      <c r="BS147" t="s">
        <v>131</v>
      </c>
      <c r="BT147">
        <v>0</v>
      </c>
      <c r="BU147">
        <v>0</v>
      </c>
      <c r="BV147" t="s">
        <v>114</v>
      </c>
      <c r="BX147" s="2" t="s">
        <v>12601</v>
      </c>
      <c r="BY147" t="s">
        <v>12602</v>
      </c>
      <c r="CA147" t="s">
        <v>12599</v>
      </c>
      <c r="CB147" t="s">
        <v>581</v>
      </c>
      <c r="CC147" s="8" t="str">
        <f>"22578"</f>
        <v>22578</v>
      </c>
      <c r="CD147" t="s">
        <v>2655</v>
      </c>
      <c r="CE147" t="s">
        <v>5588</v>
      </c>
      <c r="CF147" s="12">
        <v>15.78</v>
      </c>
      <c r="CG147" s="12">
        <v>15.78</v>
      </c>
      <c r="CH147" s="12">
        <v>23.67</v>
      </c>
      <c r="CI147" s="12">
        <v>23.67</v>
      </c>
      <c r="CJ147" t="s">
        <v>135</v>
      </c>
      <c r="CK147" t="s">
        <v>1870</v>
      </c>
      <c r="CL147" t="s">
        <v>12603</v>
      </c>
      <c r="CO147" t="s">
        <v>132</v>
      </c>
      <c r="CP147" t="s">
        <v>136</v>
      </c>
      <c r="CQ147" t="s">
        <v>136</v>
      </c>
      <c r="CR147" t="s">
        <v>136</v>
      </c>
      <c r="CS147" t="s">
        <v>136</v>
      </c>
      <c r="CT147" t="s">
        <v>136</v>
      </c>
      <c r="CU147" t="s">
        <v>136</v>
      </c>
      <c r="CV147" s="2" t="s">
        <v>7962</v>
      </c>
      <c r="CW147" s="10" t="str">
        <f>"+18045774272"</f>
        <v>+18045774272</v>
      </c>
      <c r="CX147" t="s">
        <v>12600</v>
      </c>
      <c r="CY147" t="s">
        <v>2762</v>
      </c>
      <c r="CZ147" t="s">
        <v>137</v>
      </c>
      <c r="DA147" t="s">
        <v>114</v>
      </c>
      <c r="DB147" t="s">
        <v>136</v>
      </c>
      <c r="DC147" t="s">
        <v>136</v>
      </c>
      <c r="DD147" t="s">
        <v>114</v>
      </c>
    </row>
    <row r="148" spans="1:113" ht="15" customHeight="1" x14ac:dyDescent="0.25">
      <c r="A148" t="s">
        <v>12801</v>
      </c>
      <c r="B148" t="s">
        <v>152</v>
      </c>
      <c r="C148" s="1">
        <v>45262.003822222221</v>
      </c>
      <c r="D148" s="1">
        <v>45287</v>
      </c>
      <c r="E148" t="s">
        <v>132</v>
      </c>
      <c r="F148" t="s">
        <v>9455</v>
      </c>
      <c r="G148" t="str">
        <f>"37-3011.00"</f>
        <v>37-3011.00</v>
      </c>
      <c r="H148" t="s">
        <v>429</v>
      </c>
      <c r="I148">
        <v>6</v>
      </c>
      <c r="J148">
        <v>6</v>
      </c>
      <c r="K148" s="1">
        <v>45352</v>
      </c>
      <c r="L148" s="1">
        <v>45627</v>
      </c>
      <c r="M148" s="1">
        <v>45352</v>
      </c>
      <c r="N148" s="1">
        <v>45627</v>
      </c>
      <c r="O148" t="s">
        <v>238</v>
      </c>
      <c r="P148" t="s">
        <v>12802</v>
      </c>
      <c r="R148" t="s">
        <v>12803</v>
      </c>
      <c r="T148" t="s">
        <v>12804</v>
      </c>
      <c r="U148" t="s">
        <v>386</v>
      </c>
      <c r="V148" s="8" t="str">
        <f>"37215"</f>
        <v>37215</v>
      </c>
      <c r="W148" t="s">
        <v>118</v>
      </c>
      <c r="Y148" s="10">
        <v>16153700030</v>
      </c>
      <c r="AA148">
        <v>713910</v>
      </c>
      <c r="AB148" t="s">
        <v>12805</v>
      </c>
      <c r="AC148" t="s">
        <v>12806</v>
      </c>
      <c r="AE148" t="s">
        <v>12807</v>
      </c>
      <c r="AF148" t="s">
        <v>12803</v>
      </c>
      <c r="AH148" t="s">
        <v>12804</v>
      </c>
      <c r="AI148" t="s">
        <v>386</v>
      </c>
      <c r="AJ148" s="8" t="str">
        <f>"37215"</f>
        <v>37215</v>
      </c>
      <c r="AK148" t="s">
        <v>118</v>
      </c>
      <c r="AM148" s="10">
        <v>16153700030</v>
      </c>
      <c r="AO148" t="s">
        <v>132</v>
      </c>
      <c r="AP148" t="s">
        <v>248</v>
      </c>
      <c r="AQ148" t="s">
        <v>354</v>
      </c>
      <c r="AR148" t="s">
        <v>355</v>
      </c>
      <c r="AT148" t="s">
        <v>356</v>
      </c>
      <c r="AV148" t="s">
        <v>357</v>
      </c>
      <c r="AW148" t="s">
        <v>358</v>
      </c>
      <c r="AX148" s="8" t="str">
        <f>"11590"</f>
        <v>11590</v>
      </c>
      <c r="AY148" t="s">
        <v>118</v>
      </c>
      <c r="BA148" s="10">
        <v>15163307168</v>
      </c>
      <c r="BC148" t="s">
        <v>359</v>
      </c>
      <c r="BD148" t="s">
        <v>360</v>
      </c>
      <c r="BG148" t="s">
        <v>386</v>
      </c>
      <c r="BH148" s="1">
        <v>45260.791666666664</v>
      </c>
      <c r="BI148">
        <v>40</v>
      </c>
      <c r="BJ148">
        <v>0</v>
      </c>
      <c r="BK148">
        <v>8</v>
      </c>
      <c r="BL148">
        <v>8</v>
      </c>
      <c r="BM148">
        <v>8</v>
      </c>
      <c r="BN148">
        <v>8</v>
      </c>
      <c r="BO148">
        <v>8</v>
      </c>
      <c r="BP148">
        <v>0</v>
      </c>
      <c r="BQ148" t="str">
        <f>"6:00 AM"</f>
        <v>6:00 AM</v>
      </c>
      <c r="BR148" t="str">
        <f>"2:00 PM"</f>
        <v>2:00 PM</v>
      </c>
      <c r="BS148" t="s">
        <v>131</v>
      </c>
      <c r="BT148">
        <v>0</v>
      </c>
      <c r="BU148">
        <v>0</v>
      </c>
      <c r="BV148" t="s">
        <v>114</v>
      </c>
      <c r="BX148" t="s">
        <v>132</v>
      </c>
      <c r="BY148" t="s">
        <v>12803</v>
      </c>
      <c r="CA148" t="s">
        <v>12804</v>
      </c>
      <c r="CB148" t="s">
        <v>386</v>
      </c>
      <c r="CC148" s="8" t="str">
        <f>"37215"</f>
        <v>37215</v>
      </c>
      <c r="CD148" t="s">
        <v>4507</v>
      </c>
      <c r="CE148" t="s">
        <v>3752</v>
      </c>
      <c r="CF148" s="12">
        <v>17.25</v>
      </c>
      <c r="CG148" s="12">
        <v>17.25</v>
      </c>
      <c r="CH148" s="12">
        <v>25.88</v>
      </c>
      <c r="CI148" s="12">
        <v>25.88</v>
      </c>
      <c r="CJ148" t="s">
        <v>135</v>
      </c>
      <c r="CL148" t="s">
        <v>12808</v>
      </c>
      <c r="CO148" t="s">
        <v>132</v>
      </c>
      <c r="CP148" t="s">
        <v>114</v>
      </c>
      <c r="CQ148" t="s">
        <v>114</v>
      </c>
      <c r="CR148" t="s">
        <v>136</v>
      </c>
      <c r="CS148" t="s">
        <v>114</v>
      </c>
      <c r="CT148" t="s">
        <v>136</v>
      </c>
      <c r="CU148" t="s">
        <v>136</v>
      </c>
      <c r="CV148" t="s">
        <v>12809</v>
      </c>
      <c r="CW148" s="10" t="str">
        <f>"+16153700030"</f>
        <v>+16153700030</v>
      </c>
      <c r="CX148" t="s">
        <v>12810</v>
      </c>
      <c r="CY148" t="s">
        <v>132</v>
      </c>
      <c r="CZ148" t="s">
        <v>137</v>
      </c>
      <c r="DA148" t="s">
        <v>114</v>
      </c>
      <c r="DB148" t="s">
        <v>114</v>
      </c>
      <c r="DC148" t="s">
        <v>136</v>
      </c>
      <c r="DD148" t="s">
        <v>114</v>
      </c>
    </row>
    <row r="149" spans="1:113" ht="15" customHeight="1" x14ac:dyDescent="0.25">
      <c r="A149" t="s">
        <v>17507</v>
      </c>
      <c r="B149" t="s">
        <v>152</v>
      </c>
      <c r="C149" s="1">
        <v>45262.003484953704</v>
      </c>
      <c r="D149" s="1">
        <v>45287</v>
      </c>
      <c r="E149" t="s">
        <v>132</v>
      </c>
      <c r="F149" t="s">
        <v>1961</v>
      </c>
      <c r="G149" t="str">
        <f>"37-3011.00"</f>
        <v>37-3011.00</v>
      </c>
      <c r="H149" t="s">
        <v>429</v>
      </c>
      <c r="I149">
        <v>33</v>
      </c>
      <c r="J149">
        <v>33</v>
      </c>
      <c r="K149" s="1">
        <v>45352</v>
      </c>
      <c r="L149" s="1">
        <v>45646</v>
      </c>
      <c r="M149" s="1">
        <v>45352</v>
      </c>
      <c r="N149" s="1">
        <v>45646</v>
      </c>
      <c r="O149" t="s">
        <v>238</v>
      </c>
      <c r="P149" t="s">
        <v>17508</v>
      </c>
      <c r="R149" t="s">
        <v>17509</v>
      </c>
      <c r="T149" t="s">
        <v>2591</v>
      </c>
      <c r="U149" t="s">
        <v>358</v>
      </c>
      <c r="V149" s="8" t="str">
        <f>"11968"</f>
        <v>11968</v>
      </c>
      <c r="W149" t="s">
        <v>118</v>
      </c>
      <c r="Y149" s="10">
        <v>16312876400</v>
      </c>
      <c r="AA149">
        <v>56173</v>
      </c>
      <c r="AB149" t="s">
        <v>17510</v>
      </c>
      <c r="AC149" t="s">
        <v>1735</v>
      </c>
      <c r="AE149" t="s">
        <v>654</v>
      </c>
      <c r="AF149" t="s">
        <v>17509</v>
      </c>
      <c r="AH149" t="s">
        <v>13927</v>
      </c>
      <c r="AI149" t="s">
        <v>358</v>
      </c>
      <c r="AJ149" s="8" t="str">
        <f>"11968"</f>
        <v>11968</v>
      </c>
      <c r="AK149" t="s">
        <v>118</v>
      </c>
      <c r="AM149" s="10">
        <v>16312876400</v>
      </c>
      <c r="AO149" t="s">
        <v>132</v>
      </c>
      <c r="AP149" t="s">
        <v>248</v>
      </c>
      <c r="AQ149" t="s">
        <v>354</v>
      </c>
      <c r="AR149" t="s">
        <v>355</v>
      </c>
      <c r="AT149" t="s">
        <v>356</v>
      </c>
      <c r="AV149" t="s">
        <v>357</v>
      </c>
      <c r="AW149" t="s">
        <v>358</v>
      </c>
      <c r="AX149" s="8" t="str">
        <f>"11590"</f>
        <v>11590</v>
      </c>
      <c r="AY149" t="s">
        <v>118</v>
      </c>
      <c r="BA149" s="10">
        <v>15163307168</v>
      </c>
      <c r="BC149" t="s">
        <v>359</v>
      </c>
      <c r="BD149" t="s">
        <v>360</v>
      </c>
      <c r="BG149" t="s">
        <v>358</v>
      </c>
      <c r="BH149" s="1">
        <v>45223.833333333336</v>
      </c>
      <c r="BI149">
        <v>40</v>
      </c>
      <c r="BJ149">
        <v>0</v>
      </c>
      <c r="BK149">
        <v>8</v>
      </c>
      <c r="BL149">
        <v>8</v>
      </c>
      <c r="BM149">
        <v>8</v>
      </c>
      <c r="BN149">
        <v>8</v>
      </c>
      <c r="BO149">
        <v>8</v>
      </c>
      <c r="BP149">
        <v>0</v>
      </c>
      <c r="BQ149" t="str">
        <f>"8:00 AM"</f>
        <v>8:00 AM</v>
      </c>
      <c r="BR149" t="str">
        <f>"5:00 PM"</f>
        <v>5:00 PM</v>
      </c>
      <c r="BS149" t="s">
        <v>131</v>
      </c>
      <c r="BT149">
        <v>0</v>
      </c>
      <c r="BU149">
        <v>0</v>
      </c>
      <c r="BV149" t="s">
        <v>114</v>
      </c>
      <c r="BX149" t="s">
        <v>132</v>
      </c>
      <c r="BY149" t="s">
        <v>17511</v>
      </c>
      <c r="CA149" t="s">
        <v>13927</v>
      </c>
      <c r="CB149" t="s">
        <v>358</v>
      </c>
      <c r="CC149" s="8" t="str">
        <f>"11968"</f>
        <v>11968</v>
      </c>
      <c r="CD149" t="s">
        <v>1752</v>
      </c>
      <c r="CE149" t="s">
        <v>1418</v>
      </c>
      <c r="CF149" s="12">
        <v>20.81</v>
      </c>
      <c r="CG149" s="12">
        <v>20.81</v>
      </c>
      <c r="CH149" s="12">
        <v>31.22</v>
      </c>
      <c r="CI149" s="12">
        <v>31.22</v>
      </c>
      <c r="CJ149" t="s">
        <v>135</v>
      </c>
      <c r="CK149" t="s">
        <v>132</v>
      </c>
      <c r="CL149" t="s">
        <v>17512</v>
      </c>
      <c r="CO149" t="s">
        <v>132</v>
      </c>
      <c r="CP149" t="s">
        <v>136</v>
      </c>
      <c r="CQ149" t="s">
        <v>136</v>
      </c>
      <c r="CR149" t="s">
        <v>136</v>
      </c>
      <c r="CS149" t="s">
        <v>114</v>
      </c>
      <c r="CT149" t="s">
        <v>136</v>
      </c>
      <c r="CU149" t="s">
        <v>114</v>
      </c>
      <c r="CV149" t="s">
        <v>1480</v>
      </c>
      <c r="CW149" s="10" t="str">
        <f>"+16312876400"</f>
        <v>+16312876400</v>
      </c>
      <c r="CX149" t="s">
        <v>17513</v>
      </c>
      <c r="CY149" t="s">
        <v>132</v>
      </c>
      <c r="CZ149" t="s">
        <v>137</v>
      </c>
      <c r="DA149" t="s">
        <v>114</v>
      </c>
      <c r="DB149" t="s">
        <v>114</v>
      </c>
      <c r="DC149" t="s">
        <v>136</v>
      </c>
      <c r="DD149" t="s">
        <v>114</v>
      </c>
    </row>
    <row r="150" spans="1:113" ht="15" customHeight="1" x14ac:dyDescent="0.25">
      <c r="A150" t="s">
        <v>17751</v>
      </c>
      <c r="B150" t="s">
        <v>152</v>
      </c>
      <c r="C150" s="1">
        <v>45262.002844444447</v>
      </c>
      <c r="D150" s="1">
        <v>45287</v>
      </c>
      <c r="E150" t="s">
        <v>132</v>
      </c>
      <c r="F150" t="s">
        <v>1743</v>
      </c>
      <c r="G150" t="str">
        <f>"37-3011.00"</f>
        <v>37-3011.00</v>
      </c>
      <c r="H150" t="s">
        <v>429</v>
      </c>
      <c r="I150">
        <v>4</v>
      </c>
      <c r="J150">
        <v>4</v>
      </c>
      <c r="K150" s="1">
        <v>45352</v>
      </c>
      <c r="L150" s="1">
        <v>45656</v>
      </c>
      <c r="M150" s="1">
        <v>45352</v>
      </c>
      <c r="N150" s="1">
        <v>45656</v>
      </c>
      <c r="O150" t="s">
        <v>238</v>
      </c>
      <c r="P150" t="s">
        <v>17752</v>
      </c>
      <c r="R150" t="s">
        <v>17753</v>
      </c>
      <c r="S150" t="s">
        <v>17754</v>
      </c>
      <c r="T150" t="s">
        <v>5225</v>
      </c>
      <c r="U150" t="s">
        <v>358</v>
      </c>
      <c r="V150" s="8" t="str">
        <f>"11977"</f>
        <v>11977</v>
      </c>
      <c r="W150" t="s">
        <v>118</v>
      </c>
      <c r="Y150" s="10">
        <v>16313695874</v>
      </c>
      <c r="AA150">
        <v>56173</v>
      </c>
      <c r="AB150" t="s">
        <v>17755</v>
      </c>
      <c r="AC150" t="s">
        <v>13919</v>
      </c>
      <c r="AE150" t="s">
        <v>629</v>
      </c>
      <c r="AF150" t="s">
        <v>17756</v>
      </c>
      <c r="AH150" t="s">
        <v>5225</v>
      </c>
      <c r="AI150" t="s">
        <v>358</v>
      </c>
      <c r="AJ150" s="8" t="str">
        <f>"11977"</f>
        <v>11977</v>
      </c>
      <c r="AK150" t="s">
        <v>118</v>
      </c>
      <c r="AM150" s="10">
        <v>16313695874</v>
      </c>
      <c r="AO150" t="s">
        <v>132</v>
      </c>
      <c r="AP150" t="s">
        <v>248</v>
      </c>
      <c r="AQ150" t="s">
        <v>1746</v>
      </c>
      <c r="AR150" t="s">
        <v>1747</v>
      </c>
      <c r="AT150" t="s">
        <v>1748</v>
      </c>
      <c r="AV150" t="s">
        <v>1749</v>
      </c>
      <c r="AW150" t="s">
        <v>140</v>
      </c>
      <c r="AX150" s="8" t="str">
        <f>"34957"</f>
        <v>34957</v>
      </c>
      <c r="AY150" t="s">
        <v>118</v>
      </c>
      <c r="BA150" s="10">
        <v>17723344829</v>
      </c>
      <c r="BC150" t="s">
        <v>1750</v>
      </c>
      <c r="BD150" t="s">
        <v>1751</v>
      </c>
      <c r="BG150" t="s">
        <v>358</v>
      </c>
      <c r="BH150" s="1">
        <v>45258.791666666664</v>
      </c>
      <c r="BI150">
        <v>40</v>
      </c>
      <c r="BJ150">
        <v>0</v>
      </c>
      <c r="BK150">
        <v>8</v>
      </c>
      <c r="BL150">
        <v>8</v>
      </c>
      <c r="BM150">
        <v>8</v>
      </c>
      <c r="BN150">
        <v>8</v>
      </c>
      <c r="BO150">
        <v>8</v>
      </c>
      <c r="BP150">
        <v>0</v>
      </c>
      <c r="BQ150" t="str">
        <f>"7:30 AM"</f>
        <v>7:30 AM</v>
      </c>
      <c r="BR150" t="str">
        <f>"4:00 PM"</f>
        <v>4:00 PM</v>
      </c>
      <c r="BS150" t="s">
        <v>131</v>
      </c>
      <c r="BT150">
        <v>0</v>
      </c>
      <c r="BU150">
        <v>0</v>
      </c>
      <c r="BV150" t="s">
        <v>114</v>
      </c>
      <c r="BX150" t="s">
        <v>131</v>
      </c>
      <c r="BY150" t="s">
        <v>17753</v>
      </c>
      <c r="CA150" t="s">
        <v>5225</v>
      </c>
      <c r="CB150" t="s">
        <v>358</v>
      </c>
      <c r="CC150" s="8" t="str">
        <f>"11977"</f>
        <v>11977</v>
      </c>
      <c r="CD150" t="s">
        <v>1752</v>
      </c>
      <c r="CE150" t="s">
        <v>1418</v>
      </c>
      <c r="CF150" s="12">
        <v>20.81</v>
      </c>
      <c r="CG150" s="12">
        <v>23</v>
      </c>
      <c r="CH150" s="12">
        <v>31.22</v>
      </c>
      <c r="CI150" s="12">
        <v>34.5</v>
      </c>
      <c r="CJ150" t="s">
        <v>135</v>
      </c>
      <c r="CK150" t="s">
        <v>131</v>
      </c>
      <c r="CL150" t="s">
        <v>17757</v>
      </c>
      <c r="CO150" t="s">
        <v>132</v>
      </c>
      <c r="CP150" t="s">
        <v>136</v>
      </c>
      <c r="CQ150" t="s">
        <v>136</v>
      </c>
      <c r="CR150" t="s">
        <v>136</v>
      </c>
      <c r="CS150" t="s">
        <v>114</v>
      </c>
      <c r="CT150" t="s">
        <v>136</v>
      </c>
      <c r="CU150" t="s">
        <v>114</v>
      </c>
      <c r="CV150" t="s">
        <v>131</v>
      </c>
      <c r="CW150" s="10" t="str">
        <f>"+16313695874"</f>
        <v>+16313695874</v>
      </c>
      <c r="CX150" t="s">
        <v>132</v>
      </c>
      <c r="CY150" t="s">
        <v>17758</v>
      </c>
      <c r="CZ150" t="s">
        <v>137</v>
      </c>
      <c r="DA150" t="s">
        <v>114</v>
      </c>
      <c r="DB150" t="s">
        <v>114</v>
      </c>
      <c r="DC150" t="s">
        <v>136</v>
      </c>
      <c r="DD150" t="s">
        <v>114</v>
      </c>
    </row>
    <row r="151" spans="1:113" ht="15" customHeight="1" x14ac:dyDescent="0.25">
      <c r="A151" t="s">
        <v>21143</v>
      </c>
      <c r="B151" t="s">
        <v>152</v>
      </c>
      <c r="C151" s="1">
        <v>45262.002086921297</v>
      </c>
      <c r="D151" s="1">
        <v>45287</v>
      </c>
      <c r="E151" t="s">
        <v>132</v>
      </c>
      <c r="F151" t="s">
        <v>1743</v>
      </c>
      <c r="G151" t="str">
        <f>"37-3011.00"</f>
        <v>37-3011.00</v>
      </c>
      <c r="H151" t="s">
        <v>429</v>
      </c>
      <c r="I151">
        <v>18</v>
      </c>
      <c r="J151">
        <v>18</v>
      </c>
      <c r="K151" s="1">
        <v>45352</v>
      </c>
      <c r="L151" s="1">
        <v>45657</v>
      </c>
      <c r="M151" s="1">
        <v>45352</v>
      </c>
      <c r="N151" s="1">
        <v>45657</v>
      </c>
      <c r="O151" t="s">
        <v>238</v>
      </c>
      <c r="P151" t="s">
        <v>12611</v>
      </c>
      <c r="R151" t="s">
        <v>12612</v>
      </c>
      <c r="T151" t="s">
        <v>12613</v>
      </c>
      <c r="U151" t="s">
        <v>358</v>
      </c>
      <c r="V151" s="8" t="str">
        <f>"11780"</f>
        <v>11780</v>
      </c>
      <c r="W151" t="s">
        <v>118</v>
      </c>
      <c r="Y151" s="10">
        <v>16314735064</v>
      </c>
      <c r="AA151">
        <v>56173</v>
      </c>
      <c r="AB151" t="s">
        <v>1477</v>
      </c>
      <c r="AC151" t="s">
        <v>12614</v>
      </c>
      <c r="AE151" t="s">
        <v>629</v>
      </c>
      <c r="AF151" t="s">
        <v>12612</v>
      </c>
      <c r="AH151" t="s">
        <v>12613</v>
      </c>
      <c r="AI151" t="s">
        <v>358</v>
      </c>
      <c r="AJ151" s="8" t="str">
        <f>"11780"</f>
        <v>11780</v>
      </c>
      <c r="AK151" t="s">
        <v>118</v>
      </c>
      <c r="AM151" s="10">
        <v>16314735064</v>
      </c>
      <c r="AO151" t="s">
        <v>132</v>
      </c>
      <c r="AP151" t="s">
        <v>248</v>
      </c>
      <c r="AQ151" t="s">
        <v>1746</v>
      </c>
      <c r="AR151" t="s">
        <v>1747</v>
      </c>
      <c r="AT151" t="s">
        <v>1748</v>
      </c>
      <c r="AV151" t="s">
        <v>1749</v>
      </c>
      <c r="AW151" t="s">
        <v>140</v>
      </c>
      <c r="AX151" s="8" t="str">
        <f>"34957"</f>
        <v>34957</v>
      </c>
      <c r="AY151" t="s">
        <v>118</v>
      </c>
      <c r="BA151" s="10">
        <v>17723344829</v>
      </c>
      <c r="BC151" t="s">
        <v>1750</v>
      </c>
      <c r="BD151" t="s">
        <v>1751</v>
      </c>
      <c r="BG151" t="s">
        <v>358</v>
      </c>
      <c r="BH151" s="1">
        <v>45259.791666666664</v>
      </c>
      <c r="BI151">
        <v>60</v>
      </c>
      <c r="BJ151">
        <v>0</v>
      </c>
      <c r="BK151">
        <v>10</v>
      </c>
      <c r="BL151">
        <v>10</v>
      </c>
      <c r="BM151">
        <v>10</v>
      </c>
      <c r="BN151">
        <v>10</v>
      </c>
      <c r="BO151">
        <v>10</v>
      </c>
      <c r="BP151">
        <v>10</v>
      </c>
      <c r="BQ151" t="str">
        <f>"7:00 AM"</f>
        <v>7:00 AM</v>
      </c>
      <c r="BR151" t="str">
        <f>"5:00 PM"</f>
        <v>5:00 PM</v>
      </c>
      <c r="BS151" t="s">
        <v>131</v>
      </c>
      <c r="BT151">
        <v>0</v>
      </c>
      <c r="BU151">
        <v>0</v>
      </c>
      <c r="BV151" t="s">
        <v>114</v>
      </c>
      <c r="BX151" t="s">
        <v>131</v>
      </c>
      <c r="BY151" t="s">
        <v>12612</v>
      </c>
      <c r="CA151" t="s">
        <v>12613</v>
      </c>
      <c r="CB151" t="s">
        <v>358</v>
      </c>
      <c r="CC151" s="8" t="str">
        <f>"11780"</f>
        <v>11780</v>
      </c>
      <c r="CD151" t="s">
        <v>1752</v>
      </c>
      <c r="CE151" t="s">
        <v>1418</v>
      </c>
      <c r="CF151" s="12">
        <v>20.81</v>
      </c>
      <c r="CG151" s="12">
        <v>23</v>
      </c>
      <c r="CH151" s="12">
        <v>31.22</v>
      </c>
      <c r="CI151" s="12">
        <v>34.5</v>
      </c>
      <c r="CJ151" t="s">
        <v>135</v>
      </c>
      <c r="CL151" t="s">
        <v>12615</v>
      </c>
      <c r="CO151" t="s">
        <v>132</v>
      </c>
      <c r="CP151" t="s">
        <v>136</v>
      </c>
      <c r="CQ151" t="s">
        <v>136</v>
      </c>
      <c r="CR151" t="s">
        <v>136</v>
      </c>
      <c r="CS151" t="s">
        <v>114</v>
      </c>
      <c r="CT151" t="s">
        <v>136</v>
      </c>
      <c r="CU151" t="s">
        <v>136</v>
      </c>
      <c r="CV151" t="s">
        <v>21144</v>
      </c>
      <c r="CW151" s="10" t="str">
        <f>"+16314735064"</f>
        <v>+16314735064</v>
      </c>
      <c r="CX151" t="s">
        <v>132</v>
      </c>
      <c r="CY151" t="s">
        <v>12616</v>
      </c>
      <c r="CZ151" t="s">
        <v>137</v>
      </c>
      <c r="DA151" t="s">
        <v>114</v>
      </c>
      <c r="DB151" t="s">
        <v>114</v>
      </c>
      <c r="DC151" t="s">
        <v>136</v>
      </c>
      <c r="DD151" t="s">
        <v>114</v>
      </c>
    </row>
    <row r="152" spans="1:113" ht="15" customHeight="1" x14ac:dyDescent="0.25">
      <c r="A152" t="s">
        <v>19014</v>
      </c>
      <c r="B152" t="s">
        <v>152</v>
      </c>
      <c r="C152" s="1">
        <v>45262.001546296298</v>
      </c>
      <c r="D152" s="1">
        <v>45287</v>
      </c>
      <c r="E152" t="s">
        <v>132</v>
      </c>
      <c r="F152" t="s">
        <v>1743</v>
      </c>
      <c r="G152" t="str">
        <f>"37-3011.00"</f>
        <v>37-3011.00</v>
      </c>
      <c r="H152" t="s">
        <v>429</v>
      </c>
      <c r="I152">
        <v>10</v>
      </c>
      <c r="J152">
        <v>10</v>
      </c>
      <c r="K152" s="1">
        <v>45352</v>
      </c>
      <c r="L152" s="1">
        <v>45641</v>
      </c>
      <c r="M152" s="1">
        <v>45352</v>
      </c>
      <c r="N152" s="1">
        <v>45641</v>
      </c>
      <c r="O152" t="s">
        <v>238</v>
      </c>
      <c r="P152" t="s">
        <v>19015</v>
      </c>
      <c r="R152" t="s">
        <v>19016</v>
      </c>
      <c r="S152" t="s">
        <v>19017</v>
      </c>
      <c r="T152" t="s">
        <v>2079</v>
      </c>
      <c r="U152" t="s">
        <v>358</v>
      </c>
      <c r="V152" s="8" t="str">
        <f>"11946"</f>
        <v>11946</v>
      </c>
      <c r="W152" t="s">
        <v>118</v>
      </c>
      <c r="Y152" s="10">
        <v>16317285815</v>
      </c>
      <c r="AA152">
        <v>56173</v>
      </c>
      <c r="AB152" t="s">
        <v>6829</v>
      </c>
      <c r="AC152" t="s">
        <v>7356</v>
      </c>
      <c r="AE152" t="s">
        <v>629</v>
      </c>
      <c r="AF152" t="s">
        <v>19016</v>
      </c>
      <c r="AG152" t="s">
        <v>19017</v>
      </c>
      <c r="AH152" t="s">
        <v>2079</v>
      </c>
      <c r="AI152" t="s">
        <v>358</v>
      </c>
      <c r="AJ152" s="8" t="str">
        <f>"11946"</f>
        <v>11946</v>
      </c>
      <c r="AK152" t="s">
        <v>118</v>
      </c>
      <c r="AM152" s="10">
        <v>16317285815</v>
      </c>
      <c r="AO152" t="s">
        <v>132</v>
      </c>
      <c r="AP152" t="s">
        <v>248</v>
      </c>
      <c r="AQ152" t="s">
        <v>1746</v>
      </c>
      <c r="AR152" t="s">
        <v>1747</v>
      </c>
      <c r="AT152" t="s">
        <v>1748</v>
      </c>
      <c r="AV152" t="s">
        <v>1749</v>
      </c>
      <c r="AW152" t="s">
        <v>140</v>
      </c>
      <c r="AX152" s="8" t="str">
        <f>"34957"</f>
        <v>34957</v>
      </c>
      <c r="AY152" t="s">
        <v>118</v>
      </c>
      <c r="BA152" s="10">
        <v>17723344829</v>
      </c>
      <c r="BC152" t="s">
        <v>1750</v>
      </c>
      <c r="BD152" t="s">
        <v>1751</v>
      </c>
      <c r="BG152" t="s">
        <v>358</v>
      </c>
      <c r="BH152" s="1">
        <v>45260.791666666664</v>
      </c>
      <c r="BI152">
        <v>40</v>
      </c>
      <c r="BJ152">
        <v>0</v>
      </c>
      <c r="BK152">
        <v>8</v>
      </c>
      <c r="BL152">
        <v>8</v>
      </c>
      <c r="BM152">
        <v>8</v>
      </c>
      <c r="BN152">
        <v>8</v>
      </c>
      <c r="BO152">
        <v>8</v>
      </c>
      <c r="BP152">
        <v>0</v>
      </c>
      <c r="BQ152" t="str">
        <f>"8:30 AM"</f>
        <v>8:30 AM</v>
      </c>
      <c r="BR152" t="str">
        <f>"5:00 PM"</f>
        <v>5:00 PM</v>
      </c>
      <c r="BS152" t="s">
        <v>131</v>
      </c>
      <c r="BT152">
        <v>0</v>
      </c>
      <c r="BU152">
        <v>3</v>
      </c>
      <c r="BV152" t="s">
        <v>114</v>
      </c>
      <c r="BX152" t="s">
        <v>131</v>
      </c>
      <c r="BY152" t="s">
        <v>19018</v>
      </c>
      <c r="CA152" t="s">
        <v>5726</v>
      </c>
      <c r="CB152" t="s">
        <v>358</v>
      </c>
      <c r="CC152" s="8" t="str">
        <f>"11959"</f>
        <v>11959</v>
      </c>
      <c r="CD152" t="s">
        <v>1752</v>
      </c>
      <c r="CE152" t="s">
        <v>1418</v>
      </c>
      <c r="CF152" s="12">
        <v>20.81</v>
      </c>
      <c r="CG152" s="12">
        <v>23</v>
      </c>
      <c r="CH152" s="12">
        <v>31.22</v>
      </c>
      <c r="CI152" s="12">
        <v>34.5</v>
      </c>
      <c r="CJ152" t="s">
        <v>135</v>
      </c>
      <c r="CL152" t="s">
        <v>19019</v>
      </c>
      <c r="CO152" t="s">
        <v>132</v>
      </c>
      <c r="CP152" t="s">
        <v>136</v>
      </c>
      <c r="CQ152" t="s">
        <v>136</v>
      </c>
      <c r="CR152" t="s">
        <v>136</v>
      </c>
      <c r="CS152" t="s">
        <v>114</v>
      </c>
      <c r="CT152" t="s">
        <v>136</v>
      </c>
      <c r="CU152" t="s">
        <v>114</v>
      </c>
      <c r="CV152" t="s">
        <v>131</v>
      </c>
      <c r="CW152" s="10" t="str">
        <f>"+16317285815"</f>
        <v>+16317285815</v>
      </c>
      <c r="CX152" t="s">
        <v>132</v>
      </c>
      <c r="CY152" t="s">
        <v>19020</v>
      </c>
      <c r="CZ152" t="s">
        <v>137</v>
      </c>
      <c r="DA152" t="s">
        <v>114</v>
      </c>
      <c r="DB152" t="s">
        <v>114</v>
      </c>
      <c r="DC152" t="s">
        <v>136</v>
      </c>
      <c r="DD152" t="s">
        <v>114</v>
      </c>
    </row>
    <row r="153" spans="1:113" ht="15" customHeight="1" x14ac:dyDescent="0.25">
      <c r="A153" t="s">
        <v>7203</v>
      </c>
      <c r="B153" t="s">
        <v>152</v>
      </c>
      <c r="C153" s="1">
        <v>45262.001285185186</v>
      </c>
      <c r="D153" s="1">
        <v>45287</v>
      </c>
      <c r="E153" t="s">
        <v>132</v>
      </c>
      <c r="F153" t="s">
        <v>1743</v>
      </c>
      <c r="G153" t="str">
        <f>"37-3011.00"</f>
        <v>37-3011.00</v>
      </c>
      <c r="H153" t="s">
        <v>429</v>
      </c>
      <c r="I153">
        <v>10</v>
      </c>
      <c r="J153">
        <v>10</v>
      </c>
      <c r="K153" s="1">
        <v>45352</v>
      </c>
      <c r="L153" s="1">
        <v>45626</v>
      </c>
      <c r="M153" s="1">
        <v>45352</v>
      </c>
      <c r="N153" s="1">
        <v>45626</v>
      </c>
      <c r="O153" t="s">
        <v>238</v>
      </c>
      <c r="P153" t="s">
        <v>7204</v>
      </c>
      <c r="R153" t="s">
        <v>7205</v>
      </c>
      <c r="T153" t="s">
        <v>7206</v>
      </c>
      <c r="U153" t="s">
        <v>358</v>
      </c>
      <c r="V153" s="8" t="str">
        <f>"11930"</f>
        <v>11930</v>
      </c>
      <c r="W153" t="s">
        <v>118</v>
      </c>
      <c r="Y153" s="10">
        <v>16312673182</v>
      </c>
      <c r="AA153">
        <v>56173</v>
      </c>
      <c r="AB153" t="s">
        <v>7207</v>
      </c>
      <c r="AC153" t="s">
        <v>7208</v>
      </c>
      <c r="AE153" t="s">
        <v>120</v>
      </c>
      <c r="AF153" t="s">
        <v>7205</v>
      </c>
      <c r="AH153" t="s">
        <v>7206</v>
      </c>
      <c r="AI153" t="s">
        <v>358</v>
      </c>
      <c r="AJ153" s="8" t="str">
        <f>"11930"</f>
        <v>11930</v>
      </c>
      <c r="AK153" t="s">
        <v>118</v>
      </c>
      <c r="AM153" s="10">
        <v>16312673182</v>
      </c>
      <c r="AO153" t="s">
        <v>132</v>
      </c>
      <c r="AP153" t="s">
        <v>248</v>
      </c>
      <c r="AQ153" t="s">
        <v>1746</v>
      </c>
      <c r="AR153" t="s">
        <v>1747</v>
      </c>
      <c r="AT153" t="s">
        <v>1748</v>
      </c>
      <c r="AV153" t="s">
        <v>1749</v>
      </c>
      <c r="AW153" t="s">
        <v>140</v>
      </c>
      <c r="AX153" s="8" t="str">
        <f>"34957"</f>
        <v>34957</v>
      </c>
      <c r="AY153" t="s">
        <v>118</v>
      </c>
      <c r="BA153" s="10">
        <v>17723344829</v>
      </c>
      <c r="BC153" t="s">
        <v>1750</v>
      </c>
      <c r="BD153" t="s">
        <v>1751</v>
      </c>
      <c r="BG153" t="s">
        <v>358</v>
      </c>
      <c r="BH153" s="1">
        <v>45259.791666666664</v>
      </c>
      <c r="BI153">
        <v>40</v>
      </c>
      <c r="BJ153">
        <v>0</v>
      </c>
      <c r="BK153">
        <v>8</v>
      </c>
      <c r="BL153">
        <v>8</v>
      </c>
      <c r="BM153">
        <v>8</v>
      </c>
      <c r="BN153">
        <v>8</v>
      </c>
      <c r="BO153">
        <v>8</v>
      </c>
      <c r="BP153">
        <v>0</v>
      </c>
      <c r="BQ153" t="str">
        <f>"8:00 AM"</f>
        <v>8:00 AM</v>
      </c>
      <c r="BR153" t="str">
        <f>"4:00 PM"</f>
        <v>4:00 PM</v>
      </c>
      <c r="BS153" t="s">
        <v>131</v>
      </c>
      <c r="BT153">
        <v>0</v>
      </c>
      <c r="BU153">
        <v>0</v>
      </c>
      <c r="BV153" t="s">
        <v>114</v>
      </c>
      <c r="BX153" t="s">
        <v>131</v>
      </c>
      <c r="BY153" t="s">
        <v>7205</v>
      </c>
      <c r="CA153" t="s">
        <v>7206</v>
      </c>
      <c r="CB153" t="s">
        <v>358</v>
      </c>
      <c r="CC153" s="8" t="str">
        <f>"11930"</f>
        <v>11930</v>
      </c>
      <c r="CD153" t="s">
        <v>1752</v>
      </c>
      <c r="CE153" t="s">
        <v>1418</v>
      </c>
      <c r="CF153" s="12">
        <v>20.81</v>
      </c>
      <c r="CG153" s="12">
        <v>20.81</v>
      </c>
      <c r="CH153" s="12">
        <v>31.22</v>
      </c>
      <c r="CI153" s="12">
        <v>31.22</v>
      </c>
      <c r="CJ153" t="s">
        <v>135</v>
      </c>
      <c r="CK153" t="s">
        <v>131</v>
      </c>
      <c r="CL153" t="s">
        <v>7209</v>
      </c>
      <c r="CO153" t="s">
        <v>132</v>
      </c>
      <c r="CP153" t="s">
        <v>136</v>
      </c>
      <c r="CQ153" t="s">
        <v>136</v>
      </c>
      <c r="CR153" t="s">
        <v>136</v>
      </c>
      <c r="CS153" t="s">
        <v>114</v>
      </c>
      <c r="CT153" t="s">
        <v>136</v>
      </c>
      <c r="CU153" t="s">
        <v>114</v>
      </c>
      <c r="CV153" t="s">
        <v>131</v>
      </c>
      <c r="CW153" s="10" t="str">
        <f>"+16312673182"</f>
        <v>+16312673182</v>
      </c>
      <c r="CX153" t="s">
        <v>132</v>
      </c>
      <c r="CY153" t="s">
        <v>7210</v>
      </c>
      <c r="CZ153" t="s">
        <v>137</v>
      </c>
      <c r="DA153" t="s">
        <v>114</v>
      </c>
      <c r="DB153" t="s">
        <v>114</v>
      </c>
      <c r="DC153" t="s">
        <v>136</v>
      </c>
      <c r="DD153" t="s">
        <v>114</v>
      </c>
    </row>
    <row r="154" spans="1:113" ht="15" customHeight="1" x14ac:dyDescent="0.25">
      <c r="A154" t="s">
        <v>16294</v>
      </c>
      <c r="B154" t="s">
        <v>152</v>
      </c>
      <c r="C154" s="1">
        <v>45262.000569097225</v>
      </c>
      <c r="D154" s="1">
        <v>45287</v>
      </c>
      <c r="E154" t="s">
        <v>132</v>
      </c>
      <c r="F154" t="s">
        <v>2086</v>
      </c>
      <c r="G154" t="str">
        <f>"37-3011.00"</f>
        <v>37-3011.00</v>
      </c>
      <c r="H154" t="s">
        <v>429</v>
      </c>
      <c r="I154">
        <v>4</v>
      </c>
      <c r="J154">
        <v>4</v>
      </c>
      <c r="K154" s="1">
        <v>45352</v>
      </c>
      <c r="L154" s="1">
        <v>45536</v>
      </c>
      <c r="M154" s="1">
        <v>45352</v>
      </c>
      <c r="N154" s="1">
        <v>45536</v>
      </c>
      <c r="O154" t="s">
        <v>116</v>
      </c>
      <c r="P154" t="s">
        <v>16295</v>
      </c>
      <c r="R154" t="s">
        <v>16296</v>
      </c>
      <c r="T154" t="s">
        <v>5136</v>
      </c>
      <c r="U154" t="s">
        <v>984</v>
      </c>
      <c r="V154" s="8" t="str">
        <f>"65616"</f>
        <v>65616</v>
      </c>
      <c r="W154" t="s">
        <v>118</v>
      </c>
      <c r="Y154" s="10">
        <v>14173344443</v>
      </c>
      <c r="AA154">
        <v>72111</v>
      </c>
      <c r="AB154" t="s">
        <v>2044</v>
      </c>
      <c r="AC154" t="s">
        <v>2045</v>
      </c>
      <c r="AE154" t="s">
        <v>4835</v>
      </c>
      <c r="AF154" t="s">
        <v>4836</v>
      </c>
      <c r="AH154" t="s">
        <v>955</v>
      </c>
      <c r="AI154" t="s">
        <v>140</v>
      </c>
      <c r="AJ154" s="8" t="str">
        <f>"32819"</f>
        <v>32819</v>
      </c>
      <c r="AK154" t="s">
        <v>118</v>
      </c>
      <c r="AM154" s="10">
        <v>14074056774</v>
      </c>
      <c r="AO154" t="s">
        <v>132</v>
      </c>
      <c r="AP154" t="s">
        <v>248</v>
      </c>
      <c r="AQ154" t="s">
        <v>673</v>
      </c>
      <c r="AR154" t="s">
        <v>674</v>
      </c>
      <c r="AT154" t="s">
        <v>579</v>
      </c>
      <c r="AV154" t="s">
        <v>580</v>
      </c>
      <c r="AW154" t="s">
        <v>581</v>
      </c>
      <c r="AX154" s="8" t="str">
        <f>"22903"</f>
        <v>22903</v>
      </c>
      <c r="AY154" t="s">
        <v>118</v>
      </c>
      <c r="BA154" s="10">
        <v>14342634300</v>
      </c>
      <c r="BC154" t="s">
        <v>675</v>
      </c>
      <c r="BD154" t="s">
        <v>583</v>
      </c>
      <c r="BG154" t="s">
        <v>984</v>
      </c>
      <c r="BH154" s="1">
        <v>45261.791666666664</v>
      </c>
      <c r="BI154">
        <v>40</v>
      </c>
      <c r="BJ154">
        <v>8</v>
      </c>
      <c r="BK154">
        <v>0</v>
      </c>
      <c r="BL154">
        <v>8</v>
      </c>
      <c r="BM154">
        <v>8</v>
      </c>
      <c r="BN154">
        <v>0</v>
      </c>
      <c r="BO154">
        <v>8</v>
      </c>
      <c r="BP154">
        <v>8</v>
      </c>
      <c r="BQ154" t="str">
        <f>"7:00 AM"</f>
        <v>7:00 AM</v>
      </c>
      <c r="BR154" t="str">
        <f>"3:30 PM"</f>
        <v>3:30 PM</v>
      </c>
      <c r="BS154" t="s">
        <v>131</v>
      </c>
      <c r="BT154">
        <v>0</v>
      </c>
      <c r="BU154">
        <v>0</v>
      </c>
      <c r="BV154" t="s">
        <v>114</v>
      </c>
      <c r="BX154" s="2" t="s">
        <v>16297</v>
      </c>
      <c r="BY154" t="s">
        <v>16296</v>
      </c>
      <c r="CA154" t="s">
        <v>5136</v>
      </c>
      <c r="CB154" t="s">
        <v>984</v>
      </c>
      <c r="CC154" s="8" t="str">
        <f>"65616"</f>
        <v>65616</v>
      </c>
      <c r="CD154" t="s">
        <v>5140</v>
      </c>
      <c r="CE154" t="s">
        <v>5141</v>
      </c>
      <c r="CF154" s="12">
        <v>15.68</v>
      </c>
      <c r="CG154" s="12">
        <v>15.68</v>
      </c>
      <c r="CH154" s="12">
        <v>23.52</v>
      </c>
      <c r="CI154" s="12">
        <v>23.52</v>
      </c>
      <c r="CJ154" t="s">
        <v>135</v>
      </c>
      <c r="CK154" t="s">
        <v>590</v>
      </c>
      <c r="CL154" t="s">
        <v>16298</v>
      </c>
      <c r="CO154" t="s">
        <v>132</v>
      </c>
      <c r="CP154" t="s">
        <v>114</v>
      </c>
      <c r="CQ154" t="s">
        <v>114</v>
      </c>
      <c r="CR154" t="s">
        <v>136</v>
      </c>
      <c r="CS154" t="s">
        <v>136</v>
      </c>
      <c r="CT154" t="s">
        <v>136</v>
      </c>
      <c r="CU154" t="s">
        <v>136</v>
      </c>
      <c r="CV154" t="s">
        <v>4837</v>
      </c>
      <c r="CW154" s="10" t="str">
        <f>"+14073956456"</f>
        <v>+14073956456</v>
      </c>
      <c r="CX154" t="s">
        <v>132</v>
      </c>
      <c r="CY154" t="s">
        <v>4838</v>
      </c>
      <c r="CZ154" t="s">
        <v>137</v>
      </c>
      <c r="DA154" t="s">
        <v>114</v>
      </c>
      <c r="DB154" t="s">
        <v>136</v>
      </c>
      <c r="DC154" t="s">
        <v>136</v>
      </c>
      <c r="DD154" t="s">
        <v>114</v>
      </c>
      <c r="DE154" t="s">
        <v>673</v>
      </c>
      <c r="DF154" t="s">
        <v>674</v>
      </c>
      <c r="DH154" t="s">
        <v>583</v>
      </c>
      <c r="DI154" t="s">
        <v>675</v>
      </c>
    </row>
    <row r="155" spans="1:113" ht="15" customHeight="1" x14ac:dyDescent="0.25">
      <c r="A155" t="s">
        <v>17938</v>
      </c>
      <c r="B155" t="s">
        <v>152</v>
      </c>
      <c r="C155" s="1">
        <v>45262.000220833332</v>
      </c>
      <c r="D155" s="1">
        <v>45287</v>
      </c>
      <c r="E155" t="s">
        <v>132</v>
      </c>
      <c r="F155" t="s">
        <v>293</v>
      </c>
      <c r="G155" t="str">
        <f>"37-2012.00"</f>
        <v>37-2012.00</v>
      </c>
      <c r="H155" t="s">
        <v>205</v>
      </c>
      <c r="I155">
        <v>4</v>
      </c>
      <c r="J155">
        <v>4</v>
      </c>
      <c r="K155" s="1">
        <v>45352</v>
      </c>
      <c r="L155" s="1">
        <v>45657</v>
      </c>
      <c r="M155" s="1">
        <v>45352</v>
      </c>
      <c r="N155" s="1">
        <v>45657</v>
      </c>
      <c r="O155" t="s">
        <v>116</v>
      </c>
      <c r="P155" t="s">
        <v>17939</v>
      </c>
      <c r="R155" t="s">
        <v>17940</v>
      </c>
      <c r="T155" t="s">
        <v>17941</v>
      </c>
      <c r="U155" t="s">
        <v>550</v>
      </c>
      <c r="V155" s="8" t="str">
        <f>"30523"</f>
        <v>30523</v>
      </c>
      <c r="W155" t="s">
        <v>118</v>
      </c>
      <c r="Y155" s="10">
        <v>17068391050</v>
      </c>
      <c r="AA155">
        <v>72111</v>
      </c>
      <c r="AB155" t="s">
        <v>2044</v>
      </c>
      <c r="AC155" t="s">
        <v>2045</v>
      </c>
      <c r="AE155" t="s">
        <v>4835</v>
      </c>
      <c r="AF155" t="s">
        <v>4836</v>
      </c>
      <c r="AH155" t="s">
        <v>955</v>
      </c>
      <c r="AI155" t="s">
        <v>140</v>
      </c>
      <c r="AJ155" s="8" t="str">
        <f>"32819"</f>
        <v>32819</v>
      </c>
      <c r="AK155" t="s">
        <v>118</v>
      </c>
      <c r="AM155" s="10">
        <v>18662289108</v>
      </c>
      <c r="AO155" t="s">
        <v>132</v>
      </c>
      <c r="AP155" t="s">
        <v>248</v>
      </c>
      <c r="AQ155" t="s">
        <v>673</v>
      </c>
      <c r="AR155" t="s">
        <v>674</v>
      </c>
      <c r="AT155" t="s">
        <v>579</v>
      </c>
      <c r="AV155" t="s">
        <v>580</v>
      </c>
      <c r="AW155" t="s">
        <v>581</v>
      </c>
      <c r="AX155" s="8" t="str">
        <f>"22903"</f>
        <v>22903</v>
      </c>
      <c r="AY155" t="s">
        <v>118</v>
      </c>
      <c r="BA155" s="10">
        <v>14342634300</v>
      </c>
      <c r="BC155" t="s">
        <v>675</v>
      </c>
      <c r="BD155" t="s">
        <v>583</v>
      </c>
      <c r="BG155" t="s">
        <v>550</v>
      </c>
      <c r="BH155" s="1">
        <v>45261.791666666664</v>
      </c>
      <c r="BI155">
        <v>40</v>
      </c>
      <c r="BJ155">
        <v>8</v>
      </c>
      <c r="BK155">
        <v>0</v>
      </c>
      <c r="BL155">
        <v>8</v>
      </c>
      <c r="BM155">
        <v>8</v>
      </c>
      <c r="BN155">
        <v>0</v>
      </c>
      <c r="BO155">
        <v>8</v>
      </c>
      <c r="BP155">
        <v>8</v>
      </c>
      <c r="BQ155" t="str">
        <f>"8:00 AM"</f>
        <v>8:00 AM</v>
      </c>
      <c r="BR155" t="str">
        <f>"4:30 PM"</f>
        <v>4:30 PM</v>
      </c>
      <c r="BS155" t="s">
        <v>131</v>
      </c>
      <c r="BT155">
        <v>0</v>
      </c>
      <c r="BU155">
        <v>0</v>
      </c>
      <c r="BV155" t="s">
        <v>114</v>
      </c>
      <c r="BX155" s="2" t="s">
        <v>17942</v>
      </c>
      <c r="BY155" t="s">
        <v>17940</v>
      </c>
      <c r="CA155" t="s">
        <v>17941</v>
      </c>
      <c r="CB155" t="s">
        <v>550</v>
      </c>
      <c r="CC155" s="8" t="str">
        <f>"30523"</f>
        <v>30523</v>
      </c>
      <c r="CD155" t="s">
        <v>17943</v>
      </c>
      <c r="CE155" t="s">
        <v>7496</v>
      </c>
      <c r="CF155" s="12">
        <v>14</v>
      </c>
      <c r="CG155" s="12">
        <v>14</v>
      </c>
      <c r="CH155" s="12">
        <v>21</v>
      </c>
      <c r="CI155" s="12">
        <v>21</v>
      </c>
      <c r="CJ155" t="s">
        <v>135</v>
      </c>
      <c r="CK155" t="s">
        <v>590</v>
      </c>
      <c r="CL155" t="s">
        <v>17944</v>
      </c>
      <c r="CO155" t="s">
        <v>132</v>
      </c>
      <c r="CP155" t="s">
        <v>114</v>
      </c>
      <c r="CQ155" t="s">
        <v>114</v>
      </c>
      <c r="CR155" t="s">
        <v>136</v>
      </c>
      <c r="CS155" t="s">
        <v>136</v>
      </c>
      <c r="CT155" t="s">
        <v>136</v>
      </c>
      <c r="CU155" t="s">
        <v>136</v>
      </c>
      <c r="CV155" t="s">
        <v>5375</v>
      </c>
      <c r="CW155" s="10" t="str">
        <f>"+17068391050"</f>
        <v>+17068391050</v>
      </c>
      <c r="CX155" t="s">
        <v>132</v>
      </c>
      <c r="CY155" t="s">
        <v>7458</v>
      </c>
      <c r="CZ155" t="s">
        <v>137</v>
      </c>
      <c r="DA155" t="s">
        <v>114</v>
      </c>
      <c r="DB155" t="s">
        <v>136</v>
      </c>
      <c r="DC155" t="s">
        <v>136</v>
      </c>
      <c r="DD155" t="s">
        <v>114</v>
      </c>
      <c r="DE155" t="s">
        <v>673</v>
      </c>
      <c r="DF155" t="s">
        <v>674</v>
      </c>
      <c r="DH155" t="s">
        <v>583</v>
      </c>
      <c r="DI155" t="s">
        <v>675</v>
      </c>
    </row>
    <row r="156" spans="1:113" ht="15" customHeight="1" x14ac:dyDescent="0.25">
      <c r="A156" t="s">
        <v>19755</v>
      </c>
      <c r="B156" t="s">
        <v>152</v>
      </c>
      <c r="C156" s="1">
        <v>45261.664272800925</v>
      </c>
      <c r="D156" s="1">
        <v>45287</v>
      </c>
      <c r="E156" t="s">
        <v>132</v>
      </c>
      <c r="F156" t="s">
        <v>8030</v>
      </c>
      <c r="G156" t="str">
        <f>"35-3023.00"</f>
        <v>35-3023.00</v>
      </c>
      <c r="H156" t="s">
        <v>1365</v>
      </c>
      <c r="I156">
        <v>9</v>
      </c>
      <c r="J156">
        <v>9</v>
      </c>
      <c r="K156" s="1">
        <v>45336</v>
      </c>
      <c r="L156" s="1">
        <v>45611</v>
      </c>
      <c r="M156" s="1">
        <v>45336</v>
      </c>
      <c r="N156" s="1">
        <v>45611</v>
      </c>
      <c r="O156" t="s">
        <v>238</v>
      </c>
      <c r="P156" t="s">
        <v>19756</v>
      </c>
      <c r="R156" t="s">
        <v>19757</v>
      </c>
      <c r="T156" t="s">
        <v>12695</v>
      </c>
      <c r="U156" t="s">
        <v>819</v>
      </c>
      <c r="V156" s="8" t="str">
        <f>"46143"</f>
        <v>46143</v>
      </c>
      <c r="W156" t="s">
        <v>118</v>
      </c>
      <c r="Y156" s="10">
        <v>13173399902</v>
      </c>
      <c r="AA156">
        <v>71399</v>
      </c>
      <c r="AB156" t="s">
        <v>19758</v>
      </c>
      <c r="AC156" t="s">
        <v>2944</v>
      </c>
      <c r="AE156" t="s">
        <v>561</v>
      </c>
      <c r="AF156" t="s">
        <v>19757</v>
      </c>
      <c r="AH156" t="s">
        <v>12695</v>
      </c>
      <c r="AI156" t="s">
        <v>819</v>
      </c>
      <c r="AJ156" s="8" t="str">
        <f>"46143"</f>
        <v>46143</v>
      </c>
      <c r="AK156" t="s">
        <v>118</v>
      </c>
      <c r="AL156" t="s">
        <v>2755</v>
      </c>
      <c r="AM156" s="10">
        <v>13173399902</v>
      </c>
      <c r="AO156" t="s">
        <v>19759</v>
      </c>
      <c r="AP156" t="s">
        <v>248</v>
      </c>
      <c r="AQ156" t="s">
        <v>249</v>
      </c>
      <c r="AR156" t="s">
        <v>250</v>
      </c>
      <c r="AS156" t="s">
        <v>251</v>
      </c>
      <c r="AT156" t="s">
        <v>252</v>
      </c>
      <c r="AU156" t="s">
        <v>253</v>
      </c>
      <c r="AV156" t="s">
        <v>254</v>
      </c>
      <c r="AW156" t="s">
        <v>127</v>
      </c>
      <c r="AX156" s="8" t="str">
        <f>"78550"</f>
        <v>78550</v>
      </c>
      <c r="AY156" t="s">
        <v>118</v>
      </c>
      <c r="AZ156" t="s">
        <v>255</v>
      </c>
      <c r="BA156" s="10">
        <v>19564408720</v>
      </c>
      <c r="BB156" s="3" t="s">
        <v>256</v>
      </c>
      <c r="BC156" t="s">
        <v>257</v>
      </c>
      <c r="BD156" t="s">
        <v>258</v>
      </c>
      <c r="BG156" t="s">
        <v>819</v>
      </c>
      <c r="BH156" s="1">
        <v>45260.791666666664</v>
      </c>
      <c r="BI156">
        <v>40</v>
      </c>
      <c r="BJ156">
        <v>8</v>
      </c>
      <c r="BK156">
        <v>0</v>
      </c>
      <c r="BL156">
        <v>0</v>
      </c>
      <c r="BM156">
        <v>8</v>
      </c>
      <c r="BN156">
        <v>8</v>
      </c>
      <c r="BO156">
        <v>8</v>
      </c>
      <c r="BP156">
        <v>8</v>
      </c>
      <c r="BQ156" t="str">
        <f>"1:00 PM"</f>
        <v>1:00 PM</v>
      </c>
      <c r="BR156" t="str">
        <f>"10:00 PM"</f>
        <v>10:00 PM</v>
      </c>
      <c r="BS156" t="s">
        <v>131</v>
      </c>
      <c r="BT156">
        <v>0</v>
      </c>
      <c r="BU156">
        <v>0</v>
      </c>
      <c r="BV156" t="s">
        <v>114</v>
      </c>
      <c r="BX156" s="2" t="s">
        <v>259</v>
      </c>
      <c r="BY156" t="s">
        <v>19757</v>
      </c>
      <c r="CA156" t="s">
        <v>12695</v>
      </c>
      <c r="CB156" t="s">
        <v>819</v>
      </c>
      <c r="CC156" s="8" t="str">
        <f>"46143"</f>
        <v>46143</v>
      </c>
      <c r="CD156" t="s">
        <v>1969</v>
      </c>
      <c r="CE156" t="s">
        <v>2111</v>
      </c>
      <c r="CF156" s="12">
        <v>11.25</v>
      </c>
      <c r="CG156" s="12">
        <v>15.38</v>
      </c>
      <c r="CJ156" t="s">
        <v>135</v>
      </c>
      <c r="CK156" t="s">
        <v>264</v>
      </c>
      <c r="CL156" t="s">
        <v>19760</v>
      </c>
      <c r="CO156" t="s">
        <v>132</v>
      </c>
      <c r="CP156" t="s">
        <v>136</v>
      </c>
      <c r="CQ156" t="s">
        <v>136</v>
      </c>
      <c r="CR156" t="s">
        <v>114</v>
      </c>
      <c r="CS156" t="s">
        <v>136</v>
      </c>
      <c r="CT156" t="s">
        <v>136</v>
      </c>
      <c r="CU156" t="s">
        <v>136</v>
      </c>
      <c r="CV156" t="s">
        <v>266</v>
      </c>
      <c r="CW156" s="10" t="str">
        <f>"+13173399902"</f>
        <v>+13173399902</v>
      </c>
      <c r="CX156" t="s">
        <v>19759</v>
      </c>
      <c r="CY156" t="s">
        <v>132</v>
      </c>
      <c r="CZ156" t="s">
        <v>137</v>
      </c>
      <c r="DA156" t="s">
        <v>114</v>
      </c>
      <c r="DB156" t="s">
        <v>136</v>
      </c>
      <c r="DC156" t="s">
        <v>136</v>
      </c>
      <c r="DD156" t="s">
        <v>114</v>
      </c>
    </row>
    <row r="157" spans="1:113" ht="15" customHeight="1" x14ac:dyDescent="0.25">
      <c r="A157" t="s">
        <v>20183</v>
      </c>
      <c r="B157" t="s">
        <v>152</v>
      </c>
      <c r="C157" s="1">
        <v>45261.534696759256</v>
      </c>
      <c r="D157" s="1">
        <v>45287</v>
      </c>
      <c r="E157" t="s">
        <v>132</v>
      </c>
      <c r="F157" t="s">
        <v>1595</v>
      </c>
      <c r="G157" t="str">
        <f>"37-3011.00"</f>
        <v>37-3011.00</v>
      </c>
      <c r="H157" t="s">
        <v>429</v>
      </c>
      <c r="I157">
        <v>16</v>
      </c>
      <c r="J157">
        <v>16</v>
      </c>
      <c r="K157" s="1">
        <v>45350</v>
      </c>
      <c r="L157" s="1">
        <v>45646</v>
      </c>
      <c r="M157" s="1">
        <v>45350</v>
      </c>
      <c r="N157" s="1">
        <v>45646</v>
      </c>
      <c r="O157" t="s">
        <v>238</v>
      </c>
      <c r="P157" t="s">
        <v>20184</v>
      </c>
      <c r="R157" t="s">
        <v>20185</v>
      </c>
      <c r="T157" t="s">
        <v>5818</v>
      </c>
      <c r="U157" t="s">
        <v>211</v>
      </c>
      <c r="V157" s="8" t="str">
        <f>"84095"</f>
        <v>84095</v>
      </c>
      <c r="W157" t="s">
        <v>118</v>
      </c>
      <c r="Y157" s="10">
        <v>18012540321</v>
      </c>
      <c r="AA157">
        <v>561730</v>
      </c>
      <c r="AB157" t="s">
        <v>3560</v>
      </c>
      <c r="AC157" t="s">
        <v>486</v>
      </c>
      <c r="AE157" t="s">
        <v>561</v>
      </c>
      <c r="AF157" t="s">
        <v>20185</v>
      </c>
      <c r="AH157" t="s">
        <v>5818</v>
      </c>
      <c r="AI157" t="s">
        <v>211</v>
      </c>
      <c r="AJ157" s="8" t="str">
        <f>"84095"</f>
        <v>84095</v>
      </c>
      <c r="AK157" t="s">
        <v>118</v>
      </c>
      <c r="AM157" s="10">
        <v>18012540321</v>
      </c>
      <c r="AO157" t="s">
        <v>20186</v>
      </c>
      <c r="AP157" t="s">
        <v>248</v>
      </c>
      <c r="AQ157" t="s">
        <v>3290</v>
      </c>
      <c r="AR157" t="s">
        <v>2001</v>
      </c>
      <c r="AT157" t="s">
        <v>3291</v>
      </c>
      <c r="AV157" t="s">
        <v>3292</v>
      </c>
      <c r="AW157" t="s">
        <v>402</v>
      </c>
      <c r="AX157" s="8" t="str">
        <f>"93446"</f>
        <v>93446</v>
      </c>
      <c r="AY157" t="s">
        <v>118</v>
      </c>
      <c r="AZ157" t="s">
        <v>3293</v>
      </c>
      <c r="BA157" s="10">
        <v>13217042589</v>
      </c>
      <c r="BC157" t="s">
        <v>3294</v>
      </c>
      <c r="BD157" t="s">
        <v>3295</v>
      </c>
      <c r="BG157" t="s">
        <v>211</v>
      </c>
      <c r="BH157" s="1">
        <v>45238.791666666664</v>
      </c>
      <c r="BI157">
        <v>40</v>
      </c>
      <c r="BJ157">
        <v>0</v>
      </c>
      <c r="BK157">
        <v>8</v>
      </c>
      <c r="BL157">
        <v>8</v>
      </c>
      <c r="BM157">
        <v>8</v>
      </c>
      <c r="BN157">
        <v>8</v>
      </c>
      <c r="BO157">
        <v>8</v>
      </c>
      <c r="BP157">
        <v>0</v>
      </c>
      <c r="BQ157" t="str">
        <f>"7:00 AM"</f>
        <v>7:00 AM</v>
      </c>
      <c r="BR157" t="str">
        <f>"3:30 PM"</f>
        <v>3:30 PM</v>
      </c>
      <c r="BS157" t="s">
        <v>131</v>
      </c>
      <c r="BT157">
        <v>0</v>
      </c>
      <c r="BU157">
        <v>0</v>
      </c>
      <c r="BV157" t="s">
        <v>114</v>
      </c>
      <c r="BX157" s="2" t="s">
        <v>20187</v>
      </c>
      <c r="BY157" t="s">
        <v>20188</v>
      </c>
      <c r="CA157" t="s">
        <v>5818</v>
      </c>
      <c r="CB157" t="s">
        <v>211</v>
      </c>
      <c r="CC157" s="8" t="str">
        <f>"84095"</f>
        <v>84095</v>
      </c>
      <c r="CD157" t="s">
        <v>1567</v>
      </c>
      <c r="CE157" t="s">
        <v>1568</v>
      </c>
      <c r="CF157" s="12">
        <v>18.82</v>
      </c>
      <c r="CG157" s="12">
        <v>18.82</v>
      </c>
      <c r="CH157" s="12">
        <v>28.23</v>
      </c>
      <c r="CI157" s="12">
        <v>28.23</v>
      </c>
      <c r="CJ157" t="s">
        <v>135</v>
      </c>
      <c r="CK157" t="s">
        <v>3300</v>
      </c>
      <c r="CL157" t="s">
        <v>20189</v>
      </c>
      <c r="CO157" t="s">
        <v>132</v>
      </c>
      <c r="CP157" t="s">
        <v>136</v>
      </c>
      <c r="CQ157" t="s">
        <v>136</v>
      </c>
      <c r="CR157" t="s">
        <v>136</v>
      </c>
      <c r="CS157" t="s">
        <v>136</v>
      </c>
      <c r="CT157" t="s">
        <v>136</v>
      </c>
      <c r="CU157" t="s">
        <v>114</v>
      </c>
      <c r="CV157" t="s">
        <v>132</v>
      </c>
      <c r="CW157" s="10" t="str">
        <f>"+18012540321"</f>
        <v>+18012540321</v>
      </c>
      <c r="CX157" t="s">
        <v>20186</v>
      </c>
      <c r="CY157" t="s">
        <v>132</v>
      </c>
      <c r="CZ157" t="s">
        <v>137</v>
      </c>
      <c r="DA157" t="s">
        <v>114</v>
      </c>
      <c r="DB157" t="s">
        <v>114</v>
      </c>
      <c r="DC157" t="s">
        <v>136</v>
      </c>
      <c r="DD157" t="s">
        <v>114</v>
      </c>
    </row>
    <row r="158" spans="1:113" ht="15" customHeight="1" x14ac:dyDescent="0.25">
      <c r="A158" t="s">
        <v>17850</v>
      </c>
      <c r="B158" t="s">
        <v>152</v>
      </c>
      <c r="C158" s="1">
        <v>45261.482533680559</v>
      </c>
      <c r="D158" s="1">
        <v>45287</v>
      </c>
      <c r="E158" t="s">
        <v>132</v>
      </c>
      <c r="F158" t="s">
        <v>3282</v>
      </c>
      <c r="G158" t="str">
        <f>"37-3011.00"</f>
        <v>37-3011.00</v>
      </c>
      <c r="H158" t="s">
        <v>429</v>
      </c>
      <c r="I158">
        <v>12</v>
      </c>
      <c r="J158">
        <v>12</v>
      </c>
      <c r="K158" s="1">
        <v>45350</v>
      </c>
      <c r="L158" s="1">
        <v>45636</v>
      </c>
      <c r="M158" s="1">
        <v>45350</v>
      </c>
      <c r="N158" s="1">
        <v>45636</v>
      </c>
      <c r="O158" t="s">
        <v>116</v>
      </c>
      <c r="P158" t="s">
        <v>17851</v>
      </c>
      <c r="R158" t="s">
        <v>17852</v>
      </c>
      <c r="T158" t="s">
        <v>4940</v>
      </c>
      <c r="U158" t="s">
        <v>1434</v>
      </c>
      <c r="V158" s="8" t="str">
        <f>"40508"</f>
        <v>40508</v>
      </c>
      <c r="W158" t="s">
        <v>118</v>
      </c>
      <c r="Y158" s="10">
        <v>18592528444</v>
      </c>
      <c r="AA158">
        <v>56173</v>
      </c>
      <c r="AB158" t="s">
        <v>17853</v>
      </c>
      <c r="AC158" t="s">
        <v>17854</v>
      </c>
      <c r="AE158" t="s">
        <v>5076</v>
      </c>
      <c r="AF158" t="s">
        <v>17855</v>
      </c>
      <c r="AH158" t="s">
        <v>4940</v>
      </c>
      <c r="AI158" t="s">
        <v>1434</v>
      </c>
      <c r="AJ158" s="8" t="str">
        <f>"40508"</f>
        <v>40508</v>
      </c>
      <c r="AK158" t="s">
        <v>118</v>
      </c>
      <c r="AM158" s="10">
        <v>18592528444</v>
      </c>
      <c r="AO158" t="s">
        <v>17856</v>
      </c>
      <c r="AP158" t="s">
        <v>248</v>
      </c>
      <c r="AQ158" t="s">
        <v>3290</v>
      </c>
      <c r="AR158" t="s">
        <v>2001</v>
      </c>
      <c r="AT158" t="s">
        <v>3291</v>
      </c>
      <c r="AV158" t="s">
        <v>3292</v>
      </c>
      <c r="AW158" t="s">
        <v>402</v>
      </c>
      <c r="AX158" s="8" t="str">
        <f>"93446"</f>
        <v>93446</v>
      </c>
      <c r="AY158" t="s">
        <v>118</v>
      </c>
      <c r="AZ158" t="s">
        <v>3293</v>
      </c>
      <c r="BA158" s="10">
        <v>13217042589</v>
      </c>
      <c r="BC158" t="s">
        <v>3294</v>
      </c>
      <c r="BD158" t="s">
        <v>3295</v>
      </c>
      <c r="BG158" t="s">
        <v>1434</v>
      </c>
      <c r="BH158" s="1">
        <v>45260.791666666664</v>
      </c>
      <c r="BI158">
        <v>40</v>
      </c>
      <c r="BJ158">
        <v>0</v>
      </c>
      <c r="BK158">
        <v>8</v>
      </c>
      <c r="BL158">
        <v>8</v>
      </c>
      <c r="BM158">
        <v>8</v>
      </c>
      <c r="BN158">
        <v>8</v>
      </c>
      <c r="BO158">
        <v>8</v>
      </c>
      <c r="BP158">
        <v>0</v>
      </c>
      <c r="BQ158" t="str">
        <f>"7:30 AM"</f>
        <v>7:30 AM</v>
      </c>
      <c r="BR158" t="str">
        <f>"4:00 PM"</f>
        <v>4:00 PM</v>
      </c>
      <c r="BS158" t="s">
        <v>131</v>
      </c>
      <c r="BT158">
        <v>0</v>
      </c>
      <c r="BU158">
        <v>0</v>
      </c>
      <c r="BV158" t="s">
        <v>114</v>
      </c>
      <c r="BX158" s="2" t="s">
        <v>17857</v>
      </c>
      <c r="BY158" t="s">
        <v>17858</v>
      </c>
      <c r="CA158" t="s">
        <v>1764</v>
      </c>
      <c r="CB158" t="s">
        <v>1434</v>
      </c>
      <c r="CC158" s="8" t="str">
        <f>"40508"</f>
        <v>40508</v>
      </c>
      <c r="CD158" t="s">
        <v>2868</v>
      </c>
      <c r="CE158" t="s">
        <v>4946</v>
      </c>
      <c r="CF158" s="12">
        <v>15.64</v>
      </c>
      <c r="CG158" s="12">
        <v>15.64</v>
      </c>
      <c r="CH158" s="12">
        <v>23.46</v>
      </c>
      <c r="CI158" s="12">
        <v>23.46</v>
      </c>
      <c r="CJ158" t="s">
        <v>135</v>
      </c>
      <c r="CK158" t="s">
        <v>3300</v>
      </c>
      <c r="CL158" t="s">
        <v>17859</v>
      </c>
      <c r="CO158" t="s">
        <v>132</v>
      </c>
      <c r="CP158" t="s">
        <v>136</v>
      </c>
      <c r="CQ158" t="s">
        <v>136</v>
      </c>
      <c r="CR158" t="s">
        <v>136</v>
      </c>
      <c r="CS158" t="s">
        <v>136</v>
      </c>
      <c r="CT158" t="s">
        <v>136</v>
      </c>
      <c r="CU158" t="s">
        <v>114</v>
      </c>
      <c r="CV158" t="s">
        <v>132</v>
      </c>
      <c r="CW158" s="10" t="str">
        <f>"+18592290510"</f>
        <v>+18592290510</v>
      </c>
      <c r="CX158" t="s">
        <v>17856</v>
      </c>
      <c r="CY158" t="s">
        <v>132</v>
      </c>
      <c r="CZ158" t="s">
        <v>137</v>
      </c>
      <c r="DA158" t="s">
        <v>114</v>
      </c>
      <c r="DB158" t="s">
        <v>114</v>
      </c>
      <c r="DC158" t="s">
        <v>136</v>
      </c>
      <c r="DD158" t="s">
        <v>114</v>
      </c>
    </row>
    <row r="159" spans="1:113" ht="15" customHeight="1" x14ac:dyDescent="0.25">
      <c r="A159" t="s">
        <v>4937</v>
      </c>
      <c r="B159" t="s">
        <v>152</v>
      </c>
      <c r="C159" s="1">
        <v>45260.743959259256</v>
      </c>
      <c r="D159" s="1">
        <v>45287</v>
      </c>
      <c r="E159" t="s">
        <v>132</v>
      </c>
      <c r="F159" t="s">
        <v>3282</v>
      </c>
      <c r="G159" t="str">
        <f>"37-3011.00"</f>
        <v>37-3011.00</v>
      </c>
      <c r="H159" t="s">
        <v>429</v>
      </c>
      <c r="I159">
        <v>10</v>
      </c>
      <c r="J159">
        <v>10</v>
      </c>
      <c r="K159" s="1">
        <v>45350</v>
      </c>
      <c r="L159" s="1">
        <v>45626</v>
      </c>
      <c r="M159" s="1">
        <v>45350</v>
      </c>
      <c r="N159" s="1">
        <v>45626</v>
      </c>
      <c r="O159" t="s">
        <v>116</v>
      </c>
      <c r="P159" t="s">
        <v>4938</v>
      </c>
      <c r="R159" t="s">
        <v>4939</v>
      </c>
      <c r="T159" t="s">
        <v>4940</v>
      </c>
      <c r="U159" t="s">
        <v>1434</v>
      </c>
      <c r="V159" s="8" t="str">
        <f>"40517"</f>
        <v>40517</v>
      </c>
      <c r="W159" t="s">
        <v>118</v>
      </c>
      <c r="Y159" s="10">
        <v>18593218080</v>
      </c>
      <c r="AA159">
        <v>56173</v>
      </c>
      <c r="AB159" t="s">
        <v>4941</v>
      </c>
      <c r="AC159" t="s">
        <v>2172</v>
      </c>
      <c r="AE159" t="s">
        <v>654</v>
      </c>
      <c r="AF159" t="s">
        <v>4942</v>
      </c>
      <c r="AH159" t="s">
        <v>4940</v>
      </c>
      <c r="AI159" t="s">
        <v>1434</v>
      </c>
      <c r="AJ159" s="8" t="str">
        <f>"40517"</f>
        <v>40517</v>
      </c>
      <c r="AK159" t="s">
        <v>118</v>
      </c>
      <c r="AM159" s="10">
        <v>18593218080</v>
      </c>
      <c r="AO159" t="s">
        <v>4943</v>
      </c>
      <c r="AP159" t="s">
        <v>248</v>
      </c>
      <c r="AQ159" t="s">
        <v>3290</v>
      </c>
      <c r="AR159" t="s">
        <v>2001</v>
      </c>
      <c r="AT159" t="s">
        <v>3291</v>
      </c>
      <c r="AV159" t="s">
        <v>3292</v>
      </c>
      <c r="AW159" t="s">
        <v>402</v>
      </c>
      <c r="AX159" s="8" t="str">
        <f>"93446"</f>
        <v>93446</v>
      </c>
      <c r="AY159" t="s">
        <v>118</v>
      </c>
      <c r="AZ159" t="s">
        <v>3293</v>
      </c>
      <c r="BA159" s="10">
        <v>13217042589</v>
      </c>
      <c r="BC159" t="s">
        <v>3294</v>
      </c>
      <c r="BD159" t="s">
        <v>3295</v>
      </c>
      <c r="BG159" t="s">
        <v>1434</v>
      </c>
      <c r="BH159" s="1">
        <v>45242.791666666664</v>
      </c>
      <c r="BI159">
        <v>40</v>
      </c>
      <c r="BJ159">
        <v>0</v>
      </c>
      <c r="BK159">
        <v>8</v>
      </c>
      <c r="BL159">
        <v>8</v>
      </c>
      <c r="BM159">
        <v>8</v>
      </c>
      <c r="BN159">
        <v>8</v>
      </c>
      <c r="BO159">
        <v>8</v>
      </c>
      <c r="BP159">
        <v>0</v>
      </c>
      <c r="BQ159" t="str">
        <f>"7:00 AM"</f>
        <v>7:00 AM</v>
      </c>
      <c r="BR159" t="str">
        <f>"4:00 PM"</f>
        <v>4:00 PM</v>
      </c>
      <c r="BS159" t="s">
        <v>131</v>
      </c>
      <c r="BT159">
        <v>0</v>
      </c>
      <c r="BU159">
        <v>0</v>
      </c>
      <c r="BV159" t="s">
        <v>114</v>
      </c>
      <c r="BX159" s="2" t="s">
        <v>4944</v>
      </c>
      <c r="BY159" t="s">
        <v>4945</v>
      </c>
      <c r="CA159" t="s">
        <v>1764</v>
      </c>
      <c r="CB159" t="s">
        <v>1434</v>
      </c>
      <c r="CC159" s="8" t="str">
        <f>"40502"</f>
        <v>40502</v>
      </c>
      <c r="CD159" t="s">
        <v>2868</v>
      </c>
      <c r="CE159" t="s">
        <v>4946</v>
      </c>
      <c r="CF159" s="12">
        <v>15.64</v>
      </c>
      <c r="CG159" s="12">
        <v>15.64</v>
      </c>
      <c r="CH159" s="12">
        <v>23.46</v>
      </c>
      <c r="CI159" s="12">
        <v>23.46</v>
      </c>
      <c r="CJ159" t="s">
        <v>135</v>
      </c>
      <c r="CK159" t="s">
        <v>3300</v>
      </c>
      <c r="CL159" t="s">
        <v>4947</v>
      </c>
      <c r="CO159" t="s">
        <v>132</v>
      </c>
      <c r="CP159" t="s">
        <v>136</v>
      </c>
      <c r="CQ159" t="s">
        <v>136</v>
      </c>
      <c r="CR159" t="s">
        <v>136</v>
      </c>
      <c r="CS159" t="s">
        <v>136</v>
      </c>
      <c r="CT159" t="s">
        <v>136</v>
      </c>
      <c r="CU159" t="s">
        <v>114</v>
      </c>
      <c r="CV159" t="s">
        <v>132</v>
      </c>
      <c r="CW159" s="10" t="str">
        <f>"+18593218080"</f>
        <v>+18593218080</v>
      </c>
      <c r="CX159" t="s">
        <v>132</v>
      </c>
      <c r="CY159" t="s">
        <v>4948</v>
      </c>
      <c r="CZ159" t="s">
        <v>137</v>
      </c>
      <c r="DA159" t="s">
        <v>114</v>
      </c>
      <c r="DB159" t="s">
        <v>114</v>
      </c>
      <c r="DC159" t="s">
        <v>136</v>
      </c>
      <c r="DD159" t="s">
        <v>114</v>
      </c>
    </row>
    <row r="160" spans="1:113" ht="15" customHeight="1" x14ac:dyDescent="0.25">
      <c r="A160" t="s">
        <v>23003</v>
      </c>
      <c r="B160" t="s">
        <v>152</v>
      </c>
      <c r="C160" s="1">
        <v>45260.695641087965</v>
      </c>
      <c r="D160" s="1">
        <v>45287</v>
      </c>
      <c r="E160" t="s">
        <v>132</v>
      </c>
      <c r="F160" t="s">
        <v>23004</v>
      </c>
      <c r="G160" t="str">
        <f>"47-2061.00"</f>
        <v>47-2061.00</v>
      </c>
      <c r="H160" t="s">
        <v>570</v>
      </c>
      <c r="I160">
        <v>30</v>
      </c>
      <c r="J160">
        <v>30</v>
      </c>
      <c r="K160" s="1">
        <v>45350</v>
      </c>
      <c r="L160" s="1">
        <v>45626</v>
      </c>
      <c r="M160" s="1">
        <v>45350</v>
      </c>
      <c r="N160" s="1">
        <v>45626</v>
      </c>
      <c r="O160" t="s">
        <v>116</v>
      </c>
      <c r="P160" t="s">
        <v>23005</v>
      </c>
      <c r="R160" t="s">
        <v>23006</v>
      </c>
      <c r="S160" t="s">
        <v>23007</v>
      </c>
      <c r="T160" t="s">
        <v>23008</v>
      </c>
      <c r="U160" t="s">
        <v>127</v>
      </c>
      <c r="V160" s="8" t="str">
        <f>"75482"</f>
        <v>75482</v>
      </c>
      <c r="W160" t="s">
        <v>118</v>
      </c>
      <c r="Y160" s="10">
        <v>19039452200</v>
      </c>
      <c r="AA160">
        <v>23731</v>
      </c>
      <c r="AB160" t="s">
        <v>23009</v>
      </c>
      <c r="AC160" t="s">
        <v>2601</v>
      </c>
      <c r="AE160" t="s">
        <v>23010</v>
      </c>
      <c r="AF160" t="s">
        <v>23006</v>
      </c>
      <c r="AG160" t="s">
        <v>23007</v>
      </c>
      <c r="AH160" t="s">
        <v>23008</v>
      </c>
      <c r="AI160" t="s">
        <v>127</v>
      </c>
      <c r="AJ160" s="8" t="str">
        <f>"75482"</f>
        <v>75482</v>
      </c>
      <c r="AK160" t="s">
        <v>118</v>
      </c>
      <c r="AM160" s="10">
        <v>19039452200</v>
      </c>
      <c r="AO160" t="s">
        <v>23011</v>
      </c>
      <c r="AP160" t="s">
        <v>248</v>
      </c>
      <c r="AQ160" t="s">
        <v>3017</v>
      </c>
      <c r="AR160" t="s">
        <v>3018</v>
      </c>
      <c r="AT160" t="s">
        <v>3019</v>
      </c>
      <c r="AV160" t="s">
        <v>1168</v>
      </c>
      <c r="AW160" t="s">
        <v>127</v>
      </c>
      <c r="AX160" s="8" t="str">
        <f>"75098"</f>
        <v>75098</v>
      </c>
      <c r="AY160" t="s">
        <v>118</v>
      </c>
      <c r="BA160" s="10">
        <v>19724424244</v>
      </c>
      <c r="BC160" t="s">
        <v>3020</v>
      </c>
      <c r="BD160" t="s">
        <v>3021</v>
      </c>
      <c r="BG160" t="s">
        <v>127</v>
      </c>
      <c r="BH160" s="1">
        <v>45259.791666666664</v>
      </c>
      <c r="BI160">
        <v>40</v>
      </c>
      <c r="BJ160">
        <v>0</v>
      </c>
      <c r="BK160">
        <v>8</v>
      </c>
      <c r="BL160">
        <v>8</v>
      </c>
      <c r="BM160">
        <v>8</v>
      </c>
      <c r="BN160">
        <v>8</v>
      </c>
      <c r="BO160">
        <v>8</v>
      </c>
      <c r="BP160">
        <v>0</v>
      </c>
      <c r="BQ160" t="str">
        <f>"7:00 AM"</f>
        <v>7:00 AM</v>
      </c>
      <c r="BR160" t="str">
        <f>"4:00 PM"</f>
        <v>4:00 PM</v>
      </c>
      <c r="BS160" t="s">
        <v>131</v>
      </c>
      <c r="BT160">
        <v>0</v>
      </c>
      <c r="BU160">
        <v>0</v>
      </c>
      <c r="BV160" t="s">
        <v>114</v>
      </c>
      <c r="BX160" t="s">
        <v>131</v>
      </c>
      <c r="BY160" t="s">
        <v>23006</v>
      </c>
      <c r="CA160" t="s">
        <v>23008</v>
      </c>
      <c r="CB160" t="s">
        <v>127</v>
      </c>
      <c r="CC160" s="8" t="str">
        <f>"75482"</f>
        <v>75482</v>
      </c>
      <c r="CD160" t="s">
        <v>23012</v>
      </c>
      <c r="CE160" t="s">
        <v>2876</v>
      </c>
      <c r="CF160" s="12">
        <v>18.68</v>
      </c>
      <c r="CG160" s="12">
        <v>20.68</v>
      </c>
      <c r="CH160" s="12">
        <v>28.02</v>
      </c>
      <c r="CI160" s="12">
        <v>31.02</v>
      </c>
      <c r="CJ160" t="s">
        <v>135</v>
      </c>
      <c r="CK160" t="s">
        <v>132</v>
      </c>
      <c r="CL160" t="s">
        <v>23013</v>
      </c>
      <c r="CO160" t="s">
        <v>132</v>
      </c>
      <c r="CP160" t="s">
        <v>136</v>
      </c>
      <c r="CQ160" t="s">
        <v>136</v>
      </c>
      <c r="CR160" t="s">
        <v>136</v>
      </c>
      <c r="CS160" t="s">
        <v>136</v>
      </c>
      <c r="CT160" t="s">
        <v>136</v>
      </c>
      <c r="CU160" t="s">
        <v>136</v>
      </c>
      <c r="CV160" t="s">
        <v>23014</v>
      </c>
      <c r="CW160" s="10" t="str">
        <f>"+19039452200"</f>
        <v>+19039452200</v>
      </c>
      <c r="CX160" t="s">
        <v>132</v>
      </c>
      <c r="CY160" t="s">
        <v>3190</v>
      </c>
      <c r="CZ160" t="s">
        <v>137</v>
      </c>
      <c r="DA160" t="s">
        <v>114</v>
      </c>
      <c r="DB160" t="s">
        <v>114</v>
      </c>
      <c r="DC160" t="s">
        <v>136</v>
      </c>
      <c r="DD160" t="s">
        <v>114</v>
      </c>
    </row>
    <row r="161" spans="1:108" ht="15" customHeight="1" x14ac:dyDescent="0.25">
      <c r="A161" t="s">
        <v>23084</v>
      </c>
      <c r="B161" t="s">
        <v>152</v>
      </c>
      <c r="C161" s="1">
        <v>45260.612542592593</v>
      </c>
      <c r="D161" s="1">
        <v>45287</v>
      </c>
      <c r="E161" t="s">
        <v>132</v>
      </c>
      <c r="F161" t="s">
        <v>1743</v>
      </c>
      <c r="G161" t="str">
        <f>"37-3011.00"</f>
        <v>37-3011.00</v>
      </c>
      <c r="H161" t="s">
        <v>429</v>
      </c>
      <c r="I161">
        <v>3</v>
      </c>
      <c r="J161">
        <v>3</v>
      </c>
      <c r="K161" s="1">
        <v>45350</v>
      </c>
      <c r="L161" s="1">
        <v>45654</v>
      </c>
      <c r="M161" s="1">
        <v>45350</v>
      </c>
      <c r="N161" s="1">
        <v>45654</v>
      </c>
      <c r="O161" t="s">
        <v>116</v>
      </c>
      <c r="P161" t="s">
        <v>23085</v>
      </c>
      <c r="Q161" t="s">
        <v>9899</v>
      </c>
      <c r="R161" t="s">
        <v>9900</v>
      </c>
      <c r="T161" t="s">
        <v>9901</v>
      </c>
      <c r="U161" t="s">
        <v>127</v>
      </c>
      <c r="V161" s="8" t="str">
        <f>"78624"</f>
        <v>78624</v>
      </c>
      <c r="W161" t="s">
        <v>118</v>
      </c>
      <c r="Y161" s="10">
        <v>18309992694</v>
      </c>
      <c r="AA161">
        <v>561730</v>
      </c>
      <c r="AB161" t="s">
        <v>9902</v>
      </c>
      <c r="AC161" t="s">
        <v>9903</v>
      </c>
      <c r="AD161" t="s">
        <v>5940</v>
      </c>
      <c r="AE161" t="s">
        <v>9904</v>
      </c>
      <c r="AF161" t="s">
        <v>9905</v>
      </c>
      <c r="AH161" t="s">
        <v>9901</v>
      </c>
      <c r="AI161" t="s">
        <v>127</v>
      </c>
      <c r="AJ161" s="8" t="str">
        <f>"78624"</f>
        <v>78624</v>
      </c>
      <c r="AK161" t="s">
        <v>118</v>
      </c>
      <c r="AM161" s="10">
        <v>13615586286</v>
      </c>
      <c r="AO161" t="s">
        <v>9906</v>
      </c>
      <c r="AP161" t="s">
        <v>248</v>
      </c>
      <c r="AQ161" t="s">
        <v>3290</v>
      </c>
      <c r="AR161" t="s">
        <v>2001</v>
      </c>
      <c r="AT161" t="s">
        <v>3291</v>
      </c>
      <c r="AV161" t="s">
        <v>3292</v>
      </c>
      <c r="AW161" t="s">
        <v>402</v>
      </c>
      <c r="AX161" s="8" t="str">
        <f>"93446"</f>
        <v>93446</v>
      </c>
      <c r="AY161" t="s">
        <v>118</v>
      </c>
      <c r="AZ161" t="s">
        <v>3293</v>
      </c>
      <c r="BA161" s="10">
        <v>13217042589</v>
      </c>
      <c r="BC161" t="s">
        <v>3294</v>
      </c>
      <c r="BD161" t="s">
        <v>3295</v>
      </c>
      <c r="BG161" t="s">
        <v>127</v>
      </c>
      <c r="BH161" s="1">
        <v>45245.791666666664</v>
      </c>
      <c r="BI161">
        <v>45</v>
      </c>
      <c r="BJ161">
        <v>6.43</v>
      </c>
      <c r="BK161">
        <v>6.43</v>
      </c>
      <c r="BL161">
        <v>6.43</v>
      </c>
      <c r="BM161">
        <v>6.43</v>
      </c>
      <c r="BN161">
        <v>6.43</v>
      </c>
      <c r="BO161">
        <v>6.43</v>
      </c>
      <c r="BP161">
        <v>6.42</v>
      </c>
      <c r="BQ161" t="str">
        <f>"9:00 AM"</f>
        <v>9:00 AM</v>
      </c>
      <c r="BR161" t="str">
        <f>"6:00 PM"</f>
        <v>6:00 PM</v>
      </c>
      <c r="BS161" t="s">
        <v>131</v>
      </c>
      <c r="BT161">
        <v>0</v>
      </c>
      <c r="BU161">
        <v>0</v>
      </c>
      <c r="BV161" t="s">
        <v>114</v>
      </c>
      <c r="BX161" s="2" t="s">
        <v>23086</v>
      </c>
      <c r="BY161" t="s">
        <v>9900</v>
      </c>
      <c r="CA161" t="s">
        <v>9901</v>
      </c>
      <c r="CB161" t="s">
        <v>127</v>
      </c>
      <c r="CC161" s="8" t="str">
        <f>"78624"</f>
        <v>78624</v>
      </c>
      <c r="CD161" t="s">
        <v>9907</v>
      </c>
      <c r="CE161" t="s">
        <v>619</v>
      </c>
      <c r="CF161" s="12">
        <v>15.69</v>
      </c>
      <c r="CG161" s="12">
        <v>15.69</v>
      </c>
      <c r="CH161" s="12">
        <v>23.54</v>
      </c>
      <c r="CI161" s="12">
        <v>23.54</v>
      </c>
      <c r="CJ161" t="s">
        <v>135</v>
      </c>
      <c r="CK161" t="s">
        <v>3300</v>
      </c>
      <c r="CL161" t="s">
        <v>23087</v>
      </c>
      <c r="CO161" t="s">
        <v>132</v>
      </c>
      <c r="CP161" t="s">
        <v>136</v>
      </c>
      <c r="CQ161" t="s">
        <v>136</v>
      </c>
      <c r="CR161" t="s">
        <v>136</v>
      </c>
      <c r="CS161" t="s">
        <v>136</v>
      </c>
      <c r="CT161" t="s">
        <v>136</v>
      </c>
      <c r="CU161" t="s">
        <v>136</v>
      </c>
      <c r="CV161" t="s">
        <v>9908</v>
      </c>
      <c r="CW161" s="10" t="str">
        <f>"+18309992694"</f>
        <v>+18309992694</v>
      </c>
      <c r="CX161" t="s">
        <v>9906</v>
      </c>
      <c r="CY161" t="s">
        <v>132</v>
      </c>
      <c r="CZ161" t="s">
        <v>137</v>
      </c>
      <c r="DA161" t="s">
        <v>114</v>
      </c>
      <c r="DB161" t="s">
        <v>114</v>
      </c>
      <c r="DC161" t="s">
        <v>136</v>
      </c>
      <c r="DD161" t="s">
        <v>114</v>
      </c>
    </row>
    <row r="162" spans="1:108" ht="15" customHeight="1" x14ac:dyDescent="0.25">
      <c r="A162" t="s">
        <v>9569</v>
      </c>
      <c r="B162" t="s">
        <v>152</v>
      </c>
      <c r="C162" s="1">
        <v>45260.587057638892</v>
      </c>
      <c r="D162" s="1">
        <v>45287</v>
      </c>
      <c r="E162" t="s">
        <v>132</v>
      </c>
      <c r="F162" t="s">
        <v>9570</v>
      </c>
      <c r="G162" t="str">
        <f>"37-3011.00"</f>
        <v>37-3011.00</v>
      </c>
      <c r="H162" t="s">
        <v>429</v>
      </c>
      <c r="I162">
        <v>6</v>
      </c>
      <c r="J162">
        <v>6</v>
      </c>
      <c r="K162" s="1">
        <v>45350</v>
      </c>
      <c r="L162" s="1">
        <v>45641</v>
      </c>
      <c r="M162" s="1">
        <v>45350</v>
      </c>
      <c r="N162" s="1">
        <v>45641</v>
      </c>
      <c r="O162" t="s">
        <v>116</v>
      </c>
      <c r="P162" t="s">
        <v>9571</v>
      </c>
      <c r="R162" t="s">
        <v>9572</v>
      </c>
      <c r="T162" t="s">
        <v>9573</v>
      </c>
      <c r="U162" t="s">
        <v>1154</v>
      </c>
      <c r="V162" s="8" t="str">
        <f>"39071"</f>
        <v>39071</v>
      </c>
      <c r="W162" t="s">
        <v>118</v>
      </c>
      <c r="Y162" s="10">
        <v>16016243305</v>
      </c>
      <c r="AA162">
        <v>56173</v>
      </c>
      <c r="AB162" t="s">
        <v>9574</v>
      </c>
      <c r="AC162" t="s">
        <v>4254</v>
      </c>
      <c r="AE162" t="s">
        <v>9575</v>
      </c>
      <c r="AF162" t="s">
        <v>9572</v>
      </c>
      <c r="AH162" t="s">
        <v>9573</v>
      </c>
      <c r="AI162" t="s">
        <v>1154</v>
      </c>
      <c r="AJ162" s="8" t="str">
        <f>"39071"</f>
        <v>39071</v>
      </c>
      <c r="AK162" t="s">
        <v>118</v>
      </c>
      <c r="AM162" s="10">
        <v>16016243305</v>
      </c>
      <c r="AO162" t="s">
        <v>9576</v>
      </c>
      <c r="AP162" t="s">
        <v>248</v>
      </c>
      <c r="AQ162" t="s">
        <v>3290</v>
      </c>
      <c r="AR162" t="s">
        <v>2001</v>
      </c>
      <c r="AT162" t="s">
        <v>3291</v>
      </c>
      <c r="AV162" t="s">
        <v>3292</v>
      </c>
      <c r="AW162" t="s">
        <v>402</v>
      </c>
      <c r="AX162" s="8" t="str">
        <f>"93446"</f>
        <v>93446</v>
      </c>
      <c r="AY162" t="s">
        <v>118</v>
      </c>
      <c r="AZ162" t="s">
        <v>3293</v>
      </c>
      <c r="BA162" s="10">
        <v>13217042589</v>
      </c>
      <c r="BC162" t="s">
        <v>3294</v>
      </c>
      <c r="BD162" t="s">
        <v>3295</v>
      </c>
      <c r="BG162" t="s">
        <v>1154</v>
      </c>
      <c r="BH162" s="1">
        <v>45246.791666666664</v>
      </c>
      <c r="BI162">
        <v>35</v>
      </c>
      <c r="BJ162">
        <v>0</v>
      </c>
      <c r="BK162">
        <v>7</v>
      </c>
      <c r="BL162">
        <v>7</v>
      </c>
      <c r="BM162">
        <v>7</v>
      </c>
      <c r="BN162">
        <v>7</v>
      </c>
      <c r="BO162">
        <v>7</v>
      </c>
      <c r="BP162">
        <v>0</v>
      </c>
      <c r="BQ162" t="str">
        <f>"7:00 AM"</f>
        <v>7:00 AM</v>
      </c>
      <c r="BR162" t="str">
        <f>"4:00 PM"</f>
        <v>4:00 PM</v>
      </c>
      <c r="BS162" t="s">
        <v>131</v>
      </c>
      <c r="BT162">
        <v>0</v>
      </c>
      <c r="BU162">
        <v>0</v>
      </c>
      <c r="BV162" t="s">
        <v>114</v>
      </c>
      <c r="BX162" s="2" t="s">
        <v>9577</v>
      </c>
      <c r="BY162" t="s">
        <v>9578</v>
      </c>
      <c r="CA162" t="s">
        <v>9573</v>
      </c>
      <c r="CB162" t="s">
        <v>1154</v>
      </c>
      <c r="CC162" s="8" t="str">
        <f>"39071"</f>
        <v>39071</v>
      </c>
      <c r="CD162" t="s">
        <v>908</v>
      </c>
      <c r="CE162" t="s">
        <v>2677</v>
      </c>
      <c r="CF162" s="12">
        <v>14.09</v>
      </c>
      <c r="CG162" s="12">
        <v>14.09</v>
      </c>
      <c r="CH162" s="12">
        <v>21.14</v>
      </c>
      <c r="CI162" s="12">
        <v>21.14</v>
      </c>
      <c r="CJ162" t="s">
        <v>135</v>
      </c>
      <c r="CK162" t="s">
        <v>5469</v>
      </c>
      <c r="CL162" t="s">
        <v>9579</v>
      </c>
      <c r="CO162" t="s">
        <v>132</v>
      </c>
      <c r="CP162" t="s">
        <v>136</v>
      </c>
      <c r="CQ162" t="s">
        <v>136</v>
      </c>
      <c r="CR162" t="s">
        <v>136</v>
      </c>
      <c r="CS162" t="s">
        <v>136</v>
      </c>
      <c r="CT162" t="s">
        <v>136</v>
      </c>
      <c r="CU162" t="s">
        <v>136</v>
      </c>
      <c r="CV162" s="2" t="s">
        <v>9580</v>
      </c>
      <c r="CW162" s="10" t="str">
        <f>"+16016243305"</f>
        <v>+16016243305</v>
      </c>
      <c r="CX162" t="s">
        <v>9576</v>
      </c>
      <c r="CY162" t="s">
        <v>132</v>
      </c>
      <c r="CZ162" t="s">
        <v>137</v>
      </c>
      <c r="DA162" t="s">
        <v>114</v>
      </c>
      <c r="DB162" t="s">
        <v>114</v>
      </c>
      <c r="DC162" t="s">
        <v>136</v>
      </c>
      <c r="DD162" t="s">
        <v>114</v>
      </c>
    </row>
    <row r="163" spans="1:108" ht="15" customHeight="1" x14ac:dyDescent="0.25">
      <c r="A163" t="s">
        <v>2063</v>
      </c>
      <c r="B163" t="s">
        <v>152</v>
      </c>
      <c r="C163" s="1">
        <v>45259.548999305553</v>
      </c>
      <c r="D163" s="1">
        <v>45287</v>
      </c>
      <c r="E163" t="s">
        <v>132</v>
      </c>
      <c r="F163" t="s">
        <v>1595</v>
      </c>
      <c r="G163" t="str">
        <f>"37-3011.00"</f>
        <v>37-3011.00</v>
      </c>
      <c r="H163" t="s">
        <v>429</v>
      </c>
      <c r="I163">
        <v>15</v>
      </c>
      <c r="J163">
        <v>15</v>
      </c>
      <c r="K163" s="1">
        <v>45348</v>
      </c>
      <c r="L163" s="1">
        <v>45622</v>
      </c>
      <c r="M163" s="1">
        <v>45348</v>
      </c>
      <c r="N163" s="1">
        <v>45622</v>
      </c>
      <c r="O163" t="s">
        <v>116</v>
      </c>
      <c r="P163" t="s">
        <v>2064</v>
      </c>
      <c r="R163" t="s">
        <v>2065</v>
      </c>
      <c r="T163" t="s">
        <v>2066</v>
      </c>
      <c r="U163" t="s">
        <v>984</v>
      </c>
      <c r="V163" s="8" t="str">
        <f>"70726"</f>
        <v>70726</v>
      </c>
      <c r="W163" t="s">
        <v>118</v>
      </c>
      <c r="Y163" s="10">
        <v>12258065148</v>
      </c>
      <c r="AA163">
        <v>56173</v>
      </c>
      <c r="AB163" t="s">
        <v>2067</v>
      </c>
      <c r="AC163" t="s">
        <v>2068</v>
      </c>
      <c r="AE163" t="s">
        <v>561</v>
      </c>
      <c r="AF163" t="s">
        <v>2065</v>
      </c>
      <c r="AH163" t="s">
        <v>2066</v>
      </c>
      <c r="AI163" t="s">
        <v>333</v>
      </c>
      <c r="AJ163" s="8" t="str">
        <f>"70726"</f>
        <v>70726</v>
      </c>
      <c r="AK163" t="s">
        <v>118</v>
      </c>
      <c r="AM163" s="10">
        <v>12258065148</v>
      </c>
      <c r="AO163" t="s">
        <v>2069</v>
      </c>
      <c r="AP163" t="s">
        <v>248</v>
      </c>
      <c r="AQ163" t="s">
        <v>849</v>
      </c>
      <c r="AR163" t="s">
        <v>850</v>
      </c>
      <c r="AS163" t="s">
        <v>132</v>
      </c>
      <c r="AT163" t="s">
        <v>851</v>
      </c>
      <c r="AU163" t="s">
        <v>852</v>
      </c>
      <c r="AV163" t="s">
        <v>853</v>
      </c>
      <c r="AW163" t="s">
        <v>854</v>
      </c>
      <c r="AX163" s="8" t="str">
        <f>"83814"</f>
        <v>83814</v>
      </c>
      <c r="AY163" t="s">
        <v>118</v>
      </c>
      <c r="BA163" s="10">
        <v>12087772654</v>
      </c>
      <c r="BC163" t="s">
        <v>855</v>
      </c>
      <c r="BD163" t="s">
        <v>856</v>
      </c>
      <c r="BG163" t="s">
        <v>333</v>
      </c>
      <c r="BH163" s="1">
        <v>45258.791666666664</v>
      </c>
      <c r="BI163">
        <v>40</v>
      </c>
      <c r="BJ163">
        <v>0</v>
      </c>
      <c r="BK163">
        <v>8</v>
      </c>
      <c r="BL163">
        <v>8</v>
      </c>
      <c r="BM163">
        <v>8</v>
      </c>
      <c r="BN163">
        <v>8</v>
      </c>
      <c r="BO163">
        <v>8</v>
      </c>
      <c r="BP163">
        <v>0</v>
      </c>
      <c r="BQ163" t="str">
        <f>"7:00 AM"</f>
        <v>7:00 AM</v>
      </c>
      <c r="BR163" t="str">
        <f>"4:00 PM"</f>
        <v>4:00 PM</v>
      </c>
      <c r="BS163" t="s">
        <v>131</v>
      </c>
      <c r="BT163">
        <v>0</v>
      </c>
      <c r="BU163">
        <v>0</v>
      </c>
      <c r="BV163" t="s">
        <v>114</v>
      </c>
      <c r="BX163" s="2" t="s">
        <v>2070</v>
      </c>
      <c r="BY163" t="s">
        <v>2071</v>
      </c>
      <c r="CA163" t="s">
        <v>2066</v>
      </c>
      <c r="CB163" t="s">
        <v>333</v>
      </c>
      <c r="CC163" s="8" t="str">
        <f>"70726"</f>
        <v>70726</v>
      </c>
      <c r="CD163" t="s">
        <v>2072</v>
      </c>
      <c r="CE163" t="s">
        <v>1930</v>
      </c>
      <c r="CF163" s="12">
        <v>15.19</v>
      </c>
      <c r="CG163" s="12">
        <v>18</v>
      </c>
      <c r="CH163" s="12">
        <v>22.79</v>
      </c>
      <c r="CI163" s="12">
        <v>27</v>
      </c>
      <c r="CJ163" t="s">
        <v>135</v>
      </c>
      <c r="CK163" t="s">
        <v>1899</v>
      </c>
      <c r="CL163" t="s">
        <v>2073</v>
      </c>
      <c r="CO163" t="s">
        <v>132</v>
      </c>
      <c r="CP163" t="s">
        <v>136</v>
      </c>
      <c r="CQ163" t="s">
        <v>136</v>
      </c>
      <c r="CR163" t="s">
        <v>136</v>
      </c>
      <c r="CS163" t="s">
        <v>136</v>
      </c>
      <c r="CT163" t="s">
        <v>136</v>
      </c>
      <c r="CU163" t="s">
        <v>136</v>
      </c>
      <c r="CV163" t="s">
        <v>1932</v>
      </c>
      <c r="CW163" s="10" t="str">
        <f>"+12254128873"</f>
        <v>+12254128873</v>
      </c>
      <c r="CX163" t="s">
        <v>2069</v>
      </c>
      <c r="CY163" t="s">
        <v>132</v>
      </c>
      <c r="CZ163" t="s">
        <v>137</v>
      </c>
      <c r="DA163" t="s">
        <v>114</v>
      </c>
      <c r="DB163" t="s">
        <v>136</v>
      </c>
      <c r="DC163" t="s">
        <v>136</v>
      </c>
      <c r="DD163" t="s">
        <v>114</v>
      </c>
    </row>
    <row r="164" spans="1:108" ht="15" customHeight="1" x14ac:dyDescent="0.25">
      <c r="A164" t="s">
        <v>1923</v>
      </c>
      <c r="B164" t="s">
        <v>152</v>
      </c>
      <c r="C164" s="1">
        <v>45259.546206828702</v>
      </c>
      <c r="D164" s="1">
        <v>45287</v>
      </c>
      <c r="E164" t="s">
        <v>132</v>
      </c>
      <c r="F164" t="s">
        <v>1595</v>
      </c>
      <c r="G164" t="str">
        <f>"37-3011.00"</f>
        <v>37-3011.00</v>
      </c>
      <c r="H164" t="s">
        <v>429</v>
      </c>
      <c r="I164">
        <v>18</v>
      </c>
      <c r="J164">
        <v>18</v>
      </c>
      <c r="K164" s="1">
        <v>45348</v>
      </c>
      <c r="L164" s="1">
        <v>45646</v>
      </c>
      <c r="M164" s="1">
        <v>45348</v>
      </c>
      <c r="N164" s="1">
        <v>45646</v>
      </c>
      <c r="O164" t="s">
        <v>116</v>
      </c>
      <c r="P164" t="s">
        <v>1924</v>
      </c>
      <c r="R164" t="s">
        <v>1925</v>
      </c>
      <c r="T164" t="s">
        <v>1814</v>
      </c>
      <c r="U164" t="s">
        <v>333</v>
      </c>
      <c r="V164" s="8" t="str">
        <f>"70814"</f>
        <v>70814</v>
      </c>
      <c r="W164" t="s">
        <v>118</v>
      </c>
      <c r="Y164" s="10">
        <v>12252819296</v>
      </c>
      <c r="AA164">
        <v>56173</v>
      </c>
      <c r="AB164" t="s">
        <v>1926</v>
      </c>
      <c r="AC164" t="s">
        <v>1216</v>
      </c>
      <c r="AE164" t="s">
        <v>561</v>
      </c>
      <c r="AF164" t="s">
        <v>1925</v>
      </c>
      <c r="AH164" t="s">
        <v>1814</v>
      </c>
      <c r="AI164" t="s">
        <v>333</v>
      </c>
      <c r="AJ164" s="8" t="str">
        <f>"70814"</f>
        <v>70814</v>
      </c>
      <c r="AK164" t="s">
        <v>118</v>
      </c>
      <c r="AM164" s="10">
        <v>12252819296</v>
      </c>
      <c r="AO164" t="s">
        <v>1927</v>
      </c>
      <c r="AP164" t="s">
        <v>248</v>
      </c>
      <c r="AQ164" t="s">
        <v>849</v>
      </c>
      <c r="AR164" t="s">
        <v>850</v>
      </c>
      <c r="AS164" t="s">
        <v>132</v>
      </c>
      <c r="AT164" t="s">
        <v>1253</v>
      </c>
      <c r="AU164" t="s">
        <v>852</v>
      </c>
      <c r="AV164" t="s">
        <v>853</v>
      </c>
      <c r="AW164" t="s">
        <v>854</v>
      </c>
      <c r="AX164" s="8" t="str">
        <f>"83814"</f>
        <v>83814</v>
      </c>
      <c r="AY164" t="s">
        <v>118</v>
      </c>
      <c r="BA164" s="10">
        <v>12087772654</v>
      </c>
      <c r="BC164" t="s">
        <v>855</v>
      </c>
      <c r="BD164" t="s">
        <v>856</v>
      </c>
      <c r="BG164" t="s">
        <v>333</v>
      </c>
      <c r="BH164" s="1">
        <v>45256.791666666664</v>
      </c>
      <c r="BI164">
        <v>40</v>
      </c>
      <c r="BJ164">
        <v>0</v>
      </c>
      <c r="BK164">
        <v>8</v>
      </c>
      <c r="BL164">
        <v>8</v>
      </c>
      <c r="BM164">
        <v>8</v>
      </c>
      <c r="BN164">
        <v>8</v>
      </c>
      <c r="BO164">
        <v>8</v>
      </c>
      <c r="BP164">
        <v>0</v>
      </c>
      <c r="BQ164" t="str">
        <f>"6:30 AM"</f>
        <v>6:30 AM</v>
      </c>
      <c r="BR164" t="str">
        <f>"3:30 PM"</f>
        <v>3:30 PM</v>
      </c>
      <c r="BS164" t="s">
        <v>131</v>
      </c>
      <c r="BT164">
        <v>0</v>
      </c>
      <c r="BU164">
        <v>0</v>
      </c>
      <c r="BV164" t="s">
        <v>114</v>
      </c>
      <c r="BX164" t="s">
        <v>1604</v>
      </c>
      <c r="BY164" t="s">
        <v>1928</v>
      </c>
      <c r="CA164" t="s">
        <v>1814</v>
      </c>
      <c r="CB164" t="s">
        <v>333</v>
      </c>
      <c r="CC164" s="8" t="str">
        <f>"70814"</f>
        <v>70814</v>
      </c>
      <c r="CD164" t="s">
        <v>1929</v>
      </c>
      <c r="CE164" t="s">
        <v>1930</v>
      </c>
      <c r="CF164" s="12">
        <v>15.19</v>
      </c>
      <c r="CG164" s="12">
        <v>18</v>
      </c>
      <c r="CH164" s="12">
        <v>22.79</v>
      </c>
      <c r="CI164" s="12">
        <v>27</v>
      </c>
      <c r="CJ164" t="s">
        <v>135</v>
      </c>
      <c r="CK164" t="s">
        <v>1899</v>
      </c>
      <c r="CL164" t="s">
        <v>1931</v>
      </c>
      <c r="CO164" t="s">
        <v>132</v>
      </c>
      <c r="CP164" t="s">
        <v>136</v>
      </c>
      <c r="CQ164" t="s">
        <v>136</v>
      </c>
      <c r="CR164" t="s">
        <v>136</v>
      </c>
      <c r="CS164" t="s">
        <v>136</v>
      </c>
      <c r="CT164" t="s">
        <v>136</v>
      </c>
      <c r="CU164" t="s">
        <v>136</v>
      </c>
      <c r="CV164" t="s">
        <v>1932</v>
      </c>
      <c r="CW164" s="10" t="str">
        <f>"+12259254327"</f>
        <v>+12259254327</v>
      </c>
      <c r="CX164" t="s">
        <v>1927</v>
      </c>
      <c r="CY164" t="s">
        <v>132</v>
      </c>
      <c r="CZ164" t="s">
        <v>137</v>
      </c>
      <c r="DA164" t="s">
        <v>114</v>
      </c>
      <c r="DB164" t="s">
        <v>136</v>
      </c>
      <c r="DC164" t="s">
        <v>136</v>
      </c>
      <c r="DD164" t="s">
        <v>114</v>
      </c>
    </row>
    <row r="165" spans="1:108" ht="15" customHeight="1" x14ac:dyDescent="0.25">
      <c r="A165" t="s">
        <v>8041</v>
      </c>
      <c r="B165" t="s">
        <v>152</v>
      </c>
      <c r="C165" s="1">
        <v>45259.489540625</v>
      </c>
      <c r="D165" s="1">
        <v>45287</v>
      </c>
      <c r="E165" t="s">
        <v>132</v>
      </c>
      <c r="F165" t="s">
        <v>1911</v>
      </c>
      <c r="G165" t="str">
        <f>"37-3011.00"</f>
        <v>37-3011.00</v>
      </c>
      <c r="H165" t="s">
        <v>429</v>
      </c>
      <c r="I165">
        <v>10</v>
      </c>
      <c r="J165">
        <v>10</v>
      </c>
      <c r="K165" s="1">
        <v>45348</v>
      </c>
      <c r="L165" s="1">
        <v>45646</v>
      </c>
      <c r="M165" s="1">
        <v>45348</v>
      </c>
      <c r="N165" s="1">
        <v>45646</v>
      </c>
      <c r="O165" t="s">
        <v>116</v>
      </c>
      <c r="P165" t="s">
        <v>1912</v>
      </c>
      <c r="R165" t="s">
        <v>1913</v>
      </c>
      <c r="T165" t="s">
        <v>1914</v>
      </c>
      <c r="U165" t="s">
        <v>375</v>
      </c>
      <c r="V165" s="8" t="str">
        <f>"27560"</f>
        <v>27560</v>
      </c>
      <c r="W165" t="s">
        <v>118</v>
      </c>
      <c r="Y165" s="10">
        <v>19193889878</v>
      </c>
      <c r="AA165">
        <v>56173</v>
      </c>
      <c r="AB165" t="s">
        <v>1915</v>
      </c>
      <c r="AC165" t="s">
        <v>1916</v>
      </c>
      <c r="AE165" t="s">
        <v>1917</v>
      </c>
      <c r="AF165" t="s">
        <v>1913</v>
      </c>
      <c r="AH165" t="s">
        <v>1914</v>
      </c>
      <c r="AI165" t="s">
        <v>375</v>
      </c>
      <c r="AJ165" s="8" t="str">
        <f>"27560"</f>
        <v>27560</v>
      </c>
      <c r="AK165" t="s">
        <v>118</v>
      </c>
      <c r="AM165" s="10">
        <v>19193889878</v>
      </c>
      <c r="AO165" t="s">
        <v>1918</v>
      </c>
      <c r="AP165" t="s">
        <v>248</v>
      </c>
      <c r="AQ165" t="s">
        <v>960</v>
      </c>
      <c r="AR165" t="s">
        <v>961</v>
      </c>
      <c r="AS165" t="s">
        <v>962</v>
      </c>
      <c r="AT165" t="s">
        <v>963</v>
      </c>
      <c r="AU165" t="s">
        <v>296</v>
      </c>
      <c r="AV165" t="s">
        <v>964</v>
      </c>
      <c r="AW165" t="s">
        <v>127</v>
      </c>
      <c r="AX165" s="8" t="str">
        <f>"75033"</f>
        <v>75033</v>
      </c>
      <c r="AY165" t="s">
        <v>118</v>
      </c>
      <c r="BA165" s="10">
        <v>19727789690</v>
      </c>
      <c r="BC165" t="s">
        <v>1919</v>
      </c>
      <c r="BD165" t="s">
        <v>966</v>
      </c>
      <c r="BG165" t="s">
        <v>140</v>
      </c>
      <c r="BH165" s="1">
        <v>45258.791666666664</v>
      </c>
      <c r="BI165">
        <v>40</v>
      </c>
      <c r="BJ165">
        <v>0</v>
      </c>
      <c r="BK165">
        <v>8</v>
      </c>
      <c r="BL165">
        <v>8</v>
      </c>
      <c r="BM165">
        <v>8</v>
      </c>
      <c r="BN165">
        <v>8</v>
      </c>
      <c r="BO165">
        <v>8</v>
      </c>
      <c r="BP165">
        <v>0</v>
      </c>
      <c r="BQ165" t="str">
        <f>"7:00 AM"</f>
        <v>7:00 AM</v>
      </c>
      <c r="BR165" t="str">
        <f>"4:00 PM"</f>
        <v>4:00 PM</v>
      </c>
      <c r="BS165" t="s">
        <v>131</v>
      </c>
      <c r="BT165">
        <v>0</v>
      </c>
      <c r="BU165">
        <v>0</v>
      </c>
      <c r="BV165" t="s">
        <v>114</v>
      </c>
      <c r="BX165" s="2" t="s">
        <v>8042</v>
      </c>
      <c r="BY165" t="s">
        <v>8043</v>
      </c>
      <c r="BZ165" t="s">
        <v>8044</v>
      </c>
      <c r="CA165" t="s">
        <v>1630</v>
      </c>
      <c r="CB165" t="s">
        <v>140</v>
      </c>
      <c r="CC165" s="8" t="str">
        <f>"33901"</f>
        <v>33901</v>
      </c>
      <c r="CD165" t="s">
        <v>362</v>
      </c>
      <c r="CE165" t="s">
        <v>363</v>
      </c>
      <c r="CF165" s="12">
        <v>16.34</v>
      </c>
      <c r="CH165" s="12">
        <v>24.51</v>
      </c>
      <c r="CJ165" t="s">
        <v>135</v>
      </c>
      <c r="CK165" t="s">
        <v>1840</v>
      </c>
      <c r="CL165" t="s">
        <v>8045</v>
      </c>
      <c r="CO165" t="s">
        <v>132</v>
      </c>
      <c r="CP165" t="s">
        <v>136</v>
      </c>
      <c r="CQ165" t="s">
        <v>136</v>
      </c>
      <c r="CR165" t="s">
        <v>136</v>
      </c>
      <c r="CS165" t="s">
        <v>136</v>
      </c>
      <c r="CT165" t="s">
        <v>136</v>
      </c>
      <c r="CU165" t="s">
        <v>136</v>
      </c>
      <c r="CV165" s="2" t="s">
        <v>1922</v>
      </c>
      <c r="CW165" s="10" t="str">
        <f>"+19193889878"</f>
        <v>+19193889878</v>
      </c>
      <c r="CX165" t="s">
        <v>132</v>
      </c>
      <c r="CY165" t="s">
        <v>1876</v>
      </c>
      <c r="CZ165" t="s">
        <v>137</v>
      </c>
      <c r="DA165" t="s">
        <v>114</v>
      </c>
      <c r="DB165" t="s">
        <v>114</v>
      </c>
      <c r="DC165" t="s">
        <v>136</v>
      </c>
      <c r="DD165" t="s">
        <v>114</v>
      </c>
    </row>
    <row r="166" spans="1:108" ht="15" customHeight="1" x14ac:dyDescent="0.25">
      <c r="A166" t="s">
        <v>19897</v>
      </c>
      <c r="B166" t="s">
        <v>152</v>
      </c>
      <c r="C166" s="1">
        <v>45258.991391898147</v>
      </c>
      <c r="D166" s="1">
        <v>45287</v>
      </c>
      <c r="E166" t="s">
        <v>132</v>
      </c>
      <c r="F166" t="s">
        <v>4846</v>
      </c>
      <c r="G166" t="str">
        <f>"37-3011.00"</f>
        <v>37-3011.00</v>
      </c>
      <c r="H166" t="s">
        <v>429</v>
      </c>
      <c r="I166">
        <v>30</v>
      </c>
      <c r="J166">
        <v>30</v>
      </c>
      <c r="K166" s="1">
        <v>45346</v>
      </c>
      <c r="L166" s="1">
        <v>45613</v>
      </c>
      <c r="M166" s="1">
        <v>45346</v>
      </c>
      <c r="N166" s="1">
        <v>45613</v>
      </c>
      <c r="O166" t="s">
        <v>116</v>
      </c>
      <c r="P166" t="s">
        <v>19898</v>
      </c>
      <c r="R166" t="s">
        <v>19899</v>
      </c>
      <c r="T166" t="s">
        <v>17265</v>
      </c>
      <c r="U166" t="s">
        <v>558</v>
      </c>
      <c r="V166" s="8" t="str">
        <f>"85204"</f>
        <v>85204</v>
      </c>
      <c r="W166" t="s">
        <v>118</v>
      </c>
      <c r="Y166" s="10">
        <v>14808952684</v>
      </c>
      <c r="AA166">
        <v>56173</v>
      </c>
      <c r="AB166" t="s">
        <v>6640</v>
      </c>
      <c r="AC166" t="s">
        <v>5068</v>
      </c>
      <c r="AE166" t="s">
        <v>743</v>
      </c>
      <c r="AF166" t="s">
        <v>19899</v>
      </c>
      <c r="AH166" t="s">
        <v>17265</v>
      </c>
      <c r="AI166" t="s">
        <v>558</v>
      </c>
      <c r="AJ166" s="8" t="str">
        <f>"85204"</f>
        <v>85204</v>
      </c>
      <c r="AK166" t="s">
        <v>118</v>
      </c>
      <c r="AM166" s="10">
        <v>14808952684</v>
      </c>
      <c r="AO166" t="s">
        <v>19900</v>
      </c>
      <c r="AP166" t="s">
        <v>248</v>
      </c>
      <c r="AQ166" t="s">
        <v>13683</v>
      </c>
      <c r="AR166" t="s">
        <v>3496</v>
      </c>
      <c r="AT166" t="s">
        <v>13684</v>
      </c>
      <c r="AU166" t="s">
        <v>13685</v>
      </c>
      <c r="AV166" t="s">
        <v>2960</v>
      </c>
      <c r="AW166" t="s">
        <v>558</v>
      </c>
      <c r="AX166" s="8" t="str">
        <f>"85048"</f>
        <v>85048</v>
      </c>
      <c r="AY166" t="s">
        <v>118</v>
      </c>
      <c r="BA166" s="10">
        <v>14809411885</v>
      </c>
      <c r="BC166" t="s">
        <v>13686</v>
      </c>
      <c r="BD166" t="s">
        <v>13687</v>
      </c>
      <c r="BG166" t="s">
        <v>558</v>
      </c>
      <c r="BH166" s="1">
        <v>45257.791666666664</v>
      </c>
      <c r="BI166">
        <v>40</v>
      </c>
      <c r="BJ166">
        <v>0</v>
      </c>
      <c r="BK166">
        <v>8</v>
      </c>
      <c r="BL166">
        <v>8</v>
      </c>
      <c r="BM166">
        <v>8</v>
      </c>
      <c r="BN166">
        <v>8</v>
      </c>
      <c r="BO166">
        <v>8</v>
      </c>
      <c r="BP166">
        <v>0</v>
      </c>
      <c r="BQ166" t="str">
        <f>"6:00 AM"</f>
        <v>6:00 AM</v>
      </c>
      <c r="BR166" t="str">
        <f>"2:30 PM"</f>
        <v>2:30 PM</v>
      </c>
      <c r="BS166" t="s">
        <v>131</v>
      </c>
      <c r="BT166">
        <v>0</v>
      </c>
      <c r="BU166">
        <v>3</v>
      </c>
      <c r="BV166" t="s">
        <v>114</v>
      </c>
      <c r="BX166" s="2" t="s">
        <v>15644</v>
      </c>
      <c r="BY166" t="s">
        <v>19899</v>
      </c>
      <c r="CA166" t="s">
        <v>17265</v>
      </c>
      <c r="CB166" t="s">
        <v>558</v>
      </c>
      <c r="CC166" s="8" t="str">
        <f>"85204"</f>
        <v>85204</v>
      </c>
      <c r="CD166" t="s">
        <v>1391</v>
      </c>
      <c r="CE166" t="s">
        <v>565</v>
      </c>
      <c r="CF166" s="12">
        <v>17.309999999999999</v>
      </c>
      <c r="CG166" s="12">
        <v>17.309999999999999</v>
      </c>
      <c r="CH166" s="12">
        <v>25.97</v>
      </c>
      <c r="CI166" s="12">
        <v>25.97</v>
      </c>
      <c r="CJ166" t="s">
        <v>135</v>
      </c>
      <c r="CK166" t="s">
        <v>19901</v>
      </c>
      <c r="CL166" t="s">
        <v>19902</v>
      </c>
      <c r="CO166" t="s">
        <v>132</v>
      </c>
      <c r="CP166" t="s">
        <v>136</v>
      </c>
      <c r="CQ166" t="s">
        <v>136</v>
      </c>
      <c r="CR166" t="s">
        <v>136</v>
      </c>
      <c r="CS166" t="s">
        <v>136</v>
      </c>
      <c r="CT166" t="s">
        <v>114</v>
      </c>
      <c r="CU166" t="s">
        <v>114</v>
      </c>
      <c r="CV166" t="s">
        <v>14159</v>
      </c>
      <c r="CW166" s="10" t="str">
        <f>"+14808952684"</f>
        <v>+14808952684</v>
      </c>
      <c r="CX166" t="s">
        <v>19900</v>
      </c>
      <c r="CY166" t="s">
        <v>132</v>
      </c>
      <c r="CZ166" t="s">
        <v>137</v>
      </c>
      <c r="DA166" t="s">
        <v>114</v>
      </c>
      <c r="DB166" t="s">
        <v>136</v>
      </c>
      <c r="DC166" t="s">
        <v>136</v>
      </c>
      <c r="DD166" t="s">
        <v>114</v>
      </c>
    </row>
    <row r="167" spans="1:108" ht="15" customHeight="1" x14ac:dyDescent="0.25">
      <c r="A167" t="s">
        <v>9803</v>
      </c>
      <c r="B167" t="s">
        <v>152</v>
      </c>
      <c r="C167" s="1">
        <v>45257.605108333337</v>
      </c>
      <c r="D167" s="1">
        <v>45287</v>
      </c>
      <c r="E167" t="s">
        <v>132</v>
      </c>
      <c r="F167" t="s">
        <v>1595</v>
      </c>
      <c r="G167" t="str">
        <f>"37-3011.00"</f>
        <v>37-3011.00</v>
      </c>
      <c r="H167" t="s">
        <v>429</v>
      </c>
      <c r="I167">
        <v>5</v>
      </c>
      <c r="J167">
        <v>5</v>
      </c>
      <c r="K167" s="1">
        <v>45337</v>
      </c>
      <c r="L167" s="1">
        <v>45641</v>
      </c>
      <c r="M167" s="1">
        <v>45337</v>
      </c>
      <c r="N167" s="1">
        <v>45641</v>
      </c>
      <c r="O167" t="s">
        <v>116</v>
      </c>
      <c r="P167" t="s">
        <v>9804</v>
      </c>
      <c r="Q167" t="s">
        <v>9805</v>
      </c>
      <c r="R167" t="s">
        <v>9806</v>
      </c>
      <c r="T167" t="s">
        <v>2676</v>
      </c>
      <c r="U167" t="s">
        <v>984</v>
      </c>
      <c r="V167" s="8" t="str">
        <f>"63010"</f>
        <v>63010</v>
      </c>
      <c r="W167" t="s">
        <v>118</v>
      </c>
      <c r="Y167" s="10">
        <v>16362232330</v>
      </c>
      <c r="AA167">
        <v>56173</v>
      </c>
      <c r="AB167" t="s">
        <v>9807</v>
      </c>
      <c r="AC167" t="s">
        <v>2679</v>
      </c>
      <c r="AE167" t="s">
        <v>561</v>
      </c>
      <c r="AF167" t="s">
        <v>9806</v>
      </c>
      <c r="AH167" t="s">
        <v>2676</v>
      </c>
      <c r="AI167" t="s">
        <v>984</v>
      </c>
      <c r="AJ167" s="8" t="str">
        <f>"63010"</f>
        <v>63010</v>
      </c>
      <c r="AK167" t="s">
        <v>118</v>
      </c>
      <c r="AM167" s="10">
        <v>16362232330</v>
      </c>
      <c r="AO167" t="s">
        <v>796</v>
      </c>
      <c r="AP167" t="s">
        <v>248</v>
      </c>
      <c r="AQ167" t="s">
        <v>5249</v>
      </c>
      <c r="AR167" t="s">
        <v>5250</v>
      </c>
      <c r="AT167" t="s">
        <v>3691</v>
      </c>
      <c r="AU167" t="s">
        <v>3692</v>
      </c>
      <c r="AV167" t="s">
        <v>2814</v>
      </c>
      <c r="AW167" t="s">
        <v>2608</v>
      </c>
      <c r="AX167" s="8" t="str">
        <f>"74136"</f>
        <v>74136</v>
      </c>
      <c r="AY167" t="s">
        <v>118</v>
      </c>
      <c r="BA167" s="10">
        <v>19189065212</v>
      </c>
      <c r="BC167" t="s">
        <v>5251</v>
      </c>
      <c r="BD167" t="s">
        <v>3695</v>
      </c>
      <c r="BG167" t="s">
        <v>984</v>
      </c>
      <c r="BH167" s="1">
        <v>45196.833333333336</v>
      </c>
      <c r="BI167">
        <v>48</v>
      </c>
      <c r="BJ167">
        <v>0</v>
      </c>
      <c r="BK167">
        <v>8</v>
      </c>
      <c r="BL167">
        <v>8</v>
      </c>
      <c r="BM167">
        <v>8</v>
      </c>
      <c r="BN167">
        <v>8</v>
      </c>
      <c r="BO167">
        <v>8</v>
      </c>
      <c r="BP167">
        <v>8</v>
      </c>
      <c r="BQ167" t="str">
        <f>"7:00 AM"</f>
        <v>7:00 AM</v>
      </c>
      <c r="BR167" t="str">
        <f>"3:30 PM"</f>
        <v>3:30 PM</v>
      </c>
      <c r="BS167" t="s">
        <v>131</v>
      </c>
      <c r="BT167">
        <v>0</v>
      </c>
      <c r="BU167">
        <v>0</v>
      </c>
      <c r="BV167" t="s">
        <v>114</v>
      </c>
      <c r="BX167" s="2" t="s">
        <v>9808</v>
      </c>
      <c r="BY167" t="s">
        <v>9809</v>
      </c>
      <c r="CA167" t="s">
        <v>2676</v>
      </c>
      <c r="CB167" t="s">
        <v>984</v>
      </c>
      <c r="CC167" s="8" t="str">
        <f>"63010"</f>
        <v>63010</v>
      </c>
      <c r="CD167" t="s">
        <v>1767</v>
      </c>
      <c r="CE167" t="s">
        <v>1856</v>
      </c>
      <c r="CF167" s="12">
        <v>18.8</v>
      </c>
      <c r="CG167" s="12">
        <v>18.8</v>
      </c>
      <c r="CH167" s="12">
        <v>28.2</v>
      </c>
      <c r="CI167" s="12">
        <v>28.2</v>
      </c>
      <c r="CJ167" t="s">
        <v>135</v>
      </c>
      <c r="CK167" t="s">
        <v>3699</v>
      </c>
      <c r="CL167" t="s">
        <v>9810</v>
      </c>
      <c r="CO167" t="s">
        <v>132</v>
      </c>
      <c r="CP167" t="s">
        <v>136</v>
      </c>
      <c r="CQ167" t="s">
        <v>136</v>
      </c>
      <c r="CR167" t="s">
        <v>136</v>
      </c>
      <c r="CS167" t="s">
        <v>136</v>
      </c>
      <c r="CT167" t="s">
        <v>136</v>
      </c>
      <c r="CU167" t="s">
        <v>136</v>
      </c>
      <c r="CV167" t="s">
        <v>9276</v>
      </c>
      <c r="CW167" s="10" t="str">
        <f>"+16362232330"</f>
        <v>+16362232330</v>
      </c>
      <c r="CX167" t="s">
        <v>132</v>
      </c>
      <c r="CY167" t="s">
        <v>5252</v>
      </c>
      <c r="CZ167" t="s">
        <v>137</v>
      </c>
      <c r="DA167" t="s">
        <v>114</v>
      </c>
      <c r="DB167" t="s">
        <v>136</v>
      </c>
      <c r="DC167" t="s">
        <v>136</v>
      </c>
      <c r="DD167" t="s">
        <v>114</v>
      </c>
    </row>
    <row r="168" spans="1:108" ht="15" customHeight="1" x14ac:dyDescent="0.25">
      <c r="A168" t="s">
        <v>22038</v>
      </c>
      <c r="B168" t="s">
        <v>152</v>
      </c>
      <c r="C168" s="1">
        <v>45252.787879513889</v>
      </c>
      <c r="D168" s="1">
        <v>45287</v>
      </c>
      <c r="E168" t="s">
        <v>132</v>
      </c>
      <c r="F168" t="s">
        <v>22039</v>
      </c>
      <c r="G168" t="str">
        <f>"51-9193.00"</f>
        <v>51-9193.00</v>
      </c>
      <c r="H168" t="s">
        <v>8530</v>
      </c>
      <c r="I168">
        <v>2</v>
      </c>
      <c r="J168">
        <v>2</v>
      </c>
      <c r="K168" s="1">
        <v>45337</v>
      </c>
      <c r="L168" s="1">
        <v>45565</v>
      </c>
      <c r="M168" s="1">
        <v>45337</v>
      </c>
      <c r="N168" s="1">
        <v>45565</v>
      </c>
      <c r="O168" t="s">
        <v>116</v>
      </c>
      <c r="P168" t="s">
        <v>17451</v>
      </c>
      <c r="R168" t="s">
        <v>17452</v>
      </c>
      <c r="T168" t="s">
        <v>3675</v>
      </c>
      <c r="U168" t="s">
        <v>2706</v>
      </c>
      <c r="V168" s="8" t="str">
        <f>"99835"</f>
        <v>99835</v>
      </c>
      <c r="W168" t="s">
        <v>118</v>
      </c>
      <c r="Y168" s="10">
        <v>12067269900</v>
      </c>
      <c r="AA168">
        <v>31171</v>
      </c>
      <c r="AB168" t="s">
        <v>2000</v>
      </c>
      <c r="AC168" t="s">
        <v>17453</v>
      </c>
      <c r="AE168" t="s">
        <v>17454</v>
      </c>
      <c r="AF168" t="s">
        <v>17452</v>
      </c>
      <c r="AH168" t="s">
        <v>3675</v>
      </c>
      <c r="AI168" t="s">
        <v>2706</v>
      </c>
      <c r="AJ168" s="8" t="str">
        <f>"99835"</f>
        <v>99835</v>
      </c>
      <c r="AK168" t="s">
        <v>118</v>
      </c>
      <c r="AM168" s="10">
        <v>12067269900</v>
      </c>
      <c r="AO168" t="s">
        <v>17455</v>
      </c>
      <c r="AP168" t="s">
        <v>248</v>
      </c>
      <c r="AQ168" t="s">
        <v>849</v>
      </c>
      <c r="AR168" t="s">
        <v>850</v>
      </c>
      <c r="AS168" t="s">
        <v>132</v>
      </c>
      <c r="AT168" t="s">
        <v>851</v>
      </c>
      <c r="AU168" t="s">
        <v>852</v>
      </c>
      <c r="AV168" t="s">
        <v>853</v>
      </c>
      <c r="AW168" t="s">
        <v>854</v>
      </c>
      <c r="AX168" s="8" t="str">
        <f>"83814"</f>
        <v>83814</v>
      </c>
      <c r="AY168" t="s">
        <v>118</v>
      </c>
      <c r="BA168" s="10">
        <v>12087772654</v>
      </c>
      <c r="BC168" t="s">
        <v>855</v>
      </c>
      <c r="BD168" t="s">
        <v>856</v>
      </c>
      <c r="BG168" t="s">
        <v>2706</v>
      </c>
      <c r="BH168" s="1">
        <v>45251.791666666664</v>
      </c>
      <c r="BI168">
        <v>40</v>
      </c>
      <c r="BJ168">
        <v>0</v>
      </c>
      <c r="BK168">
        <v>8</v>
      </c>
      <c r="BL168">
        <v>8</v>
      </c>
      <c r="BM168">
        <v>8</v>
      </c>
      <c r="BN168">
        <v>8</v>
      </c>
      <c r="BO168">
        <v>8</v>
      </c>
      <c r="BP168">
        <v>0</v>
      </c>
      <c r="BQ168" t="str">
        <f>"6:00 AM"</f>
        <v>6:00 AM</v>
      </c>
      <c r="BR168" t="str">
        <f>"11:00 PM"</f>
        <v>11:00 PM</v>
      </c>
      <c r="BS168" t="s">
        <v>131</v>
      </c>
      <c r="BT168">
        <v>0</v>
      </c>
      <c r="BU168">
        <v>12</v>
      </c>
      <c r="BV168" t="s">
        <v>114</v>
      </c>
      <c r="BX168" s="2" t="s">
        <v>22040</v>
      </c>
      <c r="BY168" t="s">
        <v>22041</v>
      </c>
      <c r="CA168" t="s">
        <v>3675</v>
      </c>
      <c r="CB168" t="s">
        <v>2706</v>
      </c>
      <c r="CC168" s="8" t="str">
        <f>"99835"</f>
        <v>99835</v>
      </c>
      <c r="CD168" t="s">
        <v>3676</v>
      </c>
      <c r="CE168" t="s">
        <v>2714</v>
      </c>
      <c r="CF168" s="12">
        <v>21.27</v>
      </c>
      <c r="CH168" s="12">
        <v>31.91</v>
      </c>
      <c r="CJ168" t="s">
        <v>135</v>
      </c>
      <c r="CK168" t="s">
        <v>132</v>
      </c>
      <c r="CL168" t="s">
        <v>22042</v>
      </c>
      <c r="CO168" t="s">
        <v>132</v>
      </c>
      <c r="CP168" t="s">
        <v>136</v>
      </c>
      <c r="CQ168" t="s">
        <v>136</v>
      </c>
      <c r="CR168" t="s">
        <v>136</v>
      </c>
      <c r="CS168" t="s">
        <v>114</v>
      </c>
      <c r="CT168" t="s">
        <v>136</v>
      </c>
      <c r="CU168" t="s">
        <v>136</v>
      </c>
      <c r="CV168" t="s">
        <v>22043</v>
      </c>
      <c r="CW168" s="10" t="str">
        <f>"+12067269900"</f>
        <v>+12067269900</v>
      </c>
      <c r="CX168" t="s">
        <v>17460</v>
      </c>
      <c r="CY168" t="s">
        <v>132</v>
      </c>
      <c r="CZ168" t="s">
        <v>137</v>
      </c>
      <c r="DA168" t="s">
        <v>114</v>
      </c>
      <c r="DB168" t="s">
        <v>136</v>
      </c>
      <c r="DC168" t="s">
        <v>136</v>
      </c>
      <c r="DD168" t="s">
        <v>114</v>
      </c>
    </row>
    <row r="169" spans="1:108" ht="15" customHeight="1" x14ac:dyDescent="0.25">
      <c r="A169" t="s">
        <v>9647</v>
      </c>
      <c r="B169" t="s">
        <v>152</v>
      </c>
      <c r="C169" s="1">
        <v>45251.004868981479</v>
      </c>
      <c r="D169" s="1">
        <v>45287</v>
      </c>
      <c r="E169" t="s">
        <v>132</v>
      </c>
      <c r="F169" t="s">
        <v>1961</v>
      </c>
      <c r="G169" t="str">
        <f>"37-3011.00"</f>
        <v>37-3011.00</v>
      </c>
      <c r="H169" t="s">
        <v>429</v>
      </c>
      <c r="I169">
        <v>115</v>
      </c>
      <c r="J169">
        <v>115</v>
      </c>
      <c r="K169" s="1">
        <v>45341</v>
      </c>
      <c r="L169" s="1">
        <v>45597</v>
      </c>
      <c r="M169" s="1">
        <v>45341</v>
      </c>
      <c r="N169" s="1">
        <v>45597</v>
      </c>
      <c r="O169" t="s">
        <v>116</v>
      </c>
      <c r="P169" t="s">
        <v>6551</v>
      </c>
      <c r="R169" t="s">
        <v>8343</v>
      </c>
      <c r="S169" t="s">
        <v>6553</v>
      </c>
      <c r="T169" t="s">
        <v>8344</v>
      </c>
      <c r="U169" t="s">
        <v>127</v>
      </c>
      <c r="V169" s="8" t="str">
        <f>"77043"</f>
        <v>77043</v>
      </c>
      <c r="W169" t="s">
        <v>118</v>
      </c>
      <c r="Y169" s="10">
        <v>13864376211</v>
      </c>
      <c r="AA169">
        <v>56173</v>
      </c>
      <c r="AB169" t="s">
        <v>1969</v>
      </c>
      <c r="AC169" t="s">
        <v>6554</v>
      </c>
      <c r="AE169" t="s">
        <v>6555</v>
      </c>
      <c r="AF169" t="s">
        <v>8343</v>
      </c>
      <c r="AG169" t="s">
        <v>6553</v>
      </c>
      <c r="AH169" t="s">
        <v>8344</v>
      </c>
      <c r="AI169" t="s">
        <v>127</v>
      </c>
      <c r="AJ169" s="8" t="str">
        <f>"77043"</f>
        <v>77043</v>
      </c>
      <c r="AK169" t="s">
        <v>118</v>
      </c>
      <c r="AM169" s="10">
        <v>13864376211</v>
      </c>
      <c r="AO169" t="s">
        <v>6557</v>
      </c>
      <c r="AP169" t="s">
        <v>248</v>
      </c>
      <c r="AQ169" t="s">
        <v>960</v>
      </c>
      <c r="AR169" t="s">
        <v>961</v>
      </c>
      <c r="AS169" t="s">
        <v>962</v>
      </c>
      <c r="AT169" t="s">
        <v>963</v>
      </c>
      <c r="AU169" t="s">
        <v>296</v>
      </c>
      <c r="AV169" t="s">
        <v>964</v>
      </c>
      <c r="AW169" t="s">
        <v>127</v>
      </c>
      <c r="AX169" s="8" t="str">
        <f>"75033"</f>
        <v>75033</v>
      </c>
      <c r="AY169" t="s">
        <v>118</v>
      </c>
      <c r="BA169" s="10">
        <v>19727789690</v>
      </c>
      <c r="BC169" t="s">
        <v>6558</v>
      </c>
      <c r="BD169" t="s">
        <v>966</v>
      </c>
      <c r="BG169" t="s">
        <v>127</v>
      </c>
      <c r="BH169" s="1">
        <v>45250.791666666664</v>
      </c>
      <c r="BI169">
        <v>40</v>
      </c>
      <c r="BJ169">
        <v>8</v>
      </c>
      <c r="BK169">
        <v>8</v>
      </c>
      <c r="BL169">
        <v>0</v>
      </c>
      <c r="BM169">
        <v>8</v>
      </c>
      <c r="BN169">
        <v>0</v>
      </c>
      <c r="BO169">
        <v>8</v>
      </c>
      <c r="BP169">
        <v>8</v>
      </c>
      <c r="BQ169" t="str">
        <f>"7:00 AM"</f>
        <v>7:00 AM</v>
      </c>
      <c r="BR169" t="str">
        <f>"4:00 PM"</f>
        <v>4:00 PM</v>
      </c>
      <c r="BS169" t="s">
        <v>131</v>
      </c>
      <c r="BT169">
        <v>0</v>
      </c>
      <c r="BU169">
        <v>0</v>
      </c>
      <c r="BV169" t="s">
        <v>114</v>
      </c>
      <c r="BX169" s="2" t="s">
        <v>9648</v>
      </c>
      <c r="BY169" t="s">
        <v>8345</v>
      </c>
      <c r="CA169" t="s">
        <v>8344</v>
      </c>
      <c r="CB169" t="s">
        <v>127</v>
      </c>
      <c r="CC169" s="8" t="str">
        <f>"77043"</f>
        <v>77043</v>
      </c>
      <c r="CD169" t="s">
        <v>3327</v>
      </c>
      <c r="CE169" t="s">
        <v>879</v>
      </c>
      <c r="CF169" s="12">
        <v>16.29</v>
      </c>
      <c r="CG169" s="12">
        <v>16.29</v>
      </c>
      <c r="CH169" s="12">
        <v>24.44</v>
      </c>
      <c r="CI169" s="12">
        <v>24.44</v>
      </c>
      <c r="CJ169" t="s">
        <v>135</v>
      </c>
      <c r="CK169" t="s">
        <v>973</v>
      </c>
      <c r="CL169" t="s">
        <v>8346</v>
      </c>
      <c r="CO169" t="s">
        <v>132</v>
      </c>
      <c r="CP169" t="s">
        <v>136</v>
      </c>
      <c r="CQ169" t="s">
        <v>136</v>
      </c>
      <c r="CR169" t="s">
        <v>136</v>
      </c>
      <c r="CS169" t="s">
        <v>136</v>
      </c>
      <c r="CT169" t="s">
        <v>136</v>
      </c>
      <c r="CU169" t="s">
        <v>136</v>
      </c>
      <c r="CV169" t="s">
        <v>9649</v>
      </c>
      <c r="CW169" s="10" t="str">
        <f>"+17139539211"</f>
        <v>+17139539211</v>
      </c>
      <c r="CX169" t="s">
        <v>132</v>
      </c>
      <c r="CY169" t="s">
        <v>1853</v>
      </c>
      <c r="CZ169" t="s">
        <v>137</v>
      </c>
      <c r="DA169" t="s">
        <v>114</v>
      </c>
      <c r="DB169" t="s">
        <v>136</v>
      </c>
      <c r="DC169" t="s">
        <v>136</v>
      </c>
      <c r="DD169" t="s">
        <v>114</v>
      </c>
    </row>
    <row r="170" spans="1:108" ht="15" customHeight="1" x14ac:dyDescent="0.25">
      <c r="A170" t="s">
        <v>18880</v>
      </c>
      <c r="B170" t="s">
        <v>152</v>
      </c>
      <c r="C170" s="1">
        <v>45244.623739930554</v>
      </c>
      <c r="D170" s="1">
        <v>45287</v>
      </c>
      <c r="E170" t="s">
        <v>132</v>
      </c>
      <c r="F170" t="s">
        <v>1595</v>
      </c>
      <c r="G170" t="str">
        <f>"37-3011.00"</f>
        <v>37-3011.00</v>
      </c>
      <c r="H170" t="s">
        <v>429</v>
      </c>
      <c r="I170">
        <v>20</v>
      </c>
      <c r="J170">
        <v>20</v>
      </c>
      <c r="K170" s="1">
        <v>45332</v>
      </c>
      <c r="L170" s="1">
        <v>45626</v>
      </c>
      <c r="M170" s="1">
        <v>45332</v>
      </c>
      <c r="N170" s="1">
        <v>45626</v>
      </c>
      <c r="O170" t="s">
        <v>116</v>
      </c>
      <c r="P170" t="s">
        <v>18881</v>
      </c>
      <c r="Q170" t="s">
        <v>18882</v>
      </c>
      <c r="R170" t="s">
        <v>18883</v>
      </c>
      <c r="T170" t="s">
        <v>7693</v>
      </c>
      <c r="U170" t="s">
        <v>984</v>
      </c>
      <c r="V170" s="8" t="str">
        <f>"63303"</f>
        <v>63303</v>
      </c>
      <c r="W170" t="s">
        <v>118</v>
      </c>
      <c r="Y170" s="10">
        <v>13145741537</v>
      </c>
      <c r="AA170">
        <v>56173</v>
      </c>
      <c r="AB170" t="s">
        <v>2282</v>
      </c>
      <c r="AC170" t="s">
        <v>6848</v>
      </c>
      <c r="AE170" t="s">
        <v>629</v>
      </c>
      <c r="AF170" t="s">
        <v>18883</v>
      </c>
      <c r="AH170" t="s">
        <v>7693</v>
      </c>
      <c r="AI170" t="s">
        <v>984</v>
      </c>
      <c r="AJ170" s="8" t="str">
        <f>"63303"</f>
        <v>63303</v>
      </c>
      <c r="AK170" t="s">
        <v>118</v>
      </c>
      <c r="AM170" s="10">
        <v>13145741537</v>
      </c>
      <c r="AO170" t="s">
        <v>18884</v>
      </c>
      <c r="AP170" t="s">
        <v>248</v>
      </c>
      <c r="AQ170" t="s">
        <v>849</v>
      </c>
      <c r="AR170" t="s">
        <v>850</v>
      </c>
      <c r="AS170" t="s">
        <v>132</v>
      </c>
      <c r="AT170" t="s">
        <v>851</v>
      </c>
      <c r="AU170" t="s">
        <v>852</v>
      </c>
      <c r="AV170" t="s">
        <v>853</v>
      </c>
      <c r="AW170" t="s">
        <v>854</v>
      </c>
      <c r="AX170" s="8" t="str">
        <f>"83814"</f>
        <v>83814</v>
      </c>
      <c r="AY170" t="s">
        <v>118</v>
      </c>
      <c r="BA170" s="10">
        <v>12087772654</v>
      </c>
      <c r="BC170" t="s">
        <v>855</v>
      </c>
      <c r="BD170" t="s">
        <v>856</v>
      </c>
      <c r="BG170" t="s">
        <v>984</v>
      </c>
      <c r="BH170" s="1">
        <v>45243.791666666664</v>
      </c>
      <c r="BI170">
        <v>40</v>
      </c>
      <c r="BJ170">
        <v>0</v>
      </c>
      <c r="BK170">
        <v>8</v>
      </c>
      <c r="BL170">
        <v>8</v>
      </c>
      <c r="BM170">
        <v>8</v>
      </c>
      <c r="BN170">
        <v>8</v>
      </c>
      <c r="BO170">
        <v>8</v>
      </c>
      <c r="BP170">
        <v>0</v>
      </c>
      <c r="BQ170" t="str">
        <f>"7:00 AM"</f>
        <v>7:00 AM</v>
      </c>
      <c r="BR170" t="str">
        <f>"4:30 PM"</f>
        <v>4:30 PM</v>
      </c>
      <c r="BS170" t="s">
        <v>131</v>
      </c>
      <c r="BT170">
        <v>0</v>
      </c>
      <c r="BU170">
        <v>1</v>
      </c>
      <c r="BV170" t="s">
        <v>114</v>
      </c>
      <c r="BX170" s="2" t="s">
        <v>2070</v>
      </c>
      <c r="BY170" t="s">
        <v>18885</v>
      </c>
      <c r="CA170" t="s">
        <v>7693</v>
      </c>
      <c r="CB170" t="s">
        <v>984</v>
      </c>
      <c r="CC170" s="8" t="str">
        <f>"63303"</f>
        <v>63303</v>
      </c>
      <c r="CD170" t="s">
        <v>1855</v>
      </c>
      <c r="CE170" t="s">
        <v>1856</v>
      </c>
      <c r="CF170" s="12">
        <v>17.579999999999998</v>
      </c>
      <c r="CG170" s="12">
        <v>24</v>
      </c>
      <c r="CH170" s="12">
        <v>26.37</v>
      </c>
      <c r="CI170" s="12">
        <v>36</v>
      </c>
      <c r="CJ170" t="s">
        <v>135</v>
      </c>
      <c r="CK170" t="s">
        <v>1899</v>
      </c>
      <c r="CL170" t="s">
        <v>18886</v>
      </c>
      <c r="CO170" t="s">
        <v>132</v>
      </c>
      <c r="CP170" t="s">
        <v>136</v>
      </c>
      <c r="CQ170" t="s">
        <v>136</v>
      </c>
      <c r="CR170" t="s">
        <v>136</v>
      </c>
      <c r="CS170" t="s">
        <v>136</v>
      </c>
      <c r="CT170" t="s">
        <v>136</v>
      </c>
      <c r="CU170" t="s">
        <v>114</v>
      </c>
      <c r="CV170" t="s">
        <v>1040</v>
      </c>
      <c r="CW170" s="10" t="str">
        <f>"+13145741537"</f>
        <v>+13145741537</v>
      </c>
      <c r="CX170" t="s">
        <v>18884</v>
      </c>
      <c r="CY170" t="s">
        <v>132</v>
      </c>
      <c r="CZ170" t="s">
        <v>137</v>
      </c>
      <c r="DA170" t="s">
        <v>114</v>
      </c>
      <c r="DB170" t="s">
        <v>136</v>
      </c>
      <c r="DC170" t="s">
        <v>136</v>
      </c>
      <c r="DD170" t="s">
        <v>114</v>
      </c>
    </row>
    <row r="171" spans="1:108" ht="15" customHeight="1" x14ac:dyDescent="0.25">
      <c r="A171" t="s">
        <v>13503</v>
      </c>
      <c r="B171" t="s">
        <v>152</v>
      </c>
      <c r="C171" s="1">
        <v>45261.546524768521</v>
      </c>
      <c r="D171" s="1">
        <v>45286</v>
      </c>
      <c r="E171" t="s">
        <v>132</v>
      </c>
      <c r="F171" t="s">
        <v>13504</v>
      </c>
      <c r="G171" t="str">
        <f>"37-3011.00"</f>
        <v>37-3011.00</v>
      </c>
      <c r="H171" t="s">
        <v>429</v>
      </c>
      <c r="I171">
        <v>16</v>
      </c>
      <c r="J171">
        <v>16</v>
      </c>
      <c r="K171" s="1">
        <v>45350</v>
      </c>
      <c r="L171" s="1">
        <v>45641</v>
      </c>
      <c r="M171" s="1">
        <v>45350</v>
      </c>
      <c r="N171" s="1">
        <v>45641</v>
      </c>
      <c r="O171" t="s">
        <v>238</v>
      </c>
      <c r="P171" t="s">
        <v>13505</v>
      </c>
      <c r="Q171" t="s">
        <v>13506</v>
      </c>
      <c r="R171" t="s">
        <v>13507</v>
      </c>
      <c r="T171" t="s">
        <v>13508</v>
      </c>
      <c r="U171" t="s">
        <v>222</v>
      </c>
      <c r="V171" s="8" t="str">
        <f>"02649"</f>
        <v>02649</v>
      </c>
      <c r="W171" t="s">
        <v>118</v>
      </c>
      <c r="Y171" s="10">
        <v>15085635296</v>
      </c>
      <c r="AA171">
        <v>561730</v>
      </c>
      <c r="AB171" t="s">
        <v>13509</v>
      </c>
      <c r="AC171" t="s">
        <v>3579</v>
      </c>
      <c r="AE171" t="s">
        <v>1580</v>
      </c>
      <c r="AF171" t="s">
        <v>13507</v>
      </c>
      <c r="AH171" t="s">
        <v>13508</v>
      </c>
      <c r="AI171" t="s">
        <v>222</v>
      </c>
      <c r="AJ171" s="8" t="str">
        <f>"02649"</f>
        <v>02649</v>
      </c>
      <c r="AK171" t="s">
        <v>118</v>
      </c>
      <c r="AM171" s="10">
        <v>15085635296</v>
      </c>
      <c r="AO171" t="s">
        <v>13510</v>
      </c>
      <c r="AP171" t="s">
        <v>248</v>
      </c>
      <c r="AQ171" t="s">
        <v>3290</v>
      </c>
      <c r="AR171" t="s">
        <v>2001</v>
      </c>
      <c r="AT171" t="s">
        <v>3291</v>
      </c>
      <c r="AV171" t="s">
        <v>3292</v>
      </c>
      <c r="AW171" t="s">
        <v>402</v>
      </c>
      <c r="AX171" s="8" t="str">
        <f>"93446"</f>
        <v>93446</v>
      </c>
      <c r="AY171" t="s">
        <v>118</v>
      </c>
      <c r="AZ171" t="s">
        <v>3293</v>
      </c>
      <c r="BA171" s="10">
        <v>13217042589</v>
      </c>
      <c r="BC171" t="s">
        <v>3294</v>
      </c>
      <c r="BD171" t="s">
        <v>3295</v>
      </c>
      <c r="BG171" t="s">
        <v>222</v>
      </c>
      <c r="BH171" s="1">
        <v>45260.791666666664</v>
      </c>
      <c r="BI171">
        <v>50</v>
      </c>
      <c r="BJ171">
        <v>0</v>
      </c>
      <c r="BK171">
        <v>10</v>
      </c>
      <c r="BL171">
        <v>10</v>
      </c>
      <c r="BM171">
        <v>10</v>
      </c>
      <c r="BN171">
        <v>10</v>
      </c>
      <c r="BO171">
        <v>10</v>
      </c>
      <c r="BP171">
        <v>0</v>
      </c>
      <c r="BQ171" t="str">
        <f>"7:00 AM"</f>
        <v>7:00 AM</v>
      </c>
      <c r="BR171" t="str">
        <f>"5:00 PM"</f>
        <v>5:00 PM</v>
      </c>
      <c r="BS171" t="s">
        <v>131</v>
      </c>
      <c r="BT171">
        <v>0</v>
      </c>
      <c r="BU171">
        <v>0</v>
      </c>
      <c r="BV171" t="s">
        <v>114</v>
      </c>
      <c r="BX171" s="2" t="s">
        <v>13511</v>
      </c>
      <c r="BY171" t="s">
        <v>13507</v>
      </c>
      <c r="CA171" t="s">
        <v>13508</v>
      </c>
      <c r="CB171" t="s">
        <v>222</v>
      </c>
      <c r="CC171" s="8" t="str">
        <f>"02649"</f>
        <v>02649</v>
      </c>
      <c r="CD171" t="s">
        <v>3119</v>
      </c>
      <c r="CE171" t="s">
        <v>2322</v>
      </c>
      <c r="CF171" s="12">
        <v>21.3</v>
      </c>
      <c r="CG171" s="12">
        <v>21.3</v>
      </c>
      <c r="CH171" s="12">
        <v>31.95</v>
      </c>
      <c r="CI171" s="12">
        <v>31.95</v>
      </c>
      <c r="CJ171" t="s">
        <v>135</v>
      </c>
      <c r="CK171" t="s">
        <v>3300</v>
      </c>
      <c r="CL171" t="s">
        <v>13512</v>
      </c>
      <c r="CO171" t="s">
        <v>132</v>
      </c>
      <c r="CP171" t="s">
        <v>136</v>
      </c>
      <c r="CQ171" t="s">
        <v>136</v>
      </c>
      <c r="CR171" t="s">
        <v>136</v>
      </c>
      <c r="CS171" t="s">
        <v>136</v>
      </c>
      <c r="CT171" t="s">
        <v>136</v>
      </c>
      <c r="CU171" t="s">
        <v>136</v>
      </c>
      <c r="CV171" t="s">
        <v>13513</v>
      </c>
      <c r="CW171" s="10" t="str">
        <f>"N/A"</f>
        <v>N/A</v>
      </c>
      <c r="CX171" t="s">
        <v>13510</v>
      </c>
      <c r="CY171" t="s">
        <v>13514</v>
      </c>
      <c r="CZ171" t="s">
        <v>137</v>
      </c>
      <c r="DA171" t="s">
        <v>114</v>
      </c>
      <c r="DB171" t="s">
        <v>114</v>
      </c>
      <c r="DC171" t="s">
        <v>136</v>
      </c>
      <c r="DD171" t="s">
        <v>114</v>
      </c>
    </row>
    <row r="172" spans="1:108" ht="15" customHeight="1" x14ac:dyDescent="0.25">
      <c r="A172" t="s">
        <v>7963</v>
      </c>
      <c r="B172" t="s">
        <v>152</v>
      </c>
      <c r="C172" s="1">
        <v>45261.508400115737</v>
      </c>
      <c r="D172" s="1">
        <v>45286</v>
      </c>
      <c r="E172" t="s">
        <v>132</v>
      </c>
      <c r="F172" t="s">
        <v>397</v>
      </c>
      <c r="G172" t="str">
        <f>"47-2181.00"</f>
        <v>47-2181.00</v>
      </c>
      <c r="H172" t="s">
        <v>398</v>
      </c>
      <c r="I172">
        <v>15</v>
      </c>
      <c r="J172">
        <v>15</v>
      </c>
      <c r="K172" s="1">
        <v>45350</v>
      </c>
      <c r="L172" s="1">
        <v>45627</v>
      </c>
      <c r="M172" s="1">
        <v>45350</v>
      </c>
      <c r="N172" s="1">
        <v>45627</v>
      </c>
      <c r="O172" t="s">
        <v>238</v>
      </c>
      <c r="P172" t="s">
        <v>7964</v>
      </c>
      <c r="R172" t="s">
        <v>7965</v>
      </c>
      <c r="T172" t="s">
        <v>7966</v>
      </c>
      <c r="U172" t="s">
        <v>1434</v>
      </c>
      <c r="V172" s="8" t="str">
        <f>"40033"</f>
        <v>40033</v>
      </c>
      <c r="W172" t="s">
        <v>118</v>
      </c>
      <c r="Y172" s="10">
        <v>15023335333</v>
      </c>
      <c r="AA172">
        <v>2381</v>
      </c>
      <c r="AB172" t="s">
        <v>7967</v>
      </c>
      <c r="AC172" t="s">
        <v>2925</v>
      </c>
      <c r="AE172" t="s">
        <v>561</v>
      </c>
      <c r="AF172" t="s">
        <v>7968</v>
      </c>
      <c r="AH172" t="s">
        <v>7966</v>
      </c>
      <c r="AI172" t="s">
        <v>1434</v>
      </c>
      <c r="AJ172" s="8" t="str">
        <f>"40033"</f>
        <v>40033</v>
      </c>
      <c r="AK172" t="s">
        <v>118</v>
      </c>
      <c r="AM172" s="10">
        <v>15023335333</v>
      </c>
      <c r="AO172" t="s">
        <v>7969</v>
      </c>
      <c r="AP172" t="s">
        <v>248</v>
      </c>
      <c r="AQ172" t="s">
        <v>3290</v>
      </c>
      <c r="AR172" t="s">
        <v>2001</v>
      </c>
      <c r="AT172" t="s">
        <v>3291</v>
      </c>
      <c r="AV172" t="s">
        <v>3292</v>
      </c>
      <c r="AW172" t="s">
        <v>402</v>
      </c>
      <c r="AX172" s="8" t="str">
        <f>"93446"</f>
        <v>93446</v>
      </c>
      <c r="AY172" t="s">
        <v>118</v>
      </c>
      <c r="AZ172" t="s">
        <v>3293</v>
      </c>
      <c r="BA172" s="10">
        <v>13217042589</v>
      </c>
      <c r="BC172" t="s">
        <v>3294</v>
      </c>
      <c r="BD172" t="s">
        <v>3295</v>
      </c>
      <c r="BG172" t="s">
        <v>1434</v>
      </c>
      <c r="BH172" s="1">
        <v>45238.791666666664</v>
      </c>
      <c r="BI172">
        <v>40</v>
      </c>
      <c r="BJ172">
        <v>0</v>
      </c>
      <c r="BK172">
        <v>8</v>
      </c>
      <c r="BL172">
        <v>8</v>
      </c>
      <c r="BM172">
        <v>8</v>
      </c>
      <c r="BN172">
        <v>8</v>
      </c>
      <c r="BO172">
        <v>8</v>
      </c>
      <c r="BP172">
        <v>0</v>
      </c>
      <c r="BQ172" t="str">
        <f>"7:00 AM"</f>
        <v>7:00 AM</v>
      </c>
      <c r="BR172" t="str">
        <f>"3:30 PM"</f>
        <v>3:30 PM</v>
      </c>
      <c r="BS172" t="s">
        <v>131</v>
      </c>
      <c r="BT172">
        <v>0</v>
      </c>
      <c r="BU172">
        <v>6</v>
      </c>
      <c r="BV172" t="s">
        <v>114</v>
      </c>
      <c r="BX172" s="2" t="s">
        <v>7970</v>
      </c>
      <c r="BY172" t="s">
        <v>7971</v>
      </c>
      <c r="CA172" t="s">
        <v>7972</v>
      </c>
      <c r="CB172" t="s">
        <v>1434</v>
      </c>
      <c r="CC172" s="8" t="str">
        <f>"40033"</f>
        <v>40033</v>
      </c>
      <c r="CD172" t="s">
        <v>1257</v>
      </c>
      <c r="CE172" t="s">
        <v>7973</v>
      </c>
      <c r="CF172" s="12">
        <v>18.18</v>
      </c>
      <c r="CG172" s="12">
        <v>18.18</v>
      </c>
      <c r="CH172" s="12">
        <v>27.27</v>
      </c>
      <c r="CI172" s="12">
        <v>27.27</v>
      </c>
      <c r="CJ172" t="s">
        <v>135</v>
      </c>
      <c r="CK172" t="s">
        <v>3300</v>
      </c>
      <c r="CL172" t="s">
        <v>7974</v>
      </c>
      <c r="CO172" t="s">
        <v>132</v>
      </c>
      <c r="CP172" t="s">
        <v>136</v>
      </c>
      <c r="CQ172" t="s">
        <v>136</v>
      </c>
      <c r="CR172" t="s">
        <v>136</v>
      </c>
      <c r="CS172" t="s">
        <v>136</v>
      </c>
      <c r="CT172" t="s">
        <v>136</v>
      </c>
      <c r="CU172" t="s">
        <v>136</v>
      </c>
      <c r="CV172" t="s">
        <v>7975</v>
      </c>
      <c r="CW172" s="10" t="str">
        <f>"+15023335333"</f>
        <v>+15023335333</v>
      </c>
      <c r="CX172" t="s">
        <v>7969</v>
      </c>
      <c r="CY172" t="s">
        <v>132</v>
      </c>
      <c r="CZ172" t="s">
        <v>137</v>
      </c>
      <c r="DA172" t="s">
        <v>114</v>
      </c>
      <c r="DB172" t="s">
        <v>114</v>
      </c>
      <c r="DC172" t="s">
        <v>136</v>
      </c>
      <c r="DD172" t="s">
        <v>114</v>
      </c>
    </row>
    <row r="173" spans="1:108" ht="15" customHeight="1" x14ac:dyDescent="0.25">
      <c r="A173" t="s">
        <v>22026</v>
      </c>
      <c r="B173" t="s">
        <v>152</v>
      </c>
      <c r="C173" s="1">
        <v>45260.964889236115</v>
      </c>
      <c r="D173" s="1">
        <v>45286</v>
      </c>
      <c r="E173" t="s">
        <v>132</v>
      </c>
      <c r="F173" t="s">
        <v>22027</v>
      </c>
      <c r="G173" t="str">
        <f>"37-3011.00"</f>
        <v>37-3011.00</v>
      </c>
      <c r="H173" t="s">
        <v>429</v>
      </c>
      <c r="I173">
        <v>26</v>
      </c>
      <c r="J173">
        <v>26</v>
      </c>
      <c r="K173" s="1">
        <v>45350</v>
      </c>
      <c r="L173" s="1">
        <v>45641</v>
      </c>
      <c r="M173" s="1">
        <v>45350</v>
      </c>
      <c r="N173" s="1">
        <v>45641</v>
      </c>
      <c r="O173" t="s">
        <v>116</v>
      </c>
      <c r="P173" t="s">
        <v>22028</v>
      </c>
      <c r="R173" t="s">
        <v>22029</v>
      </c>
      <c r="T173" t="s">
        <v>2327</v>
      </c>
      <c r="U173" t="s">
        <v>333</v>
      </c>
      <c r="V173" s="8" t="str">
        <f>"70433"</f>
        <v>70433</v>
      </c>
      <c r="W173" t="s">
        <v>118</v>
      </c>
      <c r="Y173" s="10">
        <v>19857920678</v>
      </c>
      <c r="AA173">
        <v>56173</v>
      </c>
      <c r="AB173" t="s">
        <v>22030</v>
      </c>
      <c r="AC173" t="s">
        <v>746</v>
      </c>
      <c r="AE173" t="s">
        <v>5063</v>
      </c>
      <c r="AF173" t="s">
        <v>22031</v>
      </c>
      <c r="AH173" t="s">
        <v>2327</v>
      </c>
      <c r="AI173" t="s">
        <v>333</v>
      </c>
      <c r="AJ173" s="8" t="str">
        <f>"70433"</f>
        <v>70433</v>
      </c>
      <c r="AK173" t="s">
        <v>118</v>
      </c>
      <c r="AM173" s="10">
        <v>19857920678</v>
      </c>
      <c r="AO173" t="s">
        <v>22032</v>
      </c>
      <c r="AP173" t="s">
        <v>248</v>
      </c>
      <c r="AQ173" t="s">
        <v>3290</v>
      </c>
      <c r="AR173" t="s">
        <v>2001</v>
      </c>
      <c r="AT173" t="s">
        <v>3291</v>
      </c>
      <c r="AV173" t="s">
        <v>3292</v>
      </c>
      <c r="AW173" t="s">
        <v>402</v>
      </c>
      <c r="AX173" s="8" t="str">
        <f>"93446"</f>
        <v>93446</v>
      </c>
      <c r="AY173" t="s">
        <v>118</v>
      </c>
      <c r="AZ173" t="s">
        <v>3293</v>
      </c>
      <c r="BA173" s="10">
        <v>13217042589</v>
      </c>
      <c r="BC173" t="s">
        <v>3294</v>
      </c>
      <c r="BD173" t="s">
        <v>3295</v>
      </c>
      <c r="BG173" t="s">
        <v>333</v>
      </c>
      <c r="BH173" s="1">
        <v>45238.791666666664</v>
      </c>
      <c r="BI173">
        <v>40</v>
      </c>
      <c r="BJ173">
        <v>0</v>
      </c>
      <c r="BK173">
        <v>8</v>
      </c>
      <c r="BL173">
        <v>8</v>
      </c>
      <c r="BM173">
        <v>8</v>
      </c>
      <c r="BN173">
        <v>8</v>
      </c>
      <c r="BO173">
        <v>8</v>
      </c>
      <c r="BP173">
        <v>0</v>
      </c>
      <c r="BQ173" t="str">
        <f>"6:45 AM"</f>
        <v>6:45 AM</v>
      </c>
      <c r="BR173" t="str">
        <f>"4:45 PM"</f>
        <v>4:45 PM</v>
      </c>
      <c r="BS173" t="s">
        <v>131</v>
      </c>
      <c r="BT173">
        <v>0</v>
      </c>
      <c r="BU173">
        <v>3</v>
      </c>
      <c r="BV173" t="s">
        <v>114</v>
      </c>
      <c r="BX173" s="2" t="s">
        <v>22033</v>
      </c>
      <c r="BY173" t="s">
        <v>22031</v>
      </c>
      <c r="CA173" t="s">
        <v>22034</v>
      </c>
      <c r="CB173" t="s">
        <v>333</v>
      </c>
      <c r="CC173" s="8" t="str">
        <f>"70433"</f>
        <v>70433</v>
      </c>
      <c r="CD173" t="s">
        <v>340</v>
      </c>
      <c r="CE173" t="s">
        <v>341</v>
      </c>
      <c r="CF173" s="12">
        <v>14.72</v>
      </c>
      <c r="CG173" s="12">
        <v>14.72</v>
      </c>
      <c r="CH173" s="12">
        <v>22.08</v>
      </c>
      <c r="CI173" s="12">
        <v>22.08</v>
      </c>
      <c r="CJ173" t="s">
        <v>135</v>
      </c>
      <c r="CK173" t="s">
        <v>3300</v>
      </c>
      <c r="CL173" t="s">
        <v>22035</v>
      </c>
      <c r="CO173" t="s">
        <v>132</v>
      </c>
      <c r="CP173" t="s">
        <v>136</v>
      </c>
      <c r="CQ173" t="s">
        <v>136</v>
      </c>
      <c r="CR173" t="s">
        <v>136</v>
      </c>
      <c r="CS173" t="s">
        <v>136</v>
      </c>
      <c r="CT173" t="s">
        <v>136</v>
      </c>
      <c r="CU173" t="s">
        <v>114</v>
      </c>
      <c r="CV173" t="s">
        <v>132</v>
      </c>
      <c r="CW173" s="10" t="str">
        <f>"N/A"</f>
        <v>N/A</v>
      </c>
      <c r="CX173" t="s">
        <v>22036</v>
      </c>
      <c r="CY173" t="s">
        <v>22037</v>
      </c>
      <c r="CZ173" t="s">
        <v>137</v>
      </c>
      <c r="DA173" t="s">
        <v>114</v>
      </c>
      <c r="DB173" t="s">
        <v>114</v>
      </c>
      <c r="DC173" t="s">
        <v>136</v>
      </c>
      <c r="DD173" t="s">
        <v>114</v>
      </c>
    </row>
    <row r="174" spans="1:108" ht="15" customHeight="1" x14ac:dyDescent="0.25">
      <c r="A174" t="s">
        <v>21426</v>
      </c>
      <c r="B174" t="s">
        <v>152</v>
      </c>
      <c r="C174" s="1">
        <v>45260.737088657406</v>
      </c>
      <c r="D174" s="1">
        <v>45286</v>
      </c>
      <c r="E174" t="s">
        <v>132</v>
      </c>
      <c r="F174" t="s">
        <v>21427</v>
      </c>
      <c r="G174" t="str">
        <f>"39-3091.00"</f>
        <v>39-3091.00</v>
      </c>
      <c r="H174" t="s">
        <v>237</v>
      </c>
      <c r="I174">
        <v>20</v>
      </c>
      <c r="J174">
        <v>20</v>
      </c>
      <c r="K174" s="1">
        <v>45350</v>
      </c>
      <c r="L174" s="1">
        <v>45654</v>
      </c>
      <c r="M174" s="1">
        <v>45350</v>
      </c>
      <c r="N174" s="1">
        <v>45654</v>
      </c>
      <c r="O174" t="s">
        <v>238</v>
      </c>
      <c r="P174" t="s">
        <v>21428</v>
      </c>
      <c r="Q174" t="s">
        <v>20403</v>
      </c>
      <c r="R174" t="s">
        <v>20404</v>
      </c>
      <c r="T174" t="s">
        <v>7930</v>
      </c>
      <c r="U174" t="s">
        <v>892</v>
      </c>
      <c r="V174" s="8" t="str">
        <f>"59808"</f>
        <v>59808</v>
      </c>
      <c r="W174" t="s">
        <v>118</v>
      </c>
      <c r="Y174" s="10">
        <v>14238172263</v>
      </c>
      <c r="AA174">
        <v>711190</v>
      </c>
      <c r="AB174" t="s">
        <v>19065</v>
      </c>
      <c r="AC174" t="s">
        <v>19066</v>
      </c>
      <c r="AE174" t="s">
        <v>561</v>
      </c>
      <c r="AF174" t="s">
        <v>20404</v>
      </c>
      <c r="AH174" t="s">
        <v>7930</v>
      </c>
      <c r="AI174" t="s">
        <v>892</v>
      </c>
      <c r="AJ174" s="8" t="str">
        <f>"59808"</f>
        <v>59808</v>
      </c>
      <c r="AK174" t="s">
        <v>118</v>
      </c>
      <c r="AM174" s="10">
        <v>14238172263</v>
      </c>
      <c r="AO174" t="s">
        <v>19067</v>
      </c>
      <c r="AP174" t="s">
        <v>248</v>
      </c>
      <c r="AQ174" t="s">
        <v>3290</v>
      </c>
      <c r="AR174" t="s">
        <v>2001</v>
      </c>
      <c r="AT174" t="s">
        <v>3291</v>
      </c>
      <c r="AV174" t="s">
        <v>3292</v>
      </c>
      <c r="AW174" t="s">
        <v>402</v>
      </c>
      <c r="AX174" s="8" t="str">
        <f>"93446"</f>
        <v>93446</v>
      </c>
      <c r="AY174" t="s">
        <v>118</v>
      </c>
      <c r="AZ174" t="s">
        <v>3293</v>
      </c>
      <c r="BA174" s="10">
        <v>13217042589</v>
      </c>
      <c r="BC174" t="s">
        <v>3294</v>
      </c>
      <c r="BD174" t="s">
        <v>3295</v>
      </c>
      <c r="BG174" t="s">
        <v>140</v>
      </c>
      <c r="BH174" s="1">
        <v>45239.791666666664</v>
      </c>
      <c r="BI174">
        <v>35</v>
      </c>
      <c r="BJ174">
        <v>0</v>
      </c>
      <c r="BK174">
        <v>0</v>
      </c>
      <c r="BL174">
        <v>0</v>
      </c>
      <c r="BM174">
        <v>9</v>
      </c>
      <c r="BN174">
        <v>9</v>
      </c>
      <c r="BO174">
        <v>9</v>
      </c>
      <c r="BP174">
        <v>8</v>
      </c>
      <c r="BQ174" t="str">
        <f>"4:00 PM"</f>
        <v>4:00 PM</v>
      </c>
      <c r="BR174" t="str">
        <f>"11:00 PM"</f>
        <v>11:00 PM</v>
      </c>
      <c r="BS174" t="s">
        <v>131</v>
      </c>
      <c r="BT174">
        <v>0</v>
      </c>
      <c r="BU174">
        <v>0</v>
      </c>
      <c r="BV174" t="s">
        <v>114</v>
      </c>
      <c r="BX174" s="2" t="s">
        <v>21429</v>
      </c>
      <c r="BY174" t="s">
        <v>21430</v>
      </c>
      <c r="CA174" t="s">
        <v>19064</v>
      </c>
      <c r="CB174" t="s">
        <v>140</v>
      </c>
      <c r="CC174" s="8" t="str">
        <f>"32168"</f>
        <v>32168</v>
      </c>
      <c r="CD174" t="s">
        <v>3091</v>
      </c>
      <c r="CE174" t="s">
        <v>3092</v>
      </c>
      <c r="CF174" s="12">
        <v>10.24</v>
      </c>
      <c r="CG174" s="12">
        <v>13.89</v>
      </c>
      <c r="CJ174" t="s">
        <v>135</v>
      </c>
      <c r="CK174" t="s">
        <v>3300</v>
      </c>
      <c r="CL174" t="s">
        <v>21431</v>
      </c>
      <c r="CO174" t="s">
        <v>132</v>
      </c>
      <c r="CP174" t="s">
        <v>136</v>
      </c>
      <c r="CQ174" t="s">
        <v>136</v>
      </c>
      <c r="CR174" t="s">
        <v>114</v>
      </c>
      <c r="CS174" t="s">
        <v>136</v>
      </c>
      <c r="CT174" t="s">
        <v>136</v>
      </c>
      <c r="CU174" t="s">
        <v>136</v>
      </c>
      <c r="CV174" t="s">
        <v>21432</v>
      </c>
      <c r="CW174" s="10" t="str">
        <f>"+14238172263"</f>
        <v>+14238172263</v>
      </c>
      <c r="CX174" t="s">
        <v>19067</v>
      </c>
      <c r="CY174" t="s">
        <v>132</v>
      </c>
      <c r="CZ174" t="s">
        <v>137</v>
      </c>
      <c r="DA174" t="s">
        <v>114</v>
      </c>
      <c r="DB174" t="s">
        <v>114</v>
      </c>
      <c r="DC174" t="s">
        <v>136</v>
      </c>
      <c r="DD174" t="s">
        <v>114</v>
      </c>
    </row>
    <row r="175" spans="1:108" ht="15" customHeight="1" x14ac:dyDescent="0.25">
      <c r="A175" t="s">
        <v>11089</v>
      </c>
      <c r="B175" t="s">
        <v>152</v>
      </c>
      <c r="C175" s="1">
        <v>45260.605141898151</v>
      </c>
      <c r="D175" s="1">
        <v>45286</v>
      </c>
      <c r="E175" t="s">
        <v>132</v>
      </c>
      <c r="F175" t="s">
        <v>2303</v>
      </c>
      <c r="G175" t="str">
        <f>"35-2021.00"</f>
        <v>35-2021.00</v>
      </c>
      <c r="H175" t="s">
        <v>2303</v>
      </c>
      <c r="I175">
        <v>8</v>
      </c>
      <c r="J175">
        <v>8</v>
      </c>
      <c r="K175" s="1">
        <v>45350</v>
      </c>
      <c r="L175" s="1">
        <v>45641</v>
      </c>
      <c r="M175" s="1">
        <v>45350</v>
      </c>
      <c r="N175" s="1">
        <v>45641</v>
      </c>
      <c r="O175" t="s">
        <v>238</v>
      </c>
      <c r="P175" t="s">
        <v>11090</v>
      </c>
      <c r="Q175" t="s">
        <v>11091</v>
      </c>
      <c r="R175" t="s">
        <v>11092</v>
      </c>
      <c r="T175" t="s">
        <v>11093</v>
      </c>
      <c r="U175" t="s">
        <v>211</v>
      </c>
      <c r="V175" s="8" t="str">
        <f>"84775"</f>
        <v>84775</v>
      </c>
      <c r="W175" t="s">
        <v>118</v>
      </c>
      <c r="Y175" s="10">
        <v>14354910492</v>
      </c>
      <c r="AA175">
        <v>72251</v>
      </c>
      <c r="AB175" t="s">
        <v>11094</v>
      </c>
      <c r="AC175" t="s">
        <v>11095</v>
      </c>
      <c r="AE175" t="s">
        <v>629</v>
      </c>
      <c r="AF175" t="s">
        <v>11092</v>
      </c>
      <c r="AH175" t="s">
        <v>11093</v>
      </c>
      <c r="AI175" t="s">
        <v>211</v>
      </c>
      <c r="AJ175" s="8" t="str">
        <f>"84775"</f>
        <v>84775</v>
      </c>
      <c r="AK175" t="s">
        <v>118</v>
      </c>
      <c r="AM175" s="10">
        <v>14354910492</v>
      </c>
      <c r="AO175" t="s">
        <v>11096</v>
      </c>
      <c r="AP175" t="s">
        <v>248</v>
      </c>
      <c r="AQ175" t="s">
        <v>3290</v>
      </c>
      <c r="AR175" t="s">
        <v>2001</v>
      </c>
      <c r="AT175" t="s">
        <v>3291</v>
      </c>
      <c r="AV175" t="s">
        <v>3292</v>
      </c>
      <c r="AW175" t="s">
        <v>402</v>
      </c>
      <c r="AX175" s="8" t="str">
        <f>"93446"</f>
        <v>93446</v>
      </c>
      <c r="AY175" t="s">
        <v>118</v>
      </c>
      <c r="AZ175" t="s">
        <v>3293</v>
      </c>
      <c r="BA175" s="10">
        <v>13217042589</v>
      </c>
      <c r="BC175" t="s">
        <v>3294</v>
      </c>
      <c r="BD175" t="s">
        <v>3295</v>
      </c>
      <c r="BG175" t="s">
        <v>211</v>
      </c>
      <c r="BH175" s="1">
        <v>45246.791666666664</v>
      </c>
      <c r="BI175">
        <v>35</v>
      </c>
      <c r="BJ175">
        <v>5</v>
      </c>
      <c r="BK175">
        <v>5</v>
      </c>
      <c r="BL175">
        <v>5</v>
      </c>
      <c r="BM175">
        <v>5</v>
      </c>
      <c r="BN175">
        <v>5</v>
      </c>
      <c r="BO175">
        <v>5</v>
      </c>
      <c r="BP175">
        <v>5</v>
      </c>
      <c r="BQ175" t="str">
        <f>"6:30 AM"</f>
        <v>6:30 AM</v>
      </c>
      <c r="BR175" t="str">
        <f>"10:00 PM"</f>
        <v>10:00 PM</v>
      </c>
      <c r="BS175" t="s">
        <v>131</v>
      </c>
      <c r="BT175">
        <v>0</v>
      </c>
      <c r="BU175">
        <v>3</v>
      </c>
      <c r="BV175" t="s">
        <v>114</v>
      </c>
      <c r="BX175" s="2" t="s">
        <v>11097</v>
      </c>
      <c r="BY175" t="s">
        <v>11092</v>
      </c>
      <c r="CA175" t="s">
        <v>11093</v>
      </c>
      <c r="CB175" t="s">
        <v>211</v>
      </c>
      <c r="CC175" s="8" t="str">
        <f>"84775"</f>
        <v>84775</v>
      </c>
      <c r="CD175" t="s">
        <v>1735</v>
      </c>
      <c r="CE175" t="s">
        <v>5363</v>
      </c>
      <c r="CF175" s="12">
        <v>13.26</v>
      </c>
      <c r="CG175" s="12">
        <v>13.26</v>
      </c>
      <c r="CJ175" t="s">
        <v>135</v>
      </c>
      <c r="CK175" t="s">
        <v>5469</v>
      </c>
      <c r="CL175" t="s">
        <v>11098</v>
      </c>
      <c r="CO175" t="s">
        <v>132</v>
      </c>
      <c r="CP175" t="s">
        <v>114</v>
      </c>
      <c r="CQ175" t="s">
        <v>114</v>
      </c>
      <c r="CR175" t="s">
        <v>114</v>
      </c>
      <c r="CS175" t="s">
        <v>136</v>
      </c>
      <c r="CT175" t="s">
        <v>136</v>
      </c>
      <c r="CU175" t="s">
        <v>136</v>
      </c>
      <c r="CV175" s="2" t="s">
        <v>11099</v>
      </c>
      <c r="CW175" s="10" t="str">
        <f>"+14354253866"</f>
        <v>+14354253866</v>
      </c>
      <c r="CX175" t="s">
        <v>11096</v>
      </c>
      <c r="CY175" t="s">
        <v>132</v>
      </c>
      <c r="CZ175" t="s">
        <v>137</v>
      </c>
      <c r="DA175" t="s">
        <v>114</v>
      </c>
      <c r="DB175" t="s">
        <v>114</v>
      </c>
      <c r="DC175" t="s">
        <v>136</v>
      </c>
      <c r="DD175" t="s">
        <v>114</v>
      </c>
    </row>
    <row r="176" spans="1:108" ht="15" customHeight="1" x14ac:dyDescent="0.25">
      <c r="A176" t="s">
        <v>7393</v>
      </c>
      <c r="B176" t="s">
        <v>152</v>
      </c>
      <c r="C176" s="1">
        <v>45260.579091550928</v>
      </c>
      <c r="D176" s="1">
        <v>45286</v>
      </c>
      <c r="E176" t="s">
        <v>132</v>
      </c>
      <c r="F176" t="s">
        <v>7394</v>
      </c>
      <c r="G176" t="str">
        <f>"37-3011.00"</f>
        <v>37-3011.00</v>
      </c>
      <c r="H176" t="s">
        <v>429</v>
      </c>
      <c r="I176">
        <v>8</v>
      </c>
      <c r="J176">
        <v>8</v>
      </c>
      <c r="K176" s="1">
        <v>45350</v>
      </c>
      <c r="L176" s="1">
        <v>45626</v>
      </c>
      <c r="M176" s="1">
        <v>45350</v>
      </c>
      <c r="N176" s="1">
        <v>45626</v>
      </c>
      <c r="O176" t="s">
        <v>116</v>
      </c>
      <c r="P176" t="s">
        <v>7395</v>
      </c>
      <c r="R176" t="s">
        <v>7396</v>
      </c>
      <c r="T176" t="s">
        <v>5216</v>
      </c>
      <c r="U176" t="s">
        <v>543</v>
      </c>
      <c r="V176" s="8" t="str">
        <f>"45370"</f>
        <v>45370</v>
      </c>
      <c r="W176" t="s">
        <v>118</v>
      </c>
      <c r="Y176" s="10">
        <v>19378482226</v>
      </c>
      <c r="AA176">
        <v>561730</v>
      </c>
      <c r="AB176" t="s">
        <v>7397</v>
      </c>
      <c r="AC176" t="s">
        <v>1826</v>
      </c>
      <c r="AE176" t="s">
        <v>561</v>
      </c>
      <c r="AF176" t="s">
        <v>7396</v>
      </c>
      <c r="AH176" t="s">
        <v>5216</v>
      </c>
      <c r="AI176" t="s">
        <v>543</v>
      </c>
      <c r="AJ176" s="8" t="str">
        <f>"45370"</f>
        <v>45370</v>
      </c>
      <c r="AK176" t="s">
        <v>118</v>
      </c>
      <c r="AM176" s="10">
        <v>19378482226</v>
      </c>
      <c r="AO176" t="s">
        <v>7398</v>
      </c>
      <c r="AP176" t="s">
        <v>248</v>
      </c>
      <c r="AQ176" t="s">
        <v>3290</v>
      </c>
      <c r="AR176" t="s">
        <v>2001</v>
      </c>
      <c r="AT176" t="s">
        <v>3291</v>
      </c>
      <c r="AV176" t="s">
        <v>3292</v>
      </c>
      <c r="AW176" t="s">
        <v>402</v>
      </c>
      <c r="AX176" s="8" t="str">
        <f>"93446"</f>
        <v>93446</v>
      </c>
      <c r="AY176" t="s">
        <v>118</v>
      </c>
      <c r="AZ176" t="s">
        <v>3293</v>
      </c>
      <c r="BA176" s="10">
        <v>13217042589</v>
      </c>
      <c r="BC176" t="s">
        <v>3294</v>
      </c>
      <c r="BD176" t="s">
        <v>3295</v>
      </c>
      <c r="BG176" t="s">
        <v>543</v>
      </c>
      <c r="BH176" s="1">
        <v>45242.791666666664</v>
      </c>
      <c r="BI176">
        <v>45</v>
      </c>
      <c r="BJ176">
        <v>0</v>
      </c>
      <c r="BK176">
        <v>8.1</v>
      </c>
      <c r="BL176">
        <v>8.1</v>
      </c>
      <c r="BM176">
        <v>8.1</v>
      </c>
      <c r="BN176">
        <v>8.1</v>
      </c>
      <c r="BO176">
        <v>8.1</v>
      </c>
      <c r="BP176">
        <v>4.5</v>
      </c>
      <c r="BQ176" t="str">
        <f>"7:00 AM"</f>
        <v>7:00 AM</v>
      </c>
      <c r="BR176" t="str">
        <f>"5:00 PM"</f>
        <v>5:00 PM</v>
      </c>
      <c r="BS176" t="s">
        <v>131</v>
      </c>
      <c r="BT176">
        <v>0</v>
      </c>
      <c r="BU176">
        <v>0</v>
      </c>
      <c r="BV176" t="s">
        <v>114</v>
      </c>
      <c r="BX176" s="2" t="s">
        <v>7399</v>
      </c>
      <c r="BY176" t="s">
        <v>7396</v>
      </c>
      <c r="CA176" t="s">
        <v>7400</v>
      </c>
      <c r="CB176" t="s">
        <v>543</v>
      </c>
      <c r="CC176" s="8" t="str">
        <f>"45370"</f>
        <v>45370</v>
      </c>
      <c r="CD176" t="s">
        <v>4156</v>
      </c>
      <c r="CE176" t="s">
        <v>3593</v>
      </c>
      <c r="CF176" s="12">
        <v>17.14</v>
      </c>
      <c r="CG176" s="12">
        <v>17.14</v>
      </c>
      <c r="CH176" s="12">
        <v>25.71</v>
      </c>
      <c r="CI176" s="12">
        <v>25.71</v>
      </c>
      <c r="CJ176" t="s">
        <v>135</v>
      </c>
      <c r="CK176" t="s">
        <v>5469</v>
      </c>
      <c r="CL176" t="s">
        <v>7401</v>
      </c>
      <c r="CO176" t="s">
        <v>132</v>
      </c>
      <c r="CP176" t="s">
        <v>136</v>
      </c>
      <c r="CQ176" t="s">
        <v>136</v>
      </c>
      <c r="CR176" t="s">
        <v>136</v>
      </c>
      <c r="CS176" t="s">
        <v>136</v>
      </c>
      <c r="CT176" t="s">
        <v>136</v>
      </c>
      <c r="CU176" t="s">
        <v>136</v>
      </c>
      <c r="CV176" t="s">
        <v>7402</v>
      </c>
      <c r="CW176" s="10" t="str">
        <f>"+19378482226"</f>
        <v>+19378482226</v>
      </c>
      <c r="CX176" t="s">
        <v>7398</v>
      </c>
      <c r="CY176" t="s">
        <v>132</v>
      </c>
      <c r="CZ176" t="s">
        <v>137</v>
      </c>
      <c r="DA176" t="s">
        <v>114</v>
      </c>
      <c r="DB176" t="s">
        <v>114</v>
      </c>
      <c r="DC176" t="s">
        <v>136</v>
      </c>
      <c r="DD176" t="s">
        <v>114</v>
      </c>
    </row>
    <row r="177" spans="1:113" ht="15" customHeight="1" x14ac:dyDescent="0.25">
      <c r="A177" t="s">
        <v>5461</v>
      </c>
      <c r="B177" t="s">
        <v>152</v>
      </c>
      <c r="C177" s="1">
        <v>45260.577551504626</v>
      </c>
      <c r="D177" s="1">
        <v>45286</v>
      </c>
      <c r="E177" t="s">
        <v>132</v>
      </c>
      <c r="F177" t="s">
        <v>2086</v>
      </c>
      <c r="G177" t="str">
        <f>"37-3011.00"</f>
        <v>37-3011.00</v>
      </c>
      <c r="H177" t="s">
        <v>429</v>
      </c>
      <c r="I177">
        <v>35</v>
      </c>
      <c r="J177">
        <v>35</v>
      </c>
      <c r="K177" s="1">
        <v>45350</v>
      </c>
      <c r="L177" s="1">
        <v>45626</v>
      </c>
      <c r="M177" s="1">
        <v>45350</v>
      </c>
      <c r="N177" s="1">
        <v>45626</v>
      </c>
      <c r="O177" t="s">
        <v>116</v>
      </c>
      <c r="P177" t="s">
        <v>5462</v>
      </c>
      <c r="R177" t="s">
        <v>5463</v>
      </c>
      <c r="T177" t="s">
        <v>5464</v>
      </c>
      <c r="U177" t="s">
        <v>211</v>
      </c>
      <c r="V177" s="8" t="str">
        <f>"84660"</f>
        <v>84660</v>
      </c>
      <c r="W177" t="s">
        <v>118</v>
      </c>
      <c r="Y177" s="10">
        <v>18015927746</v>
      </c>
      <c r="AA177">
        <v>561730</v>
      </c>
      <c r="AB177" t="s">
        <v>3482</v>
      </c>
      <c r="AC177" t="s">
        <v>5465</v>
      </c>
      <c r="AE177" t="s">
        <v>561</v>
      </c>
      <c r="AF177" t="s">
        <v>5463</v>
      </c>
      <c r="AH177" t="s">
        <v>5464</v>
      </c>
      <c r="AI177" t="s">
        <v>211</v>
      </c>
      <c r="AJ177" s="8" t="str">
        <f>"84660"</f>
        <v>84660</v>
      </c>
      <c r="AK177" t="s">
        <v>118</v>
      </c>
      <c r="AM177" s="10">
        <v>18015927746</v>
      </c>
      <c r="AO177" t="s">
        <v>5466</v>
      </c>
      <c r="AP177" t="s">
        <v>248</v>
      </c>
      <c r="AQ177" t="s">
        <v>3290</v>
      </c>
      <c r="AR177" t="s">
        <v>2001</v>
      </c>
      <c r="AT177" t="s">
        <v>3291</v>
      </c>
      <c r="AV177" t="s">
        <v>3292</v>
      </c>
      <c r="AW177" t="s">
        <v>402</v>
      </c>
      <c r="AX177" s="8" t="str">
        <f>"93446"</f>
        <v>93446</v>
      </c>
      <c r="AY177" t="s">
        <v>118</v>
      </c>
      <c r="AZ177" t="s">
        <v>3293</v>
      </c>
      <c r="BA177" s="10">
        <v>13217042589</v>
      </c>
      <c r="BC177" t="s">
        <v>3294</v>
      </c>
      <c r="BD177" t="s">
        <v>3295</v>
      </c>
      <c r="BG177" t="s">
        <v>211</v>
      </c>
      <c r="BH177" s="1">
        <v>45245.791666666664</v>
      </c>
      <c r="BI177">
        <v>40</v>
      </c>
      <c r="BJ177">
        <v>0</v>
      </c>
      <c r="BK177">
        <v>8</v>
      </c>
      <c r="BL177">
        <v>8</v>
      </c>
      <c r="BM177">
        <v>8</v>
      </c>
      <c r="BN177">
        <v>8</v>
      </c>
      <c r="BO177">
        <v>8</v>
      </c>
      <c r="BP177">
        <v>0</v>
      </c>
      <c r="BQ177" t="str">
        <f>"7:30 AM"</f>
        <v>7:30 AM</v>
      </c>
      <c r="BR177" t="str">
        <f>"4:00 PM"</f>
        <v>4:00 PM</v>
      </c>
      <c r="BS177" t="s">
        <v>131</v>
      </c>
      <c r="BT177">
        <v>0</v>
      </c>
      <c r="BU177">
        <v>2</v>
      </c>
      <c r="BV177" t="s">
        <v>114</v>
      </c>
      <c r="BX177" s="2" t="s">
        <v>5467</v>
      </c>
      <c r="BY177" t="s">
        <v>5468</v>
      </c>
      <c r="CA177" t="s">
        <v>3246</v>
      </c>
      <c r="CB177" t="s">
        <v>211</v>
      </c>
      <c r="CC177" s="8" t="str">
        <f>"84660"</f>
        <v>84660</v>
      </c>
      <c r="CD177" t="s">
        <v>2468</v>
      </c>
      <c r="CE177" t="s">
        <v>2469</v>
      </c>
      <c r="CF177" s="12">
        <v>18.3</v>
      </c>
      <c r="CG177" s="12">
        <v>18.3</v>
      </c>
      <c r="CH177" s="12">
        <v>27.45</v>
      </c>
      <c r="CI177" s="12">
        <v>27.45</v>
      </c>
      <c r="CJ177" t="s">
        <v>135</v>
      </c>
      <c r="CK177" t="s">
        <v>5469</v>
      </c>
      <c r="CL177" t="s">
        <v>5470</v>
      </c>
      <c r="CO177" t="s">
        <v>132</v>
      </c>
      <c r="CP177" t="s">
        <v>136</v>
      </c>
      <c r="CQ177" t="s">
        <v>136</v>
      </c>
      <c r="CR177" t="s">
        <v>136</v>
      </c>
      <c r="CS177" t="s">
        <v>136</v>
      </c>
      <c r="CT177" t="s">
        <v>136</v>
      </c>
      <c r="CU177" t="s">
        <v>114</v>
      </c>
      <c r="CV177" t="s">
        <v>5471</v>
      </c>
      <c r="CW177" s="10" t="str">
        <f>"+18015927746"</f>
        <v>+18015927746</v>
      </c>
      <c r="CX177" t="s">
        <v>5466</v>
      </c>
      <c r="CY177" t="s">
        <v>132</v>
      </c>
      <c r="CZ177" t="s">
        <v>137</v>
      </c>
      <c r="DA177" t="s">
        <v>114</v>
      </c>
      <c r="DB177" t="s">
        <v>114</v>
      </c>
      <c r="DC177" t="s">
        <v>136</v>
      </c>
      <c r="DD177" t="s">
        <v>114</v>
      </c>
    </row>
    <row r="178" spans="1:113" ht="15" customHeight="1" x14ac:dyDescent="0.25">
      <c r="A178" t="s">
        <v>16485</v>
      </c>
      <c r="B178" t="s">
        <v>152</v>
      </c>
      <c r="C178" s="1">
        <v>45260.019229282407</v>
      </c>
      <c r="D178" s="1">
        <v>45286</v>
      </c>
      <c r="E178" t="s">
        <v>132</v>
      </c>
      <c r="F178" t="s">
        <v>1595</v>
      </c>
      <c r="G178" t="str">
        <f>"37-3011.00"</f>
        <v>37-3011.00</v>
      </c>
      <c r="H178" t="s">
        <v>429</v>
      </c>
      <c r="I178">
        <v>36</v>
      </c>
      <c r="J178">
        <v>36</v>
      </c>
      <c r="K178" s="1">
        <v>45350</v>
      </c>
      <c r="L178" s="1">
        <v>45613</v>
      </c>
      <c r="M178" s="1">
        <v>45350</v>
      </c>
      <c r="N178" s="1">
        <v>45613</v>
      </c>
      <c r="O178" t="s">
        <v>116</v>
      </c>
      <c r="P178" t="s">
        <v>3129</v>
      </c>
      <c r="R178" t="s">
        <v>3130</v>
      </c>
      <c r="S178" t="s">
        <v>296</v>
      </c>
      <c r="T178" t="s">
        <v>3131</v>
      </c>
      <c r="U178" t="s">
        <v>1598</v>
      </c>
      <c r="V178" s="8" t="str">
        <f>"35216"</f>
        <v>35216</v>
      </c>
      <c r="W178" t="s">
        <v>118</v>
      </c>
      <c r="Y178" s="10">
        <v>12055473945</v>
      </c>
      <c r="Z178">
        <v>2008</v>
      </c>
      <c r="AA178">
        <v>56173</v>
      </c>
      <c r="AB178" t="s">
        <v>3132</v>
      </c>
      <c r="AC178" t="s">
        <v>3133</v>
      </c>
      <c r="AE178" t="s">
        <v>1556</v>
      </c>
      <c r="AF178" t="s">
        <v>3130</v>
      </c>
      <c r="AG178" t="s">
        <v>296</v>
      </c>
      <c r="AH178" t="s">
        <v>3131</v>
      </c>
      <c r="AI178" t="s">
        <v>1598</v>
      </c>
      <c r="AJ178" s="8" t="str">
        <f>"35216"</f>
        <v>35216</v>
      </c>
      <c r="AK178" t="s">
        <v>118</v>
      </c>
      <c r="AM178" s="10">
        <v>12055473945</v>
      </c>
      <c r="AN178">
        <v>2008</v>
      </c>
      <c r="AO178" t="s">
        <v>3134</v>
      </c>
      <c r="AP178" t="s">
        <v>248</v>
      </c>
      <c r="AQ178" t="s">
        <v>2741</v>
      </c>
      <c r="AR178" t="s">
        <v>2742</v>
      </c>
      <c r="AS178" t="s">
        <v>132</v>
      </c>
      <c r="AT178" t="s">
        <v>1253</v>
      </c>
      <c r="AU178" t="s">
        <v>852</v>
      </c>
      <c r="AV178" t="s">
        <v>853</v>
      </c>
      <c r="AW178" t="s">
        <v>854</v>
      </c>
      <c r="AX178" s="8" t="str">
        <f>"83814"</f>
        <v>83814</v>
      </c>
      <c r="AY178" t="s">
        <v>118</v>
      </c>
      <c r="BA178" s="10">
        <v>12087772654</v>
      </c>
      <c r="BC178" t="s">
        <v>2743</v>
      </c>
      <c r="BD178" t="s">
        <v>856</v>
      </c>
      <c r="BG178" t="s">
        <v>386</v>
      </c>
      <c r="BH178" s="1">
        <v>45258.791666666664</v>
      </c>
      <c r="BI178">
        <v>40</v>
      </c>
      <c r="BJ178">
        <v>0</v>
      </c>
      <c r="BK178">
        <v>8</v>
      </c>
      <c r="BL178">
        <v>8</v>
      </c>
      <c r="BM178">
        <v>8</v>
      </c>
      <c r="BN178">
        <v>8</v>
      </c>
      <c r="BO178">
        <v>8</v>
      </c>
      <c r="BP178">
        <v>0</v>
      </c>
      <c r="BQ178" t="str">
        <f>"6:30 AM"</f>
        <v>6:30 AM</v>
      </c>
      <c r="BR178" t="str">
        <f>"3:30 PM"</f>
        <v>3:30 PM</v>
      </c>
      <c r="BS178" t="s">
        <v>131</v>
      </c>
      <c r="BT178">
        <v>0</v>
      </c>
      <c r="BU178">
        <v>0</v>
      </c>
      <c r="BV178" t="s">
        <v>114</v>
      </c>
      <c r="BX178" t="s">
        <v>3135</v>
      </c>
      <c r="BY178" t="s">
        <v>16486</v>
      </c>
      <c r="CA178" t="s">
        <v>5615</v>
      </c>
      <c r="CB178" t="s">
        <v>386</v>
      </c>
      <c r="CC178" s="8" t="str">
        <f>"37211"</f>
        <v>37211</v>
      </c>
      <c r="CD178" t="s">
        <v>4507</v>
      </c>
      <c r="CE178" t="s">
        <v>3752</v>
      </c>
      <c r="CF178" s="12">
        <v>17.05</v>
      </c>
      <c r="CG178" s="12">
        <v>18.05</v>
      </c>
      <c r="CH178" s="12">
        <v>25.58</v>
      </c>
      <c r="CI178" s="12">
        <v>27.08</v>
      </c>
      <c r="CJ178" t="s">
        <v>135</v>
      </c>
      <c r="CK178" t="s">
        <v>1899</v>
      </c>
      <c r="CL178" t="s">
        <v>16487</v>
      </c>
      <c r="CO178" t="s">
        <v>132</v>
      </c>
      <c r="CP178" t="s">
        <v>136</v>
      </c>
      <c r="CQ178" t="s">
        <v>136</v>
      </c>
      <c r="CR178" t="s">
        <v>136</v>
      </c>
      <c r="CS178" t="s">
        <v>136</v>
      </c>
      <c r="CT178" t="s">
        <v>136</v>
      </c>
      <c r="CU178" t="s">
        <v>136</v>
      </c>
      <c r="CV178" t="s">
        <v>3137</v>
      </c>
      <c r="CW178" s="10" t="str">
        <f>"+12055473945"</f>
        <v>+12055473945</v>
      </c>
      <c r="CX178" t="s">
        <v>3134</v>
      </c>
      <c r="CY178" t="s">
        <v>132</v>
      </c>
      <c r="CZ178" t="s">
        <v>137</v>
      </c>
      <c r="DA178" t="s">
        <v>114</v>
      </c>
      <c r="DB178" t="s">
        <v>136</v>
      </c>
      <c r="DC178" t="s">
        <v>136</v>
      </c>
      <c r="DD178" t="s">
        <v>114</v>
      </c>
    </row>
    <row r="179" spans="1:113" ht="15" customHeight="1" x14ac:dyDescent="0.25">
      <c r="A179" t="s">
        <v>13660</v>
      </c>
      <c r="B179" t="s">
        <v>152</v>
      </c>
      <c r="C179" s="1">
        <v>45259.704139120367</v>
      </c>
      <c r="D179" s="1">
        <v>45286</v>
      </c>
      <c r="E179" t="s">
        <v>132</v>
      </c>
      <c r="F179" t="s">
        <v>978</v>
      </c>
      <c r="G179" t="str">
        <f>"37-3011.00"</f>
        <v>37-3011.00</v>
      </c>
      <c r="H179" t="s">
        <v>429</v>
      </c>
      <c r="I179">
        <v>8</v>
      </c>
      <c r="J179">
        <v>8</v>
      </c>
      <c r="K179" s="1">
        <v>45334</v>
      </c>
      <c r="L179" s="1">
        <v>45611</v>
      </c>
      <c r="M179" s="1">
        <v>45334</v>
      </c>
      <c r="N179" s="1">
        <v>45611</v>
      </c>
      <c r="O179" t="s">
        <v>116</v>
      </c>
      <c r="P179" t="s">
        <v>13661</v>
      </c>
      <c r="R179" t="s">
        <v>13662</v>
      </c>
      <c r="T179" t="s">
        <v>927</v>
      </c>
      <c r="U179" t="s">
        <v>127</v>
      </c>
      <c r="V179" s="8" t="str">
        <f>"77808"</f>
        <v>77808</v>
      </c>
      <c r="W179" t="s">
        <v>118</v>
      </c>
      <c r="Y179" s="10">
        <v>19797035200</v>
      </c>
      <c r="AA179">
        <v>56173</v>
      </c>
      <c r="AB179" t="s">
        <v>13663</v>
      </c>
      <c r="AC179" t="s">
        <v>2679</v>
      </c>
      <c r="AE179" t="s">
        <v>629</v>
      </c>
      <c r="AF179" t="s">
        <v>13662</v>
      </c>
      <c r="AH179" t="s">
        <v>927</v>
      </c>
      <c r="AI179" t="s">
        <v>127</v>
      </c>
      <c r="AJ179" s="8" t="str">
        <f>"77808"</f>
        <v>77808</v>
      </c>
      <c r="AK179" t="s">
        <v>118</v>
      </c>
      <c r="AM179" s="10">
        <v>19797035200</v>
      </c>
      <c r="AO179" t="s">
        <v>132</v>
      </c>
      <c r="AP179" t="s">
        <v>248</v>
      </c>
      <c r="AQ179" t="s">
        <v>1873</v>
      </c>
      <c r="AR179" t="s">
        <v>1265</v>
      </c>
      <c r="AT179" t="s">
        <v>579</v>
      </c>
      <c r="AV179" t="s">
        <v>580</v>
      </c>
      <c r="AW179" t="s">
        <v>581</v>
      </c>
      <c r="AX179" s="8" t="str">
        <f>"22903"</f>
        <v>22903</v>
      </c>
      <c r="AY179" t="s">
        <v>118</v>
      </c>
      <c r="BA179" s="10">
        <v>14342634300</v>
      </c>
      <c r="BC179" t="s">
        <v>2909</v>
      </c>
      <c r="BD179" t="s">
        <v>583</v>
      </c>
      <c r="BG179" t="s">
        <v>127</v>
      </c>
      <c r="BH179" s="1">
        <v>45258.791666666664</v>
      </c>
      <c r="BI179">
        <v>40</v>
      </c>
      <c r="BJ179">
        <v>0</v>
      </c>
      <c r="BK179">
        <v>8</v>
      </c>
      <c r="BL179">
        <v>8</v>
      </c>
      <c r="BM179">
        <v>8</v>
      </c>
      <c r="BN179">
        <v>8</v>
      </c>
      <c r="BO179">
        <v>8</v>
      </c>
      <c r="BP179">
        <v>0</v>
      </c>
      <c r="BQ179" t="str">
        <f>"7:00 AM"</f>
        <v>7:00 AM</v>
      </c>
      <c r="BR179" t="str">
        <f>"4:00 PM"</f>
        <v>4:00 PM</v>
      </c>
      <c r="BS179" t="s">
        <v>131</v>
      </c>
      <c r="BT179">
        <v>0</v>
      </c>
      <c r="BU179">
        <v>3</v>
      </c>
      <c r="BV179" t="s">
        <v>114</v>
      </c>
      <c r="BX179" s="2" t="s">
        <v>5674</v>
      </c>
      <c r="BY179" t="s">
        <v>13662</v>
      </c>
      <c r="CA179" t="s">
        <v>927</v>
      </c>
      <c r="CB179" t="s">
        <v>127</v>
      </c>
      <c r="CC179" s="8" t="str">
        <f>"77808"</f>
        <v>77808</v>
      </c>
      <c r="CD179" t="s">
        <v>3636</v>
      </c>
      <c r="CE179" t="s">
        <v>3637</v>
      </c>
      <c r="CF179" s="12">
        <v>15.78</v>
      </c>
      <c r="CG179" s="12">
        <v>15.78</v>
      </c>
      <c r="CH179" s="12">
        <v>23.67</v>
      </c>
      <c r="CI179" s="12">
        <v>23.67</v>
      </c>
      <c r="CJ179" t="s">
        <v>135</v>
      </c>
      <c r="CK179" t="s">
        <v>590</v>
      </c>
      <c r="CL179" t="s">
        <v>13664</v>
      </c>
      <c r="CO179" t="s">
        <v>132</v>
      </c>
      <c r="CP179" t="s">
        <v>136</v>
      </c>
      <c r="CQ179" t="s">
        <v>114</v>
      </c>
      <c r="CR179" t="s">
        <v>136</v>
      </c>
      <c r="CS179" t="s">
        <v>114</v>
      </c>
      <c r="CT179" t="s">
        <v>136</v>
      </c>
      <c r="CU179" t="s">
        <v>136</v>
      </c>
      <c r="CV179" t="s">
        <v>6107</v>
      </c>
      <c r="CW179" s="10" t="str">
        <f>"N/A"</f>
        <v>N/A</v>
      </c>
      <c r="CX179" t="s">
        <v>13665</v>
      </c>
      <c r="CY179" t="s">
        <v>1853</v>
      </c>
      <c r="CZ179" t="s">
        <v>137</v>
      </c>
      <c r="DA179" t="s">
        <v>114</v>
      </c>
      <c r="DB179" t="s">
        <v>136</v>
      </c>
      <c r="DC179" t="s">
        <v>136</v>
      </c>
      <c r="DD179" t="s">
        <v>114</v>
      </c>
      <c r="DE179" t="s">
        <v>2912</v>
      </c>
      <c r="DF179" t="s">
        <v>2913</v>
      </c>
      <c r="DH179" t="s">
        <v>583</v>
      </c>
      <c r="DI179" t="s">
        <v>2909</v>
      </c>
    </row>
    <row r="180" spans="1:113" ht="15" customHeight="1" x14ac:dyDescent="0.25">
      <c r="A180" t="s">
        <v>22144</v>
      </c>
      <c r="B180" t="s">
        <v>152</v>
      </c>
      <c r="C180" s="1">
        <v>45259.671598726854</v>
      </c>
      <c r="D180" s="1">
        <v>45286</v>
      </c>
      <c r="E180" t="s">
        <v>132</v>
      </c>
      <c r="F180" t="s">
        <v>1911</v>
      </c>
      <c r="G180" t="str">
        <f>"37-3011.00"</f>
        <v>37-3011.00</v>
      </c>
      <c r="H180" t="s">
        <v>429</v>
      </c>
      <c r="I180">
        <v>10</v>
      </c>
      <c r="J180">
        <v>10</v>
      </c>
      <c r="K180" s="1">
        <v>45348</v>
      </c>
      <c r="L180" s="1">
        <v>45646</v>
      </c>
      <c r="M180" s="1">
        <v>45348</v>
      </c>
      <c r="N180" s="1">
        <v>45646</v>
      </c>
      <c r="O180" t="s">
        <v>116</v>
      </c>
      <c r="P180" t="s">
        <v>1912</v>
      </c>
      <c r="R180" t="s">
        <v>1913</v>
      </c>
      <c r="T180" t="s">
        <v>1914</v>
      </c>
      <c r="U180" t="s">
        <v>375</v>
      </c>
      <c r="V180" s="8" t="str">
        <f>"27560"</f>
        <v>27560</v>
      </c>
      <c r="W180" t="s">
        <v>118</v>
      </c>
      <c r="Y180" s="10">
        <v>19193889878</v>
      </c>
      <c r="AA180">
        <v>56173</v>
      </c>
      <c r="AB180" t="s">
        <v>1915</v>
      </c>
      <c r="AC180" t="s">
        <v>1916</v>
      </c>
      <c r="AE180" t="s">
        <v>1917</v>
      </c>
      <c r="AF180" t="s">
        <v>1913</v>
      </c>
      <c r="AH180" t="s">
        <v>1914</v>
      </c>
      <c r="AI180" t="s">
        <v>375</v>
      </c>
      <c r="AJ180" s="8" t="str">
        <f>"27560"</f>
        <v>27560</v>
      </c>
      <c r="AK180" t="s">
        <v>118</v>
      </c>
      <c r="AM180" s="10">
        <v>19193889878</v>
      </c>
      <c r="AO180" t="s">
        <v>1918</v>
      </c>
      <c r="AP180" t="s">
        <v>248</v>
      </c>
      <c r="AQ180" t="s">
        <v>960</v>
      </c>
      <c r="AR180" t="s">
        <v>961</v>
      </c>
      <c r="AS180" t="s">
        <v>962</v>
      </c>
      <c r="AT180" t="s">
        <v>963</v>
      </c>
      <c r="AU180" t="s">
        <v>296</v>
      </c>
      <c r="AV180" t="s">
        <v>964</v>
      </c>
      <c r="AW180" t="s">
        <v>127</v>
      </c>
      <c r="AX180" s="8" t="str">
        <f>"75033"</f>
        <v>75033</v>
      </c>
      <c r="AY180" t="s">
        <v>118</v>
      </c>
      <c r="BA180" s="10">
        <v>19727789690</v>
      </c>
      <c r="BC180" t="s">
        <v>1919</v>
      </c>
      <c r="BD180" t="s">
        <v>966</v>
      </c>
      <c r="BG180" t="s">
        <v>1691</v>
      </c>
      <c r="BH180" s="1">
        <v>45258.791666666664</v>
      </c>
      <c r="BI180">
        <v>40</v>
      </c>
      <c r="BJ180">
        <v>0</v>
      </c>
      <c r="BK180">
        <v>8</v>
      </c>
      <c r="BL180">
        <v>8</v>
      </c>
      <c r="BM180">
        <v>8</v>
      </c>
      <c r="BN180">
        <v>8</v>
      </c>
      <c r="BO180">
        <v>8</v>
      </c>
      <c r="BP180">
        <v>0</v>
      </c>
      <c r="BQ180" t="str">
        <f>"7:00 AM"</f>
        <v>7:00 AM</v>
      </c>
      <c r="BR180" t="str">
        <f>"4:00 PM"</f>
        <v>4:00 PM</v>
      </c>
      <c r="BS180" t="s">
        <v>131</v>
      </c>
      <c r="BT180">
        <v>0</v>
      </c>
      <c r="BU180">
        <v>0</v>
      </c>
      <c r="BV180" t="s">
        <v>114</v>
      </c>
      <c r="BX180" s="2" t="s">
        <v>22145</v>
      </c>
      <c r="BY180" t="s">
        <v>22146</v>
      </c>
      <c r="CA180" t="s">
        <v>15217</v>
      </c>
      <c r="CB180" t="s">
        <v>1691</v>
      </c>
      <c r="CC180" s="8" t="str">
        <f>"29526"</f>
        <v>29526</v>
      </c>
      <c r="CD180" t="s">
        <v>1692</v>
      </c>
      <c r="CE180" t="s">
        <v>1693</v>
      </c>
      <c r="CF180" s="12">
        <v>14.6</v>
      </c>
      <c r="CH180" s="12">
        <v>21.9</v>
      </c>
      <c r="CJ180" t="s">
        <v>135</v>
      </c>
      <c r="CK180" t="s">
        <v>5670</v>
      </c>
      <c r="CL180" t="s">
        <v>22147</v>
      </c>
      <c r="CO180" t="s">
        <v>132</v>
      </c>
      <c r="CP180" t="s">
        <v>136</v>
      </c>
      <c r="CQ180" t="s">
        <v>136</v>
      </c>
      <c r="CR180" t="s">
        <v>136</v>
      </c>
      <c r="CS180" t="s">
        <v>136</v>
      </c>
      <c r="CT180" t="s">
        <v>136</v>
      </c>
      <c r="CU180" t="s">
        <v>136</v>
      </c>
      <c r="CV180" s="2" t="s">
        <v>22148</v>
      </c>
      <c r="CW180" s="10" t="str">
        <f>"+19193889878"</f>
        <v>+19193889878</v>
      </c>
      <c r="CX180" t="s">
        <v>132</v>
      </c>
      <c r="CY180" t="s">
        <v>3524</v>
      </c>
      <c r="CZ180" t="s">
        <v>137</v>
      </c>
      <c r="DA180" t="s">
        <v>114</v>
      </c>
      <c r="DB180" t="s">
        <v>136</v>
      </c>
      <c r="DC180" t="s">
        <v>136</v>
      </c>
      <c r="DD180" t="s">
        <v>114</v>
      </c>
    </row>
    <row r="181" spans="1:113" ht="15" customHeight="1" x14ac:dyDescent="0.25">
      <c r="A181" t="s">
        <v>22224</v>
      </c>
      <c r="B181" t="s">
        <v>152</v>
      </c>
      <c r="C181" s="1">
        <v>45259.661894097226</v>
      </c>
      <c r="D181" s="1">
        <v>45286</v>
      </c>
      <c r="E181" t="s">
        <v>132</v>
      </c>
      <c r="F181" t="s">
        <v>3453</v>
      </c>
      <c r="G181" t="str">
        <f>"53-3031.00"</f>
        <v>53-3031.00</v>
      </c>
      <c r="H181" t="s">
        <v>3454</v>
      </c>
      <c r="I181">
        <v>20</v>
      </c>
      <c r="J181">
        <v>20</v>
      </c>
      <c r="K181" s="1">
        <v>45347</v>
      </c>
      <c r="L181" s="1">
        <v>45590</v>
      </c>
      <c r="M181" s="1">
        <v>45347</v>
      </c>
      <c r="N181" s="1">
        <v>45590</v>
      </c>
      <c r="O181" t="s">
        <v>238</v>
      </c>
      <c r="P181" t="s">
        <v>9346</v>
      </c>
      <c r="R181" t="s">
        <v>9347</v>
      </c>
      <c r="T181" t="s">
        <v>7130</v>
      </c>
      <c r="U181" t="s">
        <v>1776</v>
      </c>
      <c r="V181" s="8" t="str">
        <f>"08083"</f>
        <v>08083</v>
      </c>
      <c r="W181" t="s">
        <v>118</v>
      </c>
      <c r="Y181" s="10">
        <v>18564355526</v>
      </c>
      <c r="AA181">
        <v>72233</v>
      </c>
      <c r="AB181" t="s">
        <v>3455</v>
      </c>
      <c r="AC181" t="s">
        <v>961</v>
      </c>
      <c r="AE181" t="s">
        <v>120</v>
      </c>
      <c r="AF181" t="s">
        <v>9347</v>
      </c>
      <c r="AH181" t="s">
        <v>7130</v>
      </c>
      <c r="AI181" t="s">
        <v>1776</v>
      </c>
      <c r="AJ181" s="8" t="str">
        <f>"08083"</f>
        <v>08083</v>
      </c>
      <c r="AK181" t="s">
        <v>118</v>
      </c>
      <c r="AM181" s="10">
        <v>18564355526</v>
      </c>
      <c r="AO181" t="s">
        <v>132</v>
      </c>
      <c r="AP181" t="s">
        <v>248</v>
      </c>
      <c r="AQ181" t="s">
        <v>1873</v>
      </c>
      <c r="AR181" t="s">
        <v>1265</v>
      </c>
      <c r="AT181" t="s">
        <v>579</v>
      </c>
      <c r="AV181" t="s">
        <v>580</v>
      </c>
      <c r="AW181" t="s">
        <v>581</v>
      </c>
      <c r="AX181" s="8" t="str">
        <f>"22903"</f>
        <v>22903</v>
      </c>
      <c r="AY181" t="s">
        <v>118</v>
      </c>
      <c r="BA181" s="10">
        <v>14342634300</v>
      </c>
      <c r="BC181" t="s">
        <v>2831</v>
      </c>
      <c r="BD181" t="s">
        <v>583</v>
      </c>
      <c r="BG181" t="s">
        <v>1776</v>
      </c>
      <c r="BH181" s="1">
        <v>45256.791666666664</v>
      </c>
      <c r="BI181">
        <v>35</v>
      </c>
      <c r="BJ181">
        <v>0</v>
      </c>
      <c r="BK181">
        <v>7</v>
      </c>
      <c r="BL181">
        <v>7</v>
      </c>
      <c r="BM181">
        <v>7</v>
      </c>
      <c r="BN181">
        <v>7</v>
      </c>
      <c r="BO181">
        <v>7</v>
      </c>
      <c r="BP181">
        <v>0</v>
      </c>
      <c r="BQ181" t="str">
        <f>"1:00 PM"</f>
        <v>1:00 PM</v>
      </c>
      <c r="BR181" t="str">
        <f>"9:00 PM"</f>
        <v>9:00 PM</v>
      </c>
      <c r="BS181" t="s">
        <v>131</v>
      </c>
      <c r="BT181">
        <v>0</v>
      </c>
      <c r="BU181">
        <v>0</v>
      </c>
      <c r="BV181" t="s">
        <v>114</v>
      </c>
      <c r="BX181" s="2" t="s">
        <v>22225</v>
      </c>
      <c r="BY181" t="s">
        <v>22226</v>
      </c>
      <c r="CA181" t="s">
        <v>7130</v>
      </c>
      <c r="CB181" t="s">
        <v>1776</v>
      </c>
      <c r="CC181" s="8" t="str">
        <f>"08083"</f>
        <v>08083</v>
      </c>
      <c r="CD181" t="s">
        <v>7136</v>
      </c>
      <c r="CE181" t="s">
        <v>443</v>
      </c>
      <c r="CF181" s="12">
        <v>17.940000000000001</v>
      </c>
      <c r="CG181" s="12">
        <v>17.940000000000001</v>
      </c>
      <c r="CJ181" t="s">
        <v>135</v>
      </c>
      <c r="CK181" t="s">
        <v>3456</v>
      </c>
      <c r="CL181" t="s">
        <v>22227</v>
      </c>
      <c r="CO181" t="s">
        <v>132</v>
      </c>
      <c r="CP181" t="s">
        <v>136</v>
      </c>
      <c r="CQ181" t="s">
        <v>114</v>
      </c>
      <c r="CR181" t="s">
        <v>114</v>
      </c>
      <c r="CS181" t="s">
        <v>136</v>
      </c>
      <c r="CT181" t="s">
        <v>136</v>
      </c>
      <c r="CU181" t="s">
        <v>136</v>
      </c>
      <c r="CV181" t="s">
        <v>3457</v>
      </c>
      <c r="CW181" s="10" t="str">
        <f>"+16092925879"</f>
        <v>+16092925879</v>
      </c>
      <c r="CX181" t="s">
        <v>3458</v>
      </c>
      <c r="CY181" t="s">
        <v>132</v>
      </c>
      <c r="CZ181" t="s">
        <v>137</v>
      </c>
      <c r="DA181" t="s">
        <v>114</v>
      </c>
      <c r="DB181" t="s">
        <v>136</v>
      </c>
      <c r="DC181" t="s">
        <v>136</v>
      </c>
      <c r="DD181" t="s">
        <v>114</v>
      </c>
      <c r="DE181" t="s">
        <v>1251</v>
      </c>
      <c r="DF181" t="s">
        <v>2830</v>
      </c>
      <c r="DH181" t="s">
        <v>583</v>
      </c>
      <c r="DI181" t="s">
        <v>2831</v>
      </c>
    </row>
    <row r="182" spans="1:113" ht="15" customHeight="1" x14ac:dyDescent="0.25">
      <c r="A182" t="s">
        <v>9344</v>
      </c>
      <c r="B182" t="s">
        <v>152</v>
      </c>
      <c r="C182" s="1">
        <v>45259.653432754632</v>
      </c>
      <c r="D182" s="1">
        <v>45286</v>
      </c>
      <c r="E182" t="s">
        <v>132</v>
      </c>
      <c r="F182" t="s">
        <v>9345</v>
      </c>
      <c r="G182" t="str">
        <f>"53-7061.00"</f>
        <v>53-7061.00</v>
      </c>
      <c r="H182" t="s">
        <v>4866</v>
      </c>
      <c r="I182">
        <v>4</v>
      </c>
      <c r="J182">
        <v>4</v>
      </c>
      <c r="K182" s="1">
        <v>45347</v>
      </c>
      <c r="L182" s="1">
        <v>45590</v>
      </c>
      <c r="M182" s="1">
        <v>45347</v>
      </c>
      <c r="N182" s="1">
        <v>45590</v>
      </c>
      <c r="O182" t="s">
        <v>238</v>
      </c>
      <c r="P182" t="s">
        <v>9346</v>
      </c>
      <c r="R182" t="s">
        <v>9347</v>
      </c>
      <c r="T182" t="s">
        <v>7130</v>
      </c>
      <c r="U182" t="s">
        <v>1776</v>
      </c>
      <c r="V182" s="8" t="str">
        <f>"08083"</f>
        <v>08083</v>
      </c>
      <c r="W182" t="s">
        <v>118</v>
      </c>
      <c r="Y182" s="10">
        <v>18564355526</v>
      </c>
      <c r="AA182">
        <v>72233</v>
      </c>
      <c r="AB182" t="s">
        <v>3455</v>
      </c>
      <c r="AC182" t="s">
        <v>961</v>
      </c>
      <c r="AE182" t="s">
        <v>120</v>
      </c>
      <c r="AF182" t="s">
        <v>9347</v>
      </c>
      <c r="AH182" t="s">
        <v>7130</v>
      </c>
      <c r="AI182" t="s">
        <v>1776</v>
      </c>
      <c r="AJ182" s="8" t="str">
        <f>"08083"</f>
        <v>08083</v>
      </c>
      <c r="AK182" t="s">
        <v>118</v>
      </c>
      <c r="AM182" s="10">
        <v>18564355526</v>
      </c>
      <c r="AO182" t="s">
        <v>132</v>
      </c>
      <c r="AP182" t="s">
        <v>248</v>
      </c>
      <c r="AQ182" t="s">
        <v>1873</v>
      </c>
      <c r="AR182" t="s">
        <v>1265</v>
      </c>
      <c r="AT182" t="s">
        <v>579</v>
      </c>
      <c r="AV182" t="s">
        <v>580</v>
      </c>
      <c r="AW182" t="s">
        <v>581</v>
      </c>
      <c r="AX182" s="8" t="str">
        <f>"22903"</f>
        <v>22903</v>
      </c>
      <c r="AY182" t="s">
        <v>118</v>
      </c>
      <c r="BA182" s="10">
        <v>14342634300</v>
      </c>
      <c r="BC182" t="s">
        <v>2831</v>
      </c>
      <c r="BD182" t="s">
        <v>583</v>
      </c>
      <c r="BG182" t="s">
        <v>1776</v>
      </c>
      <c r="BH182" s="1">
        <v>45256.791666666664</v>
      </c>
      <c r="BI182">
        <v>35</v>
      </c>
      <c r="BJ182">
        <v>0</v>
      </c>
      <c r="BK182">
        <v>7</v>
      </c>
      <c r="BL182">
        <v>7</v>
      </c>
      <c r="BM182">
        <v>7</v>
      </c>
      <c r="BN182">
        <v>7</v>
      </c>
      <c r="BO182">
        <v>7</v>
      </c>
      <c r="BP182">
        <v>0</v>
      </c>
      <c r="BQ182" t="str">
        <f>"7:00 AM"</f>
        <v>7:00 AM</v>
      </c>
      <c r="BR182" t="str">
        <f>"2:30 PM"</f>
        <v>2:30 PM</v>
      </c>
      <c r="BS182" t="s">
        <v>131</v>
      </c>
      <c r="BT182">
        <v>0</v>
      </c>
      <c r="BU182">
        <v>0</v>
      </c>
      <c r="BV182" t="s">
        <v>114</v>
      </c>
      <c r="BX182" s="2" t="s">
        <v>9348</v>
      </c>
      <c r="BY182" t="s">
        <v>9349</v>
      </c>
      <c r="CA182" t="s">
        <v>7130</v>
      </c>
      <c r="CB182" t="s">
        <v>1776</v>
      </c>
      <c r="CC182" s="8" t="str">
        <f>"08083"</f>
        <v>08083</v>
      </c>
      <c r="CD182" t="s">
        <v>7136</v>
      </c>
      <c r="CE182" t="s">
        <v>443</v>
      </c>
      <c r="CF182" s="12">
        <v>15.84</v>
      </c>
      <c r="CG182" s="12">
        <v>15.84</v>
      </c>
      <c r="CH182" s="12">
        <v>23.76</v>
      </c>
      <c r="CI182" s="12">
        <v>23.76</v>
      </c>
      <c r="CJ182" t="s">
        <v>135</v>
      </c>
      <c r="CK182" t="s">
        <v>590</v>
      </c>
      <c r="CL182" t="s">
        <v>9350</v>
      </c>
      <c r="CO182" t="s">
        <v>132</v>
      </c>
      <c r="CP182" t="s">
        <v>136</v>
      </c>
      <c r="CQ182" t="s">
        <v>114</v>
      </c>
      <c r="CR182" t="s">
        <v>136</v>
      </c>
      <c r="CS182" t="s">
        <v>136</v>
      </c>
      <c r="CT182" t="s">
        <v>136</v>
      </c>
      <c r="CU182" t="s">
        <v>136</v>
      </c>
      <c r="CV182" t="s">
        <v>3457</v>
      </c>
      <c r="CW182" s="10" t="str">
        <f>"+16092925879"</f>
        <v>+16092925879</v>
      </c>
      <c r="CX182" t="s">
        <v>3458</v>
      </c>
      <c r="CY182" t="s">
        <v>132</v>
      </c>
      <c r="CZ182" t="s">
        <v>137</v>
      </c>
      <c r="DA182" t="s">
        <v>114</v>
      </c>
      <c r="DB182" t="s">
        <v>136</v>
      </c>
      <c r="DC182" t="s">
        <v>136</v>
      </c>
      <c r="DD182" t="s">
        <v>114</v>
      </c>
      <c r="DE182" t="s">
        <v>1251</v>
      </c>
      <c r="DF182" t="s">
        <v>2830</v>
      </c>
      <c r="DH182" t="s">
        <v>583</v>
      </c>
      <c r="DI182" t="s">
        <v>2831</v>
      </c>
    </row>
    <row r="183" spans="1:113" ht="15" customHeight="1" x14ac:dyDescent="0.25">
      <c r="A183" t="s">
        <v>16383</v>
      </c>
      <c r="B183" t="s">
        <v>152</v>
      </c>
      <c r="C183" s="1">
        <v>45259.608256597225</v>
      </c>
      <c r="D183" s="1">
        <v>45286</v>
      </c>
      <c r="E183" t="s">
        <v>132</v>
      </c>
      <c r="F183" t="s">
        <v>1595</v>
      </c>
      <c r="G183" t="str">
        <f>"37-3011.00"</f>
        <v>37-3011.00</v>
      </c>
      <c r="H183" t="s">
        <v>429</v>
      </c>
      <c r="I183">
        <v>33</v>
      </c>
      <c r="J183">
        <v>33</v>
      </c>
      <c r="K183" s="1">
        <v>45339</v>
      </c>
      <c r="L183" s="1">
        <v>45641</v>
      </c>
      <c r="M183" s="1">
        <v>45339</v>
      </c>
      <c r="N183" s="1">
        <v>45641</v>
      </c>
      <c r="O183" t="s">
        <v>238</v>
      </c>
      <c r="P183" t="s">
        <v>16384</v>
      </c>
      <c r="R183" t="s">
        <v>16385</v>
      </c>
      <c r="T183" t="s">
        <v>5142</v>
      </c>
      <c r="U183" t="s">
        <v>506</v>
      </c>
      <c r="V183" s="8" t="str">
        <f>"05495"</f>
        <v>05495</v>
      </c>
      <c r="W183" t="s">
        <v>118</v>
      </c>
      <c r="Y183" s="10">
        <v>18887070787</v>
      </c>
      <c r="AA183">
        <v>23799</v>
      </c>
      <c r="AB183" t="s">
        <v>16386</v>
      </c>
      <c r="AC183" t="s">
        <v>2569</v>
      </c>
      <c r="AE183" t="s">
        <v>2515</v>
      </c>
      <c r="AF183" t="s">
        <v>16385</v>
      </c>
      <c r="AH183" t="s">
        <v>5142</v>
      </c>
      <c r="AI183" t="s">
        <v>506</v>
      </c>
      <c r="AJ183" s="8" t="str">
        <f>"05495"</f>
        <v>05495</v>
      </c>
      <c r="AK183" t="s">
        <v>118</v>
      </c>
      <c r="AM183" s="10">
        <v>18887070787</v>
      </c>
      <c r="AN183">
        <v>242</v>
      </c>
      <c r="AO183" t="s">
        <v>132</v>
      </c>
      <c r="AP183" t="s">
        <v>248</v>
      </c>
      <c r="AQ183" t="s">
        <v>1873</v>
      </c>
      <c r="AR183" t="s">
        <v>1265</v>
      </c>
      <c r="AT183" t="s">
        <v>579</v>
      </c>
      <c r="AV183" t="s">
        <v>580</v>
      </c>
      <c r="AW183" t="s">
        <v>581</v>
      </c>
      <c r="AX183" s="8" t="str">
        <f>"22903"</f>
        <v>22903</v>
      </c>
      <c r="AY183" t="s">
        <v>118</v>
      </c>
      <c r="BA183" s="10">
        <v>14342634300</v>
      </c>
      <c r="BC183" t="s">
        <v>2909</v>
      </c>
      <c r="BD183" t="s">
        <v>583</v>
      </c>
      <c r="BG183" t="s">
        <v>140</v>
      </c>
      <c r="BH183" s="1">
        <v>45258.791666666664</v>
      </c>
      <c r="BI183">
        <v>40</v>
      </c>
      <c r="BJ183">
        <v>0</v>
      </c>
      <c r="BK183">
        <v>8</v>
      </c>
      <c r="BL183">
        <v>8</v>
      </c>
      <c r="BM183">
        <v>8</v>
      </c>
      <c r="BN183">
        <v>8</v>
      </c>
      <c r="BO183">
        <v>8</v>
      </c>
      <c r="BP183">
        <v>0</v>
      </c>
      <c r="BQ183" t="str">
        <f>"7:00 AM"</f>
        <v>7:00 AM</v>
      </c>
      <c r="BR183" t="str">
        <f>"3:30 PM"</f>
        <v>3:30 PM</v>
      </c>
      <c r="BS183" t="s">
        <v>131</v>
      </c>
      <c r="BT183">
        <v>0</v>
      </c>
      <c r="BU183">
        <v>3</v>
      </c>
      <c r="BV183" t="s">
        <v>114</v>
      </c>
      <c r="BX183" s="2" t="s">
        <v>3024</v>
      </c>
      <c r="BY183" t="s">
        <v>16387</v>
      </c>
      <c r="CA183" t="s">
        <v>4524</v>
      </c>
      <c r="CB183" t="s">
        <v>140</v>
      </c>
      <c r="CC183" s="8" t="str">
        <f>"33436"</f>
        <v>33436</v>
      </c>
      <c r="CD183" t="s">
        <v>767</v>
      </c>
      <c r="CE183" t="s">
        <v>149</v>
      </c>
      <c r="CF183" s="12">
        <v>16.61</v>
      </c>
      <c r="CG183" s="12">
        <v>16.61</v>
      </c>
      <c r="CH183" s="12">
        <v>24.92</v>
      </c>
      <c r="CI183" s="12">
        <v>24.92</v>
      </c>
      <c r="CJ183" t="s">
        <v>135</v>
      </c>
      <c r="CK183" t="s">
        <v>590</v>
      </c>
      <c r="CL183" t="s">
        <v>16388</v>
      </c>
      <c r="CO183" t="s">
        <v>132</v>
      </c>
      <c r="CP183" t="s">
        <v>114</v>
      </c>
      <c r="CQ183" t="s">
        <v>136</v>
      </c>
      <c r="CR183" t="s">
        <v>136</v>
      </c>
      <c r="CS183" t="s">
        <v>114</v>
      </c>
      <c r="CT183" t="s">
        <v>136</v>
      </c>
      <c r="CU183" t="s">
        <v>136</v>
      </c>
      <c r="CV183" t="s">
        <v>16389</v>
      </c>
      <c r="CW183" s="10" t="str">
        <f>"N/A"</f>
        <v>N/A</v>
      </c>
      <c r="CX183" t="s">
        <v>16390</v>
      </c>
      <c r="CY183" t="s">
        <v>1876</v>
      </c>
      <c r="CZ183" t="s">
        <v>137</v>
      </c>
      <c r="DA183" t="s">
        <v>114</v>
      </c>
      <c r="DB183" t="s">
        <v>114</v>
      </c>
      <c r="DC183" t="s">
        <v>136</v>
      </c>
      <c r="DD183" t="s">
        <v>114</v>
      </c>
      <c r="DE183" t="s">
        <v>2912</v>
      </c>
      <c r="DF183" t="s">
        <v>2913</v>
      </c>
      <c r="DH183" t="s">
        <v>583</v>
      </c>
      <c r="DI183" t="s">
        <v>2909</v>
      </c>
    </row>
    <row r="184" spans="1:113" ht="15" customHeight="1" x14ac:dyDescent="0.25">
      <c r="A184" t="s">
        <v>21281</v>
      </c>
      <c r="B184" t="s">
        <v>152</v>
      </c>
      <c r="C184" s="1">
        <v>45259.495386689814</v>
      </c>
      <c r="D184" s="1">
        <v>45286</v>
      </c>
      <c r="E184" t="s">
        <v>132</v>
      </c>
      <c r="F184" t="s">
        <v>1911</v>
      </c>
      <c r="G184" t="str">
        <f>"37-3011.00"</f>
        <v>37-3011.00</v>
      </c>
      <c r="H184" t="s">
        <v>429</v>
      </c>
      <c r="I184">
        <v>10</v>
      </c>
      <c r="J184">
        <v>10</v>
      </c>
      <c r="K184" s="1">
        <v>45348</v>
      </c>
      <c r="L184" s="1">
        <v>45646</v>
      </c>
      <c r="M184" s="1">
        <v>45348</v>
      </c>
      <c r="N184" s="1">
        <v>45646</v>
      </c>
      <c r="O184" t="s">
        <v>116</v>
      </c>
      <c r="P184" t="s">
        <v>1912</v>
      </c>
      <c r="R184" t="s">
        <v>1913</v>
      </c>
      <c r="T184" t="s">
        <v>1914</v>
      </c>
      <c r="U184" t="s">
        <v>375</v>
      </c>
      <c r="V184" s="8" t="str">
        <f>"27560"</f>
        <v>27560</v>
      </c>
      <c r="W184" t="s">
        <v>118</v>
      </c>
      <c r="Y184" s="10">
        <v>19193889878</v>
      </c>
      <c r="AA184">
        <v>56173</v>
      </c>
      <c r="AB184" t="s">
        <v>1915</v>
      </c>
      <c r="AC184" t="s">
        <v>1916</v>
      </c>
      <c r="AE184" t="s">
        <v>1917</v>
      </c>
      <c r="AF184" t="s">
        <v>1913</v>
      </c>
      <c r="AH184" t="s">
        <v>1914</v>
      </c>
      <c r="AI184" t="s">
        <v>375</v>
      </c>
      <c r="AJ184" s="8" t="str">
        <f>"27560"</f>
        <v>27560</v>
      </c>
      <c r="AK184" t="s">
        <v>118</v>
      </c>
      <c r="AM184" s="10">
        <v>19193889878</v>
      </c>
      <c r="AO184" t="s">
        <v>1918</v>
      </c>
      <c r="AP184" t="s">
        <v>248</v>
      </c>
      <c r="AQ184" t="s">
        <v>960</v>
      </c>
      <c r="AR184" t="s">
        <v>961</v>
      </c>
      <c r="AS184" t="s">
        <v>962</v>
      </c>
      <c r="AT184" t="s">
        <v>963</v>
      </c>
      <c r="AU184" t="s">
        <v>296</v>
      </c>
      <c r="AV184" t="s">
        <v>964</v>
      </c>
      <c r="AW184" t="s">
        <v>127</v>
      </c>
      <c r="AX184" s="8" t="str">
        <f>"75033"</f>
        <v>75033</v>
      </c>
      <c r="AY184" t="s">
        <v>118</v>
      </c>
      <c r="BA184" s="10">
        <v>19727789690</v>
      </c>
      <c r="BC184" t="s">
        <v>1919</v>
      </c>
      <c r="BD184" t="s">
        <v>966</v>
      </c>
      <c r="BG184" t="s">
        <v>140</v>
      </c>
      <c r="BH184" s="1">
        <v>45258.791666666664</v>
      </c>
      <c r="BI184">
        <v>40</v>
      </c>
      <c r="BJ184">
        <v>0</v>
      </c>
      <c r="BK184">
        <v>8</v>
      </c>
      <c r="BL184">
        <v>8</v>
      </c>
      <c r="BM184">
        <v>8</v>
      </c>
      <c r="BN184">
        <v>8</v>
      </c>
      <c r="BO184">
        <v>8</v>
      </c>
      <c r="BP184">
        <v>0</v>
      </c>
      <c r="BQ184" t="str">
        <f>"7:00 AM"</f>
        <v>7:00 AM</v>
      </c>
      <c r="BR184" t="str">
        <f>"4:00 PM"</f>
        <v>4:00 PM</v>
      </c>
      <c r="BS184" t="s">
        <v>131</v>
      </c>
      <c r="BT184">
        <v>0</v>
      </c>
      <c r="BU184">
        <v>0</v>
      </c>
      <c r="BV184" t="s">
        <v>114</v>
      </c>
      <c r="BX184" s="2" t="s">
        <v>21282</v>
      </c>
      <c r="BY184" t="s">
        <v>21283</v>
      </c>
      <c r="CA184" t="s">
        <v>955</v>
      </c>
      <c r="CB184" t="s">
        <v>140</v>
      </c>
      <c r="CC184" s="8" t="str">
        <f>"32808"</f>
        <v>32808</v>
      </c>
      <c r="CD184" t="s">
        <v>2274</v>
      </c>
      <c r="CE184" t="s">
        <v>2052</v>
      </c>
      <c r="CF184" s="12">
        <v>16.23</v>
      </c>
      <c r="CH184" s="12">
        <v>24.35</v>
      </c>
      <c r="CJ184" t="s">
        <v>135</v>
      </c>
      <c r="CK184" t="s">
        <v>1840</v>
      </c>
      <c r="CL184" t="s">
        <v>21284</v>
      </c>
      <c r="CO184" t="s">
        <v>132</v>
      </c>
      <c r="CP184" t="s">
        <v>136</v>
      </c>
      <c r="CQ184" t="s">
        <v>136</v>
      </c>
      <c r="CR184" t="s">
        <v>136</v>
      </c>
      <c r="CS184" t="s">
        <v>136</v>
      </c>
      <c r="CT184" t="s">
        <v>136</v>
      </c>
      <c r="CU184" t="s">
        <v>136</v>
      </c>
      <c r="CV184" s="2" t="s">
        <v>1922</v>
      </c>
      <c r="CW184" s="10" t="str">
        <f>"+19193889878"</f>
        <v>+19193889878</v>
      </c>
      <c r="CX184" t="s">
        <v>132</v>
      </c>
      <c r="CY184" t="s">
        <v>1876</v>
      </c>
      <c r="CZ184" t="s">
        <v>137</v>
      </c>
      <c r="DA184" t="s">
        <v>114</v>
      </c>
      <c r="DB184" t="s">
        <v>114</v>
      </c>
      <c r="DC184" t="s">
        <v>136</v>
      </c>
      <c r="DD184" t="s">
        <v>114</v>
      </c>
    </row>
    <row r="185" spans="1:113" ht="15" customHeight="1" x14ac:dyDescent="0.25">
      <c r="A185" t="s">
        <v>9909</v>
      </c>
      <c r="B185" t="s">
        <v>152</v>
      </c>
      <c r="C185" s="1">
        <v>45259.487660300925</v>
      </c>
      <c r="D185" s="1">
        <v>45286</v>
      </c>
      <c r="E185" t="s">
        <v>132</v>
      </c>
      <c r="F185" t="s">
        <v>1911</v>
      </c>
      <c r="G185" t="str">
        <f>"37-3011.00"</f>
        <v>37-3011.00</v>
      </c>
      <c r="H185" t="s">
        <v>429</v>
      </c>
      <c r="I185">
        <v>10</v>
      </c>
      <c r="J185">
        <v>10</v>
      </c>
      <c r="K185" s="1">
        <v>45348</v>
      </c>
      <c r="L185" s="1">
        <v>45646</v>
      </c>
      <c r="M185" s="1">
        <v>45348</v>
      </c>
      <c r="N185" s="1">
        <v>45646</v>
      </c>
      <c r="O185" t="s">
        <v>116</v>
      </c>
      <c r="P185" t="s">
        <v>1912</v>
      </c>
      <c r="R185" t="s">
        <v>1913</v>
      </c>
      <c r="T185" t="s">
        <v>1914</v>
      </c>
      <c r="U185" t="s">
        <v>375</v>
      </c>
      <c r="V185" s="8" t="str">
        <f>"27560"</f>
        <v>27560</v>
      </c>
      <c r="W185" t="s">
        <v>118</v>
      </c>
      <c r="Y185" s="10">
        <v>19193889878</v>
      </c>
      <c r="AA185">
        <v>56173</v>
      </c>
      <c r="AB185" t="s">
        <v>1915</v>
      </c>
      <c r="AC185" t="s">
        <v>1916</v>
      </c>
      <c r="AE185" t="s">
        <v>1917</v>
      </c>
      <c r="AF185" t="s">
        <v>1913</v>
      </c>
      <c r="AH185" t="s">
        <v>1914</v>
      </c>
      <c r="AI185" t="s">
        <v>375</v>
      </c>
      <c r="AJ185" s="8" t="str">
        <f>"27560"</f>
        <v>27560</v>
      </c>
      <c r="AK185" t="s">
        <v>118</v>
      </c>
      <c r="AM185" s="10">
        <v>19193889878</v>
      </c>
      <c r="AO185" t="s">
        <v>1918</v>
      </c>
      <c r="AP185" t="s">
        <v>248</v>
      </c>
      <c r="AQ185" t="s">
        <v>960</v>
      </c>
      <c r="AR185" t="s">
        <v>961</v>
      </c>
      <c r="AS185" t="s">
        <v>962</v>
      </c>
      <c r="AT185" t="s">
        <v>963</v>
      </c>
      <c r="AU185" t="s">
        <v>296</v>
      </c>
      <c r="AV185" t="s">
        <v>964</v>
      </c>
      <c r="AW185" t="s">
        <v>127</v>
      </c>
      <c r="AX185" s="8" t="str">
        <f>"75033"</f>
        <v>75033</v>
      </c>
      <c r="AY185" t="s">
        <v>118</v>
      </c>
      <c r="BA185" s="10">
        <v>19727789690</v>
      </c>
      <c r="BC185" t="s">
        <v>1919</v>
      </c>
      <c r="BD185" t="s">
        <v>966</v>
      </c>
      <c r="BG185" t="s">
        <v>140</v>
      </c>
      <c r="BH185" s="1">
        <v>45258.791666666664</v>
      </c>
      <c r="BI185">
        <v>40</v>
      </c>
      <c r="BJ185">
        <v>0</v>
      </c>
      <c r="BK185">
        <v>8</v>
      </c>
      <c r="BL185">
        <v>8</v>
      </c>
      <c r="BM185">
        <v>8</v>
      </c>
      <c r="BN185">
        <v>8</v>
      </c>
      <c r="BO185">
        <v>8</v>
      </c>
      <c r="BP185">
        <v>0</v>
      </c>
      <c r="BQ185" t="str">
        <f>"7:00 AM"</f>
        <v>7:00 AM</v>
      </c>
      <c r="BR185" t="str">
        <f>"4:00 PM"</f>
        <v>4:00 PM</v>
      </c>
      <c r="BS185" t="s">
        <v>131</v>
      </c>
      <c r="BT185">
        <v>0</v>
      </c>
      <c r="BU185">
        <v>0</v>
      </c>
      <c r="BV185" t="s">
        <v>114</v>
      </c>
      <c r="BX185" s="2" t="s">
        <v>9910</v>
      </c>
      <c r="BY185" t="s">
        <v>9911</v>
      </c>
      <c r="CA185" t="s">
        <v>9912</v>
      </c>
      <c r="CB185" t="s">
        <v>140</v>
      </c>
      <c r="CC185" s="8" t="str">
        <f>"33312"</f>
        <v>33312</v>
      </c>
      <c r="CD185" t="s">
        <v>287</v>
      </c>
      <c r="CE185" t="s">
        <v>149</v>
      </c>
      <c r="CF185" s="12">
        <v>16.61</v>
      </c>
      <c r="CH185" s="12">
        <v>24.92</v>
      </c>
      <c r="CJ185" t="s">
        <v>135</v>
      </c>
      <c r="CK185" t="s">
        <v>1840</v>
      </c>
      <c r="CL185" t="s">
        <v>9913</v>
      </c>
      <c r="CO185" t="s">
        <v>132</v>
      </c>
      <c r="CP185" t="s">
        <v>136</v>
      </c>
      <c r="CQ185" t="s">
        <v>136</v>
      </c>
      <c r="CR185" t="s">
        <v>136</v>
      </c>
      <c r="CS185" t="s">
        <v>136</v>
      </c>
      <c r="CT185" t="s">
        <v>136</v>
      </c>
      <c r="CU185" t="s">
        <v>136</v>
      </c>
      <c r="CV185" s="2" t="s">
        <v>2753</v>
      </c>
      <c r="CW185" s="10" t="str">
        <f>"+19193889878"</f>
        <v>+19193889878</v>
      </c>
      <c r="CX185" t="s">
        <v>132</v>
      </c>
      <c r="CY185" t="s">
        <v>1876</v>
      </c>
      <c r="CZ185" t="s">
        <v>137</v>
      </c>
      <c r="DA185" t="s">
        <v>114</v>
      </c>
      <c r="DB185" t="s">
        <v>114</v>
      </c>
      <c r="DC185" t="s">
        <v>136</v>
      </c>
      <c r="DD185" t="s">
        <v>114</v>
      </c>
    </row>
    <row r="186" spans="1:113" ht="15" customHeight="1" x14ac:dyDescent="0.25">
      <c r="A186" t="s">
        <v>17714</v>
      </c>
      <c r="B186" t="s">
        <v>152</v>
      </c>
      <c r="C186" s="1">
        <v>45259.485536458335</v>
      </c>
      <c r="D186" s="1">
        <v>45286</v>
      </c>
      <c r="E186" t="s">
        <v>132</v>
      </c>
      <c r="F186" t="s">
        <v>1911</v>
      </c>
      <c r="G186" t="str">
        <f>"37-3011.00"</f>
        <v>37-3011.00</v>
      </c>
      <c r="H186" t="s">
        <v>429</v>
      </c>
      <c r="I186">
        <v>30</v>
      </c>
      <c r="J186">
        <v>30</v>
      </c>
      <c r="K186" s="1">
        <v>45348</v>
      </c>
      <c r="L186" s="1">
        <v>45646</v>
      </c>
      <c r="M186" s="1">
        <v>45348</v>
      </c>
      <c r="N186" s="1">
        <v>45646</v>
      </c>
      <c r="O186" t="s">
        <v>116</v>
      </c>
      <c r="P186" t="s">
        <v>1912</v>
      </c>
      <c r="R186" t="s">
        <v>1913</v>
      </c>
      <c r="T186" t="s">
        <v>1914</v>
      </c>
      <c r="U186" t="s">
        <v>375</v>
      </c>
      <c r="V186" s="8" t="str">
        <f>"27560"</f>
        <v>27560</v>
      </c>
      <c r="W186" t="s">
        <v>118</v>
      </c>
      <c r="Y186" s="10">
        <v>19193889878</v>
      </c>
      <c r="AA186">
        <v>56173</v>
      </c>
      <c r="AB186" t="s">
        <v>1915</v>
      </c>
      <c r="AC186" t="s">
        <v>1916</v>
      </c>
      <c r="AE186" t="s">
        <v>1917</v>
      </c>
      <c r="AF186" t="s">
        <v>1913</v>
      </c>
      <c r="AH186" t="s">
        <v>1914</v>
      </c>
      <c r="AI186" t="s">
        <v>375</v>
      </c>
      <c r="AJ186" s="8" t="str">
        <f>"27560"</f>
        <v>27560</v>
      </c>
      <c r="AK186" t="s">
        <v>118</v>
      </c>
      <c r="AM186" s="10">
        <v>19193889878</v>
      </c>
      <c r="AO186" t="s">
        <v>1918</v>
      </c>
      <c r="AP186" t="s">
        <v>248</v>
      </c>
      <c r="AQ186" t="s">
        <v>960</v>
      </c>
      <c r="AR186" t="s">
        <v>961</v>
      </c>
      <c r="AS186" t="s">
        <v>962</v>
      </c>
      <c r="AT186" t="s">
        <v>963</v>
      </c>
      <c r="AU186" t="s">
        <v>296</v>
      </c>
      <c r="AV186" t="s">
        <v>964</v>
      </c>
      <c r="AW186" t="s">
        <v>127</v>
      </c>
      <c r="AX186" s="8" t="str">
        <f>"75033"</f>
        <v>75033</v>
      </c>
      <c r="AY186" t="s">
        <v>118</v>
      </c>
      <c r="BA186" s="10">
        <v>19727789690</v>
      </c>
      <c r="BC186" t="s">
        <v>1919</v>
      </c>
      <c r="BD186" t="s">
        <v>966</v>
      </c>
      <c r="BG186" t="s">
        <v>375</v>
      </c>
      <c r="BH186" s="1">
        <v>45258.791666666664</v>
      </c>
      <c r="BI186">
        <v>40</v>
      </c>
      <c r="BJ186">
        <v>0</v>
      </c>
      <c r="BK186">
        <v>8</v>
      </c>
      <c r="BL186">
        <v>8</v>
      </c>
      <c r="BM186">
        <v>8</v>
      </c>
      <c r="BN186">
        <v>8</v>
      </c>
      <c r="BO186">
        <v>8</v>
      </c>
      <c r="BP186">
        <v>0</v>
      </c>
      <c r="BQ186" t="str">
        <f>"7:00 AM"</f>
        <v>7:00 AM</v>
      </c>
      <c r="BR186" t="str">
        <f>"4:00 PM"</f>
        <v>4:00 PM</v>
      </c>
      <c r="BS186" t="s">
        <v>131</v>
      </c>
      <c r="BT186">
        <v>0</v>
      </c>
      <c r="BU186">
        <v>0</v>
      </c>
      <c r="BV186" t="s">
        <v>114</v>
      </c>
      <c r="BX186" s="2" t="s">
        <v>17715</v>
      </c>
      <c r="BY186" t="s">
        <v>17716</v>
      </c>
      <c r="CA186" t="s">
        <v>2954</v>
      </c>
      <c r="CB186" t="s">
        <v>375</v>
      </c>
      <c r="CC186" s="8" t="str">
        <f>"27523"</f>
        <v>27523</v>
      </c>
      <c r="CD186" t="s">
        <v>391</v>
      </c>
      <c r="CE186" t="s">
        <v>392</v>
      </c>
      <c r="CF186" s="12">
        <v>17.41</v>
      </c>
      <c r="CH186" s="12">
        <v>26.12</v>
      </c>
      <c r="CJ186" t="s">
        <v>135</v>
      </c>
      <c r="CK186" t="s">
        <v>1840</v>
      </c>
      <c r="CL186" t="s">
        <v>17717</v>
      </c>
      <c r="CO186" t="s">
        <v>132</v>
      </c>
      <c r="CP186" t="s">
        <v>136</v>
      </c>
      <c r="CQ186" t="s">
        <v>136</v>
      </c>
      <c r="CR186" t="s">
        <v>136</v>
      </c>
      <c r="CS186" t="s">
        <v>136</v>
      </c>
      <c r="CT186" t="s">
        <v>136</v>
      </c>
      <c r="CU186" t="s">
        <v>136</v>
      </c>
      <c r="CV186" s="2" t="s">
        <v>2753</v>
      </c>
      <c r="CW186" s="10" t="str">
        <f>"+19193889878"</f>
        <v>+19193889878</v>
      </c>
      <c r="CX186" t="s">
        <v>132</v>
      </c>
      <c r="CY186" t="s">
        <v>1949</v>
      </c>
      <c r="CZ186" t="s">
        <v>137</v>
      </c>
      <c r="DA186" t="s">
        <v>114</v>
      </c>
      <c r="DB186" t="s">
        <v>136</v>
      </c>
      <c r="DC186" t="s">
        <v>136</v>
      </c>
      <c r="DD186" t="s">
        <v>114</v>
      </c>
    </row>
    <row r="187" spans="1:113" ht="15" customHeight="1" x14ac:dyDescent="0.25">
      <c r="A187" t="s">
        <v>13486</v>
      </c>
      <c r="B187" t="s">
        <v>152</v>
      </c>
      <c r="C187" s="1">
        <v>45258.487124768515</v>
      </c>
      <c r="D187" s="1">
        <v>45286</v>
      </c>
      <c r="E187" t="s">
        <v>132</v>
      </c>
      <c r="F187" t="s">
        <v>2744</v>
      </c>
      <c r="G187" t="str">
        <f>"37-3011.00"</f>
        <v>37-3011.00</v>
      </c>
      <c r="H187" t="s">
        <v>429</v>
      </c>
      <c r="I187">
        <v>5</v>
      </c>
      <c r="J187">
        <v>5</v>
      </c>
      <c r="K187" s="1">
        <v>45343</v>
      </c>
      <c r="L187" s="1">
        <v>45646</v>
      </c>
      <c r="M187" s="1">
        <v>45343</v>
      </c>
      <c r="N187" s="1">
        <v>45646</v>
      </c>
      <c r="O187" t="s">
        <v>238</v>
      </c>
      <c r="P187" t="s">
        <v>13487</v>
      </c>
      <c r="R187" t="s">
        <v>13488</v>
      </c>
      <c r="T187" t="s">
        <v>13489</v>
      </c>
      <c r="U187" t="s">
        <v>581</v>
      </c>
      <c r="V187" s="8" t="str">
        <f>"23069"</f>
        <v>23069</v>
      </c>
      <c r="W187" t="s">
        <v>118</v>
      </c>
      <c r="Y187" s="10">
        <v>18043499000</v>
      </c>
      <c r="AA187">
        <v>56173</v>
      </c>
      <c r="AB187" t="s">
        <v>3204</v>
      </c>
      <c r="AC187" t="s">
        <v>9048</v>
      </c>
      <c r="AD187" t="s">
        <v>475</v>
      </c>
      <c r="AE187" t="s">
        <v>654</v>
      </c>
      <c r="AF187" t="s">
        <v>13490</v>
      </c>
      <c r="AH187" t="s">
        <v>3470</v>
      </c>
      <c r="AI187" t="s">
        <v>581</v>
      </c>
      <c r="AJ187" s="8" t="str">
        <f>"23069"</f>
        <v>23069</v>
      </c>
      <c r="AK187" t="s">
        <v>118</v>
      </c>
      <c r="AM187" s="10">
        <v>18043499000</v>
      </c>
      <c r="AO187" t="s">
        <v>13491</v>
      </c>
      <c r="AP187" t="s">
        <v>248</v>
      </c>
      <c r="AQ187" t="s">
        <v>5168</v>
      </c>
      <c r="AR187" t="s">
        <v>2187</v>
      </c>
      <c r="AS187" t="s">
        <v>628</v>
      </c>
      <c r="AT187" t="s">
        <v>5169</v>
      </c>
      <c r="AV187" t="s">
        <v>5170</v>
      </c>
      <c r="AW187" t="s">
        <v>581</v>
      </c>
      <c r="AX187" s="8" t="str">
        <f>"23505"</f>
        <v>23505</v>
      </c>
      <c r="AY187" t="s">
        <v>118</v>
      </c>
      <c r="BA187" s="10">
        <v>18043019607</v>
      </c>
      <c r="BC187" t="s">
        <v>5171</v>
      </c>
      <c r="BD187" t="s">
        <v>5172</v>
      </c>
      <c r="BG187" t="s">
        <v>581</v>
      </c>
      <c r="BH187" s="1">
        <v>45257.791666666664</v>
      </c>
      <c r="BI187">
        <v>40</v>
      </c>
      <c r="BJ187">
        <v>0</v>
      </c>
      <c r="BK187">
        <v>8</v>
      </c>
      <c r="BL187">
        <v>8</v>
      </c>
      <c r="BM187">
        <v>8</v>
      </c>
      <c r="BN187">
        <v>8</v>
      </c>
      <c r="BO187">
        <v>8</v>
      </c>
      <c r="BP187">
        <v>0</v>
      </c>
      <c r="BQ187" t="str">
        <f>"7:30 AM"</f>
        <v>7:30 AM</v>
      </c>
      <c r="BR187" t="str">
        <f>"4:30 PM"</f>
        <v>4:30 PM</v>
      </c>
      <c r="BS187" t="s">
        <v>131</v>
      </c>
      <c r="BT187">
        <v>0</v>
      </c>
      <c r="BU187">
        <v>3</v>
      </c>
      <c r="BV187" t="s">
        <v>114</v>
      </c>
      <c r="BX187" t="s">
        <v>13492</v>
      </c>
      <c r="BY187" t="s">
        <v>13493</v>
      </c>
      <c r="CA187" t="s">
        <v>13489</v>
      </c>
      <c r="CB187" t="s">
        <v>581</v>
      </c>
      <c r="CC187" s="8" t="str">
        <f>"23069"</f>
        <v>23069</v>
      </c>
      <c r="CD187" t="s">
        <v>3470</v>
      </c>
      <c r="CE187" t="s">
        <v>1850</v>
      </c>
      <c r="CF187" s="12">
        <v>16.43</v>
      </c>
      <c r="CG187" s="12">
        <v>16.43</v>
      </c>
      <c r="CH187" s="12">
        <v>24.65</v>
      </c>
      <c r="CI187" s="12">
        <v>24.65</v>
      </c>
      <c r="CJ187" t="s">
        <v>135</v>
      </c>
      <c r="CK187" t="s">
        <v>9476</v>
      </c>
      <c r="CL187" t="s">
        <v>13494</v>
      </c>
      <c r="CO187" t="s">
        <v>132</v>
      </c>
      <c r="CP187" t="s">
        <v>114</v>
      </c>
      <c r="CQ187" t="s">
        <v>136</v>
      </c>
      <c r="CR187" t="s">
        <v>136</v>
      </c>
      <c r="CS187" t="s">
        <v>114</v>
      </c>
      <c r="CT187" t="s">
        <v>136</v>
      </c>
      <c r="CU187" t="s">
        <v>114</v>
      </c>
      <c r="CV187" t="s">
        <v>13495</v>
      </c>
      <c r="CW187" s="10" t="str">
        <f>"+18043499000"</f>
        <v>+18043499000</v>
      </c>
      <c r="CX187" t="s">
        <v>13496</v>
      </c>
      <c r="CY187" t="s">
        <v>132</v>
      </c>
      <c r="CZ187" t="s">
        <v>137</v>
      </c>
      <c r="DA187" t="s">
        <v>114</v>
      </c>
      <c r="DB187" t="s">
        <v>136</v>
      </c>
      <c r="DC187" t="s">
        <v>136</v>
      </c>
      <c r="DD187" t="s">
        <v>114</v>
      </c>
      <c r="DE187" t="s">
        <v>5168</v>
      </c>
      <c r="DF187" t="s">
        <v>2187</v>
      </c>
      <c r="DG187" t="s">
        <v>628</v>
      </c>
      <c r="DH187" t="s">
        <v>5172</v>
      </c>
      <c r="DI187" t="s">
        <v>5171</v>
      </c>
    </row>
    <row r="188" spans="1:113" ht="15" customHeight="1" x14ac:dyDescent="0.25">
      <c r="A188" t="s">
        <v>9581</v>
      </c>
      <c r="B188" t="s">
        <v>152</v>
      </c>
      <c r="C188" s="1">
        <v>45258.001588194442</v>
      </c>
      <c r="D188" s="1">
        <v>45286</v>
      </c>
      <c r="E188" t="s">
        <v>132</v>
      </c>
      <c r="F188" t="s">
        <v>1595</v>
      </c>
      <c r="G188" t="str">
        <f>"37-3011.00"</f>
        <v>37-3011.00</v>
      </c>
      <c r="H188" t="s">
        <v>429</v>
      </c>
      <c r="I188">
        <v>75</v>
      </c>
      <c r="J188">
        <v>75</v>
      </c>
      <c r="K188" s="1">
        <v>45348</v>
      </c>
      <c r="L188" s="1">
        <v>45626</v>
      </c>
      <c r="M188" s="1">
        <v>45348</v>
      </c>
      <c r="N188" s="1">
        <v>45626</v>
      </c>
      <c r="O188" t="s">
        <v>116</v>
      </c>
      <c r="P188" t="s">
        <v>9582</v>
      </c>
      <c r="Q188" t="s">
        <v>9583</v>
      </c>
      <c r="R188" t="s">
        <v>9584</v>
      </c>
      <c r="T188" t="s">
        <v>187</v>
      </c>
      <c r="U188" t="s">
        <v>188</v>
      </c>
      <c r="V188" s="8" t="str">
        <f>"80223"</f>
        <v>80223</v>
      </c>
      <c r="W188" t="s">
        <v>118</v>
      </c>
      <c r="Y188" s="10">
        <v>13038318310</v>
      </c>
      <c r="AA188">
        <v>56173</v>
      </c>
      <c r="AB188" t="s">
        <v>9585</v>
      </c>
      <c r="AC188" t="s">
        <v>1826</v>
      </c>
      <c r="AE188" t="s">
        <v>629</v>
      </c>
      <c r="AF188" t="s">
        <v>9584</v>
      </c>
      <c r="AH188" t="s">
        <v>187</v>
      </c>
      <c r="AI188" t="s">
        <v>188</v>
      </c>
      <c r="AJ188" s="8" t="str">
        <f>"80223"</f>
        <v>80223</v>
      </c>
      <c r="AK188" t="s">
        <v>118</v>
      </c>
      <c r="AM188" s="10">
        <v>13038318310</v>
      </c>
      <c r="AO188" t="s">
        <v>9586</v>
      </c>
      <c r="AP188" t="s">
        <v>248</v>
      </c>
      <c r="AQ188" t="s">
        <v>960</v>
      </c>
      <c r="AR188" t="s">
        <v>961</v>
      </c>
      <c r="AS188" t="s">
        <v>962</v>
      </c>
      <c r="AT188" t="s">
        <v>963</v>
      </c>
      <c r="AU188" t="s">
        <v>296</v>
      </c>
      <c r="AV188" t="s">
        <v>964</v>
      </c>
      <c r="AW188" t="s">
        <v>127</v>
      </c>
      <c r="AX188" s="8" t="str">
        <f>"75033"</f>
        <v>75033</v>
      </c>
      <c r="AY188" t="s">
        <v>118</v>
      </c>
      <c r="BA188" s="10">
        <v>19727789690</v>
      </c>
      <c r="BC188" t="s">
        <v>2017</v>
      </c>
      <c r="BD188" t="s">
        <v>966</v>
      </c>
      <c r="BG188" t="s">
        <v>188</v>
      </c>
      <c r="BH188" s="1">
        <v>45257.791666666664</v>
      </c>
      <c r="BI188">
        <v>40</v>
      </c>
      <c r="BJ188">
        <v>0</v>
      </c>
      <c r="BK188">
        <v>8</v>
      </c>
      <c r="BL188">
        <v>8</v>
      </c>
      <c r="BM188">
        <v>8</v>
      </c>
      <c r="BN188">
        <v>8</v>
      </c>
      <c r="BO188">
        <v>8</v>
      </c>
      <c r="BP188">
        <v>0</v>
      </c>
      <c r="BQ188" t="str">
        <f>"7:00 AM"</f>
        <v>7:00 AM</v>
      </c>
      <c r="BR188" t="str">
        <f>"4:00 PM"</f>
        <v>4:00 PM</v>
      </c>
      <c r="BS188" t="s">
        <v>131</v>
      </c>
      <c r="BT188">
        <v>0</v>
      </c>
      <c r="BU188">
        <v>0</v>
      </c>
      <c r="BV188" t="s">
        <v>114</v>
      </c>
      <c r="BX188" s="2" t="s">
        <v>9587</v>
      </c>
      <c r="BY188" t="s">
        <v>9584</v>
      </c>
      <c r="CA188" t="s">
        <v>187</v>
      </c>
      <c r="CB188" t="s">
        <v>188</v>
      </c>
      <c r="CC188" s="8" t="str">
        <f>"80223"</f>
        <v>80223</v>
      </c>
      <c r="CD188" t="s">
        <v>194</v>
      </c>
      <c r="CE188" t="s">
        <v>195</v>
      </c>
      <c r="CF188" s="12">
        <v>19.22</v>
      </c>
      <c r="CH188" s="12">
        <v>28.83</v>
      </c>
      <c r="CJ188" t="s">
        <v>135</v>
      </c>
      <c r="CK188" t="s">
        <v>2018</v>
      </c>
      <c r="CL188" t="s">
        <v>9588</v>
      </c>
      <c r="CO188" t="s">
        <v>132</v>
      </c>
      <c r="CP188" t="s">
        <v>136</v>
      </c>
      <c r="CQ188" t="s">
        <v>136</v>
      </c>
      <c r="CR188" t="s">
        <v>136</v>
      </c>
      <c r="CS188" t="s">
        <v>136</v>
      </c>
      <c r="CT188" t="s">
        <v>136</v>
      </c>
      <c r="CU188" t="s">
        <v>136</v>
      </c>
      <c r="CV188" t="s">
        <v>131</v>
      </c>
      <c r="CW188" s="10" t="str">
        <f>"+13038318310"</f>
        <v>+13038318310</v>
      </c>
      <c r="CX188" t="s">
        <v>132</v>
      </c>
      <c r="CY188" t="s">
        <v>9298</v>
      </c>
      <c r="CZ188" t="s">
        <v>137</v>
      </c>
      <c r="DA188" t="s">
        <v>114</v>
      </c>
      <c r="DB188" t="s">
        <v>136</v>
      </c>
      <c r="DC188" t="s">
        <v>136</v>
      </c>
      <c r="DD188" t="s">
        <v>114</v>
      </c>
    </row>
    <row r="189" spans="1:113" ht="15" customHeight="1" x14ac:dyDescent="0.25">
      <c r="A189" t="s">
        <v>11296</v>
      </c>
      <c r="B189" t="s">
        <v>152</v>
      </c>
      <c r="C189" s="1">
        <v>45257.633611111109</v>
      </c>
      <c r="D189" s="1">
        <v>45286</v>
      </c>
      <c r="E189" t="s">
        <v>132</v>
      </c>
      <c r="F189" t="s">
        <v>1595</v>
      </c>
      <c r="G189" t="str">
        <f>"37-3011.00"</f>
        <v>37-3011.00</v>
      </c>
      <c r="H189" t="s">
        <v>429</v>
      </c>
      <c r="I189">
        <v>18</v>
      </c>
      <c r="J189">
        <v>18</v>
      </c>
      <c r="K189" s="1">
        <v>45347</v>
      </c>
      <c r="L189" s="1">
        <v>45626</v>
      </c>
      <c r="M189" s="1">
        <v>45347</v>
      </c>
      <c r="N189" s="1">
        <v>45626</v>
      </c>
      <c r="O189" t="s">
        <v>116</v>
      </c>
      <c r="P189" t="s">
        <v>11297</v>
      </c>
      <c r="Q189" t="s">
        <v>11298</v>
      </c>
      <c r="R189" t="s">
        <v>11299</v>
      </c>
      <c r="T189" t="s">
        <v>5323</v>
      </c>
      <c r="U189" t="s">
        <v>984</v>
      </c>
      <c r="V189" s="8" t="str">
        <f>"63385"</f>
        <v>63385</v>
      </c>
      <c r="W189" t="s">
        <v>118</v>
      </c>
      <c r="Y189" s="10">
        <v>16368870354</v>
      </c>
      <c r="AA189">
        <v>56173</v>
      </c>
      <c r="AB189" t="s">
        <v>4905</v>
      </c>
      <c r="AC189" t="s">
        <v>2238</v>
      </c>
      <c r="AE189" t="s">
        <v>561</v>
      </c>
      <c r="AF189" t="s">
        <v>11299</v>
      </c>
      <c r="AH189" t="s">
        <v>5323</v>
      </c>
      <c r="AI189" t="s">
        <v>984</v>
      </c>
      <c r="AJ189" s="8" t="str">
        <f>"63385"</f>
        <v>63385</v>
      </c>
      <c r="AK189" t="s">
        <v>118</v>
      </c>
      <c r="AM189" s="10">
        <v>16368870354</v>
      </c>
      <c r="AO189" t="s">
        <v>11300</v>
      </c>
      <c r="AP189" t="s">
        <v>248</v>
      </c>
      <c r="AQ189" t="s">
        <v>960</v>
      </c>
      <c r="AR189" t="s">
        <v>961</v>
      </c>
      <c r="AS189" t="s">
        <v>962</v>
      </c>
      <c r="AT189" t="s">
        <v>963</v>
      </c>
      <c r="AU189" t="s">
        <v>296</v>
      </c>
      <c r="AV189" t="s">
        <v>964</v>
      </c>
      <c r="AW189" t="s">
        <v>127</v>
      </c>
      <c r="AX189" s="8" t="str">
        <f>"75033"</f>
        <v>75033</v>
      </c>
      <c r="AY189" t="s">
        <v>118</v>
      </c>
      <c r="BA189" s="10">
        <v>19727789690</v>
      </c>
      <c r="BC189" t="s">
        <v>1837</v>
      </c>
      <c r="BD189" t="s">
        <v>966</v>
      </c>
      <c r="BG189" t="s">
        <v>984</v>
      </c>
      <c r="BH189" s="1">
        <v>45256.791666666664</v>
      </c>
      <c r="BI189">
        <v>48</v>
      </c>
      <c r="BJ189">
        <v>0</v>
      </c>
      <c r="BK189">
        <v>8</v>
      </c>
      <c r="BL189">
        <v>8</v>
      </c>
      <c r="BM189">
        <v>8</v>
      </c>
      <c r="BN189">
        <v>8</v>
      </c>
      <c r="BO189">
        <v>8</v>
      </c>
      <c r="BP189">
        <v>8</v>
      </c>
      <c r="BQ189" t="str">
        <f>"6:30 AM"</f>
        <v>6:30 AM</v>
      </c>
      <c r="BR189" t="str">
        <f>"3:00 PM"</f>
        <v>3:00 PM</v>
      </c>
      <c r="BS189" t="s">
        <v>131</v>
      </c>
      <c r="BT189">
        <v>0</v>
      </c>
      <c r="BU189">
        <v>0</v>
      </c>
      <c r="BV189" t="s">
        <v>114</v>
      </c>
      <c r="BX189" s="2" t="s">
        <v>11301</v>
      </c>
      <c r="BY189" t="s">
        <v>11302</v>
      </c>
      <c r="CA189" t="s">
        <v>5323</v>
      </c>
      <c r="CB189" t="s">
        <v>984</v>
      </c>
      <c r="CC189" s="8" t="str">
        <f>"63385"</f>
        <v>63385</v>
      </c>
      <c r="CD189" t="s">
        <v>1855</v>
      </c>
      <c r="CE189" t="s">
        <v>1856</v>
      </c>
      <c r="CF189" s="12">
        <v>17.579999999999998</v>
      </c>
      <c r="CH189" s="12">
        <v>26.37</v>
      </c>
      <c r="CJ189" t="s">
        <v>135</v>
      </c>
      <c r="CK189" t="s">
        <v>1840</v>
      </c>
      <c r="CL189" t="s">
        <v>11303</v>
      </c>
      <c r="CO189" t="s">
        <v>132</v>
      </c>
      <c r="CP189" t="s">
        <v>136</v>
      </c>
      <c r="CQ189" t="s">
        <v>114</v>
      </c>
      <c r="CR189" t="s">
        <v>136</v>
      </c>
      <c r="CS189" t="s">
        <v>136</v>
      </c>
      <c r="CT189" t="s">
        <v>136</v>
      </c>
      <c r="CU189" t="s">
        <v>136</v>
      </c>
      <c r="CV189" t="s">
        <v>11304</v>
      </c>
      <c r="CW189" s="10" t="str">
        <f>"+16368870354"</f>
        <v>+16368870354</v>
      </c>
      <c r="CX189" t="s">
        <v>132</v>
      </c>
      <c r="CY189" t="s">
        <v>5346</v>
      </c>
      <c r="CZ189" t="s">
        <v>137</v>
      </c>
      <c r="DA189" t="s">
        <v>114</v>
      </c>
      <c r="DB189" t="s">
        <v>136</v>
      </c>
      <c r="DC189" t="s">
        <v>136</v>
      </c>
      <c r="DD189" t="s">
        <v>114</v>
      </c>
    </row>
    <row r="190" spans="1:113" ht="15" customHeight="1" x14ac:dyDescent="0.25">
      <c r="A190" t="s">
        <v>24214</v>
      </c>
      <c r="B190" t="s">
        <v>152</v>
      </c>
      <c r="C190" s="1">
        <v>45257.392832407408</v>
      </c>
      <c r="D190" s="1">
        <v>45286</v>
      </c>
      <c r="E190" t="s">
        <v>132</v>
      </c>
      <c r="F190" t="s">
        <v>24215</v>
      </c>
      <c r="G190" t="str">
        <f>"37-3011.00"</f>
        <v>37-3011.00</v>
      </c>
      <c r="H190" t="s">
        <v>429</v>
      </c>
      <c r="I190">
        <v>10</v>
      </c>
      <c r="J190">
        <v>10</v>
      </c>
      <c r="K190" s="1">
        <v>45347</v>
      </c>
      <c r="L190" s="1">
        <v>45620</v>
      </c>
      <c r="M190" s="1">
        <v>45347</v>
      </c>
      <c r="N190" s="1">
        <v>45620</v>
      </c>
      <c r="O190" t="s">
        <v>238</v>
      </c>
      <c r="P190" t="s">
        <v>24216</v>
      </c>
      <c r="R190" t="s">
        <v>24217</v>
      </c>
      <c r="S190" t="s">
        <v>132</v>
      </c>
      <c r="T190" t="s">
        <v>3022</v>
      </c>
      <c r="U190" t="s">
        <v>434</v>
      </c>
      <c r="V190" s="8" t="str">
        <f>"19355"</f>
        <v>19355</v>
      </c>
      <c r="W190" t="s">
        <v>118</v>
      </c>
      <c r="Y190" s="10">
        <v>16106476001</v>
      </c>
      <c r="AA190">
        <v>561730</v>
      </c>
      <c r="AB190" t="s">
        <v>24218</v>
      </c>
      <c r="AC190" t="s">
        <v>277</v>
      </c>
      <c r="AD190" t="s">
        <v>132</v>
      </c>
      <c r="AE190" t="s">
        <v>561</v>
      </c>
      <c r="AF190" t="s">
        <v>24217</v>
      </c>
      <c r="AG190" t="s">
        <v>132</v>
      </c>
      <c r="AH190" t="s">
        <v>3022</v>
      </c>
      <c r="AI190" t="s">
        <v>434</v>
      </c>
      <c r="AJ190" s="8" t="str">
        <f>"19355"</f>
        <v>19355</v>
      </c>
      <c r="AK190" t="s">
        <v>118</v>
      </c>
      <c r="AM190" s="10">
        <v>16106476001</v>
      </c>
      <c r="AO190" t="s">
        <v>24219</v>
      </c>
      <c r="AP190" t="s">
        <v>248</v>
      </c>
      <c r="AQ190" t="s">
        <v>3428</v>
      </c>
      <c r="AR190" t="s">
        <v>3429</v>
      </c>
      <c r="AS190" t="s">
        <v>132</v>
      </c>
      <c r="AT190" t="s">
        <v>1584</v>
      </c>
      <c r="AU190" t="s">
        <v>132</v>
      </c>
      <c r="AV190" t="s">
        <v>1585</v>
      </c>
      <c r="AW190" t="s">
        <v>127</v>
      </c>
      <c r="AX190" s="8" t="str">
        <f>"77414"</f>
        <v>77414</v>
      </c>
      <c r="AY190" t="s">
        <v>118</v>
      </c>
      <c r="BA190" s="10">
        <v>19793187279</v>
      </c>
      <c r="BC190" t="s">
        <v>3430</v>
      </c>
      <c r="BD190" t="s">
        <v>1587</v>
      </c>
      <c r="BG190" t="s">
        <v>434</v>
      </c>
      <c r="BH190" s="1">
        <v>45256.791666666664</v>
      </c>
      <c r="BI190">
        <v>40</v>
      </c>
      <c r="BJ190">
        <v>0</v>
      </c>
      <c r="BK190">
        <v>8</v>
      </c>
      <c r="BL190">
        <v>8</v>
      </c>
      <c r="BM190">
        <v>8</v>
      </c>
      <c r="BN190">
        <v>8</v>
      </c>
      <c r="BO190">
        <v>8</v>
      </c>
      <c r="BP190">
        <v>0</v>
      </c>
      <c r="BQ190" t="str">
        <f>"7:00 AM"</f>
        <v>7:00 AM</v>
      </c>
      <c r="BR190" t="str">
        <f>"4:00 PM"</f>
        <v>4:00 PM</v>
      </c>
      <c r="BS190" t="s">
        <v>131</v>
      </c>
      <c r="BT190">
        <v>0</v>
      </c>
      <c r="BU190">
        <v>0</v>
      </c>
      <c r="BV190" t="s">
        <v>114</v>
      </c>
      <c r="BX190" s="2" t="s">
        <v>24220</v>
      </c>
      <c r="BY190" t="s">
        <v>24217</v>
      </c>
      <c r="BZ190" t="s">
        <v>132</v>
      </c>
      <c r="CA190" t="s">
        <v>3022</v>
      </c>
      <c r="CB190" t="s">
        <v>434</v>
      </c>
      <c r="CC190" s="8" t="str">
        <f>"19355"</f>
        <v>19355</v>
      </c>
      <c r="CD190" t="s">
        <v>1781</v>
      </c>
      <c r="CE190" t="s">
        <v>443</v>
      </c>
      <c r="CF190" s="12">
        <v>18.71</v>
      </c>
      <c r="CG190" s="12">
        <v>23</v>
      </c>
      <c r="CH190" s="12">
        <v>28.07</v>
      </c>
      <c r="CI190" s="12">
        <v>34.5</v>
      </c>
      <c r="CJ190" t="s">
        <v>135</v>
      </c>
      <c r="CK190" t="s">
        <v>24221</v>
      </c>
      <c r="CL190" t="s">
        <v>24222</v>
      </c>
      <c r="CO190" t="s">
        <v>132</v>
      </c>
      <c r="CP190" t="s">
        <v>136</v>
      </c>
      <c r="CQ190" t="s">
        <v>136</v>
      </c>
      <c r="CR190" t="s">
        <v>136</v>
      </c>
      <c r="CS190" t="s">
        <v>136</v>
      </c>
      <c r="CT190" t="s">
        <v>136</v>
      </c>
      <c r="CU190" t="s">
        <v>136</v>
      </c>
      <c r="CV190" s="2" t="s">
        <v>24223</v>
      </c>
      <c r="CW190" s="10" t="str">
        <f>"+16106476001"</f>
        <v>+16106476001</v>
      </c>
      <c r="CX190" t="s">
        <v>24219</v>
      </c>
      <c r="CY190" t="s">
        <v>132</v>
      </c>
      <c r="CZ190" t="s">
        <v>137</v>
      </c>
      <c r="DA190" t="s">
        <v>114</v>
      </c>
      <c r="DB190" t="s">
        <v>114</v>
      </c>
      <c r="DC190" t="s">
        <v>136</v>
      </c>
      <c r="DD190" t="s">
        <v>114</v>
      </c>
    </row>
    <row r="191" spans="1:113" ht="15" customHeight="1" x14ac:dyDescent="0.25">
      <c r="A191" t="s">
        <v>18728</v>
      </c>
      <c r="B191" t="s">
        <v>152</v>
      </c>
      <c r="C191" s="1">
        <v>45252.554596296293</v>
      </c>
      <c r="D191" s="1">
        <v>45286</v>
      </c>
      <c r="E191" t="s">
        <v>132</v>
      </c>
      <c r="F191" t="s">
        <v>700</v>
      </c>
      <c r="G191" t="str">
        <f>"37-3011.00"</f>
        <v>37-3011.00</v>
      </c>
      <c r="H191" t="s">
        <v>429</v>
      </c>
      <c r="I191">
        <v>78</v>
      </c>
      <c r="J191">
        <v>78</v>
      </c>
      <c r="K191" s="1">
        <v>45337</v>
      </c>
      <c r="L191" s="1">
        <v>45627</v>
      </c>
      <c r="M191" s="1">
        <v>45337</v>
      </c>
      <c r="N191" s="1">
        <v>45627</v>
      </c>
      <c r="O191" t="s">
        <v>116</v>
      </c>
      <c r="P191" t="s">
        <v>17496</v>
      </c>
      <c r="R191" t="s">
        <v>17497</v>
      </c>
      <c r="T191" t="s">
        <v>603</v>
      </c>
      <c r="U191" t="s">
        <v>127</v>
      </c>
      <c r="V191" s="8" t="str">
        <f>"78729"</f>
        <v>78729</v>
      </c>
      <c r="W191" t="s">
        <v>118</v>
      </c>
      <c r="Y191" s="10">
        <v>15124535569</v>
      </c>
      <c r="AA191">
        <v>56173</v>
      </c>
      <c r="AB191" t="s">
        <v>10416</v>
      </c>
      <c r="AC191" t="s">
        <v>575</v>
      </c>
      <c r="AE191" t="s">
        <v>561</v>
      </c>
      <c r="AF191" t="s">
        <v>17497</v>
      </c>
      <c r="AH191" t="s">
        <v>603</v>
      </c>
      <c r="AI191" t="s">
        <v>127</v>
      </c>
      <c r="AJ191" s="8" t="str">
        <f>"78729"</f>
        <v>78729</v>
      </c>
      <c r="AK191" t="s">
        <v>118</v>
      </c>
      <c r="AM191" s="10">
        <v>15124535569</v>
      </c>
      <c r="AO191" t="s">
        <v>132</v>
      </c>
      <c r="AP191" t="s">
        <v>121</v>
      </c>
      <c r="AQ191" t="s">
        <v>1172</v>
      </c>
      <c r="AR191" t="s">
        <v>1173</v>
      </c>
      <c r="AS191" t="s">
        <v>708</v>
      </c>
      <c r="AT191" t="s">
        <v>3325</v>
      </c>
      <c r="AV191" t="s">
        <v>603</v>
      </c>
      <c r="AW191" t="s">
        <v>127</v>
      </c>
      <c r="AX191" s="8" t="str">
        <f>"78705"</f>
        <v>78705</v>
      </c>
      <c r="AY191" t="s">
        <v>118</v>
      </c>
      <c r="BA191" s="10">
        <v>15123470007</v>
      </c>
      <c r="BC191" t="s">
        <v>1175</v>
      </c>
      <c r="BD191" t="s">
        <v>1176</v>
      </c>
      <c r="BE191" t="s">
        <v>127</v>
      </c>
      <c r="BF191" t="s">
        <v>750</v>
      </c>
      <c r="BG191" t="s">
        <v>127</v>
      </c>
      <c r="BH191" s="1">
        <v>45251.791666666664</v>
      </c>
      <c r="BI191">
        <v>40</v>
      </c>
      <c r="BJ191">
        <v>0</v>
      </c>
      <c r="BK191">
        <v>8</v>
      </c>
      <c r="BL191">
        <v>8</v>
      </c>
      <c r="BM191">
        <v>8</v>
      </c>
      <c r="BN191">
        <v>8</v>
      </c>
      <c r="BO191">
        <v>8</v>
      </c>
      <c r="BP191">
        <v>0</v>
      </c>
      <c r="BQ191" t="str">
        <f>"8:00 AM"</f>
        <v>8:00 AM</v>
      </c>
      <c r="BR191" t="str">
        <f>"5:00 PM"</f>
        <v>5:00 PM</v>
      </c>
      <c r="BS191" t="s">
        <v>131</v>
      </c>
      <c r="BT191">
        <v>0</v>
      </c>
      <c r="BU191">
        <v>3</v>
      </c>
      <c r="BV191" t="s">
        <v>114</v>
      </c>
      <c r="BX191" t="s">
        <v>131</v>
      </c>
      <c r="BY191" t="s">
        <v>17497</v>
      </c>
      <c r="CA191" t="s">
        <v>603</v>
      </c>
      <c r="CB191" t="s">
        <v>127</v>
      </c>
      <c r="CC191" s="8" t="str">
        <f>"78729"</f>
        <v>78729</v>
      </c>
      <c r="CD191" t="s">
        <v>3147</v>
      </c>
      <c r="CE191" t="s">
        <v>324</v>
      </c>
      <c r="CF191" s="12">
        <v>16.91</v>
      </c>
      <c r="CG191" s="12">
        <v>16.91</v>
      </c>
      <c r="CH191" s="12">
        <v>25.37</v>
      </c>
      <c r="CI191" s="12">
        <v>25.37</v>
      </c>
      <c r="CJ191" t="s">
        <v>135</v>
      </c>
      <c r="CL191" t="s">
        <v>18729</v>
      </c>
      <c r="CO191" t="s">
        <v>132</v>
      </c>
      <c r="CP191" t="s">
        <v>136</v>
      </c>
      <c r="CQ191" t="s">
        <v>136</v>
      </c>
      <c r="CR191" t="s">
        <v>136</v>
      </c>
      <c r="CS191" t="s">
        <v>136</v>
      </c>
      <c r="CT191" t="s">
        <v>136</v>
      </c>
      <c r="CU191" t="s">
        <v>114</v>
      </c>
      <c r="CV191" t="s">
        <v>4797</v>
      </c>
      <c r="CW191" s="10" t="str">
        <f>"+15124535569"</f>
        <v>+15124535569</v>
      </c>
      <c r="CX191" t="s">
        <v>10421</v>
      </c>
      <c r="CY191" t="s">
        <v>132</v>
      </c>
      <c r="CZ191" t="s">
        <v>137</v>
      </c>
      <c r="DA191" t="s">
        <v>114</v>
      </c>
      <c r="DB191" t="s">
        <v>114</v>
      </c>
      <c r="DC191" t="s">
        <v>136</v>
      </c>
      <c r="DD191" t="s">
        <v>114</v>
      </c>
    </row>
    <row r="192" spans="1:113" ht="15" customHeight="1" x14ac:dyDescent="0.25">
      <c r="A192" t="s">
        <v>12383</v>
      </c>
      <c r="B192" t="s">
        <v>152</v>
      </c>
      <c r="C192" s="1">
        <v>45251.936415625001</v>
      </c>
      <c r="D192" s="1">
        <v>45286</v>
      </c>
      <c r="E192" t="s">
        <v>132</v>
      </c>
      <c r="F192" t="s">
        <v>12384</v>
      </c>
      <c r="G192" t="str">
        <f>"47-3015.00"</f>
        <v>47-3015.00</v>
      </c>
      <c r="H192" t="s">
        <v>12385</v>
      </c>
      <c r="I192">
        <v>30</v>
      </c>
      <c r="J192">
        <v>30</v>
      </c>
      <c r="K192" s="1">
        <v>45326</v>
      </c>
      <c r="L192" s="1">
        <v>45596</v>
      </c>
      <c r="M192" s="1">
        <v>45326</v>
      </c>
      <c r="N192" s="1">
        <v>45596</v>
      </c>
      <c r="O192" t="s">
        <v>116</v>
      </c>
      <c r="P192" t="s">
        <v>12386</v>
      </c>
      <c r="R192" t="s">
        <v>12387</v>
      </c>
      <c r="S192" t="s">
        <v>12388</v>
      </c>
      <c r="T192" t="s">
        <v>2560</v>
      </c>
      <c r="U192" t="s">
        <v>558</v>
      </c>
      <c r="V192" s="8" t="str">
        <f>"85206"</f>
        <v>85206</v>
      </c>
      <c r="W192" t="s">
        <v>118</v>
      </c>
      <c r="Y192" s="10">
        <v>14803855122</v>
      </c>
      <c r="AA192">
        <v>238990</v>
      </c>
      <c r="AB192" t="s">
        <v>12389</v>
      </c>
      <c r="AC192" t="s">
        <v>3601</v>
      </c>
      <c r="AE192" t="s">
        <v>654</v>
      </c>
      <c r="AF192" t="s">
        <v>12387</v>
      </c>
      <c r="AG192" t="s">
        <v>12388</v>
      </c>
      <c r="AH192" t="s">
        <v>2560</v>
      </c>
      <c r="AI192" t="s">
        <v>558</v>
      </c>
      <c r="AJ192" s="8" t="str">
        <f>"85206"</f>
        <v>85206</v>
      </c>
      <c r="AK192" t="s">
        <v>118</v>
      </c>
      <c r="AM192" s="10">
        <v>14803855122</v>
      </c>
      <c r="AO192" t="s">
        <v>12390</v>
      </c>
      <c r="AX192" s="8" t="str">
        <f>""</f>
        <v/>
      </c>
      <c r="BG192" t="s">
        <v>558</v>
      </c>
      <c r="BH192" s="1">
        <v>45250.791666666664</v>
      </c>
      <c r="BI192">
        <v>40</v>
      </c>
      <c r="BJ192">
        <v>0</v>
      </c>
      <c r="BK192">
        <v>8</v>
      </c>
      <c r="BL192">
        <v>8</v>
      </c>
      <c r="BM192">
        <v>8</v>
      </c>
      <c r="BN192">
        <v>8</v>
      </c>
      <c r="BO192">
        <v>8</v>
      </c>
      <c r="BP192">
        <v>0</v>
      </c>
      <c r="BQ192" t="str">
        <f>"7:00 AM"</f>
        <v>7:00 AM</v>
      </c>
      <c r="BR192" t="str">
        <f>"3:00 PM"</f>
        <v>3:00 PM</v>
      </c>
      <c r="BS192" t="s">
        <v>147</v>
      </c>
      <c r="BT192">
        <v>0</v>
      </c>
      <c r="BU192">
        <v>3</v>
      </c>
      <c r="BV192" t="s">
        <v>114</v>
      </c>
      <c r="BX192" s="2" t="s">
        <v>12391</v>
      </c>
      <c r="BY192" t="s">
        <v>12387</v>
      </c>
      <c r="BZ192" t="s">
        <v>12388</v>
      </c>
      <c r="CA192" t="s">
        <v>2560</v>
      </c>
      <c r="CB192" t="s">
        <v>558</v>
      </c>
      <c r="CC192" s="8" t="str">
        <f>"85206"</f>
        <v>85206</v>
      </c>
      <c r="CD192" t="s">
        <v>1391</v>
      </c>
      <c r="CE192" t="s">
        <v>565</v>
      </c>
      <c r="CF192" s="12">
        <v>17.829999999999998</v>
      </c>
      <c r="CG192" s="12">
        <v>17.829999999999998</v>
      </c>
      <c r="CH192" s="12">
        <v>26.75</v>
      </c>
      <c r="CI192" s="12">
        <v>26.75</v>
      </c>
      <c r="CJ192" t="s">
        <v>135</v>
      </c>
      <c r="CK192" t="s">
        <v>12392</v>
      </c>
      <c r="CL192" t="s">
        <v>12393</v>
      </c>
      <c r="CO192" t="s">
        <v>132</v>
      </c>
      <c r="CP192" t="s">
        <v>114</v>
      </c>
      <c r="CQ192" t="s">
        <v>114</v>
      </c>
      <c r="CR192" t="s">
        <v>136</v>
      </c>
      <c r="CS192" t="s">
        <v>136</v>
      </c>
      <c r="CT192" t="s">
        <v>136</v>
      </c>
      <c r="CU192" t="s">
        <v>136</v>
      </c>
      <c r="CV192" s="2" t="s">
        <v>12394</v>
      </c>
      <c r="CW192" s="10" t="str">
        <f>"+14803855122"</f>
        <v>+14803855122</v>
      </c>
      <c r="CX192" t="s">
        <v>12395</v>
      </c>
      <c r="CY192" t="s">
        <v>132</v>
      </c>
      <c r="CZ192" t="s">
        <v>137</v>
      </c>
      <c r="DA192" t="s">
        <v>114</v>
      </c>
      <c r="DB192" t="s">
        <v>136</v>
      </c>
      <c r="DC192" t="s">
        <v>136</v>
      </c>
      <c r="DD192" t="s">
        <v>114</v>
      </c>
    </row>
    <row r="193" spans="1:113" ht="15" customHeight="1" x14ac:dyDescent="0.25">
      <c r="A193" t="s">
        <v>18903</v>
      </c>
      <c r="B193" t="s">
        <v>152</v>
      </c>
      <c r="C193" s="1">
        <v>45247.552135995371</v>
      </c>
      <c r="D193" s="1">
        <v>45286</v>
      </c>
      <c r="E193" t="s">
        <v>132</v>
      </c>
      <c r="F193" t="s">
        <v>1595</v>
      </c>
      <c r="G193" t="str">
        <f>"37-3011.00"</f>
        <v>37-3011.00</v>
      </c>
      <c r="H193" t="s">
        <v>429</v>
      </c>
      <c r="I193">
        <v>30</v>
      </c>
      <c r="J193">
        <v>30</v>
      </c>
      <c r="K193" s="1">
        <v>45337</v>
      </c>
      <c r="L193" s="1">
        <v>45640</v>
      </c>
      <c r="M193" s="1">
        <v>45337</v>
      </c>
      <c r="N193" s="1">
        <v>45640</v>
      </c>
      <c r="O193" t="s">
        <v>116</v>
      </c>
      <c r="P193" t="s">
        <v>18904</v>
      </c>
      <c r="R193" t="s">
        <v>18905</v>
      </c>
      <c r="T193" t="s">
        <v>18906</v>
      </c>
      <c r="U193" t="s">
        <v>2608</v>
      </c>
      <c r="V193" s="8" t="str">
        <f>"74033"</f>
        <v>74033</v>
      </c>
      <c r="W193" t="s">
        <v>118</v>
      </c>
      <c r="Y193" s="10">
        <v>19189511705</v>
      </c>
      <c r="AA193">
        <v>56173</v>
      </c>
      <c r="AB193" t="s">
        <v>18907</v>
      </c>
      <c r="AC193" t="s">
        <v>13627</v>
      </c>
      <c r="AE193" t="s">
        <v>561</v>
      </c>
      <c r="AF193" t="s">
        <v>18905</v>
      </c>
      <c r="AH193" t="s">
        <v>18906</v>
      </c>
      <c r="AI193" t="s">
        <v>2608</v>
      </c>
      <c r="AJ193" s="8" t="str">
        <f>"74033"</f>
        <v>74033</v>
      </c>
      <c r="AK193" t="s">
        <v>118</v>
      </c>
      <c r="AM193" s="10">
        <v>19189511705</v>
      </c>
      <c r="AO193" t="s">
        <v>796</v>
      </c>
      <c r="AP193" t="s">
        <v>248</v>
      </c>
      <c r="AQ193" t="s">
        <v>3690</v>
      </c>
      <c r="AR193" t="s">
        <v>2158</v>
      </c>
      <c r="AT193" t="s">
        <v>5174</v>
      </c>
      <c r="AV193" t="s">
        <v>2814</v>
      </c>
      <c r="AW193" t="s">
        <v>2608</v>
      </c>
      <c r="AX193" s="8" t="str">
        <f>"74132"</f>
        <v>74132</v>
      </c>
      <c r="AY193" t="s">
        <v>118</v>
      </c>
      <c r="AZ193" t="s">
        <v>3693</v>
      </c>
      <c r="BA193" s="10">
        <v>19189065212</v>
      </c>
      <c r="BC193" t="s">
        <v>3694</v>
      </c>
      <c r="BD193" t="s">
        <v>3695</v>
      </c>
      <c r="BG193" t="s">
        <v>2608</v>
      </c>
      <c r="BH193" s="1">
        <v>45242.791666666664</v>
      </c>
      <c r="BI193">
        <v>40</v>
      </c>
      <c r="BJ193">
        <v>0</v>
      </c>
      <c r="BK193">
        <v>8</v>
      </c>
      <c r="BL193">
        <v>8</v>
      </c>
      <c r="BM193">
        <v>8</v>
      </c>
      <c r="BN193">
        <v>8</v>
      </c>
      <c r="BO193">
        <v>8</v>
      </c>
      <c r="BP193">
        <v>0</v>
      </c>
      <c r="BQ193" t="str">
        <f>"7:00 AM"</f>
        <v>7:00 AM</v>
      </c>
      <c r="BR193" t="str">
        <f>"4:00 PM"</f>
        <v>4:00 PM</v>
      </c>
      <c r="BS193" t="s">
        <v>131</v>
      </c>
      <c r="BT193">
        <v>0</v>
      </c>
      <c r="BU193">
        <v>3</v>
      </c>
      <c r="BV193" t="s">
        <v>114</v>
      </c>
      <c r="BX193" s="2" t="s">
        <v>18908</v>
      </c>
      <c r="BY193" t="s">
        <v>18905</v>
      </c>
      <c r="CA193" t="s">
        <v>18906</v>
      </c>
      <c r="CB193" t="s">
        <v>2608</v>
      </c>
      <c r="CC193" s="8" t="str">
        <f>"74033"</f>
        <v>74033</v>
      </c>
      <c r="CD193" t="s">
        <v>2816</v>
      </c>
      <c r="CE193" t="s">
        <v>2817</v>
      </c>
      <c r="CF193" s="12">
        <v>16.149999999999999</v>
      </c>
      <c r="CG193" s="12">
        <v>16.149999999999999</v>
      </c>
      <c r="CH193" s="12">
        <v>24.23</v>
      </c>
      <c r="CI193" s="12">
        <v>24.23</v>
      </c>
      <c r="CJ193" t="s">
        <v>135</v>
      </c>
      <c r="CK193" t="s">
        <v>18909</v>
      </c>
      <c r="CL193" t="s">
        <v>18910</v>
      </c>
      <c r="CO193" t="s">
        <v>132</v>
      </c>
      <c r="CP193" t="s">
        <v>136</v>
      </c>
      <c r="CQ193" t="s">
        <v>114</v>
      </c>
      <c r="CR193" t="s">
        <v>136</v>
      </c>
      <c r="CS193" t="s">
        <v>136</v>
      </c>
      <c r="CT193" t="s">
        <v>136</v>
      </c>
      <c r="CU193" t="s">
        <v>114</v>
      </c>
      <c r="CV193" t="s">
        <v>18911</v>
      </c>
      <c r="CW193" s="10" t="str">
        <f>"+19189511705"</f>
        <v>+19189511705</v>
      </c>
      <c r="CX193" t="s">
        <v>18912</v>
      </c>
      <c r="CY193" t="s">
        <v>132</v>
      </c>
      <c r="CZ193" t="s">
        <v>137</v>
      </c>
      <c r="DA193" t="s">
        <v>114</v>
      </c>
      <c r="DB193" t="s">
        <v>136</v>
      </c>
      <c r="DC193" t="s">
        <v>136</v>
      </c>
      <c r="DD193" t="s">
        <v>114</v>
      </c>
    </row>
    <row r="194" spans="1:113" ht="15" customHeight="1" x14ac:dyDescent="0.25">
      <c r="A194" t="s">
        <v>17480</v>
      </c>
      <c r="B194" t="s">
        <v>152</v>
      </c>
      <c r="C194" s="1">
        <v>45239.669013194442</v>
      </c>
      <c r="D194" s="1">
        <v>45286</v>
      </c>
      <c r="E194" t="s">
        <v>132</v>
      </c>
      <c r="F194" t="s">
        <v>5957</v>
      </c>
      <c r="G194" t="str">
        <f>"35-2014.00"</f>
        <v>35-2014.00</v>
      </c>
      <c r="H194" t="s">
        <v>154</v>
      </c>
      <c r="I194">
        <v>8</v>
      </c>
      <c r="J194">
        <v>8</v>
      </c>
      <c r="K194" s="1">
        <v>45314</v>
      </c>
      <c r="L194" s="1">
        <v>45412</v>
      </c>
      <c r="M194" s="1">
        <v>45314</v>
      </c>
      <c r="N194" s="1">
        <v>45412</v>
      </c>
      <c r="O194" t="s">
        <v>116</v>
      </c>
      <c r="P194" t="s">
        <v>15145</v>
      </c>
      <c r="R194" t="s">
        <v>15146</v>
      </c>
      <c r="T194" t="s">
        <v>15147</v>
      </c>
      <c r="U194" t="s">
        <v>903</v>
      </c>
      <c r="V194" s="8" t="str">
        <f>"04970"</f>
        <v>04970</v>
      </c>
      <c r="W194" t="s">
        <v>118</v>
      </c>
      <c r="Y194" s="10">
        <v>12078645671</v>
      </c>
      <c r="AA194">
        <v>721110</v>
      </c>
      <c r="AB194" t="s">
        <v>15148</v>
      </c>
      <c r="AC194" t="s">
        <v>2032</v>
      </c>
      <c r="AE194" t="s">
        <v>1349</v>
      </c>
      <c r="AF194" t="s">
        <v>17481</v>
      </c>
      <c r="AH194" t="s">
        <v>15147</v>
      </c>
      <c r="AI194" t="s">
        <v>903</v>
      </c>
      <c r="AJ194" s="8" t="str">
        <f>"04970"</f>
        <v>04970</v>
      </c>
      <c r="AK194" t="s">
        <v>118</v>
      </c>
      <c r="AM194" s="10">
        <v>12078645671</v>
      </c>
      <c r="AO194" t="s">
        <v>15149</v>
      </c>
      <c r="AP194" t="s">
        <v>121</v>
      </c>
      <c r="AQ194" t="s">
        <v>15150</v>
      </c>
      <c r="AR194" t="s">
        <v>15151</v>
      </c>
      <c r="AT194" t="s">
        <v>15152</v>
      </c>
      <c r="AU194" t="s">
        <v>4617</v>
      </c>
      <c r="AV194" t="s">
        <v>5539</v>
      </c>
      <c r="AW194" t="s">
        <v>6049</v>
      </c>
      <c r="AX194" s="8" t="str">
        <f>"20006"</f>
        <v>20006</v>
      </c>
      <c r="AY194" t="s">
        <v>118</v>
      </c>
      <c r="BA194" s="10">
        <v>12026743609</v>
      </c>
      <c r="BC194" t="s">
        <v>15153</v>
      </c>
      <c r="BD194" t="s">
        <v>15154</v>
      </c>
      <c r="BE194" t="s">
        <v>158</v>
      </c>
      <c r="BF194" t="s">
        <v>2364</v>
      </c>
      <c r="BG194" t="s">
        <v>903</v>
      </c>
      <c r="BH194" s="1">
        <v>45237.791666666664</v>
      </c>
      <c r="BI194">
        <v>40</v>
      </c>
      <c r="BJ194">
        <v>0</v>
      </c>
      <c r="BK194">
        <v>8</v>
      </c>
      <c r="BL194">
        <v>8</v>
      </c>
      <c r="BM194">
        <v>8</v>
      </c>
      <c r="BN194">
        <v>8</v>
      </c>
      <c r="BO194">
        <v>8</v>
      </c>
      <c r="BP194">
        <v>0</v>
      </c>
      <c r="BQ194" t="str">
        <f>"6:00 AM"</f>
        <v>6:00 AM</v>
      </c>
      <c r="BR194" t="str">
        <f>"3:00 PM"</f>
        <v>3:00 PM</v>
      </c>
      <c r="BS194" t="s">
        <v>131</v>
      </c>
      <c r="BT194">
        <v>0</v>
      </c>
      <c r="BU194">
        <v>0</v>
      </c>
      <c r="BV194" t="s">
        <v>114</v>
      </c>
      <c r="BX194" s="2" t="s">
        <v>17482</v>
      </c>
      <c r="BY194" t="s">
        <v>15146</v>
      </c>
      <c r="CA194" t="s">
        <v>15147</v>
      </c>
      <c r="CB194" t="s">
        <v>903</v>
      </c>
      <c r="CC194" s="8" t="str">
        <f>"04970"</f>
        <v>04970</v>
      </c>
      <c r="CD194" t="s">
        <v>15156</v>
      </c>
      <c r="CE194" t="s">
        <v>2771</v>
      </c>
      <c r="CF194" s="12">
        <v>18.170000000000002</v>
      </c>
      <c r="CG194" s="12">
        <v>18.170000000000002</v>
      </c>
      <c r="CH194" s="12">
        <v>27.26</v>
      </c>
      <c r="CI194" s="12">
        <v>27.26</v>
      </c>
      <c r="CJ194" t="s">
        <v>135</v>
      </c>
      <c r="CK194" t="s">
        <v>17483</v>
      </c>
      <c r="CL194" t="s">
        <v>17484</v>
      </c>
      <c r="CO194" t="s">
        <v>136</v>
      </c>
      <c r="CP194" t="s">
        <v>114</v>
      </c>
      <c r="CQ194" t="s">
        <v>114</v>
      </c>
      <c r="CR194" t="s">
        <v>136</v>
      </c>
      <c r="CS194" t="s">
        <v>136</v>
      </c>
      <c r="CT194" t="s">
        <v>136</v>
      </c>
      <c r="CU194" t="s">
        <v>136</v>
      </c>
      <c r="CV194" t="s">
        <v>17485</v>
      </c>
      <c r="CW194" s="10" t="str">
        <f>"+12078645671"</f>
        <v>+12078645671</v>
      </c>
      <c r="CX194" t="s">
        <v>15160</v>
      </c>
      <c r="CY194" t="s">
        <v>17486</v>
      </c>
      <c r="CZ194" t="s">
        <v>137</v>
      </c>
      <c r="DA194" t="s">
        <v>114</v>
      </c>
      <c r="DB194" t="s">
        <v>114</v>
      </c>
      <c r="DC194" t="s">
        <v>136</v>
      </c>
      <c r="DD194" t="s">
        <v>114</v>
      </c>
    </row>
    <row r="195" spans="1:113" ht="15" customHeight="1" x14ac:dyDescent="0.25">
      <c r="A195" t="s">
        <v>12494</v>
      </c>
      <c r="B195" t="s">
        <v>152</v>
      </c>
      <c r="C195" s="1">
        <v>45237.758721990744</v>
      </c>
      <c r="D195" s="1">
        <v>45286</v>
      </c>
      <c r="E195" t="s">
        <v>132</v>
      </c>
      <c r="F195" t="s">
        <v>2230</v>
      </c>
      <c r="G195" t="str">
        <f>"37-3011.00"</f>
        <v>37-3011.00</v>
      </c>
      <c r="H195" t="s">
        <v>429</v>
      </c>
      <c r="I195">
        <v>10</v>
      </c>
      <c r="J195">
        <v>10</v>
      </c>
      <c r="K195" s="1">
        <v>45323</v>
      </c>
      <c r="L195" s="1">
        <v>45626</v>
      </c>
      <c r="M195" s="1">
        <v>45323</v>
      </c>
      <c r="N195" s="1">
        <v>45626</v>
      </c>
      <c r="O195" t="s">
        <v>238</v>
      </c>
      <c r="P195" t="s">
        <v>12495</v>
      </c>
      <c r="R195" t="s">
        <v>12496</v>
      </c>
      <c r="T195" t="s">
        <v>1994</v>
      </c>
      <c r="U195" t="s">
        <v>434</v>
      </c>
      <c r="V195" s="8" t="str">
        <f>"19008"</f>
        <v>19008</v>
      </c>
      <c r="W195" t="s">
        <v>118</v>
      </c>
      <c r="Y195" s="10">
        <v>16105589104</v>
      </c>
      <c r="AA195">
        <v>56173</v>
      </c>
      <c r="AB195" t="s">
        <v>10860</v>
      </c>
      <c r="AC195" t="s">
        <v>3496</v>
      </c>
      <c r="AE195" t="s">
        <v>629</v>
      </c>
      <c r="AF195" t="s">
        <v>12496</v>
      </c>
      <c r="AH195" t="s">
        <v>1994</v>
      </c>
      <c r="AI195" t="s">
        <v>434</v>
      </c>
      <c r="AJ195" s="8" t="str">
        <f>"19008"</f>
        <v>19008</v>
      </c>
      <c r="AK195" t="s">
        <v>118</v>
      </c>
      <c r="AM195" s="10">
        <v>16105589104</v>
      </c>
      <c r="AO195" t="s">
        <v>12497</v>
      </c>
      <c r="AP195" t="s">
        <v>121</v>
      </c>
      <c r="AQ195" t="s">
        <v>2236</v>
      </c>
      <c r="AR195" t="s">
        <v>2237</v>
      </c>
      <c r="AS195" t="s">
        <v>2238</v>
      </c>
      <c r="AT195" t="s">
        <v>3668</v>
      </c>
      <c r="AV195" t="s">
        <v>3669</v>
      </c>
      <c r="AW195" t="s">
        <v>1427</v>
      </c>
      <c r="AX195" s="8" t="str">
        <f>"19934"</f>
        <v>19934</v>
      </c>
      <c r="AY195" t="s">
        <v>118</v>
      </c>
      <c r="BA195" s="10">
        <v>16103485354</v>
      </c>
      <c r="BC195" t="s">
        <v>2240</v>
      </c>
      <c r="BD195" t="s">
        <v>2241</v>
      </c>
      <c r="BE195" t="s">
        <v>434</v>
      </c>
      <c r="BF195" t="s">
        <v>2242</v>
      </c>
      <c r="BG195" t="s">
        <v>434</v>
      </c>
      <c r="BH195" s="1">
        <v>45236.791666666664</v>
      </c>
      <c r="BI195">
        <v>50</v>
      </c>
      <c r="BJ195">
        <v>0</v>
      </c>
      <c r="BK195">
        <v>8</v>
      </c>
      <c r="BL195">
        <v>8</v>
      </c>
      <c r="BM195">
        <v>8</v>
      </c>
      <c r="BN195">
        <v>8</v>
      </c>
      <c r="BO195">
        <v>8</v>
      </c>
      <c r="BP195">
        <v>10</v>
      </c>
      <c r="BQ195" t="str">
        <f>"7:00 AM"</f>
        <v>7:00 AM</v>
      </c>
      <c r="BR195" t="str">
        <f>"3:30 PM"</f>
        <v>3:30 PM</v>
      </c>
      <c r="BS195" t="s">
        <v>131</v>
      </c>
      <c r="BT195">
        <v>0</v>
      </c>
      <c r="BU195">
        <v>0</v>
      </c>
      <c r="BV195" t="s">
        <v>114</v>
      </c>
      <c r="BX195" s="2" t="s">
        <v>2243</v>
      </c>
      <c r="BY195" t="s">
        <v>12498</v>
      </c>
      <c r="CA195" t="s">
        <v>3671</v>
      </c>
      <c r="CB195" t="s">
        <v>434</v>
      </c>
      <c r="CC195" s="8" t="str">
        <f>"19014"</f>
        <v>19014</v>
      </c>
      <c r="CD195" t="s">
        <v>442</v>
      </c>
      <c r="CE195" t="s">
        <v>443</v>
      </c>
      <c r="CF195" s="12">
        <v>18.71</v>
      </c>
      <c r="CG195" s="12">
        <v>18.71</v>
      </c>
      <c r="CH195" s="12">
        <v>28.07</v>
      </c>
      <c r="CI195" s="12">
        <v>28.07</v>
      </c>
      <c r="CJ195" t="s">
        <v>135</v>
      </c>
      <c r="CL195" t="s">
        <v>12499</v>
      </c>
      <c r="CO195" t="s">
        <v>132</v>
      </c>
      <c r="CP195" t="s">
        <v>136</v>
      </c>
      <c r="CQ195" t="s">
        <v>136</v>
      </c>
      <c r="CR195" t="s">
        <v>136</v>
      </c>
      <c r="CS195" t="s">
        <v>136</v>
      </c>
      <c r="CT195" t="s">
        <v>136</v>
      </c>
      <c r="CU195" t="s">
        <v>114</v>
      </c>
      <c r="CV195" t="s">
        <v>2246</v>
      </c>
      <c r="CW195" s="10" t="str">
        <f>"+16106376901"</f>
        <v>+16106376901</v>
      </c>
      <c r="CX195" t="s">
        <v>12497</v>
      </c>
      <c r="CY195" t="s">
        <v>132</v>
      </c>
      <c r="CZ195" t="s">
        <v>137</v>
      </c>
      <c r="DA195" t="s">
        <v>114</v>
      </c>
      <c r="DB195" t="s">
        <v>114</v>
      </c>
      <c r="DC195" t="s">
        <v>136</v>
      </c>
      <c r="DD195" t="s">
        <v>114</v>
      </c>
    </row>
    <row r="196" spans="1:113" ht="15" customHeight="1" x14ac:dyDescent="0.25">
      <c r="A196" t="s">
        <v>18925</v>
      </c>
      <c r="B196" t="s">
        <v>152</v>
      </c>
      <c r="C196" s="1">
        <v>45229.751832638889</v>
      </c>
      <c r="D196" s="1">
        <v>45286</v>
      </c>
      <c r="E196" t="s">
        <v>132</v>
      </c>
      <c r="F196" t="s">
        <v>945</v>
      </c>
      <c r="G196" t="str">
        <f>"49-9098.00"</f>
        <v>49-9098.00</v>
      </c>
      <c r="H196" t="s">
        <v>945</v>
      </c>
      <c r="I196">
        <v>10</v>
      </c>
      <c r="J196">
        <v>10</v>
      </c>
      <c r="K196" s="1">
        <v>45304</v>
      </c>
      <c r="L196" s="1">
        <v>45383</v>
      </c>
      <c r="M196" s="1">
        <v>45304</v>
      </c>
      <c r="N196" s="1">
        <v>45383</v>
      </c>
      <c r="O196" t="s">
        <v>184</v>
      </c>
      <c r="P196" t="s">
        <v>18926</v>
      </c>
      <c r="Q196" t="s">
        <v>18927</v>
      </c>
      <c r="R196" t="s">
        <v>18928</v>
      </c>
      <c r="T196" t="s">
        <v>18929</v>
      </c>
      <c r="U196" t="s">
        <v>434</v>
      </c>
      <c r="V196" s="8" t="str">
        <f>"18640"</f>
        <v>18640</v>
      </c>
      <c r="W196" t="s">
        <v>118</v>
      </c>
      <c r="Y196" s="10">
        <v>15706552811</v>
      </c>
      <c r="Z196" s="3" t="s">
        <v>256</v>
      </c>
      <c r="AA196">
        <v>332321</v>
      </c>
      <c r="AB196" t="s">
        <v>18930</v>
      </c>
      <c r="AC196" t="s">
        <v>4170</v>
      </c>
      <c r="AD196" t="s">
        <v>150</v>
      </c>
      <c r="AE196" t="s">
        <v>629</v>
      </c>
      <c r="AF196" t="s">
        <v>18931</v>
      </c>
      <c r="AH196" t="s">
        <v>18929</v>
      </c>
      <c r="AI196" t="s">
        <v>434</v>
      </c>
      <c r="AJ196" s="8" t="str">
        <f>"18640"</f>
        <v>18640</v>
      </c>
      <c r="AK196" t="s">
        <v>118</v>
      </c>
      <c r="AM196" s="10">
        <v>15707048374</v>
      </c>
      <c r="AN196" s="3" t="s">
        <v>256</v>
      </c>
      <c r="AO196" t="s">
        <v>18932</v>
      </c>
      <c r="AP196" t="s">
        <v>248</v>
      </c>
      <c r="AQ196" t="s">
        <v>249</v>
      </c>
      <c r="AR196" t="s">
        <v>250</v>
      </c>
      <c r="AS196" t="s">
        <v>251</v>
      </c>
      <c r="AT196" t="s">
        <v>252</v>
      </c>
      <c r="AU196" t="s">
        <v>253</v>
      </c>
      <c r="AV196" t="s">
        <v>254</v>
      </c>
      <c r="AW196" t="s">
        <v>127</v>
      </c>
      <c r="AX196" s="8" t="str">
        <f>"78550"</f>
        <v>78550</v>
      </c>
      <c r="AY196" t="s">
        <v>118</v>
      </c>
      <c r="AZ196" t="s">
        <v>692</v>
      </c>
      <c r="BA196" s="10">
        <v>19564408720</v>
      </c>
      <c r="BB196" s="3" t="s">
        <v>256</v>
      </c>
      <c r="BC196" t="s">
        <v>338</v>
      </c>
      <c r="BD196" t="s">
        <v>258</v>
      </c>
      <c r="BG196" t="s">
        <v>434</v>
      </c>
      <c r="BH196" s="1">
        <v>45228.833333333336</v>
      </c>
      <c r="BI196">
        <v>40</v>
      </c>
      <c r="BJ196">
        <v>0</v>
      </c>
      <c r="BK196">
        <v>8</v>
      </c>
      <c r="BL196">
        <v>8</v>
      </c>
      <c r="BM196">
        <v>8</v>
      </c>
      <c r="BN196">
        <v>8</v>
      </c>
      <c r="BO196">
        <v>8</v>
      </c>
      <c r="BP196">
        <v>0</v>
      </c>
      <c r="BQ196" t="str">
        <f>"6:00 AM"</f>
        <v>6:00 AM</v>
      </c>
      <c r="BR196" t="str">
        <f>"2:30 PM"</f>
        <v>2:30 PM</v>
      </c>
      <c r="BS196" t="s">
        <v>131</v>
      </c>
      <c r="BT196">
        <v>0</v>
      </c>
      <c r="BU196">
        <v>0</v>
      </c>
      <c r="BV196" t="s">
        <v>114</v>
      </c>
      <c r="BX196" s="2" t="s">
        <v>18933</v>
      </c>
      <c r="BY196" t="s">
        <v>18931</v>
      </c>
      <c r="CA196" t="s">
        <v>18934</v>
      </c>
      <c r="CB196" t="s">
        <v>434</v>
      </c>
      <c r="CC196" s="8" t="str">
        <f>"18640"</f>
        <v>18640</v>
      </c>
      <c r="CD196" t="s">
        <v>16093</v>
      </c>
      <c r="CE196" t="s">
        <v>3616</v>
      </c>
      <c r="CF196" s="12">
        <v>15.77</v>
      </c>
      <c r="CG196" s="12">
        <v>15.77</v>
      </c>
      <c r="CJ196" t="s">
        <v>135</v>
      </c>
      <c r="CK196" t="s">
        <v>342</v>
      </c>
      <c r="CL196" t="s">
        <v>18935</v>
      </c>
      <c r="CO196" t="s">
        <v>132</v>
      </c>
      <c r="CP196" t="s">
        <v>114</v>
      </c>
      <c r="CQ196" t="s">
        <v>136</v>
      </c>
      <c r="CR196" t="s">
        <v>114</v>
      </c>
      <c r="CS196" t="s">
        <v>136</v>
      </c>
      <c r="CT196" t="s">
        <v>136</v>
      </c>
      <c r="CU196" t="s">
        <v>136</v>
      </c>
      <c r="CV196" t="s">
        <v>16321</v>
      </c>
      <c r="CW196" s="10" t="str">
        <f>"+15706652811"</f>
        <v>+15706652811</v>
      </c>
      <c r="CX196" t="s">
        <v>18932</v>
      </c>
      <c r="CY196" t="s">
        <v>18936</v>
      </c>
      <c r="CZ196" t="s">
        <v>137</v>
      </c>
      <c r="DA196" t="s">
        <v>114</v>
      </c>
      <c r="DB196" t="s">
        <v>136</v>
      </c>
      <c r="DC196" t="s">
        <v>136</v>
      </c>
      <c r="DD196" t="s">
        <v>114</v>
      </c>
    </row>
    <row r="197" spans="1:113" ht="15" customHeight="1" x14ac:dyDescent="0.25">
      <c r="A197" t="s">
        <v>15301</v>
      </c>
      <c r="B197" t="s">
        <v>152</v>
      </c>
      <c r="C197" s="1">
        <v>45215.985769675928</v>
      </c>
      <c r="D197" s="1">
        <v>45286</v>
      </c>
      <c r="E197" t="s">
        <v>132</v>
      </c>
      <c r="F197" t="s">
        <v>700</v>
      </c>
      <c r="G197" t="str">
        <f>"37-3011.00"</f>
        <v>37-3011.00</v>
      </c>
      <c r="H197" t="s">
        <v>429</v>
      </c>
      <c r="I197">
        <v>19</v>
      </c>
      <c r="J197">
        <v>19</v>
      </c>
      <c r="K197" s="1">
        <v>45291</v>
      </c>
      <c r="L197" s="1">
        <v>45382</v>
      </c>
      <c r="M197" s="1">
        <v>45291</v>
      </c>
      <c r="N197" s="1">
        <v>45382</v>
      </c>
      <c r="O197" t="s">
        <v>238</v>
      </c>
      <c r="P197" t="s">
        <v>15302</v>
      </c>
      <c r="R197" t="s">
        <v>15303</v>
      </c>
      <c r="T197" t="s">
        <v>13636</v>
      </c>
      <c r="U197" t="s">
        <v>984</v>
      </c>
      <c r="V197" s="8" t="str">
        <f>"63069"</f>
        <v>63069</v>
      </c>
      <c r="W197" t="s">
        <v>118</v>
      </c>
      <c r="Y197" s="10">
        <v>16364857302</v>
      </c>
      <c r="AA197">
        <v>56173</v>
      </c>
      <c r="AB197" t="s">
        <v>15304</v>
      </c>
      <c r="AC197" t="s">
        <v>3051</v>
      </c>
      <c r="AE197" t="s">
        <v>561</v>
      </c>
      <c r="AF197" t="s">
        <v>15303</v>
      </c>
      <c r="AH197" t="s">
        <v>13636</v>
      </c>
      <c r="AI197" t="s">
        <v>984</v>
      </c>
      <c r="AJ197" s="8" t="str">
        <f>"63069"</f>
        <v>63069</v>
      </c>
      <c r="AK197" t="s">
        <v>118</v>
      </c>
      <c r="AM197" s="10">
        <v>16364857302</v>
      </c>
      <c r="AO197" t="s">
        <v>796</v>
      </c>
      <c r="AP197" t="s">
        <v>121</v>
      </c>
      <c r="AQ197" t="s">
        <v>1172</v>
      </c>
      <c r="AR197" t="s">
        <v>1173</v>
      </c>
      <c r="AS197" t="s">
        <v>708</v>
      </c>
      <c r="AT197" t="s">
        <v>1174</v>
      </c>
      <c r="AV197" t="s">
        <v>603</v>
      </c>
      <c r="AW197" t="s">
        <v>127</v>
      </c>
      <c r="AX197" s="8" t="str">
        <f>"78705"</f>
        <v>78705</v>
      </c>
      <c r="AY197" t="s">
        <v>118</v>
      </c>
      <c r="BA197" s="10">
        <v>15123470007</v>
      </c>
      <c r="BC197" t="s">
        <v>1175</v>
      </c>
      <c r="BD197" t="s">
        <v>1176</v>
      </c>
      <c r="BE197" t="s">
        <v>127</v>
      </c>
      <c r="BF197" t="s">
        <v>750</v>
      </c>
      <c r="BG197" t="s">
        <v>984</v>
      </c>
      <c r="BH197" s="1">
        <v>45214.833333333336</v>
      </c>
      <c r="BI197">
        <v>40</v>
      </c>
      <c r="BJ197">
        <v>0</v>
      </c>
      <c r="BK197">
        <v>8</v>
      </c>
      <c r="BL197">
        <v>8</v>
      </c>
      <c r="BM197">
        <v>8</v>
      </c>
      <c r="BN197">
        <v>8</v>
      </c>
      <c r="BO197">
        <v>8</v>
      </c>
      <c r="BP197">
        <v>0</v>
      </c>
      <c r="BQ197" t="str">
        <f>"7:00 AM"</f>
        <v>7:00 AM</v>
      </c>
      <c r="BR197" t="str">
        <f>"4:00 PM"</f>
        <v>4:00 PM</v>
      </c>
      <c r="BS197" t="s">
        <v>131</v>
      </c>
      <c r="BT197">
        <v>0</v>
      </c>
      <c r="BU197">
        <v>0</v>
      </c>
      <c r="BV197" t="s">
        <v>114</v>
      </c>
      <c r="BX197" t="s">
        <v>15305</v>
      </c>
      <c r="BY197" t="s">
        <v>15303</v>
      </c>
      <c r="CA197" t="s">
        <v>13636</v>
      </c>
      <c r="CB197" t="s">
        <v>984</v>
      </c>
      <c r="CC197" s="8" t="str">
        <f>"63069"</f>
        <v>63069</v>
      </c>
      <c r="CD197" t="s">
        <v>535</v>
      </c>
      <c r="CE197" t="s">
        <v>1856</v>
      </c>
      <c r="CF197" s="12">
        <v>17.579999999999998</v>
      </c>
      <c r="CG197" s="12">
        <v>17.579999999999998</v>
      </c>
      <c r="CH197" s="12">
        <v>26.37</v>
      </c>
      <c r="CI197" s="12">
        <v>26.37</v>
      </c>
      <c r="CJ197" t="s">
        <v>135</v>
      </c>
      <c r="CL197" t="s">
        <v>15306</v>
      </c>
      <c r="CO197" t="s">
        <v>132</v>
      </c>
      <c r="CP197" t="s">
        <v>136</v>
      </c>
      <c r="CQ197" t="s">
        <v>136</v>
      </c>
      <c r="CR197" t="s">
        <v>136</v>
      </c>
      <c r="CS197" t="s">
        <v>136</v>
      </c>
      <c r="CT197" t="s">
        <v>136</v>
      </c>
      <c r="CU197" t="s">
        <v>136</v>
      </c>
      <c r="CV197" s="2" t="s">
        <v>15307</v>
      </c>
      <c r="CW197" s="10" t="str">
        <f>"+16364857302"</f>
        <v>+16364857302</v>
      </c>
      <c r="CX197" t="s">
        <v>15308</v>
      </c>
      <c r="CY197" t="s">
        <v>132</v>
      </c>
      <c r="CZ197" t="s">
        <v>137</v>
      </c>
      <c r="DA197" t="s">
        <v>114</v>
      </c>
      <c r="DB197" t="s">
        <v>114</v>
      </c>
      <c r="DC197" t="s">
        <v>136</v>
      </c>
      <c r="DD197" t="s">
        <v>114</v>
      </c>
    </row>
    <row r="198" spans="1:113" ht="15" customHeight="1" x14ac:dyDescent="0.25">
      <c r="A198" t="s">
        <v>5349</v>
      </c>
      <c r="B198" t="s">
        <v>152</v>
      </c>
      <c r="C198" s="1">
        <v>45211.82649201389</v>
      </c>
      <c r="D198" s="1">
        <v>45286</v>
      </c>
      <c r="E198" t="s">
        <v>132</v>
      </c>
      <c r="F198" t="s">
        <v>449</v>
      </c>
      <c r="G198" t="str">
        <f>"37-2012.00"</f>
        <v>37-2012.00</v>
      </c>
      <c r="H198" t="s">
        <v>205</v>
      </c>
      <c r="I198">
        <v>10</v>
      </c>
      <c r="J198">
        <v>10</v>
      </c>
      <c r="K198" s="1">
        <v>45286</v>
      </c>
      <c r="L198" s="1">
        <v>45561</v>
      </c>
      <c r="M198" s="1">
        <v>45286</v>
      </c>
      <c r="N198" s="1">
        <v>45561</v>
      </c>
      <c r="O198" t="s">
        <v>238</v>
      </c>
      <c r="P198" t="s">
        <v>5350</v>
      </c>
      <c r="R198" t="s">
        <v>5351</v>
      </c>
      <c r="T198" t="s">
        <v>5352</v>
      </c>
      <c r="U198" t="s">
        <v>211</v>
      </c>
      <c r="V198" s="8" t="str">
        <f>"84755"</f>
        <v>84755</v>
      </c>
      <c r="W198" t="s">
        <v>118</v>
      </c>
      <c r="Y198" s="10">
        <v>14356328347</v>
      </c>
      <c r="AA198">
        <v>721110</v>
      </c>
      <c r="AB198" t="s">
        <v>5353</v>
      </c>
      <c r="AC198" t="s">
        <v>5354</v>
      </c>
      <c r="AE198" t="s">
        <v>5355</v>
      </c>
      <c r="AF198" t="s">
        <v>5351</v>
      </c>
      <c r="AH198" t="s">
        <v>5352</v>
      </c>
      <c r="AI198" t="s">
        <v>211</v>
      </c>
      <c r="AJ198" s="8" t="str">
        <f>"84755"</f>
        <v>84755</v>
      </c>
      <c r="AK198" t="s">
        <v>118</v>
      </c>
      <c r="AM198" s="10">
        <v>14356328347</v>
      </c>
      <c r="AO198" t="s">
        <v>5356</v>
      </c>
      <c r="AP198" t="s">
        <v>121</v>
      </c>
      <c r="AQ198" t="s">
        <v>5357</v>
      </c>
      <c r="AR198" t="s">
        <v>5358</v>
      </c>
      <c r="AS198" t="s">
        <v>2998</v>
      </c>
      <c r="AT198" t="s">
        <v>5359</v>
      </c>
      <c r="AU198" t="s">
        <v>5360</v>
      </c>
      <c r="AV198" t="s">
        <v>2968</v>
      </c>
      <c r="AW198" t="s">
        <v>402</v>
      </c>
      <c r="AX198" s="8" t="str">
        <f>"90067"</f>
        <v>90067</v>
      </c>
      <c r="AY198" t="s">
        <v>118</v>
      </c>
      <c r="BA198" s="10">
        <v>13232827770</v>
      </c>
      <c r="BC198" t="s">
        <v>5361</v>
      </c>
      <c r="BD198" t="s">
        <v>5362</v>
      </c>
      <c r="BE198" t="s">
        <v>402</v>
      </c>
      <c r="BF198" t="s">
        <v>4644</v>
      </c>
      <c r="BG198" t="s">
        <v>211</v>
      </c>
      <c r="BH198" s="1">
        <v>45210.833333333336</v>
      </c>
      <c r="BI198">
        <v>40</v>
      </c>
      <c r="BJ198">
        <v>0</v>
      </c>
      <c r="BK198">
        <v>8</v>
      </c>
      <c r="BL198">
        <v>8</v>
      </c>
      <c r="BM198">
        <v>8</v>
      </c>
      <c r="BN198">
        <v>8</v>
      </c>
      <c r="BO198">
        <v>8</v>
      </c>
      <c r="BP198">
        <v>0</v>
      </c>
      <c r="BQ198" t="str">
        <f>"9:00 AM"</f>
        <v>9:00 AM</v>
      </c>
      <c r="BR198" t="str">
        <f>"5:00 PM"</f>
        <v>5:00 PM</v>
      </c>
      <c r="BS198" t="s">
        <v>131</v>
      </c>
      <c r="BT198">
        <v>0</v>
      </c>
      <c r="BU198">
        <v>0</v>
      </c>
      <c r="BV198" t="s">
        <v>114</v>
      </c>
      <c r="BX198" t="s">
        <v>132</v>
      </c>
      <c r="BY198" t="s">
        <v>5351</v>
      </c>
      <c r="CA198" t="s">
        <v>5352</v>
      </c>
      <c r="CB198" t="s">
        <v>211</v>
      </c>
      <c r="CC198" s="8" t="str">
        <f>"84755"</f>
        <v>84755</v>
      </c>
      <c r="CD198" t="s">
        <v>2474</v>
      </c>
      <c r="CE198" t="s">
        <v>5363</v>
      </c>
      <c r="CF198" s="12">
        <v>12.53</v>
      </c>
      <c r="CH198" s="12">
        <v>18.8</v>
      </c>
      <c r="CJ198" t="s">
        <v>135</v>
      </c>
      <c r="CL198" t="s">
        <v>5364</v>
      </c>
      <c r="CO198" t="s">
        <v>132</v>
      </c>
      <c r="CP198" t="s">
        <v>114</v>
      </c>
      <c r="CQ198" t="s">
        <v>136</v>
      </c>
      <c r="CR198" t="s">
        <v>136</v>
      </c>
      <c r="CS198" t="s">
        <v>136</v>
      </c>
      <c r="CT198" t="s">
        <v>136</v>
      </c>
      <c r="CU198" t="s">
        <v>114</v>
      </c>
      <c r="CV198" t="s">
        <v>5365</v>
      </c>
      <c r="CW198" s="10" t="str">
        <f>"+14356328347"</f>
        <v>+14356328347</v>
      </c>
      <c r="CX198" t="s">
        <v>5356</v>
      </c>
      <c r="CY198" t="s">
        <v>132</v>
      </c>
      <c r="CZ198" t="s">
        <v>137</v>
      </c>
      <c r="DA198" t="s">
        <v>114</v>
      </c>
      <c r="DB198" t="s">
        <v>114</v>
      </c>
      <c r="DC198" t="s">
        <v>136</v>
      </c>
      <c r="DD198" t="s">
        <v>114</v>
      </c>
    </row>
    <row r="199" spans="1:113" ht="15" customHeight="1" x14ac:dyDescent="0.25">
      <c r="A199" t="s">
        <v>15001</v>
      </c>
      <c r="B199" t="s">
        <v>152</v>
      </c>
      <c r="C199" s="1">
        <v>45183.450035995367</v>
      </c>
      <c r="D199" s="1">
        <v>45286</v>
      </c>
      <c r="E199" t="s">
        <v>132</v>
      </c>
      <c r="F199" t="s">
        <v>9452</v>
      </c>
      <c r="G199" t="str">
        <f>"49-9098.00"</f>
        <v>49-9098.00</v>
      </c>
      <c r="H199" t="s">
        <v>945</v>
      </c>
      <c r="I199">
        <v>4</v>
      </c>
      <c r="J199">
        <v>4</v>
      </c>
      <c r="K199" s="1">
        <v>45261</v>
      </c>
      <c r="L199" s="1">
        <v>45412</v>
      </c>
      <c r="M199" s="1">
        <v>45261</v>
      </c>
      <c r="N199" s="1">
        <v>45412</v>
      </c>
      <c r="O199" t="s">
        <v>116</v>
      </c>
      <c r="P199" t="s">
        <v>15002</v>
      </c>
      <c r="R199" t="s">
        <v>5489</v>
      </c>
      <c r="T199" t="s">
        <v>2564</v>
      </c>
      <c r="U199" t="s">
        <v>127</v>
      </c>
      <c r="V199" s="8" t="str">
        <f>"77017"</f>
        <v>77017</v>
      </c>
      <c r="W199" t="s">
        <v>118</v>
      </c>
      <c r="Y199" s="10">
        <v>17138477120</v>
      </c>
      <c r="AA199">
        <v>56173</v>
      </c>
      <c r="AB199" t="s">
        <v>5490</v>
      </c>
      <c r="AC199" t="s">
        <v>5491</v>
      </c>
      <c r="AE199" t="s">
        <v>5492</v>
      </c>
      <c r="AF199" t="s">
        <v>5489</v>
      </c>
      <c r="AH199" t="s">
        <v>2564</v>
      </c>
      <c r="AI199" t="s">
        <v>127</v>
      </c>
      <c r="AJ199" s="8" t="str">
        <f>"77017"</f>
        <v>77017</v>
      </c>
      <c r="AK199" t="s">
        <v>118</v>
      </c>
      <c r="AM199" s="10">
        <v>17138477120</v>
      </c>
      <c r="AO199" t="s">
        <v>132</v>
      </c>
      <c r="AP199" t="s">
        <v>248</v>
      </c>
      <c r="AQ199" t="s">
        <v>577</v>
      </c>
      <c r="AR199" t="s">
        <v>578</v>
      </c>
      <c r="AT199" t="s">
        <v>579</v>
      </c>
      <c r="AV199" t="s">
        <v>580</v>
      </c>
      <c r="AW199" t="s">
        <v>581</v>
      </c>
      <c r="AX199" s="8" t="str">
        <f>"22903"</f>
        <v>22903</v>
      </c>
      <c r="AY199" t="s">
        <v>118</v>
      </c>
      <c r="BA199" s="10">
        <v>14342634300</v>
      </c>
      <c r="BC199" t="s">
        <v>582</v>
      </c>
      <c r="BD199" t="s">
        <v>583</v>
      </c>
      <c r="BG199" t="s">
        <v>127</v>
      </c>
      <c r="BH199" s="1">
        <v>45182.833333333336</v>
      </c>
      <c r="BI199">
        <v>40</v>
      </c>
      <c r="BJ199">
        <v>0</v>
      </c>
      <c r="BK199">
        <v>8</v>
      </c>
      <c r="BL199">
        <v>8</v>
      </c>
      <c r="BM199">
        <v>8</v>
      </c>
      <c r="BN199">
        <v>8</v>
      </c>
      <c r="BO199">
        <v>8</v>
      </c>
      <c r="BP199">
        <v>0</v>
      </c>
      <c r="BQ199" t="str">
        <f>"6:00 AM"</f>
        <v>6:00 AM</v>
      </c>
      <c r="BR199" t="str">
        <f>"2:30 PM"</f>
        <v>2:30 PM</v>
      </c>
      <c r="BS199" t="s">
        <v>131</v>
      </c>
      <c r="BT199">
        <v>0</v>
      </c>
      <c r="BU199">
        <v>0</v>
      </c>
      <c r="BV199" t="s">
        <v>114</v>
      </c>
      <c r="BX199" s="2" t="s">
        <v>11127</v>
      </c>
      <c r="BY199" t="s">
        <v>15003</v>
      </c>
      <c r="CA199" t="s">
        <v>13351</v>
      </c>
      <c r="CB199" t="s">
        <v>127</v>
      </c>
      <c r="CC199" s="8" t="str">
        <f>"77017"</f>
        <v>77017</v>
      </c>
      <c r="CD199" t="s">
        <v>3327</v>
      </c>
      <c r="CE199" t="s">
        <v>879</v>
      </c>
      <c r="CF199" s="12">
        <v>16.98</v>
      </c>
      <c r="CH199" s="12">
        <v>25.47</v>
      </c>
      <c r="CI199" s="12">
        <v>25.47</v>
      </c>
      <c r="CJ199" t="s">
        <v>135</v>
      </c>
      <c r="CK199" t="s">
        <v>590</v>
      </c>
      <c r="CL199" t="s">
        <v>15004</v>
      </c>
      <c r="CO199" t="s">
        <v>132</v>
      </c>
      <c r="CP199" t="s">
        <v>114</v>
      </c>
      <c r="CQ199" t="s">
        <v>114</v>
      </c>
      <c r="CR199" t="s">
        <v>136</v>
      </c>
      <c r="CS199" t="s">
        <v>136</v>
      </c>
      <c r="CT199" t="s">
        <v>136</v>
      </c>
      <c r="CU199" t="s">
        <v>136</v>
      </c>
      <c r="CV199" t="s">
        <v>15005</v>
      </c>
      <c r="CW199" s="10" t="str">
        <f>"N/A"</f>
        <v>N/A</v>
      </c>
      <c r="CX199" t="s">
        <v>5494</v>
      </c>
      <c r="CY199" t="s">
        <v>1853</v>
      </c>
      <c r="CZ199" t="s">
        <v>137</v>
      </c>
      <c r="DA199" t="s">
        <v>114</v>
      </c>
      <c r="DB199" t="s">
        <v>114</v>
      </c>
      <c r="DC199" t="s">
        <v>136</v>
      </c>
      <c r="DD199" t="s">
        <v>114</v>
      </c>
      <c r="DE199" t="s">
        <v>595</v>
      </c>
      <c r="DF199" t="s">
        <v>596</v>
      </c>
      <c r="DH199" t="s">
        <v>583</v>
      </c>
      <c r="DI199" t="s">
        <v>582</v>
      </c>
    </row>
    <row r="200" spans="1:113" ht="15" customHeight="1" x14ac:dyDescent="0.25">
      <c r="A200" t="s">
        <v>15309</v>
      </c>
      <c r="B200" t="s">
        <v>152</v>
      </c>
      <c r="C200" s="1">
        <v>45262.001304398145</v>
      </c>
      <c r="D200" s="1">
        <v>45282</v>
      </c>
      <c r="E200" t="s">
        <v>132</v>
      </c>
      <c r="F200" t="s">
        <v>15310</v>
      </c>
      <c r="G200" t="str">
        <f>"43-4081.00"</f>
        <v>43-4081.00</v>
      </c>
      <c r="H200" t="s">
        <v>952</v>
      </c>
      <c r="I200">
        <v>2</v>
      </c>
      <c r="J200">
        <v>2</v>
      </c>
      <c r="K200" s="1">
        <v>45352</v>
      </c>
      <c r="L200" s="1">
        <v>45657</v>
      </c>
      <c r="M200" s="1">
        <v>45352</v>
      </c>
      <c r="N200" s="1">
        <v>45657</v>
      </c>
      <c r="O200" t="s">
        <v>116</v>
      </c>
      <c r="P200" t="s">
        <v>6159</v>
      </c>
      <c r="R200" t="s">
        <v>10996</v>
      </c>
      <c r="T200" t="s">
        <v>1690</v>
      </c>
      <c r="U200" t="s">
        <v>1691</v>
      </c>
      <c r="V200" s="8" t="str">
        <f>"29577"</f>
        <v>29577</v>
      </c>
      <c r="W200" t="s">
        <v>118</v>
      </c>
      <c r="Y200" s="10">
        <v>18439135392</v>
      </c>
      <c r="AA200">
        <v>72111</v>
      </c>
      <c r="AB200" t="s">
        <v>2044</v>
      </c>
      <c r="AC200" t="s">
        <v>2045</v>
      </c>
      <c r="AE200" t="s">
        <v>4835</v>
      </c>
      <c r="AF200" t="s">
        <v>4836</v>
      </c>
      <c r="AH200" t="s">
        <v>955</v>
      </c>
      <c r="AI200" t="s">
        <v>140</v>
      </c>
      <c r="AJ200" s="8" t="str">
        <f>"32819"</f>
        <v>32819</v>
      </c>
      <c r="AK200" t="s">
        <v>118</v>
      </c>
      <c r="AM200" s="10">
        <v>14074056774</v>
      </c>
      <c r="AO200" t="s">
        <v>132</v>
      </c>
      <c r="AP200" t="s">
        <v>248</v>
      </c>
      <c r="AQ200" t="s">
        <v>673</v>
      </c>
      <c r="AR200" t="s">
        <v>674</v>
      </c>
      <c r="AT200" t="s">
        <v>579</v>
      </c>
      <c r="AV200" t="s">
        <v>580</v>
      </c>
      <c r="AW200" t="s">
        <v>581</v>
      </c>
      <c r="AX200" s="8" t="str">
        <f>"22903"</f>
        <v>22903</v>
      </c>
      <c r="AY200" t="s">
        <v>118</v>
      </c>
      <c r="BA200" s="10">
        <v>14342634300</v>
      </c>
      <c r="BC200" t="s">
        <v>675</v>
      </c>
      <c r="BD200" t="s">
        <v>583</v>
      </c>
      <c r="BG200" t="s">
        <v>1691</v>
      </c>
      <c r="BH200" s="1">
        <v>45261.791666666664</v>
      </c>
      <c r="BI200">
        <v>40</v>
      </c>
      <c r="BJ200">
        <v>8</v>
      </c>
      <c r="BK200">
        <v>0</v>
      </c>
      <c r="BL200">
        <v>8</v>
      </c>
      <c r="BM200">
        <v>8</v>
      </c>
      <c r="BN200">
        <v>0</v>
      </c>
      <c r="BO200">
        <v>8</v>
      </c>
      <c r="BP200">
        <v>8</v>
      </c>
      <c r="BQ200" t="str">
        <f>"7:00 AM"</f>
        <v>7:00 AM</v>
      </c>
      <c r="BR200" t="str">
        <f>"3:30 PM"</f>
        <v>3:30 PM</v>
      </c>
      <c r="BS200" t="s">
        <v>131</v>
      </c>
      <c r="BT200">
        <v>0</v>
      </c>
      <c r="BU200">
        <v>0</v>
      </c>
      <c r="BV200" t="s">
        <v>114</v>
      </c>
      <c r="BX200" t="s">
        <v>15199</v>
      </c>
      <c r="BY200" t="s">
        <v>10998</v>
      </c>
      <c r="CA200" t="s">
        <v>1690</v>
      </c>
      <c r="CB200" t="s">
        <v>1691</v>
      </c>
      <c r="CC200" s="8" t="str">
        <f>"29577"</f>
        <v>29577</v>
      </c>
      <c r="CD200" t="s">
        <v>1692</v>
      </c>
      <c r="CE200" t="s">
        <v>1693</v>
      </c>
      <c r="CF200" s="12">
        <v>15</v>
      </c>
      <c r="CG200" s="12">
        <v>15</v>
      </c>
      <c r="CH200" s="12">
        <v>22.5</v>
      </c>
      <c r="CI200" s="12">
        <v>22.5</v>
      </c>
      <c r="CJ200" t="s">
        <v>135</v>
      </c>
      <c r="CK200" t="s">
        <v>590</v>
      </c>
      <c r="CL200" t="s">
        <v>15311</v>
      </c>
      <c r="CO200" t="s">
        <v>132</v>
      </c>
      <c r="CP200" t="s">
        <v>136</v>
      </c>
      <c r="CQ200" t="s">
        <v>114</v>
      </c>
      <c r="CR200" t="s">
        <v>136</v>
      </c>
      <c r="CS200" t="s">
        <v>136</v>
      </c>
      <c r="CT200" t="s">
        <v>136</v>
      </c>
      <c r="CU200" t="s">
        <v>136</v>
      </c>
      <c r="CV200" t="s">
        <v>4987</v>
      </c>
      <c r="CW200" s="10" t="str">
        <f>"+18439135392"</f>
        <v>+18439135392</v>
      </c>
      <c r="CX200" t="s">
        <v>132</v>
      </c>
      <c r="CY200" t="s">
        <v>2004</v>
      </c>
      <c r="CZ200" t="s">
        <v>137</v>
      </c>
      <c r="DA200" t="s">
        <v>114</v>
      </c>
      <c r="DB200" t="s">
        <v>136</v>
      </c>
      <c r="DC200" t="s">
        <v>136</v>
      </c>
      <c r="DD200" t="s">
        <v>114</v>
      </c>
      <c r="DE200" t="s">
        <v>673</v>
      </c>
      <c r="DF200" t="s">
        <v>674</v>
      </c>
      <c r="DH200" t="s">
        <v>583</v>
      </c>
      <c r="DI200" t="s">
        <v>675</v>
      </c>
    </row>
    <row r="201" spans="1:113" ht="15" customHeight="1" x14ac:dyDescent="0.25">
      <c r="A201" t="s">
        <v>14848</v>
      </c>
      <c r="B201" t="s">
        <v>152</v>
      </c>
      <c r="C201" s="1">
        <v>45259.6492</v>
      </c>
      <c r="D201" s="1">
        <v>45282</v>
      </c>
      <c r="E201" t="s">
        <v>132</v>
      </c>
      <c r="F201" t="s">
        <v>236</v>
      </c>
      <c r="G201" t="str">
        <f>"39-3091.00"</f>
        <v>39-3091.00</v>
      </c>
      <c r="H201" t="s">
        <v>237</v>
      </c>
      <c r="I201">
        <v>44</v>
      </c>
      <c r="J201">
        <v>44</v>
      </c>
      <c r="K201" s="1">
        <v>45344</v>
      </c>
      <c r="L201" s="1">
        <v>45636</v>
      </c>
      <c r="M201" s="1">
        <v>45344</v>
      </c>
      <c r="N201" s="1">
        <v>45636</v>
      </c>
      <c r="O201" t="s">
        <v>238</v>
      </c>
      <c r="P201" t="s">
        <v>14849</v>
      </c>
      <c r="R201" t="s">
        <v>14850</v>
      </c>
      <c r="S201" t="s">
        <v>14851</v>
      </c>
      <c r="T201" t="s">
        <v>7591</v>
      </c>
      <c r="U201" t="s">
        <v>117</v>
      </c>
      <c r="V201" s="8" t="str">
        <f>"60411"</f>
        <v>60411</v>
      </c>
      <c r="W201" t="s">
        <v>118</v>
      </c>
      <c r="Y201" s="10">
        <v>17086707449</v>
      </c>
      <c r="AA201">
        <v>7139</v>
      </c>
      <c r="AB201" t="s">
        <v>14852</v>
      </c>
      <c r="AC201" t="s">
        <v>708</v>
      </c>
      <c r="AE201" t="s">
        <v>629</v>
      </c>
      <c r="AF201" t="s">
        <v>14853</v>
      </c>
      <c r="AG201" t="s">
        <v>14854</v>
      </c>
      <c r="AH201" t="s">
        <v>7589</v>
      </c>
      <c r="AI201" t="s">
        <v>117</v>
      </c>
      <c r="AJ201" s="8" t="str">
        <f>"60411"</f>
        <v>60411</v>
      </c>
      <c r="AK201" t="s">
        <v>118</v>
      </c>
      <c r="AM201" s="10">
        <v>17086707449</v>
      </c>
      <c r="AO201" t="s">
        <v>14855</v>
      </c>
      <c r="AP201" t="s">
        <v>248</v>
      </c>
      <c r="AQ201" t="s">
        <v>249</v>
      </c>
      <c r="AR201" t="s">
        <v>250</v>
      </c>
      <c r="AS201" t="s">
        <v>251</v>
      </c>
      <c r="AT201" t="s">
        <v>252</v>
      </c>
      <c r="AU201" t="s">
        <v>253</v>
      </c>
      <c r="AV201" t="s">
        <v>254</v>
      </c>
      <c r="AW201" t="s">
        <v>127</v>
      </c>
      <c r="AX201" s="8" t="str">
        <f>"78550"</f>
        <v>78550</v>
      </c>
      <c r="AY201" t="s">
        <v>118</v>
      </c>
      <c r="AZ201" t="s">
        <v>255</v>
      </c>
      <c r="BA201" s="10">
        <v>19564408720</v>
      </c>
      <c r="BB201" s="3" t="s">
        <v>256</v>
      </c>
      <c r="BC201" t="s">
        <v>257</v>
      </c>
      <c r="BD201" t="s">
        <v>258</v>
      </c>
      <c r="BG201" t="s">
        <v>117</v>
      </c>
      <c r="BH201" s="1">
        <v>45258.791666666664</v>
      </c>
      <c r="BI201">
        <v>40</v>
      </c>
      <c r="BJ201">
        <v>8</v>
      </c>
      <c r="BK201">
        <v>0</v>
      </c>
      <c r="BL201">
        <v>0</v>
      </c>
      <c r="BM201">
        <v>8</v>
      </c>
      <c r="BN201">
        <v>8</v>
      </c>
      <c r="BO201">
        <v>8</v>
      </c>
      <c r="BP201">
        <v>8</v>
      </c>
      <c r="BQ201" t="str">
        <f>"1:00 PM"</f>
        <v>1:00 PM</v>
      </c>
      <c r="BR201" t="str">
        <f>"10:00 PM"</f>
        <v>10:00 PM</v>
      </c>
      <c r="BS201" t="s">
        <v>131</v>
      </c>
      <c r="BT201">
        <v>0</v>
      </c>
      <c r="BU201">
        <v>0</v>
      </c>
      <c r="BV201" t="s">
        <v>114</v>
      </c>
      <c r="BX201" s="2" t="s">
        <v>259</v>
      </c>
      <c r="BY201" t="s">
        <v>14853</v>
      </c>
      <c r="CA201" t="s">
        <v>7591</v>
      </c>
      <c r="CB201" t="s">
        <v>117</v>
      </c>
      <c r="CC201" s="8" t="str">
        <f>"60411"</f>
        <v>60411</v>
      </c>
      <c r="CD201" t="s">
        <v>5756</v>
      </c>
      <c r="CE201" t="s">
        <v>134</v>
      </c>
      <c r="CF201" s="12">
        <v>10.65</v>
      </c>
      <c r="CG201" s="12">
        <v>15.1</v>
      </c>
      <c r="CJ201" t="s">
        <v>135</v>
      </c>
      <c r="CK201" t="s">
        <v>264</v>
      </c>
      <c r="CL201" t="s">
        <v>14856</v>
      </c>
      <c r="CO201" t="s">
        <v>132</v>
      </c>
      <c r="CP201" t="s">
        <v>136</v>
      </c>
      <c r="CQ201" t="s">
        <v>136</v>
      </c>
      <c r="CR201" t="s">
        <v>114</v>
      </c>
      <c r="CS201" t="s">
        <v>136</v>
      </c>
      <c r="CT201" t="s">
        <v>136</v>
      </c>
      <c r="CU201" t="s">
        <v>136</v>
      </c>
      <c r="CV201" t="s">
        <v>266</v>
      </c>
      <c r="CW201" s="10" t="str">
        <f>"+17086707449"</f>
        <v>+17086707449</v>
      </c>
      <c r="CX201" t="s">
        <v>14855</v>
      </c>
      <c r="CY201" t="s">
        <v>132</v>
      </c>
      <c r="CZ201" t="s">
        <v>137</v>
      </c>
      <c r="DA201" t="s">
        <v>114</v>
      </c>
      <c r="DB201" t="s">
        <v>136</v>
      </c>
      <c r="DC201" t="s">
        <v>136</v>
      </c>
      <c r="DD201" t="s">
        <v>114</v>
      </c>
    </row>
    <row r="202" spans="1:113" ht="15" customHeight="1" x14ac:dyDescent="0.25">
      <c r="A202" t="s">
        <v>9233</v>
      </c>
      <c r="B202" t="s">
        <v>152</v>
      </c>
      <c r="C202" s="1">
        <v>45259.507550115741</v>
      </c>
      <c r="D202" s="1">
        <v>45282</v>
      </c>
      <c r="E202" t="s">
        <v>132</v>
      </c>
      <c r="F202" t="s">
        <v>5021</v>
      </c>
      <c r="G202" t="str">
        <f>"35-3023.00"</f>
        <v>35-3023.00</v>
      </c>
      <c r="H202" t="s">
        <v>1365</v>
      </c>
      <c r="I202">
        <v>50</v>
      </c>
      <c r="J202">
        <v>50</v>
      </c>
      <c r="K202" s="1">
        <v>45349</v>
      </c>
      <c r="L202" s="1">
        <v>45614</v>
      </c>
      <c r="M202" s="1">
        <v>45349</v>
      </c>
      <c r="N202" s="1">
        <v>45614</v>
      </c>
      <c r="O202" t="s">
        <v>238</v>
      </c>
      <c r="P202" t="s">
        <v>9234</v>
      </c>
      <c r="R202" t="s">
        <v>9235</v>
      </c>
      <c r="T202" t="s">
        <v>9236</v>
      </c>
      <c r="U202" t="s">
        <v>1691</v>
      </c>
      <c r="V202" s="8" t="str">
        <f>"29824"</f>
        <v>29824</v>
      </c>
      <c r="W202" t="s">
        <v>118</v>
      </c>
      <c r="Y202" s="10">
        <v>17067370650</v>
      </c>
      <c r="AA202">
        <v>713990</v>
      </c>
      <c r="AB202" t="s">
        <v>9237</v>
      </c>
      <c r="AC202" t="s">
        <v>1808</v>
      </c>
      <c r="AE202" t="s">
        <v>7902</v>
      </c>
      <c r="AF202" t="s">
        <v>9235</v>
      </c>
      <c r="AH202" t="s">
        <v>9236</v>
      </c>
      <c r="AI202" t="s">
        <v>1691</v>
      </c>
      <c r="AJ202" s="8" t="str">
        <f>"29824"</f>
        <v>29824</v>
      </c>
      <c r="AK202" t="s">
        <v>118</v>
      </c>
      <c r="AM202" s="10">
        <v>17067370650</v>
      </c>
      <c r="AO202" t="s">
        <v>9238</v>
      </c>
      <c r="AP202" t="s">
        <v>121</v>
      </c>
      <c r="AQ202" t="s">
        <v>1718</v>
      </c>
      <c r="AR202" t="s">
        <v>708</v>
      </c>
      <c r="AS202" t="s">
        <v>1719</v>
      </c>
      <c r="AT202" t="s">
        <v>1720</v>
      </c>
      <c r="AU202" t="s">
        <v>799</v>
      </c>
      <c r="AV202" t="s">
        <v>1721</v>
      </c>
      <c r="AW202" t="s">
        <v>1722</v>
      </c>
      <c r="AX202" s="8" t="str">
        <f>"21401"</f>
        <v>21401</v>
      </c>
      <c r="AY202" t="s">
        <v>118</v>
      </c>
      <c r="BA202" s="10">
        <v>14105739955</v>
      </c>
      <c r="BB202">
        <v>0</v>
      </c>
      <c r="BC202" t="s">
        <v>1723</v>
      </c>
      <c r="BD202" t="s">
        <v>1724</v>
      </c>
      <c r="BE202" t="s">
        <v>1722</v>
      </c>
      <c r="BF202" t="s">
        <v>1725</v>
      </c>
      <c r="BG202" t="s">
        <v>1691</v>
      </c>
      <c r="BH202" s="1">
        <v>45218.833333333336</v>
      </c>
      <c r="BI202">
        <v>36</v>
      </c>
      <c r="BJ202">
        <v>6</v>
      </c>
      <c r="BK202">
        <v>0</v>
      </c>
      <c r="BL202">
        <v>6</v>
      </c>
      <c r="BM202">
        <v>6</v>
      </c>
      <c r="BN202">
        <v>6</v>
      </c>
      <c r="BO202">
        <v>6</v>
      </c>
      <c r="BP202">
        <v>6</v>
      </c>
      <c r="BQ202" t="str">
        <f>"4:00 PM"</f>
        <v>4:00 PM</v>
      </c>
      <c r="BR202" t="str">
        <f>"11:00 PM"</f>
        <v>11:00 PM</v>
      </c>
      <c r="BS202" t="s">
        <v>131</v>
      </c>
      <c r="BT202">
        <v>0</v>
      </c>
      <c r="BU202">
        <v>0</v>
      </c>
      <c r="BV202" t="s">
        <v>114</v>
      </c>
      <c r="BX202" s="2" t="s">
        <v>9239</v>
      </c>
      <c r="BY202" t="s">
        <v>9240</v>
      </c>
      <c r="CA202" t="s">
        <v>9236</v>
      </c>
      <c r="CB202" t="s">
        <v>1691</v>
      </c>
      <c r="CC202" s="8" t="str">
        <f>"29824"</f>
        <v>29824</v>
      </c>
      <c r="CD202" t="s">
        <v>3542</v>
      </c>
      <c r="CE202" t="s">
        <v>3543</v>
      </c>
      <c r="CF202" s="12">
        <v>10.09</v>
      </c>
      <c r="CG202" s="12">
        <v>13.09</v>
      </c>
      <c r="CH202" s="12">
        <v>15.14</v>
      </c>
      <c r="CI202" s="12">
        <v>19.64</v>
      </c>
      <c r="CJ202" t="s">
        <v>135</v>
      </c>
      <c r="CK202" t="s">
        <v>9241</v>
      </c>
      <c r="CL202" t="s">
        <v>9242</v>
      </c>
      <c r="CO202" t="s">
        <v>132</v>
      </c>
      <c r="CP202" t="s">
        <v>136</v>
      </c>
      <c r="CQ202" t="s">
        <v>114</v>
      </c>
      <c r="CR202" t="s">
        <v>136</v>
      </c>
      <c r="CS202" t="s">
        <v>136</v>
      </c>
      <c r="CT202" t="s">
        <v>136</v>
      </c>
      <c r="CU202" t="s">
        <v>136</v>
      </c>
      <c r="CV202" s="2" t="s">
        <v>9243</v>
      </c>
      <c r="CW202" s="10" t="str">
        <f>"+17067370650"</f>
        <v>+17067370650</v>
      </c>
      <c r="CX202" t="s">
        <v>9238</v>
      </c>
      <c r="CY202" t="s">
        <v>132</v>
      </c>
      <c r="CZ202" t="s">
        <v>137</v>
      </c>
      <c r="DA202" t="s">
        <v>114</v>
      </c>
      <c r="DB202" t="s">
        <v>136</v>
      </c>
      <c r="DC202" t="s">
        <v>136</v>
      </c>
      <c r="DD202" t="s">
        <v>114</v>
      </c>
    </row>
    <row r="203" spans="1:113" ht="15" customHeight="1" x14ac:dyDescent="0.25">
      <c r="A203" t="s">
        <v>24089</v>
      </c>
      <c r="B203" t="s">
        <v>152</v>
      </c>
      <c r="C203" s="1">
        <v>45258.701021412038</v>
      </c>
      <c r="D203" s="1">
        <v>45282</v>
      </c>
      <c r="E203" t="s">
        <v>132</v>
      </c>
      <c r="F203" t="s">
        <v>293</v>
      </c>
      <c r="G203" t="str">
        <f>"37-2012.00"</f>
        <v>37-2012.00</v>
      </c>
      <c r="H203" t="s">
        <v>205</v>
      </c>
      <c r="I203">
        <v>24</v>
      </c>
      <c r="J203">
        <v>24</v>
      </c>
      <c r="K203" s="1">
        <v>45338</v>
      </c>
      <c r="L203" s="1">
        <v>45580</v>
      </c>
      <c r="M203" s="1">
        <v>45338</v>
      </c>
      <c r="N203" s="1">
        <v>45580</v>
      </c>
      <c r="O203" t="s">
        <v>116</v>
      </c>
      <c r="P203" t="s">
        <v>3521</v>
      </c>
      <c r="R203" t="s">
        <v>3522</v>
      </c>
      <c r="T203" t="s">
        <v>3523</v>
      </c>
      <c r="U203" t="s">
        <v>127</v>
      </c>
      <c r="V203" s="8" t="str">
        <f>"78620"</f>
        <v>78620</v>
      </c>
      <c r="W203" t="s">
        <v>118</v>
      </c>
      <c r="Y203" s="10">
        <v>15124781888</v>
      </c>
      <c r="AA203">
        <v>561720</v>
      </c>
      <c r="AB203" t="s">
        <v>13958</v>
      </c>
      <c r="AC203" t="s">
        <v>5377</v>
      </c>
      <c r="AE203" t="s">
        <v>24090</v>
      </c>
      <c r="AF203" t="s">
        <v>3522</v>
      </c>
      <c r="AH203" t="s">
        <v>3523</v>
      </c>
      <c r="AI203" t="s">
        <v>127</v>
      </c>
      <c r="AJ203" s="8" t="str">
        <f>"78620"</f>
        <v>78620</v>
      </c>
      <c r="AK203" t="s">
        <v>118</v>
      </c>
      <c r="AM203" s="10">
        <v>15124781888</v>
      </c>
      <c r="AO203" t="s">
        <v>13959</v>
      </c>
      <c r="AP203" t="s">
        <v>248</v>
      </c>
      <c r="AQ203" t="s">
        <v>960</v>
      </c>
      <c r="AR203" t="s">
        <v>961</v>
      </c>
      <c r="AS203" t="s">
        <v>962</v>
      </c>
      <c r="AT203" t="s">
        <v>963</v>
      </c>
      <c r="AU203" t="s">
        <v>296</v>
      </c>
      <c r="AV203" t="s">
        <v>964</v>
      </c>
      <c r="AW203" t="s">
        <v>127</v>
      </c>
      <c r="AX203" s="8" t="str">
        <f>"75033"</f>
        <v>75033</v>
      </c>
      <c r="AY203" t="s">
        <v>118</v>
      </c>
      <c r="BA203" s="10">
        <v>19727789690</v>
      </c>
      <c r="BC203" t="s">
        <v>1919</v>
      </c>
      <c r="BD203" t="s">
        <v>966</v>
      </c>
      <c r="BG203" t="s">
        <v>188</v>
      </c>
      <c r="BH203" s="1">
        <v>45257.791666666664</v>
      </c>
      <c r="BI203">
        <v>40</v>
      </c>
      <c r="BJ203">
        <v>8</v>
      </c>
      <c r="BK203">
        <v>0</v>
      </c>
      <c r="BL203">
        <v>0</v>
      </c>
      <c r="BM203">
        <v>8</v>
      </c>
      <c r="BN203">
        <v>8</v>
      </c>
      <c r="BO203">
        <v>8</v>
      </c>
      <c r="BP203">
        <v>8</v>
      </c>
      <c r="BQ203" t="str">
        <f>"7:00 AM"</f>
        <v>7:00 AM</v>
      </c>
      <c r="BR203" t="str">
        <f>"3:30 PM"</f>
        <v>3:30 PM</v>
      </c>
      <c r="BS203" t="s">
        <v>131</v>
      </c>
      <c r="BT203">
        <v>0</v>
      </c>
      <c r="BU203">
        <v>0</v>
      </c>
      <c r="BV203" t="s">
        <v>114</v>
      </c>
      <c r="BX203" s="2" t="s">
        <v>24091</v>
      </c>
      <c r="BY203" t="s">
        <v>24092</v>
      </c>
      <c r="CA203" t="s">
        <v>9870</v>
      </c>
      <c r="CB203" t="s">
        <v>188</v>
      </c>
      <c r="CC203" s="8" t="str">
        <f>"80813"</f>
        <v>80813</v>
      </c>
      <c r="CD203" t="s">
        <v>9871</v>
      </c>
      <c r="CE203" t="s">
        <v>2261</v>
      </c>
      <c r="CF203" s="12">
        <v>16.5</v>
      </c>
      <c r="CH203" s="12">
        <v>24.75</v>
      </c>
      <c r="CJ203" t="s">
        <v>135</v>
      </c>
      <c r="CK203" t="s">
        <v>1840</v>
      </c>
      <c r="CL203" t="s">
        <v>24093</v>
      </c>
      <c r="CO203" t="s">
        <v>132</v>
      </c>
      <c r="CP203" t="s">
        <v>136</v>
      </c>
      <c r="CQ203" t="s">
        <v>114</v>
      </c>
      <c r="CR203" t="s">
        <v>136</v>
      </c>
      <c r="CS203" t="s">
        <v>136</v>
      </c>
      <c r="CT203" t="s">
        <v>136</v>
      </c>
      <c r="CU203" t="s">
        <v>136</v>
      </c>
      <c r="CV203" s="2" t="s">
        <v>24094</v>
      </c>
      <c r="CW203" s="10" t="str">
        <f>"+15124781888"</f>
        <v>+15124781888</v>
      </c>
      <c r="CX203" t="s">
        <v>132</v>
      </c>
      <c r="CY203" t="s">
        <v>9298</v>
      </c>
      <c r="CZ203" t="s">
        <v>137</v>
      </c>
      <c r="DA203" t="s">
        <v>114</v>
      </c>
      <c r="DB203" t="s">
        <v>114</v>
      </c>
      <c r="DC203" t="s">
        <v>136</v>
      </c>
      <c r="DD203" t="s">
        <v>114</v>
      </c>
    </row>
    <row r="204" spans="1:113" ht="15" customHeight="1" x14ac:dyDescent="0.25">
      <c r="A204" t="s">
        <v>14933</v>
      </c>
      <c r="B204" t="s">
        <v>152</v>
      </c>
      <c r="C204" s="1">
        <v>45258.591419097225</v>
      </c>
      <c r="D204" s="1">
        <v>45282</v>
      </c>
      <c r="E204" t="s">
        <v>132</v>
      </c>
      <c r="F204" t="s">
        <v>3098</v>
      </c>
      <c r="G204" t="str">
        <f>"39-3091.00"</f>
        <v>39-3091.00</v>
      </c>
      <c r="H204" t="s">
        <v>237</v>
      </c>
      <c r="I204">
        <v>65</v>
      </c>
      <c r="J204">
        <v>65</v>
      </c>
      <c r="K204" s="1">
        <v>45340</v>
      </c>
      <c r="L204" s="1">
        <v>45617</v>
      </c>
      <c r="M204" s="1">
        <v>45340</v>
      </c>
      <c r="N204" s="1">
        <v>45617</v>
      </c>
      <c r="O204" t="s">
        <v>238</v>
      </c>
      <c r="P204" t="s">
        <v>9148</v>
      </c>
      <c r="R204" t="s">
        <v>9149</v>
      </c>
      <c r="S204" t="s">
        <v>14934</v>
      </c>
      <c r="T204" t="s">
        <v>9151</v>
      </c>
      <c r="U204" t="s">
        <v>140</v>
      </c>
      <c r="V204" s="8" t="str">
        <f>"34482"</f>
        <v>34482</v>
      </c>
      <c r="W204" t="s">
        <v>118</v>
      </c>
      <c r="Y204" s="10">
        <v>13522124071</v>
      </c>
      <c r="Z204" s="3" t="s">
        <v>256</v>
      </c>
      <c r="AA204">
        <v>711190</v>
      </c>
      <c r="AB204" t="s">
        <v>4173</v>
      </c>
      <c r="AC204" t="s">
        <v>6141</v>
      </c>
      <c r="AE204" t="s">
        <v>378</v>
      </c>
      <c r="AF204" t="s">
        <v>9149</v>
      </c>
      <c r="AG204" t="s">
        <v>14934</v>
      </c>
      <c r="AH204" t="s">
        <v>9151</v>
      </c>
      <c r="AI204" t="s">
        <v>140</v>
      </c>
      <c r="AJ204" s="8" t="str">
        <f>"34482"</f>
        <v>34482</v>
      </c>
      <c r="AK204" t="s">
        <v>118</v>
      </c>
      <c r="AM204" s="10">
        <v>13522124071</v>
      </c>
      <c r="AN204" s="3" t="s">
        <v>256</v>
      </c>
      <c r="AO204" t="s">
        <v>9152</v>
      </c>
      <c r="AP204" t="s">
        <v>248</v>
      </c>
      <c r="AQ204" t="s">
        <v>249</v>
      </c>
      <c r="AR204" t="s">
        <v>250</v>
      </c>
      <c r="AS204" t="s">
        <v>251</v>
      </c>
      <c r="AT204" t="s">
        <v>252</v>
      </c>
      <c r="AU204" t="s">
        <v>253</v>
      </c>
      <c r="AV204" t="s">
        <v>254</v>
      </c>
      <c r="AW204" t="s">
        <v>127</v>
      </c>
      <c r="AX204" s="8" t="str">
        <f>"78550"</f>
        <v>78550</v>
      </c>
      <c r="AY204" t="s">
        <v>118</v>
      </c>
      <c r="AZ204" t="s">
        <v>255</v>
      </c>
      <c r="BA204" s="10">
        <v>19564408720</v>
      </c>
      <c r="BB204" s="3" t="s">
        <v>256</v>
      </c>
      <c r="BC204" t="s">
        <v>338</v>
      </c>
      <c r="BD204" t="s">
        <v>258</v>
      </c>
      <c r="BG204" t="s">
        <v>140</v>
      </c>
      <c r="BH204" s="1">
        <v>45257.791666666664</v>
      </c>
      <c r="BI204">
        <v>40</v>
      </c>
      <c r="BJ204">
        <v>8</v>
      </c>
      <c r="BK204">
        <v>0</v>
      </c>
      <c r="BL204">
        <v>0</v>
      </c>
      <c r="BM204">
        <v>8</v>
      </c>
      <c r="BN204">
        <v>8</v>
      </c>
      <c r="BO204">
        <v>8</v>
      </c>
      <c r="BP204">
        <v>8</v>
      </c>
      <c r="BQ204" t="str">
        <f>"1:00 PM"</f>
        <v>1:00 PM</v>
      </c>
      <c r="BR204" t="str">
        <f>"10:00 PM"</f>
        <v>10:00 PM</v>
      </c>
      <c r="BS204" t="s">
        <v>131</v>
      </c>
      <c r="BT204">
        <v>0</v>
      </c>
      <c r="BU204">
        <v>0</v>
      </c>
      <c r="BV204" t="s">
        <v>114</v>
      </c>
      <c r="BX204" s="2" t="s">
        <v>2396</v>
      </c>
      <c r="BY204" t="s">
        <v>9149</v>
      </c>
      <c r="CA204" t="s">
        <v>9151</v>
      </c>
      <c r="CB204" t="s">
        <v>140</v>
      </c>
      <c r="CC204" s="8" t="str">
        <f>"34482"</f>
        <v>34482</v>
      </c>
      <c r="CD204" t="s">
        <v>1257</v>
      </c>
      <c r="CE204" t="s">
        <v>2342</v>
      </c>
      <c r="CF204" s="12">
        <v>9.42</v>
      </c>
      <c r="CG204" s="12">
        <v>14.08</v>
      </c>
      <c r="CJ204" t="s">
        <v>135</v>
      </c>
      <c r="CK204" t="s">
        <v>342</v>
      </c>
      <c r="CL204" t="s">
        <v>14935</v>
      </c>
      <c r="CO204" t="s">
        <v>132</v>
      </c>
      <c r="CP204" t="s">
        <v>136</v>
      </c>
      <c r="CQ204" t="s">
        <v>136</v>
      </c>
      <c r="CR204" t="s">
        <v>114</v>
      </c>
      <c r="CS204" t="s">
        <v>136</v>
      </c>
      <c r="CT204" t="s">
        <v>136</v>
      </c>
      <c r="CU204" t="s">
        <v>136</v>
      </c>
      <c r="CV204" t="s">
        <v>344</v>
      </c>
      <c r="CW204" s="10" t="str">
        <f>"+13522124071"</f>
        <v>+13522124071</v>
      </c>
      <c r="CX204" t="s">
        <v>9152</v>
      </c>
      <c r="CY204" t="s">
        <v>132</v>
      </c>
      <c r="CZ204" t="s">
        <v>137</v>
      </c>
      <c r="DA204" t="s">
        <v>114</v>
      </c>
      <c r="DB204" t="s">
        <v>136</v>
      </c>
      <c r="DC204" t="s">
        <v>136</v>
      </c>
      <c r="DD204" t="s">
        <v>114</v>
      </c>
    </row>
    <row r="205" spans="1:113" ht="15" customHeight="1" x14ac:dyDescent="0.25">
      <c r="A205" t="s">
        <v>22854</v>
      </c>
      <c r="B205" t="s">
        <v>152</v>
      </c>
      <c r="C205" s="1">
        <v>45258.506932175929</v>
      </c>
      <c r="D205" s="1">
        <v>45282</v>
      </c>
      <c r="E205" t="s">
        <v>132</v>
      </c>
      <c r="F205" t="s">
        <v>2020</v>
      </c>
      <c r="G205" t="str">
        <f>"37-3011.00"</f>
        <v>37-3011.00</v>
      </c>
      <c r="H205" t="s">
        <v>429</v>
      </c>
      <c r="I205">
        <v>7</v>
      </c>
      <c r="J205">
        <v>7</v>
      </c>
      <c r="K205" s="1">
        <v>45348</v>
      </c>
      <c r="L205" s="1">
        <v>45597</v>
      </c>
      <c r="M205" s="1">
        <v>45348</v>
      </c>
      <c r="N205" s="1">
        <v>45597</v>
      </c>
      <c r="O205" t="s">
        <v>116</v>
      </c>
      <c r="P205" t="s">
        <v>22855</v>
      </c>
      <c r="R205" t="s">
        <v>22856</v>
      </c>
      <c r="T205" t="s">
        <v>1690</v>
      </c>
      <c r="U205" t="s">
        <v>1691</v>
      </c>
      <c r="V205" s="8" t="str">
        <f>"29588"</f>
        <v>29588</v>
      </c>
      <c r="W205" t="s">
        <v>118</v>
      </c>
      <c r="Y205" s="10">
        <v>18434553806</v>
      </c>
      <c r="AA205">
        <v>56173</v>
      </c>
      <c r="AB205" t="s">
        <v>22857</v>
      </c>
      <c r="AC205" t="s">
        <v>1555</v>
      </c>
      <c r="AD205" t="s">
        <v>132</v>
      </c>
      <c r="AE205" t="s">
        <v>1283</v>
      </c>
      <c r="AF205" t="s">
        <v>22856</v>
      </c>
      <c r="AH205" t="s">
        <v>1690</v>
      </c>
      <c r="AI205" t="s">
        <v>1691</v>
      </c>
      <c r="AJ205" s="8" t="str">
        <f>"29588"</f>
        <v>29588</v>
      </c>
      <c r="AK205" t="s">
        <v>118</v>
      </c>
      <c r="AM205" s="10">
        <v>18434553806</v>
      </c>
      <c r="AO205" t="s">
        <v>22858</v>
      </c>
      <c r="AP205" t="s">
        <v>248</v>
      </c>
      <c r="AQ205" t="s">
        <v>1030</v>
      </c>
      <c r="AR205" t="s">
        <v>1031</v>
      </c>
      <c r="AS205" t="s">
        <v>132</v>
      </c>
      <c r="AT205" t="s">
        <v>1253</v>
      </c>
      <c r="AU205" t="s">
        <v>852</v>
      </c>
      <c r="AV205" t="s">
        <v>853</v>
      </c>
      <c r="AW205" t="s">
        <v>854</v>
      </c>
      <c r="AX205" s="8" t="str">
        <f>"83814"</f>
        <v>83814</v>
      </c>
      <c r="AY205" t="s">
        <v>118</v>
      </c>
      <c r="BA205" s="10">
        <v>12087772654</v>
      </c>
      <c r="BC205" t="s">
        <v>2080</v>
      </c>
      <c r="BD205" t="s">
        <v>856</v>
      </c>
      <c r="BG205" t="s">
        <v>1691</v>
      </c>
      <c r="BH205" s="1">
        <v>45228.833333333336</v>
      </c>
      <c r="BI205">
        <v>40</v>
      </c>
      <c r="BJ205">
        <v>0</v>
      </c>
      <c r="BK205">
        <v>8</v>
      </c>
      <c r="BL205">
        <v>8</v>
      </c>
      <c r="BM205">
        <v>8</v>
      </c>
      <c r="BN205">
        <v>8</v>
      </c>
      <c r="BO205">
        <v>8</v>
      </c>
      <c r="BP205">
        <v>0</v>
      </c>
      <c r="BQ205" t="str">
        <f>"7:00 AM"</f>
        <v>7:00 AM</v>
      </c>
      <c r="BR205" t="str">
        <f>"4:00 PM"</f>
        <v>4:00 PM</v>
      </c>
      <c r="BS205" t="s">
        <v>131</v>
      </c>
      <c r="BT205">
        <v>0</v>
      </c>
      <c r="BU205">
        <v>1</v>
      </c>
      <c r="BV205" t="s">
        <v>114</v>
      </c>
      <c r="BX205" t="s">
        <v>2406</v>
      </c>
      <c r="BY205" t="s">
        <v>22859</v>
      </c>
      <c r="CA205" t="s">
        <v>1690</v>
      </c>
      <c r="CB205" t="s">
        <v>1691</v>
      </c>
      <c r="CC205" s="8" t="str">
        <f>"29588"</f>
        <v>29588</v>
      </c>
      <c r="CD205" t="s">
        <v>1692</v>
      </c>
      <c r="CE205" t="s">
        <v>1693</v>
      </c>
      <c r="CF205" s="12">
        <v>14.6</v>
      </c>
      <c r="CG205" s="12">
        <v>15.5</v>
      </c>
      <c r="CH205" s="12">
        <v>21.9</v>
      </c>
      <c r="CI205" s="12">
        <v>23.25</v>
      </c>
      <c r="CJ205" t="s">
        <v>135</v>
      </c>
      <c r="CK205" t="s">
        <v>1899</v>
      </c>
      <c r="CL205" t="s">
        <v>22860</v>
      </c>
      <c r="CO205" t="s">
        <v>132</v>
      </c>
      <c r="CP205" t="s">
        <v>136</v>
      </c>
      <c r="CQ205" t="s">
        <v>136</v>
      </c>
      <c r="CR205" t="s">
        <v>136</v>
      </c>
      <c r="CS205" t="s">
        <v>114</v>
      </c>
      <c r="CT205" t="s">
        <v>136</v>
      </c>
      <c r="CU205" t="s">
        <v>136</v>
      </c>
      <c r="CV205" t="s">
        <v>22861</v>
      </c>
      <c r="CW205" s="10" t="str">
        <f>"+18434553806"</f>
        <v>+18434553806</v>
      </c>
      <c r="CX205" t="s">
        <v>22858</v>
      </c>
      <c r="CY205" t="s">
        <v>132</v>
      </c>
      <c r="CZ205" t="s">
        <v>137</v>
      </c>
      <c r="DA205" t="s">
        <v>114</v>
      </c>
      <c r="DB205" t="s">
        <v>136</v>
      </c>
      <c r="DC205" t="s">
        <v>136</v>
      </c>
      <c r="DD205" t="s">
        <v>114</v>
      </c>
    </row>
    <row r="206" spans="1:113" ht="15" customHeight="1" x14ac:dyDescent="0.25">
      <c r="A206" t="s">
        <v>11325</v>
      </c>
      <c r="B206" t="s">
        <v>152</v>
      </c>
      <c r="C206" s="1">
        <v>45258.385895949075</v>
      </c>
      <c r="D206" s="1">
        <v>45282</v>
      </c>
      <c r="E206" t="s">
        <v>132</v>
      </c>
      <c r="F206" t="s">
        <v>1595</v>
      </c>
      <c r="G206" t="str">
        <f>"37-3011.00"</f>
        <v>37-3011.00</v>
      </c>
      <c r="H206" t="s">
        <v>429</v>
      </c>
      <c r="I206">
        <v>13</v>
      </c>
      <c r="J206">
        <v>13</v>
      </c>
      <c r="K206" s="1">
        <v>45348</v>
      </c>
      <c r="L206" s="1">
        <v>45625</v>
      </c>
      <c r="M206" s="1">
        <v>45348</v>
      </c>
      <c r="N206" s="1">
        <v>45625</v>
      </c>
      <c r="O206" t="s">
        <v>116</v>
      </c>
      <c r="P206" t="s">
        <v>11326</v>
      </c>
      <c r="R206" t="s">
        <v>11327</v>
      </c>
      <c r="S206" t="s">
        <v>11328</v>
      </c>
      <c r="T206" t="s">
        <v>4215</v>
      </c>
      <c r="U206" t="s">
        <v>2608</v>
      </c>
      <c r="V206" s="8" t="str">
        <f>"73170"</f>
        <v>73170</v>
      </c>
      <c r="W206" t="s">
        <v>118</v>
      </c>
      <c r="Y206" s="10">
        <v>14056207611</v>
      </c>
      <c r="AA206">
        <v>561730</v>
      </c>
      <c r="AB206" t="s">
        <v>11329</v>
      </c>
      <c r="AC206" t="s">
        <v>11330</v>
      </c>
      <c r="AD206" t="s">
        <v>132</v>
      </c>
      <c r="AE206" t="s">
        <v>629</v>
      </c>
      <c r="AF206" t="s">
        <v>11327</v>
      </c>
      <c r="AG206" t="s">
        <v>11328</v>
      </c>
      <c r="AH206" t="s">
        <v>4215</v>
      </c>
      <c r="AI206" t="s">
        <v>2608</v>
      </c>
      <c r="AJ206" s="8" t="str">
        <f>"73170"</f>
        <v>73170</v>
      </c>
      <c r="AK206" t="s">
        <v>118</v>
      </c>
      <c r="AM206" s="10">
        <v>14056207611</v>
      </c>
      <c r="AO206" t="s">
        <v>11331</v>
      </c>
      <c r="AP206" t="s">
        <v>248</v>
      </c>
      <c r="AQ206" t="s">
        <v>1820</v>
      </c>
      <c r="AR206" t="s">
        <v>1828</v>
      </c>
      <c r="AS206" t="s">
        <v>132</v>
      </c>
      <c r="AT206" t="s">
        <v>1584</v>
      </c>
      <c r="AU206" t="s">
        <v>132</v>
      </c>
      <c r="AV206" t="s">
        <v>1585</v>
      </c>
      <c r="AW206" t="s">
        <v>127</v>
      </c>
      <c r="AX206" s="8" t="str">
        <f>"77414"</f>
        <v>77414</v>
      </c>
      <c r="AY206" t="s">
        <v>118</v>
      </c>
      <c r="BA206" s="10">
        <v>19793187285</v>
      </c>
      <c r="BC206" t="s">
        <v>2430</v>
      </c>
      <c r="BD206" t="s">
        <v>1587</v>
      </c>
      <c r="BG206" t="s">
        <v>2608</v>
      </c>
      <c r="BH206" s="1">
        <v>45257.791666666664</v>
      </c>
      <c r="BI206">
        <v>40</v>
      </c>
      <c r="BJ206">
        <v>0</v>
      </c>
      <c r="BK206">
        <v>8</v>
      </c>
      <c r="BL206">
        <v>8</v>
      </c>
      <c r="BM206">
        <v>8</v>
      </c>
      <c r="BN206">
        <v>8</v>
      </c>
      <c r="BO206">
        <v>8</v>
      </c>
      <c r="BP206">
        <v>0</v>
      </c>
      <c r="BQ206" t="str">
        <f>"8:00 AM"</f>
        <v>8:00 AM</v>
      </c>
      <c r="BR206" t="str">
        <f>"5:00 PM"</f>
        <v>5:00 PM</v>
      </c>
      <c r="BS206" t="s">
        <v>131</v>
      </c>
      <c r="BT206">
        <v>0</v>
      </c>
      <c r="BU206">
        <v>0</v>
      </c>
      <c r="BV206" t="s">
        <v>114</v>
      </c>
      <c r="BX206" s="2" t="s">
        <v>11332</v>
      </c>
      <c r="BY206" t="s">
        <v>11333</v>
      </c>
      <c r="BZ206" t="s">
        <v>132</v>
      </c>
      <c r="CA206" t="s">
        <v>4215</v>
      </c>
      <c r="CB206" t="s">
        <v>2608</v>
      </c>
      <c r="CC206" s="8" t="str">
        <f>"73169"</f>
        <v>73169</v>
      </c>
      <c r="CD206" t="s">
        <v>3576</v>
      </c>
      <c r="CE206" t="s">
        <v>3577</v>
      </c>
      <c r="CF206" s="12">
        <v>16.149999999999999</v>
      </c>
      <c r="CG206" s="12">
        <v>20</v>
      </c>
      <c r="CH206" s="12">
        <v>24.23</v>
      </c>
      <c r="CI206" s="12">
        <v>30</v>
      </c>
      <c r="CJ206" t="s">
        <v>135</v>
      </c>
      <c r="CK206" t="s">
        <v>3584</v>
      </c>
      <c r="CL206" t="s">
        <v>11334</v>
      </c>
      <c r="CO206" t="s">
        <v>132</v>
      </c>
      <c r="CP206" t="s">
        <v>136</v>
      </c>
      <c r="CQ206" t="s">
        <v>136</v>
      </c>
      <c r="CR206" t="s">
        <v>136</v>
      </c>
      <c r="CS206" t="s">
        <v>136</v>
      </c>
      <c r="CT206" t="s">
        <v>136</v>
      </c>
      <c r="CU206" t="s">
        <v>114</v>
      </c>
      <c r="CV206" t="s">
        <v>2171</v>
      </c>
      <c r="CW206" s="10" t="str">
        <f>"+14056207611"</f>
        <v>+14056207611</v>
      </c>
      <c r="CX206" t="s">
        <v>11331</v>
      </c>
      <c r="CY206" t="s">
        <v>132</v>
      </c>
      <c r="CZ206" t="s">
        <v>137</v>
      </c>
      <c r="DA206" t="s">
        <v>114</v>
      </c>
      <c r="DB206" t="s">
        <v>114</v>
      </c>
      <c r="DC206" t="s">
        <v>136</v>
      </c>
      <c r="DD206" t="s">
        <v>114</v>
      </c>
    </row>
    <row r="207" spans="1:113" ht="15" customHeight="1" x14ac:dyDescent="0.25">
      <c r="A207" t="s">
        <v>24103</v>
      </c>
      <c r="B207" t="s">
        <v>152</v>
      </c>
      <c r="C207" s="1">
        <v>45258.001092939812</v>
      </c>
      <c r="D207" s="1">
        <v>45282</v>
      </c>
      <c r="E207" t="s">
        <v>132</v>
      </c>
      <c r="F207" t="s">
        <v>1743</v>
      </c>
      <c r="G207" t="str">
        <f>"37-3011.00"</f>
        <v>37-3011.00</v>
      </c>
      <c r="H207" t="s">
        <v>429</v>
      </c>
      <c r="I207">
        <v>9</v>
      </c>
      <c r="J207">
        <v>9</v>
      </c>
      <c r="K207" s="1">
        <v>45348</v>
      </c>
      <c r="L207" s="1">
        <v>45651</v>
      </c>
      <c r="M207" s="1">
        <v>45348</v>
      </c>
      <c r="N207" s="1">
        <v>45651</v>
      </c>
      <c r="O207" t="s">
        <v>238</v>
      </c>
      <c r="P207" t="s">
        <v>16289</v>
      </c>
      <c r="R207" t="s">
        <v>16290</v>
      </c>
      <c r="S207" t="s">
        <v>16291</v>
      </c>
      <c r="T207" t="s">
        <v>2621</v>
      </c>
      <c r="U207" t="s">
        <v>358</v>
      </c>
      <c r="V207" s="8" t="str">
        <f>"11901"</f>
        <v>11901</v>
      </c>
      <c r="W207" t="s">
        <v>118</v>
      </c>
      <c r="Y207" s="10">
        <v>15169034038</v>
      </c>
      <c r="AA207">
        <v>56173</v>
      </c>
      <c r="AB207" t="s">
        <v>16292</v>
      </c>
      <c r="AC207" t="s">
        <v>2022</v>
      </c>
      <c r="AE207" t="s">
        <v>629</v>
      </c>
      <c r="AF207" t="s">
        <v>16290</v>
      </c>
      <c r="AG207" t="s">
        <v>16291</v>
      </c>
      <c r="AH207" t="s">
        <v>2621</v>
      </c>
      <c r="AI207" t="s">
        <v>358</v>
      </c>
      <c r="AJ207" s="8" t="str">
        <f>"11901"</f>
        <v>11901</v>
      </c>
      <c r="AK207" t="s">
        <v>118</v>
      </c>
      <c r="AM207" s="10">
        <v>15169034038</v>
      </c>
      <c r="AO207" t="s">
        <v>132</v>
      </c>
      <c r="AP207" t="s">
        <v>248</v>
      </c>
      <c r="AQ207" t="s">
        <v>1746</v>
      </c>
      <c r="AR207" t="s">
        <v>1747</v>
      </c>
      <c r="AT207" t="s">
        <v>1748</v>
      </c>
      <c r="AV207" t="s">
        <v>1749</v>
      </c>
      <c r="AW207" t="s">
        <v>140</v>
      </c>
      <c r="AX207" s="8" t="str">
        <f>"34957"</f>
        <v>34957</v>
      </c>
      <c r="AY207" t="s">
        <v>118</v>
      </c>
      <c r="BA207" s="10">
        <v>17723344829</v>
      </c>
      <c r="BC207" t="s">
        <v>1750</v>
      </c>
      <c r="BD207" t="s">
        <v>1751</v>
      </c>
      <c r="BG207" t="s">
        <v>358</v>
      </c>
      <c r="BH207" s="1">
        <v>45256.791666666664</v>
      </c>
      <c r="BI207">
        <v>35</v>
      </c>
      <c r="BJ207">
        <v>0</v>
      </c>
      <c r="BK207">
        <v>7</v>
      </c>
      <c r="BL207">
        <v>7</v>
      </c>
      <c r="BM207">
        <v>7</v>
      </c>
      <c r="BN207">
        <v>7</v>
      </c>
      <c r="BO207">
        <v>7</v>
      </c>
      <c r="BP207">
        <v>0</v>
      </c>
      <c r="BQ207" t="str">
        <f>"7:00 AM"</f>
        <v>7:00 AM</v>
      </c>
      <c r="BR207" t="str">
        <f>"7:00 PM"</f>
        <v>7:00 PM</v>
      </c>
      <c r="BS207" t="s">
        <v>131</v>
      </c>
      <c r="BT207">
        <v>0</v>
      </c>
      <c r="BU207">
        <v>0</v>
      </c>
      <c r="BV207" t="s">
        <v>114</v>
      </c>
      <c r="BX207" t="s">
        <v>131</v>
      </c>
      <c r="BY207" t="s">
        <v>16290</v>
      </c>
      <c r="CA207" t="s">
        <v>2621</v>
      </c>
      <c r="CB207" t="s">
        <v>358</v>
      </c>
      <c r="CC207" s="8" t="str">
        <f>"11901"</f>
        <v>11901</v>
      </c>
      <c r="CD207" t="s">
        <v>1752</v>
      </c>
      <c r="CE207" t="s">
        <v>1418</v>
      </c>
      <c r="CF207" s="12">
        <v>20.81</v>
      </c>
      <c r="CG207" s="12">
        <v>20.81</v>
      </c>
      <c r="CH207" s="12">
        <v>31.22</v>
      </c>
      <c r="CI207" s="12">
        <v>31.22</v>
      </c>
      <c r="CJ207" t="s">
        <v>135</v>
      </c>
      <c r="CK207" t="s">
        <v>1789</v>
      </c>
      <c r="CL207" t="s">
        <v>24104</v>
      </c>
      <c r="CO207" t="s">
        <v>132</v>
      </c>
      <c r="CP207" t="s">
        <v>136</v>
      </c>
      <c r="CQ207" t="s">
        <v>136</v>
      </c>
      <c r="CR207" t="s">
        <v>136</v>
      </c>
      <c r="CS207" t="s">
        <v>114</v>
      </c>
      <c r="CT207" t="s">
        <v>136</v>
      </c>
      <c r="CU207" t="s">
        <v>136</v>
      </c>
      <c r="CV207" t="s">
        <v>24105</v>
      </c>
      <c r="CW207" s="10" t="str">
        <f>"+15169034038"</f>
        <v>+15169034038</v>
      </c>
      <c r="CX207" t="s">
        <v>132</v>
      </c>
      <c r="CY207" t="s">
        <v>16293</v>
      </c>
      <c r="CZ207" t="s">
        <v>137</v>
      </c>
      <c r="DA207" t="s">
        <v>114</v>
      </c>
      <c r="DB207" t="s">
        <v>114</v>
      </c>
      <c r="DC207" t="s">
        <v>136</v>
      </c>
      <c r="DD207" t="s">
        <v>114</v>
      </c>
    </row>
    <row r="208" spans="1:113" ht="15" customHeight="1" x14ac:dyDescent="0.25">
      <c r="A208" t="s">
        <v>23964</v>
      </c>
      <c r="B208" t="s">
        <v>152</v>
      </c>
      <c r="C208" s="1">
        <v>45257.373555787039</v>
      </c>
      <c r="D208" s="1">
        <v>45282</v>
      </c>
      <c r="E208" t="s">
        <v>132</v>
      </c>
      <c r="F208" t="s">
        <v>23004</v>
      </c>
      <c r="G208" t="str">
        <f>"47-2051.00"</f>
        <v>47-2051.00</v>
      </c>
      <c r="H208" t="s">
        <v>1291</v>
      </c>
      <c r="I208">
        <v>2</v>
      </c>
      <c r="J208">
        <v>2</v>
      </c>
      <c r="K208" s="1">
        <v>45342</v>
      </c>
      <c r="L208" s="1">
        <v>45616</v>
      </c>
      <c r="M208" s="1">
        <v>45342</v>
      </c>
      <c r="N208" s="1">
        <v>45616</v>
      </c>
      <c r="O208" t="s">
        <v>116</v>
      </c>
      <c r="P208" t="s">
        <v>23965</v>
      </c>
      <c r="R208" t="s">
        <v>23966</v>
      </c>
      <c r="T208" t="s">
        <v>2471</v>
      </c>
      <c r="U208" t="s">
        <v>127</v>
      </c>
      <c r="V208" s="8" t="str">
        <f>"78621"</f>
        <v>78621</v>
      </c>
      <c r="W208" t="s">
        <v>118</v>
      </c>
      <c r="Y208" s="10">
        <v>15128015499</v>
      </c>
      <c r="AA208">
        <v>23811</v>
      </c>
      <c r="AB208" t="s">
        <v>1851</v>
      </c>
      <c r="AC208" t="s">
        <v>23967</v>
      </c>
      <c r="AE208" t="s">
        <v>561</v>
      </c>
      <c r="AF208" t="s">
        <v>23966</v>
      </c>
      <c r="AH208" t="s">
        <v>2471</v>
      </c>
      <c r="AI208" t="s">
        <v>127</v>
      </c>
      <c r="AJ208" s="8" t="str">
        <f>"78621"</f>
        <v>78621</v>
      </c>
      <c r="AK208" t="s">
        <v>118</v>
      </c>
      <c r="AM208" s="10">
        <v>15128015499</v>
      </c>
      <c r="AO208" t="s">
        <v>23968</v>
      </c>
      <c r="AP208" t="s">
        <v>248</v>
      </c>
      <c r="AQ208" t="s">
        <v>3017</v>
      </c>
      <c r="AR208" t="s">
        <v>3018</v>
      </c>
      <c r="AT208" t="s">
        <v>3371</v>
      </c>
      <c r="AV208" t="s">
        <v>1168</v>
      </c>
      <c r="AW208" t="s">
        <v>127</v>
      </c>
      <c r="AX208" s="8" t="str">
        <f>"75098"</f>
        <v>75098</v>
      </c>
      <c r="AY208" t="s">
        <v>118</v>
      </c>
      <c r="BA208" s="10">
        <v>19724424244</v>
      </c>
      <c r="BC208" t="s">
        <v>3372</v>
      </c>
      <c r="BD208" t="s">
        <v>3021</v>
      </c>
      <c r="BG208" t="s">
        <v>127</v>
      </c>
      <c r="BH208" s="1">
        <v>45251.791666666664</v>
      </c>
      <c r="BI208">
        <v>40</v>
      </c>
      <c r="BJ208">
        <v>0</v>
      </c>
      <c r="BK208">
        <v>8</v>
      </c>
      <c r="BL208">
        <v>8</v>
      </c>
      <c r="BM208">
        <v>8</v>
      </c>
      <c r="BN208">
        <v>8</v>
      </c>
      <c r="BO208">
        <v>8</v>
      </c>
      <c r="BP208">
        <v>0</v>
      </c>
      <c r="BQ208" t="str">
        <f>"8:00 AM"</f>
        <v>8:00 AM</v>
      </c>
      <c r="BR208" t="str">
        <f>"6:30 PM"</f>
        <v>6:30 PM</v>
      </c>
      <c r="BS208" t="s">
        <v>131</v>
      </c>
      <c r="BT208">
        <v>0</v>
      </c>
      <c r="BU208">
        <v>0</v>
      </c>
      <c r="BV208" t="s">
        <v>114</v>
      </c>
      <c r="BX208" t="s">
        <v>1480</v>
      </c>
      <c r="BY208" t="s">
        <v>23966</v>
      </c>
      <c r="CA208" t="s">
        <v>2471</v>
      </c>
      <c r="CB208" t="s">
        <v>127</v>
      </c>
      <c r="CC208" s="8" t="str">
        <f>"78621"</f>
        <v>78621</v>
      </c>
      <c r="CD208" t="s">
        <v>362</v>
      </c>
      <c r="CE208" t="s">
        <v>619</v>
      </c>
      <c r="CF208" s="12">
        <v>21.41</v>
      </c>
      <c r="CG208" s="12">
        <v>23.41</v>
      </c>
      <c r="CH208" s="12">
        <v>32.119999999999997</v>
      </c>
      <c r="CI208" s="12">
        <v>35.119999999999997</v>
      </c>
      <c r="CJ208" t="s">
        <v>135</v>
      </c>
      <c r="CL208" t="s">
        <v>23969</v>
      </c>
      <c r="CO208" t="s">
        <v>132</v>
      </c>
      <c r="CP208" t="s">
        <v>136</v>
      </c>
      <c r="CQ208" t="s">
        <v>136</v>
      </c>
      <c r="CR208" t="s">
        <v>136</v>
      </c>
      <c r="CS208" t="s">
        <v>136</v>
      </c>
      <c r="CT208" t="s">
        <v>136</v>
      </c>
      <c r="CU208" t="s">
        <v>136</v>
      </c>
      <c r="CV208" t="s">
        <v>7416</v>
      </c>
      <c r="CW208" s="10" t="str">
        <f>"+15128015499"</f>
        <v>+15128015499</v>
      </c>
      <c r="CX208" t="s">
        <v>132</v>
      </c>
      <c r="CY208" t="s">
        <v>3190</v>
      </c>
      <c r="CZ208" t="s">
        <v>137</v>
      </c>
      <c r="DA208" t="s">
        <v>114</v>
      </c>
      <c r="DB208" t="s">
        <v>114</v>
      </c>
      <c r="DC208" t="s">
        <v>136</v>
      </c>
      <c r="DD208" t="s">
        <v>114</v>
      </c>
    </row>
    <row r="209" spans="1:113" ht="15" customHeight="1" x14ac:dyDescent="0.25">
      <c r="A209" t="s">
        <v>22867</v>
      </c>
      <c r="B209" t="s">
        <v>152</v>
      </c>
      <c r="C209" s="1">
        <v>45254.522630092593</v>
      </c>
      <c r="D209" s="1">
        <v>45282</v>
      </c>
      <c r="E209" t="s">
        <v>132</v>
      </c>
      <c r="F209" t="s">
        <v>865</v>
      </c>
      <c r="G209" t="str">
        <f>"37-3011.00"</f>
        <v>37-3011.00</v>
      </c>
      <c r="H209" t="s">
        <v>429</v>
      </c>
      <c r="I209">
        <v>32</v>
      </c>
      <c r="J209">
        <v>32</v>
      </c>
      <c r="K209" s="1">
        <v>45344</v>
      </c>
      <c r="L209" s="1">
        <v>45596</v>
      </c>
      <c r="M209" s="1">
        <v>45344</v>
      </c>
      <c r="N209" s="1">
        <v>45596</v>
      </c>
      <c r="O209" t="s">
        <v>116</v>
      </c>
      <c r="P209" t="s">
        <v>22868</v>
      </c>
      <c r="R209" t="s">
        <v>22869</v>
      </c>
      <c r="T209" t="s">
        <v>3585</v>
      </c>
      <c r="U209" t="s">
        <v>127</v>
      </c>
      <c r="V209" s="8" t="str">
        <f>"78613"</f>
        <v>78613</v>
      </c>
      <c r="W209" t="s">
        <v>118</v>
      </c>
      <c r="Y209" s="10">
        <v>15126160221</v>
      </c>
      <c r="AA209">
        <v>561730</v>
      </c>
      <c r="AB209" t="s">
        <v>22870</v>
      </c>
      <c r="AC209" t="s">
        <v>1903</v>
      </c>
      <c r="AD209" t="s">
        <v>985</v>
      </c>
      <c r="AE209" t="s">
        <v>2850</v>
      </c>
      <c r="AF209" t="s">
        <v>22869</v>
      </c>
      <c r="AH209" t="s">
        <v>3585</v>
      </c>
      <c r="AI209" t="s">
        <v>127</v>
      </c>
      <c r="AJ209" s="8" t="str">
        <f>"78613"</f>
        <v>78613</v>
      </c>
      <c r="AK209" t="s">
        <v>118</v>
      </c>
      <c r="AM209" s="10">
        <v>15126160221</v>
      </c>
      <c r="AO209" t="s">
        <v>22871</v>
      </c>
      <c r="AP209" t="s">
        <v>121</v>
      </c>
      <c r="AQ209" t="s">
        <v>707</v>
      </c>
      <c r="AR209" t="s">
        <v>708</v>
      </c>
      <c r="AS209" t="s">
        <v>709</v>
      </c>
      <c r="AT209" t="s">
        <v>3568</v>
      </c>
      <c r="AU209" t="s">
        <v>874</v>
      </c>
      <c r="AV209" t="s">
        <v>603</v>
      </c>
      <c r="AW209" t="s">
        <v>127</v>
      </c>
      <c r="AX209" s="8" t="str">
        <f>"78746"</f>
        <v>78746</v>
      </c>
      <c r="AY209" t="s">
        <v>118</v>
      </c>
      <c r="BA209" s="10">
        <v>17372040093</v>
      </c>
      <c r="BC209" t="s">
        <v>2632</v>
      </c>
      <c r="BD209" t="s">
        <v>712</v>
      </c>
      <c r="BE209" t="s">
        <v>127</v>
      </c>
      <c r="BF209" t="s">
        <v>750</v>
      </c>
      <c r="BG209" t="s">
        <v>127</v>
      </c>
      <c r="BH209" s="1">
        <v>45253.791666666664</v>
      </c>
      <c r="BI209">
        <v>40</v>
      </c>
      <c r="BJ209">
        <v>0</v>
      </c>
      <c r="BK209">
        <v>8</v>
      </c>
      <c r="BL209">
        <v>8</v>
      </c>
      <c r="BM209">
        <v>8</v>
      </c>
      <c r="BN209">
        <v>8</v>
      </c>
      <c r="BO209">
        <v>8</v>
      </c>
      <c r="BP209">
        <v>0</v>
      </c>
      <c r="BQ209" t="str">
        <f>"7:00 AM"</f>
        <v>7:00 AM</v>
      </c>
      <c r="BR209" t="str">
        <f>"4:00 PM"</f>
        <v>4:00 PM</v>
      </c>
      <c r="BS209" t="s">
        <v>131</v>
      </c>
      <c r="BT209">
        <v>0</v>
      </c>
      <c r="BU209">
        <v>3</v>
      </c>
      <c r="BV209" t="s">
        <v>114</v>
      </c>
      <c r="BX209" t="s">
        <v>1480</v>
      </c>
      <c r="BY209" t="s">
        <v>22869</v>
      </c>
      <c r="CA209" t="s">
        <v>3585</v>
      </c>
      <c r="CB209" t="s">
        <v>127</v>
      </c>
      <c r="CC209" s="8" t="str">
        <f>"78613"</f>
        <v>78613</v>
      </c>
      <c r="CD209" t="s">
        <v>3147</v>
      </c>
      <c r="CE209" t="s">
        <v>324</v>
      </c>
      <c r="CF209" s="12">
        <v>16.91</v>
      </c>
      <c r="CG209" s="12">
        <v>30</v>
      </c>
      <c r="CH209" s="12">
        <v>25.37</v>
      </c>
      <c r="CI209" s="12">
        <v>45</v>
      </c>
      <c r="CJ209" t="s">
        <v>135</v>
      </c>
      <c r="CK209" t="s">
        <v>19094</v>
      </c>
      <c r="CL209" t="s">
        <v>22872</v>
      </c>
      <c r="CO209" t="s">
        <v>132</v>
      </c>
      <c r="CP209" t="s">
        <v>136</v>
      </c>
      <c r="CQ209" t="s">
        <v>136</v>
      </c>
      <c r="CR209" t="s">
        <v>136</v>
      </c>
      <c r="CS209" t="s">
        <v>136</v>
      </c>
      <c r="CT209" t="s">
        <v>136</v>
      </c>
      <c r="CU209" t="s">
        <v>114</v>
      </c>
      <c r="CV209" t="s">
        <v>22873</v>
      </c>
      <c r="CW209" s="10" t="str">
        <f>"+15122595188"</f>
        <v>+15122595188</v>
      </c>
      <c r="CX209" t="s">
        <v>22874</v>
      </c>
      <c r="CY209" t="s">
        <v>132</v>
      </c>
      <c r="CZ209" t="s">
        <v>137</v>
      </c>
      <c r="DA209" t="s">
        <v>114</v>
      </c>
      <c r="DB209" t="s">
        <v>114</v>
      </c>
      <c r="DC209" t="s">
        <v>136</v>
      </c>
      <c r="DD209" t="s">
        <v>114</v>
      </c>
    </row>
    <row r="210" spans="1:113" ht="15" customHeight="1" x14ac:dyDescent="0.25">
      <c r="A210" t="s">
        <v>8219</v>
      </c>
      <c r="B210" t="s">
        <v>152</v>
      </c>
      <c r="C210" s="1">
        <v>45251.636798495369</v>
      </c>
      <c r="D210" s="1">
        <v>45282</v>
      </c>
      <c r="E210" t="s">
        <v>132</v>
      </c>
      <c r="F210" t="s">
        <v>685</v>
      </c>
      <c r="G210" t="str">
        <f>"39-3091.00"</f>
        <v>39-3091.00</v>
      </c>
      <c r="H210" t="s">
        <v>237</v>
      </c>
      <c r="I210">
        <v>8</v>
      </c>
      <c r="J210">
        <v>8</v>
      </c>
      <c r="K210" s="1">
        <v>45332</v>
      </c>
      <c r="L210" s="1">
        <v>45616</v>
      </c>
      <c r="M210" s="1">
        <v>45332</v>
      </c>
      <c r="N210" s="1">
        <v>45616</v>
      </c>
      <c r="O210" t="s">
        <v>238</v>
      </c>
      <c r="P210" t="s">
        <v>8220</v>
      </c>
      <c r="R210" t="s">
        <v>8221</v>
      </c>
      <c r="T210" t="s">
        <v>5064</v>
      </c>
      <c r="U210" t="s">
        <v>140</v>
      </c>
      <c r="V210" s="8" t="str">
        <f>"33534"</f>
        <v>33534</v>
      </c>
      <c r="W210" t="s">
        <v>118</v>
      </c>
      <c r="Y210" s="10">
        <v>18133625106</v>
      </c>
      <c r="Z210" s="3" t="s">
        <v>256</v>
      </c>
      <c r="AA210">
        <v>711190</v>
      </c>
      <c r="AB210" t="s">
        <v>8222</v>
      </c>
      <c r="AC210" t="s">
        <v>4686</v>
      </c>
      <c r="AE210" t="s">
        <v>561</v>
      </c>
      <c r="AF210" t="s">
        <v>8221</v>
      </c>
      <c r="AH210" t="s">
        <v>5064</v>
      </c>
      <c r="AI210" t="s">
        <v>140</v>
      </c>
      <c r="AJ210" s="8" t="str">
        <f>"33534"</f>
        <v>33534</v>
      </c>
      <c r="AK210" t="s">
        <v>118</v>
      </c>
      <c r="AM210" s="10">
        <v>18133625106</v>
      </c>
      <c r="AN210" s="3" t="s">
        <v>256</v>
      </c>
      <c r="AO210" t="s">
        <v>8223</v>
      </c>
      <c r="AP210" t="s">
        <v>248</v>
      </c>
      <c r="AQ210" t="s">
        <v>249</v>
      </c>
      <c r="AR210" t="s">
        <v>250</v>
      </c>
      <c r="AS210" t="s">
        <v>251</v>
      </c>
      <c r="AT210" t="s">
        <v>252</v>
      </c>
      <c r="AU210" t="s">
        <v>253</v>
      </c>
      <c r="AV210" t="s">
        <v>254</v>
      </c>
      <c r="AW210" t="s">
        <v>127</v>
      </c>
      <c r="AX210" s="8" t="str">
        <f>"78550"</f>
        <v>78550</v>
      </c>
      <c r="AY210" t="s">
        <v>118</v>
      </c>
      <c r="AZ210" t="s">
        <v>692</v>
      </c>
      <c r="BA210" s="10">
        <v>19564408720</v>
      </c>
      <c r="BB210" s="3" t="s">
        <v>256</v>
      </c>
      <c r="BC210" t="s">
        <v>338</v>
      </c>
      <c r="BD210" t="s">
        <v>258</v>
      </c>
      <c r="BG210" t="s">
        <v>140</v>
      </c>
      <c r="BH210" s="1">
        <v>45250.791666666664</v>
      </c>
      <c r="BI210">
        <v>40</v>
      </c>
      <c r="BJ210">
        <v>8</v>
      </c>
      <c r="BK210">
        <v>0</v>
      </c>
      <c r="BL210">
        <v>0</v>
      </c>
      <c r="BM210">
        <v>8</v>
      </c>
      <c r="BN210">
        <v>8</v>
      </c>
      <c r="BO210">
        <v>8</v>
      </c>
      <c r="BP210">
        <v>8</v>
      </c>
      <c r="BQ210" t="str">
        <f>"1:00 PM"</f>
        <v>1:00 PM</v>
      </c>
      <c r="BR210" t="str">
        <f>"10:00 PM"</f>
        <v>10:00 PM</v>
      </c>
      <c r="BS210" t="s">
        <v>131</v>
      </c>
      <c r="BT210">
        <v>0</v>
      </c>
      <c r="BU210">
        <v>0</v>
      </c>
      <c r="BV210" t="s">
        <v>114</v>
      </c>
      <c r="BX210" s="2" t="s">
        <v>8224</v>
      </c>
      <c r="BY210" t="s">
        <v>8221</v>
      </c>
      <c r="CA210" t="s">
        <v>5064</v>
      </c>
      <c r="CB210" t="s">
        <v>140</v>
      </c>
      <c r="CC210" s="8" t="str">
        <f>"33534"</f>
        <v>33534</v>
      </c>
      <c r="CD210" t="s">
        <v>781</v>
      </c>
      <c r="CE210" t="s">
        <v>467</v>
      </c>
      <c r="CF210" s="12">
        <v>10.87</v>
      </c>
      <c r="CG210" s="12">
        <v>16.3</v>
      </c>
      <c r="CJ210" t="s">
        <v>135</v>
      </c>
      <c r="CK210" t="s">
        <v>342</v>
      </c>
      <c r="CL210" t="s">
        <v>8225</v>
      </c>
      <c r="CO210" t="s">
        <v>132</v>
      </c>
      <c r="CP210" t="s">
        <v>136</v>
      </c>
      <c r="CQ210" t="s">
        <v>136</v>
      </c>
      <c r="CR210" t="s">
        <v>114</v>
      </c>
      <c r="CS210" t="s">
        <v>136</v>
      </c>
      <c r="CT210" t="s">
        <v>136</v>
      </c>
      <c r="CU210" t="s">
        <v>136</v>
      </c>
      <c r="CV210" t="s">
        <v>344</v>
      </c>
      <c r="CW210" s="10" t="str">
        <f>"+18133625106"</f>
        <v>+18133625106</v>
      </c>
      <c r="CX210" t="s">
        <v>8223</v>
      </c>
      <c r="CY210" t="s">
        <v>132</v>
      </c>
      <c r="CZ210" t="s">
        <v>137</v>
      </c>
      <c r="DA210" t="s">
        <v>114</v>
      </c>
      <c r="DB210" t="s">
        <v>136</v>
      </c>
      <c r="DC210" t="s">
        <v>136</v>
      </c>
      <c r="DD210" t="s">
        <v>114</v>
      </c>
    </row>
    <row r="211" spans="1:113" ht="15" customHeight="1" x14ac:dyDescent="0.25">
      <c r="A211" t="s">
        <v>13815</v>
      </c>
      <c r="B211" t="s">
        <v>152</v>
      </c>
      <c r="C211" s="1">
        <v>45250.430432638888</v>
      </c>
      <c r="D211" s="1">
        <v>45282</v>
      </c>
      <c r="E211" t="s">
        <v>132</v>
      </c>
      <c r="F211" t="s">
        <v>1595</v>
      </c>
      <c r="G211" t="str">
        <f>"37-3011.00"</f>
        <v>37-3011.00</v>
      </c>
      <c r="H211" t="s">
        <v>429</v>
      </c>
      <c r="I211">
        <v>50</v>
      </c>
      <c r="J211">
        <v>50</v>
      </c>
      <c r="K211" s="1">
        <v>45337</v>
      </c>
      <c r="L211" s="1">
        <v>45611</v>
      </c>
      <c r="M211" s="1">
        <v>45337</v>
      </c>
      <c r="N211" s="1">
        <v>45611</v>
      </c>
      <c r="O211" t="s">
        <v>116</v>
      </c>
      <c r="P211" t="s">
        <v>13816</v>
      </c>
      <c r="R211" t="s">
        <v>13817</v>
      </c>
      <c r="T211" t="s">
        <v>3262</v>
      </c>
      <c r="U211" t="s">
        <v>127</v>
      </c>
      <c r="V211" s="8" t="str">
        <f>"79706"</f>
        <v>79706</v>
      </c>
      <c r="W211" t="s">
        <v>118</v>
      </c>
      <c r="Y211" s="10">
        <v>14326840906</v>
      </c>
      <c r="AA211">
        <v>56173</v>
      </c>
      <c r="AB211" t="s">
        <v>13818</v>
      </c>
      <c r="AC211" t="s">
        <v>13819</v>
      </c>
      <c r="AE211" t="s">
        <v>629</v>
      </c>
      <c r="AF211" t="s">
        <v>13817</v>
      </c>
      <c r="AH211" t="s">
        <v>3262</v>
      </c>
      <c r="AI211" t="s">
        <v>127</v>
      </c>
      <c r="AJ211" s="8" t="str">
        <f>"79706"</f>
        <v>79706</v>
      </c>
      <c r="AK211" t="s">
        <v>118</v>
      </c>
      <c r="AM211" s="10">
        <v>14326840906</v>
      </c>
      <c r="AO211" t="s">
        <v>132</v>
      </c>
      <c r="AP211" t="s">
        <v>121</v>
      </c>
      <c r="AQ211" t="s">
        <v>1172</v>
      </c>
      <c r="AR211" t="s">
        <v>1173</v>
      </c>
      <c r="AS211" t="s">
        <v>708</v>
      </c>
      <c r="AT211" t="s">
        <v>3325</v>
      </c>
      <c r="AV211" t="s">
        <v>603</v>
      </c>
      <c r="AW211" t="s">
        <v>127</v>
      </c>
      <c r="AX211" s="8" t="str">
        <f>"78705"</f>
        <v>78705</v>
      </c>
      <c r="AY211" t="s">
        <v>118</v>
      </c>
      <c r="BA211" s="10">
        <v>15123470007</v>
      </c>
      <c r="BC211" t="s">
        <v>1175</v>
      </c>
      <c r="BD211" t="s">
        <v>1176</v>
      </c>
      <c r="BE211" t="s">
        <v>127</v>
      </c>
      <c r="BF211" t="s">
        <v>750</v>
      </c>
      <c r="BG211" t="s">
        <v>127</v>
      </c>
      <c r="BH211" s="1">
        <v>45249.791666666664</v>
      </c>
      <c r="BI211">
        <v>40</v>
      </c>
      <c r="BJ211">
        <v>0</v>
      </c>
      <c r="BK211">
        <v>8</v>
      </c>
      <c r="BL211">
        <v>8</v>
      </c>
      <c r="BM211">
        <v>8</v>
      </c>
      <c r="BN211">
        <v>8</v>
      </c>
      <c r="BO211">
        <v>8</v>
      </c>
      <c r="BP211">
        <v>0</v>
      </c>
      <c r="BQ211" t="str">
        <f>"7:00 AM"</f>
        <v>7:00 AM</v>
      </c>
      <c r="BR211" t="str">
        <f>"4:00 PM"</f>
        <v>4:00 PM</v>
      </c>
      <c r="BS211" t="s">
        <v>131</v>
      </c>
      <c r="BT211">
        <v>0</v>
      </c>
      <c r="BU211">
        <v>3</v>
      </c>
      <c r="BV211" t="s">
        <v>114</v>
      </c>
      <c r="BX211" s="2" t="s">
        <v>13820</v>
      </c>
      <c r="BY211" t="s">
        <v>13817</v>
      </c>
      <c r="CA211" t="s">
        <v>3262</v>
      </c>
      <c r="CB211" t="s">
        <v>127</v>
      </c>
      <c r="CC211" s="8" t="str">
        <f>"79706"</f>
        <v>79706</v>
      </c>
      <c r="CD211" t="s">
        <v>3263</v>
      </c>
      <c r="CE211" t="s">
        <v>3264</v>
      </c>
      <c r="CF211" s="12">
        <v>17.25</v>
      </c>
      <c r="CG211" s="12">
        <v>17.25</v>
      </c>
      <c r="CH211" s="12">
        <v>25.88</v>
      </c>
      <c r="CI211" s="12">
        <v>25.88</v>
      </c>
      <c r="CJ211" t="s">
        <v>135</v>
      </c>
      <c r="CL211" t="s">
        <v>13821</v>
      </c>
      <c r="CO211" t="s">
        <v>132</v>
      </c>
      <c r="CP211" t="s">
        <v>136</v>
      </c>
      <c r="CQ211" t="s">
        <v>136</v>
      </c>
      <c r="CR211" t="s">
        <v>136</v>
      </c>
      <c r="CS211" t="s">
        <v>136</v>
      </c>
      <c r="CT211" t="s">
        <v>136</v>
      </c>
      <c r="CU211" t="s">
        <v>114</v>
      </c>
      <c r="CV211" t="s">
        <v>4797</v>
      </c>
      <c r="CW211" s="10" t="str">
        <f>"+14326840906"</f>
        <v>+14326840906</v>
      </c>
      <c r="CX211" t="s">
        <v>13822</v>
      </c>
      <c r="CY211" t="s">
        <v>132</v>
      </c>
      <c r="CZ211" t="s">
        <v>137</v>
      </c>
      <c r="DA211" t="s">
        <v>114</v>
      </c>
      <c r="DB211" t="s">
        <v>114</v>
      </c>
      <c r="DC211" t="s">
        <v>136</v>
      </c>
      <c r="DD211" t="s">
        <v>114</v>
      </c>
    </row>
    <row r="212" spans="1:113" ht="15" customHeight="1" x14ac:dyDescent="0.25">
      <c r="A212" t="s">
        <v>12360</v>
      </c>
      <c r="B212" t="s">
        <v>152</v>
      </c>
      <c r="C212" s="1">
        <v>45247.537991203702</v>
      </c>
      <c r="D212" s="1">
        <v>45282</v>
      </c>
      <c r="E212" t="s">
        <v>132</v>
      </c>
      <c r="F212" t="s">
        <v>1595</v>
      </c>
      <c r="G212" t="str">
        <f>"37-3011.00"</f>
        <v>37-3011.00</v>
      </c>
      <c r="H212" t="s">
        <v>429</v>
      </c>
      <c r="I212">
        <v>51</v>
      </c>
      <c r="J212">
        <v>51</v>
      </c>
      <c r="K212" s="1">
        <v>45337</v>
      </c>
      <c r="L212" s="1">
        <v>45611</v>
      </c>
      <c r="M212" s="1">
        <v>45337</v>
      </c>
      <c r="N212" s="1">
        <v>45611</v>
      </c>
      <c r="O212" t="s">
        <v>116</v>
      </c>
      <c r="P212" t="s">
        <v>12361</v>
      </c>
      <c r="Q212" t="s">
        <v>12362</v>
      </c>
      <c r="R212" t="s">
        <v>1167</v>
      </c>
      <c r="T212" t="s">
        <v>1168</v>
      </c>
      <c r="U212" t="s">
        <v>127</v>
      </c>
      <c r="V212" s="8" t="str">
        <f>"75098"</f>
        <v>75098</v>
      </c>
      <c r="W212" t="s">
        <v>118</v>
      </c>
      <c r="Y212" s="10">
        <v>19724245343</v>
      </c>
      <c r="AA212">
        <v>56173</v>
      </c>
      <c r="AB212" t="s">
        <v>12363</v>
      </c>
      <c r="AC212" t="s">
        <v>4009</v>
      </c>
      <c r="AE212" t="s">
        <v>629</v>
      </c>
      <c r="AF212" t="s">
        <v>1167</v>
      </c>
      <c r="AH212" t="s">
        <v>1168</v>
      </c>
      <c r="AI212" t="s">
        <v>127</v>
      </c>
      <c r="AJ212" s="8" t="str">
        <f>"75098"</f>
        <v>75098</v>
      </c>
      <c r="AK212" t="s">
        <v>118</v>
      </c>
      <c r="AM212" s="10">
        <v>19724245343</v>
      </c>
      <c r="AO212" t="s">
        <v>132</v>
      </c>
      <c r="AP212" t="s">
        <v>121</v>
      </c>
      <c r="AQ212" t="s">
        <v>1172</v>
      </c>
      <c r="AR212" t="s">
        <v>1173</v>
      </c>
      <c r="AS212" t="s">
        <v>708</v>
      </c>
      <c r="AT212" t="s">
        <v>3325</v>
      </c>
      <c r="AV212" t="s">
        <v>603</v>
      </c>
      <c r="AW212" t="s">
        <v>127</v>
      </c>
      <c r="AX212" s="8" t="str">
        <f>"78705"</f>
        <v>78705</v>
      </c>
      <c r="AY212" t="s">
        <v>118</v>
      </c>
      <c r="BA212" s="10">
        <v>15123470007</v>
      </c>
      <c r="BC212" t="s">
        <v>1175</v>
      </c>
      <c r="BD212" t="s">
        <v>1176</v>
      </c>
      <c r="BE212" t="s">
        <v>127</v>
      </c>
      <c r="BF212" t="s">
        <v>750</v>
      </c>
      <c r="BG212" t="s">
        <v>127</v>
      </c>
      <c r="BH212" s="1">
        <v>45246.791666666664</v>
      </c>
      <c r="BI212">
        <v>40</v>
      </c>
      <c r="BJ212">
        <v>4</v>
      </c>
      <c r="BK212">
        <v>6</v>
      </c>
      <c r="BL212">
        <v>6</v>
      </c>
      <c r="BM212">
        <v>6</v>
      </c>
      <c r="BN212">
        <v>6</v>
      </c>
      <c r="BO212">
        <v>6</v>
      </c>
      <c r="BP212">
        <v>6</v>
      </c>
      <c r="BQ212" t="str">
        <f>"6:00 AM"</f>
        <v>6:00 AM</v>
      </c>
      <c r="BR212" t="str">
        <f>"3:00 PM"</f>
        <v>3:00 PM</v>
      </c>
      <c r="BS212" t="s">
        <v>131</v>
      </c>
      <c r="BT212">
        <v>0</v>
      </c>
      <c r="BU212">
        <v>3</v>
      </c>
      <c r="BV212" t="s">
        <v>114</v>
      </c>
      <c r="BX212" t="s">
        <v>131</v>
      </c>
      <c r="BY212" t="s">
        <v>1167</v>
      </c>
      <c r="CA212" t="s">
        <v>1168</v>
      </c>
      <c r="CB212" t="s">
        <v>127</v>
      </c>
      <c r="CC212" s="8" t="str">
        <f>"75098"</f>
        <v>75098</v>
      </c>
      <c r="CD212" t="s">
        <v>1177</v>
      </c>
      <c r="CE212" t="s">
        <v>263</v>
      </c>
      <c r="CF212" s="12">
        <v>17</v>
      </c>
      <c r="CG212" s="12">
        <v>19</v>
      </c>
      <c r="CH212" s="12">
        <v>25.5</v>
      </c>
      <c r="CI212" s="12">
        <v>28.5</v>
      </c>
      <c r="CJ212" t="s">
        <v>135</v>
      </c>
      <c r="CK212" t="s">
        <v>12364</v>
      </c>
      <c r="CL212" t="s">
        <v>12365</v>
      </c>
      <c r="CO212" t="s">
        <v>132</v>
      </c>
      <c r="CP212" t="s">
        <v>136</v>
      </c>
      <c r="CQ212" t="s">
        <v>136</v>
      </c>
      <c r="CR212" t="s">
        <v>136</v>
      </c>
      <c r="CS212" t="s">
        <v>136</v>
      </c>
      <c r="CT212" t="s">
        <v>136</v>
      </c>
      <c r="CU212" t="s">
        <v>136</v>
      </c>
      <c r="CV212" s="2" t="s">
        <v>12366</v>
      </c>
      <c r="CW212" s="10" t="str">
        <f>"+19724245343"</f>
        <v>+19724245343</v>
      </c>
      <c r="CX212" t="s">
        <v>1181</v>
      </c>
      <c r="CY212" t="s">
        <v>132</v>
      </c>
      <c r="CZ212" t="s">
        <v>137</v>
      </c>
      <c r="DA212" t="s">
        <v>114</v>
      </c>
      <c r="DB212" t="s">
        <v>114</v>
      </c>
      <c r="DC212" t="s">
        <v>136</v>
      </c>
      <c r="DD212" t="s">
        <v>114</v>
      </c>
    </row>
    <row r="213" spans="1:113" ht="15" customHeight="1" x14ac:dyDescent="0.25">
      <c r="A213" t="s">
        <v>4893</v>
      </c>
      <c r="B213" t="s">
        <v>152</v>
      </c>
      <c r="C213" s="1">
        <v>45247.402409027774</v>
      </c>
      <c r="D213" s="1">
        <v>45282</v>
      </c>
      <c r="E213" t="s">
        <v>132</v>
      </c>
      <c r="F213" t="s">
        <v>1595</v>
      </c>
      <c r="G213" t="str">
        <f>"37-3011.00"</f>
        <v>37-3011.00</v>
      </c>
      <c r="H213" t="s">
        <v>429</v>
      </c>
      <c r="I213">
        <v>11</v>
      </c>
      <c r="J213">
        <v>11</v>
      </c>
      <c r="K213" s="1">
        <v>45337</v>
      </c>
      <c r="L213" s="1">
        <v>45611</v>
      </c>
      <c r="M213" s="1">
        <v>45337</v>
      </c>
      <c r="N213" s="1">
        <v>45611</v>
      </c>
      <c r="O213" t="s">
        <v>116</v>
      </c>
      <c r="P213" t="s">
        <v>4894</v>
      </c>
      <c r="R213" t="s">
        <v>4895</v>
      </c>
      <c r="T213" t="s">
        <v>1814</v>
      </c>
      <c r="U213" t="s">
        <v>333</v>
      </c>
      <c r="V213" s="8" t="str">
        <f>"70809"</f>
        <v>70809</v>
      </c>
      <c r="W213" t="s">
        <v>118</v>
      </c>
      <c r="Y213" s="10">
        <v>12257529177</v>
      </c>
      <c r="AA213">
        <v>56173</v>
      </c>
      <c r="AB213" t="s">
        <v>4896</v>
      </c>
      <c r="AC213" t="s">
        <v>250</v>
      </c>
      <c r="AD213" t="s">
        <v>1829</v>
      </c>
      <c r="AE213" t="s">
        <v>629</v>
      </c>
      <c r="AF213" t="s">
        <v>4895</v>
      </c>
      <c r="AH213" t="s">
        <v>1814</v>
      </c>
      <c r="AI213" t="s">
        <v>333</v>
      </c>
      <c r="AJ213" s="8" t="str">
        <f>"70809"</f>
        <v>70809</v>
      </c>
      <c r="AK213" t="s">
        <v>118</v>
      </c>
      <c r="AM213" s="10">
        <v>12257529177</v>
      </c>
      <c r="AO213" t="s">
        <v>4897</v>
      </c>
      <c r="AP213" t="s">
        <v>248</v>
      </c>
      <c r="AQ213" t="s">
        <v>3017</v>
      </c>
      <c r="AR213" t="s">
        <v>3018</v>
      </c>
      <c r="AT213" t="s">
        <v>3371</v>
      </c>
      <c r="AV213" t="s">
        <v>1168</v>
      </c>
      <c r="AW213" t="s">
        <v>127</v>
      </c>
      <c r="AX213" s="8" t="str">
        <f>"75098"</f>
        <v>75098</v>
      </c>
      <c r="AY213" t="s">
        <v>118</v>
      </c>
      <c r="BA213" s="10">
        <v>19724424244</v>
      </c>
      <c r="BC213" t="s">
        <v>3372</v>
      </c>
      <c r="BD213" t="s">
        <v>3021</v>
      </c>
      <c r="BG213" t="s">
        <v>333</v>
      </c>
      <c r="BH213" s="1">
        <v>45246.791666666664</v>
      </c>
      <c r="BI213">
        <v>40</v>
      </c>
      <c r="BJ213">
        <v>0</v>
      </c>
      <c r="BK213">
        <v>8</v>
      </c>
      <c r="BL213">
        <v>8</v>
      </c>
      <c r="BM213">
        <v>8</v>
      </c>
      <c r="BN213">
        <v>8</v>
      </c>
      <c r="BO213">
        <v>8</v>
      </c>
      <c r="BP213">
        <v>0</v>
      </c>
      <c r="BQ213" t="str">
        <f>"5:30 AM"</f>
        <v>5:30 AM</v>
      </c>
      <c r="BR213" t="str">
        <f>"4:00 PM"</f>
        <v>4:00 PM</v>
      </c>
      <c r="BS213" t="s">
        <v>131</v>
      </c>
      <c r="BT213">
        <v>0</v>
      </c>
      <c r="BU213">
        <v>0</v>
      </c>
      <c r="BV213" t="s">
        <v>114</v>
      </c>
      <c r="BX213" t="s">
        <v>131</v>
      </c>
      <c r="BY213" t="s">
        <v>4895</v>
      </c>
      <c r="CA213" t="s">
        <v>1814</v>
      </c>
      <c r="CB213" t="s">
        <v>333</v>
      </c>
      <c r="CC213" s="8" t="str">
        <f>"70809"</f>
        <v>70809</v>
      </c>
      <c r="CD213" t="s">
        <v>1929</v>
      </c>
      <c r="CE213" t="s">
        <v>1930</v>
      </c>
      <c r="CF213" s="12">
        <v>15.19</v>
      </c>
      <c r="CG213" s="12">
        <v>20</v>
      </c>
      <c r="CH213" s="12">
        <v>22.79</v>
      </c>
      <c r="CI213" s="12">
        <v>30</v>
      </c>
      <c r="CJ213" t="s">
        <v>135</v>
      </c>
      <c r="CK213" t="s">
        <v>132</v>
      </c>
      <c r="CL213" t="s">
        <v>4898</v>
      </c>
      <c r="CO213" t="s">
        <v>132</v>
      </c>
      <c r="CP213" t="s">
        <v>136</v>
      </c>
      <c r="CQ213" t="s">
        <v>136</v>
      </c>
      <c r="CR213" t="s">
        <v>136</v>
      </c>
      <c r="CS213" t="s">
        <v>136</v>
      </c>
      <c r="CT213" t="s">
        <v>136</v>
      </c>
      <c r="CU213" t="s">
        <v>136</v>
      </c>
      <c r="CV213" t="s">
        <v>4899</v>
      </c>
      <c r="CW213" s="10" t="str">
        <f>"+12257529177"</f>
        <v>+12257529177</v>
      </c>
      <c r="CX213" t="s">
        <v>132</v>
      </c>
      <c r="CY213" t="s">
        <v>4900</v>
      </c>
      <c r="CZ213" t="s">
        <v>137</v>
      </c>
      <c r="DA213" t="s">
        <v>114</v>
      </c>
      <c r="DB213" t="s">
        <v>114</v>
      </c>
      <c r="DC213" t="s">
        <v>136</v>
      </c>
      <c r="DD213" t="s">
        <v>114</v>
      </c>
    </row>
    <row r="214" spans="1:113" ht="15" customHeight="1" x14ac:dyDescent="0.25">
      <c r="A214" t="s">
        <v>7665</v>
      </c>
      <c r="B214" t="s">
        <v>152</v>
      </c>
      <c r="C214" s="1">
        <v>45260.575295254632</v>
      </c>
      <c r="D214" s="1">
        <v>45281</v>
      </c>
      <c r="E214" t="s">
        <v>132</v>
      </c>
      <c r="F214" t="s">
        <v>3420</v>
      </c>
      <c r="G214" t="str">
        <f>"37-3011.00"</f>
        <v>37-3011.00</v>
      </c>
      <c r="H214" t="s">
        <v>429</v>
      </c>
      <c r="I214">
        <v>14</v>
      </c>
      <c r="J214">
        <v>14</v>
      </c>
      <c r="K214" s="1">
        <v>45350</v>
      </c>
      <c r="L214" s="1">
        <v>45654</v>
      </c>
      <c r="M214" s="1">
        <v>45350</v>
      </c>
      <c r="N214" s="1">
        <v>45654</v>
      </c>
      <c r="O214" t="s">
        <v>116</v>
      </c>
      <c r="P214" t="s">
        <v>7666</v>
      </c>
      <c r="R214" t="s">
        <v>7667</v>
      </c>
      <c r="T214" t="s">
        <v>3716</v>
      </c>
      <c r="U214" t="s">
        <v>1154</v>
      </c>
      <c r="V214" s="8" t="str">
        <f>"39056"</f>
        <v>39056</v>
      </c>
      <c r="W214" t="s">
        <v>118</v>
      </c>
      <c r="Y214" s="10">
        <v>16014403004</v>
      </c>
      <c r="AA214">
        <v>56173</v>
      </c>
      <c r="AB214" t="s">
        <v>7668</v>
      </c>
      <c r="AC214" t="s">
        <v>320</v>
      </c>
      <c r="AE214" t="s">
        <v>654</v>
      </c>
      <c r="AF214" t="s">
        <v>7669</v>
      </c>
      <c r="AH214" t="s">
        <v>3716</v>
      </c>
      <c r="AI214" t="s">
        <v>1154</v>
      </c>
      <c r="AJ214" s="8" t="str">
        <f>"39056"</f>
        <v>39056</v>
      </c>
      <c r="AK214" t="s">
        <v>118</v>
      </c>
      <c r="AM214" s="10">
        <v>16014403004</v>
      </c>
      <c r="AO214" t="s">
        <v>7670</v>
      </c>
      <c r="AP214" t="s">
        <v>248</v>
      </c>
      <c r="AQ214" t="s">
        <v>3290</v>
      </c>
      <c r="AR214" t="s">
        <v>2001</v>
      </c>
      <c r="AT214" t="s">
        <v>3291</v>
      </c>
      <c r="AV214" t="s">
        <v>3292</v>
      </c>
      <c r="AW214" t="s">
        <v>402</v>
      </c>
      <c r="AX214" s="8" t="str">
        <f>"93446"</f>
        <v>93446</v>
      </c>
      <c r="AY214" t="s">
        <v>118</v>
      </c>
      <c r="AZ214" t="s">
        <v>3293</v>
      </c>
      <c r="BA214" s="10">
        <v>13217042589</v>
      </c>
      <c r="BC214" t="s">
        <v>3294</v>
      </c>
      <c r="BD214" t="s">
        <v>3295</v>
      </c>
      <c r="BG214" t="s">
        <v>1154</v>
      </c>
      <c r="BH214" s="1">
        <v>45236.791666666664</v>
      </c>
      <c r="BI214">
        <v>40</v>
      </c>
      <c r="BJ214">
        <v>0</v>
      </c>
      <c r="BK214">
        <v>10</v>
      </c>
      <c r="BL214">
        <v>10</v>
      </c>
      <c r="BM214">
        <v>10</v>
      </c>
      <c r="BN214">
        <v>10</v>
      </c>
      <c r="BO214">
        <v>0</v>
      </c>
      <c r="BP214">
        <v>0</v>
      </c>
      <c r="BQ214" t="str">
        <f>"6:30 AM"</f>
        <v>6:30 AM</v>
      </c>
      <c r="BR214" t="str">
        <f>"5:00 PM"</f>
        <v>5:00 PM</v>
      </c>
      <c r="BS214" t="s">
        <v>131</v>
      </c>
      <c r="BT214">
        <v>0</v>
      </c>
      <c r="BU214">
        <v>3</v>
      </c>
      <c r="BV214" t="s">
        <v>114</v>
      </c>
      <c r="BX214" s="2" t="s">
        <v>7671</v>
      </c>
      <c r="BY214" t="s">
        <v>7672</v>
      </c>
      <c r="CA214" t="s">
        <v>634</v>
      </c>
      <c r="CB214" t="s">
        <v>1154</v>
      </c>
      <c r="CC214" s="8" t="str">
        <f>"39056"</f>
        <v>39056</v>
      </c>
      <c r="CD214" t="s">
        <v>7498</v>
      </c>
      <c r="CE214" t="s">
        <v>2677</v>
      </c>
      <c r="CF214" s="12">
        <v>14.09</v>
      </c>
      <c r="CG214" s="12">
        <v>14.09</v>
      </c>
      <c r="CH214" s="12">
        <v>21.14</v>
      </c>
      <c r="CI214" s="12">
        <v>21.14</v>
      </c>
      <c r="CJ214" t="s">
        <v>135</v>
      </c>
      <c r="CK214" t="s">
        <v>5469</v>
      </c>
      <c r="CL214" t="s">
        <v>7673</v>
      </c>
      <c r="CO214" t="s">
        <v>132</v>
      </c>
      <c r="CP214" t="s">
        <v>136</v>
      </c>
      <c r="CQ214" t="s">
        <v>136</v>
      </c>
      <c r="CR214" t="s">
        <v>136</v>
      </c>
      <c r="CS214" t="s">
        <v>136</v>
      </c>
      <c r="CT214" t="s">
        <v>136</v>
      </c>
      <c r="CU214" t="s">
        <v>136</v>
      </c>
      <c r="CV214" t="s">
        <v>7674</v>
      </c>
      <c r="CW214" s="10" t="str">
        <f>"+16014403004"</f>
        <v>+16014403004</v>
      </c>
      <c r="CX214" t="s">
        <v>7670</v>
      </c>
      <c r="CY214" t="s">
        <v>7675</v>
      </c>
      <c r="CZ214" t="s">
        <v>137</v>
      </c>
      <c r="DA214" t="s">
        <v>114</v>
      </c>
      <c r="DB214" t="s">
        <v>114</v>
      </c>
      <c r="DC214" t="s">
        <v>136</v>
      </c>
      <c r="DD214" t="s">
        <v>114</v>
      </c>
    </row>
    <row r="215" spans="1:113" ht="15" customHeight="1" x14ac:dyDescent="0.25">
      <c r="A215" t="s">
        <v>11236</v>
      </c>
      <c r="B215" t="s">
        <v>152</v>
      </c>
      <c r="C215" s="1">
        <v>45258.5773162037</v>
      </c>
      <c r="D215" s="1">
        <v>45281</v>
      </c>
      <c r="E215" t="s">
        <v>132</v>
      </c>
      <c r="F215" t="s">
        <v>2476</v>
      </c>
      <c r="G215" t="str">
        <f>"37-3011.00"</f>
        <v>37-3011.00</v>
      </c>
      <c r="H215" t="s">
        <v>429</v>
      </c>
      <c r="I215">
        <v>30</v>
      </c>
      <c r="J215">
        <v>30</v>
      </c>
      <c r="K215" s="1">
        <v>45344</v>
      </c>
      <c r="L215" s="1">
        <v>45641</v>
      </c>
      <c r="M215" s="1">
        <v>45344</v>
      </c>
      <c r="N215" s="1">
        <v>45641</v>
      </c>
      <c r="O215" t="s">
        <v>116</v>
      </c>
      <c r="P215" t="s">
        <v>11237</v>
      </c>
      <c r="R215" t="s">
        <v>11238</v>
      </c>
      <c r="T215" t="s">
        <v>5729</v>
      </c>
      <c r="U215" t="s">
        <v>375</v>
      </c>
      <c r="V215" s="8" t="str">
        <f>"28104"</f>
        <v>28104</v>
      </c>
      <c r="W215" t="s">
        <v>118</v>
      </c>
      <c r="Y215" s="10">
        <v>17046843377</v>
      </c>
      <c r="AA215">
        <v>56173</v>
      </c>
      <c r="AB215" t="s">
        <v>11239</v>
      </c>
      <c r="AC215" t="s">
        <v>8137</v>
      </c>
      <c r="AE215" t="s">
        <v>629</v>
      </c>
      <c r="AF215" t="s">
        <v>11238</v>
      </c>
      <c r="AH215" t="s">
        <v>5729</v>
      </c>
      <c r="AI215" t="s">
        <v>375</v>
      </c>
      <c r="AJ215" s="8" t="str">
        <f>"28104"</f>
        <v>28104</v>
      </c>
      <c r="AK215" t="s">
        <v>118</v>
      </c>
      <c r="AM215" s="10">
        <v>17046843377</v>
      </c>
      <c r="AO215" t="s">
        <v>132</v>
      </c>
      <c r="AP215" t="s">
        <v>248</v>
      </c>
      <c r="AQ215" t="s">
        <v>1873</v>
      </c>
      <c r="AR215" t="s">
        <v>1265</v>
      </c>
      <c r="AT215" t="s">
        <v>579</v>
      </c>
      <c r="AV215" t="s">
        <v>580</v>
      </c>
      <c r="AW215" t="s">
        <v>581</v>
      </c>
      <c r="AX215" s="8" t="str">
        <f>"22903"</f>
        <v>22903</v>
      </c>
      <c r="AY215" t="s">
        <v>118</v>
      </c>
      <c r="BA215" s="10">
        <v>14342634300</v>
      </c>
      <c r="BC215" t="s">
        <v>2909</v>
      </c>
      <c r="BD215" t="s">
        <v>583</v>
      </c>
      <c r="BG215" t="s">
        <v>375</v>
      </c>
      <c r="BH215" s="1">
        <v>45257.791666666664</v>
      </c>
      <c r="BI215">
        <v>40</v>
      </c>
      <c r="BJ215">
        <v>0</v>
      </c>
      <c r="BK215">
        <v>8</v>
      </c>
      <c r="BL215">
        <v>8</v>
      </c>
      <c r="BM215">
        <v>8</v>
      </c>
      <c r="BN215">
        <v>8</v>
      </c>
      <c r="BO215">
        <v>8</v>
      </c>
      <c r="BP215">
        <v>0</v>
      </c>
      <c r="BQ215" t="str">
        <f>"8:00 AM"</f>
        <v>8:00 AM</v>
      </c>
      <c r="BR215" t="str">
        <f>"4:45 PM"</f>
        <v>4:45 PM</v>
      </c>
      <c r="BS215" t="s">
        <v>131</v>
      </c>
      <c r="BT215">
        <v>0</v>
      </c>
      <c r="BU215">
        <v>3</v>
      </c>
      <c r="BV215" t="s">
        <v>114</v>
      </c>
      <c r="BX215" s="2" t="s">
        <v>10886</v>
      </c>
      <c r="BY215" t="s">
        <v>11238</v>
      </c>
      <c r="CA215" t="s">
        <v>5729</v>
      </c>
      <c r="CB215" t="s">
        <v>375</v>
      </c>
      <c r="CC215" s="8" t="str">
        <f>"28104"</f>
        <v>28104</v>
      </c>
      <c r="CD215" t="s">
        <v>3740</v>
      </c>
      <c r="CE215" t="s">
        <v>2940</v>
      </c>
      <c r="CF215" s="12">
        <v>17.239999999999998</v>
      </c>
      <c r="CG215" s="12">
        <v>17.239999999999998</v>
      </c>
      <c r="CH215" s="12">
        <v>25.86</v>
      </c>
      <c r="CI215" s="12">
        <v>25.86</v>
      </c>
      <c r="CJ215" t="s">
        <v>135</v>
      </c>
      <c r="CK215" t="s">
        <v>590</v>
      </c>
      <c r="CL215" t="s">
        <v>11240</v>
      </c>
      <c r="CO215" t="s">
        <v>132</v>
      </c>
      <c r="CP215" t="s">
        <v>136</v>
      </c>
      <c r="CQ215" t="s">
        <v>114</v>
      </c>
      <c r="CR215" t="s">
        <v>136</v>
      </c>
      <c r="CS215" t="s">
        <v>114</v>
      </c>
      <c r="CT215" t="s">
        <v>136</v>
      </c>
      <c r="CU215" t="s">
        <v>136</v>
      </c>
      <c r="CV215" t="s">
        <v>2893</v>
      </c>
      <c r="CW215" s="10" t="str">
        <f>"+17046843377"</f>
        <v>+17046843377</v>
      </c>
      <c r="CX215" t="s">
        <v>132</v>
      </c>
      <c r="CY215" t="s">
        <v>1954</v>
      </c>
      <c r="CZ215" t="s">
        <v>137</v>
      </c>
      <c r="DA215" t="s">
        <v>114</v>
      </c>
      <c r="DB215" t="s">
        <v>136</v>
      </c>
      <c r="DC215" t="s">
        <v>136</v>
      </c>
      <c r="DD215" t="s">
        <v>114</v>
      </c>
      <c r="DE215" t="s">
        <v>2912</v>
      </c>
      <c r="DF215" t="s">
        <v>2913</v>
      </c>
      <c r="DH215" t="s">
        <v>583</v>
      </c>
      <c r="DI215" t="s">
        <v>2909</v>
      </c>
    </row>
    <row r="216" spans="1:113" ht="15" customHeight="1" x14ac:dyDescent="0.25">
      <c r="A216" t="s">
        <v>10827</v>
      </c>
      <c r="B216" t="s">
        <v>152</v>
      </c>
      <c r="C216" s="1">
        <v>45258.491521412034</v>
      </c>
      <c r="D216" s="1">
        <v>45281</v>
      </c>
      <c r="E216" t="s">
        <v>132</v>
      </c>
      <c r="F216" t="s">
        <v>1595</v>
      </c>
      <c r="G216" t="str">
        <f>"37-3011.00"</f>
        <v>37-3011.00</v>
      </c>
      <c r="H216" t="s">
        <v>429</v>
      </c>
      <c r="I216">
        <v>20</v>
      </c>
      <c r="J216">
        <v>20</v>
      </c>
      <c r="K216" s="1">
        <v>45348</v>
      </c>
      <c r="L216" s="1">
        <v>45634</v>
      </c>
      <c r="M216" s="1">
        <v>45348</v>
      </c>
      <c r="N216" s="1">
        <v>45634</v>
      </c>
      <c r="O216" t="s">
        <v>238</v>
      </c>
      <c r="P216" t="s">
        <v>10828</v>
      </c>
      <c r="R216" t="s">
        <v>10829</v>
      </c>
      <c r="T216" t="s">
        <v>2428</v>
      </c>
      <c r="U216" t="s">
        <v>1734</v>
      </c>
      <c r="V216" s="8" t="str">
        <f>"66215"</f>
        <v>66215</v>
      </c>
      <c r="W216" t="s">
        <v>118</v>
      </c>
      <c r="Y216" s="10">
        <v>19138882400</v>
      </c>
      <c r="AA216">
        <v>56173</v>
      </c>
      <c r="AB216" t="s">
        <v>10830</v>
      </c>
      <c r="AC216" t="s">
        <v>10831</v>
      </c>
      <c r="AE216" t="s">
        <v>10832</v>
      </c>
      <c r="AF216" t="s">
        <v>10829</v>
      </c>
      <c r="AH216" t="s">
        <v>2428</v>
      </c>
      <c r="AI216" t="s">
        <v>1734</v>
      </c>
      <c r="AJ216" s="8" t="str">
        <f>"66215"</f>
        <v>66215</v>
      </c>
      <c r="AK216" t="s">
        <v>118</v>
      </c>
      <c r="AM216" s="10">
        <v>19138882400</v>
      </c>
      <c r="AO216" t="s">
        <v>132</v>
      </c>
      <c r="AP216" t="s">
        <v>248</v>
      </c>
      <c r="AQ216" t="s">
        <v>2873</v>
      </c>
      <c r="AR216" t="s">
        <v>2874</v>
      </c>
      <c r="AT216" t="s">
        <v>1350</v>
      </c>
      <c r="AU216" t="s">
        <v>1351</v>
      </c>
      <c r="AV216" t="s">
        <v>1352</v>
      </c>
      <c r="AW216" t="s">
        <v>581</v>
      </c>
      <c r="AX216" s="8" t="str">
        <f>"22949"</f>
        <v>22949</v>
      </c>
      <c r="AY216" t="s">
        <v>118</v>
      </c>
      <c r="BA216" s="10">
        <v>14342634300</v>
      </c>
      <c r="BC216" t="s">
        <v>2875</v>
      </c>
      <c r="BD216" t="s">
        <v>583</v>
      </c>
      <c r="BG216" t="s">
        <v>1734</v>
      </c>
      <c r="BH216" s="1">
        <v>45257.791666666664</v>
      </c>
      <c r="BI216">
        <v>35</v>
      </c>
      <c r="BJ216">
        <v>0</v>
      </c>
      <c r="BK216">
        <v>7</v>
      </c>
      <c r="BL216">
        <v>7</v>
      </c>
      <c r="BM216">
        <v>7</v>
      </c>
      <c r="BN216">
        <v>7</v>
      </c>
      <c r="BO216">
        <v>7</v>
      </c>
      <c r="BP216">
        <v>0</v>
      </c>
      <c r="BQ216" t="str">
        <f>"7:30 AM"</f>
        <v>7:30 AM</v>
      </c>
      <c r="BR216" t="str">
        <f>"3:15 PM"</f>
        <v>3:15 PM</v>
      </c>
      <c r="BS216" t="s">
        <v>131</v>
      </c>
      <c r="BT216">
        <v>0</v>
      </c>
      <c r="BU216">
        <v>0</v>
      </c>
      <c r="BV216" t="s">
        <v>114</v>
      </c>
      <c r="BX216" s="2" t="s">
        <v>10833</v>
      </c>
      <c r="BY216" t="s">
        <v>10834</v>
      </c>
      <c r="CA216" t="s">
        <v>6607</v>
      </c>
      <c r="CB216" t="s">
        <v>1734</v>
      </c>
      <c r="CC216" s="8" t="str">
        <f>"66218"</f>
        <v>66218</v>
      </c>
      <c r="CD216" t="s">
        <v>1969</v>
      </c>
      <c r="CE216" t="s">
        <v>2431</v>
      </c>
      <c r="CF216" s="12">
        <v>17.47</v>
      </c>
      <c r="CG216" s="12">
        <v>17.47</v>
      </c>
      <c r="CH216" s="12">
        <v>26.21</v>
      </c>
      <c r="CI216" s="12">
        <v>26.21</v>
      </c>
      <c r="CJ216" t="s">
        <v>135</v>
      </c>
      <c r="CK216" t="s">
        <v>590</v>
      </c>
      <c r="CL216" t="s">
        <v>10835</v>
      </c>
      <c r="CO216" t="s">
        <v>132</v>
      </c>
      <c r="CP216" t="s">
        <v>136</v>
      </c>
      <c r="CQ216" t="s">
        <v>114</v>
      </c>
      <c r="CR216" t="s">
        <v>136</v>
      </c>
      <c r="CS216" t="s">
        <v>136</v>
      </c>
      <c r="CT216" t="s">
        <v>136</v>
      </c>
      <c r="CU216" t="s">
        <v>136</v>
      </c>
      <c r="CV216" t="s">
        <v>10836</v>
      </c>
      <c r="CW216" s="10" t="str">
        <f>"N/A"</f>
        <v>N/A</v>
      </c>
      <c r="CX216" t="s">
        <v>10837</v>
      </c>
      <c r="CY216" t="s">
        <v>5126</v>
      </c>
      <c r="CZ216" t="s">
        <v>137</v>
      </c>
      <c r="DA216" t="s">
        <v>114</v>
      </c>
      <c r="DB216" t="s">
        <v>136</v>
      </c>
      <c r="DC216" t="s">
        <v>136</v>
      </c>
      <c r="DD216" t="s">
        <v>114</v>
      </c>
      <c r="DE216" t="s">
        <v>2873</v>
      </c>
      <c r="DF216" t="s">
        <v>2874</v>
      </c>
      <c r="DH216" t="s">
        <v>583</v>
      </c>
      <c r="DI216" t="s">
        <v>2875</v>
      </c>
    </row>
    <row r="217" spans="1:113" ht="15" customHeight="1" x14ac:dyDescent="0.25">
      <c r="A217" t="s">
        <v>3047</v>
      </c>
      <c r="B217" t="s">
        <v>152</v>
      </c>
      <c r="C217" s="1">
        <v>45258.419204398146</v>
      </c>
      <c r="D217" s="1">
        <v>45281</v>
      </c>
      <c r="E217" t="s">
        <v>132</v>
      </c>
      <c r="F217" t="s">
        <v>1595</v>
      </c>
      <c r="G217" t="str">
        <f>"37-3011.00"</f>
        <v>37-3011.00</v>
      </c>
      <c r="H217" t="s">
        <v>429</v>
      </c>
      <c r="I217">
        <v>50</v>
      </c>
      <c r="J217">
        <v>50</v>
      </c>
      <c r="K217" s="1">
        <v>45348</v>
      </c>
      <c r="L217" s="1">
        <v>45632</v>
      </c>
      <c r="M217" s="1">
        <v>45348</v>
      </c>
      <c r="N217" s="1">
        <v>45632</v>
      </c>
      <c r="O217" t="s">
        <v>238</v>
      </c>
      <c r="P217" t="s">
        <v>3048</v>
      </c>
      <c r="R217" t="s">
        <v>3049</v>
      </c>
      <c r="S217" t="s">
        <v>132</v>
      </c>
      <c r="T217" t="s">
        <v>1563</v>
      </c>
      <c r="U217" t="s">
        <v>211</v>
      </c>
      <c r="V217" s="8" t="str">
        <f>"84104"</f>
        <v>84104</v>
      </c>
      <c r="W217" t="s">
        <v>118</v>
      </c>
      <c r="X217" t="s">
        <v>132</v>
      </c>
      <c r="Y217" s="10">
        <v>18019782226</v>
      </c>
      <c r="AA217">
        <v>561730</v>
      </c>
      <c r="AB217" t="s">
        <v>3050</v>
      </c>
      <c r="AC217" t="s">
        <v>3051</v>
      </c>
      <c r="AD217" t="s">
        <v>3052</v>
      </c>
      <c r="AE217" t="s">
        <v>537</v>
      </c>
      <c r="AF217" t="s">
        <v>3049</v>
      </c>
      <c r="AG217" t="s">
        <v>132</v>
      </c>
      <c r="AH217" t="s">
        <v>1563</v>
      </c>
      <c r="AI217" t="s">
        <v>211</v>
      </c>
      <c r="AJ217" s="8" t="str">
        <f>"84104"</f>
        <v>84104</v>
      </c>
      <c r="AK217" t="s">
        <v>118</v>
      </c>
      <c r="AM217" s="10">
        <v>18019782226</v>
      </c>
      <c r="AO217" t="s">
        <v>3053</v>
      </c>
      <c r="AP217" t="s">
        <v>248</v>
      </c>
      <c r="AQ217" t="s">
        <v>2452</v>
      </c>
      <c r="AR217" t="s">
        <v>2453</v>
      </c>
      <c r="AS217" t="s">
        <v>515</v>
      </c>
      <c r="AT217" t="s">
        <v>2454</v>
      </c>
      <c r="AU217" t="s">
        <v>132</v>
      </c>
      <c r="AV217" t="s">
        <v>1585</v>
      </c>
      <c r="AW217" t="s">
        <v>127</v>
      </c>
      <c r="AX217" s="8" t="str">
        <f>"77414"</f>
        <v>77414</v>
      </c>
      <c r="AY217" t="s">
        <v>118</v>
      </c>
      <c r="BA217" s="10">
        <v>19793187278</v>
      </c>
      <c r="BC217" t="s">
        <v>2455</v>
      </c>
      <c r="BD217" t="s">
        <v>1587</v>
      </c>
      <c r="BG217" t="s">
        <v>211</v>
      </c>
      <c r="BH217" s="1">
        <v>45257.791666666664</v>
      </c>
      <c r="BI217">
        <v>40</v>
      </c>
      <c r="BJ217">
        <v>0</v>
      </c>
      <c r="BK217">
        <v>8</v>
      </c>
      <c r="BL217">
        <v>8</v>
      </c>
      <c r="BM217">
        <v>8</v>
      </c>
      <c r="BN217">
        <v>8</v>
      </c>
      <c r="BO217">
        <v>8</v>
      </c>
      <c r="BP217">
        <v>0</v>
      </c>
      <c r="BQ217" t="str">
        <f>"7:00 AM"</f>
        <v>7:00 AM</v>
      </c>
      <c r="BR217" t="str">
        <f>"3:30 PM"</f>
        <v>3:30 PM</v>
      </c>
      <c r="BS217" t="s">
        <v>131</v>
      </c>
      <c r="BT217">
        <v>0</v>
      </c>
      <c r="BU217">
        <v>2</v>
      </c>
      <c r="BV217" t="s">
        <v>114</v>
      </c>
      <c r="BX217" s="2" t="s">
        <v>3054</v>
      </c>
      <c r="BY217" t="s">
        <v>3049</v>
      </c>
      <c r="BZ217" t="s">
        <v>132</v>
      </c>
      <c r="CA217" t="s">
        <v>1563</v>
      </c>
      <c r="CB217" t="s">
        <v>211</v>
      </c>
      <c r="CC217" s="8" t="str">
        <f>"84104"</f>
        <v>84104</v>
      </c>
      <c r="CD217" t="s">
        <v>1567</v>
      </c>
      <c r="CE217" t="s">
        <v>1568</v>
      </c>
      <c r="CF217" s="12">
        <v>18.82</v>
      </c>
      <c r="CG217" s="12">
        <v>23</v>
      </c>
      <c r="CH217" s="12">
        <v>28.23</v>
      </c>
      <c r="CI217" s="12">
        <v>34.5</v>
      </c>
      <c r="CJ217" t="s">
        <v>135</v>
      </c>
      <c r="CK217" t="s">
        <v>3055</v>
      </c>
      <c r="CL217" t="s">
        <v>3056</v>
      </c>
      <c r="CO217" t="s">
        <v>132</v>
      </c>
      <c r="CP217" t="s">
        <v>136</v>
      </c>
      <c r="CQ217" t="s">
        <v>136</v>
      </c>
      <c r="CR217" t="s">
        <v>136</v>
      </c>
      <c r="CS217" t="s">
        <v>114</v>
      </c>
      <c r="CT217" t="s">
        <v>136</v>
      </c>
      <c r="CU217" t="s">
        <v>114</v>
      </c>
      <c r="CV217" t="s">
        <v>3057</v>
      </c>
      <c r="CW217" s="10" t="str">
        <f>"+18019782226"</f>
        <v>+18019782226</v>
      </c>
      <c r="CX217" t="s">
        <v>3058</v>
      </c>
      <c r="CY217" t="s">
        <v>132</v>
      </c>
      <c r="CZ217" t="s">
        <v>137</v>
      </c>
      <c r="DA217" t="s">
        <v>114</v>
      </c>
      <c r="DB217" t="s">
        <v>114</v>
      </c>
      <c r="DC217" t="s">
        <v>136</v>
      </c>
      <c r="DD217" t="s">
        <v>114</v>
      </c>
    </row>
    <row r="218" spans="1:113" ht="15" customHeight="1" x14ac:dyDescent="0.25">
      <c r="A218" t="s">
        <v>3735</v>
      </c>
      <c r="B218" t="s">
        <v>152</v>
      </c>
      <c r="C218" s="1">
        <v>45258.335426620368</v>
      </c>
      <c r="D218" s="1">
        <v>45281</v>
      </c>
      <c r="E218" t="s">
        <v>132</v>
      </c>
      <c r="F218" t="s">
        <v>236</v>
      </c>
      <c r="G218" t="str">
        <f>"39-3091.00"</f>
        <v>39-3091.00</v>
      </c>
      <c r="H218" t="s">
        <v>237</v>
      </c>
      <c r="I218">
        <v>24</v>
      </c>
      <c r="J218">
        <v>24</v>
      </c>
      <c r="K218" s="1">
        <v>45348</v>
      </c>
      <c r="L218" s="1">
        <v>45608</v>
      </c>
      <c r="M218" s="1">
        <v>45348</v>
      </c>
      <c r="N218" s="1">
        <v>45608</v>
      </c>
      <c r="O218" t="s">
        <v>238</v>
      </c>
      <c r="P218" t="s">
        <v>3736</v>
      </c>
      <c r="R218" t="s">
        <v>3737</v>
      </c>
      <c r="T218" t="s">
        <v>3738</v>
      </c>
      <c r="U218" t="s">
        <v>1825</v>
      </c>
      <c r="V218" s="8" t="str">
        <f>"71730"</f>
        <v>71730</v>
      </c>
      <c r="W218" t="s">
        <v>118</v>
      </c>
      <c r="Y218" s="10">
        <v>18703105884</v>
      </c>
      <c r="AA218">
        <v>711190</v>
      </c>
      <c r="AB218" t="s">
        <v>3274</v>
      </c>
      <c r="AC218" t="s">
        <v>2449</v>
      </c>
      <c r="AE218" t="s">
        <v>561</v>
      </c>
      <c r="AF218" t="s">
        <v>3737</v>
      </c>
      <c r="AH218" t="s">
        <v>3738</v>
      </c>
      <c r="AI218" t="s">
        <v>1825</v>
      </c>
      <c r="AJ218" s="8" t="str">
        <f>"71730"</f>
        <v>71730</v>
      </c>
      <c r="AK218" t="s">
        <v>118</v>
      </c>
      <c r="AM218" s="10">
        <v>18703105884</v>
      </c>
      <c r="AO218" t="s">
        <v>3739</v>
      </c>
      <c r="AP218" t="s">
        <v>248</v>
      </c>
      <c r="AQ218" t="s">
        <v>249</v>
      </c>
      <c r="AR218" t="s">
        <v>250</v>
      </c>
      <c r="AS218" t="s">
        <v>251</v>
      </c>
      <c r="AT218" t="s">
        <v>252</v>
      </c>
      <c r="AU218" t="s">
        <v>253</v>
      </c>
      <c r="AV218" t="s">
        <v>254</v>
      </c>
      <c r="AW218" t="s">
        <v>127</v>
      </c>
      <c r="AX218" s="8" t="str">
        <f>"78550"</f>
        <v>78550</v>
      </c>
      <c r="AY218" t="s">
        <v>118</v>
      </c>
      <c r="AZ218" t="s">
        <v>255</v>
      </c>
      <c r="BA218" s="10">
        <v>19564408720</v>
      </c>
      <c r="BB218" s="3" t="s">
        <v>256</v>
      </c>
      <c r="BC218" t="s">
        <v>257</v>
      </c>
      <c r="BD218" t="s">
        <v>258</v>
      </c>
      <c r="BG218" t="s">
        <v>1825</v>
      </c>
      <c r="BH218" s="1">
        <v>45257.791666666664</v>
      </c>
      <c r="BI218">
        <v>40</v>
      </c>
      <c r="BJ218">
        <v>8</v>
      </c>
      <c r="BK218">
        <v>0</v>
      </c>
      <c r="BL218">
        <v>0</v>
      </c>
      <c r="BM218">
        <v>8</v>
      </c>
      <c r="BN218">
        <v>8</v>
      </c>
      <c r="BO218">
        <v>8</v>
      </c>
      <c r="BP218">
        <v>8</v>
      </c>
      <c r="BQ218" t="str">
        <f>"1:00 PM"</f>
        <v>1:00 PM</v>
      </c>
      <c r="BR218" t="str">
        <f>"10:00 PM"</f>
        <v>10:00 PM</v>
      </c>
      <c r="BS218" t="s">
        <v>131</v>
      </c>
      <c r="BT218">
        <v>0</v>
      </c>
      <c r="BU218">
        <v>0</v>
      </c>
      <c r="BV218" t="s">
        <v>114</v>
      </c>
      <c r="BX218" s="2" t="s">
        <v>259</v>
      </c>
      <c r="BY218" t="s">
        <v>3737</v>
      </c>
      <c r="CA218" t="s">
        <v>3738</v>
      </c>
      <c r="CB218" t="s">
        <v>1825</v>
      </c>
      <c r="CC218" s="8" t="str">
        <f>"71730"</f>
        <v>71730</v>
      </c>
      <c r="CD218" t="s">
        <v>3740</v>
      </c>
      <c r="CE218" t="s">
        <v>3741</v>
      </c>
      <c r="CF218" s="12">
        <v>10.41</v>
      </c>
      <c r="CG218" s="12">
        <v>13.31</v>
      </c>
      <c r="CJ218" t="s">
        <v>135</v>
      </c>
      <c r="CK218" t="s">
        <v>264</v>
      </c>
      <c r="CL218" t="s">
        <v>3742</v>
      </c>
      <c r="CO218" t="s">
        <v>132</v>
      </c>
      <c r="CP218" t="s">
        <v>136</v>
      </c>
      <c r="CQ218" t="s">
        <v>136</v>
      </c>
      <c r="CR218" t="s">
        <v>114</v>
      </c>
      <c r="CS218" t="s">
        <v>136</v>
      </c>
      <c r="CT218" t="s">
        <v>136</v>
      </c>
      <c r="CU218" t="s">
        <v>136</v>
      </c>
      <c r="CV218" t="s">
        <v>2258</v>
      </c>
      <c r="CW218" s="10" t="str">
        <f>"+18703105884"</f>
        <v>+18703105884</v>
      </c>
      <c r="CX218" t="s">
        <v>3739</v>
      </c>
      <c r="CY218" t="s">
        <v>132</v>
      </c>
      <c r="CZ218" t="s">
        <v>137</v>
      </c>
      <c r="DA218" t="s">
        <v>114</v>
      </c>
      <c r="DB218" t="s">
        <v>136</v>
      </c>
      <c r="DC218" t="s">
        <v>136</v>
      </c>
      <c r="DD218" t="s">
        <v>114</v>
      </c>
    </row>
    <row r="219" spans="1:113" ht="15" customHeight="1" x14ac:dyDescent="0.25">
      <c r="A219" t="s">
        <v>8312</v>
      </c>
      <c r="B219" t="s">
        <v>152</v>
      </c>
      <c r="C219" s="1">
        <v>45258.013987152779</v>
      </c>
      <c r="D219" s="1">
        <v>45281</v>
      </c>
      <c r="E219" t="s">
        <v>132</v>
      </c>
      <c r="F219" t="s">
        <v>1595</v>
      </c>
      <c r="G219" t="str">
        <f>"37-3011.00"</f>
        <v>37-3011.00</v>
      </c>
      <c r="H219" t="s">
        <v>429</v>
      </c>
      <c r="I219">
        <v>32</v>
      </c>
      <c r="J219">
        <v>32</v>
      </c>
      <c r="K219" s="1">
        <v>45348</v>
      </c>
      <c r="L219" s="1">
        <v>45613</v>
      </c>
      <c r="M219" s="1">
        <v>45348</v>
      </c>
      <c r="N219" s="1">
        <v>45613</v>
      </c>
      <c r="O219" t="s">
        <v>116</v>
      </c>
      <c r="P219" t="s">
        <v>3129</v>
      </c>
      <c r="R219" t="s">
        <v>3130</v>
      </c>
      <c r="S219" t="s">
        <v>296</v>
      </c>
      <c r="T219" t="s">
        <v>3131</v>
      </c>
      <c r="U219" t="s">
        <v>1598</v>
      </c>
      <c r="V219" s="8" t="str">
        <f>"35216"</f>
        <v>35216</v>
      </c>
      <c r="W219" t="s">
        <v>118</v>
      </c>
      <c r="Y219" s="10">
        <v>12055473945</v>
      </c>
      <c r="Z219">
        <v>2008</v>
      </c>
      <c r="AA219">
        <v>56173</v>
      </c>
      <c r="AB219" t="s">
        <v>3132</v>
      </c>
      <c r="AC219" t="s">
        <v>3133</v>
      </c>
      <c r="AE219" t="s">
        <v>1556</v>
      </c>
      <c r="AF219" t="s">
        <v>3130</v>
      </c>
      <c r="AG219" t="s">
        <v>296</v>
      </c>
      <c r="AH219" t="s">
        <v>3131</v>
      </c>
      <c r="AI219" t="s">
        <v>1598</v>
      </c>
      <c r="AJ219" s="8" t="str">
        <f>"35216"</f>
        <v>35216</v>
      </c>
      <c r="AK219" t="s">
        <v>118</v>
      </c>
      <c r="AM219" s="10">
        <v>12055473945</v>
      </c>
      <c r="AN219">
        <v>2008</v>
      </c>
      <c r="AO219" t="s">
        <v>3134</v>
      </c>
      <c r="AP219" t="s">
        <v>248</v>
      </c>
      <c r="AQ219" t="s">
        <v>2741</v>
      </c>
      <c r="AR219" t="s">
        <v>2742</v>
      </c>
      <c r="AS219" t="s">
        <v>132</v>
      </c>
      <c r="AT219" t="s">
        <v>1253</v>
      </c>
      <c r="AU219" t="s">
        <v>852</v>
      </c>
      <c r="AV219" t="s">
        <v>853</v>
      </c>
      <c r="AW219" t="s">
        <v>854</v>
      </c>
      <c r="AX219" s="8" t="str">
        <f>"83814"</f>
        <v>83814</v>
      </c>
      <c r="AY219" t="s">
        <v>118</v>
      </c>
      <c r="BA219" s="10">
        <v>12087772654</v>
      </c>
      <c r="BC219" t="s">
        <v>2743</v>
      </c>
      <c r="BD219" t="s">
        <v>856</v>
      </c>
      <c r="BG219" t="s">
        <v>550</v>
      </c>
      <c r="BH219" s="1">
        <v>45256.791666666664</v>
      </c>
      <c r="BI219">
        <v>40</v>
      </c>
      <c r="BJ219">
        <v>0</v>
      </c>
      <c r="BK219">
        <v>8</v>
      </c>
      <c r="BL219">
        <v>8</v>
      </c>
      <c r="BM219">
        <v>8</v>
      </c>
      <c r="BN219">
        <v>8</v>
      </c>
      <c r="BO219">
        <v>8</v>
      </c>
      <c r="BP219">
        <v>0</v>
      </c>
      <c r="BQ219" t="str">
        <f>"6:30 AM"</f>
        <v>6:30 AM</v>
      </c>
      <c r="BR219" t="str">
        <f>"3:30 PM"</f>
        <v>3:30 PM</v>
      </c>
      <c r="BS219" t="s">
        <v>131</v>
      </c>
      <c r="BT219">
        <v>0</v>
      </c>
      <c r="BU219">
        <v>0</v>
      </c>
      <c r="BV219" t="s">
        <v>114</v>
      </c>
      <c r="BX219" t="s">
        <v>3135</v>
      </c>
      <c r="BY219" t="s">
        <v>8313</v>
      </c>
      <c r="CA219" t="s">
        <v>8314</v>
      </c>
      <c r="CB219" t="s">
        <v>550</v>
      </c>
      <c r="CC219" s="8" t="str">
        <f>"30518"</f>
        <v>30518</v>
      </c>
      <c r="CD219" t="s">
        <v>4904</v>
      </c>
      <c r="CE219" t="s">
        <v>552</v>
      </c>
      <c r="CF219" s="12">
        <v>17.07</v>
      </c>
      <c r="CG219" s="12">
        <v>18.07</v>
      </c>
      <c r="CH219" s="12">
        <v>25.61</v>
      </c>
      <c r="CI219" s="12">
        <v>27.11</v>
      </c>
      <c r="CJ219" t="s">
        <v>135</v>
      </c>
      <c r="CK219" t="s">
        <v>1899</v>
      </c>
      <c r="CL219" t="s">
        <v>8315</v>
      </c>
      <c r="CO219" t="s">
        <v>132</v>
      </c>
      <c r="CP219" t="s">
        <v>136</v>
      </c>
      <c r="CQ219" t="s">
        <v>136</v>
      </c>
      <c r="CR219" t="s">
        <v>136</v>
      </c>
      <c r="CS219" t="s">
        <v>136</v>
      </c>
      <c r="CT219" t="s">
        <v>136</v>
      </c>
      <c r="CU219" t="s">
        <v>136</v>
      </c>
      <c r="CV219" t="s">
        <v>3137</v>
      </c>
      <c r="CW219" s="10" t="str">
        <f>"+12055473945"</f>
        <v>+12055473945</v>
      </c>
      <c r="CX219" t="s">
        <v>3134</v>
      </c>
      <c r="CY219" t="s">
        <v>132</v>
      </c>
      <c r="CZ219" t="s">
        <v>137</v>
      </c>
      <c r="DA219" t="s">
        <v>114</v>
      </c>
      <c r="DB219" t="s">
        <v>136</v>
      </c>
      <c r="DC219" t="s">
        <v>136</v>
      </c>
      <c r="DD219" t="s">
        <v>114</v>
      </c>
    </row>
    <row r="220" spans="1:113" ht="15" customHeight="1" x14ac:dyDescent="0.25">
      <c r="A220" t="s">
        <v>22202</v>
      </c>
      <c r="B220" t="s">
        <v>152</v>
      </c>
      <c r="C220" s="1">
        <v>45257.72245173611</v>
      </c>
      <c r="D220" s="1">
        <v>45281</v>
      </c>
      <c r="E220" t="s">
        <v>132</v>
      </c>
      <c r="F220" t="s">
        <v>22203</v>
      </c>
      <c r="G220" t="str">
        <f>"47-3012.00"</f>
        <v>47-3012.00</v>
      </c>
      <c r="H220" t="s">
        <v>979</v>
      </c>
      <c r="I220">
        <v>6</v>
      </c>
      <c r="J220">
        <v>6</v>
      </c>
      <c r="K220" s="1">
        <v>45339</v>
      </c>
      <c r="L220" s="1">
        <v>45612</v>
      </c>
      <c r="M220" s="1">
        <v>45339</v>
      </c>
      <c r="N220" s="1">
        <v>45612</v>
      </c>
      <c r="O220" t="s">
        <v>116</v>
      </c>
      <c r="P220" t="s">
        <v>22204</v>
      </c>
      <c r="R220" t="s">
        <v>22205</v>
      </c>
      <c r="T220" t="s">
        <v>2087</v>
      </c>
      <c r="U220" t="s">
        <v>127</v>
      </c>
      <c r="V220" s="8" t="str">
        <f>"75401"</f>
        <v>75401</v>
      </c>
      <c r="W220" t="s">
        <v>118</v>
      </c>
      <c r="Y220" s="10">
        <v>19034557734</v>
      </c>
      <c r="AA220">
        <v>33711</v>
      </c>
      <c r="AB220" t="s">
        <v>10982</v>
      </c>
      <c r="AC220" t="s">
        <v>4686</v>
      </c>
      <c r="AE220" t="s">
        <v>629</v>
      </c>
      <c r="AF220" t="s">
        <v>22206</v>
      </c>
      <c r="AH220" t="s">
        <v>2087</v>
      </c>
      <c r="AI220" t="s">
        <v>127</v>
      </c>
      <c r="AJ220" s="8" t="str">
        <f>"75401"</f>
        <v>75401</v>
      </c>
      <c r="AK220" t="s">
        <v>118</v>
      </c>
      <c r="AM220" s="10">
        <v>19034557734</v>
      </c>
      <c r="AO220" t="s">
        <v>132</v>
      </c>
      <c r="AP220" t="s">
        <v>248</v>
      </c>
      <c r="AQ220" t="s">
        <v>2101</v>
      </c>
      <c r="AR220" t="s">
        <v>2309</v>
      </c>
      <c r="AT220" t="s">
        <v>2883</v>
      </c>
      <c r="AV220" t="s">
        <v>2884</v>
      </c>
      <c r="AW220" t="s">
        <v>127</v>
      </c>
      <c r="AX220" s="8" t="str">
        <f>"75442"</f>
        <v>75442</v>
      </c>
      <c r="AY220" t="s">
        <v>118</v>
      </c>
      <c r="BA220" s="10">
        <v>14692388392</v>
      </c>
      <c r="BC220" t="s">
        <v>3257</v>
      </c>
      <c r="BD220" t="s">
        <v>2886</v>
      </c>
      <c r="BG220" t="s">
        <v>127</v>
      </c>
      <c r="BH220" s="1">
        <v>45256.791666666664</v>
      </c>
      <c r="BI220">
        <v>40</v>
      </c>
      <c r="BJ220">
        <v>0</v>
      </c>
      <c r="BK220">
        <v>8</v>
      </c>
      <c r="BL220">
        <v>8</v>
      </c>
      <c r="BM220">
        <v>8</v>
      </c>
      <c r="BN220">
        <v>8</v>
      </c>
      <c r="BO220">
        <v>8</v>
      </c>
      <c r="BP220">
        <v>0</v>
      </c>
      <c r="BQ220" t="str">
        <f>"8:00 AM"</f>
        <v>8:00 AM</v>
      </c>
      <c r="BR220" t="str">
        <f>"5:00 PM"</f>
        <v>5:00 PM</v>
      </c>
      <c r="BS220" t="s">
        <v>131</v>
      </c>
      <c r="BT220">
        <v>0</v>
      </c>
      <c r="BU220">
        <v>0</v>
      </c>
      <c r="BV220" t="s">
        <v>114</v>
      </c>
      <c r="BX220" t="s">
        <v>18752</v>
      </c>
      <c r="BY220" t="s">
        <v>22205</v>
      </c>
      <c r="CA220" t="s">
        <v>2087</v>
      </c>
      <c r="CB220" t="s">
        <v>127</v>
      </c>
      <c r="CC220" s="8" t="str">
        <f>"75401"</f>
        <v>75401</v>
      </c>
      <c r="CD220" t="s">
        <v>11438</v>
      </c>
      <c r="CE220" t="s">
        <v>263</v>
      </c>
      <c r="CF220" s="12">
        <v>19.45</v>
      </c>
      <c r="CG220" s="12">
        <v>19.45</v>
      </c>
      <c r="CH220" s="12">
        <v>29.18</v>
      </c>
      <c r="CI220" s="12">
        <v>29.18</v>
      </c>
      <c r="CJ220" t="s">
        <v>135</v>
      </c>
      <c r="CK220" t="s">
        <v>2888</v>
      </c>
      <c r="CL220" t="s">
        <v>22207</v>
      </c>
      <c r="CO220" t="s">
        <v>132</v>
      </c>
      <c r="CP220" t="s">
        <v>114</v>
      </c>
      <c r="CQ220" t="s">
        <v>136</v>
      </c>
      <c r="CR220" t="s">
        <v>136</v>
      </c>
      <c r="CS220" t="s">
        <v>136</v>
      </c>
      <c r="CT220" t="s">
        <v>136</v>
      </c>
      <c r="CU220" t="s">
        <v>114</v>
      </c>
      <c r="CV220" t="s">
        <v>2890</v>
      </c>
      <c r="CW220" s="10" t="str">
        <f>"+19034557734"</f>
        <v>+19034557734</v>
      </c>
      <c r="CX220" t="s">
        <v>22208</v>
      </c>
      <c r="CY220" t="s">
        <v>132</v>
      </c>
      <c r="CZ220" t="s">
        <v>137</v>
      </c>
      <c r="DA220" t="s">
        <v>114</v>
      </c>
      <c r="DB220" t="s">
        <v>114</v>
      </c>
      <c r="DC220" t="s">
        <v>136</v>
      </c>
      <c r="DD220" t="s">
        <v>114</v>
      </c>
    </row>
    <row r="221" spans="1:113" ht="15" customHeight="1" x14ac:dyDescent="0.25">
      <c r="A221" t="s">
        <v>3252</v>
      </c>
      <c r="B221" t="s">
        <v>152</v>
      </c>
      <c r="C221" s="1">
        <v>45257.714732870372</v>
      </c>
      <c r="D221" s="1">
        <v>45281</v>
      </c>
      <c r="E221" t="s">
        <v>132</v>
      </c>
      <c r="F221" t="s">
        <v>1595</v>
      </c>
      <c r="G221" t="str">
        <f>"37-3011.00"</f>
        <v>37-3011.00</v>
      </c>
      <c r="H221" t="s">
        <v>429</v>
      </c>
      <c r="I221">
        <v>24</v>
      </c>
      <c r="J221">
        <v>24</v>
      </c>
      <c r="K221" s="1">
        <v>45337</v>
      </c>
      <c r="L221" s="1">
        <v>45610</v>
      </c>
      <c r="M221" s="1">
        <v>45337</v>
      </c>
      <c r="N221" s="1">
        <v>45610</v>
      </c>
      <c r="O221" t="s">
        <v>116</v>
      </c>
      <c r="P221" t="s">
        <v>3253</v>
      </c>
      <c r="R221" t="s">
        <v>3254</v>
      </c>
      <c r="T221" t="s">
        <v>3255</v>
      </c>
      <c r="U221" t="s">
        <v>127</v>
      </c>
      <c r="V221" s="8" t="str">
        <f>"75067"</f>
        <v>75067</v>
      </c>
      <c r="W221" t="s">
        <v>118</v>
      </c>
      <c r="Y221" s="10">
        <v>19723177489</v>
      </c>
      <c r="AA221">
        <v>56173</v>
      </c>
      <c r="AB221" t="s">
        <v>3256</v>
      </c>
      <c r="AC221" t="s">
        <v>2770</v>
      </c>
      <c r="AE221" t="s">
        <v>629</v>
      </c>
      <c r="AF221" t="s">
        <v>3254</v>
      </c>
      <c r="AH221" t="s">
        <v>3255</v>
      </c>
      <c r="AI221" t="s">
        <v>127</v>
      </c>
      <c r="AJ221" s="8" t="str">
        <f>"75067"</f>
        <v>75067</v>
      </c>
      <c r="AK221" t="s">
        <v>118</v>
      </c>
      <c r="AM221" s="10">
        <v>19723177489</v>
      </c>
      <c r="AO221" t="s">
        <v>132</v>
      </c>
      <c r="AP221" t="s">
        <v>248</v>
      </c>
      <c r="AQ221" t="s">
        <v>2101</v>
      </c>
      <c r="AR221" t="s">
        <v>2309</v>
      </c>
      <c r="AT221" t="s">
        <v>2883</v>
      </c>
      <c r="AV221" t="s">
        <v>2884</v>
      </c>
      <c r="AW221" t="s">
        <v>127</v>
      </c>
      <c r="AX221" s="8" t="str">
        <f>"75442"</f>
        <v>75442</v>
      </c>
      <c r="AY221" t="s">
        <v>118</v>
      </c>
      <c r="BA221" s="10">
        <v>14692388392</v>
      </c>
      <c r="BC221" t="s">
        <v>3257</v>
      </c>
      <c r="BD221" t="s">
        <v>2886</v>
      </c>
      <c r="BG221" t="s">
        <v>127</v>
      </c>
      <c r="BH221" s="1">
        <v>45256.791666666664</v>
      </c>
      <c r="BI221">
        <v>40</v>
      </c>
      <c r="BJ221">
        <v>0</v>
      </c>
      <c r="BK221">
        <v>8</v>
      </c>
      <c r="BL221">
        <v>8</v>
      </c>
      <c r="BM221">
        <v>8</v>
      </c>
      <c r="BN221">
        <v>8</v>
      </c>
      <c r="BO221">
        <v>8</v>
      </c>
      <c r="BP221">
        <v>0</v>
      </c>
      <c r="BQ221" t="str">
        <f>"8:00 AM"</f>
        <v>8:00 AM</v>
      </c>
      <c r="BR221" t="str">
        <f>"5:00 PM"</f>
        <v>5:00 PM</v>
      </c>
      <c r="BS221" t="s">
        <v>131</v>
      </c>
      <c r="BT221">
        <v>0</v>
      </c>
      <c r="BU221">
        <v>3</v>
      </c>
      <c r="BV221" t="s">
        <v>114</v>
      </c>
      <c r="BX221" t="s">
        <v>3258</v>
      </c>
      <c r="BY221" t="s">
        <v>3254</v>
      </c>
      <c r="CA221" t="s">
        <v>3255</v>
      </c>
      <c r="CB221" t="s">
        <v>127</v>
      </c>
      <c r="CC221" s="8" t="str">
        <f>"75067"</f>
        <v>75067</v>
      </c>
      <c r="CD221" t="s">
        <v>3259</v>
      </c>
      <c r="CE221" t="s">
        <v>263</v>
      </c>
      <c r="CF221" s="12">
        <v>16.86</v>
      </c>
      <c r="CG221" s="12">
        <v>16.86</v>
      </c>
      <c r="CH221" s="12">
        <v>25.29</v>
      </c>
      <c r="CI221" s="12">
        <v>25.29</v>
      </c>
      <c r="CJ221" t="s">
        <v>135</v>
      </c>
      <c r="CK221" t="s">
        <v>2888</v>
      </c>
      <c r="CL221" t="s">
        <v>3260</v>
      </c>
      <c r="CO221" t="s">
        <v>132</v>
      </c>
      <c r="CP221" t="s">
        <v>136</v>
      </c>
      <c r="CQ221" t="s">
        <v>136</v>
      </c>
      <c r="CR221" t="s">
        <v>136</v>
      </c>
      <c r="CS221" t="s">
        <v>136</v>
      </c>
      <c r="CT221" t="s">
        <v>136</v>
      </c>
      <c r="CU221" t="s">
        <v>114</v>
      </c>
      <c r="CV221" t="s">
        <v>2890</v>
      </c>
      <c r="CW221" s="10" t="str">
        <f>"+19723177489"</f>
        <v>+19723177489</v>
      </c>
      <c r="CX221" t="s">
        <v>3261</v>
      </c>
      <c r="CY221" t="s">
        <v>132</v>
      </c>
      <c r="CZ221" t="s">
        <v>137</v>
      </c>
      <c r="DA221" t="s">
        <v>114</v>
      </c>
      <c r="DB221" t="s">
        <v>114</v>
      </c>
      <c r="DC221" t="s">
        <v>136</v>
      </c>
      <c r="DD221" t="s">
        <v>114</v>
      </c>
    </row>
    <row r="222" spans="1:113" ht="15" customHeight="1" x14ac:dyDescent="0.25">
      <c r="A222" t="s">
        <v>21135</v>
      </c>
      <c r="B222" t="s">
        <v>152</v>
      </c>
      <c r="C222" s="1">
        <v>45257.646673611111</v>
      </c>
      <c r="D222" s="1">
        <v>45281</v>
      </c>
      <c r="E222" t="s">
        <v>132</v>
      </c>
      <c r="F222" t="s">
        <v>236</v>
      </c>
      <c r="G222" t="str">
        <f>"39-3091.00"</f>
        <v>39-3091.00</v>
      </c>
      <c r="H222" t="s">
        <v>237</v>
      </c>
      <c r="I222">
        <v>50</v>
      </c>
      <c r="J222">
        <v>50</v>
      </c>
      <c r="K222" s="1">
        <v>45337</v>
      </c>
      <c r="L222" s="1">
        <v>45610</v>
      </c>
      <c r="M222" s="1">
        <v>45337</v>
      </c>
      <c r="N222" s="1">
        <v>45610</v>
      </c>
      <c r="O222" t="s">
        <v>238</v>
      </c>
      <c r="P222" t="s">
        <v>21136</v>
      </c>
      <c r="R222" t="s">
        <v>21137</v>
      </c>
      <c r="T222" t="s">
        <v>15894</v>
      </c>
      <c r="U222" t="s">
        <v>140</v>
      </c>
      <c r="V222" s="8" t="str">
        <f>"33351"</f>
        <v>33351</v>
      </c>
      <c r="W222" t="s">
        <v>118</v>
      </c>
      <c r="Y222" s="10">
        <v>19542746916</v>
      </c>
      <c r="AA222">
        <v>71399</v>
      </c>
      <c r="AB222" t="s">
        <v>2158</v>
      </c>
      <c r="AC222" t="s">
        <v>9002</v>
      </c>
      <c r="AE222" t="s">
        <v>1799</v>
      </c>
      <c r="AF222" t="s">
        <v>21137</v>
      </c>
      <c r="AH222" t="s">
        <v>15894</v>
      </c>
      <c r="AI222" t="s">
        <v>140</v>
      </c>
      <c r="AJ222" s="8" t="str">
        <f>"33351"</f>
        <v>33351</v>
      </c>
      <c r="AK222" t="s">
        <v>118</v>
      </c>
      <c r="AM222" s="10">
        <v>16037315946</v>
      </c>
      <c r="AO222" t="s">
        <v>21138</v>
      </c>
      <c r="AP222" t="s">
        <v>248</v>
      </c>
      <c r="AQ222" t="s">
        <v>249</v>
      </c>
      <c r="AR222" t="s">
        <v>250</v>
      </c>
      <c r="AS222" t="s">
        <v>251</v>
      </c>
      <c r="AT222" t="s">
        <v>252</v>
      </c>
      <c r="AU222" t="s">
        <v>253</v>
      </c>
      <c r="AV222" t="s">
        <v>254</v>
      </c>
      <c r="AW222" t="s">
        <v>127</v>
      </c>
      <c r="AX222" s="8" t="str">
        <f>"78550"</f>
        <v>78550</v>
      </c>
      <c r="AY222" t="s">
        <v>118</v>
      </c>
      <c r="AZ222" t="s">
        <v>255</v>
      </c>
      <c r="BA222" s="10">
        <v>19564408720</v>
      </c>
      <c r="BB222" s="3" t="s">
        <v>256</v>
      </c>
      <c r="BC222" t="s">
        <v>257</v>
      </c>
      <c r="BD222" t="s">
        <v>258</v>
      </c>
      <c r="BG222" t="s">
        <v>140</v>
      </c>
      <c r="BH222" s="1">
        <v>45256.791666666664</v>
      </c>
      <c r="BI222">
        <v>40</v>
      </c>
      <c r="BJ222">
        <v>8</v>
      </c>
      <c r="BK222">
        <v>0</v>
      </c>
      <c r="BL222">
        <v>0</v>
      </c>
      <c r="BM222">
        <v>8</v>
      </c>
      <c r="BN222">
        <v>8</v>
      </c>
      <c r="BO222">
        <v>8</v>
      </c>
      <c r="BP222">
        <v>8</v>
      </c>
      <c r="BQ222" t="str">
        <f>"1:00 PM"</f>
        <v>1:00 PM</v>
      </c>
      <c r="BR222" t="str">
        <f>"10:00 PM"</f>
        <v>10:00 PM</v>
      </c>
      <c r="BS222" t="s">
        <v>131</v>
      </c>
      <c r="BT222">
        <v>0</v>
      </c>
      <c r="BU222">
        <v>0</v>
      </c>
      <c r="BV222" t="s">
        <v>114</v>
      </c>
      <c r="BX222" s="2" t="s">
        <v>259</v>
      </c>
      <c r="BY222" t="s">
        <v>21137</v>
      </c>
      <c r="CA222" t="s">
        <v>15894</v>
      </c>
      <c r="CB222" t="s">
        <v>140</v>
      </c>
      <c r="CC222" s="8" t="str">
        <f>"33351"</f>
        <v>33351</v>
      </c>
      <c r="CD222" t="s">
        <v>287</v>
      </c>
      <c r="CE222" t="s">
        <v>149</v>
      </c>
      <c r="CF222" s="12">
        <v>9.57</v>
      </c>
      <c r="CG222" s="12">
        <v>16.3</v>
      </c>
      <c r="CJ222" t="s">
        <v>135</v>
      </c>
      <c r="CK222" t="s">
        <v>264</v>
      </c>
      <c r="CL222" t="s">
        <v>21139</v>
      </c>
      <c r="CO222" t="s">
        <v>132</v>
      </c>
      <c r="CP222" t="s">
        <v>136</v>
      </c>
      <c r="CQ222" t="s">
        <v>136</v>
      </c>
      <c r="CR222" t="s">
        <v>114</v>
      </c>
      <c r="CS222" t="s">
        <v>136</v>
      </c>
      <c r="CT222" t="s">
        <v>136</v>
      </c>
      <c r="CU222" t="s">
        <v>136</v>
      </c>
      <c r="CV222" t="s">
        <v>14086</v>
      </c>
      <c r="CW222" s="10" t="str">
        <f>"+19542746916"</f>
        <v>+19542746916</v>
      </c>
      <c r="CX222" t="s">
        <v>21140</v>
      </c>
      <c r="CY222" t="s">
        <v>132</v>
      </c>
      <c r="CZ222" t="s">
        <v>137</v>
      </c>
      <c r="DA222" t="s">
        <v>114</v>
      </c>
      <c r="DB222" t="s">
        <v>136</v>
      </c>
      <c r="DC222" t="s">
        <v>136</v>
      </c>
      <c r="DD222" t="s">
        <v>114</v>
      </c>
    </row>
    <row r="223" spans="1:113" ht="15" customHeight="1" x14ac:dyDescent="0.25">
      <c r="A223" t="s">
        <v>2818</v>
      </c>
      <c r="B223" t="s">
        <v>152</v>
      </c>
      <c r="C223" s="1">
        <v>45257.604660300924</v>
      </c>
      <c r="D223" s="1">
        <v>45281</v>
      </c>
      <c r="E223" t="s">
        <v>132</v>
      </c>
      <c r="F223" t="s">
        <v>1595</v>
      </c>
      <c r="G223" t="str">
        <f>"37-3011.00"</f>
        <v>37-3011.00</v>
      </c>
      <c r="H223" t="s">
        <v>429</v>
      </c>
      <c r="I223">
        <v>15</v>
      </c>
      <c r="J223">
        <v>15</v>
      </c>
      <c r="K223" s="1">
        <v>45337</v>
      </c>
      <c r="L223" s="1">
        <v>45640</v>
      </c>
      <c r="M223" s="1">
        <v>45337</v>
      </c>
      <c r="N223" s="1">
        <v>45640</v>
      </c>
      <c r="O223" t="s">
        <v>116</v>
      </c>
      <c r="P223" t="s">
        <v>2819</v>
      </c>
      <c r="R223" t="s">
        <v>2820</v>
      </c>
      <c r="T223" t="s">
        <v>2821</v>
      </c>
      <c r="U223" t="s">
        <v>984</v>
      </c>
      <c r="V223" s="8" t="str">
        <f>"64148"</f>
        <v>64148</v>
      </c>
      <c r="W223" t="s">
        <v>118</v>
      </c>
      <c r="Y223" s="10">
        <v>18169414777</v>
      </c>
      <c r="AA223">
        <v>56173</v>
      </c>
      <c r="AB223" t="s">
        <v>2822</v>
      </c>
      <c r="AC223" t="s">
        <v>2823</v>
      </c>
      <c r="AE223" t="s">
        <v>378</v>
      </c>
      <c r="AF223" t="s">
        <v>2820</v>
      </c>
      <c r="AH223" t="s">
        <v>2821</v>
      </c>
      <c r="AI223" t="s">
        <v>984</v>
      </c>
      <c r="AJ223" s="8" t="str">
        <f>"64148"</f>
        <v>64148</v>
      </c>
      <c r="AK223" t="s">
        <v>118</v>
      </c>
      <c r="AM223" s="10">
        <v>18169414777</v>
      </c>
      <c r="AO223" t="s">
        <v>132</v>
      </c>
      <c r="AP223" t="s">
        <v>248</v>
      </c>
      <c r="AQ223" t="s">
        <v>1873</v>
      </c>
      <c r="AR223" t="s">
        <v>1265</v>
      </c>
      <c r="AT223" t="s">
        <v>579</v>
      </c>
      <c r="AV223" t="s">
        <v>580</v>
      </c>
      <c r="AW223" t="s">
        <v>581</v>
      </c>
      <c r="AX223" s="8" t="str">
        <f>"22903"</f>
        <v>22903</v>
      </c>
      <c r="AY223" t="s">
        <v>118</v>
      </c>
      <c r="BA223" s="10">
        <v>14342634300</v>
      </c>
      <c r="BC223" t="s">
        <v>2824</v>
      </c>
      <c r="BD223" t="s">
        <v>583</v>
      </c>
      <c r="BG223" t="s">
        <v>984</v>
      </c>
      <c r="BH223" s="1">
        <v>45246.791666666664</v>
      </c>
      <c r="BI223">
        <v>40</v>
      </c>
      <c r="BJ223">
        <v>0</v>
      </c>
      <c r="BK223">
        <v>8</v>
      </c>
      <c r="BL223">
        <v>8</v>
      </c>
      <c r="BM223">
        <v>8</v>
      </c>
      <c r="BN223">
        <v>8</v>
      </c>
      <c r="BO223">
        <v>8</v>
      </c>
      <c r="BP223">
        <v>0</v>
      </c>
      <c r="BQ223" t="str">
        <f>"7:30 AM"</f>
        <v>7:30 AM</v>
      </c>
      <c r="BR223" t="str">
        <f>"4:15 PM"</f>
        <v>4:15 PM</v>
      </c>
      <c r="BS223" t="s">
        <v>131</v>
      </c>
      <c r="BT223">
        <v>0</v>
      </c>
      <c r="BU223">
        <v>3</v>
      </c>
      <c r="BV223" t="s">
        <v>114</v>
      </c>
      <c r="BX223" s="2" t="s">
        <v>2825</v>
      </c>
      <c r="BY223" t="s">
        <v>2826</v>
      </c>
      <c r="CA223" t="s">
        <v>2827</v>
      </c>
      <c r="CB223" t="s">
        <v>984</v>
      </c>
      <c r="CC223" s="8" t="str">
        <f>"64012"</f>
        <v>64012</v>
      </c>
      <c r="CD223" t="s">
        <v>2776</v>
      </c>
      <c r="CE223" t="s">
        <v>2431</v>
      </c>
      <c r="CF223" s="12">
        <v>17.47</v>
      </c>
      <c r="CG223" s="12">
        <v>17.47</v>
      </c>
      <c r="CH223" s="12">
        <v>26.21</v>
      </c>
      <c r="CI223" s="12">
        <v>26.21</v>
      </c>
      <c r="CJ223" t="s">
        <v>135</v>
      </c>
      <c r="CK223" t="s">
        <v>590</v>
      </c>
      <c r="CL223" t="s">
        <v>2828</v>
      </c>
      <c r="CO223" t="s">
        <v>132</v>
      </c>
      <c r="CP223" t="s">
        <v>136</v>
      </c>
      <c r="CQ223" t="s">
        <v>136</v>
      </c>
      <c r="CR223" t="s">
        <v>136</v>
      </c>
      <c r="CS223" t="s">
        <v>114</v>
      </c>
      <c r="CT223" t="s">
        <v>136</v>
      </c>
      <c r="CU223" t="s">
        <v>136</v>
      </c>
      <c r="CV223" t="s">
        <v>2829</v>
      </c>
      <c r="CW223" s="10" t="str">
        <f>"+18169414777"</f>
        <v>+18169414777</v>
      </c>
      <c r="CX223" t="s">
        <v>132</v>
      </c>
      <c r="CY223" t="s">
        <v>1857</v>
      </c>
      <c r="CZ223" t="s">
        <v>137</v>
      </c>
      <c r="DA223" t="s">
        <v>114</v>
      </c>
      <c r="DB223" t="s">
        <v>136</v>
      </c>
      <c r="DC223" t="s">
        <v>136</v>
      </c>
      <c r="DD223" t="s">
        <v>114</v>
      </c>
      <c r="DE223" t="s">
        <v>1251</v>
      </c>
      <c r="DF223" t="s">
        <v>2830</v>
      </c>
      <c r="DH223" t="s">
        <v>583</v>
      </c>
      <c r="DI223" t="s">
        <v>2831</v>
      </c>
    </row>
    <row r="224" spans="1:113" ht="15" customHeight="1" x14ac:dyDescent="0.25">
      <c r="A224" t="s">
        <v>22209</v>
      </c>
      <c r="B224" t="s">
        <v>152</v>
      </c>
      <c r="C224" s="1">
        <v>45257.56316539352</v>
      </c>
      <c r="D224" s="1">
        <v>45281</v>
      </c>
      <c r="E224" t="s">
        <v>132</v>
      </c>
      <c r="F224" t="s">
        <v>12246</v>
      </c>
      <c r="G224" t="str">
        <f>"35-3023.00"</f>
        <v>35-3023.00</v>
      </c>
      <c r="H224" t="s">
        <v>1365</v>
      </c>
      <c r="I224">
        <v>10</v>
      </c>
      <c r="J224">
        <v>10</v>
      </c>
      <c r="K224" s="1">
        <v>45343</v>
      </c>
      <c r="L224" s="1">
        <v>45406</v>
      </c>
      <c r="M224" s="1">
        <v>45343</v>
      </c>
      <c r="N224" s="1">
        <v>45406</v>
      </c>
      <c r="O224" t="s">
        <v>238</v>
      </c>
      <c r="P224" t="s">
        <v>22210</v>
      </c>
      <c r="R224" t="s">
        <v>22211</v>
      </c>
      <c r="T224" t="s">
        <v>22212</v>
      </c>
      <c r="U224" t="s">
        <v>140</v>
      </c>
      <c r="V224" s="8" t="str">
        <f>"34428"</f>
        <v>34428</v>
      </c>
      <c r="W224" t="s">
        <v>118</v>
      </c>
      <c r="Y224" s="10">
        <v>13523022725</v>
      </c>
      <c r="AA224">
        <v>71399</v>
      </c>
      <c r="AB224" t="s">
        <v>22213</v>
      </c>
      <c r="AC224" t="s">
        <v>2032</v>
      </c>
      <c r="AE224" t="s">
        <v>561</v>
      </c>
      <c r="AF224" t="s">
        <v>22211</v>
      </c>
      <c r="AH224" t="s">
        <v>22212</v>
      </c>
      <c r="AI224" t="s">
        <v>140</v>
      </c>
      <c r="AJ224" s="8" t="str">
        <f>"34428"</f>
        <v>34428</v>
      </c>
      <c r="AK224" t="s">
        <v>118</v>
      </c>
      <c r="AM224" s="10">
        <v>13523022725</v>
      </c>
      <c r="AO224" t="s">
        <v>22214</v>
      </c>
      <c r="AP224" t="s">
        <v>248</v>
      </c>
      <c r="AQ224" t="s">
        <v>1894</v>
      </c>
      <c r="AR224" t="s">
        <v>1895</v>
      </c>
      <c r="AS224" t="s">
        <v>132</v>
      </c>
      <c r="AT224" t="s">
        <v>1253</v>
      </c>
      <c r="AU224" t="s">
        <v>852</v>
      </c>
      <c r="AV224" t="s">
        <v>853</v>
      </c>
      <c r="AW224" t="s">
        <v>854</v>
      </c>
      <c r="AX224" s="8" t="str">
        <f>"83814"</f>
        <v>83814</v>
      </c>
      <c r="AY224" t="s">
        <v>118</v>
      </c>
      <c r="BA224" s="10">
        <v>12087772654</v>
      </c>
      <c r="BC224" t="s">
        <v>1896</v>
      </c>
      <c r="BD224" t="s">
        <v>856</v>
      </c>
      <c r="BG224" t="s">
        <v>127</v>
      </c>
      <c r="BH224" s="1">
        <v>45251.791666666664</v>
      </c>
      <c r="BI224">
        <v>40</v>
      </c>
      <c r="BJ224">
        <v>0</v>
      </c>
      <c r="BK224">
        <v>8</v>
      </c>
      <c r="BL224">
        <v>8</v>
      </c>
      <c r="BM224">
        <v>8</v>
      </c>
      <c r="BN224">
        <v>8</v>
      </c>
      <c r="BO224">
        <v>8</v>
      </c>
      <c r="BP224">
        <v>0</v>
      </c>
      <c r="BQ224" t="str">
        <f>"1:00 PM"</f>
        <v>1:00 PM</v>
      </c>
      <c r="BR224" t="str">
        <f>"9:00 PM"</f>
        <v>9:00 PM</v>
      </c>
      <c r="BS224" t="s">
        <v>131</v>
      </c>
      <c r="BT224">
        <v>0</v>
      </c>
      <c r="BU224">
        <v>0</v>
      </c>
      <c r="BV224" t="s">
        <v>114</v>
      </c>
      <c r="BX224" t="s">
        <v>22215</v>
      </c>
      <c r="BY224" t="s">
        <v>22216</v>
      </c>
      <c r="CA224" t="s">
        <v>2564</v>
      </c>
      <c r="CB224" t="s">
        <v>127</v>
      </c>
      <c r="CC224" s="8" t="str">
        <f>"77054"</f>
        <v>77054</v>
      </c>
      <c r="CD224" t="s">
        <v>3327</v>
      </c>
      <c r="CE224" t="s">
        <v>879</v>
      </c>
      <c r="CF224" s="12">
        <v>11.74</v>
      </c>
      <c r="CG224" s="12">
        <v>12.07</v>
      </c>
      <c r="CH224" s="12">
        <v>17.61</v>
      </c>
      <c r="CI224" s="12">
        <v>18.11</v>
      </c>
      <c r="CJ224" t="s">
        <v>135</v>
      </c>
      <c r="CK224" t="s">
        <v>2793</v>
      </c>
      <c r="CL224" t="s">
        <v>22217</v>
      </c>
      <c r="CO224" t="s">
        <v>132</v>
      </c>
      <c r="CP224" t="s">
        <v>136</v>
      </c>
      <c r="CQ224" t="s">
        <v>136</v>
      </c>
      <c r="CR224" t="s">
        <v>136</v>
      </c>
      <c r="CS224" t="s">
        <v>136</v>
      </c>
      <c r="CT224" t="s">
        <v>136</v>
      </c>
      <c r="CU224" t="s">
        <v>136</v>
      </c>
      <c r="CV224" t="s">
        <v>1040</v>
      </c>
      <c r="CW224" s="10" t="str">
        <f>"+13523022725"</f>
        <v>+13523022725</v>
      </c>
      <c r="CX224" t="s">
        <v>22214</v>
      </c>
      <c r="CY224" t="s">
        <v>132</v>
      </c>
      <c r="CZ224" t="s">
        <v>137</v>
      </c>
      <c r="DA224" t="s">
        <v>114</v>
      </c>
      <c r="DB224" t="s">
        <v>136</v>
      </c>
      <c r="DC224" t="s">
        <v>136</v>
      </c>
      <c r="DD224" t="s">
        <v>114</v>
      </c>
    </row>
    <row r="225" spans="1:113" ht="15" customHeight="1" x14ac:dyDescent="0.25">
      <c r="A225" t="s">
        <v>23064</v>
      </c>
      <c r="B225" t="s">
        <v>152</v>
      </c>
      <c r="C225" s="1">
        <v>45257.548031134262</v>
      </c>
      <c r="D225" s="1">
        <v>45281</v>
      </c>
      <c r="E225" t="s">
        <v>132</v>
      </c>
      <c r="F225" t="s">
        <v>1595</v>
      </c>
      <c r="G225" t="str">
        <f>"37-3011.00"</f>
        <v>37-3011.00</v>
      </c>
      <c r="H225" t="s">
        <v>429</v>
      </c>
      <c r="I225">
        <v>1</v>
      </c>
      <c r="J225">
        <v>1</v>
      </c>
      <c r="K225" s="1">
        <v>45344</v>
      </c>
      <c r="L225" s="1">
        <v>45611</v>
      </c>
      <c r="M225" s="1">
        <v>45344</v>
      </c>
      <c r="N225" s="1">
        <v>45611</v>
      </c>
      <c r="O225" t="s">
        <v>238</v>
      </c>
      <c r="P225" t="s">
        <v>23065</v>
      </c>
      <c r="R225" t="s">
        <v>23066</v>
      </c>
      <c r="T225" t="s">
        <v>9510</v>
      </c>
      <c r="U225" t="s">
        <v>2608</v>
      </c>
      <c r="V225" s="8" t="str">
        <f>"74074"</f>
        <v>74074</v>
      </c>
      <c r="W225" t="s">
        <v>118</v>
      </c>
      <c r="Y225" s="10">
        <v>14057070151</v>
      </c>
      <c r="AA225">
        <v>56173</v>
      </c>
      <c r="AB225" t="s">
        <v>608</v>
      </c>
      <c r="AC225" t="s">
        <v>1555</v>
      </c>
      <c r="AE225" t="s">
        <v>1283</v>
      </c>
      <c r="AF225" t="s">
        <v>23066</v>
      </c>
      <c r="AH225" t="s">
        <v>9510</v>
      </c>
      <c r="AI225" t="s">
        <v>2608</v>
      </c>
      <c r="AJ225" s="8" t="str">
        <f>"74074"</f>
        <v>74074</v>
      </c>
      <c r="AK225" t="s">
        <v>118</v>
      </c>
      <c r="AM225" s="10">
        <v>14057070151</v>
      </c>
      <c r="AO225" t="s">
        <v>23067</v>
      </c>
      <c r="AP225" t="s">
        <v>248</v>
      </c>
      <c r="AQ225" t="s">
        <v>849</v>
      </c>
      <c r="AR225" t="s">
        <v>850</v>
      </c>
      <c r="AS225" t="s">
        <v>132</v>
      </c>
      <c r="AT225" t="s">
        <v>851</v>
      </c>
      <c r="AU225" t="s">
        <v>852</v>
      </c>
      <c r="AV225" t="s">
        <v>853</v>
      </c>
      <c r="AW225" t="s">
        <v>854</v>
      </c>
      <c r="AX225" s="8" t="str">
        <f>"83814"</f>
        <v>83814</v>
      </c>
      <c r="AY225" t="s">
        <v>118</v>
      </c>
      <c r="BA225" s="10">
        <v>12087772654</v>
      </c>
      <c r="BC225" t="s">
        <v>855</v>
      </c>
      <c r="BD225" t="s">
        <v>856</v>
      </c>
      <c r="BG225" t="s">
        <v>2608</v>
      </c>
      <c r="BH225" s="1">
        <v>45256.791666666664</v>
      </c>
      <c r="BI225">
        <v>35</v>
      </c>
      <c r="BJ225">
        <v>0</v>
      </c>
      <c r="BK225">
        <v>7</v>
      </c>
      <c r="BL225">
        <v>7</v>
      </c>
      <c r="BM225">
        <v>7</v>
      </c>
      <c r="BN225">
        <v>7</v>
      </c>
      <c r="BO225">
        <v>7</v>
      </c>
      <c r="BP225">
        <v>0</v>
      </c>
      <c r="BQ225" t="str">
        <f>"7:30 AM"</f>
        <v>7:30 AM</v>
      </c>
      <c r="BR225" t="str">
        <f>"3:30 PM"</f>
        <v>3:30 PM</v>
      </c>
      <c r="BS225" t="s">
        <v>131</v>
      </c>
      <c r="BT225">
        <v>0</v>
      </c>
      <c r="BU225">
        <v>0</v>
      </c>
      <c r="BV225" t="s">
        <v>114</v>
      </c>
      <c r="BX225" s="2" t="s">
        <v>22201</v>
      </c>
      <c r="BY225" t="s">
        <v>23068</v>
      </c>
      <c r="CA225" t="s">
        <v>9510</v>
      </c>
      <c r="CB225" t="s">
        <v>2608</v>
      </c>
      <c r="CC225" s="8" t="str">
        <f>"74074"</f>
        <v>74074</v>
      </c>
      <c r="CD225" t="s">
        <v>5579</v>
      </c>
      <c r="CE225" t="s">
        <v>5580</v>
      </c>
      <c r="CF225" s="12">
        <v>14.42</v>
      </c>
      <c r="CG225" s="12">
        <v>15</v>
      </c>
      <c r="CH225" s="12">
        <v>21.63</v>
      </c>
      <c r="CI225" s="12">
        <v>22.5</v>
      </c>
      <c r="CJ225" t="s">
        <v>135</v>
      </c>
      <c r="CK225" t="s">
        <v>1899</v>
      </c>
      <c r="CL225" t="s">
        <v>23069</v>
      </c>
      <c r="CO225" t="s">
        <v>132</v>
      </c>
      <c r="CP225" t="s">
        <v>136</v>
      </c>
      <c r="CQ225" t="s">
        <v>136</v>
      </c>
      <c r="CR225" t="s">
        <v>136</v>
      </c>
      <c r="CS225" t="s">
        <v>136</v>
      </c>
      <c r="CT225" t="s">
        <v>136</v>
      </c>
      <c r="CU225" t="s">
        <v>114</v>
      </c>
      <c r="CV225" t="s">
        <v>1040</v>
      </c>
      <c r="CW225" s="10" t="str">
        <f>"+14057070151"</f>
        <v>+14057070151</v>
      </c>
      <c r="CX225" t="s">
        <v>23067</v>
      </c>
      <c r="CY225" t="s">
        <v>132</v>
      </c>
      <c r="CZ225" t="s">
        <v>137</v>
      </c>
      <c r="DA225" t="s">
        <v>114</v>
      </c>
      <c r="DB225" t="s">
        <v>114</v>
      </c>
      <c r="DC225" t="s">
        <v>136</v>
      </c>
      <c r="DD225" t="s">
        <v>114</v>
      </c>
    </row>
    <row r="226" spans="1:113" ht="15" customHeight="1" x14ac:dyDescent="0.25">
      <c r="A226" t="s">
        <v>16237</v>
      </c>
      <c r="B226" t="s">
        <v>152</v>
      </c>
      <c r="C226" s="1">
        <v>45257.529143171298</v>
      </c>
      <c r="D226" s="1">
        <v>45281</v>
      </c>
      <c r="E226" t="s">
        <v>132</v>
      </c>
      <c r="F226" t="s">
        <v>2081</v>
      </c>
      <c r="G226" t="str">
        <f>"37-3011.00"</f>
        <v>37-3011.00</v>
      </c>
      <c r="H226" t="s">
        <v>429</v>
      </c>
      <c r="I226">
        <v>14</v>
      </c>
      <c r="J226">
        <v>14</v>
      </c>
      <c r="K226" s="1">
        <v>45347</v>
      </c>
      <c r="L226" s="1">
        <v>45626</v>
      </c>
      <c r="M226" s="1">
        <v>45347</v>
      </c>
      <c r="N226" s="1">
        <v>45626</v>
      </c>
      <c r="O226" t="s">
        <v>116</v>
      </c>
      <c r="P226" t="s">
        <v>14019</v>
      </c>
      <c r="R226" t="s">
        <v>14020</v>
      </c>
      <c r="T226" t="s">
        <v>2447</v>
      </c>
      <c r="U226" t="s">
        <v>984</v>
      </c>
      <c r="V226" s="8" t="str">
        <f>"65807"</f>
        <v>65807</v>
      </c>
      <c r="W226" t="s">
        <v>118</v>
      </c>
      <c r="Y226" s="10">
        <v>14178623707</v>
      </c>
      <c r="AA226">
        <v>424930</v>
      </c>
      <c r="AB226" t="s">
        <v>14021</v>
      </c>
      <c r="AC226" t="s">
        <v>2679</v>
      </c>
      <c r="AE226" t="s">
        <v>629</v>
      </c>
      <c r="AF226" t="s">
        <v>14020</v>
      </c>
      <c r="AH226" t="s">
        <v>2447</v>
      </c>
      <c r="AI226" t="s">
        <v>984</v>
      </c>
      <c r="AJ226" s="8" t="str">
        <f>"65807"</f>
        <v>65807</v>
      </c>
      <c r="AK226" t="s">
        <v>118</v>
      </c>
      <c r="AM226" s="10">
        <v>14178623707</v>
      </c>
      <c r="AO226" t="s">
        <v>14022</v>
      </c>
      <c r="AP226" t="s">
        <v>248</v>
      </c>
      <c r="AQ226" t="s">
        <v>1237</v>
      </c>
      <c r="AR226" t="s">
        <v>763</v>
      </c>
      <c r="AT226" t="s">
        <v>1032</v>
      </c>
      <c r="AU226" t="s">
        <v>852</v>
      </c>
      <c r="AV226" t="s">
        <v>1033</v>
      </c>
      <c r="AW226" t="s">
        <v>854</v>
      </c>
      <c r="AX226" s="8" t="str">
        <f>"83814"</f>
        <v>83814</v>
      </c>
      <c r="AY226" t="s">
        <v>118</v>
      </c>
      <c r="BA226" s="10">
        <v>12087772654</v>
      </c>
      <c r="BC226" t="s">
        <v>1238</v>
      </c>
      <c r="BD226" t="s">
        <v>856</v>
      </c>
      <c r="BG226" t="s">
        <v>984</v>
      </c>
      <c r="BH226" s="1">
        <v>45246.791666666664</v>
      </c>
      <c r="BI226">
        <v>40</v>
      </c>
      <c r="BJ226">
        <v>0</v>
      </c>
      <c r="BK226">
        <v>8</v>
      </c>
      <c r="BL226">
        <v>8</v>
      </c>
      <c r="BM226">
        <v>8</v>
      </c>
      <c r="BN226">
        <v>8</v>
      </c>
      <c r="BO226">
        <v>8</v>
      </c>
      <c r="BP226">
        <v>0</v>
      </c>
      <c r="BQ226" t="str">
        <f>"7:30 AM"</f>
        <v>7:30 AM</v>
      </c>
      <c r="BR226" t="str">
        <f>"4:30 PM"</f>
        <v>4:30 PM</v>
      </c>
      <c r="BS226" t="s">
        <v>131</v>
      </c>
      <c r="BT226">
        <v>0</v>
      </c>
      <c r="BU226">
        <v>0</v>
      </c>
      <c r="BV226" t="s">
        <v>114</v>
      </c>
      <c r="BX226" s="2" t="s">
        <v>16238</v>
      </c>
      <c r="BY226" t="s">
        <v>14023</v>
      </c>
      <c r="CA226" t="s">
        <v>2447</v>
      </c>
      <c r="CB226" t="s">
        <v>984</v>
      </c>
      <c r="CC226" s="8" t="str">
        <f>"65807"</f>
        <v>65807</v>
      </c>
      <c r="CD226" t="s">
        <v>4156</v>
      </c>
      <c r="CE226" t="s">
        <v>2157</v>
      </c>
      <c r="CF226" s="12">
        <v>15.83</v>
      </c>
      <c r="CG226" s="12">
        <v>16.829999999999998</v>
      </c>
      <c r="CH226" s="12">
        <v>23.75</v>
      </c>
      <c r="CI226" s="12">
        <v>25.25</v>
      </c>
      <c r="CJ226" t="s">
        <v>135</v>
      </c>
      <c r="CK226" t="s">
        <v>1899</v>
      </c>
      <c r="CL226" t="s">
        <v>14024</v>
      </c>
      <c r="CO226" t="s">
        <v>132</v>
      </c>
      <c r="CP226" t="s">
        <v>136</v>
      </c>
      <c r="CQ226" t="s">
        <v>136</v>
      </c>
      <c r="CR226" t="s">
        <v>136</v>
      </c>
      <c r="CS226" t="s">
        <v>136</v>
      </c>
      <c r="CT226" t="s">
        <v>136</v>
      </c>
      <c r="CU226" t="s">
        <v>136</v>
      </c>
      <c r="CV226" t="s">
        <v>16239</v>
      </c>
      <c r="CW226" s="10" t="str">
        <f>"+14178623707"</f>
        <v>+14178623707</v>
      </c>
      <c r="CX226" t="s">
        <v>14025</v>
      </c>
      <c r="CY226" t="s">
        <v>132</v>
      </c>
      <c r="CZ226" t="s">
        <v>137</v>
      </c>
      <c r="DA226" t="s">
        <v>114</v>
      </c>
      <c r="DB226" t="s">
        <v>136</v>
      </c>
      <c r="DC226" t="s">
        <v>136</v>
      </c>
      <c r="DD226" t="s">
        <v>114</v>
      </c>
    </row>
    <row r="227" spans="1:113" ht="15" customHeight="1" x14ac:dyDescent="0.25">
      <c r="A227" t="s">
        <v>22193</v>
      </c>
      <c r="B227" t="s">
        <v>152</v>
      </c>
      <c r="C227" s="1">
        <v>45254.418126041666</v>
      </c>
      <c r="D227" s="1">
        <v>45281</v>
      </c>
      <c r="E227" t="s">
        <v>132</v>
      </c>
      <c r="F227" t="s">
        <v>1595</v>
      </c>
      <c r="G227" t="str">
        <f>"37-3011.00"</f>
        <v>37-3011.00</v>
      </c>
      <c r="H227" t="s">
        <v>429</v>
      </c>
      <c r="I227">
        <v>14</v>
      </c>
      <c r="J227">
        <v>14</v>
      </c>
      <c r="K227" s="1">
        <v>45343</v>
      </c>
      <c r="L227" s="1">
        <v>45626</v>
      </c>
      <c r="M227" s="1">
        <v>45343</v>
      </c>
      <c r="N227" s="1">
        <v>45626</v>
      </c>
      <c r="O227" t="s">
        <v>238</v>
      </c>
      <c r="P227" t="s">
        <v>22194</v>
      </c>
      <c r="R227" t="s">
        <v>22195</v>
      </c>
      <c r="S227" t="s">
        <v>21314</v>
      </c>
      <c r="T227" t="s">
        <v>16444</v>
      </c>
      <c r="U227" t="s">
        <v>581</v>
      </c>
      <c r="V227" s="8" t="str">
        <f>"20135"</f>
        <v>20135</v>
      </c>
      <c r="W227" t="s">
        <v>118</v>
      </c>
      <c r="Y227" s="10">
        <v>15405548228</v>
      </c>
      <c r="AA227">
        <v>561730</v>
      </c>
      <c r="AB227" t="s">
        <v>22196</v>
      </c>
      <c r="AC227" t="s">
        <v>2223</v>
      </c>
      <c r="AD227" t="s">
        <v>1829</v>
      </c>
      <c r="AE227" t="s">
        <v>629</v>
      </c>
      <c r="AF227" t="s">
        <v>22195</v>
      </c>
      <c r="AG227" t="s">
        <v>21314</v>
      </c>
      <c r="AH227" t="s">
        <v>16444</v>
      </c>
      <c r="AI227" t="s">
        <v>581</v>
      </c>
      <c r="AJ227" s="8" t="str">
        <f>"20135"</f>
        <v>20135</v>
      </c>
      <c r="AK227" t="s">
        <v>118</v>
      </c>
      <c r="AM227" s="10">
        <v>15405548228</v>
      </c>
      <c r="AO227" t="s">
        <v>22197</v>
      </c>
      <c r="AP227" t="s">
        <v>248</v>
      </c>
      <c r="AQ227" t="s">
        <v>3428</v>
      </c>
      <c r="AR227" t="s">
        <v>3429</v>
      </c>
      <c r="AS227" t="s">
        <v>132</v>
      </c>
      <c r="AT227" t="s">
        <v>1584</v>
      </c>
      <c r="AU227" t="s">
        <v>132</v>
      </c>
      <c r="AV227" t="s">
        <v>1585</v>
      </c>
      <c r="AW227" t="s">
        <v>127</v>
      </c>
      <c r="AX227" s="8" t="str">
        <f>"77414"</f>
        <v>77414</v>
      </c>
      <c r="AY227" t="s">
        <v>118</v>
      </c>
      <c r="BA227" s="10">
        <v>19793187279</v>
      </c>
      <c r="BC227" t="s">
        <v>3430</v>
      </c>
      <c r="BD227" t="s">
        <v>1587</v>
      </c>
      <c r="BG227" t="s">
        <v>581</v>
      </c>
      <c r="BH227" s="1">
        <v>45253.791666666664</v>
      </c>
      <c r="BI227">
        <v>40</v>
      </c>
      <c r="BJ227">
        <v>0</v>
      </c>
      <c r="BK227">
        <v>8</v>
      </c>
      <c r="BL227">
        <v>8</v>
      </c>
      <c r="BM227">
        <v>8</v>
      </c>
      <c r="BN227">
        <v>8</v>
      </c>
      <c r="BO227">
        <v>8</v>
      </c>
      <c r="BP227">
        <v>0</v>
      </c>
      <c r="BQ227" t="str">
        <f>"7:00 AM"</f>
        <v>7:00 AM</v>
      </c>
      <c r="BR227" t="str">
        <f>"5:00 PM"</f>
        <v>5:00 PM</v>
      </c>
      <c r="BS227" t="s">
        <v>131</v>
      </c>
      <c r="BT227">
        <v>0</v>
      </c>
      <c r="BU227">
        <v>0</v>
      </c>
      <c r="BV227" t="s">
        <v>114</v>
      </c>
      <c r="BX227" s="2" t="s">
        <v>22198</v>
      </c>
      <c r="BY227" t="s">
        <v>22195</v>
      </c>
      <c r="BZ227" t="s">
        <v>21314</v>
      </c>
      <c r="CA227" t="s">
        <v>16444</v>
      </c>
      <c r="CB227" t="s">
        <v>581</v>
      </c>
      <c r="CC227" s="8" t="str">
        <f>"20135"</f>
        <v>20135</v>
      </c>
      <c r="CD227" t="s">
        <v>2761</v>
      </c>
      <c r="CE227" t="s">
        <v>1794</v>
      </c>
      <c r="CF227" s="12">
        <v>19.670000000000002</v>
      </c>
      <c r="CH227" s="12">
        <v>29.51</v>
      </c>
      <c r="CJ227" t="s">
        <v>135</v>
      </c>
      <c r="CK227" t="s">
        <v>22199</v>
      </c>
      <c r="CL227" t="s">
        <v>22200</v>
      </c>
      <c r="CO227" t="s">
        <v>132</v>
      </c>
      <c r="CP227" t="s">
        <v>136</v>
      </c>
      <c r="CQ227" t="s">
        <v>136</v>
      </c>
      <c r="CR227" t="s">
        <v>136</v>
      </c>
      <c r="CS227" t="s">
        <v>136</v>
      </c>
      <c r="CT227" t="s">
        <v>136</v>
      </c>
      <c r="CU227" t="s">
        <v>114</v>
      </c>
      <c r="CV227" t="s">
        <v>2225</v>
      </c>
      <c r="CW227" s="10" t="str">
        <f>"+15405548228"</f>
        <v>+15405548228</v>
      </c>
      <c r="CX227" t="s">
        <v>22197</v>
      </c>
      <c r="CY227" t="s">
        <v>132</v>
      </c>
      <c r="CZ227" t="s">
        <v>137</v>
      </c>
      <c r="DA227" t="s">
        <v>114</v>
      </c>
      <c r="DB227" t="s">
        <v>114</v>
      </c>
      <c r="DC227" t="s">
        <v>136</v>
      </c>
      <c r="DD227" t="s">
        <v>114</v>
      </c>
    </row>
    <row r="228" spans="1:113" ht="15" customHeight="1" x14ac:dyDescent="0.25">
      <c r="A228" t="s">
        <v>4825</v>
      </c>
      <c r="B228" t="s">
        <v>152</v>
      </c>
      <c r="C228" s="1">
        <v>45251.73254016204</v>
      </c>
      <c r="D228" s="1">
        <v>45281</v>
      </c>
      <c r="E228" t="s">
        <v>132</v>
      </c>
      <c r="F228" t="s">
        <v>237</v>
      </c>
      <c r="G228" t="str">
        <f>"39-3091.00"</f>
        <v>39-3091.00</v>
      </c>
      <c r="H228" t="s">
        <v>237</v>
      </c>
      <c r="I228">
        <v>15</v>
      </c>
      <c r="J228">
        <v>15</v>
      </c>
      <c r="K228" s="1">
        <v>45326</v>
      </c>
      <c r="L228" s="1">
        <v>45597</v>
      </c>
      <c r="M228" s="1">
        <v>45326</v>
      </c>
      <c r="N228" s="1">
        <v>45597</v>
      </c>
      <c r="O228" t="s">
        <v>238</v>
      </c>
      <c r="P228" t="s">
        <v>4826</v>
      </c>
      <c r="R228" t="s">
        <v>4827</v>
      </c>
      <c r="T228" t="s">
        <v>4828</v>
      </c>
      <c r="U228" t="s">
        <v>140</v>
      </c>
      <c r="V228" s="8" t="str">
        <f>"33525"</f>
        <v>33525</v>
      </c>
      <c r="W228" t="s">
        <v>118</v>
      </c>
      <c r="Y228" s="10">
        <v>13524033304</v>
      </c>
      <c r="AA228">
        <v>71119</v>
      </c>
      <c r="AB228" t="s">
        <v>3123</v>
      </c>
      <c r="AC228" t="s">
        <v>2733</v>
      </c>
      <c r="AE228" t="s">
        <v>4829</v>
      </c>
      <c r="AF228" t="s">
        <v>4827</v>
      </c>
      <c r="AH228" t="s">
        <v>4828</v>
      </c>
      <c r="AI228" t="s">
        <v>140</v>
      </c>
      <c r="AJ228" s="8" t="str">
        <f>"33525"</f>
        <v>33525</v>
      </c>
      <c r="AK228" t="s">
        <v>118</v>
      </c>
      <c r="AM228" s="10">
        <v>13524033304</v>
      </c>
      <c r="AO228" t="s">
        <v>4830</v>
      </c>
      <c r="AP228" t="s">
        <v>248</v>
      </c>
      <c r="AQ228" t="s">
        <v>2869</v>
      </c>
      <c r="AR228" t="s">
        <v>1362</v>
      </c>
      <c r="AS228" t="s">
        <v>132</v>
      </c>
      <c r="AT228" t="s">
        <v>1032</v>
      </c>
      <c r="AU228" t="s">
        <v>852</v>
      </c>
      <c r="AV228" t="s">
        <v>853</v>
      </c>
      <c r="AW228" t="s">
        <v>854</v>
      </c>
      <c r="AX228" s="8" t="str">
        <f>"83814"</f>
        <v>83814</v>
      </c>
      <c r="AY228" t="s">
        <v>118</v>
      </c>
      <c r="BA228" s="10">
        <v>12087772654</v>
      </c>
      <c r="BC228" t="s">
        <v>4831</v>
      </c>
      <c r="BD228" t="s">
        <v>856</v>
      </c>
      <c r="BG228" t="s">
        <v>140</v>
      </c>
      <c r="BH228" s="1">
        <v>45250.791666666664</v>
      </c>
      <c r="BI228">
        <v>42</v>
      </c>
      <c r="BJ228">
        <v>0</v>
      </c>
      <c r="BK228">
        <v>8</v>
      </c>
      <c r="BL228">
        <v>8</v>
      </c>
      <c r="BM228">
        <v>5</v>
      </c>
      <c r="BN228">
        <v>5</v>
      </c>
      <c r="BO228">
        <v>8</v>
      </c>
      <c r="BP228">
        <v>8</v>
      </c>
      <c r="BQ228" t="str">
        <f>"9:00 AM"</f>
        <v>9:00 AM</v>
      </c>
      <c r="BR228" t="str">
        <f>"5:00 PM"</f>
        <v>5:00 PM</v>
      </c>
      <c r="BS228" t="s">
        <v>131</v>
      </c>
      <c r="BT228">
        <v>0</v>
      </c>
      <c r="BU228">
        <v>0</v>
      </c>
      <c r="BV228" t="s">
        <v>114</v>
      </c>
      <c r="BX228" t="s">
        <v>3410</v>
      </c>
      <c r="BY228" t="s">
        <v>4832</v>
      </c>
      <c r="CA228" t="s">
        <v>4833</v>
      </c>
      <c r="CB228" t="s">
        <v>140</v>
      </c>
      <c r="CC228" s="8" t="str">
        <f>"33525"</f>
        <v>33525</v>
      </c>
      <c r="CD228" t="s">
        <v>3466</v>
      </c>
      <c r="CE228" t="s">
        <v>467</v>
      </c>
      <c r="CF228" s="12">
        <v>13</v>
      </c>
      <c r="CG228" s="12">
        <v>20</v>
      </c>
      <c r="CH228" s="12">
        <v>19.5</v>
      </c>
      <c r="CI228" s="12">
        <v>30</v>
      </c>
      <c r="CJ228" t="s">
        <v>135</v>
      </c>
      <c r="CK228" t="s">
        <v>1899</v>
      </c>
      <c r="CL228" t="s">
        <v>4834</v>
      </c>
      <c r="CO228" t="s">
        <v>132</v>
      </c>
      <c r="CP228" t="s">
        <v>136</v>
      </c>
      <c r="CQ228" t="s">
        <v>136</v>
      </c>
      <c r="CR228" t="s">
        <v>136</v>
      </c>
      <c r="CS228" t="s">
        <v>136</v>
      </c>
      <c r="CT228" t="s">
        <v>136</v>
      </c>
      <c r="CU228" t="s">
        <v>136</v>
      </c>
      <c r="CV228" t="s">
        <v>1040</v>
      </c>
      <c r="CW228" s="10" t="str">
        <f>"+13524033304"</f>
        <v>+13524033304</v>
      </c>
      <c r="CX228" t="s">
        <v>4830</v>
      </c>
      <c r="CY228" t="s">
        <v>132</v>
      </c>
      <c r="CZ228" t="s">
        <v>137</v>
      </c>
      <c r="DA228" t="s">
        <v>114</v>
      </c>
      <c r="DB228" t="s">
        <v>136</v>
      </c>
      <c r="DC228" t="s">
        <v>136</v>
      </c>
      <c r="DD228" t="s">
        <v>114</v>
      </c>
    </row>
    <row r="229" spans="1:113" ht="15" customHeight="1" x14ac:dyDescent="0.25">
      <c r="A229" t="s">
        <v>5851</v>
      </c>
      <c r="B229" t="s">
        <v>152</v>
      </c>
      <c r="C229" s="1">
        <v>45251.005240856481</v>
      </c>
      <c r="D229" s="1">
        <v>45281</v>
      </c>
      <c r="E229" t="s">
        <v>132</v>
      </c>
      <c r="F229" t="s">
        <v>5852</v>
      </c>
      <c r="G229" t="str">
        <f>"37-3011.00"</f>
        <v>37-3011.00</v>
      </c>
      <c r="H229" t="s">
        <v>429</v>
      </c>
      <c r="I229">
        <v>15</v>
      </c>
      <c r="J229">
        <v>15</v>
      </c>
      <c r="K229" s="1">
        <v>45341</v>
      </c>
      <c r="L229" s="1">
        <v>45626</v>
      </c>
      <c r="M229" s="1">
        <v>45341</v>
      </c>
      <c r="N229" s="1">
        <v>45626</v>
      </c>
      <c r="O229" t="s">
        <v>238</v>
      </c>
      <c r="P229" t="s">
        <v>5853</v>
      </c>
      <c r="R229" t="s">
        <v>5854</v>
      </c>
      <c r="T229" t="s">
        <v>5855</v>
      </c>
      <c r="U229" t="s">
        <v>434</v>
      </c>
      <c r="V229" s="8" t="str">
        <f>"17339"</f>
        <v>17339</v>
      </c>
      <c r="W229" t="s">
        <v>118</v>
      </c>
      <c r="Y229" s="10">
        <v>17178056602</v>
      </c>
      <c r="AA229">
        <v>56173</v>
      </c>
      <c r="AB229" t="s">
        <v>5856</v>
      </c>
      <c r="AC229" t="s">
        <v>5857</v>
      </c>
      <c r="AE229" t="s">
        <v>561</v>
      </c>
      <c r="AF229" t="s">
        <v>5854</v>
      </c>
      <c r="AH229" t="s">
        <v>5858</v>
      </c>
      <c r="AI229" t="s">
        <v>434</v>
      </c>
      <c r="AJ229" s="8" t="str">
        <f>"17339"</f>
        <v>17339</v>
      </c>
      <c r="AK229" t="s">
        <v>118</v>
      </c>
      <c r="AM229" s="10">
        <v>17178056602</v>
      </c>
      <c r="AO229" t="s">
        <v>5859</v>
      </c>
      <c r="AP229" t="s">
        <v>248</v>
      </c>
      <c r="AQ229" t="s">
        <v>960</v>
      </c>
      <c r="AR229" t="s">
        <v>961</v>
      </c>
      <c r="AS229" t="s">
        <v>962</v>
      </c>
      <c r="AT229" t="s">
        <v>963</v>
      </c>
      <c r="AU229" t="s">
        <v>296</v>
      </c>
      <c r="AV229" t="s">
        <v>964</v>
      </c>
      <c r="AW229" t="s">
        <v>127</v>
      </c>
      <c r="AX229" s="8" t="str">
        <f>"75033"</f>
        <v>75033</v>
      </c>
      <c r="AY229" t="s">
        <v>118</v>
      </c>
      <c r="BA229" s="10">
        <v>19727789690</v>
      </c>
      <c r="BC229" t="s">
        <v>5860</v>
      </c>
      <c r="BD229" t="s">
        <v>966</v>
      </c>
      <c r="BG229" t="s">
        <v>434</v>
      </c>
      <c r="BH229" s="1">
        <v>45250.791666666664</v>
      </c>
      <c r="BI229">
        <v>40</v>
      </c>
      <c r="BJ229">
        <v>0</v>
      </c>
      <c r="BK229">
        <v>8</v>
      </c>
      <c r="BL229">
        <v>8</v>
      </c>
      <c r="BM229">
        <v>8</v>
      </c>
      <c r="BN229">
        <v>8</v>
      </c>
      <c r="BO229">
        <v>8</v>
      </c>
      <c r="BP229">
        <v>0</v>
      </c>
      <c r="BQ229" t="str">
        <f>"7:00 AM"</f>
        <v>7:00 AM</v>
      </c>
      <c r="BR229" t="str">
        <f>"3:30 PM"</f>
        <v>3:30 PM</v>
      </c>
      <c r="BS229" t="s">
        <v>131</v>
      </c>
      <c r="BT229">
        <v>0</v>
      </c>
      <c r="BU229">
        <v>0</v>
      </c>
      <c r="BV229" t="s">
        <v>114</v>
      </c>
      <c r="BX229" s="2" t="s">
        <v>5861</v>
      </c>
      <c r="BY229" t="s">
        <v>5854</v>
      </c>
      <c r="CA229" t="s">
        <v>5855</v>
      </c>
      <c r="CB229" t="s">
        <v>434</v>
      </c>
      <c r="CC229" s="8" t="str">
        <f>"17339"</f>
        <v>17339</v>
      </c>
      <c r="CD229" t="s">
        <v>2719</v>
      </c>
      <c r="CE229" t="s">
        <v>2720</v>
      </c>
      <c r="CF229" s="12">
        <v>17.2</v>
      </c>
      <c r="CG229" s="12">
        <v>17.2</v>
      </c>
      <c r="CH229" s="12">
        <v>25.8</v>
      </c>
      <c r="CI229" s="12">
        <v>25.8</v>
      </c>
      <c r="CJ229" t="s">
        <v>135</v>
      </c>
      <c r="CK229" t="s">
        <v>973</v>
      </c>
      <c r="CL229" t="s">
        <v>5862</v>
      </c>
      <c r="CO229" t="s">
        <v>132</v>
      </c>
      <c r="CP229" t="s">
        <v>136</v>
      </c>
      <c r="CQ229" t="s">
        <v>136</v>
      </c>
      <c r="CR229" t="s">
        <v>136</v>
      </c>
      <c r="CS229" t="s">
        <v>136</v>
      </c>
      <c r="CT229" t="s">
        <v>136</v>
      </c>
      <c r="CU229" t="s">
        <v>136</v>
      </c>
      <c r="CV229" s="2" t="s">
        <v>5863</v>
      </c>
      <c r="CW229" s="10" t="str">
        <f>"+17178056602"</f>
        <v>+17178056602</v>
      </c>
      <c r="CX229" t="s">
        <v>132</v>
      </c>
      <c r="CY229" t="s">
        <v>1997</v>
      </c>
      <c r="CZ229" t="s">
        <v>137</v>
      </c>
      <c r="DA229" t="s">
        <v>114</v>
      </c>
      <c r="DB229" t="s">
        <v>136</v>
      </c>
      <c r="DC229" t="s">
        <v>136</v>
      </c>
      <c r="DD229" t="s">
        <v>114</v>
      </c>
    </row>
    <row r="230" spans="1:113" ht="15" customHeight="1" x14ac:dyDescent="0.25">
      <c r="A230" t="s">
        <v>7222</v>
      </c>
      <c r="B230" t="s">
        <v>152</v>
      </c>
      <c r="C230" s="1">
        <v>45247.403610532405</v>
      </c>
      <c r="D230" s="1">
        <v>45281</v>
      </c>
      <c r="E230" t="s">
        <v>132</v>
      </c>
      <c r="F230" t="s">
        <v>1595</v>
      </c>
      <c r="G230" t="str">
        <f>"37-3011.00"</f>
        <v>37-3011.00</v>
      </c>
      <c r="H230" t="s">
        <v>429</v>
      </c>
      <c r="I230">
        <v>13</v>
      </c>
      <c r="J230">
        <v>13</v>
      </c>
      <c r="K230" s="1">
        <v>45337</v>
      </c>
      <c r="L230" s="1">
        <v>45611</v>
      </c>
      <c r="M230" s="1">
        <v>45337</v>
      </c>
      <c r="N230" s="1">
        <v>45611</v>
      </c>
      <c r="O230" t="s">
        <v>116</v>
      </c>
      <c r="P230" t="s">
        <v>7223</v>
      </c>
      <c r="R230" t="s">
        <v>7224</v>
      </c>
      <c r="T230" t="s">
        <v>1814</v>
      </c>
      <c r="U230" t="s">
        <v>333</v>
      </c>
      <c r="V230" s="8" t="str">
        <f>"70809"</f>
        <v>70809</v>
      </c>
      <c r="W230" t="s">
        <v>118</v>
      </c>
      <c r="Y230" s="10">
        <v>14694701115</v>
      </c>
      <c r="AA230">
        <v>56173</v>
      </c>
      <c r="AB230" t="s">
        <v>4896</v>
      </c>
      <c r="AC230" t="s">
        <v>250</v>
      </c>
      <c r="AD230" t="s">
        <v>1829</v>
      </c>
      <c r="AE230" t="s">
        <v>629</v>
      </c>
      <c r="AF230" t="s">
        <v>7224</v>
      </c>
      <c r="AH230" t="s">
        <v>1814</v>
      </c>
      <c r="AI230" t="s">
        <v>333</v>
      </c>
      <c r="AJ230" s="8" t="str">
        <f>"70809"</f>
        <v>70809</v>
      </c>
      <c r="AK230" t="s">
        <v>118</v>
      </c>
      <c r="AM230" s="10">
        <v>14694701115</v>
      </c>
      <c r="AO230" t="s">
        <v>7225</v>
      </c>
      <c r="AP230" t="s">
        <v>248</v>
      </c>
      <c r="AQ230" t="s">
        <v>3017</v>
      </c>
      <c r="AR230" t="s">
        <v>3018</v>
      </c>
      <c r="AT230" t="s">
        <v>3371</v>
      </c>
      <c r="AV230" t="s">
        <v>1168</v>
      </c>
      <c r="AW230" t="s">
        <v>127</v>
      </c>
      <c r="AX230" s="8" t="str">
        <f>"75098"</f>
        <v>75098</v>
      </c>
      <c r="AY230" t="s">
        <v>118</v>
      </c>
      <c r="BA230" s="10">
        <v>19724424244</v>
      </c>
      <c r="BC230" t="s">
        <v>3372</v>
      </c>
      <c r="BD230" t="s">
        <v>3021</v>
      </c>
      <c r="BG230" t="s">
        <v>127</v>
      </c>
      <c r="BH230" s="1">
        <v>45246.791666666664</v>
      </c>
      <c r="BI230">
        <v>40</v>
      </c>
      <c r="BJ230">
        <v>0</v>
      </c>
      <c r="BK230">
        <v>8</v>
      </c>
      <c r="BL230">
        <v>8</v>
      </c>
      <c r="BM230">
        <v>8</v>
      </c>
      <c r="BN230">
        <v>8</v>
      </c>
      <c r="BO230">
        <v>8</v>
      </c>
      <c r="BP230">
        <v>0</v>
      </c>
      <c r="BQ230" t="str">
        <f>"5:30 AM"</f>
        <v>5:30 AM</v>
      </c>
      <c r="BR230" t="str">
        <f>"4:00 PM"</f>
        <v>4:00 PM</v>
      </c>
      <c r="BS230" t="s">
        <v>131</v>
      </c>
      <c r="BT230">
        <v>0</v>
      </c>
      <c r="BU230">
        <v>0</v>
      </c>
      <c r="BV230" t="s">
        <v>114</v>
      </c>
      <c r="BX230" t="s">
        <v>131</v>
      </c>
      <c r="BY230" t="s">
        <v>7226</v>
      </c>
      <c r="CA230" t="s">
        <v>3255</v>
      </c>
      <c r="CB230" t="s">
        <v>127</v>
      </c>
      <c r="CC230" s="8" t="str">
        <f>"75057"</f>
        <v>75057</v>
      </c>
      <c r="CD230" t="s">
        <v>3259</v>
      </c>
      <c r="CE230" t="s">
        <v>263</v>
      </c>
      <c r="CF230" s="12">
        <v>16.86</v>
      </c>
      <c r="CG230" s="12">
        <v>20</v>
      </c>
      <c r="CH230" s="12">
        <v>25.29</v>
      </c>
      <c r="CI230" s="12">
        <v>30</v>
      </c>
      <c r="CJ230" t="s">
        <v>135</v>
      </c>
      <c r="CK230" t="s">
        <v>132</v>
      </c>
      <c r="CL230" t="s">
        <v>7227</v>
      </c>
      <c r="CO230" t="s">
        <v>132</v>
      </c>
      <c r="CP230" t="s">
        <v>136</v>
      </c>
      <c r="CQ230" t="s">
        <v>136</v>
      </c>
      <c r="CR230" t="s">
        <v>136</v>
      </c>
      <c r="CS230" t="s">
        <v>136</v>
      </c>
      <c r="CT230" t="s">
        <v>136</v>
      </c>
      <c r="CU230" t="s">
        <v>136</v>
      </c>
      <c r="CV230" t="s">
        <v>7228</v>
      </c>
      <c r="CW230" s="10" t="str">
        <f>"+14694701115"</f>
        <v>+14694701115</v>
      </c>
      <c r="CX230" t="s">
        <v>132</v>
      </c>
      <c r="CY230" t="s">
        <v>3190</v>
      </c>
      <c r="CZ230" t="s">
        <v>137</v>
      </c>
      <c r="DA230" t="s">
        <v>114</v>
      </c>
      <c r="DB230" t="s">
        <v>114</v>
      </c>
      <c r="DC230" t="s">
        <v>136</v>
      </c>
      <c r="DD230" t="s">
        <v>114</v>
      </c>
    </row>
    <row r="231" spans="1:113" ht="15" customHeight="1" x14ac:dyDescent="0.25">
      <c r="A231" t="s">
        <v>18015</v>
      </c>
      <c r="B231" t="s">
        <v>152</v>
      </c>
      <c r="C231" s="1">
        <v>45246.666043865742</v>
      </c>
      <c r="D231" s="1">
        <v>45281</v>
      </c>
      <c r="E231" t="s">
        <v>132</v>
      </c>
      <c r="F231" t="s">
        <v>7428</v>
      </c>
      <c r="G231" t="str">
        <f>"37-3011.00"</f>
        <v>37-3011.00</v>
      </c>
      <c r="H231" t="s">
        <v>429</v>
      </c>
      <c r="I231">
        <v>34</v>
      </c>
      <c r="J231">
        <v>34</v>
      </c>
      <c r="K231" s="1">
        <v>45327</v>
      </c>
      <c r="L231" s="1">
        <v>45579</v>
      </c>
      <c r="M231" s="1">
        <v>45327</v>
      </c>
      <c r="N231" s="1">
        <v>45579</v>
      </c>
      <c r="O231" t="s">
        <v>238</v>
      </c>
      <c r="P231" t="s">
        <v>3168</v>
      </c>
      <c r="R231" t="s">
        <v>3169</v>
      </c>
      <c r="T231" t="s">
        <v>3170</v>
      </c>
      <c r="U231" t="s">
        <v>2090</v>
      </c>
      <c r="V231" s="8" t="str">
        <f>"68512"</f>
        <v>68512</v>
      </c>
      <c r="W231" t="s">
        <v>118</v>
      </c>
      <c r="Y231" s="10">
        <v>14024236653</v>
      </c>
      <c r="AA231">
        <v>237990</v>
      </c>
      <c r="AB231" t="s">
        <v>2186</v>
      </c>
      <c r="AC231" t="s">
        <v>3171</v>
      </c>
      <c r="AE231" t="s">
        <v>3172</v>
      </c>
      <c r="AF231" t="s">
        <v>3169</v>
      </c>
      <c r="AH231" t="s">
        <v>3170</v>
      </c>
      <c r="AI231" t="s">
        <v>2090</v>
      </c>
      <c r="AJ231" s="8" t="str">
        <f>"68512"</f>
        <v>68512</v>
      </c>
      <c r="AK231" t="s">
        <v>118</v>
      </c>
      <c r="AM231" s="10">
        <v>14024236653</v>
      </c>
      <c r="AO231" t="s">
        <v>3173</v>
      </c>
      <c r="AP231" t="s">
        <v>121</v>
      </c>
      <c r="AQ231" t="s">
        <v>3174</v>
      </c>
      <c r="AR231" t="s">
        <v>3175</v>
      </c>
      <c r="AS231" t="s">
        <v>3176</v>
      </c>
      <c r="AT231" t="s">
        <v>3177</v>
      </c>
      <c r="AU231" t="s">
        <v>3178</v>
      </c>
      <c r="AV231" t="s">
        <v>3179</v>
      </c>
      <c r="AW231" t="s">
        <v>127</v>
      </c>
      <c r="AX231" s="8" t="str">
        <f>"75234"</f>
        <v>75234</v>
      </c>
      <c r="AY231" t="s">
        <v>118</v>
      </c>
      <c r="BA231" s="10">
        <v>19722416445</v>
      </c>
      <c r="BC231" t="s">
        <v>3180</v>
      </c>
      <c r="BD231" t="s">
        <v>3181</v>
      </c>
      <c r="BE231" t="s">
        <v>127</v>
      </c>
      <c r="BF231" t="s">
        <v>750</v>
      </c>
      <c r="BG231" t="s">
        <v>402</v>
      </c>
      <c r="BH231" s="1">
        <v>45237.791666666664</v>
      </c>
      <c r="BI231">
        <v>40</v>
      </c>
      <c r="BJ231">
        <v>5</v>
      </c>
      <c r="BK231">
        <v>6</v>
      </c>
      <c r="BL231">
        <v>6</v>
      </c>
      <c r="BM231">
        <v>6</v>
      </c>
      <c r="BN231">
        <v>6</v>
      </c>
      <c r="BO231">
        <v>6</v>
      </c>
      <c r="BP231">
        <v>5</v>
      </c>
      <c r="BQ231" t="str">
        <f>"6:00 AM"</f>
        <v>6:00 AM</v>
      </c>
      <c r="BR231" t="str">
        <f>"2:30 PM"</f>
        <v>2:30 PM</v>
      </c>
      <c r="BS231" t="s">
        <v>131</v>
      </c>
      <c r="BT231">
        <v>0</v>
      </c>
      <c r="BU231">
        <v>6</v>
      </c>
      <c r="BV231" t="s">
        <v>114</v>
      </c>
      <c r="BX231" s="2" t="s">
        <v>7429</v>
      </c>
      <c r="BY231" t="s">
        <v>18016</v>
      </c>
      <c r="BZ231" t="s">
        <v>3184</v>
      </c>
      <c r="CA231" t="s">
        <v>1679</v>
      </c>
      <c r="CB231" t="s">
        <v>402</v>
      </c>
      <c r="CC231" s="8" t="str">
        <f>"91362"</f>
        <v>91362</v>
      </c>
      <c r="CD231" t="s">
        <v>4868</v>
      </c>
      <c r="CE231" t="s">
        <v>4869</v>
      </c>
      <c r="CF231" s="12">
        <v>19.2</v>
      </c>
      <c r="CH231" s="12">
        <v>28.8</v>
      </c>
      <c r="CJ231" t="s">
        <v>135</v>
      </c>
      <c r="CK231" t="s">
        <v>3185</v>
      </c>
      <c r="CL231" t="s">
        <v>18017</v>
      </c>
      <c r="CO231" t="s">
        <v>132</v>
      </c>
      <c r="CP231" t="s">
        <v>136</v>
      </c>
      <c r="CQ231" t="s">
        <v>114</v>
      </c>
      <c r="CR231" t="s">
        <v>136</v>
      </c>
      <c r="CS231" t="s">
        <v>114</v>
      </c>
      <c r="CT231" t="s">
        <v>136</v>
      </c>
      <c r="CU231" t="s">
        <v>136</v>
      </c>
      <c r="CV231" t="s">
        <v>3187</v>
      </c>
      <c r="CW231" s="10" t="str">
        <f>"+18553006690"</f>
        <v>+18553006690</v>
      </c>
      <c r="CX231" t="s">
        <v>132</v>
      </c>
      <c r="CY231" t="s">
        <v>3188</v>
      </c>
      <c r="CZ231" t="s">
        <v>137</v>
      </c>
      <c r="DA231" t="s">
        <v>114</v>
      </c>
      <c r="DB231" t="s">
        <v>114</v>
      </c>
      <c r="DC231" t="s">
        <v>136</v>
      </c>
      <c r="DD231" t="s">
        <v>114</v>
      </c>
    </row>
    <row r="232" spans="1:113" ht="15" customHeight="1" x14ac:dyDescent="0.25">
      <c r="A232" t="s">
        <v>22824</v>
      </c>
      <c r="B232" t="s">
        <v>152</v>
      </c>
      <c r="C232" s="1">
        <v>45246.645222800929</v>
      </c>
      <c r="D232" s="1">
        <v>45281</v>
      </c>
      <c r="E232" t="s">
        <v>132</v>
      </c>
      <c r="F232" t="s">
        <v>576</v>
      </c>
      <c r="G232" t="str">
        <f>"37-1012.00"</f>
        <v>37-1012.00</v>
      </c>
      <c r="H232" t="s">
        <v>3140</v>
      </c>
      <c r="I232">
        <v>4</v>
      </c>
      <c r="J232">
        <v>4</v>
      </c>
      <c r="K232" s="1">
        <v>45327</v>
      </c>
      <c r="L232" s="1">
        <v>45579</v>
      </c>
      <c r="M232" s="1">
        <v>45327</v>
      </c>
      <c r="N232" s="1">
        <v>45579</v>
      </c>
      <c r="O232" t="s">
        <v>238</v>
      </c>
      <c r="P232" t="s">
        <v>3168</v>
      </c>
      <c r="R232" t="s">
        <v>3169</v>
      </c>
      <c r="T232" t="s">
        <v>3170</v>
      </c>
      <c r="U232" t="s">
        <v>2090</v>
      </c>
      <c r="V232" s="8" t="str">
        <f>"68512"</f>
        <v>68512</v>
      </c>
      <c r="W232" t="s">
        <v>118</v>
      </c>
      <c r="Y232" s="10">
        <v>14024236653</v>
      </c>
      <c r="AA232">
        <v>237990</v>
      </c>
      <c r="AB232" t="s">
        <v>2186</v>
      </c>
      <c r="AC232" t="s">
        <v>3171</v>
      </c>
      <c r="AE232" t="s">
        <v>3172</v>
      </c>
      <c r="AF232" t="s">
        <v>3169</v>
      </c>
      <c r="AH232" t="s">
        <v>3170</v>
      </c>
      <c r="AI232" t="s">
        <v>2090</v>
      </c>
      <c r="AJ232" s="8" t="str">
        <f>"68512"</f>
        <v>68512</v>
      </c>
      <c r="AK232" t="s">
        <v>118</v>
      </c>
      <c r="AM232" s="10">
        <v>14024236653</v>
      </c>
      <c r="AO232" t="s">
        <v>3173</v>
      </c>
      <c r="AP232" t="s">
        <v>121</v>
      </c>
      <c r="AQ232" t="s">
        <v>3174</v>
      </c>
      <c r="AR232" t="s">
        <v>3175</v>
      </c>
      <c r="AS232" t="s">
        <v>3176</v>
      </c>
      <c r="AT232" t="s">
        <v>3177</v>
      </c>
      <c r="AU232" t="s">
        <v>3178</v>
      </c>
      <c r="AV232" t="s">
        <v>3179</v>
      </c>
      <c r="AW232" t="s">
        <v>127</v>
      </c>
      <c r="AX232" s="8" t="str">
        <f>"75234"</f>
        <v>75234</v>
      </c>
      <c r="AY232" t="s">
        <v>118</v>
      </c>
      <c r="BA232" s="10">
        <v>19722416445</v>
      </c>
      <c r="BC232" t="s">
        <v>3180</v>
      </c>
      <c r="BD232" t="s">
        <v>3181</v>
      </c>
      <c r="BE232" t="s">
        <v>127</v>
      </c>
      <c r="BF232" t="s">
        <v>750</v>
      </c>
      <c r="BG232" t="s">
        <v>402</v>
      </c>
      <c r="BH232" s="1">
        <v>45237.791666666664</v>
      </c>
      <c r="BI232">
        <v>40</v>
      </c>
      <c r="BJ232">
        <v>5</v>
      </c>
      <c r="BK232">
        <v>6</v>
      </c>
      <c r="BL232">
        <v>6</v>
      </c>
      <c r="BM232">
        <v>6</v>
      </c>
      <c r="BN232">
        <v>6</v>
      </c>
      <c r="BO232">
        <v>6</v>
      </c>
      <c r="BP232">
        <v>5</v>
      </c>
      <c r="BQ232" t="str">
        <f>"6:00 AM"</f>
        <v>6:00 AM</v>
      </c>
      <c r="BR232" t="str">
        <f>"2:30 PM"</f>
        <v>2:30 PM</v>
      </c>
      <c r="BS232" t="s">
        <v>131</v>
      </c>
      <c r="BT232">
        <v>0</v>
      </c>
      <c r="BU232">
        <v>12</v>
      </c>
      <c r="BV232" t="s">
        <v>136</v>
      </c>
      <c r="BW232">
        <v>20</v>
      </c>
      <c r="BX232" s="2" t="s">
        <v>3182</v>
      </c>
      <c r="BY232" t="s">
        <v>18016</v>
      </c>
      <c r="BZ232" t="s">
        <v>3184</v>
      </c>
      <c r="CA232" t="s">
        <v>1679</v>
      </c>
      <c r="CB232" t="s">
        <v>402</v>
      </c>
      <c r="CC232" s="8" t="str">
        <f>"91362"</f>
        <v>91362</v>
      </c>
      <c r="CD232" t="s">
        <v>4868</v>
      </c>
      <c r="CE232" t="s">
        <v>4869</v>
      </c>
      <c r="CF232" s="12">
        <v>28.76</v>
      </c>
      <c r="CH232" s="12">
        <v>43.14</v>
      </c>
      <c r="CJ232" t="s">
        <v>135</v>
      </c>
      <c r="CK232" t="s">
        <v>3185</v>
      </c>
      <c r="CL232" t="s">
        <v>22825</v>
      </c>
      <c r="CO232" t="s">
        <v>132</v>
      </c>
      <c r="CP232" t="s">
        <v>136</v>
      </c>
      <c r="CQ232" t="s">
        <v>114</v>
      </c>
      <c r="CR232" t="s">
        <v>136</v>
      </c>
      <c r="CS232" t="s">
        <v>114</v>
      </c>
      <c r="CT232" t="s">
        <v>136</v>
      </c>
      <c r="CU232" t="s">
        <v>136</v>
      </c>
      <c r="CV232" t="s">
        <v>3187</v>
      </c>
      <c r="CW232" s="10" t="str">
        <f>"+18553006690"</f>
        <v>+18553006690</v>
      </c>
      <c r="CX232" t="s">
        <v>132</v>
      </c>
      <c r="CY232" t="s">
        <v>3188</v>
      </c>
      <c r="CZ232" t="s">
        <v>137</v>
      </c>
      <c r="DA232" t="s">
        <v>114</v>
      </c>
      <c r="DB232" t="s">
        <v>114</v>
      </c>
      <c r="DC232" t="s">
        <v>136</v>
      </c>
      <c r="DD232" t="s">
        <v>114</v>
      </c>
    </row>
    <row r="233" spans="1:113" ht="15" customHeight="1" x14ac:dyDescent="0.25">
      <c r="A233" t="s">
        <v>9697</v>
      </c>
      <c r="B233" t="s">
        <v>152</v>
      </c>
      <c r="C233" s="1">
        <v>45202.423957060186</v>
      </c>
      <c r="D233" s="1">
        <v>45281</v>
      </c>
      <c r="E233" t="s">
        <v>132</v>
      </c>
      <c r="F233" t="s">
        <v>9698</v>
      </c>
      <c r="G233" t="str">
        <f>"37-2011.00"</f>
        <v>37-2011.00</v>
      </c>
      <c r="H233" t="s">
        <v>1089</v>
      </c>
      <c r="I233">
        <v>25</v>
      </c>
      <c r="J233">
        <v>25</v>
      </c>
      <c r="K233" s="1">
        <v>45292</v>
      </c>
      <c r="L233" s="1">
        <v>45382</v>
      </c>
      <c r="M233" s="1">
        <v>45292</v>
      </c>
      <c r="N233" s="1">
        <v>45382</v>
      </c>
      <c r="O233" t="s">
        <v>238</v>
      </c>
      <c r="P233" t="s">
        <v>9699</v>
      </c>
      <c r="Q233" t="s">
        <v>9700</v>
      </c>
      <c r="R233" t="s">
        <v>9701</v>
      </c>
      <c r="T233" t="s">
        <v>6769</v>
      </c>
      <c r="U233" t="s">
        <v>211</v>
      </c>
      <c r="V233" s="8" t="str">
        <f>"84047"</f>
        <v>84047</v>
      </c>
      <c r="W233" t="s">
        <v>118</v>
      </c>
      <c r="Y233" s="10">
        <v>18012939273</v>
      </c>
      <c r="AA233">
        <v>56173</v>
      </c>
      <c r="AB233" t="s">
        <v>9702</v>
      </c>
      <c r="AC233" t="s">
        <v>9703</v>
      </c>
      <c r="AE233" t="s">
        <v>629</v>
      </c>
      <c r="AF233" t="s">
        <v>9701</v>
      </c>
      <c r="AH233" t="s">
        <v>6769</v>
      </c>
      <c r="AI233" t="s">
        <v>211</v>
      </c>
      <c r="AJ233" s="8" t="str">
        <f>"84047"</f>
        <v>84047</v>
      </c>
      <c r="AK233" t="s">
        <v>118</v>
      </c>
      <c r="AM233" s="10">
        <v>18012939273</v>
      </c>
      <c r="AO233" t="s">
        <v>9704</v>
      </c>
      <c r="AX233" s="8" t="str">
        <f>""</f>
        <v/>
      </c>
      <c r="BG233" t="s">
        <v>211</v>
      </c>
      <c r="BH233" s="1">
        <v>45201.833333333336</v>
      </c>
      <c r="BI233">
        <v>35</v>
      </c>
      <c r="BJ233">
        <v>0</v>
      </c>
      <c r="BK233">
        <v>7</v>
      </c>
      <c r="BL233">
        <v>7</v>
      </c>
      <c r="BM233">
        <v>7</v>
      </c>
      <c r="BN233">
        <v>7</v>
      </c>
      <c r="BO233">
        <v>7</v>
      </c>
      <c r="BP233">
        <v>0</v>
      </c>
      <c r="BQ233" t="str">
        <f>"7:00 AM"</f>
        <v>7:00 AM</v>
      </c>
      <c r="BR233" t="str">
        <f>"3:00 PM"</f>
        <v>3:00 PM</v>
      </c>
      <c r="BS233" t="s">
        <v>131</v>
      </c>
      <c r="BT233">
        <v>0</v>
      </c>
      <c r="BU233">
        <v>0</v>
      </c>
      <c r="BV233" t="s">
        <v>114</v>
      </c>
      <c r="BX233" t="s">
        <v>9705</v>
      </c>
      <c r="BY233" t="s">
        <v>9706</v>
      </c>
      <c r="CA233" t="s">
        <v>6769</v>
      </c>
      <c r="CB233" t="s">
        <v>211</v>
      </c>
      <c r="CC233" s="8" t="str">
        <f>"84047"</f>
        <v>84047</v>
      </c>
      <c r="CD233" t="s">
        <v>1567</v>
      </c>
      <c r="CE233" t="s">
        <v>1568</v>
      </c>
      <c r="CF233" s="12">
        <v>14.3</v>
      </c>
      <c r="CG233" s="12">
        <v>14.3</v>
      </c>
      <c r="CH233" s="12">
        <v>21.45</v>
      </c>
      <c r="CI233" s="12">
        <v>21.45</v>
      </c>
      <c r="CJ233" t="s">
        <v>135</v>
      </c>
      <c r="CK233" t="s">
        <v>9707</v>
      </c>
      <c r="CL233" t="s">
        <v>9708</v>
      </c>
      <c r="CO233" t="s">
        <v>132</v>
      </c>
      <c r="CP233" t="s">
        <v>114</v>
      </c>
      <c r="CQ233" t="s">
        <v>136</v>
      </c>
      <c r="CR233" t="s">
        <v>136</v>
      </c>
      <c r="CS233" t="s">
        <v>136</v>
      </c>
      <c r="CT233" t="s">
        <v>136</v>
      </c>
      <c r="CU233" t="s">
        <v>114</v>
      </c>
      <c r="CV233" t="s">
        <v>9709</v>
      </c>
      <c r="CW233" s="10" t="str">
        <f>"+18012939273"</f>
        <v>+18012939273</v>
      </c>
      <c r="CX233" t="s">
        <v>9704</v>
      </c>
      <c r="CY233" t="s">
        <v>132</v>
      </c>
      <c r="CZ233" t="s">
        <v>137</v>
      </c>
      <c r="DA233" t="s">
        <v>114</v>
      </c>
      <c r="DB233" t="s">
        <v>114</v>
      </c>
      <c r="DC233" t="s">
        <v>136</v>
      </c>
      <c r="DD233" t="s">
        <v>114</v>
      </c>
      <c r="DE233" t="s">
        <v>9710</v>
      </c>
      <c r="DF233" t="s">
        <v>9703</v>
      </c>
      <c r="DG233" t="s">
        <v>425</v>
      </c>
      <c r="DH233" t="s">
        <v>9711</v>
      </c>
      <c r="DI233" t="s">
        <v>9712</v>
      </c>
    </row>
    <row r="234" spans="1:113" ht="15" customHeight="1" x14ac:dyDescent="0.25">
      <c r="A234" t="s">
        <v>8139</v>
      </c>
      <c r="B234" t="s">
        <v>152</v>
      </c>
      <c r="C234" s="1">
        <v>45257.71369895833</v>
      </c>
      <c r="D234" s="1">
        <v>45280</v>
      </c>
      <c r="E234" t="s">
        <v>132</v>
      </c>
      <c r="F234" t="s">
        <v>8030</v>
      </c>
      <c r="G234" t="str">
        <f>"39-3091.00"</f>
        <v>39-3091.00</v>
      </c>
      <c r="H234" t="s">
        <v>237</v>
      </c>
      <c r="I234">
        <v>6</v>
      </c>
      <c r="J234">
        <v>6</v>
      </c>
      <c r="K234" s="1">
        <v>45337</v>
      </c>
      <c r="L234" s="1">
        <v>45601</v>
      </c>
      <c r="M234" s="1">
        <v>45337</v>
      </c>
      <c r="N234" s="1">
        <v>45601</v>
      </c>
      <c r="O234" t="s">
        <v>238</v>
      </c>
      <c r="P234" t="s">
        <v>8140</v>
      </c>
      <c r="R234" t="s">
        <v>8141</v>
      </c>
      <c r="S234" t="s">
        <v>8142</v>
      </c>
      <c r="T234" t="s">
        <v>7451</v>
      </c>
      <c r="U234" t="s">
        <v>127</v>
      </c>
      <c r="V234" s="8" t="str">
        <f>"75656"</f>
        <v>75656</v>
      </c>
      <c r="W234" t="s">
        <v>118</v>
      </c>
      <c r="Y234" s="10">
        <v>19036010134</v>
      </c>
      <c r="AA234">
        <v>71399</v>
      </c>
      <c r="AB234" t="s">
        <v>8143</v>
      </c>
      <c r="AC234" t="s">
        <v>8144</v>
      </c>
      <c r="AE234" t="s">
        <v>561</v>
      </c>
      <c r="AF234" t="s">
        <v>8141</v>
      </c>
      <c r="AG234" t="s">
        <v>8142</v>
      </c>
      <c r="AH234" t="s">
        <v>7451</v>
      </c>
      <c r="AI234" t="s">
        <v>127</v>
      </c>
      <c r="AJ234" s="8" t="str">
        <f>"75656"</f>
        <v>75656</v>
      </c>
      <c r="AK234" t="s">
        <v>118</v>
      </c>
      <c r="AM234" s="10">
        <v>19036010134</v>
      </c>
      <c r="AO234" t="s">
        <v>8145</v>
      </c>
      <c r="AP234" t="s">
        <v>248</v>
      </c>
      <c r="AQ234" t="s">
        <v>249</v>
      </c>
      <c r="AR234" t="s">
        <v>250</v>
      </c>
      <c r="AS234" t="s">
        <v>251</v>
      </c>
      <c r="AT234" t="s">
        <v>252</v>
      </c>
      <c r="AU234" t="s">
        <v>253</v>
      </c>
      <c r="AV234" t="s">
        <v>254</v>
      </c>
      <c r="AW234" t="s">
        <v>127</v>
      </c>
      <c r="AX234" s="8" t="str">
        <f>"78550"</f>
        <v>78550</v>
      </c>
      <c r="AY234" t="s">
        <v>118</v>
      </c>
      <c r="AZ234" t="s">
        <v>255</v>
      </c>
      <c r="BA234" s="10">
        <v>19564408720</v>
      </c>
      <c r="BB234" s="3" t="s">
        <v>256</v>
      </c>
      <c r="BC234" t="s">
        <v>257</v>
      </c>
      <c r="BD234" t="s">
        <v>258</v>
      </c>
      <c r="BG234" t="s">
        <v>127</v>
      </c>
      <c r="BH234" s="1">
        <v>45256.791666666664</v>
      </c>
      <c r="BI234">
        <v>40</v>
      </c>
      <c r="BJ234">
        <v>8</v>
      </c>
      <c r="BK234">
        <v>0</v>
      </c>
      <c r="BL234">
        <v>0</v>
      </c>
      <c r="BM234">
        <v>8</v>
      </c>
      <c r="BN234">
        <v>8</v>
      </c>
      <c r="BO234">
        <v>8</v>
      </c>
      <c r="BP234">
        <v>8</v>
      </c>
      <c r="BQ234" t="str">
        <f>"1:00 PM"</f>
        <v>1:00 PM</v>
      </c>
      <c r="BR234" t="str">
        <f>"10:00 PM"</f>
        <v>10:00 PM</v>
      </c>
      <c r="BS234" t="s">
        <v>131</v>
      </c>
      <c r="BT234">
        <v>0</v>
      </c>
      <c r="BU234">
        <v>0</v>
      </c>
      <c r="BV234" t="s">
        <v>114</v>
      </c>
      <c r="BX234" s="2" t="s">
        <v>259</v>
      </c>
      <c r="BY234" t="s">
        <v>8141</v>
      </c>
      <c r="CA234" t="s">
        <v>7451</v>
      </c>
      <c r="CB234" t="s">
        <v>127</v>
      </c>
      <c r="CC234" s="8" t="str">
        <f>"75656"</f>
        <v>75656</v>
      </c>
      <c r="CD234" t="s">
        <v>2776</v>
      </c>
      <c r="CE234" t="s">
        <v>2876</v>
      </c>
      <c r="CF234" s="12">
        <v>10.039999999999999</v>
      </c>
      <c r="CG234" s="12">
        <v>14.5</v>
      </c>
      <c r="CJ234" t="s">
        <v>135</v>
      </c>
      <c r="CK234" t="s">
        <v>264</v>
      </c>
      <c r="CL234" t="s">
        <v>8146</v>
      </c>
      <c r="CO234" t="s">
        <v>132</v>
      </c>
      <c r="CP234" t="s">
        <v>136</v>
      </c>
      <c r="CQ234" t="s">
        <v>136</v>
      </c>
      <c r="CR234" t="s">
        <v>114</v>
      </c>
      <c r="CS234" t="s">
        <v>136</v>
      </c>
      <c r="CT234" t="s">
        <v>136</v>
      </c>
      <c r="CU234" t="s">
        <v>136</v>
      </c>
      <c r="CV234" t="s">
        <v>266</v>
      </c>
      <c r="CW234" s="10" t="str">
        <f>"+19036010134"</f>
        <v>+19036010134</v>
      </c>
      <c r="CX234" t="s">
        <v>8145</v>
      </c>
      <c r="CY234" t="s">
        <v>132</v>
      </c>
      <c r="CZ234" t="s">
        <v>137</v>
      </c>
      <c r="DA234" t="s">
        <v>114</v>
      </c>
      <c r="DB234" t="s">
        <v>136</v>
      </c>
      <c r="DC234" t="s">
        <v>136</v>
      </c>
      <c r="DD234" t="s">
        <v>114</v>
      </c>
    </row>
    <row r="235" spans="1:113" ht="15" customHeight="1" x14ac:dyDescent="0.25">
      <c r="A235" t="s">
        <v>22965</v>
      </c>
      <c r="B235" t="s">
        <v>152</v>
      </c>
      <c r="C235" s="1">
        <v>45257.396523958334</v>
      </c>
      <c r="D235" s="1">
        <v>45280</v>
      </c>
      <c r="E235" t="s">
        <v>132</v>
      </c>
      <c r="F235" t="s">
        <v>7219</v>
      </c>
      <c r="G235" t="str">
        <f>"53-7062.00"</f>
        <v>53-7062.00</v>
      </c>
      <c r="H235" t="s">
        <v>2078</v>
      </c>
      <c r="I235">
        <v>70</v>
      </c>
      <c r="J235">
        <v>70</v>
      </c>
      <c r="K235" s="1">
        <v>45347</v>
      </c>
      <c r="L235" s="1">
        <v>45627</v>
      </c>
      <c r="M235" s="1">
        <v>45347</v>
      </c>
      <c r="N235" s="1">
        <v>45627</v>
      </c>
      <c r="O235" t="s">
        <v>116</v>
      </c>
      <c r="P235" t="s">
        <v>22966</v>
      </c>
      <c r="R235" t="s">
        <v>20143</v>
      </c>
      <c r="T235" t="s">
        <v>7611</v>
      </c>
      <c r="U235" t="s">
        <v>222</v>
      </c>
      <c r="V235" s="8" t="str">
        <f>"01890"</f>
        <v>01890</v>
      </c>
      <c r="W235" t="s">
        <v>118</v>
      </c>
      <c r="Y235" s="10">
        <v>16178061160</v>
      </c>
      <c r="AA235">
        <v>484210</v>
      </c>
      <c r="AB235" t="s">
        <v>20144</v>
      </c>
      <c r="AC235" t="s">
        <v>2604</v>
      </c>
      <c r="AD235" t="s">
        <v>5973</v>
      </c>
      <c r="AE235" t="s">
        <v>20145</v>
      </c>
      <c r="AF235" t="s">
        <v>20143</v>
      </c>
      <c r="AH235" t="s">
        <v>7611</v>
      </c>
      <c r="AI235" t="s">
        <v>222</v>
      </c>
      <c r="AJ235" s="8" t="str">
        <f>"01890"</f>
        <v>01890</v>
      </c>
      <c r="AK235" t="s">
        <v>118</v>
      </c>
      <c r="AM235" s="10">
        <v>16178061160</v>
      </c>
      <c r="AO235" t="s">
        <v>20146</v>
      </c>
      <c r="AP235" t="s">
        <v>248</v>
      </c>
      <c r="AQ235" t="s">
        <v>3539</v>
      </c>
      <c r="AR235" t="s">
        <v>3540</v>
      </c>
      <c r="AT235" t="s">
        <v>1584</v>
      </c>
      <c r="AV235" t="s">
        <v>1585</v>
      </c>
      <c r="AW235" t="s">
        <v>127</v>
      </c>
      <c r="AX235" s="8" t="str">
        <f>"77414"</f>
        <v>77414</v>
      </c>
      <c r="AY235" t="s">
        <v>118</v>
      </c>
      <c r="BA235" s="10">
        <v>19793187290</v>
      </c>
      <c r="BC235" t="s">
        <v>3541</v>
      </c>
      <c r="BD235" t="s">
        <v>1587</v>
      </c>
      <c r="BG235" t="s">
        <v>222</v>
      </c>
      <c r="BH235" s="1">
        <v>45256.791666666664</v>
      </c>
      <c r="BI235">
        <v>48</v>
      </c>
      <c r="BJ235">
        <v>0</v>
      </c>
      <c r="BK235">
        <v>8</v>
      </c>
      <c r="BL235">
        <v>8</v>
      </c>
      <c r="BM235">
        <v>8</v>
      </c>
      <c r="BN235">
        <v>8</v>
      </c>
      <c r="BO235">
        <v>8</v>
      </c>
      <c r="BP235">
        <v>8</v>
      </c>
      <c r="BQ235" t="str">
        <f>"7:00 AM"</f>
        <v>7:00 AM</v>
      </c>
      <c r="BR235" t="str">
        <f>"4:00 PM"</f>
        <v>4:00 PM</v>
      </c>
      <c r="BS235" t="s">
        <v>131</v>
      </c>
      <c r="BT235">
        <v>0</v>
      </c>
      <c r="BU235">
        <v>0</v>
      </c>
      <c r="BV235" t="s">
        <v>114</v>
      </c>
      <c r="BX235" s="2" t="s">
        <v>22967</v>
      </c>
      <c r="BY235" t="s">
        <v>20143</v>
      </c>
      <c r="CA235" t="s">
        <v>7611</v>
      </c>
      <c r="CB235" t="s">
        <v>222</v>
      </c>
      <c r="CC235" s="8" t="str">
        <f>"01890"</f>
        <v>01890</v>
      </c>
      <c r="CD235" t="s">
        <v>22968</v>
      </c>
      <c r="CE235" t="s">
        <v>2399</v>
      </c>
      <c r="CF235" s="12">
        <v>20.54</v>
      </c>
      <c r="CG235" s="12">
        <v>32</v>
      </c>
      <c r="CH235" s="12">
        <v>30.81</v>
      </c>
      <c r="CI235" s="12">
        <v>48</v>
      </c>
      <c r="CJ235" t="s">
        <v>135</v>
      </c>
      <c r="CK235" t="s">
        <v>20147</v>
      </c>
      <c r="CL235" t="s">
        <v>22969</v>
      </c>
      <c r="CO235" t="s">
        <v>132</v>
      </c>
      <c r="CP235" t="s">
        <v>136</v>
      </c>
      <c r="CQ235" t="s">
        <v>136</v>
      </c>
      <c r="CR235" t="s">
        <v>136</v>
      </c>
      <c r="CS235" t="s">
        <v>136</v>
      </c>
      <c r="CT235" t="s">
        <v>136</v>
      </c>
      <c r="CU235" t="s">
        <v>136</v>
      </c>
      <c r="CV235" s="2" t="s">
        <v>22970</v>
      </c>
      <c r="CW235" s="10" t="str">
        <f>"+16178061160"</f>
        <v>+16178061160</v>
      </c>
      <c r="CX235" t="s">
        <v>20146</v>
      </c>
      <c r="CY235" t="s">
        <v>132</v>
      </c>
      <c r="CZ235" t="s">
        <v>137</v>
      </c>
      <c r="DA235" t="s">
        <v>114</v>
      </c>
      <c r="DB235" t="s">
        <v>114</v>
      </c>
      <c r="DC235" t="s">
        <v>136</v>
      </c>
      <c r="DD235" t="s">
        <v>114</v>
      </c>
    </row>
    <row r="236" spans="1:113" ht="15" customHeight="1" x14ac:dyDescent="0.25">
      <c r="A236" t="s">
        <v>23974</v>
      </c>
      <c r="B236" t="s">
        <v>152</v>
      </c>
      <c r="C236" s="1">
        <v>45257.361224884262</v>
      </c>
      <c r="D236" s="1">
        <v>45280</v>
      </c>
      <c r="E236" t="s">
        <v>132</v>
      </c>
      <c r="F236" t="s">
        <v>236</v>
      </c>
      <c r="G236" t="str">
        <f>"39-3091.00"</f>
        <v>39-3091.00</v>
      </c>
      <c r="H236" t="s">
        <v>237</v>
      </c>
      <c r="I236">
        <v>25</v>
      </c>
      <c r="J236">
        <v>25</v>
      </c>
      <c r="K236" s="1">
        <v>45337</v>
      </c>
      <c r="L236" s="1">
        <v>45640</v>
      </c>
      <c r="M236" s="1">
        <v>45337</v>
      </c>
      <c r="N236" s="1">
        <v>45640</v>
      </c>
      <c r="O236" t="s">
        <v>238</v>
      </c>
      <c r="P236" t="s">
        <v>23975</v>
      </c>
      <c r="R236" t="s">
        <v>23976</v>
      </c>
      <c r="T236" t="s">
        <v>3632</v>
      </c>
      <c r="U236" t="s">
        <v>402</v>
      </c>
      <c r="V236" s="8" t="str">
        <f>"94544"</f>
        <v>94544</v>
      </c>
      <c r="W236" t="s">
        <v>118</v>
      </c>
      <c r="Y236" s="10">
        <v>16503465959</v>
      </c>
      <c r="AA236">
        <v>71399</v>
      </c>
      <c r="AB236" t="s">
        <v>23977</v>
      </c>
      <c r="AC236" t="s">
        <v>2238</v>
      </c>
      <c r="AE236" t="s">
        <v>21169</v>
      </c>
      <c r="AF236" t="s">
        <v>23976</v>
      </c>
      <c r="AH236" t="s">
        <v>3632</v>
      </c>
      <c r="AI236" t="s">
        <v>402</v>
      </c>
      <c r="AJ236" s="8" t="str">
        <f>"94544"</f>
        <v>94544</v>
      </c>
      <c r="AK236" t="s">
        <v>118</v>
      </c>
      <c r="AM236" s="10">
        <v>16503465959</v>
      </c>
      <c r="AO236" t="s">
        <v>23978</v>
      </c>
      <c r="AP236" t="s">
        <v>248</v>
      </c>
      <c r="AQ236" t="s">
        <v>249</v>
      </c>
      <c r="AR236" t="s">
        <v>250</v>
      </c>
      <c r="AS236" t="s">
        <v>251</v>
      </c>
      <c r="AT236" t="s">
        <v>252</v>
      </c>
      <c r="AU236" t="s">
        <v>253</v>
      </c>
      <c r="AV236" t="s">
        <v>254</v>
      </c>
      <c r="AW236" t="s">
        <v>127</v>
      </c>
      <c r="AX236" s="8" t="str">
        <f>"78550"</f>
        <v>78550</v>
      </c>
      <c r="AY236" t="s">
        <v>118</v>
      </c>
      <c r="AZ236" t="s">
        <v>255</v>
      </c>
      <c r="BA236" s="10">
        <v>19564408720</v>
      </c>
      <c r="BB236" s="3" t="s">
        <v>256</v>
      </c>
      <c r="BC236" t="s">
        <v>257</v>
      </c>
      <c r="BD236" t="s">
        <v>258</v>
      </c>
      <c r="BG236" t="s">
        <v>402</v>
      </c>
      <c r="BH236" s="1">
        <v>45256.791666666664</v>
      </c>
      <c r="BI236">
        <v>40</v>
      </c>
      <c r="BJ236">
        <v>8</v>
      </c>
      <c r="BK236">
        <v>0</v>
      </c>
      <c r="BL236">
        <v>0</v>
      </c>
      <c r="BM236">
        <v>8</v>
      </c>
      <c r="BN236">
        <v>8</v>
      </c>
      <c r="BO236">
        <v>8</v>
      </c>
      <c r="BP236">
        <v>8</v>
      </c>
      <c r="BQ236" t="str">
        <f>"1:00 PM"</f>
        <v>1:00 PM</v>
      </c>
      <c r="BR236" t="str">
        <f>"10:00 PM"</f>
        <v>10:00 PM</v>
      </c>
      <c r="BS236" t="s">
        <v>131</v>
      </c>
      <c r="BT236">
        <v>0</v>
      </c>
      <c r="BU236">
        <v>0</v>
      </c>
      <c r="BV236" t="s">
        <v>114</v>
      </c>
      <c r="BX236" s="2" t="s">
        <v>259</v>
      </c>
      <c r="BY236" t="s">
        <v>23976</v>
      </c>
      <c r="CA236" t="s">
        <v>3632</v>
      </c>
      <c r="CB236" t="s">
        <v>402</v>
      </c>
      <c r="CC236" s="8" t="str">
        <f>"94544"</f>
        <v>94544</v>
      </c>
      <c r="CD236" t="s">
        <v>3633</v>
      </c>
      <c r="CE236" t="s">
        <v>2737</v>
      </c>
      <c r="CF236" s="12">
        <v>12.29</v>
      </c>
      <c r="CG236" s="12">
        <v>18.75</v>
      </c>
      <c r="CJ236" t="s">
        <v>135</v>
      </c>
      <c r="CK236" t="s">
        <v>264</v>
      </c>
      <c r="CL236" t="s">
        <v>23979</v>
      </c>
      <c r="CO236" t="s">
        <v>132</v>
      </c>
      <c r="CP236" t="s">
        <v>136</v>
      </c>
      <c r="CQ236" t="s">
        <v>136</v>
      </c>
      <c r="CR236" t="s">
        <v>114</v>
      </c>
      <c r="CS236" t="s">
        <v>136</v>
      </c>
      <c r="CT236" t="s">
        <v>136</v>
      </c>
      <c r="CU236" t="s">
        <v>136</v>
      </c>
      <c r="CV236" t="s">
        <v>2258</v>
      </c>
      <c r="CW236" s="10" t="str">
        <f>"+16503465959"</f>
        <v>+16503465959</v>
      </c>
      <c r="CX236" t="s">
        <v>23978</v>
      </c>
      <c r="CY236" t="s">
        <v>132</v>
      </c>
      <c r="CZ236" t="s">
        <v>137</v>
      </c>
      <c r="DA236" t="s">
        <v>114</v>
      </c>
      <c r="DB236" t="s">
        <v>114</v>
      </c>
      <c r="DC236" t="s">
        <v>136</v>
      </c>
      <c r="DD236" t="s">
        <v>114</v>
      </c>
    </row>
    <row r="237" spans="1:113" ht="15" customHeight="1" x14ac:dyDescent="0.25">
      <c r="A237" t="s">
        <v>7434</v>
      </c>
      <c r="B237" t="s">
        <v>152</v>
      </c>
      <c r="C237" s="1">
        <v>45254.467510995368</v>
      </c>
      <c r="D237" s="1">
        <v>45280</v>
      </c>
      <c r="E237" t="s">
        <v>132</v>
      </c>
      <c r="F237" t="s">
        <v>1595</v>
      </c>
      <c r="G237" t="str">
        <f>"37-3011.00"</f>
        <v>37-3011.00</v>
      </c>
      <c r="H237" t="s">
        <v>429</v>
      </c>
      <c r="I237">
        <v>9</v>
      </c>
      <c r="J237">
        <v>9</v>
      </c>
      <c r="K237" s="1">
        <v>45344</v>
      </c>
      <c r="L237" s="1">
        <v>45644</v>
      </c>
      <c r="M237" s="1">
        <v>45344</v>
      </c>
      <c r="N237" s="1">
        <v>45644</v>
      </c>
      <c r="O237" t="s">
        <v>116</v>
      </c>
      <c r="P237" t="s">
        <v>7435</v>
      </c>
      <c r="Q237" t="s">
        <v>7436</v>
      </c>
      <c r="R237" t="s">
        <v>7437</v>
      </c>
      <c r="S237" t="s">
        <v>7438</v>
      </c>
      <c r="T237" t="s">
        <v>7439</v>
      </c>
      <c r="U237" t="s">
        <v>127</v>
      </c>
      <c r="V237" s="8" t="str">
        <f>"77515"</f>
        <v>77515</v>
      </c>
      <c r="W237" t="s">
        <v>118</v>
      </c>
      <c r="Y237" s="10">
        <v>19795490888</v>
      </c>
      <c r="AA237">
        <v>561730</v>
      </c>
      <c r="AB237" t="s">
        <v>7440</v>
      </c>
      <c r="AC237" t="s">
        <v>5130</v>
      </c>
      <c r="AD237" t="s">
        <v>132</v>
      </c>
      <c r="AE237" t="s">
        <v>120</v>
      </c>
      <c r="AF237" t="s">
        <v>7437</v>
      </c>
      <c r="AG237" t="s">
        <v>7438</v>
      </c>
      <c r="AH237" t="s">
        <v>7439</v>
      </c>
      <c r="AI237" t="s">
        <v>127</v>
      </c>
      <c r="AJ237" s="8" t="str">
        <f>"77515"</f>
        <v>77515</v>
      </c>
      <c r="AK237" t="s">
        <v>118</v>
      </c>
      <c r="AM237" s="10">
        <v>19795490888</v>
      </c>
      <c r="AO237" t="s">
        <v>7441</v>
      </c>
      <c r="AP237" t="s">
        <v>248</v>
      </c>
      <c r="AQ237" t="s">
        <v>1820</v>
      </c>
      <c r="AR237" t="s">
        <v>1828</v>
      </c>
      <c r="AS237" t="s">
        <v>132</v>
      </c>
      <c r="AT237" t="s">
        <v>1584</v>
      </c>
      <c r="AU237" t="s">
        <v>132</v>
      </c>
      <c r="AV237" t="s">
        <v>1585</v>
      </c>
      <c r="AW237" t="s">
        <v>127</v>
      </c>
      <c r="AX237" s="8" t="str">
        <f>"77414"</f>
        <v>77414</v>
      </c>
      <c r="AY237" t="s">
        <v>118</v>
      </c>
      <c r="BA237" s="10">
        <v>19793187285</v>
      </c>
      <c r="BC237" t="s">
        <v>2430</v>
      </c>
      <c r="BD237" t="s">
        <v>1587</v>
      </c>
      <c r="BG237" t="s">
        <v>127</v>
      </c>
      <c r="BH237" s="1">
        <v>45253.791666666664</v>
      </c>
      <c r="BI237">
        <v>40</v>
      </c>
      <c r="BJ237">
        <v>0</v>
      </c>
      <c r="BK237">
        <v>8</v>
      </c>
      <c r="BL237">
        <v>8</v>
      </c>
      <c r="BM237">
        <v>8</v>
      </c>
      <c r="BN237">
        <v>8</v>
      </c>
      <c r="BO237">
        <v>8</v>
      </c>
      <c r="BP237">
        <v>0</v>
      </c>
      <c r="BQ237" t="str">
        <f>"7:00 AM"</f>
        <v>7:00 AM</v>
      </c>
      <c r="BR237" t="str">
        <f>"5:30 PM"</f>
        <v>5:30 PM</v>
      </c>
      <c r="BS237" t="s">
        <v>131</v>
      </c>
      <c r="BT237">
        <v>0</v>
      </c>
      <c r="BU237">
        <v>0</v>
      </c>
      <c r="BV237" t="s">
        <v>114</v>
      </c>
      <c r="BX237" s="2" t="s">
        <v>7442</v>
      </c>
      <c r="BY237" t="s">
        <v>7437</v>
      </c>
      <c r="BZ237" t="s">
        <v>132</v>
      </c>
      <c r="CA237" t="s">
        <v>7439</v>
      </c>
      <c r="CB237" t="s">
        <v>127</v>
      </c>
      <c r="CC237" s="8" t="str">
        <f>"77515"</f>
        <v>77515</v>
      </c>
      <c r="CD237" t="s">
        <v>5077</v>
      </c>
      <c r="CE237" t="s">
        <v>879</v>
      </c>
      <c r="CF237" s="12">
        <v>16.29</v>
      </c>
      <c r="CH237" s="12">
        <v>24.44</v>
      </c>
      <c r="CJ237" t="s">
        <v>135</v>
      </c>
      <c r="CK237" t="s">
        <v>7443</v>
      </c>
      <c r="CL237" t="s">
        <v>7444</v>
      </c>
      <c r="CO237" t="s">
        <v>132</v>
      </c>
      <c r="CP237" t="s">
        <v>136</v>
      </c>
      <c r="CQ237" t="s">
        <v>136</v>
      </c>
      <c r="CR237" t="s">
        <v>136</v>
      </c>
      <c r="CS237" t="s">
        <v>136</v>
      </c>
      <c r="CT237" t="s">
        <v>136</v>
      </c>
      <c r="CU237" t="s">
        <v>114</v>
      </c>
      <c r="CV237" t="s">
        <v>2171</v>
      </c>
      <c r="CW237" s="10" t="str">
        <f>"+19795490888"</f>
        <v>+19795490888</v>
      </c>
      <c r="CX237" t="s">
        <v>7441</v>
      </c>
      <c r="CY237" t="s">
        <v>132</v>
      </c>
      <c r="CZ237" t="s">
        <v>137</v>
      </c>
      <c r="DA237" t="s">
        <v>114</v>
      </c>
      <c r="DB237" t="s">
        <v>114</v>
      </c>
      <c r="DC237" t="s">
        <v>136</v>
      </c>
      <c r="DD237" t="s">
        <v>114</v>
      </c>
    </row>
    <row r="238" spans="1:113" ht="15" customHeight="1" x14ac:dyDescent="0.25">
      <c r="A238" t="s">
        <v>12270</v>
      </c>
      <c r="B238" t="s">
        <v>152</v>
      </c>
      <c r="C238" s="1">
        <v>45251.004377893521</v>
      </c>
      <c r="D238" s="1">
        <v>45280</v>
      </c>
      <c r="E238" t="s">
        <v>132</v>
      </c>
      <c r="F238" t="s">
        <v>1595</v>
      </c>
      <c r="G238" t="str">
        <f>"37-3011.00"</f>
        <v>37-3011.00</v>
      </c>
      <c r="H238" t="s">
        <v>429</v>
      </c>
      <c r="I238">
        <v>6</v>
      </c>
      <c r="J238">
        <v>6</v>
      </c>
      <c r="K238" s="1">
        <v>45341</v>
      </c>
      <c r="L238" s="1">
        <v>45597</v>
      </c>
      <c r="M238" s="1">
        <v>45341</v>
      </c>
      <c r="N238" s="1">
        <v>45597</v>
      </c>
      <c r="O238" t="s">
        <v>116</v>
      </c>
      <c r="P238" t="s">
        <v>6551</v>
      </c>
      <c r="R238" t="s">
        <v>12271</v>
      </c>
      <c r="S238" t="s">
        <v>6553</v>
      </c>
      <c r="T238" t="s">
        <v>126</v>
      </c>
      <c r="U238" t="s">
        <v>127</v>
      </c>
      <c r="V238" s="8" t="str">
        <f>"78249"</f>
        <v>78249</v>
      </c>
      <c r="W238" t="s">
        <v>118</v>
      </c>
      <c r="Y238" s="10">
        <v>13864376211</v>
      </c>
      <c r="AA238">
        <v>56173</v>
      </c>
      <c r="AB238" t="s">
        <v>3274</v>
      </c>
      <c r="AC238" t="s">
        <v>3462</v>
      </c>
      <c r="AE238" t="s">
        <v>1556</v>
      </c>
      <c r="AF238" t="s">
        <v>12271</v>
      </c>
      <c r="AG238" t="s">
        <v>6553</v>
      </c>
      <c r="AH238" t="s">
        <v>126</v>
      </c>
      <c r="AI238" t="s">
        <v>127</v>
      </c>
      <c r="AJ238" s="8" t="str">
        <f>"78249"</f>
        <v>78249</v>
      </c>
      <c r="AK238" t="s">
        <v>118</v>
      </c>
      <c r="AM238" s="10">
        <v>13864376211</v>
      </c>
      <c r="AO238" t="s">
        <v>6557</v>
      </c>
      <c r="AP238" t="s">
        <v>248</v>
      </c>
      <c r="AQ238" t="s">
        <v>960</v>
      </c>
      <c r="AR238" t="s">
        <v>961</v>
      </c>
      <c r="AS238" t="s">
        <v>962</v>
      </c>
      <c r="AT238" t="s">
        <v>963</v>
      </c>
      <c r="AU238" t="s">
        <v>296</v>
      </c>
      <c r="AV238" t="s">
        <v>964</v>
      </c>
      <c r="AW238" t="s">
        <v>127</v>
      </c>
      <c r="AX238" s="8" t="str">
        <f>"75033"</f>
        <v>75033</v>
      </c>
      <c r="AY238" t="s">
        <v>118</v>
      </c>
      <c r="BA238" s="10">
        <v>19727789690</v>
      </c>
      <c r="BC238" t="s">
        <v>1388</v>
      </c>
      <c r="BD238" t="s">
        <v>966</v>
      </c>
      <c r="BG238" t="s">
        <v>127</v>
      </c>
      <c r="BH238" s="1">
        <v>45250.791666666664</v>
      </c>
      <c r="BI238">
        <v>40</v>
      </c>
      <c r="BJ238">
        <v>8</v>
      </c>
      <c r="BK238">
        <v>8</v>
      </c>
      <c r="BL238">
        <v>0</v>
      </c>
      <c r="BM238">
        <v>8</v>
      </c>
      <c r="BN238">
        <v>0</v>
      </c>
      <c r="BO238">
        <v>8</v>
      </c>
      <c r="BP238">
        <v>8</v>
      </c>
      <c r="BQ238" t="str">
        <f>"7:00 AM"</f>
        <v>7:00 AM</v>
      </c>
      <c r="BR238" t="str">
        <f>"4:00 PM"</f>
        <v>4:00 PM</v>
      </c>
      <c r="BS238" t="s">
        <v>131</v>
      </c>
      <c r="BT238">
        <v>0</v>
      </c>
      <c r="BU238">
        <v>0</v>
      </c>
      <c r="BV238" t="s">
        <v>114</v>
      </c>
      <c r="BX238" t="s">
        <v>12272</v>
      </c>
      <c r="BY238" t="s">
        <v>12271</v>
      </c>
      <c r="CA238" t="s">
        <v>126</v>
      </c>
      <c r="CB238" t="s">
        <v>127</v>
      </c>
      <c r="CC238" s="8" t="str">
        <f>"78249"</f>
        <v>78249</v>
      </c>
      <c r="CD238" t="s">
        <v>1941</v>
      </c>
      <c r="CE238" t="s">
        <v>1287</v>
      </c>
      <c r="CF238" s="12">
        <v>16.91</v>
      </c>
      <c r="CG238" s="12">
        <v>16.91</v>
      </c>
      <c r="CH238" s="12">
        <v>25.37</v>
      </c>
      <c r="CI238" s="12">
        <v>25.37</v>
      </c>
      <c r="CJ238" t="s">
        <v>135</v>
      </c>
      <c r="CK238" t="s">
        <v>973</v>
      </c>
      <c r="CL238" t="s">
        <v>12273</v>
      </c>
      <c r="CO238" t="s">
        <v>132</v>
      </c>
      <c r="CP238" t="s">
        <v>136</v>
      </c>
      <c r="CQ238" t="s">
        <v>136</v>
      </c>
      <c r="CR238" t="s">
        <v>136</v>
      </c>
      <c r="CS238" t="s">
        <v>136</v>
      </c>
      <c r="CT238" t="s">
        <v>136</v>
      </c>
      <c r="CU238" t="s">
        <v>136</v>
      </c>
      <c r="CV238" s="2" t="s">
        <v>6561</v>
      </c>
      <c r="CW238" s="10" t="str">
        <f>"+13864376211"</f>
        <v>+13864376211</v>
      </c>
      <c r="CX238" t="s">
        <v>132</v>
      </c>
      <c r="CY238" t="s">
        <v>1853</v>
      </c>
      <c r="CZ238" t="s">
        <v>137</v>
      </c>
      <c r="DA238" t="s">
        <v>114</v>
      </c>
      <c r="DB238" t="s">
        <v>136</v>
      </c>
      <c r="DC238" t="s">
        <v>136</v>
      </c>
      <c r="DD238" t="s">
        <v>114</v>
      </c>
    </row>
    <row r="239" spans="1:113" ht="15" customHeight="1" x14ac:dyDescent="0.25">
      <c r="A239" t="s">
        <v>14749</v>
      </c>
      <c r="B239" t="s">
        <v>152</v>
      </c>
      <c r="C239" s="1">
        <v>45247.702970370374</v>
      </c>
      <c r="D239" s="1">
        <v>45280</v>
      </c>
      <c r="E239" t="s">
        <v>132</v>
      </c>
      <c r="F239" t="s">
        <v>5852</v>
      </c>
      <c r="G239" t="str">
        <f>"37-3011.00"</f>
        <v>37-3011.00</v>
      </c>
      <c r="H239" t="s">
        <v>429</v>
      </c>
      <c r="I239">
        <v>11</v>
      </c>
      <c r="J239">
        <v>11</v>
      </c>
      <c r="K239" s="1">
        <v>45337</v>
      </c>
      <c r="L239" s="1">
        <v>45626</v>
      </c>
      <c r="M239" s="1">
        <v>45337</v>
      </c>
      <c r="N239" s="1">
        <v>45626</v>
      </c>
      <c r="O239" t="s">
        <v>116</v>
      </c>
      <c r="P239" t="s">
        <v>14750</v>
      </c>
      <c r="R239" t="s">
        <v>14751</v>
      </c>
      <c r="T239" t="s">
        <v>1721</v>
      </c>
      <c r="U239" t="s">
        <v>1722</v>
      </c>
      <c r="V239" s="8" t="str">
        <f>"21401"</f>
        <v>21401</v>
      </c>
      <c r="W239" t="s">
        <v>118</v>
      </c>
      <c r="Y239" s="10">
        <v>12405357028</v>
      </c>
      <c r="AA239">
        <v>561730</v>
      </c>
      <c r="AB239" t="s">
        <v>14752</v>
      </c>
      <c r="AC239" t="s">
        <v>2210</v>
      </c>
      <c r="AE239" t="s">
        <v>629</v>
      </c>
      <c r="AF239" t="s">
        <v>14753</v>
      </c>
      <c r="AH239" t="s">
        <v>1721</v>
      </c>
      <c r="AI239" t="s">
        <v>1722</v>
      </c>
      <c r="AJ239" s="8" t="str">
        <f>"21401"</f>
        <v>21401</v>
      </c>
      <c r="AK239" t="s">
        <v>118</v>
      </c>
      <c r="AM239" s="10" t="s">
        <v>14754</v>
      </c>
      <c r="AO239" t="s">
        <v>14755</v>
      </c>
      <c r="AP239" t="s">
        <v>248</v>
      </c>
      <c r="AQ239" t="s">
        <v>3290</v>
      </c>
      <c r="AR239" t="s">
        <v>2001</v>
      </c>
      <c r="AT239" t="s">
        <v>3291</v>
      </c>
      <c r="AV239" t="s">
        <v>3292</v>
      </c>
      <c r="AW239" t="s">
        <v>402</v>
      </c>
      <c r="AX239" s="8" t="str">
        <f>"93446"</f>
        <v>93446</v>
      </c>
      <c r="AY239" t="s">
        <v>118</v>
      </c>
      <c r="AZ239" t="s">
        <v>3293</v>
      </c>
      <c r="BA239" s="10">
        <v>13217042589</v>
      </c>
      <c r="BC239" t="s">
        <v>3294</v>
      </c>
      <c r="BD239" t="s">
        <v>3295</v>
      </c>
      <c r="BG239" t="s">
        <v>1722</v>
      </c>
      <c r="BH239" s="1">
        <v>45231.833333333336</v>
      </c>
      <c r="BI239">
        <v>40</v>
      </c>
      <c r="BJ239">
        <v>0</v>
      </c>
      <c r="BK239">
        <v>8</v>
      </c>
      <c r="BL239">
        <v>8</v>
      </c>
      <c r="BM239">
        <v>8</v>
      </c>
      <c r="BN239">
        <v>8</v>
      </c>
      <c r="BO239">
        <v>8</v>
      </c>
      <c r="BP239">
        <v>0</v>
      </c>
      <c r="BQ239" t="str">
        <f>"7:00 AM"</f>
        <v>7:00 AM</v>
      </c>
      <c r="BR239" t="str">
        <f>"4:00 PM"</f>
        <v>4:00 PM</v>
      </c>
      <c r="BS239" t="s">
        <v>131</v>
      </c>
      <c r="BT239">
        <v>0</v>
      </c>
      <c r="BU239">
        <v>3</v>
      </c>
      <c r="BV239" t="s">
        <v>114</v>
      </c>
      <c r="BX239" s="2" t="s">
        <v>14756</v>
      </c>
      <c r="BY239" t="s">
        <v>14757</v>
      </c>
      <c r="CA239" t="s">
        <v>9590</v>
      </c>
      <c r="CB239" t="s">
        <v>1722</v>
      </c>
      <c r="CC239" s="8" t="str">
        <f>"20774"</f>
        <v>20774</v>
      </c>
      <c r="CD239" t="s">
        <v>1793</v>
      </c>
      <c r="CE239" t="s">
        <v>1794</v>
      </c>
      <c r="CF239" s="12">
        <v>19.670000000000002</v>
      </c>
      <c r="CG239" s="12">
        <v>19.670000000000002</v>
      </c>
      <c r="CH239" s="12">
        <v>29.51</v>
      </c>
      <c r="CI239" s="12">
        <v>29.51</v>
      </c>
      <c r="CJ239" t="s">
        <v>135</v>
      </c>
      <c r="CK239" t="s">
        <v>5469</v>
      </c>
      <c r="CL239" t="s">
        <v>14758</v>
      </c>
      <c r="CO239" t="s">
        <v>132</v>
      </c>
      <c r="CP239" t="s">
        <v>136</v>
      </c>
      <c r="CQ239" t="s">
        <v>136</v>
      </c>
      <c r="CR239" t="s">
        <v>136</v>
      </c>
      <c r="CS239" t="s">
        <v>136</v>
      </c>
      <c r="CT239" t="s">
        <v>136</v>
      </c>
      <c r="CU239" t="s">
        <v>136</v>
      </c>
      <c r="CV239" t="s">
        <v>14759</v>
      </c>
      <c r="CW239" s="10" t="str">
        <f>"+12405357028"</f>
        <v>+12405357028</v>
      </c>
      <c r="CX239" t="s">
        <v>14755</v>
      </c>
      <c r="CY239" t="s">
        <v>132</v>
      </c>
      <c r="CZ239" t="s">
        <v>137</v>
      </c>
      <c r="DA239" t="s">
        <v>114</v>
      </c>
      <c r="DB239" t="s">
        <v>114</v>
      </c>
      <c r="DC239" t="s">
        <v>136</v>
      </c>
      <c r="DD239" t="s">
        <v>114</v>
      </c>
    </row>
    <row r="240" spans="1:113" ht="15" customHeight="1" x14ac:dyDescent="0.25">
      <c r="A240" t="s">
        <v>20073</v>
      </c>
      <c r="B240" t="s">
        <v>152</v>
      </c>
      <c r="C240" s="1">
        <v>45247.363407175922</v>
      </c>
      <c r="D240" s="1">
        <v>45280</v>
      </c>
      <c r="E240" t="s">
        <v>132</v>
      </c>
      <c r="F240" t="s">
        <v>2230</v>
      </c>
      <c r="G240" t="str">
        <f>"37-3011.00"</f>
        <v>37-3011.00</v>
      </c>
      <c r="H240" t="s">
        <v>429</v>
      </c>
      <c r="I240">
        <v>20</v>
      </c>
      <c r="J240">
        <v>20</v>
      </c>
      <c r="K240" s="1">
        <v>45337</v>
      </c>
      <c r="L240" s="1">
        <v>45641</v>
      </c>
      <c r="M240" s="1">
        <v>45337</v>
      </c>
      <c r="N240" s="1">
        <v>45641</v>
      </c>
      <c r="O240" t="s">
        <v>116</v>
      </c>
      <c r="P240" t="s">
        <v>5291</v>
      </c>
      <c r="R240" t="s">
        <v>5292</v>
      </c>
      <c r="S240" t="s">
        <v>5293</v>
      </c>
      <c r="T240" t="s">
        <v>1859</v>
      </c>
      <c r="U240" t="s">
        <v>1691</v>
      </c>
      <c r="V240" s="8" t="str">
        <f>"29429"</f>
        <v>29429</v>
      </c>
      <c r="W240" t="s">
        <v>118</v>
      </c>
      <c r="Y240" s="10">
        <v>18438869314</v>
      </c>
      <c r="AA240">
        <v>561730</v>
      </c>
      <c r="AB240" t="s">
        <v>5009</v>
      </c>
      <c r="AC240" t="s">
        <v>250</v>
      </c>
      <c r="AD240" t="s">
        <v>2297</v>
      </c>
      <c r="AE240" t="s">
        <v>629</v>
      </c>
      <c r="AF240" t="s">
        <v>5292</v>
      </c>
      <c r="AG240" t="s">
        <v>5293</v>
      </c>
      <c r="AH240" t="s">
        <v>1859</v>
      </c>
      <c r="AI240" t="s">
        <v>1691</v>
      </c>
      <c r="AJ240" s="8" t="str">
        <f>"29429"</f>
        <v>29429</v>
      </c>
      <c r="AK240" t="s">
        <v>118</v>
      </c>
      <c r="AM240" s="10">
        <v>18438869314</v>
      </c>
      <c r="AO240" t="s">
        <v>5294</v>
      </c>
      <c r="AP240" t="s">
        <v>248</v>
      </c>
      <c r="AQ240" t="s">
        <v>1860</v>
      </c>
      <c r="AR240" t="s">
        <v>1861</v>
      </c>
      <c r="AS240" t="s">
        <v>1862</v>
      </c>
      <c r="AT240" t="s">
        <v>1863</v>
      </c>
      <c r="AU240" t="s">
        <v>1864</v>
      </c>
      <c r="AV240" t="s">
        <v>1865</v>
      </c>
      <c r="AW240" t="s">
        <v>581</v>
      </c>
      <c r="AX240" s="8" t="str">
        <f>"24521"</f>
        <v>24521</v>
      </c>
      <c r="AY240" t="s">
        <v>118</v>
      </c>
      <c r="BA240" s="10">
        <v>14349460035</v>
      </c>
      <c r="BB240">
        <v>11</v>
      </c>
      <c r="BC240" t="s">
        <v>1866</v>
      </c>
      <c r="BD240" t="s">
        <v>1867</v>
      </c>
      <c r="BG240" t="s">
        <v>1691</v>
      </c>
      <c r="BH240" s="1">
        <v>45612.791666666664</v>
      </c>
      <c r="BI240">
        <v>35</v>
      </c>
      <c r="BJ240">
        <v>0</v>
      </c>
      <c r="BK240">
        <v>7</v>
      </c>
      <c r="BL240">
        <v>7</v>
      </c>
      <c r="BM240">
        <v>7</v>
      </c>
      <c r="BN240">
        <v>7</v>
      </c>
      <c r="BO240">
        <v>7</v>
      </c>
      <c r="BP240">
        <v>0</v>
      </c>
      <c r="BQ240" t="str">
        <f>"7:30 AM"</f>
        <v>7:30 AM</v>
      </c>
      <c r="BR240" t="str">
        <f>"3:30 PM"</f>
        <v>3:30 PM</v>
      </c>
      <c r="BS240" t="s">
        <v>131</v>
      </c>
      <c r="BT240">
        <v>0</v>
      </c>
      <c r="BU240">
        <v>0</v>
      </c>
      <c r="BV240" t="s">
        <v>114</v>
      </c>
      <c r="BX240" t="s">
        <v>20074</v>
      </c>
      <c r="BY240" t="s">
        <v>5292</v>
      </c>
      <c r="CA240" t="s">
        <v>1859</v>
      </c>
      <c r="CB240" t="s">
        <v>1691</v>
      </c>
      <c r="CC240" s="8" t="str">
        <f>"29429"</f>
        <v>29429</v>
      </c>
      <c r="CD240" t="s">
        <v>1868</v>
      </c>
      <c r="CE240" t="s">
        <v>1869</v>
      </c>
      <c r="CF240" s="12">
        <v>16.989999999999998</v>
      </c>
      <c r="CG240" s="12">
        <v>16.989999999999998</v>
      </c>
      <c r="CH240" s="12">
        <v>25.49</v>
      </c>
      <c r="CI240" s="12">
        <v>25.49</v>
      </c>
      <c r="CJ240" t="s">
        <v>135</v>
      </c>
      <c r="CK240" t="s">
        <v>17673</v>
      </c>
      <c r="CL240" t="s">
        <v>5295</v>
      </c>
      <c r="CO240" t="s">
        <v>132</v>
      </c>
      <c r="CP240" t="s">
        <v>136</v>
      </c>
      <c r="CQ240" t="s">
        <v>136</v>
      </c>
      <c r="CR240" t="s">
        <v>136</v>
      </c>
      <c r="CS240" t="s">
        <v>136</v>
      </c>
      <c r="CT240" t="s">
        <v>136</v>
      </c>
      <c r="CU240" t="s">
        <v>136</v>
      </c>
      <c r="CV240" t="s">
        <v>20075</v>
      </c>
      <c r="CW240" s="10" t="str">
        <f>"N/A"</f>
        <v>N/A</v>
      </c>
      <c r="CX240" t="s">
        <v>5296</v>
      </c>
      <c r="CY240" t="s">
        <v>5297</v>
      </c>
      <c r="CZ240" t="s">
        <v>137</v>
      </c>
      <c r="DA240" t="s">
        <v>114</v>
      </c>
      <c r="DB240" t="s">
        <v>136</v>
      </c>
      <c r="DC240" t="s">
        <v>136</v>
      </c>
      <c r="DD240" t="s">
        <v>114</v>
      </c>
    </row>
    <row r="241" spans="1:113" ht="15" customHeight="1" x14ac:dyDescent="0.25">
      <c r="A241" t="s">
        <v>19951</v>
      </c>
      <c r="B241" t="s">
        <v>152</v>
      </c>
      <c r="C241" s="1">
        <v>45245.496693634261</v>
      </c>
      <c r="D241" s="1">
        <v>45280</v>
      </c>
      <c r="E241" t="s">
        <v>132</v>
      </c>
      <c r="F241" t="s">
        <v>2744</v>
      </c>
      <c r="G241" t="str">
        <f>"37-3011.00"</f>
        <v>37-3011.00</v>
      </c>
      <c r="H241" t="s">
        <v>429</v>
      </c>
      <c r="I241">
        <v>11</v>
      </c>
      <c r="J241">
        <v>11</v>
      </c>
      <c r="K241" s="1">
        <v>45323</v>
      </c>
      <c r="L241" s="1">
        <v>45626</v>
      </c>
      <c r="M241" s="1">
        <v>45323</v>
      </c>
      <c r="N241" s="1">
        <v>45626</v>
      </c>
      <c r="O241" t="s">
        <v>116</v>
      </c>
      <c r="P241" t="s">
        <v>7500</v>
      </c>
      <c r="R241" t="s">
        <v>7501</v>
      </c>
      <c r="T241" t="s">
        <v>7502</v>
      </c>
      <c r="U241" t="s">
        <v>543</v>
      </c>
      <c r="V241" s="8" t="str">
        <f>"45013"</f>
        <v>45013</v>
      </c>
      <c r="W241" t="s">
        <v>118</v>
      </c>
      <c r="Y241" s="10">
        <v>15136877379</v>
      </c>
      <c r="AA241">
        <v>56173</v>
      </c>
      <c r="AB241" t="s">
        <v>7503</v>
      </c>
      <c r="AC241" t="s">
        <v>514</v>
      </c>
      <c r="AE241" t="s">
        <v>629</v>
      </c>
      <c r="AF241" t="s">
        <v>7504</v>
      </c>
      <c r="AH241" t="s">
        <v>7502</v>
      </c>
      <c r="AI241" t="s">
        <v>543</v>
      </c>
      <c r="AJ241" s="8" t="str">
        <f>"45013"</f>
        <v>45013</v>
      </c>
      <c r="AK241" t="s">
        <v>118</v>
      </c>
      <c r="AM241" s="10">
        <v>15136877379</v>
      </c>
      <c r="AO241" t="s">
        <v>132</v>
      </c>
      <c r="AP241" t="s">
        <v>121</v>
      </c>
      <c r="AQ241" t="s">
        <v>1172</v>
      </c>
      <c r="AR241" t="s">
        <v>1173</v>
      </c>
      <c r="AS241" t="s">
        <v>708</v>
      </c>
      <c r="AT241" t="s">
        <v>3325</v>
      </c>
      <c r="AV241" t="s">
        <v>603</v>
      </c>
      <c r="AW241" t="s">
        <v>127</v>
      </c>
      <c r="AX241" s="8" t="str">
        <f>"78705"</f>
        <v>78705</v>
      </c>
      <c r="AY241" t="s">
        <v>118</v>
      </c>
      <c r="BA241" s="10">
        <v>15123470007</v>
      </c>
      <c r="BC241" t="s">
        <v>1175</v>
      </c>
      <c r="BD241" t="s">
        <v>1176</v>
      </c>
      <c r="BE241" t="s">
        <v>127</v>
      </c>
      <c r="BF241" t="s">
        <v>750</v>
      </c>
      <c r="BG241" t="s">
        <v>1434</v>
      </c>
      <c r="BH241" s="1">
        <v>45244.791666666664</v>
      </c>
      <c r="BI241">
        <v>40</v>
      </c>
      <c r="BJ241">
        <v>0</v>
      </c>
      <c r="BK241">
        <v>8</v>
      </c>
      <c r="BL241">
        <v>8</v>
      </c>
      <c r="BM241">
        <v>8</v>
      </c>
      <c r="BN241">
        <v>8</v>
      </c>
      <c r="BO241">
        <v>8</v>
      </c>
      <c r="BP241">
        <v>0</v>
      </c>
      <c r="BQ241" t="str">
        <f>"7:00 AM"</f>
        <v>7:00 AM</v>
      </c>
      <c r="BR241" t="str">
        <f>"4:00 PM"</f>
        <v>4:00 PM</v>
      </c>
      <c r="BS241" t="s">
        <v>131</v>
      </c>
      <c r="BT241">
        <v>0</v>
      </c>
      <c r="BU241">
        <v>0</v>
      </c>
      <c r="BV241" t="s">
        <v>114</v>
      </c>
      <c r="BX241" t="s">
        <v>131</v>
      </c>
      <c r="BY241" t="s">
        <v>19952</v>
      </c>
      <c r="CA241" t="s">
        <v>2119</v>
      </c>
      <c r="CB241" t="s">
        <v>1434</v>
      </c>
      <c r="CC241" s="8" t="str">
        <f>"40299"</f>
        <v>40299</v>
      </c>
      <c r="CD241" t="s">
        <v>1767</v>
      </c>
      <c r="CE241" t="s">
        <v>1768</v>
      </c>
      <c r="CF241" s="12">
        <v>16</v>
      </c>
      <c r="CG241" s="12">
        <v>20</v>
      </c>
      <c r="CH241" s="12">
        <v>24</v>
      </c>
      <c r="CI241" s="12">
        <v>30</v>
      </c>
      <c r="CJ241" t="s">
        <v>135</v>
      </c>
      <c r="CK241" t="s">
        <v>19953</v>
      </c>
      <c r="CL241" t="s">
        <v>19954</v>
      </c>
      <c r="CO241" t="s">
        <v>132</v>
      </c>
      <c r="CP241" t="s">
        <v>136</v>
      </c>
      <c r="CQ241" t="s">
        <v>136</v>
      </c>
      <c r="CR241" t="s">
        <v>136</v>
      </c>
      <c r="CS241" t="s">
        <v>136</v>
      </c>
      <c r="CT241" t="s">
        <v>136</v>
      </c>
      <c r="CU241" t="s">
        <v>114</v>
      </c>
      <c r="CV241" t="s">
        <v>7508</v>
      </c>
      <c r="CW241" s="10" t="str">
        <f>"+15136877379"</f>
        <v>+15136877379</v>
      </c>
      <c r="CX241" t="s">
        <v>7509</v>
      </c>
      <c r="CY241" t="s">
        <v>132</v>
      </c>
      <c r="CZ241" t="s">
        <v>137</v>
      </c>
      <c r="DA241" t="s">
        <v>114</v>
      </c>
      <c r="DB241" t="s">
        <v>114</v>
      </c>
      <c r="DC241" t="s">
        <v>136</v>
      </c>
      <c r="DD241" t="s">
        <v>114</v>
      </c>
    </row>
    <row r="242" spans="1:113" ht="15" customHeight="1" x14ac:dyDescent="0.25">
      <c r="A242" t="s">
        <v>7499</v>
      </c>
      <c r="B242" t="s">
        <v>152</v>
      </c>
      <c r="C242" s="1">
        <v>45245.471874768518</v>
      </c>
      <c r="D242" s="1">
        <v>45280</v>
      </c>
      <c r="E242" t="s">
        <v>132</v>
      </c>
      <c r="F242" t="s">
        <v>2744</v>
      </c>
      <c r="G242" t="str">
        <f>"37-3011.00"</f>
        <v>37-3011.00</v>
      </c>
      <c r="H242" t="s">
        <v>429</v>
      </c>
      <c r="I242">
        <v>16</v>
      </c>
      <c r="J242">
        <v>16</v>
      </c>
      <c r="K242" s="1">
        <v>45323</v>
      </c>
      <c r="L242" s="1">
        <v>45626</v>
      </c>
      <c r="M242" s="1">
        <v>45323</v>
      </c>
      <c r="N242" s="1">
        <v>45626</v>
      </c>
      <c r="O242" t="s">
        <v>116</v>
      </c>
      <c r="P242" t="s">
        <v>7500</v>
      </c>
      <c r="R242" t="s">
        <v>7501</v>
      </c>
      <c r="T242" t="s">
        <v>7502</v>
      </c>
      <c r="U242" t="s">
        <v>543</v>
      </c>
      <c r="V242" s="8" t="str">
        <f>"45013"</f>
        <v>45013</v>
      </c>
      <c r="W242" t="s">
        <v>118</v>
      </c>
      <c r="Y242" s="10">
        <v>15136877379</v>
      </c>
      <c r="AA242">
        <v>56173</v>
      </c>
      <c r="AB242" t="s">
        <v>7503</v>
      </c>
      <c r="AC242" t="s">
        <v>514</v>
      </c>
      <c r="AE242" t="s">
        <v>629</v>
      </c>
      <c r="AF242" t="s">
        <v>7504</v>
      </c>
      <c r="AH242" t="s">
        <v>7502</v>
      </c>
      <c r="AI242" t="s">
        <v>543</v>
      </c>
      <c r="AJ242" s="8" t="str">
        <f>"45013"</f>
        <v>45013</v>
      </c>
      <c r="AK242" t="s">
        <v>118</v>
      </c>
      <c r="AM242" s="10">
        <v>15136877379</v>
      </c>
      <c r="AO242" t="s">
        <v>132</v>
      </c>
      <c r="AP242" t="s">
        <v>121</v>
      </c>
      <c r="AQ242" t="s">
        <v>1172</v>
      </c>
      <c r="AR242" t="s">
        <v>1173</v>
      </c>
      <c r="AS242" t="s">
        <v>708</v>
      </c>
      <c r="AT242" t="s">
        <v>3325</v>
      </c>
      <c r="AV242" t="s">
        <v>603</v>
      </c>
      <c r="AW242" t="s">
        <v>127</v>
      </c>
      <c r="AX242" s="8" t="str">
        <f>"78705"</f>
        <v>78705</v>
      </c>
      <c r="AY242" t="s">
        <v>118</v>
      </c>
      <c r="BA242" s="10">
        <v>15123470007</v>
      </c>
      <c r="BC242" t="s">
        <v>1175</v>
      </c>
      <c r="BD242" t="s">
        <v>1176</v>
      </c>
      <c r="BE242" t="s">
        <v>127</v>
      </c>
      <c r="BF242" t="s">
        <v>750</v>
      </c>
      <c r="BG242" t="s">
        <v>543</v>
      </c>
      <c r="BH242" s="1">
        <v>45244.791666666664</v>
      </c>
      <c r="BI242">
        <v>40</v>
      </c>
      <c r="BJ242">
        <v>0</v>
      </c>
      <c r="BK242">
        <v>8</v>
      </c>
      <c r="BL242">
        <v>8</v>
      </c>
      <c r="BM242">
        <v>8</v>
      </c>
      <c r="BN242">
        <v>8</v>
      </c>
      <c r="BO242">
        <v>8</v>
      </c>
      <c r="BP242">
        <v>0</v>
      </c>
      <c r="BQ242" t="str">
        <f>"7:00 AM"</f>
        <v>7:00 AM</v>
      </c>
      <c r="BR242" t="str">
        <f>"4:00 PM"</f>
        <v>4:00 PM</v>
      </c>
      <c r="BS242" t="s">
        <v>131</v>
      </c>
      <c r="BT242">
        <v>0</v>
      </c>
      <c r="BU242">
        <v>0</v>
      </c>
      <c r="BV242" t="s">
        <v>114</v>
      </c>
      <c r="BX242" t="s">
        <v>131</v>
      </c>
      <c r="BY242" t="s">
        <v>7505</v>
      </c>
      <c r="CA242" t="s">
        <v>3445</v>
      </c>
      <c r="CB242" t="s">
        <v>543</v>
      </c>
      <c r="CC242" s="8" t="str">
        <f>"43207"</f>
        <v>43207</v>
      </c>
      <c r="CD242" t="s">
        <v>535</v>
      </c>
      <c r="CE242" t="s">
        <v>2272</v>
      </c>
      <c r="CF242" s="12">
        <v>17.46</v>
      </c>
      <c r="CG242" s="12">
        <v>20</v>
      </c>
      <c r="CH242" s="12">
        <v>26.19</v>
      </c>
      <c r="CI242" s="12">
        <v>30</v>
      </c>
      <c r="CJ242" t="s">
        <v>135</v>
      </c>
      <c r="CK242" t="s">
        <v>7506</v>
      </c>
      <c r="CL242" t="s">
        <v>7507</v>
      </c>
      <c r="CO242" t="s">
        <v>132</v>
      </c>
      <c r="CP242" t="s">
        <v>136</v>
      </c>
      <c r="CQ242" t="s">
        <v>136</v>
      </c>
      <c r="CR242" t="s">
        <v>136</v>
      </c>
      <c r="CS242" t="s">
        <v>136</v>
      </c>
      <c r="CT242" t="s">
        <v>136</v>
      </c>
      <c r="CU242" t="s">
        <v>136</v>
      </c>
      <c r="CV242" t="s">
        <v>7508</v>
      </c>
      <c r="CW242" s="10" t="str">
        <f>"+15136877379"</f>
        <v>+15136877379</v>
      </c>
      <c r="CX242" t="s">
        <v>7509</v>
      </c>
      <c r="CY242" t="s">
        <v>132</v>
      </c>
      <c r="CZ242" t="s">
        <v>137</v>
      </c>
      <c r="DA242" t="s">
        <v>114</v>
      </c>
      <c r="DB242" t="s">
        <v>114</v>
      </c>
      <c r="DC242" t="s">
        <v>136</v>
      </c>
      <c r="DD242" t="s">
        <v>114</v>
      </c>
    </row>
    <row r="243" spans="1:113" ht="15" customHeight="1" x14ac:dyDescent="0.25">
      <c r="A243" t="s">
        <v>22141</v>
      </c>
      <c r="B243" t="s">
        <v>152</v>
      </c>
      <c r="C243" s="1">
        <v>45245.456598958335</v>
      </c>
      <c r="D243" s="1">
        <v>45280</v>
      </c>
      <c r="E243" t="s">
        <v>132</v>
      </c>
      <c r="F243" t="s">
        <v>2744</v>
      </c>
      <c r="G243" t="str">
        <f>"37-3011.00"</f>
        <v>37-3011.00</v>
      </c>
      <c r="H243" t="s">
        <v>429</v>
      </c>
      <c r="I243">
        <v>17</v>
      </c>
      <c r="J243">
        <v>17</v>
      </c>
      <c r="K243" s="1">
        <v>45323</v>
      </c>
      <c r="L243" s="1">
        <v>45626</v>
      </c>
      <c r="M243" s="1">
        <v>45323</v>
      </c>
      <c r="N243" s="1">
        <v>45626</v>
      </c>
      <c r="O243" t="s">
        <v>116</v>
      </c>
      <c r="P243" t="s">
        <v>7500</v>
      </c>
      <c r="R243" t="s">
        <v>7501</v>
      </c>
      <c r="T243" t="s">
        <v>7502</v>
      </c>
      <c r="U243" t="s">
        <v>543</v>
      </c>
      <c r="V243" s="8" t="str">
        <f>"45013"</f>
        <v>45013</v>
      </c>
      <c r="W243" t="s">
        <v>118</v>
      </c>
      <c r="Y243" s="10">
        <v>15136877379</v>
      </c>
      <c r="AA243">
        <v>56173</v>
      </c>
      <c r="AB243" t="s">
        <v>7503</v>
      </c>
      <c r="AC243" t="s">
        <v>514</v>
      </c>
      <c r="AE243" t="s">
        <v>629</v>
      </c>
      <c r="AF243" t="s">
        <v>7504</v>
      </c>
      <c r="AH243" t="s">
        <v>7502</v>
      </c>
      <c r="AI243" t="s">
        <v>543</v>
      </c>
      <c r="AJ243" s="8" t="str">
        <f>"45013"</f>
        <v>45013</v>
      </c>
      <c r="AK243" t="s">
        <v>118</v>
      </c>
      <c r="AM243" s="10">
        <v>15136877379</v>
      </c>
      <c r="AO243" t="s">
        <v>132</v>
      </c>
      <c r="AP243" t="s">
        <v>121</v>
      </c>
      <c r="AQ243" t="s">
        <v>1172</v>
      </c>
      <c r="AR243" t="s">
        <v>1173</v>
      </c>
      <c r="AS243" t="s">
        <v>708</v>
      </c>
      <c r="AT243" t="s">
        <v>3325</v>
      </c>
      <c r="AV243" t="s">
        <v>603</v>
      </c>
      <c r="AW243" t="s">
        <v>127</v>
      </c>
      <c r="AX243" s="8" t="str">
        <f>"78705"</f>
        <v>78705</v>
      </c>
      <c r="AY243" t="s">
        <v>118</v>
      </c>
      <c r="BA243" s="10">
        <v>15123470007</v>
      </c>
      <c r="BC243" t="s">
        <v>1175</v>
      </c>
      <c r="BD243" t="s">
        <v>1176</v>
      </c>
      <c r="BE243" t="s">
        <v>127</v>
      </c>
      <c r="BF243" t="s">
        <v>750</v>
      </c>
      <c r="BG243" t="s">
        <v>543</v>
      </c>
      <c r="BH243" s="1">
        <v>45244.791666666664</v>
      </c>
      <c r="BI243">
        <v>40</v>
      </c>
      <c r="BJ243">
        <v>0</v>
      </c>
      <c r="BK243">
        <v>8</v>
      </c>
      <c r="BL243">
        <v>8</v>
      </c>
      <c r="BM243">
        <v>8</v>
      </c>
      <c r="BN243">
        <v>8</v>
      </c>
      <c r="BO243">
        <v>8</v>
      </c>
      <c r="BP243">
        <v>0</v>
      </c>
      <c r="BQ243" t="str">
        <f>"7:00 AM"</f>
        <v>7:00 AM</v>
      </c>
      <c r="BR243" t="str">
        <f>"4:00 PM"</f>
        <v>4:00 PM</v>
      </c>
      <c r="BS243" t="s">
        <v>131</v>
      </c>
      <c r="BT243">
        <v>0</v>
      </c>
      <c r="BU243">
        <v>0</v>
      </c>
      <c r="BV243" t="s">
        <v>114</v>
      </c>
      <c r="BX243" t="s">
        <v>131</v>
      </c>
      <c r="BY243" t="s">
        <v>7504</v>
      </c>
      <c r="CA243" t="s">
        <v>7502</v>
      </c>
      <c r="CB243" t="s">
        <v>543</v>
      </c>
      <c r="CC243" s="8" t="str">
        <f>"45013"</f>
        <v>45013</v>
      </c>
      <c r="CD243" t="s">
        <v>4888</v>
      </c>
      <c r="CE243" t="s">
        <v>3443</v>
      </c>
      <c r="CF243" s="12">
        <v>16.690000000000001</v>
      </c>
      <c r="CG243" s="12">
        <v>20</v>
      </c>
      <c r="CH243" s="12">
        <v>25.04</v>
      </c>
      <c r="CI243" s="12">
        <v>30</v>
      </c>
      <c r="CJ243" t="s">
        <v>135</v>
      </c>
      <c r="CK243" t="s">
        <v>22142</v>
      </c>
      <c r="CL243" t="s">
        <v>22143</v>
      </c>
      <c r="CO243" t="s">
        <v>132</v>
      </c>
      <c r="CP243" t="s">
        <v>136</v>
      </c>
      <c r="CQ243" t="s">
        <v>136</v>
      </c>
      <c r="CR243" t="s">
        <v>136</v>
      </c>
      <c r="CS243" t="s">
        <v>136</v>
      </c>
      <c r="CT243" t="s">
        <v>136</v>
      </c>
      <c r="CU243" t="s">
        <v>136</v>
      </c>
      <c r="CV243" t="s">
        <v>7508</v>
      </c>
      <c r="CW243" s="10" t="str">
        <f>"+15136877379"</f>
        <v>+15136877379</v>
      </c>
      <c r="CX243" t="s">
        <v>7509</v>
      </c>
      <c r="CY243" t="s">
        <v>132</v>
      </c>
      <c r="CZ243" t="s">
        <v>137</v>
      </c>
      <c r="DA243" t="s">
        <v>114</v>
      </c>
      <c r="DB243" t="s">
        <v>114</v>
      </c>
      <c r="DC243" t="s">
        <v>136</v>
      </c>
      <c r="DD243" t="s">
        <v>114</v>
      </c>
    </row>
    <row r="244" spans="1:113" ht="15" customHeight="1" x14ac:dyDescent="0.25">
      <c r="A244" t="s">
        <v>12652</v>
      </c>
      <c r="B244" t="s">
        <v>152</v>
      </c>
      <c r="C244" s="1">
        <v>45110.691400694443</v>
      </c>
      <c r="D244" s="1">
        <v>45280</v>
      </c>
      <c r="E244" t="s">
        <v>114</v>
      </c>
      <c r="F244" t="s">
        <v>11993</v>
      </c>
      <c r="G244" t="str">
        <f>"31-1122.00"</f>
        <v>31-1122.00</v>
      </c>
      <c r="H244" t="s">
        <v>8076</v>
      </c>
      <c r="I244">
        <v>1</v>
      </c>
      <c r="J244">
        <v>1</v>
      </c>
      <c r="K244" s="1">
        <v>45200</v>
      </c>
      <c r="L244" s="1">
        <v>46295</v>
      </c>
      <c r="M244" s="1">
        <v>45200</v>
      </c>
      <c r="N244" s="1">
        <v>46295</v>
      </c>
      <c r="O244" t="s">
        <v>184</v>
      </c>
      <c r="P244" t="s">
        <v>12653</v>
      </c>
      <c r="R244" t="s">
        <v>12654</v>
      </c>
      <c r="T244" t="s">
        <v>126</v>
      </c>
      <c r="U244" t="s">
        <v>127</v>
      </c>
      <c r="V244" s="8" t="str">
        <f>"78249"</f>
        <v>78249</v>
      </c>
      <c r="W244" t="s">
        <v>118</v>
      </c>
      <c r="Y244" s="10">
        <v>12103918461</v>
      </c>
      <c r="AA244">
        <v>81411</v>
      </c>
      <c r="AB244" t="s">
        <v>12655</v>
      </c>
      <c r="AC244" t="s">
        <v>10960</v>
      </c>
      <c r="AD244" t="s">
        <v>145</v>
      </c>
      <c r="AE244" t="s">
        <v>12656</v>
      </c>
      <c r="AF244" t="s">
        <v>12654</v>
      </c>
      <c r="AH244" t="s">
        <v>126</v>
      </c>
      <c r="AI244" t="s">
        <v>127</v>
      </c>
      <c r="AJ244" s="8" t="str">
        <f>"78249"</f>
        <v>78249</v>
      </c>
      <c r="AK244" t="s">
        <v>118</v>
      </c>
      <c r="AM244" s="10">
        <v>12103918461</v>
      </c>
      <c r="AO244" t="s">
        <v>12657</v>
      </c>
      <c r="AP244" t="s">
        <v>121</v>
      </c>
      <c r="AQ244" t="s">
        <v>122</v>
      </c>
      <c r="AR244" t="s">
        <v>123</v>
      </c>
      <c r="AS244" t="s">
        <v>124</v>
      </c>
      <c r="AT244" t="s">
        <v>125</v>
      </c>
      <c r="AV244" t="s">
        <v>126</v>
      </c>
      <c r="AW244" t="s">
        <v>127</v>
      </c>
      <c r="AX244" s="8" t="str">
        <f>"78278"</f>
        <v>78278</v>
      </c>
      <c r="AY244" t="s">
        <v>118</v>
      </c>
      <c r="BA244" s="10">
        <v>12102513972</v>
      </c>
      <c r="BC244" t="s">
        <v>128</v>
      </c>
      <c r="BD244" t="s">
        <v>129</v>
      </c>
      <c r="BE244" t="s">
        <v>127</v>
      </c>
      <c r="BF244" t="s">
        <v>12658</v>
      </c>
      <c r="BG244" t="s">
        <v>127</v>
      </c>
      <c r="BH244" s="1">
        <v>45109.833333333336</v>
      </c>
      <c r="BI244">
        <v>40</v>
      </c>
      <c r="BJ244">
        <v>0</v>
      </c>
      <c r="BK244">
        <v>7</v>
      </c>
      <c r="BL244">
        <v>7</v>
      </c>
      <c r="BM244">
        <v>7</v>
      </c>
      <c r="BN244">
        <v>7</v>
      </c>
      <c r="BO244">
        <v>7</v>
      </c>
      <c r="BP244">
        <v>5</v>
      </c>
      <c r="BQ244" t="str">
        <f>"8:00 AM"</f>
        <v>8:00 AM</v>
      </c>
      <c r="BR244" t="str">
        <f>"4:00 PM"</f>
        <v>4:00 PM</v>
      </c>
      <c r="BS244" t="s">
        <v>147</v>
      </c>
      <c r="BT244">
        <v>0</v>
      </c>
      <c r="BU244">
        <v>0</v>
      </c>
      <c r="BV244" t="s">
        <v>114</v>
      </c>
      <c r="BX244" t="s">
        <v>132</v>
      </c>
      <c r="BY244" t="s">
        <v>12654</v>
      </c>
      <c r="CA244" t="s">
        <v>126</v>
      </c>
      <c r="CB244" t="s">
        <v>127</v>
      </c>
      <c r="CC244" s="8" t="str">
        <f>"78249"</f>
        <v>78249</v>
      </c>
      <c r="CD244" t="s">
        <v>1941</v>
      </c>
      <c r="CE244" t="s">
        <v>1287</v>
      </c>
      <c r="CF244" s="12">
        <v>10.63</v>
      </c>
      <c r="CJ244" t="s">
        <v>135</v>
      </c>
      <c r="CL244" t="s">
        <v>12659</v>
      </c>
      <c r="CO244" t="s">
        <v>132</v>
      </c>
      <c r="CP244" t="s">
        <v>114</v>
      </c>
      <c r="CQ244" t="s">
        <v>114</v>
      </c>
      <c r="CR244" t="s">
        <v>114</v>
      </c>
      <c r="CS244" t="s">
        <v>136</v>
      </c>
      <c r="CT244" t="s">
        <v>136</v>
      </c>
      <c r="CU244" t="s">
        <v>136</v>
      </c>
      <c r="CV244" t="s">
        <v>12660</v>
      </c>
      <c r="CW244" s="10" t="str">
        <f>"+12103918461"</f>
        <v>+12103918461</v>
      </c>
      <c r="CX244" t="s">
        <v>12657</v>
      </c>
      <c r="CY244" t="s">
        <v>132</v>
      </c>
      <c r="CZ244" t="s">
        <v>137</v>
      </c>
      <c r="DA244" t="s">
        <v>114</v>
      </c>
      <c r="DB244" t="s">
        <v>114</v>
      </c>
      <c r="DC244" t="s">
        <v>136</v>
      </c>
      <c r="DD244" t="s">
        <v>114</v>
      </c>
    </row>
    <row r="245" spans="1:113" ht="15" customHeight="1" x14ac:dyDescent="0.25">
      <c r="A245" t="s">
        <v>3764</v>
      </c>
      <c r="B245" t="s">
        <v>152</v>
      </c>
      <c r="C245" s="1">
        <v>45254.000125462961</v>
      </c>
      <c r="D245" s="1">
        <v>45279</v>
      </c>
      <c r="E245" t="s">
        <v>132</v>
      </c>
      <c r="F245" t="s">
        <v>3765</v>
      </c>
      <c r="G245" t="str">
        <f>"35-3023.00"</f>
        <v>35-3023.00</v>
      </c>
      <c r="H245" t="s">
        <v>1365</v>
      </c>
      <c r="I245">
        <v>11</v>
      </c>
      <c r="J245">
        <v>11</v>
      </c>
      <c r="K245" s="1">
        <v>45344</v>
      </c>
      <c r="L245" s="1">
        <v>45596</v>
      </c>
      <c r="M245" s="1">
        <v>45344</v>
      </c>
      <c r="N245" s="1">
        <v>45596</v>
      </c>
      <c r="O245" t="s">
        <v>238</v>
      </c>
      <c r="P245" t="s">
        <v>3766</v>
      </c>
      <c r="R245" t="s">
        <v>3767</v>
      </c>
      <c r="T245" t="s">
        <v>3768</v>
      </c>
      <c r="U245" t="s">
        <v>543</v>
      </c>
      <c r="V245" s="8" t="str">
        <f>"43701"</f>
        <v>43701</v>
      </c>
      <c r="W245" t="s">
        <v>118</v>
      </c>
      <c r="Y245" s="10">
        <v>14404781884</v>
      </c>
      <c r="AA245">
        <v>72233</v>
      </c>
      <c r="AB245" t="s">
        <v>2599</v>
      </c>
      <c r="AC245" t="s">
        <v>894</v>
      </c>
      <c r="AE245" t="s">
        <v>561</v>
      </c>
      <c r="AF245" t="s">
        <v>3767</v>
      </c>
      <c r="AH245" t="s">
        <v>3768</v>
      </c>
      <c r="AI245" t="s">
        <v>543</v>
      </c>
      <c r="AJ245" s="8" t="str">
        <f>"43701"</f>
        <v>43701</v>
      </c>
      <c r="AK245" t="s">
        <v>118</v>
      </c>
      <c r="AM245" s="10">
        <v>14404781884</v>
      </c>
      <c r="AO245" t="s">
        <v>3769</v>
      </c>
      <c r="AP245" t="s">
        <v>248</v>
      </c>
      <c r="AQ245" t="s">
        <v>960</v>
      </c>
      <c r="AR245" t="s">
        <v>961</v>
      </c>
      <c r="AS245" t="s">
        <v>962</v>
      </c>
      <c r="AT245" t="s">
        <v>963</v>
      </c>
      <c r="AU245" t="s">
        <v>296</v>
      </c>
      <c r="AV245" t="s">
        <v>964</v>
      </c>
      <c r="AW245" t="s">
        <v>127</v>
      </c>
      <c r="AX245" s="8" t="str">
        <f>"75033"</f>
        <v>75033</v>
      </c>
      <c r="AY245" t="s">
        <v>118</v>
      </c>
      <c r="BA245" s="10">
        <v>19727789690</v>
      </c>
      <c r="BC245" t="s">
        <v>1388</v>
      </c>
      <c r="BD245" t="s">
        <v>966</v>
      </c>
      <c r="BG245" t="s">
        <v>543</v>
      </c>
      <c r="BH245" s="1">
        <v>45253.791666666664</v>
      </c>
      <c r="BI245">
        <v>40</v>
      </c>
      <c r="BJ245">
        <v>8</v>
      </c>
      <c r="BK245">
        <v>8</v>
      </c>
      <c r="BL245">
        <v>0</v>
      </c>
      <c r="BM245">
        <v>0</v>
      </c>
      <c r="BN245">
        <v>8</v>
      </c>
      <c r="BO245">
        <v>8</v>
      </c>
      <c r="BP245">
        <v>8</v>
      </c>
      <c r="BQ245" t="str">
        <f>"10:00 AM"</f>
        <v>10:00 AM</v>
      </c>
      <c r="BR245" t="str">
        <f>"7:00 PM"</f>
        <v>7:00 PM</v>
      </c>
      <c r="BS245" t="s">
        <v>131</v>
      </c>
      <c r="BT245">
        <v>0</v>
      </c>
      <c r="BU245">
        <v>0</v>
      </c>
      <c r="BV245" t="s">
        <v>114</v>
      </c>
      <c r="BX245" s="2" t="s">
        <v>3770</v>
      </c>
      <c r="BY245" t="s">
        <v>3771</v>
      </c>
      <c r="CA245" t="s">
        <v>2836</v>
      </c>
      <c r="CB245" t="s">
        <v>543</v>
      </c>
      <c r="CC245" s="8" t="str">
        <f>"44135"</f>
        <v>44135</v>
      </c>
      <c r="CD245" t="s">
        <v>1838</v>
      </c>
      <c r="CE245" t="s">
        <v>1839</v>
      </c>
      <c r="CF245" s="12">
        <v>11.43</v>
      </c>
      <c r="CG245" s="12">
        <v>12.65</v>
      </c>
      <c r="CH245" s="12">
        <v>17.149999999999999</v>
      </c>
      <c r="CI245" s="12">
        <v>18.98</v>
      </c>
      <c r="CJ245" t="s">
        <v>135</v>
      </c>
      <c r="CK245" t="s">
        <v>3772</v>
      </c>
      <c r="CL245" t="s">
        <v>3773</v>
      </c>
      <c r="CO245" t="s">
        <v>132</v>
      </c>
      <c r="CP245" t="s">
        <v>136</v>
      </c>
      <c r="CQ245" t="s">
        <v>136</v>
      </c>
      <c r="CR245" t="s">
        <v>136</v>
      </c>
      <c r="CS245" t="s">
        <v>136</v>
      </c>
      <c r="CT245" t="s">
        <v>136</v>
      </c>
      <c r="CU245" t="s">
        <v>136</v>
      </c>
      <c r="CV245" s="2" t="s">
        <v>3774</v>
      </c>
      <c r="CW245" s="10" t="str">
        <f>"+14404781884"</f>
        <v>+14404781884</v>
      </c>
      <c r="CX245" t="s">
        <v>132</v>
      </c>
      <c r="CY245" t="s">
        <v>3775</v>
      </c>
      <c r="CZ245" t="s">
        <v>137</v>
      </c>
      <c r="DA245" t="s">
        <v>114</v>
      </c>
      <c r="DB245" t="s">
        <v>136</v>
      </c>
      <c r="DC245" t="s">
        <v>136</v>
      </c>
      <c r="DD245" t="s">
        <v>114</v>
      </c>
    </row>
    <row r="246" spans="1:113" ht="15" customHeight="1" x14ac:dyDescent="0.25">
      <c r="A246" t="s">
        <v>20174</v>
      </c>
      <c r="B246" t="s">
        <v>152</v>
      </c>
      <c r="C246" s="1">
        <v>45252.631594560182</v>
      </c>
      <c r="D246" s="1">
        <v>45279</v>
      </c>
      <c r="E246" t="s">
        <v>132</v>
      </c>
      <c r="F246" t="s">
        <v>1595</v>
      </c>
      <c r="G246" t="str">
        <f>"37-3011.00"</f>
        <v>37-3011.00</v>
      </c>
      <c r="H246" t="s">
        <v>429</v>
      </c>
      <c r="I246">
        <v>36</v>
      </c>
      <c r="J246">
        <v>36</v>
      </c>
      <c r="K246" s="1">
        <v>45341</v>
      </c>
      <c r="L246" s="1">
        <v>45641</v>
      </c>
      <c r="M246" s="1">
        <v>45341</v>
      </c>
      <c r="N246" s="1">
        <v>45641</v>
      </c>
      <c r="O246" t="s">
        <v>238</v>
      </c>
      <c r="P246" t="s">
        <v>14828</v>
      </c>
      <c r="R246" t="s">
        <v>14829</v>
      </c>
      <c r="S246" t="s">
        <v>132</v>
      </c>
      <c r="T246" t="s">
        <v>14830</v>
      </c>
      <c r="U246" t="s">
        <v>2194</v>
      </c>
      <c r="V246" s="8" t="str">
        <f>"03049"</f>
        <v>03049</v>
      </c>
      <c r="W246" t="s">
        <v>118</v>
      </c>
      <c r="X246" t="s">
        <v>132</v>
      </c>
      <c r="Y246" s="10">
        <v>16038825835</v>
      </c>
      <c r="AA246">
        <v>561730</v>
      </c>
      <c r="AB246" t="s">
        <v>14831</v>
      </c>
      <c r="AC246" t="s">
        <v>1945</v>
      </c>
      <c r="AD246" t="s">
        <v>2057</v>
      </c>
      <c r="AE246" t="s">
        <v>629</v>
      </c>
      <c r="AF246" t="s">
        <v>14829</v>
      </c>
      <c r="AG246" t="s">
        <v>132</v>
      </c>
      <c r="AH246" t="s">
        <v>14830</v>
      </c>
      <c r="AI246" t="s">
        <v>2194</v>
      </c>
      <c r="AJ246" s="8" t="str">
        <f>"03049"</f>
        <v>03049</v>
      </c>
      <c r="AK246" t="s">
        <v>118</v>
      </c>
      <c r="AM246" s="10">
        <v>16038825835</v>
      </c>
      <c r="AO246" t="s">
        <v>14832</v>
      </c>
      <c r="AX246" s="8" t="str">
        <f>""</f>
        <v/>
      </c>
      <c r="BG246" t="s">
        <v>2194</v>
      </c>
      <c r="BH246" s="1">
        <v>45253.791666666664</v>
      </c>
      <c r="BI246">
        <v>40</v>
      </c>
      <c r="BJ246">
        <v>0</v>
      </c>
      <c r="BK246">
        <v>8</v>
      </c>
      <c r="BL246">
        <v>8</v>
      </c>
      <c r="BM246">
        <v>8</v>
      </c>
      <c r="BN246">
        <v>8</v>
      </c>
      <c r="BO246">
        <v>8</v>
      </c>
      <c r="BP246">
        <v>0</v>
      </c>
      <c r="BQ246" t="str">
        <f>"7:00 AM"</f>
        <v>7:00 AM</v>
      </c>
      <c r="BR246" t="str">
        <f>"4:00 PM"</f>
        <v>4:00 PM</v>
      </c>
      <c r="BS246" t="s">
        <v>131</v>
      </c>
      <c r="BT246">
        <v>0</v>
      </c>
      <c r="BU246">
        <v>0</v>
      </c>
      <c r="BV246" t="s">
        <v>114</v>
      </c>
      <c r="BX246" s="2" t="s">
        <v>14833</v>
      </c>
      <c r="BY246" t="s">
        <v>14829</v>
      </c>
      <c r="CA246" t="s">
        <v>14830</v>
      </c>
      <c r="CB246" t="s">
        <v>2194</v>
      </c>
      <c r="CC246" s="8" t="str">
        <f>"03049-6563"</f>
        <v>03049-6563</v>
      </c>
      <c r="CD246" t="s">
        <v>14834</v>
      </c>
      <c r="CE246" t="s">
        <v>2399</v>
      </c>
      <c r="CF246" s="12">
        <v>21.78</v>
      </c>
      <c r="CG246" s="12">
        <v>21.78</v>
      </c>
      <c r="CH246" s="12">
        <v>32.67</v>
      </c>
      <c r="CI246" s="12">
        <v>32.67</v>
      </c>
      <c r="CJ246" t="s">
        <v>135</v>
      </c>
      <c r="CK246" t="s">
        <v>20175</v>
      </c>
      <c r="CL246" t="s">
        <v>20176</v>
      </c>
      <c r="CO246" t="s">
        <v>132</v>
      </c>
      <c r="CP246" t="s">
        <v>136</v>
      </c>
      <c r="CQ246" t="s">
        <v>136</v>
      </c>
      <c r="CR246" t="s">
        <v>136</v>
      </c>
      <c r="CS246" t="s">
        <v>136</v>
      </c>
      <c r="CT246" t="s">
        <v>136</v>
      </c>
      <c r="CU246" t="s">
        <v>136</v>
      </c>
      <c r="CV246" s="2" t="s">
        <v>20177</v>
      </c>
      <c r="CW246" s="10" t="str">
        <f>"+16038825835"</f>
        <v>+16038825835</v>
      </c>
      <c r="CX246" t="s">
        <v>14832</v>
      </c>
      <c r="CY246" t="s">
        <v>132</v>
      </c>
      <c r="CZ246" t="s">
        <v>137</v>
      </c>
      <c r="DA246" t="s">
        <v>114</v>
      </c>
      <c r="DB246" t="s">
        <v>114</v>
      </c>
      <c r="DC246" t="s">
        <v>136</v>
      </c>
      <c r="DD246" t="s">
        <v>114</v>
      </c>
    </row>
    <row r="247" spans="1:113" ht="15" customHeight="1" x14ac:dyDescent="0.25">
      <c r="A247" t="s">
        <v>7510</v>
      </c>
      <c r="B247" t="s">
        <v>152</v>
      </c>
      <c r="C247" s="1">
        <v>45252.557567708332</v>
      </c>
      <c r="D247" s="1">
        <v>45279</v>
      </c>
      <c r="E247" t="s">
        <v>132</v>
      </c>
      <c r="F247" t="s">
        <v>1595</v>
      </c>
      <c r="G247" t="str">
        <f>"37-3011.00"</f>
        <v>37-3011.00</v>
      </c>
      <c r="H247" t="s">
        <v>429</v>
      </c>
      <c r="I247">
        <v>9</v>
      </c>
      <c r="J247">
        <v>9</v>
      </c>
      <c r="K247" s="1">
        <v>45342</v>
      </c>
      <c r="L247" s="1">
        <v>45616</v>
      </c>
      <c r="M247" s="1">
        <v>45342</v>
      </c>
      <c r="N247" s="1">
        <v>45616</v>
      </c>
      <c r="O247" t="s">
        <v>116</v>
      </c>
      <c r="P247" t="s">
        <v>7511</v>
      </c>
      <c r="R247" t="s">
        <v>7512</v>
      </c>
      <c r="T247" t="s">
        <v>985</v>
      </c>
      <c r="U247" t="s">
        <v>127</v>
      </c>
      <c r="V247" s="8" t="str">
        <f>"75002"</f>
        <v>75002</v>
      </c>
      <c r="W247" t="s">
        <v>118</v>
      </c>
      <c r="Y247" s="10">
        <v>12144574177</v>
      </c>
      <c r="AA247">
        <v>56173</v>
      </c>
      <c r="AB247" t="s">
        <v>7513</v>
      </c>
      <c r="AC247" t="s">
        <v>1348</v>
      </c>
      <c r="AE247" t="s">
        <v>561</v>
      </c>
      <c r="AF247" t="s">
        <v>7512</v>
      </c>
      <c r="AH247" t="s">
        <v>985</v>
      </c>
      <c r="AI247" t="s">
        <v>127</v>
      </c>
      <c r="AJ247" s="8" t="str">
        <f>"75002"</f>
        <v>75002</v>
      </c>
      <c r="AK247" t="s">
        <v>118</v>
      </c>
      <c r="AM247" s="10">
        <v>12144574177</v>
      </c>
      <c r="AO247" t="s">
        <v>7514</v>
      </c>
      <c r="AP247" t="s">
        <v>248</v>
      </c>
      <c r="AQ247" t="s">
        <v>3017</v>
      </c>
      <c r="AR247" t="s">
        <v>3018</v>
      </c>
      <c r="AT247" t="s">
        <v>3371</v>
      </c>
      <c r="AV247" t="s">
        <v>1168</v>
      </c>
      <c r="AW247" t="s">
        <v>127</v>
      </c>
      <c r="AX247" s="8" t="str">
        <f>"75098"</f>
        <v>75098</v>
      </c>
      <c r="AY247" t="s">
        <v>118</v>
      </c>
      <c r="BA247" s="10">
        <v>19724424244</v>
      </c>
      <c r="BC247" t="s">
        <v>3372</v>
      </c>
      <c r="BD247" t="s">
        <v>3021</v>
      </c>
      <c r="BG247" t="s">
        <v>127</v>
      </c>
      <c r="BH247" s="1">
        <v>45251.791666666664</v>
      </c>
      <c r="BI247">
        <v>40</v>
      </c>
      <c r="BJ247">
        <v>0</v>
      </c>
      <c r="BK247">
        <v>8</v>
      </c>
      <c r="BL247">
        <v>8</v>
      </c>
      <c r="BM247">
        <v>8</v>
      </c>
      <c r="BN247">
        <v>8</v>
      </c>
      <c r="BO247">
        <v>8</v>
      </c>
      <c r="BP247">
        <v>0</v>
      </c>
      <c r="BQ247" t="str">
        <f>"7:00 AM"</f>
        <v>7:00 AM</v>
      </c>
      <c r="BR247" t="str">
        <f>"5:00 PM"</f>
        <v>5:00 PM</v>
      </c>
      <c r="BS247" t="s">
        <v>131</v>
      </c>
      <c r="BT247">
        <v>0</v>
      </c>
      <c r="BU247">
        <v>0</v>
      </c>
      <c r="BV247" t="s">
        <v>114</v>
      </c>
      <c r="BX247" t="s">
        <v>1480</v>
      </c>
      <c r="BY247" t="s">
        <v>7512</v>
      </c>
      <c r="CA247" t="s">
        <v>985</v>
      </c>
      <c r="CB247" t="s">
        <v>127</v>
      </c>
      <c r="CC247" s="8" t="str">
        <f>"75002"</f>
        <v>75002</v>
      </c>
      <c r="CD247" t="s">
        <v>1177</v>
      </c>
      <c r="CE247" t="s">
        <v>263</v>
      </c>
      <c r="CF247" s="12">
        <v>16.86</v>
      </c>
      <c r="CG247" s="12">
        <v>18.86</v>
      </c>
      <c r="CH247" s="12">
        <v>25.29</v>
      </c>
      <c r="CI247" s="12">
        <v>28.29</v>
      </c>
      <c r="CJ247" t="s">
        <v>135</v>
      </c>
      <c r="CL247" t="s">
        <v>7515</v>
      </c>
      <c r="CO247" t="s">
        <v>132</v>
      </c>
      <c r="CP247" t="s">
        <v>136</v>
      </c>
      <c r="CQ247" t="s">
        <v>136</v>
      </c>
      <c r="CR247" t="s">
        <v>136</v>
      </c>
      <c r="CS247" t="s">
        <v>136</v>
      </c>
      <c r="CT247" t="s">
        <v>136</v>
      </c>
      <c r="CU247" t="s">
        <v>136</v>
      </c>
      <c r="CV247" t="s">
        <v>7416</v>
      </c>
      <c r="CW247" s="10" t="str">
        <f>"+12144574177"</f>
        <v>+12144574177</v>
      </c>
      <c r="CX247" t="s">
        <v>132</v>
      </c>
      <c r="CY247" t="s">
        <v>3190</v>
      </c>
      <c r="CZ247" t="s">
        <v>137</v>
      </c>
      <c r="DA247" t="s">
        <v>114</v>
      </c>
      <c r="DB247" t="s">
        <v>114</v>
      </c>
      <c r="DC247" t="s">
        <v>136</v>
      </c>
      <c r="DD247" t="s">
        <v>114</v>
      </c>
    </row>
    <row r="248" spans="1:113" ht="15" customHeight="1" x14ac:dyDescent="0.25">
      <c r="A248" t="s">
        <v>21107</v>
      </c>
      <c r="B248" t="s">
        <v>152</v>
      </c>
      <c r="C248" s="1">
        <v>45252.532129629632</v>
      </c>
      <c r="D248" s="1">
        <v>45279</v>
      </c>
      <c r="E248" t="s">
        <v>132</v>
      </c>
      <c r="F248" t="s">
        <v>7480</v>
      </c>
      <c r="G248" t="str">
        <f>"37-3011.00"</f>
        <v>37-3011.00</v>
      </c>
      <c r="H248" t="s">
        <v>429</v>
      </c>
      <c r="I248">
        <v>25</v>
      </c>
      <c r="J248">
        <v>25</v>
      </c>
      <c r="K248" s="1">
        <v>45342</v>
      </c>
      <c r="L248" s="1">
        <v>45627</v>
      </c>
      <c r="M248" s="1">
        <v>45342</v>
      </c>
      <c r="N248" s="1">
        <v>45627</v>
      </c>
      <c r="O248" t="s">
        <v>238</v>
      </c>
      <c r="P248" t="s">
        <v>21108</v>
      </c>
      <c r="R248" t="s">
        <v>21109</v>
      </c>
      <c r="T248" t="s">
        <v>21110</v>
      </c>
      <c r="U248" t="s">
        <v>2262</v>
      </c>
      <c r="V248" s="8" t="str">
        <f>"06033"</f>
        <v>06033</v>
      </c>
      <c r="W248" t="s">
        <v>118</v>
      </c>
      <c r="Y248" s="10">
        <v>18606330115</v>
      </c>
      <c r="AA248">
        <v>56173</v>
      </c>
      <c r="AB248" t="s">
        <v>21111</v>
      </c>
      <c r="AC248" t="s">
        <v>21112</v>
      </c>
      <c r="AD248" t="s">
        <v>475</v>
      </c>
      <c r="AE248" t="s">
        <v>1119</v>
      </c>
      <c r="AF248" t="s">
        <v>21113</v>
      </c>
      <c r="AH248" t="s">
        <v>21114</v>
      </c>
      <c r="AI248" t="s">
        <v>2262</v>
      </c>
      <c r="AJ248" s="8" t="str">
        <f>"06033"</f>
        <v>06033</v>
      </c>
      <c r="AK248" t="s">
        <v>118</v>
      </c>
      <c r="AM248" s="10">
        <v>18606330115</v>
      </c>
      <c r="AO248" t="s">
        <v>21115</v>
      </c>
      <c r="AP248" t="s">
        <v>248</v>
      </c>
      <c r="AQ248" t="s">
        <v>5168</v>
      </c>
      <c r="AR248" t="s">
        <v>2187</v>
      </c>
      <c r="AS248" t="s">
        <v>628</v>
      </c>
      <c r="AT248" t="s">
        <v>5169</v>
      </c>
      <c r="AV248" t="s">
        <v>5170</v>
      </c>
      <c r="AW248" t="s">
        <v>581</v>
      </c>
      <c r="AX248" s="8" t="str">
        <f>"23505"</f>
        <v>23505</v>
      </c>
      <c r="AY248" t="s">
        <v>118</v>
      </c>
      <c r="BA248" s="10">
        <v>18043019607</v>
      </c>
      <c r="BC248" t="s">
        <v>5171</v>
      </c>
      <c r="BD248" t="s">
        <v>5172</v>
      </c>
      <c r="BG248" t="s">
        <v>2262</v>
      </c>
      <c r="BH248" s="1">
        <v>45251.791666666664</v>
      </c>
      <c r="BI248">
        <v>40</v>
      </c>
      <c r="BJ248">
        <v>0</v>
      </c>
      <c r="BK248">
        <v>8</v>
      </c>
      <c r="BL248">
        <v>8</v>
      </c>
      <c r="BM248">
        <v>8</v>
      </c>
      <c r="BN248">
        <v>8</v>
      </c>
      <c r="BO248">
        <v>8</v>
      </c>
      <c r="BP248">
        <v>0</v>
      </c>
      <c r="BQ248" t="str">
        <f>"7:00 AM"</f>
        <v>7:00 AM</v>
      </c>
      <c r="BR248" t="str">
        <f>"4:00 PM"</f>
        <v>4:00 PM</v>
      </c>
      <c r="BS248" t="s">
        <v>131</v>
      </c>
      <c r="BT248">
        <v>0</v>
      </c>
      <c r="BU248">
        <v>3</v>
      </c>
      <c r="BV248" t="s">
        <v>114</v>
      </c>
      <c r="BX248" s="2" t="s">
        <v>21116</v>
      </c>
      <c r="BY248" t="s">
        <v>21113</v>
      </c>
      <c r="CA248" t="s">
        <v>21114</v>
      </c>
      <c r="CB248" t="s">
        <v>2262</v>
      </c>
      <c r="CC248" s="8" t="str">
        <f>"06033"</f>
        <v>06033</v>
      </c>
      <c r="CD248" t="s">
        <v>2268</v>
      </c>
      <c r="CE248" t="s">
        <v>2269</v>
      </c>
      <c r="CF248" s="12">
        <v>19.7</v>
      </c>
      <c r="CG248" s="12">
        <v>19.7</v>
      </c>
      <c r="CH248" s="12">
        <v>29.55</v>
      </c>
      <c r="CI248" s="12">
        <v>29.55</v>
      </c>
      <c r="CJ248" t="s">
        <v>135</v>
      </c>
      <c r="CK248" t="s">
        <v>9476</v>
      </c>
      <c r="CL248" t="s">
        <v>21117</v>
      </c>
      <c r="CO248" t="s">
        <v>132</v>
      </c>
      <c r="CP248" t="s">
        <v>136</v>
      </c>
      <c r="CQ248" t="s">
        <v>136</v>
      </c>
      <c r="CR248" t="s">
        <v>136</v>
      </c>
      <c r="CS248" t="s">
        <v>114</v>
      </c>
      <c r="CT248" t="s">
        <v>136</v>
      </c>
      <c r="CU248" t="s">
        <v>114</v>
      </c>
      <c r="CV248" t="s">
        <v>5173</v>
      </c>
      <c r="CW248" s="10" t="str">
        <f>"+18606330115"</f>
        <v>+18606330115</v>
      </c>
      <c r="CX248" t="s">
        <v>21118</v>
      </c>
      <c r="CY248" t="s">
        <v>132</v>
      </c>
      <c r="CZ248" t="s">
        <v>137</v>
      </c>
      <c r="DA248" t="s">
        <v>114</v>
      </c>
      <c r="DB248" t="s">
        <v>136</v>
      </c>
      <c r="DC248" t="s">
        <v>136</v>
      </c>
      <c r="DD248" t="s">
        <v>114</v>
      </c>
      <c r="DE248" t="s">
        <v>5168</v>
      </c>
      <c r="DF248" t="s">
        <v>2187</v>
      </c>
      <c r="DG248" t="s">
        <v>628</v>
      </c>
      <c r="DH248" t="s">
        <v>5172</v>
      </c>
      <c r="DI248" t="s">
        <v>5171</v>
      </c>
    </row>
    <row r="249" spans="1:113" ht="15" customHeight="1" x14ac:dyDescent="0.25">
      <c r="A249" t="s">
        <v>5841</v>
      </c>
      <c r="B249" t="s">
        <v>152</v>
      </c>
      <c r="C249" s="1">
        <v>45252.44416875</v>
      </c>
      <c r="D249" s="1">
        <v>45279</v>
      </c>
      <c r="E249" t="s">
        <v>132</v>
      </c>
      <c r="F249" t="s">
        <v>5842</v>
      </c>
      <c r="G249" t="str">
        <f>"35-3031.00"</f>
        <v>35-3031.00</v>
      </c>
      <c r="H249" t="s">
        <v>347</v>
      </c>
      <c r="I249">
        <v>28</v>
      </c>
      <c r="J249">
        <v>28</v>
      </c>
      <c r="K249" s="1">
        <v>45342</v>
      </c>
      <c r="L249" s="1">
        <v>45626</v>
      </c>
      <c r="M249" s="1">
        <v>45342</v>
      </c>
      <c r="N249" s="1">
        <v>45626</v>
      </c>
      <c r="O249" t="s">
        <v>116</v>
      </c>
      <c r="P249" t="s">
        <v>5661</v>
      </c>
      <c r="R249" t="s">
        <v>5662</v>
      </c>
      <c r="T249" t="s">
        <v>3413</v>
      </c>
      <c r="U249" t="s">
        <v>1691</v>
      </c>
      <c r="V249" s="8" t="str">
        <f>"29928"</f>
        <v>29928</v>
      </c>
      <c r="W249" t="s">
        <v>118</v>
      </c>
      <c r="Y249" s="10">
        <v>18438421882</v>
      </c>
      <c r="AA249">
        <v>72111</v>
      </c>
      <c r="AB249" t="s">
        <v>5663</v>
      </c>
      <c r="AC249" t="s">
        <v>5664</v>
      </c>
      <c r="AE249" t="s">
        <v>5665</v>
      </c>
      <c r="AF249" t="s">
        <v>5666</v>
      </c>
      <c r="AH249" t="s">
        <v>3413</v>
      </c>
      <c r="AI249" t="s">
        <v>1691</v>
      </c>
      <c r="AJ249" s="8" t="str">
        <f>"29928"</f>
        <v>29928</v>
      </c>
      <c r="AK249" t="s">
        <v>118</v>
      </c>
      <c r="AM249" s="10">
        <v>18438421882</v>
      </c>
      <c r="AO249" t="s">
        <v>5667</v>
      </c>
      <c r="AP249" t="s">
        <v>248</v>
      </c>
      <c r="AQ249" t="s">
        <v>960</v>
      </c>
      <c r="AR249" t="s">
        <v>961</v>
      </c>
      <c r="AS249" t="s">
        <v>962</v>
      </c>
      <c r="AT249" t="s">
        <v>963</v>
      </c>
      <c r="AU249" t="s">
        <v>296</v>
      </c>
      <c r="AV249" t="s">
        <v>964</v>
      </c>
      <c r="AW249" t="s">
        <v>127</v>
      </c>
      <c r="AX249" s="8" t="str">
        <f>"75033"</f>
        <v>75033</v>
      </c>
      <c r="AY249" t="s">
        <v>118</v>
      </c>
      <c r="BA249" s="10">
        <v>19727789690</v>
      </c>
      <c r="BC249" t="s">
        <v>5668</v>
      </c>
      <c r="BD249" t="s">
        <v>966</v>
      </c>
      <c r="BG249" t="s">
        <v>1691</v>
      </c>
      <c r="BH249" s="1">
        <v>45251.791666666664</v>
      </c>
      <c r="BI249">
        <v>35</v>
      </c>
      <c r="BJ249">
        <v>7</v>
      </c>
      <c r="BK249">
        <v>0</v>
      </c>
      <c r="BL249">
        <v>0</v>
      </c>
      <c r="BM249">
        <v>7</v>
      </c>
      <c r="BN249">
        <v>7</v>
      </c>
      <c r="BO249">
        <v>7</v>
      </c>
      <c r="BP249">
        <v>7</v>
      </c>
      <c r="BQ249" t="str">
        <f>"4:00 PM"</f>
        <v>4:00 PM</v>
      </c>
      <c r="BR249" t="str">
        <f>"11:00 PM"</f>
        <v>11:00 PM</v>
      </c>
      <c r="BS249" t="s">
        <v>131</v>
      </c>
      <c r="BT249">
        <v>0</v>
      </c>
      <c r="BU249">
        <v>0</v>
      </c>
      <c r="BV249" t="s">
        <v>114</v>
      </c>
      <c r="BX249" s="2" t="s">
        <v>5843</v>
      </c>
      <c r="BY249" t="s">
        <v>5662</v>
      </c>
      <c r="CA249" t="s">
        <v>3413</v>
      </c>
      <c r="CB249" t="s">
        <v>1691</v>
      </c>
      <c r="CC249" s="8" t="str">
        <f>"29928"</f>
        <v>29928</v>
      </c>
      <c r="CD249" t="s">
        <v>3136</v>
      </c>
      <c r="CE249" t="s">
        <v>2584</v>
      </c>
      <c r="CF249" s="12">
        <v>11.17</v>
      </c>
      <c r="CH249" s="12">
        <v>16.760000000000002</v>
      </c>
      <c r="CJ249" t="s">
        <v>135</v>
      </c>
      <c r="CK249" t="s">
        <v>1840</v>
      </c>
      <c r="CL249" t="s">
        <v>5844</v>
      </c>
      <c r="CO249" t="s">
        <v>132</v>
      </c>
      <c r="CP249" t="s">
        <v>114</v>
      </c>
      <c r="CQ249" t="s">
        <v>136</v>
      </c>
      <c r="CR249" t="s">
        <v>136</v>
      </c>
      <c r="CS249" t="s">
        <v>136</v>
      </c>
      <c r="CT249" t="s">
        <v>136</v>
      </c>
      <c r="CU249" t="s">
        <v>136</v>
      </c>
      <c r="CV249" s="2" t="s">
        <v>5672</v>
      </c>
      <c r="CW249" s="10" t="str">
        <f>"+18438421896"</f>
        <v>+18438421896</v>
      </c>
      <c r="CX249" t="s">
        <v>132</v>
      </c>
      <c r="CY249" t="s">
        <v>5673</v>
      </c>
      <c r="CZ249" t="s">
        <v>137</v>
      </c>
      <c r="DA249" t="s">
        <v>114</v>
      </c>
      <c r="DB249" t="s">
        <v>136</v>
      </c>
      <c r="DC249" t="s">
        <v>136</v>
      </c>
      <c r="DD249" t="s">
        <v>114</v>
      </c>
    </row>
    <row r="250" spans="1:113" ht="15" customHeight="1" x14ac:dyDescent="0.25">
      <c r="A250" t="s">
        <v>12501</v>
      </c>
      <c r="B250" t="s">
        <v>152</v>
      </c>
      <c r="C250" s="1">
        <v>45252.443337615739</v>
      </c>
      <c r="D250" s="1">
        <v>45279</v>
      </c>
      <c r="E250" t="s">
        <v>132</v>
      </c>
      <c r="F250" t="s">
        <v>12396</v>
      </c>
      <c r="G250" t="str">
        <f>"35-9021.00"</f>
        <v>35-9021.00</v>
      </c>
      <c r="H250" t="s">
        <v>501</v>
      </c>
      <c r="I250">
        <v>15</v>
      </c>
      <c r="J250">
        <v>15</v>
      </c>
      <c r="K250" s="1">
        <v>45342</v>
      </c>
      <c r="L250" s="1">
        <v>45626</v>
      </c>
      <c r="M250" s="1">
        <v>45342</v>
      </c>
      <c r="N250" s="1">
        <v>45626</v>
      </c>
      <c r="O250" t="s">
        <v>116</v>
      </c>
      <c r="P250" t="s">
        <v>5661</v>
      </c>
      <c r="R250" t="s">
        <v>5662</v>
      </c>
      <c r="T250" t="s">
        <v>3413</v>
      </c>
      <c r="U250" t="s">
        <v>1691</v>
      </c>
      <c r="V250" s="8" t="str">
        <f>"29928"</f>
        <v>29928</v>
      </c>
      <c r="W250" t="s">
        <v>118</v>
      </c>
      <c r="Y250" s="10">
        <v>18438421882</v>
      </c>
      <c r="AA250">
        <v>72111</v>
      </c>
      <c r="AB250" t="s">
        <v>5663</v>
      </c>
      <c r="AC250" t="s">
        <v>5664</v>
      </c>
      <c r="AE250" t="s">
        <v>5665</v>
      </c>
      <c r="AF250" t="s">
        <v>5666</v>
      </c>
      <c r="AH250" t="s">
        <v>3413</v>
      </c>
      <c r="AI250" t="s">
        <v>1691</v>
      </c>
      <c r="AJ250" s="8" t="str">
        <f>"29928"</f>
        <v>29928</v>
      </c>
      <c r="AK250" t="s">
        <v>118</v>
      </c>
      <c r="AM250" s="10">
        <v>18438421882</v>
      </c>
      <c r="AO250" t="s">
        <v>5667</v>
      </c>
      <c r="AP250" t="s">
        <v>248</v>
      </c>
      <c r="AQ250" t="s">
        <v>960</v>
      </c>
      <c r="AR250" t="s">
        <v>961</v>
      </c>
      <c r="AS250" t="s">
        <v>962</v>
      </c>
      <c r="AT250" t="s">
        <v>963</v>
      </c>
      <c r="AU250" t="s">
        <v>296</v>
      </c>
      <c r="AV250" t="s">
        <v>964</v>
      </c>
      <c r="AW250" t="s">
        <v>127</v>
      </c>
      <c r="AX250" s="8" t="str">
        <f>"75033"</f>
        <v>75033</v>
      </c>
      <c r="AY250" t="s">
        <v>118</v>
      </c>
      <c r="BA250" s="10">
        <v>19727789690</v>
      </c>
      <c r="BC250" t="s">
        <v>5668</v>
      </c>
      <c r="BD250" t="s">
        <v>966</v>
      </c>
      <c r="BG250" t="s">
        <v>1691</v>
      </c>
      <c r="BH250" s="1">
        <v>45251.791666666664</v>
      </c>
      <c r="BI250">
        <v>40</v>
      </c>
      <c r="BJ250">
        <v>8</v>
      </c>
      <c r="BK250">
        <v>0</v>
      </c>
      <c r="BL250">
        <v>0</v>
      </c>
      <c r="BM250">
        <v>8</v>
      </c>
      <c r="BN250">
        <v>8</v>
      </c>
      <c r="BO250">
        <v>8</v>
      </c>
      <c r="BP250">
        <v>8</v>
      </c>
      <c r="BQ250" t="str">
        <f>"6:30 AM"</f>
        <v>6:30 AM</v>
      </c>
      <c r="BR250" t="str">
        <f>"3:00 PM"</f>
        <v>3:00 PM</v>
      </c>
      <c r="BS250" t="s">
        <v>131</v>
      </c>
      <c r="BT250">
        <v>0</v>
      </c>
      <c r="BU250">
        <v>0</v>
      </c>
      <c r="BV250" t="s">
        <v>114</v>
      </c>
      <c r="BX250" s="2" t="s">
        <v>12502</v>
      </c>
      <c r="BY250" t="s">
        <v>5662</v>
      </c>
      <c r="CA250" t="s">
        <v>3413</v>
      </c>
      <c r="CB250" t="s">
        <v>1691</v>
      </c>
      <c r="CC250" s="8" t="str">
        <f>"29928"</f>
        <v>29928</v>
      </c>
      <c r="CD250" t="s">
        <v>3136</v>
      </c>
      <c r="CE250" t="s">
        <v>2584</v>
      </c>
      <c r="CF250" s="12">
        <v>14</v>
      </c>
      <c r="CH250" s="12">
        <v>21</v>
      </c>
      <c r="CJ250" t="s">
        <v>135</v>
      </c>
      <c r="CK250" t="s">
        <v>1840</v>
      </c>
      <c r="CL250" t="s">
        <v>12503</v>
      </c>
      <c r="CO250" t="s">
        <v>132</v>
      </c>
      <c r="CP250" t="s">
        <v>114</v>
      </c>
      <c r="CQ250" t="s">
        <v>136</v>
      </c>
      <c r="CR250" t="s">
        <v>136</v>
      </c>
      <c r="CS250" t="s">
        <v>136</v>
      </c>
      <c r="CT250" t="s">
        <v>136</v>
      </c>
      <c r="CU250" t="s">
        <v>136</v>
      </c>
      <c r="CV250" s="2" t="s">
        <v>5672</v>
      </c>
      <c r="CW250" s="10" t="str">
        <f>"+18438421896"</f>
        <v>+18438421896</v>
      </c>
      <c r="CX250" t="s">
        <v>132</v>
      </c>
      <c r="CY250" t="s">
        <v>5673</v>
      </c>
      <c r="CZ250" t="s">
        <v>137</v>
      </c>
      <c r="DA250" t="s">
        <v>114</v>
      </c>
      <c r="DB250" t="s">
        <v>136</v>
      </c>
      <c r="DC250" t="s">
        <v>136</v>
      </c>
      <c r="DD250" t="s">
        <v>114</v>
      </c>
    </row>
    <row r="251" spans="1:113" ht="15" customHeight="1" x14ac:dyDescent="0.25">
      <c r="A251" t="s">
        <v>5659</v>
      </c>
      <c r="B251" t="s">
        <v>152</v>
      </c>
      <c r="C251" s="1">
        <v>45252.442351504629</v>
      </c>
      <c r="D251" s="1">
        <v>45279</v>
      </c>
      <c r="E251" t="s">
        <v>132</v>
      </c>
      <c r="F251" t="s">
        <v>5660</v>
      </c>
      <c r="G251" t="str">
        <f>"35-9031.00"</f>
        <v>35-9031.00</v>
      </c>
      <c r="H251" t="s">
        <v>916</v>
      </c>
      <c r="I251">
        <v>12</v>
      </c>
      <c r="J251">
        <v>12</v>
      </c>
      <c r="K251" s="1">
        <v>45342</v>
      </c>
      <c r="L251" s="1">
        <v>45626</v>
      </c>
      <c r="M251" s="1">
        <v>45342</v>
      </c>
      <c r="N251" s="1">
        <v>45626</v>
      </c>
      <c r="O251" t="s">
        <v>116</v>
      </c>
      <c r="P251" t="s">
        <v>5661</v>
      </c>
      <c r="R251" t="s">
        <v>5662</v>
      </c>
      <c r="T251" t="s">
        <v>3413</v>
      </c>
      <c r="U251" t="s">
        <v>1691</v>
      </c>
      <c r="V251" s="8" t="str">
        <f>"29928"</f>
        <v>29928</v>
      </c>
      <c r="W251" t="s">
        <v>118</v>
      </c>
      <c r="Y251" s="10">
        <v>18438421882</v>
      </c>
      <c r="AA251">
        <v>72111</v>
      </c>
      <c r="AB251" t="s">
        <v>5663</v>
      </c>
      <c r="AC251" t="s">
        <v>5664</v>
      </c>
      <c r="AE251" t="s">
        <v>5665</v>
      </c>
      <c r="AF251" t="s">
        <v>5666</v>
      </c>
      <c r="AH251" t="s">
        <v>3413</v>
      </c>
      <c r="AI251" t="s">
        <v>1691</v>
      </c>
      <c r="AJ251" s="8" t="str">
        <f>"29928"</f>
        <v>29928</v>
      </c>
      <c r="AK251" t="s">
        <v>118</v>
      </c>
      <c r="AM251" s="10">
        <v>18438421882</v>
      </c>
      <c r="AO251" t="s">
        <v>5667</v>
      </c>
      <c r="AP251" t="s">
        <v>248</v>
      </c>
      <c r="AQ251" t="s">
        <v>960</v>
      </c>
      <c r="AR251" t="s">
        <v>961</v>
      </c>
      <c r="AS251" t="s">
        <v>962</v>
      </c>
      <c r="AT251" t="s">
        <v>963</v>
      </c>
      <c r="AU251" t="s">
        <v>296</v>
      </c>
      <c r="AV251" t="s">
        <v>964</v>
      </c>
      <c r="AW251" t="s">
        <v>127</v>
      </c>
      <c r="AX251" s="8" t="str">
        <f>"75033"</f>
        <v>75033</v>
      </c>
      <c r="AY251" t="s">
        <v>118</v>
      </c>
      <c r="BA251" s="10">
        <v>19727789690</v>
      </c>
      <c r="BC251" t="s">
        <v>5668</v>
      </c>
      <c r="BD251" t="s">
        <v>966</v>
      </c>
      <c r="BG251" t="s">
        <v>1691</v>
      </c>
      <c r="BH251" s="1">
        <v>45251.791666666664</v>
      </c>
      <c r="BI251">
        <v>40</v>
      </c>
      <c r="BJ251">
        <v>8</v>
      </c>
      <c r="BK251">
        <v>0</v>
      </c>
      <c r="BL251">
        <v>0</v>
      </c>
      <c r="BM251">
        <v>8</v>
      </c>
      <c r="BN251">
        <v>8</v>
      </c>
      <c r="BO251">
        <v>8</v>
      </c>
      <c r="BP251">
        <v>8</v>
      </c>
      <c r="BQ251" t="str">
        <f>"7:00 AM"</f>
        <v>7:00 AM</v>
      </c>
      <c r="BR251" t="str">
        <f>"3:00 PM"</f>
        <v>3:00 PM</v>
      </c>
      <c r="BS251" t="s">
        <v>131</v>
      </c>
      <c r="BT251">
        <v>0</v>
      </c>
      <c r="BU251">
        <v>0</v>
      </c>
      <c r="BV251" t="s">
        <v>114</v>
      </c>
      <c r="BX251" s="2" t="s">
        <v>5669</v>
      </c>
      <c r="BY251" t="s">
        <v>5662</v>
      </c>
      <c r="CA251" t="s">
        <v>3413</v>
      </c>
      <c r="CB251" t="s">
        <v>1691</v>
      </c>
      <c r="CC251" s="8" t="str">
        <f>"29928"</f>
        <v>29928</v>
      </c>
      <c r="CD251" t="s">
        <v>3136</v>
      </c>
      <c r="CE251" t="s">
        <v>2584</v>
      </c>
      <c r="CF251" s="12">
        <v>15</v>
      </c>
      <c r="CH251" s="12">
        <v>22.5</v>
      </c>
      <c r="CJ251" t="s">
        <v>135</v>
      </c>
      <c r="CK251" t="s">
        <v>5670</v>
      </c>
      <c r="CL251" t="s">
        <v>5671</v>
      </c>
      <c r="CO251" t="s">
        <v>132</v>
      </c>
      <c r="CP251" t="s">
        <v>114</v>
      </c>
      <c r="CQ251" t="s">
        <v>136</v>
      </c>
      <c r="CR251" t="s">
        <v>136</v>
      </c>
      <c r="CS251" t="s">
        <v>136</v>
      </c>
      <c r="CT251" t="s">
        <v>136</v>
      </c>
      <c r="CU251" t="s">
        <v>136</v>
      </c>
      <c r="CV251" s="2" t="s">
        <v>5672</v>
      </c>
      <c r="CW251" s="10" t="str">
        <f>"+18438421896"</f>
        <v>+18438421896</v>
      </c>
      <c r="CX251" t="s">
        <v>132</v>
      </c>
      <c r="CY251" t="s">
        <v>5673</v>
      </c>
      <c r="CZ251" t="s">
        <v>137</v>
      </c>
      <c r="DA251" t="s">
        <v>114</v>
      </c>
      <c r="DB251" t="s">
        <v>114</v>
      </c>
      <c r="DC251" t="s">
        <v>136</v>
      </c>
      <c r="DD251" t="s">
        <v>114</v>
      </c>
    </row>
    <row r="252" spans="1:113" ht="15" customHeight="1" x14ac:dyDescent="0.25">
      <c r="A252" t="s">
        <v>8309</v>
      </c>
      <c r="B252" t="s">
        <v>152</v>
      </c>
      <c r="C252" s="1">
        <v>45252.441387152779</v>
      </c>
      <c r="D252" s="1">
        <v>45279</v>
      </c>
      <c r="E252" t="s">
        <v>132</v>
      </c>
      <c r="F252" t="s">
        <v>153</v>
      </c>
      <c r="G252" t="str">
        <f>"35-2014.00"</f>
        <v>35-2014.00</v>
      </c>
      <c r="H252" t="s">
        <v>154</v>
      </c>
      <c r="I252">
        <v>46</v>
      </c>
      <c r="J252">
        <v>46</v>
      </c>
      <c r="K252" s="1">
        <v>45342</v>
      </c>
      <c r="L252" s="1">
        <v>45626</v>
      </c>
      <c r="M252" s="1">
        <v>45342</v>
      </c>
      <c r="N252" s="1">
        <v>45626</v>
      </c>
      <c r="O252" t="s">
        <v>116</v>
      </c>
      <c r="P252" t="s">
        <v>5661</v>
      </c>
      <c r="R252" t="s">
        <v>5662</v>
      </c>
      <c r="T252" t="s">
        <v>3413</v>
      </c>
      <c r="U252" t="s">
        <v>1691</v>
      </c>
      <c r="V252" s="8" t="str">
        <f>"29928"</f>
        <v>29928</v>
      </c>
      <c r="W252" t="s">
        <v>118</v>
      </c>
      <c r="Y252" s="10">
        <v>18438421882</v>
      </c>
      <c r="AA252">
        <v>72111</v>
      </c>
      <c r="AB252" t="s">
        <v>5663</v>
      </c>
      <c r="AC252" t="s">
        <v>5664</v>
      </c>
      <c r="AE252" t="s">
        <v>5665</v>
      </c>
      <c r="AF252" t="s">
        <v>5666</v>
      </c>
      <c r="AH252" t="s">
        <v>3413</v>
      </c>
      <c r="AI252" t="s">
        <v>1691</v>
      </c>
      <c r="AJ252" s="8" t="str">
        <f>"29928"</f>
        <v>29928</v>
      </c>
      <c r="AK252" t="s">
        <v>118</v>
      </c>
      <c r="AM252" s="10">
        <v>18438421882</v>
      </c>
      <c r="AO252" t="s">
        <v>5667</v>
      </c>
      <c r="AP252" t="s">
        <v>248</v>
      </c>
      <c r="AQ252" t="s">
        <v>960</v>
      </c>
      <c r="AR252" t="s">
        <v>961</v>
      </c>
      <c r="AS252" t="s">
        <v>962</v>
      </c>
      <c r="AT252" t="s">
        <v>963</v>
      </c>
      <c r="AU252" t="s">
        <v>296</v>
      </c>
      <c r="AV252" t="s">
        <v>964</v>
      </c>
      <c r="AW252" t="s">
        <v>127</v>
      </c>
      <c r="AX252" s="8" t="str">
        <f>"75033"</f>
        <v>75033</v>
      </c>
      <c r="AY252" t="s">
        <v>118</v>
      </c>
      <c r="BA252" s="10">
        <v>19727789690</v>
      </c>
      <c r="BC252" t="s">
        <v>5668</v>
      </c>
      <c r="BD252" t="s">
        <v>966</v>
      </c>
      <c r="BG252" t="s">
        <v>1691</v>
      </c>
      <c r="BH252" s="1">
        <v>45251.791666666664</v>
      </c>
      <c r="BI252">
        <v>40</v>
      </c>
      <c r="BJ252">
        <v>8</v>
      </c>
      <c r="BK252">
        <v>0</v>
      </c>
      <c r="BL252">
        <v>0</v>
      </c>
      <c r="BM252">
        <v>8</v>
      </c>
      <c r="BN252">
        <v>8</v>
      </c>
      <c r="BO252">
        <v>8</v>
      </c>
      <c r="BP252">
        <v>8</v>
      </c>
      <c r="BQ252" t="str">
        <f>"6:30 AM"</f>
        <v>6:30 AM</v>
      </c>
      <c r="BR252" t="str">
        <f>"3:00 PM"</f>
        <v>3:00 PM</v>
      </c>
      <c r="BS252" t="s">
        <v>131</v>
      </c>
      <c r="BT252">
        <v>0</v>
      </c>
      <c r="BU252">
        <v>0</v>
      </c>
      <c r="BV252" t="s">
        <v>114</v>
      </c>
      <c r="BX252" s="2" t="s">
        <v>8310</v>
      </c>
      <c r="BY252" t="s">
        <v>5662</v>
      </c>
      <c r="CA252" t="s">
        <v>3413</v>
      </c>
      <c r="CB252" t="s">
        <v>1691</v>
      </c>
      <c r="CC252" s="8" t="str">
        <f>"29928"</f>
        <v>29928</v>
      </c>
      <c r="CD252" t="s">
        <v>3136</v>
      </c>
      <c r="CE252" t="s">
        <v>2584</v>
      </c>
      <c r="CF252" s="12">
        <v>16</v>
      </c>
      <c r="CH252" s="12">
        <v>24</v>
      </c>
      <c r="CJ252" t="s">
        <v>135</v>
      </c>
      <c r="CK252" t="s">
        <v>1840</v>
      </c>
      <c r="CL252" t="s">
        <v>8311</v>
      </c>
      <c r="CO252" t="s">
        <v>132</v>
      </c>
      <c r="CP252" t="s">
        <v>114</v>
      </c>
      <c r="CQ252" t="s">
        <v>136</v>
      </c>
      <c r="CR252" t="s">
        <v>136</v>
      </c>
      <c r="CS252" t="s">
        <v>136</v>
      </c>
      <c r="CT252" t="s">
        <v>136</v>
      </c>
      <c r="CU252" t="s">
        <v>136</v>
      </c>
      <c r="CV252" s="2" t="s">
        <v>5672</v>
      </c>
      <c r="CW252" s="10" t="str">
        <f>"+18438421896"</f>
        <v>+18438421896</v>
      </c>
      <c r="CX252" t="s">
        <v>132</v>
      </c>
      <c r="CY252" t="s">
        <v>5673</v>
      </c>
      <c r="CZ252" t="s">
        <v>137</v>
      </c>
      <c r="DA252" t="s">
        <v>114</v>
      </c>
      <c r="DB252" t="s">
        <v>114</v>
      </c>
      <c r="DC252" t="s">
        <v>136</v>
      </c>
      <c r="DD252" t="s">
        <v>114</v>
      </c>
    </row>
    <row r="253" spans="1:113" ht="15" customHeight="1" x14ac:dyDescent="0.25">
      <c r="A253" t="s">
        <v>13981</v>
      </c>
      <c r="B253" t="s">
        <v>152</v>
      </c>
      <c r="C253" s="1">
        <v>45252.439962962962</v>
      </c>
      <c r="D253" s="1">
        <v>45279</v>
      </c>
      <c r="E253" t="s">
        <v>132</v>
      </c>
      <c r="F253" t="s">
        <v>13982</v>
      </c>
      <c r="G253" t="str">
        <f>"35-9011.00"</f>
        <v>35-9011.00</v>
      </c>
      <c r="H253" t="s">
        <v>1512</v>
      </c>
      <c r="I253">
        <v>19</v>
      </c>
      <c r="J253">
        <v>19</v>
      </c>
      <c r="K253" s="1">
        <v>45342</v>
      </c>
      <c r="L253" s="1">
        <v>45626</v>
      </c>
      <c r="M253" s="1">
        <v>45342</v>
      </c>
      <c r="N253" s="1">
        <v>45626</v>
      </c>
      <c r="O253" t="s">
        <v>116</v>
      </c>
      <c r="P253" t="s">
        <v>5661</v>
      </c>
      <c r="R253" t="s">
        <v>5662</v>
      </c>
      <c r="T253" t="s">
        <v>3413</v>
      </c>
      <c r="U253" t="s">
        <v>1691</v>
      </c>
      <c r="V253" s="8" t="str">
        <f>"29928"</f>
        <v>29928</v>
      </c>
      <c r="W253" t="s">
        <v>118</v>
      </c>
      <c r="Y253" s="10">
        <v>18438421882</v>
      </c>
      <c r="AA253">
        <v>72111</v>
      </c>
      <c r="AB253" t="s">
        <v>5663</v>
      </c>
      <c r="AC253" t="s">
        <v>5664</v>
      </c>
      <c r="AE253" t="s">
        <v>5665</v>
      </c>
      <c r="AF253" t="s">
        <v>5666</v>
      </c>
      <c r="AH253" t="s">
        <v>3413</v>
      </c>
      <c r="AI253" t="s">
        <v>1691</v>
      </c>
      <c r="AJ253" s="8" t="str">
        <f>"29928"</f>
        <v>29928</v>
      </c>
      <c r="AK253" t="s">
        <v>118</v>
      </c>
      <c r="AM253" s="10">
        <v>18438421882</v>
      </c>
      <c r="AO253" t="s">
        <v>5667</v>
      </c>
      <c r="AP253" t="s">
        <v>248</v>
      </c>
      <c r="AQ253" t="s">
        <v>960</v>
      </c>
      <c r="AR253" t="s">
        <v>961</v>
      </c>
      <c r="AS253" t="s">
        <v>962</v>
      </c>
      <c r="AT253" t="s">
        <v>963</v>
      </c>
      <c r="AU253" t="s">
        <v>296</v>
      </c>
      <c r="AV253" t="s">
        <v>964</v>
      </c>
      <c r="AW253" t="s">
        <v>127</v>
      </c>
      <c r="AX253" s="8" t="str">
        <f>"75033"</f>
        <v>75033</v>
      </c>
      <c r="AY253" t="s">
        <v>118</v>
      </c>
      <c r="BA253" s="10">
        <v>19727789690</v>
      </c>
      <c r="BC253" t="s">
        <v>5668</v>
      </c>
      <c r="BD253" t="s">
        <v>966</v>
      </c>
      <c r="BG253" t="s">
        <v>1691</v>
      </c>
      <c r="BH253" s="1">
        <v>45251.791666666664</v>
      </c>
      <c r="BI253">
        <v>35</v>
      </c>
      <c r="BJ253">
        <v>7</v>
      </c>
      <c r="BK253">
        <v>0</v>
      </c>
      <c r="BL253">
        <v>0</v>
      </c>
      <c r="BM253">
        <v>7</v>
      </c>
      <c r="BN253">
        <v>7</v>
      </c>
      <c r="BO253">
        <v>7</v>
      </c>
      <c r="BP253">
        <v>7</v>
      </c>
      <c r="BQ253" t="str">
        <f>"4:00 PM"</f>
        <v>4:00 PM</v>
      </c>
      <c r="BR253" t="str">
        <f>"11:00 PM"</f>
        <v>11:00 PM</v>
      </c>
      <c r="BS253" t="s">
        <v>131</v>
      </c>
      <c r="BT253">
        <v>0</v>
      </c>
      <c r="BU253">
        <v>0</v>
      </c>
      <c r="BV253" t="s">
        <v>114</v>
      </c>
      <c r="BX253" s="2" t="s">
        <v>13983</v>
      </c>
      <c r="BY253" t="s">
        <v>5662</v>
      </c>
      <c r="CA253" t="s">
        <v>3413</v>
      </c>
      <c r="CB253" t="s">
        <v>1691</v>
      </c>
      <c r="CC253" s="8" t="str">
        <f>"29928"</f>
        <v>29928</v>
      </c>
      <c r="CD253" t="s">
        <v>3136</v>
      </c>
      <c r="CE253" t="s">
        <v>2584</v>
      </c>
      <c r="CF253" s="12">
        <v>12.84</v>
      </c>
      <c r="CH253" s="12">
        <v>19.260000000000002</v>
      </c>
      <c r="CJ253" t="s">
        <v>135</v>
      </c>
      <c r="CK253" t="s">
        <v>1840</v>
      </c>
      <c r="CL253" t="s">
        <v>13984</v>
      </c>
      <c r="CO253" t="s">
        <v>132</v>
      </c>
      <c r="CP253" t="s">
        <v>114</v>
      </c>
      <c r="CQ253" t="s">
        <v>136</v>
      </c>
      <c r="CR253" t="s">
        <v>136</v>
      </c>
      <c r="CS253" t="s">
        <v>136</v>
      </c>
      <c r="CT253" t="s">
        <v>136</v>
      </c>
      <c r="CU253" t="s">
        <v>136</v>
      </c>
      <c r="CV253" s="2" t="s">
        <v>5672</v>
      </c>
      <c r="CW253" s="10" t="str">
        <f>"+18438421896"</f>
        <v>+18438421896</v>
      </c>
      <c r="CX253" t="s">
        <v>132</v>
      </c>
      <c r="CY253" t="s">
        <v>5673</v>
      </c>
      <c r="CZ253" t="s">
        <v>137</v>
      </c>
      <c r="DA253" t="s">
        <v>114</v>
      </c>
      <c r="DB253" t="s">
        <v>114</v>
      </c>
      <c r="DC253" t="s">
        <v>136</v>
      </c>
      <c r="DD253" t="s">
        <v>114</v>
      </c>
    </row>
    <row r="254" spans="1:113" ht="15" customHeight="1" x14ac:dyDescent="0.25">
      <c r="A254" t="s">
        <v>12367</v>
      </c>
      <c r="B254" t="s">
        <v>152</v>
      </c>
      <c r="C254" s="1">
        <v>45252.408705092595</v>
      </c>
      <c r="D254" s="1">
        <v>45279</v>
      </c>
      <c r="E254" t="s">
        <v>132</v>
      </c>
      <c r="F254" t="s">
        <v>2020</v>
      </c>
      <c r="G254" t="str">
        <f>"37-3011.00"</f>
        <v>37-3011.00</v>
      </c>
      <c r="H254" t="s">
        <v>429</v>
      </c>
      <c r="I254">
        <v>18</v>
      </c>
      <c r="J254">
        <v>18</v>
      </c>
      <c r="K254" s="1">
        <v>45341</v>
      </c>
      <c r="L254" s="1">
        <v>45639</v>
      </c>
      <c r="M254" s="1">
        <v>45341</v>
      </c>
      <c r="N254" s="1">
        <v>45639</v>
      </c>
      <c r="O254" t="s">
        <v>238</v>
      </c>
      <c r="P254" t="s">
        <v>12368</v>
      </c>
      <c r="R254" t="s">
        <v>12369</v>
      </c>
      <c r="S254" t="s">
        <v>12370</v>
      </c>
      <c r="T254" t="s">
        <v>12371</v>
      </c>
      <c r="U254" t="s">
        <v>117</v>
      </c>
      <c r="V254" s="8" t="str">
        <f>"62801"</f>
        <v>62801</v>
      </c>
      <c r="W254" t="s">
        <v>118</v>
      </c>
      <c r="Y254" s="10">
        <v>16185324126</v>
      </c>
      <c r="AA254">
        <v>56173</v>
      </c>
      <c r="AB254" t="s">
        <v>12372</v>
      </c>
      <c r="AC254" t="s">
        <v>160</v>
      </c>
      <c r="AD254" t="s">
        <v>3749</v>
      </c>
      <c r="AE254" t="s">
        <v>561</v>
      </c>
      <c r="AF254" t="s">
        <v>12373</v>
      </c>
      <c r="AG254" t="s">
        <v>12374</v>
      </c>
      <c r="AH254" t="s">
        <v>12371</v>
      </c>
      <c r="AI254" t="s">
        <v>117</v>
      </c>
      <c r="AJ254" s="8" t="str">
        <f>"62801"</f>
        <v>62801</v>
      </c>
      <c r="AK254" t="s">
        <v>118</v>
      </c>
      <c r="AM254" s="10">
        <v>16185324126</v>
      </c>
      <c r="AO254" t="s">
        <v>12375</v>
      </c>
      <c r="AP254" t="s">
        <v>248</v>
      </c>
      <c r="AQ254" t="s">
        <v>1860</v>
      </c>
      <c r="AR254" t="s">
        <v>1861</v>
      </c>
      <c r="AS254" t="s">
        <v>1862</v>
      </c>
      <c r="AT254" t="s">
        <v>1863</v>
      </c>
      <c r="AU254" t="s">
        <v>1864</v>
      </c>
      <c r="AV254" t="s">
        <v>1865</v>
      </c>
      <c r="AW254" t="s">
        <v>581</v>
      </c>
      <c r="AX254" s="8" t="str">
        <f>"24521"</f>
        <v>24521</v>
      </c>
      <c r="AY254" t="s">
        <v>118</v>
      </c>
      <c r="BA254" s="10">
        <v>14349460035</v>
      </c>
      <c r="BB254">
        <v>11</v>
      </c>
      <c r="BC254" t="s">
        <v>1866</v>
      </c>
      <c r="BD254" t="s">
        <v>1867</v>
      </c>
      <c r="BG254" t="s">
        <v>117</v>
      </c>
      <c r="BH254" s="1">
        <v>45251.791666666664</v>
      </c>
      <c r="BI254">
        <v>40</v>
      </c>
      <c r="BJ254">
        <v>0</v>
      </c>
      <c r="BK254">
        <v>8</v>
      </c>
      <c r="BL254">
        <v>8</v>
      </c>
      <c r="BM254">
        <v>8</v>
      </c>
      <c r="BN254">
        <v>8</v>
      </c>
      <c r="BO254">
        <v>8</v>
      </c>
      <c r="BP254">
        <v>0</v>
      </c>
      <c r="BQ254" t="str">
        <f>"7:00 AM"</f>
        <v>7:00 AM</v>
      </c>
      <c r="BR254" t="str">
        <f>"3:00 PM"</f>
        <v>3:00 PM</v>
      </c>
      <c r="BS254" t="s">
        <v>131</v>
      </c>
      <c r="BT254">
        <v>0</v>
      </c>
      <c r="BU254">
        <v>0</v>
      </c>
      <c r="BV254" t="s">
        <v>114</v>
      </c>
      <c r="BX254" s="2" t="s">
        <v>2473</v>
      </c>
      <c r="BY254" t="s">
        <v>12376</v>
      </c>
      <c r="CA254" t="s">
        <v>12377</v>
      </c>
      <c r="CB254" t="s">
        <v>117</v>
      </c>
      <c r="CC254" s="8" t="str">
        <f>"62801"</f>
        <v>62801</v>
      </c>
      <c r="CD254" t="s">
        <v>1257</v>
      </c>
      <c r="CE254" t="s">
        <v>12378</v>
      </c>
      <c r="CF254" s="12">
        <v>18.8</v>
      </c>
      <c r="CG254" s="12">
        <v>18.8</v>
      </c>
      <c r="CH254" s="12">
        <v>28.2</v>
      </c>
      <c r="CI254" s="12">
        <v>28.2</v>
      </c>
      <c r="CJ254" t="s">
        <v>135</v>
      </c>
      <c r="CK254" t="s">
        <v>12379</v>
      </c>
      <c r="CL254" t="s">
        <v>12380</v>
      </c>
      <c r="CO254" t="s">
        <v>132</v>
      </c>
      <c r="CP254" t="s">
        <v>136</v>
      </c>
      <c r="CQ254" t="s">
        <v>136</v>
      </c>
      <c r="CR254" t="s">
        <v>136</v>
      </c>
      <c r="CS254" t="s">
        <v>114</v>
      </c>
      <c r="CT254" t="s">
        <v>136</v>
      </c>
      <c r="CU254" t="s">
        <v>136</v>
      </c>
      <c r="CV254" t="s">
        <v>12381</v>
      </c>
      <c r="CW254" s="10" t="str">
        <f>"+16185324126"</f>
        <v>+16185324126</v>
      </c>
      <c r="CX254" t="s">
        <v>12382</v>
      </c>
      <c r="CY254" t="s">
        <v>132</v>
      </c>
      <c r="CZ254" t="s">
        <v>137</v>
      </c>
      <c r="DA254" t="s">
        <v>114</v>
      </c>
      <c r="DB254" t="s">
        <v>136</v>
      </c>
      <c r="DC254" t="s">
        <v>136</v>
      </c>
      <c r="DD254" t="s">
        <v>114</v>
      </c>
    </row>
    <row r="255" spans="1:113" ht="15" customHeight="1" x14ac:dyDescent="0.25">
      <c r="A255" t="s">
        <v>3193</v>
      </c>
      <c r="B255" t="s">
        <v>152</v>
      </c>
      <c r="C255" s="1">
        <v>45252.333056365744</v>
      </c>
      <c r="D255" s="1">
        <v>45279</v>
      </c>
      <c r="E255" t="s">
        <v>132</v>
      </c>
      <c r="F255" t="s">
        <v>236</v>
      </c>
      <c r="G255" t="str">
        <f>"39-3091.00"</f>
        <v>39-3091.00</v>
      </c>
      <c r="H255" t="s">
        <v>237</v>
      </c>
      <c r="I255">
        <v>45</v>
      </c>
      <c r="J255">
        <v>45</v>
      </c>
      <c r="K255" s="1">
        <v>45342</v>
      </c>
      <c r="L255" s="1">
        <v>45644</v>
      </c>
      <c r="M255" s="1">
        <v>45342</v>
      </c>
      <c r="N255" s="1">
        <v>45644</v>
      </c>
      <c r="O255" t="s">
        <v>238</v>
      </c>
      <c r="P255" t="s">
        <v>3194</v>
      </c>
      <c r="R255" t="s">
        <v>3195</v>
      </c>
      <c r="T255" t="s">
        <v>3196</v>
      </c>
      <c r="U255" t="s">
        <v>127</v>
      </c>
      <c r="V255" s="8" t="str">
        <f>"75167"</f>
        <v>75167</v>
      </c>
      <c r="W255" t="s">
        <v>118</v>
      </c>
      <c r="Y255" s="10">
        <v>14696280088</v>
      </c>
      <c r="AA255">
        <v>7139</v>
      </c>
      <c r="AB255" t="s">
        <v>3197</v>
      </c>
      <c r="AC255" t="s">
        <v>3198</v>
      </c>
      <c r="AE255" t="s">
        <v>561</v>
      </c>
      <c r="AF255" t="s">
        <v>3195</v>
      </c>
      <c r="AH255" t="s">
        <v>3196</v>
      </c>
      <c r="AI255" t="s">
        <v>127</v>
      </c>
      <c r="AJ255" s="8" t="str">
        <f>"75167"</f>
        <v>75167</v>
      </c>
      <c r="AK255" t="s">
        <v>118</v>
      </c>
      <c r="AM255" s="10">
        <v>14696280088</v>
      </c>
      <c r="AO255" t="s">
        <v>3199</v>
      </c>
      <c r="AP255" t="s">
        <v>248</v>
      </c>
      <c r="AQ255" t="s">
        <v>249</v>
      </c>
      <c r="AR255" t="s">
        <v>250</v>
      </c>
      <c r="AS255" t="s">
        <v>251</v>
      </c>
      <c r="AT255" t="s">
        <v>252</v>
      </c>
      <c r="AU255" t="s">
        <v>253</v>
      </c>
      <c r="AV255" t="s">
        <v>254</v>
      </c>
      <c r="AW255" t="s">
        <v>127</v>
      </c>
      <c r="AX255" s="8" t="str">
        <f>"78550"</f>
        <v>78550</v>
      </c>
      <c r="AY255" t="s">
        <v>118</v>
      </c>
      <c r="AZ255" t="s">
        <v>255</v>
      </c>
      <c r="BA255" s="10">
        <v>19564408720</v>
      </c>
      <c r="BB255" s="3" t="s">
        <v>256</v>
      </c>
      <c r="BC255" t="s">
        <v>257</v>
      </c>
      <c r="BD255" t="s">
        <v>258</v>
      </c>
      <c r="BG255" t="s">
        <v>127</v>
      </c>
      <c r="BH255" s="1">
        <v>45251.791666666664</v>
      </c>
      <c r="BI255">
        <v>40</v>
      </c>
      <c r="BJ255">
        <v>8</v>
      </c>
      <c r="BK255">
        <v>0</v>
      </c>
      <c r="BL255">
        <v>0</v>
      </c>
      <c r="BM255">
        <v>8</v>
      </c>
      <c r="BN255">
        <v>8</v>
      </c>
      <c r="BO255">
        <v>8</v>
      </c>
      <c r="BP255">
        <v>8</v>
      </c>
      <c r="BQ255" t="str">
        <f>"1:00 PM"</f>
        <v>1:00 PM</v>
      </c>
      <c r="BR255" t="str">
        <f>"10:00 PM"</f>
        <v>10:00 PM</v>
      </c>
      <c r="BS255" t="s">
        <v>131</v>
      </c>
      <c r="BT255">
        <v>0</v>
      </c>
      <c r="BU255">
        <v>0</v>
      </c>
      <c r="BV255" t="s">
        <v>114</v>
      </c>
      <c r="BX255" s="2" t="s">
        <v>259</v>
      </c>
      <c r="BY255" t="s">
        <v>3195</v>
      </c>
      <c r="CA255" t="s">
        <v>3196</v>
      </c>
      <c r="CB255" t="s">
        <v>127</v>
      </c>
      <c r="CC255" s="8" t="str">
        <f>"75167"</f>
        <v>75167</v>
      </c>
      <c r="CD255" t="s">
        <v>3200</v>
      </c>
      <c r="CE255" t="s">
        <v>263</v>
      </c>
      <c r="CF255" s="12">
        <v>11</v>
      </c>
      <c r="CG255" s="12">
        <v>12.25</v>
      </c>
      <c r="CJ255" t="s">
        <v>135</v>
      </c>
      <c r="CK255" t="s">
        <v>264</v>
      </c>
      <c r="CL255" t="s">
        <v>3201</v>
      </c>
      <c r="CO255" t="s">
        <v>132</v>
      </c>
      <c r="CP255" t="s">
        <v>136</v>
      </c>
      <c r="CQ255" t="s">
        <v>136</v>
      </c>
      <c r="CR255" t="s">
        <v>114</v>
      </c>
      <c r="CS255" t="s">
        <v>136</v>
      </c>
      <c r="CT255" t="s">
        <v>136</v>
      </c>
      <c r="CU255" t="s">
        <v>136</v>
      </c>
      <c r="CV255" t="s">
        <v>266</v>
      </c>
      <c r="CW255" s="10" t="str">
        <f>"+14696280088"</f>
        <v>+14696280088</v>
      </c>
      <c r="CX255" t="s">
        <v>3202</v>
      </c>
      <c r="CY255" t="s">
        <v>132</v>
      </c>
      <c r="CZ255" t="s">
        <v>137</v>
      </c>
      <c r="DA255" t="s">
        <v>114</v>
      </c>
      <c r="DB255" t="s">
        <v>136</v>
      </c>
      <c r="DC255" t="s">
        <v>136</v>
      </c>
      <c r="DD255" t="s">
        <v>114</v>
      </c>
    </row>
    <row r="256" spans="1:113" ht="15" customHeight="1" x14ac:dyDescent="0.25">
      <c r="A256" t="s">
        <v>15218</v>
      </c>
      <c r="B256" t="s">
        <v>152</v>
      </c>
      <c r="C256" s="1">
        <v>45251.769429166663</v>
      </c>
      <c r="D256" s="1">
        <v>45279</v>
      </c>
      <c r="E256" t="s">
        <v>132</v>
      </c>
      <c r="F256" t="s">
        <v>1595</v>
      </c>
      <c r="G256" t="str">
        <f>"37-3011.00"</f>
        <v>37-3011.00</v>
      </c>
      <c r="H256" t="s">
        <v>429</v>
      </c>
      <c r="I256">
        <v>100</v>
      </c>
      <c r="J256">
        <v>100</v>
      </c>
      <c r="K256" s="1">
        <v>45326</v>
      </c>
      <c r="L256" s="1">
        <v>45620</v>
      </c>
      <c r="M256" s="1">
        <v>45326</v>
      </c>
      <c r="N256" s="1">
        <v>45620</v>
      </c>
      <c r="O256" t="s">
        <v>116</v>
      </c>
      <c r="P256" t="s">
        <v>15219</v>
      </c>
      <c r="Q256" t="s">
        <v>15220</v>
      </c>
      <c r="R256" t="s">
        <v>15221</v>
      </c>
      <c r="T256" t="s">
        <v>11284</v>
      </c>
      <c r="U256" t="s">
        <v>1434</v>
      </c>
      <c r="V256" s="8" t="str">
        <f>"41005"</f>
        <v>41005</v>
      </c>
      <c r="W256" t="s">
        <v>118</v>
      </c>
      <c r="Y256" s="10">
        <v>18592828733</v>
      </c>
      <c r="AA256">
        <v>56173</v>
      </c>
      <c r="AB256" t="s">
        <v>15222</v>
      </c>
      <c r="AC256" t="s">
        <v>931</v>
      </c>
      <c r="AE256" t="s">
        <v>629</v>
      </c>
      <c r="AF256" t="s">
        <v>15221</v>
      </c>
      <c r="AH256" t="s">
        <v>11284</v>
      </c>
      <c r="AI256" t="s">
        <v>1434</v>
      </c>
      <c r="AJ256" s="8" t="str">
        <f>"41005"</f>
        <v>41005</v>
      </c>
      <c r="AK256" t="s">
        <v>118</v>
      </c>
      <c r="AM256" s="10">
        <v>18592828733</v>
      </c>
      <c r="AO256" t="s">
        <v>15223</v>
      </c>
      <c r="AP256" t="s">
        <v>248</v>
      </c>
      <c r="AQ256" t="s">
        <v>960</v>
      </c>
      <c r="AR256" t="s">
        <v>961</v>
      </c>
      <c r="AS256" t="s">
        <v>962</v>
      </c>
      <c r="AT256" t="s">
        <v>963</v>
      </c>
      <c r="AU256" t="s">
        <v>296</v>
      </c>
      <c r="AV256" t="s">
        <v>964</v>
      </c>
      <c r="AW256" t="s">
        <v>127</v>
      </c>
      <c r="AX256" s="8" t="str">
        <f>"75033"</f>
        <v>75033</v>
      </c>
      <c r="AY256" t="s">
        <v>118</v>
      </c>
      <c r="BA256" s="10">
        <v>19727789690</v>
      </c>
      <c r="BC256" t="s">
        <v>7354</v>
      </c>
      <c r="BD256" t="s">
        <v>966</v>
      </c>
      <c r="BG256" t="s">
        <v>1434</v>
      </c>
      <c r="BH256" s="1">
        <v>45250.791666666664</v>
      </c>
      <c r="BI256">
        <v>40</v>
      </c>
      <c r="BJ256">
        <v>0</v>
      </c>
      <c r="BK256">
        <v>8</v>
      </c>
      <c r="BL256">
        <v>8</v>
      </c>
      <c r="BM256">
        <v>8</v>
      </c>
      <c r="BN256">
        <v>8</v>
      </c>
      <c r="BO256">
        <v>8</v>
      </c>
      <c r="BP256">
        <v>0</v>
      </c>
      <c r="BQ256" t="str">
        <f>"7:30 AM"</f>
        <v>7:30 AM</v>
      </c>
      <c r="BR256" t="str">
        <f>"4:00 PM"</f>
        <v>4:00 PM</v>
      </c>
      <c r="BS256" t="s">
        <v>131</v>
      </c>
      <c r="BT256">
        <v>0</v>
      </c>
      <c r="BU256">
        <v>0</v>
      </c>
      <c r="BV256" t="s">
        <v>114</v>
      </c>
      <c r="BX256" s="2" t="s">
        <v>15224</v>
      </c>
      <c r="BY256" t="s">
        <v>15221</v>
      </c>
      <c r="CA256" t="s">
        <v>11284</v>
      </c>
      <c r="CB256" t="s">
        <v>1434</v>
      </c>
      <c r="CC256" s="8" t="str">
        <f>"41005"</f>
        <v>41005</v>
      </c>
      <c r="CD256" t="s">
        <v>2672</v>
      </c>
      <c r="CE256" t="s">
        <v>3443</v>
      </c>
      <c r="CF256" s="12">
        <v>16.690000000000001</v>
      </c>
      <c r="CH256" s="12">
        <v>25.04</v>
      </c>
      <c r="CJ256" t="s">
        <v>135</v>
      </c>
      <c r="CK256" t="s">
        <v>1840</v>
      </c>
      <c r="CL256" t="s">
        <v>15225</v>
      </c>
      <c r="CO256" t="s">
        <v>132</v>
      </c>
      <c r="CP256" t="s">
        <v>136</v>
      </c>
      <c r="CQ256" t="s">
        <v>136</v>
      </c>
      <c r="CR256" t="s">
        <v>136</v>
      </c>
      <c r="CS256" t="s">
        <v>136</v>
      </c>
      <c r="CT256" t="s">
        <v>136</v>
      </c>
      <c r="CU256" t="s">
        <v>136</v>
      </c>
      <c r="CV256" s="2" t="s">
        <v>15226</v>
      </c>
      <c r="CW256" s="10" t="str">
        <f>"+18592828733"</f>
        <v>+18592828733</v>
      </c>
      <c r="CX256" t="s">
        <v>132</v>
      </c>
      <c r="CY256" t="s">
        <v>15227</v>
      </c>
      <c r="CZ256" t="s">
        <v>137</v>
      </c>
      <c r="DA256" t="s">
        <v>114</v>
      </c>
      <c r="DB256" t="s">
        <v>136</v>
      </c>
      <c r="DC256" t="s">
        <v>136</v>
      </c>
      <c r="DD256" t="s">
        <v>114</v>
      </c>
    </row>
    <row r="257" spans="1:113" ht="15" customHeight="1" x14ac:dyDescent="0.25">
      <c r="A257" t="s">
        <v>9754</v>
      </c>
      <c r="B257" t="s">
        <v>152</v>
      </c>
      <c r="C257" s="1">
        <v>45251.401749652781</v>
      </c>
      <c r="D257" s="1">
        <v>45279</v>
      </c>
      <c r="E257" t="s">
        <v>132</v>
      </c>
      <c r="F257" t="s">
        <v>1595</v>
      </c>
      <c r="G257" t="str">
        <f>"37-3011.00"</f>
        <v>37-3011.00</v>
      </c>
      <c r="H257" t="s">
        <v>429</v>
      </c>
      <c r="I257">
        <v>5</v>
      </c>
      <c r="J257">
        <v>5</v>
      </c>
      <c r="K257" s="1">
        <v>45341</v>
      </c>
      <c r="L257" s="1">
        <v>45644</v>
      </c>
      <c r="M257" s="1">
        <v>45341</v>
      </c>
      <c r="N257" s="1">
        <v>45644</v>
      </c>
      <c r="O257" t="s">
        <v>116</v>
      </c>
      <c r="P257" t="s">
        <v>9755</v>
      </c>
      <c r="Q257" t="s">
        <v>9756</v>
      </c>
      <c r="R257" t="s">
        <v>9757</v>
      </c>
      <c r="S257" t="s">
        <v>132</v>
      </c>
      <c r="T257" t="s">
        <v>4731</v>
      </c>
      <c r="U257" t="s">
        <v>581</v>
      </c>
      <c r="V257" s="8" t="str">
        <f>"22079"</f>
        <v>22079</v>
      </c>
      <c r="W257" t="s">
        <v>118</v>
      </c>
      <c r="Y257" s="10">
        <v>17033390067</v>
      </c>
      <c r="AA257">
        <v>561730</v>
      </c>
      <c r="AB257" t="s">
        <v>9758</v>
      </c>
      <c r="AC257" t="s">
        <v>575</v>
      </c>
      <c r="AD257" t="s">
        <v>1798</v>
      </c>
      <c r="AE257" t="s">
        <v>629</v>
      </c>
      <c r="AF257" t="s">
        <v>9757</v>
      </c>
      <c r="AG257" t="s">
        <v>132</v>
      </c>
      <c r="AH257" t="s">
        <v>4731</v>
      </c>
      <c r="AI257" t="s">
        <v>581</v>
      </c>
      <c r="AJ257" s="8" t="str">
        <f>"22079"</f>
        <v>22079</v>
      </c>
      <c r="AK257" t="s">
        <v>118</v>
      </c>
      <c r="AM257" s="10">
        <v>17033390067</v>
      </c>
      <c r="AO257" t="s">
        <v>9759</v>
      </c>
      <c r="AP257" t="s">
        <v>248</v>
      </c>
      <c r="AQ257" t="s">
        <v>2452</v>
      </c>
      <c r="AR257" t="s">
        <v>2453</v>
      </c>
      <c r="AS257" t="s">
        <v>515</v>
      </c>
      <c r="AT257" t="s">
        <v>2454</v>
      </c>
      <c r="AU257" t="s">
        <v>132</v>
      </c>
      <c r="AV257" t="s">
        <v>1585</v>
      </c>
      <c r="AW257" t="s">
        <v>127</v>
      </c>
      <c r="AX257" s="8" t="str">
        <f>"77414"</f>
        <v>77414</v>
      </c>
      <c r="AY257" t="s">
        <v>118</v>
      </c>
      <c r="BA257" s="10">
        <v>19793187278</v>
      </c>
      <c r="BC257" t="s">
        <v>2455</v>
      </c>
      <c r="BD257" t="s">
        <v>1587</v>
      </c>
      <c r="BG257" t="s">
        <v>581</v>
      </c>
      <c r="BH257" s="1">
        <v>45250.791666666664</v>
      </c>
      <c r="BI257">
        <v>40</v>
      </c>
      <c r="BJ257">
        <v>0</v>
      </c>
      <c r="BK257">
        <v>10</v>
      </c>
      <c r="BL257">
        <v>10</v>
      </c>
      <c r="BM257">
        <v>10</v>
      </c>
      <c r="BN257">
        <v>10</v>
      </c>
      <c r="BO257">
        <v>0</v>
      </c>
      <c r="BP257">
        <v>0</v>
      </c>
      <c r="BQ257" t="str">
        <f>"7:00 AM"</f>
        <v>7:00 AM</v>
      </c>
      <c r="BR257" t="str">
        <f>"5:30 PM"</f>
        <v>5:30 PM</v>
      </c>
      <c r="BS257" t="s">
        <v>131</v>
      </c>
      <c r="BT257">
        <v>0</v>
      </c>
      <c r="BU257">
        <v>0</v>
      </c>
      <c r="BV257" t="s">
        <v>114</v>
      </c>
      <c r="BX257" s="2" t="s">
        <v>9760</v>
      </c>
      <c r="BY257" t="s">
        <v>9757</v>
      </c>
      <c r="BZ257" t="s">
        <v>132</v>
      </c>
      <c r="CA257" t="s">
        <v>4731</v>
      </c>
      <c r="CB257" t="s">
        <v>581</v>
      </c>
      <c r="CC257" s="8" t="str">
        <f>"22079"</f>
        <v>22079</v>
      </c>
      <c r="CD257" t="s">
        <v>2457</v>
      </c>
      <c r="CE257" t="s">
        <v>1794</v>
      </c>
      <c r="CF257" s="12">
        <v>19.670000000000002</v>
      </c>
      <c r="CH257" s="12">
        <v>29.51</v>
      </c>
      <c r="CJ257" t="s">
        <v>135</v>
      </c>
      <c r="CK257" t="s">
        <v>9761</v>
      </c>
      <c r="CL257" t="s">
        <v>9762</v>
      </c>
      <c r="CO257" t="s">
        <v>132</v>
      </c>
      <c r="CP257" t="s">
        <v>136</v>
      </c>
      <c r="CQ257" t="s">
        <v>136</v>
      </c>
      <c r="CR257" t="s">
        <v>136</v>
      </c>
      <c r="CS257" t="s">
        <v>136</v>
      </c>
      <c r="CT257" t="s">
        <v>136</v>
      </c>
      <c r="CU257" t="s">
        <v>114</v>
      </c>
      <c r="CV257" t="s">
        <v>2225</v>
      </c>
      <c r="CW257" s="10" t="str">
        <f>"N/A"</f>
        <v>N/A</v>
      </c>
      <c r="CX257" t="s">
        <v>9759</v>
      </c>
      <c r="CY257" t="s">
        <v>9763</v>
      </c>
      <c r="CZ257" t="s">
        <v>137</v>
      </c>
      <c r="DA257" t="s">
        <v>114</v>
      </c>
      <c r="DB257" t="s">
        <v>114</v>
      </c>
      <c r="DC257" t="s">
        <v>136</v>
      </c>
      <c r="DD257" t="s">
        <v>114</v>
      </c>
    </row>
    <row r="258" spans="1:113" ht="15" customHeight="1" x14ac:dyDescent="0.25">
      <c r="A258" t="s">
        <v>21410</v>
      </c>
      <c r="B258" t="s">
        <v>152</v>
      </c>
      <c r="C258" s="1">
        <v>45251.399068055558</v>
      </c>
      <c r="D258" s="1">
        <v>45279</v>
      </c>
      <c r="E258" t="s">
        <v>132</v>
      </c>
      <c r="F258" t="s">
        <v>1595</v>
      </c>
      <c r="G258" t="str">
        <f>"37-3011.00"</f>
        <v>37-3011.00</v>
      </c>
      <c r="H258" t="s">
        <v>429</v>
      </c>
      <c r="I258">
        <v>26</v>
      </c>
      <c r="J258">
        <v>26</v>
      </c>
      <c r="K258" s="1">
        <v>45341</v>
      </c>
      <c r="L258" s="1">
        <v>45611</v>
      </c>
      <c r="M258" s="1">
        <v>45341</v>
      </c>
      <c r="N258" s="1">
        <v>45611</v>
      </c>
      <c r="O258" t="s">
        <v>116</v>
      </c>
      <c r="P258" t="s">
        <v>21411</v>
      </c>
      <c r="Q258" t="s">
        <v>21412</v>
      </c>
      <c r="R258" t="s">
        <v>21413</v>
      </c>
      <c r="S258" t="s">
        <v>132</v>
      </c>
      <c r="T258" t="s">
        <v>19991</v>
      </c>
      <c r="U258" t="s">
        <v>984</v>
      </c>
      <c r="V258" s="8" t="str">
        <f>"63044"</f>
        <v>63044</v>
      </c>
      <c r="W258" t="s">
        <v>118</v>
      </c>
      <c r="Y258" s="10">
        <v>13147702828</v>
      </c>
      <c r="AA258">
        <v>561730</v>
      </c>
      <c r="AB258" t="s">
        <v>11291</v>
      </c>
      <c r="AC258" t="s">
        <v>21414</v>
      </c>
      <c r="AE258" t="s">
        <v>21415</v>
      </c>
      <c r="AF258" t="s">
        <v>21413</v>
      </c>
      <c r="AG258" t="s">
        <v>132</v>
      </c>
      <c r="AH258" t="s">
        <v>19991</v>
      </c>
      <c r="AI258" t="s">
        <v>984</v>
      </c>
      <c r="AJ258" s="8" t="str">
        <f>"63044"</f>
        <v>63044</v>
      </c>
      <c r="AK258" t="s">
        <v>118</v>
      </c>
      <c r="AM258" s="10">
        <v>13147702828</v>
      </c>
      <c r="AO258" t="s">
        <v>21416</v>
      </c>
      <c r="AP258" t="s">
        <v>248</v>
      </c>
      <c r="AQ258" t="s">
        <v>1582</v>
      </c>
      <c r="AR258" t="s">
        <v>1583</v>
      </c>
      <c r="AS258" t="s">
        <v>631</v>
      </c>
      <c r="AT258" t="s">
        <v>1584</v>
      </c>
      <c r="AU258" t="s">
        <v>132</v>
      </c>
      <c r="AV258" t="s">
        <v>1585</v>
      </c>
      <c r="AW258" t="s">
        <v>127</v>
      </c>
      <c r="AX258" s="8" t="str">
        <f>"77414"</f>
        <v>77414</v>
      </c>
      <c r="AY258" t="s">
        <v>118</v>
      </c>
      <c r="BA258" s="10">
        <v>19793187280</v>
      </c>
      <c r="BC258" t="s">
        <v>1586</v>
      </c>
      <c r="BD258" t="s">
        <v>1587</v>
      </c>
      <c r="BG258" t="s">
        <v>984</v>
      </c>
      <c r="BH258" s="1">
        <v>45250.791666666664</v>
      </c>
      <c r="BI258">
        <v>40</v>
      </c>
      <c r="BJ258">
        <v>0</v>
      </c>
      <c r="BK258">
        <v>10</v>
      </c>
      <c r="BL258">
        <v>10</v>
      </c>
      <c r="BM258">
        <v>10</v>
      </c>
      <c r="BN258">
        <v>10</v>
      </c>
      <c r="BO258">
        <v>0</v>
      </c>
      <c r="BP258">
        <v>0</v>
      </c>
      <c r="BQ258" t="str">
        <f>"7:00 AM"</f>
        <v>7:00 AM</v>
      </c>
      <c r="BR258" t="str">
        <f>"6:00 PM"</f>
        <v>6:00 PM</v>
      </c>
      <c r="BS258" t="s">
        <v>131</v>
      </c>
      <c r="BT258">
        <v>0</v>
      </c>
      <c r="BU258">
        <v>0</v>
      </c>
      <c r="BV258" t="s">
        <v>114</v>
      </c>
      <c r="BX258" s="2" t="s">
        <v>21417</v>
      </c>
      <c r="BY258" t="s">
        <v>21413</v>
      </c>
      <c r="BZ258" t="s">
        <v>132</v>
      </c>
      <c r="CA258" t="s">
        <v>19991</v>
      </c>
      <c r="CB258" t="s">
        <v>984</v>
      </c>
      <c r="CC258" s="8" t="str">
        <f>"63044"</f>
        <v>63044</v>
      </c>
      <c r="CD258" t="s">
        <v>2851</v>
      </c>
      <c r="CE258" t="s">
        <v>1856</v>
      </c>
      <c r="CF258" s="12">
        <v>17.579999999999998</v>
      </c>
      <c r="CH258" s="12">
        <v>26.37</v>
      </c>
      <c r="CJ258" t="s">
        <v>135</v>
      </c>
      <c r="CK258" t="s">
        <v>3408</v>
      </c>
      <c r="CL258" t="s">
        <v>21418</v>
      </c>
      <c r="CO258" t="s">
        <v>132</v>
      </c>
      <c r="CP258" t="s">
        <v>136</v>
      </c>
      <c r="CQ258" t="s">
        <v>136</v>
      </c>
      <c r="CR258" t="s">
        <v>136</v>
      </c>
      <c r="CS258" t="s">
        <v>136</v>
      </c>
      <c r="CT258" t="s">
        <v>136</v>
      </c>
      <c r="CU258" t="s">
        <v>136</v>
      </c>
      <c r="CV258" t="s">
        <v>21419</v>
      </c>
      <c r="CW258" s="10" t="str">
        <f>"+13149144580"</f>
        <v>+13149144580</v>
      </c>
      <c r="CX258" t="s">
        <v>21416</v>
      </c>
      <c r="CY258" t="s">
        <v>132</v>
      </c>
      <c r="CZ258" t="s">
        <v>137</v>
      </c>
      <c r="DA258" t="s">
        <v>114</v>
      </c>
      <c r="DB258" t="s">
        <v>114</v>
      </c>
      <c r="DC258" t="s">
        <v>136</v>
      </c>
      <c r="DD258" t="s">
        <v>114</v>
      </c>
    </row>
    <row r="259" spans="1:113" ht="15" customHeight="1" x14ac:dyDescent="0.25">
      <c r="A259" t="s">
        <v>9252</v>
      </c>
      <c r="B259" t="s">
        <v>152</v>
      </c>
      <c r="C259" s="1">
        <v>45251.272312499997</v>
      </c>
      <c r="D259" s="1">
        <v>45279</v>
      </c>
      <c r="E259" t="s">
        <v>132</v>
      </c>
      <c r="F259" t="s">
        <v>2020</v>
      </c>
      <c r="G259" t="str">
        <f>"37-3011.00"</f>
        <v>37-3011.00</v>
      </c>
      <c r="H259" t="s">
        <v>429</v>
      </c>
      <c r="I259">
        <v>36</v>
      </c>
      <c r="J259">
        <v>36</v>
      </c>
      <c r="K259" s="1">
        <v>45341</v>
      </c>
      <c r="L259" s="1">
        <v>45639</v>
      </c>
      <c r="M259" s="1">
        <v>45341</v>
      </c>
      <c r="N259" s="1">
        <v>45639</v>
      </c>
      <c r="O259" t="s">
        <v>116</v>
      </c>
      <c r="P259" t="s">
        <v>9253</v>
      </c>
      <c r="R259" t="s">
        <v>9254</v>
      </c>
      <c r="T259" t="s">
        <v>3494</v>
      </c>
      <c r="U259" t="s">
        <v>581</v>
      </c>
      <c r="V259" s="8" t="str">
        <f>"20166"</f>
        <v>20166</v>
      </c>
      <c r="W259" t="s">
        <v>118</v>
      </c>
      <c r="Y259" s="10">
        <v>17038765788</v>
      </c>
      <c r="AA259">
        <v>56173</v>
      </c>
      <c r="AB259" t="s">
        <v>3274</v>
      </c>
      <c r="AC259" t="s">
        <v>3462</v>
      </c>
      <c r="AE259" t="s">
        <v>4384</v>
      </c>
      <c r="AF259" t="s">
        <v>9254</v>
      </c>
      <c r="AH259" t="s">
        <v>3494</v>
      </c>
      <c r="AI259" t="s">
        <v>581</v>
      </c>
      <c r="AJ259" s="8" t="str">
        <f>"20166"</f>
        <v>20166</v>
      </c>
      <c r="AK259" t="s">
        <v>118</v>
      </c>
      <c r="AM259" s="10">
        <v>17038765788</v>
      </c>
      <c r="AO259" t="s">
        <v>132</v>
      </c>
      <c r="AP259" t="s">
        <v>248</v>
      </c>
      <c r="AQ259" t="s">
        <v>673</v>
      </c>
      <c r="AR259" t="s">
        <v>674</v>
      </c>
      <c r="AT259" t="s">
        <v>579</v>
      </c>
      <c r="AV259" t="s">
        <v>580</v>
      </c>
      <c r="AW259" t="s">
        <v>581</v>
      </c>
      <c r="AX259" s="8" t="str">
        <f>"22903"</f>
        <v>22903</v>
      </c>
      <c r="AY259" t="s">
        <v>118</v>
      </c>
      <c r="BA259" s="10">
        <v>14342634300</v>
      </c>
      <c r="BC259" t="s">
        <v>675</v>
      </c>
      <c r="BD259" t="s">
        <v>583</v>
      </c>
      <c r="BG259" t="s">
        <v>581</v>
      </c>
      <c r="BH259" s="1">
        <v>45250.791666666664</v>
      </c>
      <c r="BI259">
        <v>40</v>
      </c>
      <c r="BJ259">
        <v>0</v>
      </c>
      <c r="BK259">
        <v>8</v>
      </c>
      <c r="BL259">
        <v>8</v>
      </c>
      <c r="BM259">
        <v>8</v>
      </c>
      <c r="BN259">
        <v>8</v>
      </c>
      <c r="BO259">
        <v>8</v>
      </c>
      <c r="BP259">
        <v>0</v>
      </c>
      <c r="BQ259" t="str">
        <f>"7:00 AM"</f>
        <v>7:00 AM</v>
      </c>
      <c r="BR259" t="str">
        <f>"4:00 PM"</f>
        <v>4:00 PM</v>
      </c>
      <c r="BS259" t="s">
        <v>131</v>
      </c>
      <c r="BT259">
        <v>0</v>
      </c>
      <c r="BU259">
        <v>3</v>
      </c>
      <c r="BV259" t="s">
        <v>114</v>
      </c>
      <c r="BX259" s="2" t="s">
        <v>9255</v>
      </c>
      <c r="BY259" t="s">
        <v>9256</v>
      </c>
      <c r="CA259" t="s">
        <v>3494</v>
      </c>
      <c r="CB259" t="s">
        <v>581</v>
      </c>
      <c r="CC259" s="8" t="str">
        <f>"20166"</f>
        <v>20166</v>
      </c>
      <c r="CD259" t="s">
        <v>2761</v>
      </c>
      <c r="CE259" t="s">
        <v>1794</v>
      </c>
      <c r="CF259" s="12">
        <v>19.670000000000002</v>
      </c>
      <c r="CG259" s="12">
        <v>19.670000000000002</v>
      </c>
      <c r="CH259" s="12">
        <v>29.51</v>
      </c>
      <c r="CI259" s="12">
        <v>29.51</v>
      </c>
      <c r="CJ259" t="s">
        <v>135</v>
      </c>
      <c r="CK259" t="s">
        <v>590</v>
      </c>
      <c r="CL259" t="s">
        <v>9257</v>
      </c>
      <c r="CO259" t="s">
        <v>132</v>
      </c>
      <c r="CP259" t="s">
        <v>136</v>
      </c>
      <c r="CQ259" t="s">
        <v>136</v>
      </c>
      <c r="CR259" t="s">
        <v>136</v>
      </c>
      <c r="CS259" t="s">
        <v>114</v>
      </c>
      <c r="CT259" t="s">
        <v>136</v>
      </c>
      <c r="CU259" t="s">
        <v>136</v>
      </c>
      <c r="CV259" t="s">
        <v>9258</v>
      </c>
      <c r="CW259" s="10" t="str">
        <f>"+17038765788"</f>
        <v>+17038765788</v>
      </c>
      <c r="CX259" t="s">
        <v>132</v>
      </c>
      <c r="CY259" t="s">
        <v>3471</v>
      </c>
      <c r="CZ259" t="s">
        <v>137</v>
      </c>
      <c r="DA259" t="s">
        <v>114</v>
      </c>
      <c r="DB259" t="s">
        <v>136</v>
      </c>
      <c r="DC259" t="s">
        <v>136</v>
      </c>
      <c r="DD259" t="s">
        <v>114</v>
      </c>
      <c r="DE259" t="s">
        <v>673</v>
      </c>
      <c r="DF259" t="s">
        <v>674</v>
      </c>
      <c r="DH259" t="s">
        <v>583</v>
      </c>
      <c r="DI259" t="s">
        <v>675</v>
      </c>
    </row>
    <row r="260" spans="1:113" ht="15" customHeight="1" x14ac:dyDescent="0.25">
      <c r="A260" t="s">
        <v>10864</v>
      </c>
      <c r="B260" t="s">
        <v>152</v>
      </c>
      <c r="C260" s="1">
        <v>45251.271958912039</v>
      </c>
      <c r="D260" s="1">
        <v>45279</v>
      </c>
      <c r="E260" t="s">
        <v>132</v>
      </c>
      <c r="F260" t="s">
        <v>2020</v>
      </c>
      <c r="G260" t="str">
        <f>"37-3011.00"</f>
        <v>37-3011.00</v>
      </c>
      <c r="H260" t="s">
        <v>429</v>
      </c>
      <c r="I260">
        <v>35</v>
      </c>
      <c r="J260">
        <v>35</v>
      </c>
      <c r="K260" s="1">
        <v>45341</v>
      </c>
      <c r="L260" s="1">
        <v>45626</v>
      </c>
      <c r="M260" s="1">
        <v>45341</v>
      </c>
      <c r="N260" s="1">
        <v>45626</v>
      </c>
      <c r="O260" t="s">
        <v>238</v>
      </c>
      <c r="P260" t="s">
        <v>10865</v>
      </c>
      <c r="R260" t="s">
        <v>10866</v>
      </c>
      <c r="S260" t="s">
        <v>10867</v>
      </c>
      <c r="T260" t="s">
        <v>10868</v>
      </c>
      <c r="U260" t="s">
        <v>543</v>
      </c>
      <c r="V260" s="8" t="str">
        <f>"43068"</f>
        <v>43068</v>
      </c>
      <c r="W260" t="s">
        <v>118</v>
      </c>
      <c r="Y260" s="10">
        <v>16147597033</v>
      </c>
      <c r="AA260">
        <v>56173</v>
      </c>
      <c r="AB260" t="s">
        <v>3274</v>
      </c>
      <c r="AC260" t="s">
        <v>3462</v>
      </c>
      <c r="AE260" t="s">
        <v>4384</v>
      </c>
      <c r="AF260" t="s">
        <v>10866</v>
      </c>
      <c r="AG260" t="s">
        <v>10867</v>
      </c>
      <c r="AH260" t="s">
        <v>10868</v>
      </c>
      <c r="AI260" t="s">
        <v>543</v>
      </c>
      <c r="AJ260" s="8" t="str">
        <f>"43068"</f>
        <v>43068</v>
      </c>
      <c r="AK260" t="s">
        <v>118</v>
      </c>
      <c r="AM260" s="10">
        <v>16147597033</v>
      </c>
      <c r="AO260" t="s">
        <v>132</v>
      </c>
      <c r="AP260" t="s">
        <v>248</v>
      </c>
      <c r="AQ260" t="s">
        <v>673</v>
      </c>
      <c r="AR260" t="s">
        <v>674</v>
      </c>
      <c r="AT260" t="s">
        <v>579</v>
      </c>
      <c r="AV260" t="s">
        <v>580</v>
      </c>
      <c r="AW260" t="s">
        <v>581</v>
      </c>
      <c r="AX260" s="8" t="str">
        <f>"22903"</f>
        <v>22903</v>
      </c>
      <c r="AY260" t="s">
        <v>118</v>
      </c>
      <c r="BA260" s="10">
        <v>14342634300</v>
      </c>
      <c r="BC260" t="s">
        <v>675</v>
      </c>
      <c r="BD260" t="s">
        <v>583</v>
      </c>
      <c r="BG260" t="s">
        <v>543</v>
      </c>
      <c r="BH260" s="1">
        <v>45250.791666666664</v>
      </c>
      <c r="BI260">
        <v>40</v>
      </c>
      <c r="BJ260">
        <v>0</v>
      </c>
      <c r="BK260">
        <v>8</v>
      </c>
      <c r="BL260">
        <v>8</v>
      </c>
      <c r="BM260">
        <v>8</v>
      </c>
      <c r="BN260">
        <v>8</v>
      </c>
      <c r="BO260">
        <v>8</v>
      </c>
      <c r="BP260">
        <v>0</v>
      </c>
      <c r="BQ260" t="str">
        <f>"7:00 AM"</f>
        <v>7:00 AM</v>
      </c>
      <c r="BR260" t="str">
        <f>"4:00 PM"</f>
        <v>4:00 PM</v>
      </c>
      <c r="BS260" t="s">
        <v>131</v>
      </c>
      <c r="BT260">
        <v>0</v>
      </c>
      <c r="BU260">
        <v>0</v>
      </c>
      <c r="BV260" t="s">
        <v>114</v>
      </c>
      <c r="BX260" s="2" t="s">
        <v>10869</v>
      </c>
      <c r="BY260" t="s">
        <v>10866</v>
      </c>
      <c r="CA260" t="s">
        <v>10868</v>
      </c>
      <c r="CB260" t="s">
        <v>543</v>
      </c>
      <c r="CC260" s="8" t="str">
        <f>"43068"</f>
        <v>43068</v>
      </c>
      <c r="CD260" t="s">
        <v>535</v>
      </c>
      <c r="CE260" t="s">
        <v>2272</v>
      </c>
      <c r="CF260" s="12">
        <v>17.46</v>
      </c>
      <c r="CG260" s="12">
        <v>17.46</v>
      </c>
      <c r="CH260" s="12">
        <v>26.19</v>
      </c>
      <c r="CI260" s="12">
        <v>26.19</v>
      </c>
      <c r="CJ260" t="s">
        <v>135</v>
      </c>
      <c r="CK260" t="s">
        <v>590</v>
      </c>
      <c r="CL260" t="s">
        <v>10870</v>
      </c>
      <c r="CO260" t="s">
        <v>132</v>
      </c>
      <c r="CP260" t="s">
        <v>136</v>
      </c>
      <c r="CQ260" t="s">
        <v>136</v>
      </c>
      <c r="CR260" t="s">
        <v>136</v>
      </c>
      <c r="CS260" t="s">
        <v>136</v>
      </c>
      <c r="CT260" t="s">
        <v>136</v>
      </c>
      <c r="CU260" t="s">
        <v>136</v>
      </c>
      <c r="CV260" t="s">
        <v>10871</v>
      </c>
      <c r="CW260" s="10" t="str">
        <f>"+16147597033"</f>
        <v>+16147597033</v>
      </c>
      <c r="CX260" t="s">
        <v>132</v>
      </c>
      <c r="CY260" t="s">
        <v>2025</v>
      </c>
      <c r="CZ260" t="s">
        <v>137</v>
      </c>
      <c r="DA260" t="s">
        <v>114</v>
      </c>
      <c r="DB260" t="s">
        <v>136</v>
      </c>
      <c r="DC260" t="s">
        <v>136</v>
      </c>
      <c r="DD260" t="s">
        <v>114</v>
      </c>
      <c r="DE260" t="s">
        <v>673</v>
      </c>
      <c r="DF260" t="s">
        <v>674</v>
      </c>
      <c r="DH260" t="s">
        <v>583</v>
      </c>
      <c r="DI260" t="s">
        <v>675</v>
      </c>
    </row>
    <row r="261" spans="1:113" ht="15" customHeight="1" x14ac:dyDescent="0.25">
      <c r="A261" t="s">
        <v>7627</v>
      </c>
      <c r="B261" t="s">
        <v>152</v>
      </c>
      <c r="C261" s="1">
        <v>45251.01615127315</v>
      </c>
      <c r="D261" s="1">
        <v>45279</v>
      </c>
      <c r="E261" t="s">
        <v>132</v>
      </c>
      <c r="F261" t="s">
        <v>2744</v>
      </c>
      <c r="G261" t="str">
        <f>"37-3011.00"</f>
        <v>37-3011.00</v>
      </c>
      <c r="H261" t="s">
        <v>429</v>
      </c>
      <c r="I261">
        <v>7</v>
      </c>
      <c r="J261">
        <v>7</v>
      </c>
      <c r="K261" s="1">
        <v>45341</v>
      </c>
      <c r="L261" s="1">
        <v>45626</v>
      </c>
      <c r="M261" s="1">
        <v>45341</v>
      </c>
      <c r="N261" s="1">
        <v>45626</v>
      </c>
      <c r="O261" t="s">
        <v>238</v>
      </c>
      <c r="P261" t="s">
        <v>7628</v>
      </c>
      <c r="R261" t="s">
        <v>7629</v>
      </c>
      <c r="S261" t="s">
        <v>7630</v>
      </c>
      <c r="T261" t="s">
        <v>6828</v>
      </c>
      <c r="U261" t="s">
        <v>892</v>
      </c>
      <c r="V261" s="8" t="str">
        <f>"59870"</f>
        <v>59870</v>
      </c>
      <c r="W261" t="s">
        <v>118</v>
      </c>
      <c r="Y261" s="10">
        <v>14063638733</v>
      </c>
      <c r="AA261">
        <v>56173</v>
      </c>
      <c r="AB261" t="s">
        <v>7631</v>
      </c>
      <c r="AC261" t="s">
        <v>1821</v>
      </c>
      <c r="AE261" t="s">
        <v>561</v>
      </c>
      <c r="AF261" t="s">
        <v>7629</v>
      </c>
      <c r="AH261" t="s">
        <v>6828</v>
      </c>
      <c r="AI261" t="s">
        <v>892</v>
      </c>
      <c r="AJ261" s="8" t="str">
        <f>"59870"</f>
        <v>59870</v>
      </c>
      <c r="AK261" t="s">
        <v>118</v>
      </c>
      <c r="AM261" s="10">
        <v>14063638733</v>
      </c>
      <c r="AO261" t="s">
        <v>7632</v>
      </c>
      <c r="AP261" t="s">
        <v>248</v>
      </c>
      <c r="AQ261" t="s">
        <v>960</v>
      </c>
      <c r="AR261" t="s">
        <v>961</v>
      </c>
      <c r="AS261" t="s">
        <v>962</v>
      </c>
      <c r="AT261" t="s">
        <v>963</v>
      </c>
      <c r="AU261" t="s">
        <v>296</v>
      </c>
      <c r="AV261" t="s">
        <v>964</v>
      </c>
      <c r="AW261" t="s">
        <v>127</v>
      </c>
      <c r="AX261" s="8" t="str">
        <f>"75033"</f>
        <v>75033</v>
      </c>
      <c r="AY261" t="s">
        <v>118</v>
      </c>
      <c r="BA261" s="10">
        <v>19727789690</v>
      </c>
      <c r="BC261" t="s">
        <v>1951</v>
      </c>
      <c r="BD261" t="s">
        <v>966</v>
      </c>
      <c r="BG261" t="s">
        <v>892</v>
      </c>
      <c r="BH261" s="1">
        <v>45250.791666666664</v>
      </c>
      <c r="BI261">
        <v>40</v>
      </c>
      <c r="BJ261">
        <v>0</v>
      </c>
      <c r="BK261">
        <v>8</v>
      </c>
      <c r="BL261">
        <v>8</v>
      </c>
      <c r="BM261">
        <v>8</v>
      </c>
      <c r="BN261">
        <v>8</v>
      </c>
      <c r="BO261">
        <v>8</v>
      </c>
      <c r="BP261">
        <v>0</v>
      </c>
      <c r="BQ261" t="str">
        <f>"8:00 AM"</f>
        <v>8:00 AM</v>
      </c>
      <c r="BR261" t="str">
        <f>"4:30 PM"</f>
        <v>4:30 PM</v>
      </c>
      <c r="BS261" t="s">
        <v>131</v>
      </c>
      <c r="BT261">
        <v>0</v>
      </c>
      <c r="BU261">
        <v>0</v>
      </c>
      <c r="BV261" t="s">
        <v>114</v>
      </c>
      <c r="BX261" s="2" t="s">
        <v>7633</v>
      </c>
      <c r="BY261" t="s">
        <v>7629</v>
      </c>
      <c r="CA261" t="s">
        <v>6828</v>
      </c>
      <c r="CB261" t="s">
        <v>892</v>
      </c>
      <c r="CC261" s="8" t="str">
        <f>"59870"</f>
        <v>59870</v>
      </c>
      <c r="CD261" t="s">
        <v>6833</v>
      </c>
      <c r="CE261" t="s">
        <v>6834</v>
      </c>
      <c r="CF261" s="12">
        <v>18.309999999999999</v>
      </c>
      <c r="CG261" s="12">
        <v>18.309999999999999</v>
      </c>
      <c r="CH261" s="12">
        <v>27.47</v>
      </c>
      <c r="CI261" s="12">
        <v>27.47</v>
      </c>
      <c r="CJ261" t="s">
        <v>135</v>
      </c>
      <c r="CK261" t="s">
        <v>973</v>
      </c>
      <c r="CL261" t="s">
        <v>7634</v>
      </c>
      <c r="CO261" t="s">
        <v>132</v>
      </c>
      <c r="CP261" t="s">
        <v>136</v>
      </c>
      <c r="CQ261" t="s">
        <v>136</v>
      </c>
      <c r="CR261" t="s">
        <v>136</v>
      </c>
      <c r="CS261" t="s">
        <v>136</v>
      </c>
      <c r="CT261" t="s">
        <v>136</v>
      </c>
      <c r="CU261" t="s">
        <v>136</v>
      </c>
      <c r="CV261" s="2" t="s">
        <v>7635</v>
      </c>
      <c r="CW261" s="10" t="str">
        <f>"+14063638733"</f>
        <v>+14063638733</v>
      </c>
      <c r="CX261" t="s">
        <v>132</v>
      </c>
      <c r="CY261" t="s">
        <v>7636</v>
      </c>
      <c r="CZ261" t="s">
        <v>137</v>
      </c>
      <c r="DA261" t="s">
        <v>114</v>
      </c>
      <c r="DB261" t="s">
        <v>114</v>
      </c>
      <c r="DC261" t="s">
        <v>136</v>
      </c>
      <c r="DD261" t="s">
        <v>114</v>
      </c>
    </row>
    <row r="262" spans="1:113" ht="15" customHeight="1" x14ac:dyDescent="0.25">
      <c r="A262" t="s">
        <v>12578</v>
      </c>
      <c r="B262" t="s">
        <v>152</v>
      </c>
      <c r="C262" s="1">
        <v>45250.635715972225</v>
      </c>
      <c r="D262" s="1">
        <v>45279</v>
      </c>
      <c r="E262" t="s">
        <v>132</v>
      </c>
      <c r="F262" t="s">
        <v>12579</v>
      </c>
      <c r="G262" t="str">
        <f>"37-2012.00"</f>
        <v>37-2012.00</v>
      </c>
      <c r="H262" t="s">
        <v>205</v>
      </c>
      <c r="I262">
        <v>15</v>
      </c>
      <c r="J262">
        <v>15</v>
      </c>
      <c r="K262" s="1">
        <v>45337</v>
      </c>
      <c r="L262" s="1">
        <v>45641</v>
      </c>
      <c r="M262" s="1">
        <v>45337</v>
      </c>
      <c r="N262" s="1">
        <v>45641</v>
      </c>
      <c r="O262" t="s">
        <v>116</v>
      </c>
      <c r="P262" t="s">
        <v>12580</v>
      </c>
      <c r="R262" t="s">
        <v>12581</v>
      </c>
      <c r="S262" t="s">
        <v>12582</v>
      </c>
      <c r="T262" t="s">
        <v>3687</v>
      </c>
      <c r="U262" t="s">
        <v>2090</v>
      </c>
      <c r="V262" s="8" t="str">
        <f>"68848"</f>
        <v>68848</v>
      </c>
      <c r="W262" t="s">
        <v>118</v>
      </c>
      <c r="Y262" s="10">
        <v>13089910306</v>
      </c>
      <c r="AA262">
        <v>561720</v>
      </c>
      <c r="AB262" t="s">
        <v>12583</v>
      </c>
      <c r="AC262" t="s">
        <v>2849</v>
      </c>
      <c r="AE262" t="s">
        <v>11168</v>
      </c>
      <c r="AF262" t="s">
        <v>12581</v>
      </c>
      <c r="AH262" t="s">
        <v>3687</v>
      </c>
      <c r="AI262" t="s">
        <v>2090</v>
      </c>
      <c r="AJ262" s="8" t="str">
        <f>"68848"</f>
        <v>68848</v>
      </c>
      <c r="AK262" t="s">
        <v>118</v>
      </c>
      <c r="AM262" s="10">
        <v>13089910306</v>
      </c>
      <c r="AO262" t="s">
        <v>796</v>
      </c>
      <c r="AP262" t="s">
        <v>248</v>
      </c>
      <c r="AQ262" t="s">
        <v>5249</v>
      </c>
      <c r="AR262" t="s">
        <v>5250</v>
      </c>
      <c r="AT262" t="s">
        <v>3691</v>
      </c>
      <c r="AU262" t="s">
        <v>3692</v>
      </c>
      <c r="AV262" t="s">
        <v>2814</v>
      </c>
      <c r="AW262" t="s">
        <v>2608</v>
      </c>
      <c r="AX262" s="8" t="str">
        <f>"74136"</f>
        <v>74136</v>
      </c>
      <c r="AY262" t="s">
        <v>118</v>
      </c>
      <c r="BA262" s="10">
        <v>19189065212</v>
      </c>
      <c r="BC262" t="s">
        <v>5251</v>
      </c>
      <c r="BD262" t="s">
        <v>3695</v>
      </c>
      <c r="BG262" t="s">
        <v>2090</v>
      </c>
      <c r="BH262" s="1">
        <v>45186.833333333336</v>
      </c>
      <c r="BI262">
        <v>35</v>
      </c>
      <c r="BJ262">
        <v>5</v>
      </c>
      <c r="BK262">
        <v>5</v>
      </c>
      <c r="BL262">
        <v>5</v>
      </c>
      <c r="BM262">
        <v>5</v>
      </c>
      <c r="BN262">
        <v>5</v>
      </c>
      <c r="BO262">
        <v>5</v>
      </c>
      <c r="BP262">
        <v>5</v>
      </c>
      <c r="BQ262" t="str">
        <f>"9:00 AM"</f>
        <v>9:00 AM</v>
      </c>
      <c r="BR262" t="str">
        <f>"2:30 PM"</f>
        <v>2:30 PM</v>
      </c>
      <c r="BS262" t="s">
        <v>131</v>
      </c>
      <c r="BT262">
        <v>0</v>
      </c>
      <c r="BU262">
        <v>3</v>
      </c>
      <c r="BV262" t="s">
        <v>114</v>
      </c>
      <c r="BX262" s="2" t="s">
        <v>12584</v>
      </c>
      <c r="BY262" t="s">
        <v>12585</v>
      </c>
      <c r="CA262" t="s">
        <v>3687</v>
      </c>
      <c r="CB262" t="s">
        <v>2090</v>
      </c>
      <c r="CC262" s="8" t="str">
        <f>"68847"</f>
        <v>68847</v>
      </c>
      <c r="CD262" t="s">
        <v>3698</v>
      </c>
      <c r="CE262" t="s">
        <v>2275</v>
      </c>
      <c r="CF262" s="12">
        <v>13.5</v>
      </c>
      <c r="CG262" s="12">
        <v>13.5</v>
      </c>
      <c r="CH262" s="12">
        <v>20.25</v>
      </c>
      <c r="CI262" s="12">
        <v>20.25</v>
      </c>
      <c r="CJ262" t="s">
        <v>135</v>
      </c>
      <c r="CK262" t="s">
        <v>3699</v>
      </c>
      <c r="CL262" t="s">
        <v>12586</v>
      </c>
      <c r="CO262" t="s">
        <v>132</v>
      </c>
      <c r="CP262" t="s">
        <v>136</v>
      </c>
      <c r="CQ262" t="s">
        <v>114</v>
      </c>
      <c r="CR262" t="s">
        <v>136</v>
      </c>
      <c r="CS262" t="s">
        <v>136</v>
      </c>
      <c r="CT262" t="s">
        <v>136</v>
      </c>
      <c r="CU262" t="s">
        <v>136</v>
      </c>
      <c r="CV262" s="2" t="s">
        <v>12587</v>
      </c>
      <c r="CW262" s="10" t="str">
        <f>"+13089910306"</f>
        <v>+13089910306</v>
      </c>
      <c r="CX262" t="s">
        <v>132</v>
      </c>
      <c r="CY262" t="s">
        <v>5252</v>
      </c>
      <c r="CZ262" t="s">
        <v>137</v>
      </c>
      <c r="DA262" t="s">
        <v>114</v>
      </c>
      <c r="DB262" t="s">
        <v>136</v>
      </c>
      <c r="DC262" t="s">
        <v>136</v>
      </c>
      <c r="DD262" t="s">
        <v>114</v>
      </c>
    </row>
    <row r="263" spans="1:113" ht="15" customHeight="1" x14ac:dyDescent="0.25">
      <c r="A263" t="s">
        <v>18773</v>
      </c>
      <c r="B263" t="s">
        <v>152</v>
      </c>
      <c r="C263" s="1">
        <v>45250.635178472221</v>
      </c>
      <c r="D263" s="1">
        <v>45279</v>
      </c>
      <c r="E263" t="s">
        <v>132</v>
      </c>
      <c r="F263" t="s">
        <v>2324</v>
      </c>
      <c r="G263" t="str">
        <f>"35-3023.00"</f>
        <v>35-3023.00</v>
      </c>
      <c r="H263" t="s">
        <v>1365</v>
      </c>
      <c r="I263">
        <v>6</v>
      </c>
      <c r="J263">
        <v>6</v>
      </c>
      <c r="K263" s="1">
        <v>45325</v>
      </c>
      <c r="L263" s="1">
        <v>45619</v>
      </c>
      <c r="M263" s="1">
        <v>45325</v>
      </c>
      <c r="N263" s="1">
        <v>45619</v>
      </c>
      <c r="O263" t="s">
        <v>238</v>
      </c>
      <c r="P263" t="s">
        <v>18774</v>
      </c>
      <c r="R263" t="s">
        <v>18775</v>
      </c>
      <c r="T263" t="s">
        <v>1437</v>
      </c>
      <c r="U263" t="s">
        <v>558</v>
      </c>
      <c r="V263" s="8" t="str">
        <f>"85308"</f>
        <v>85308</v>
      </c>
      <c r="W263" t="s">
        <v>118</v>
      </c>
      <c r="Y263" s="10">
        <v>16026175292</v>
      </c>
      <c r="AA263">
        <v>71399</v>
      </c>
      <c r="AB263" t="s">
        <v>18776</v>
      </c>
      <c r="AC263" t="s">
        <v>1826</v>
      </c>
      <c r="AE263" t="s">
        <v>561</v>
      </c>
      <c r="AF263" t="s">
        <v>18775</v>
      </c>
      <c r="AH263" t="s">
        <v>1437</v>
      </c>
      <c r="AI263" t="s">
        <v>558</v>
      </c>
      <c r="AJ263" s="8" t="str">
        <f>"85308"</f>
        <v>85308</v>
      </c>
      <c r="AK263" t="s">
        <v>118</v>
      </c>
      <c r="AM263" s="10">
        <v>16028820555</v>
      </c>
      <c r="AO263" t="s">
        <v>18777</v>
      </c>
      <c r="AP263" t="s">
        <v>248</v>
      </c>
      <c r="AQ263" t="s">
        <v>249</v>
      </c>
      <c r="AR263" t="s">
        <v>250</v>
      </c>
      <c r="AS263" t="s">
        <v>251</v>
      </c>
      <c r="AT263" t="s">
        <v>252</v>
      </c>
      <c r="AU263" t="s">
        <v>253</v>
      </c>
      <c r="AV263" t="s">
        <v>254</v>
      </c>
      <c r="AW263" t="s">
        <v>127</v>
      </c>
      <c r="AX263" s="8" t="str">
        <f>"78550"</f>
        <v>78550</v>
      </c>
      <c r="AY263" t="s">
        <v>118</v>
      </c>
      <c r="AZ263" t="s">
        <v>255</v>
      </c>
      <c r="BA263" s="10">
        <v>19564408720</v>
      </c>
      <c r="BB263" s="3" t="s">
        <v>256</v>
      </c>
      <c r="BC263" t="s">
        <v>257</v>
      </c>
      <c r="BD263" t="s">
        <v>258</v>
      </c>
      <c r="BG263" t="s">
        <v>558</v>
      </c>
      <c r="BH263" s="1">
        <v>45249.791666666664</v>
      </c>
      <c r="BI263">
        <v>40</v>
      </c>
      <c r="BJ263">
        <v>8</v>
      </c>
      <c r="BK263">
        <v>0</v>
      </c>
      <c r="BL263">
        <v>0</v>
      </c>
      <c r="BM263">
        <v>8</v>
      </c>
      <c r="BN263">
        <v>8</v>
      </c>
      <c r="BO263">
        <v>8</v>
      </c>
      <c r="BP263">
        <v>8</v>
      </c>
      <c r="BQ263" t="str">
        <f>"1:00 PM"</f>
        <v>1:00 PM</v>
      </c>
      <c r="BR263" t="str">
        <f>"10:00 PM"</f>
        <v>10:00 PM</v>
      </c>
      <c r="BS263" t="s">
        <v>131</v>
      </c>
      <c r="BT263">
        <v>0</v>
      </c>
      <c r="BU263">
        <v>0</v>
      </c>
      <c r="BV263" t="s">
        <v>114</v>
      </c>
      <c r="BX263" s="2" t="s">
        <v>259</v>
      </c>
      <c r="BY263" t="s">
        <v>18778</v>
      </c>
      <c r="CA263" t="s">
        <v>18779</v>
      </c>
      <c r="CB263" t="s">
        <v>558</v>
      </c>
      <c r="CC263" s="8" t="str">
        <f>"85381"</f>
        <v>85381</v>
      </c>
      <c r="CD263" t="s">
        <v>1391</v>
      </c>
      <c r="CE263" t="s">
        <v>565</v>
      </c>
      <c r="CF263" s="12">
        <v>12.19</v>
      </c>
      <c r="CG263" s="12">
        <v>18.38</v>
      </c>
      <c r="CJ263" t="s">
        <v>135</v>
      </c>
      <c r="CK263" t="s">
        <v>264</v>
      </c>
      <c r="CL263" t="s">
        <v>18780</v>
      </c>
      <c r="CM263" t="s">
        <v>18781</v>
      </c>
      <c r="CO263" t="s">
        <v>132</v>
      </c>
      <c r="CP263" t="s">
        <v>136</v>
      </c>
      <c r="CQ263" t="s">
        <v>136</v>
      </c>
      <c r="CR263" t="s">
        <v>114</v>
      </c>
      <c r="CS263" t="s">
        <v>136</v>
      </c>
      <c r="CT263" t="s">
        <v>136</v>
      </c>
      <c r="CU263" t="s">
        <v>136</v>
      </c>
      <c r="CV263" t="s">
        <v>14239</v>
      </c>
      <c r="CW263" s="10" t="str">
        <f>"+16026175292"</f>
        <v>+16026175292</v>
      </c>
      <c r="CX263" t="s">
        <v>18777</v>
      </c>
      <c r="CY263" t="s">
        <v>132</v>
      </c>
      <c r="CZ263" t="s">
        <v>137</v>
      </c>
      <c r="DA263" t="s">
        <v>114</v>
      </c>
      <c r="DB263" t="s">
        <v>136</v>
      </c>
      <c r="DC263" t="s">
        <v>136</v>
      </c>
      <c r="DD263" t="s">
        <v>114</v>
      </c>
    </row>
    <row r="264" spans="1:113" ht="15" customHeight="1" x14ac:dyDescent="0.25">
      <c r="A264" t="s">
        <v>13828</v>
      </c>
      <c r="B264" t="s">
        <v>152</v>
      </c>
      <c r="C264" s="1">
        <v>45247.706576620367</v>
      </c>
      <c r="D264" s="1">
        <v>45279</v>
      </c>
      <c r="E264" t="s">
        <v>132</v>
      </c>
      <c r="F264" t="s">
        <v>570</v>
      </c>
      <c r="G264" t="str">
        <f>"47-2061.00"</f>
        <v>47-2061.00</v>
      </c>
      <c r="H264" t="s">
        <v>570</v>
      </c>
      <c r="I264">
        <v>18</v>
      </c>
      <c r="J264">
        <v>18</v>
      </c>
      <c r="K264" s="1">
        <v>45337</v>
      </c>
      <c r="L264" s="1">
        <v>45626</v>
      </c>
      <c r="M264" s="1">
        <v>45337</v>
      </c>
      <c r="N264" s="1">
        <v>45626</v>
      </c>
      <c r="O264" t="s">
        <v>116</v>
      </c>
      <c r="P264" t="s">
        <v>13829</v>
      </c>
      <c r="R264" t="s">
        <v>13830</v>
      </c>
      <c r="T264" t="s">
        <v>10158</v>
      </c>
      <c r="U264" t="s">
        <v>1434</v>
      </c>
      <c r="V264" s="8" t="str">
        <f>"40065"</f>
        <v>40065</v>
      </c>
      <c r="W264" t="s">
        <v>118</v>
      </c>
      <c r="Y264" s="10">
        <v>18592542866</v>
      </c>
      <c r="AA264">
        <v>2381</v>
      </c>
      <c r="AB264" t="s">
        <v>7882</v>
      </c>
      <c r="AC264" t="s">
        <v>1826</v>
      </c>
      <c r="AE264" t="s">
        <v>13831</v>
      </c>
      <c r="AF264" t="s">
        <v>13830</v>
      </c>
      <c r="AH264" t="s">
        <v>10158</v>
      </c>
      <c r="AI264" t="s">
        <v>1434</v>
      </c>
      <c r="AJ264" s="8" t="str">
        <f>"40065"</f>
        <v>40065</v>
      </c>
      <c r="AK264" t="s">
        <v>118</v>
      </c>
      <c r="AM264" s="10">
        <v>18592542866</v>
      </c>
      <c r="AO264" t="s">
        <v>13832</v>
      </c>
      <c r="AP264" t="s">
        <v>248</v>
      </c>
      <c r="AQ264" t="s">
        <v>3290</v>
      </c>
      <c r="AR264" t="s">
        <v>2001</v>
      </c>
      <c r="AT264" t="s">
        <v>3291</v>
      </c>
      <c r="AV264" t="s">
        <v>3292</v>
      </c>
      <c r="AW264" t="s">
        <v>402</v>
      </c>
      <c r="AX264" s="8" t="str">
        <f>"93446"</f>
        <v>93446</v>
      </c>
      <c r="AY264" t="s">
        <v>118</v>
      </c>
      <c r="AZ264" t="s">
        <v>3293</v>
      </c>
      <c r="BA264" s="10">
        <v>13217042589</v>
      </c>
      <c r="BC264" t="s">
        <v>3294</v>
      </c>
      <c r="BD264" t="s">
        <v>3295</v>
      </c>
      <c r="BG264" t="s">
        <v>1434</v>
      </c>
      <c r="BH264" s="1">
        <v>45232.833333333336</v>
      </c>
      <c r="BI264">
        <v>42</v>
      </c>
      <c r="BJ264">
        <v>0</v>
      </c>
      <c r="BK264">
        <v>7</v>
      </c>
      <c r="BL264">
        <v>7</v>
      </c>
      <c r="BM264">
        <v>7</v>
      </c>
      <c r="BN264">
        <v>7</v>
      </c>
      <c r="BO264">
        <v>7</v>
      </c>
      <c r="BP264">
        <v>7</v>
      </c>
      <c r="BQ264" t="str">
        <f>"6:00 AM"</f>
        <v>6:00 AM</v>
      </c>
      <c r="BR264" t="str">
        <f>"5:00 PM"</f>
        <v>5:00 PM</v>
      </c>
      <c r="BS264" t="s">
        <v>131</v>
      </c>
      <c r="BT264">
        <v>0</v>
      </c>
      <c r="BU264">
        <v>12</v>
      </c>
      <c r="BV264" t="s">
        <v>114</v>
      </c>
      <c r="BX264" s="2" t="s">
        <v>13833</v>
      </c>
      <c r="BY264" t="s">
        <v>13830</v>
      </c>
      <c r="CA264" t="s">
        <v>10158</v>
      </c>
      <c r="CB264" t="s">
        <v>1434</v>
      </c>
      <c r="CC264" s="8" t="str">
        <f>"40356"</f>
        <v>40356</v>
      </c>
      <c r="CD264" t="s">
        <v>1054</v>
      </c>
      <c r="CE264" t="s">
        <v>1768</v>
      </c>
      <c r="CF264" s="12">
        <v>21.24</v>
      </c>
      <c r="CG264" s="12">
        <v>21.24</v>
      </c>
      <c r="CH264" s="12">
        <v>31.86</v>
      </c>
      <c r="CI264" s="12">
        <v>31.86</v>
      </c>
      <c r="CJ264" t="s">
        <v>135</v>
      </c>
      <c r="CK264" t="s">
        <v>5469</v>
      </c>
      <c r="CL264" t="s">
        <v>13834</v>
      </c>
      <c r="CO264" t="s">
        <v>132</v>
      </c>
      <c r="CP264" t="s">
        <v>136</v>
      </c>
      <c r="CQ264" t="s">
        <v>136</v>
      </c>
      <c r="CR264" t="s">
        <v>136</v>
      </c>
      <c r="CS264" t="s">
        <v>136</v>
      </c>
      <c r="CT264" t="s">
        <v>136</v>
      </c>
      <c r="CU264" t="s">
        <v>136</v>
      </c>
      <c r="CV264" s="2" t="s">
        <v>13835</v>
      </c>
      <c r="CW264" s="10" t="str">
        <f>"+15026471082"</f>
        <v>+15026471082</v>
      </c>
      <c r="CX264" t="s">
        <v>13836</v>
      </c>
      <c r="CY264" t="s">
        <v>132</v>
      </c>
      <c r="CZ264" t="s">
        <v>137</v>
      </c>
      <c r="DA264" t="s">
        <v>114</v>
      </c>
      <c r="DB264" t="s">
        <v>114</v>
      </c>
      <c r="DC264" t="s">
        <v>136</v>
      </c>
      <c r="DD264" t="s">
        <v>114</v>
      </c>
    </row>
    <row r="265" spans="1:113" ht="15" customHeight="1" x14ac:dyDescent="0.25">
      <c r="A265" t="s">
        <v>17973</v>
      </c>
      <c r="B265" t="s">
        <v>152</v>
      </c>
      <c r="C265" s="1">
        <v>45247.621361689817</v>
      </c>
      <c r="D265" s="1">
        <v>45279</v>
      </c>
      <c r="E265" t="s">
        <v>132</v>
      </c>
      <c r="F265" t="s">
        <v>2866</v>
      </c>
      <c r="G265" t="str">
        <f>"35-9021.00"</f>
        <v>35-9021.00</v>
      </c>
      <c r="H265" t="s">
        <v>501</v>
      </c>
      <c r="I265">
        <v>7</v>
      </c>
      <c r="J265">
        <v>7</v>
      </c>
      <c r="K265" s="1">
        <v>45332</v>
      </c>
      <c r="L265" s="1">
        <v>45626</v>
      </c>
      <c r="M265" s="1">
        <v>45332</v>
      </c>
      <c r="N265" s="1">
        <v>45626</v>
      </c>
      <c r="O265" t="s">
        <v>116</v>
      </c>
      <c r="P265" t="s">
        <v>17974</v>
      </c>
      <c r="Q265" t="s">
        <v>17975</v>
      </c>
      <c r="R265" t="s">
        <v>17976</v>
      </c>
      <c r="S265" t="s">
        <v>17977</v>
      </c>
      <c r="T265" t="s">
        <v>17978</v>
      </c>
      <c r="U265" t="s">
        <v>402</v>
      </c>
      <c r="V265" s="8" t="str">
        <f>"95345"</f>
        <v>95345</v>
      </c>
      <c r="W265" t="s">
        <v>118</v>
      </c>
      <c r="Y265" s="10">
        <v>12099666666</v>
      </c>
      <c r="AA265">
        <v>721199</v>
      </c>
      <c r="AB265" t="s">
        <v>1988</v>
      </c>
      <c r="AC265" t="s">
        <v>10982</v>
      </c>
      <c r="AD265" t="s">
        <v>425</v>
      </c>
      <c r="AE265" t="s">
        <v>987</v>
      </c>
      <c r="AF265" t="s">
        <v>17976</v>
      </c>
      <c r="AG265" t="s">
        <v>17977</v>
      </c>
      <c r="AH265" t="s">
        <v>17978</v>
      </c>
      <c r="AI265" t="s">
        <v>402</v>
      </c>
      <c r="AJ265" s="8" t="str">
        <f>"95345"</f>
        <v>95345</v>
      </c>
      <c r="AK265" t="s">
        <v>118</v>
      </c>
      <c r="AM265" s="10">
        <v>12099666666</v>
      </c>
      <c r="AO265" t="s">
        <v>17979</v>
      </c>
      <c r="AP265" t="s">
        <v>121</v>
      </c>
      <c r="AQ265" t="s">
        <v>587</v>
      </c>
      <c r="AR265" t="s">
        <v>278</v>
      </c>
      <c r="AS265" t="s">
        <v>631</v>
      </c>
      <c r="AT265" t="s">
        <v>632</v>
      </c>
      <c r="AU265" t="s">
        <v>633</v>
      </c>
      <c r="AV265" t="s">
        <v>634</v>
      </c>
      <c r="AW265" t="s">
        <v>375</v>
      </c>
      <c r="AX265" s="8" t="str">
        <f>"28328"</f>
        <v>28328</v>
      </c>
      <c r="AY265" t="s">
        <v>118</v>
      </c>
      <c r="BA265" s="10">
        <v>19105924121</v>
      </c>
      <c r="BC265" t="s">
        <v>635</v>
      </c>
      <c r="BD265" t="s">
        <v>636</v>
      </c>
      <c r="BE265" t="s">
        <v>375</v>
      </c>
      <c r="BF265" t="s">
        <v>172</v>
      </c>
      <c r="BG265" t="s">
        <v>402</v>
      </c>
      <c r="BH265" s="1">
        <v>45245.791666666664</v>
      </c>
      <c r="BI265">
        <v>40</v>
      </c>
      <c r="BJ265">
        <v>6</v>
      </c>
      <c r="BK265">
        <v>5</v>
      </c>
      <c r="BL265">
        <v>5</v>
      </c>
      <c r="BM265">
        <v>6</v>
      </c>
      <c r="BN265">
        <v>6</v>
      </c>
      <c r="BO265">
        <v>6</v>
      </c>
      <c r="BP265">
        <v>6</v>
      </c>
      <c r="BQ265" t="str">
        <f>"7:00 AM"</f>
        <v>7:00 AM</v>
      </c>
      <c r="BR265" t="str">
        <f>"3:00 PM"</f>
        <v>3:00 PM</v>
      </c>
      <c r="BS265" t="s">
        <v>131</v>
      </c>
      <c r="BT265">
        <v>0</v>
      </c>
      <c r="BU265">
        <v>0</v>
      </c>
      <c r="BV265" t="s">
        <v>114</v>
      </c>
      <c r="BX265" s="2" t="s">
        <v>17980</v>
      </c>
      <c r="BY265" t="s">
        <v>17976</v>
      </c>
      <c r="CA265" t="s">
        <v>17978</v>
      </c>
      <c r="CB265" t="s">
        <v>402</v>
      </c>
      <c r="CC265" s="8" t="str">
        <f>"95345"</f>
        <v>95345</v>
      </c>
      <c r="CD265" t="s">
        <v>9746</v>
      </c>
      <c r="CE265" t="s">
        <v>1356</v>
      </c>
      <c r="CF265" s="12">
        <v>16.34</v>
      </c>
      <c r="CG265" s="12">
        <v>16.34</v>
      </c>
      <c r="CH265" s="12">
        <v>24.51</v>
      </c>
      <c r="CI265" s="12">
        <v>24.51</v>
      </c>
      <c r="CJ265" t="s">
        <v>135</v>
      </c>
      <c r="CK265" t="s">
        <v>17981</v>
      </c>
      <c r="CL265" t="s">
        <v>17982</v>
      </c>
      <c r="CO265" t="s">
        <v>132</v>
      </c>
      <c r="CP265" t="s">
        <v>114</v>
      </c>
      <c r="CQ265" t="s">
        <v>114</v>
      </c>
      <c r="CR265" t="s">
        <v>136</v>
      </c>
      <c r="CS265" t="s">
        <v>114</v>
      </c>
      <c r="CT265" t="s">
        <v>136</v>
      </c>
      <c r="CU265" t="s">
        <v>136</v>
      </c>
      <c r="CV265" t="s">
        <v>17983</v>
      </c>
      <c r="CW265" s="10" t="str">
        <f>"+12099666666"</f>
        <v>+12099666666</v>
      </c>
      <c r="CX265" t="s">
        <v>17984</v>
      </c>
      <c r="CY265" t="s">
        <v>645</v>
      </c>
      <c r="CZ265" t="s">
        <v>137</v>
      </c>
      <c r="DA265" t="s">
        <v>114</v>
      </c>
      <c r="DB265" t="s">
        <v>114</v>
      </c>
      <c r="DC265" t="s">
        <v>136</v>
      </c>
      <c r="DD265" t="s">
        <v>114</v>
      </c>
    </row>
    <row r="266" spans="1:113" ht="15" customHeight="1" x14ac:dyDescent="0.25">
      <c r="A266" t="s">
        <v>17436</v>
      </c>
      <c r="B266" t="s">
        <v>152</v>
      </c>
      <c r="C266" s="1">
        <v>45247.427302777774</v>
      </c>
      <c r="D266" s="1">
        <v>45279</v>
      </c>
      <c r="E266" t="s">
        <v>132</v>
      </c>
      <c r="F266" t="s">
        <v>2744</v>
      </c>
      <c r="G266" t="str">
        <f>"37-3011.00"</f>
        <v>37-3011.00</v>
      </c>
      <c r="H266" t="s">
        <v>429</v>
      </c>
      <c r="I266">
        <v>25</v>
      </c>
      <c r="J266">
        <v>25</v>
      </c>
      <c r="K266" s="1">
        <v>45337</v>
      </c>
      <c r="L266" s="1">
        <v>45640</v>
      </c>
      <c r="M266" s="1">
        <v>45337</v>
      </c>
      <c r="N266" s="1">
        <v>45640</v>
      </c>
      <c r="O266" t="s">
        <v>238</v>
      </c>
      <c r="P266" t="s">
        <v>17437</v>
      </c>
      <c r="R266" t="s">
        <v>17438</v>
      </c>
      <c r="T266" t="s">
        <v>2748</v>
      </c>
      <c r="U266" t="s">
        <v>333</v>
      </c>
      <c r="V266" s="8" t="str">
        <f>"71106"</f>
        <v>71106</v>
      </c>
      <c r="W266" t="s">
        <v>118</v>
      </c>
      <c r="Y266" s="10">
        <v>13186864103</v>
      </c>
      <c r="AA266">
        <v>56173</v>
      </c>
      <c r="AB266" t="s">
        <v>1187</v>
      </c>
      <c r="AC266" t="s">
        <v>17439</v>
      </c>
      <c r="AD266" t="s">
        <v>475</v>
      </c>
      <c r="AE266" t="s">
        <v>3519</v>
      </c>
      <c r="AF266" t="s">
        <v>17440</v>
      </c>
      <c r="AH266" t="s">
        <v>17441</v>
      </c>
      <c r="AI266" t="s">
        <v>333</v>
      </c>
      <c r="AJ266" s="8" t="str">
        <f>"71106"</f>
        <v>71106</v>
      </c>
      <c r="AK266" t="s">
        <v>118</v>
      </c>
      <c r="AM266" s="10">
        <v>13186864103</v>
      </c>
      <c r="AO266" t="s">
        <v>17442</v>
      </c>
      <c r="AP266" t="s">
        <v>248</v>
      </c>
      <c r="AQ266" t="s">
        <v>5168</v>
      </c>
      <c r="AR266" t="s">
        <v>2187</v>
      </c>
      <c r="AS266" t="s">
        <v>628</v>
      </c>
      <c r="AT266" t="s">
        <v>5169</v>
      </c>
      <c r="AV266" t="s">
        <v>5170</v>
      </c>
      <c r="AW266" t="s">
        <v>581</v>
      </c>
      <c r="AX266" s="8" t="str">
        <f>"23505"</f>
        <v>23505</v>
      </c>
      <c r="AY266" t="s">
        <v>118</v>
      </c>
      <c r="BA266" s="10">
        <v>18043019607</v>
      </c>
      <c r="BC266" t="s">
        <v>5171</v>
      </c>
      <c r="BD266" t="s">
        <v>5172</v>
      </c>
      <c r="BG266" t="s">
        <v>333</v>
      </c>
      <c r="BH266" s="1">
        <v>45243.791666666664</v>
      </c>
      <c r="BI266">
        <v>40</v>
      </c>
      <c r="BJ266">
        <v>0</v>
      </c>
      <c r="BK266">
        <v>8</v>
      </c>
      <c r="BL266">
        <v>8</v>
      </c>
      <c r="BM266">
        <v>8</v>
      </c>
      <c r="BN266">
        <v>8</v>
      </c>
      <c r="BO266">
        <v>8</v>
      </c>
      <c r="BP266">
        <v>0</v>
      </c>
      <c r="BQ266" t="str">
        <f>"7:00 AM"</f>
        <v>7:00 AM</v>
      </c>
      <c r="BR266" t="str">
        <f>"4:00 PM"</f>
        <v>4:00 PM</v>
      </c>
      <c r="BS266" t="s">
        <v>131</v>
      </c>
      <c r="BT266">
        <v>0</v>
      </c>
      <c r="BU266">
        <v>3</v>
      </c>
      <c r="BV266" t="s">
        <v>114</v>
      </c>
      <c r="BX266" t="s">
        <v>17443</v>
      </c>
      <c r="BY266" t="s">
        <v>17438</v>
      </c>
      <c r="CA266" t="s">
        <v>2748</v>
      </c>
      <c r="CB266" t="s">
        <v>333</v>
      </c>
      <c r="CC266" s="8" t="str">
        <f>"71106"</f>
        <v>71106</v>
      </c>
      <c r="CD266" t="s">
        <v>2750</v>
      </c>
      <c r="CE266" t="s">
        <v>2751</v>
      </c>
      <c r="CF266" s="12">
        <v>14.9</v>
      </c>
      <c r="CG266" s="12">
        <v>14.9</v>
      </c>
      <c r="CH266" s="12">
        <v>22.35</v>
      </c>
      <c r="CI266" s="12">
        <v>22.35</v>
      </c>
      <c r="CJ266" t="s">
        <v>135</v>
      </c>
      <c r="CK266" t="s">
        <v>12551</v>
      </c>
      <c r="CL266" t="s">
        <v>17444</v>
      </c>
      <c r="CO266" t="s">
        <v>132</v>
      </c>
      <c r="CP266" t="s">
        <v>114</v>
      </c>
      <c r="CQ266" t="s">
        <v>136</v>
      </c>
      <c r="CR266" t="s">
        <v>136</v>
      </c>
      <c r="CS266" t="s">
        <v>114</v>
      </c>
      <c r="CT266" t="s">
        <v>136</v>
      </c>
      <c r="CU266" t="s">
        <v>114</v>
      </c>
      <c r="CV266" t="s">
        <v>13495</v>
      </c>
      <c r="CW266" s="10" t="str">
        <f>"+13186864103"</f>
        <v>+13186864103</v>
      </c>
      <c r="CX266" t="s">
        <v>17445</v>
      </c>
      <c r="CY266" t="s">
        <v>132</v>
      </c>
      <c r="CZ266" t="s">
        <v>137</v>
      </c>
      <c r="DA266" t="s">
        <v>114</v>
      </c>
      <c r="DB266" t="s">
        <v>136</v>
      </c>
      <c r="DC266" t="s">
        <v>136</v>
      </c>
      <c r="DD266" t="s">
        <v>114</v>
      </c>
      <c r="DE266" t="s">
        <v>5168</v>
      </c>
      <c r="DF266" t="s">
        <v>2187</v>
      </c>
      <c r="DG266" t="s">
        <v>628</v>
      </c>
      <c r="DH266" t="s">
        <v>5172</v>
      </c>
      <c r="DI266" t="s">
        <v>5171</v>
      </c>
    </row>
    <row r="267" spans="1:113" ht="15" customHeight="1" x14ac:dyDescent="0.25">
      <c r="A267" t="s">
        <v>19055</v>
      </c>
      <c r="B267" t="s">
        <v>152</v>
      </c>
      <c r="C267" s="1">
        <v>45247.405005555556</v>
      </c>
      <c r="D267" s="1">
        <v>45279</v>
      </c>
      <c r="E267" t="s">
        <v>132</v>
      </c>
      <c r="F267" t="s">
        <v>3245</v>
      </c>
      <c r="G267" t="str">
        <f>"37-3011.00"</f>
        <v>37-3011.00</v>
      </c>
      <c r="H267" t="s">
        <v>429</v>
      </c>
      <c r="I267">
        <v>3</v>
      </c>
      <c r="J267">
        <v>3</v>
      </c>
      <c r="K267" s="1">
        <v>45337</v>
      </c>
      <c r="L267" s="1">
        <v>45611</v>
      </c>
      <c r="M267" s="1">
        <v>45337</v>
      </c>
      <c r="N267" s="1">
        <v>45611</v>
      </c>
      <c r="O267" t="s">
        <v>116</v>
      </c>
      <c r="P267" t="s">
        <v>19056</v>
      </c>
      <c r="Q267" t="s">
        <v>19057</v>
      </c>
      <c r="R267" t="s">
        <v>19058</v>
      </c>
      <c r="S267" t="s">
        <v>19059</v>
      </c>
      <c r="T267" t="s">
        <v>16220</v>
      </c>
      <c r="U267" t="s">
        <v>127</v>
      </c>
      <c r="V267" s="8" t="str">
        <f>"75022"</f>
        <v>75022</v>
      </c>
      <c r="W267" t="s">
        <v>118</v>
      </c>
      <c r="Y267" s="10">
        <v>18174910929</v>
      </c>
      <c r="AA267">
        <v>56173</v>
      </c>
      <c r="AB267" t="s">
        <v>19060</v>
      </c>
      <c r="AC267" t="s">
        <v>2404</v>
      </c>
      <c r="AE267" t="s">
        <v>120</v>
      </c>
      <c r="AF267" t="s">
        <v>19058</v>
      </c>
      <c r="AG267" t="s">
        <v>19059</v>
      </c>
      <c r="AH267" t="s">
        <v>16220</v>
      </c>
      <c r="AI267" t="s">
        <v>127</v>
      </c>
      <c r="AJ267" s="8" t="str">
        <f>"75022"</f>
        <v>75022</v>
      </c>
      <c r="AK267" t="s">
        <v>118</v>
      </c>
      <c r="AM267" s="10">
        <v>18174910929</v>
      </c>
      <c r="AO267" t="s">
        <v>19061</v>
      </c>
      <c r="AP267" t="s">
        <v>248</v>
      </c>
      <c r="AQ267" t="s">
        <v>3017</v>
      </c>
      <c r="AR267" t="s">
        <v>3018</v>
      </c>
      <c r="AT267" t="s">
        <v>3019</v>
      </c>
      <c r="AV267" t="s">
        <v>1168</v>
      </c>
      <c r="AW267" t="s">
        <v>127</v>
      </c>
      <c r="AX267" s="8" t="str">
        <f>"75098"</f>
        <v>75098</v>
      </c>
      <c r="AY267" t="s">
        <v>118</v>
      </c>
      <c r="BA267" s="10">
        <v>19724424244</v>
      </c>
      <c r="BC267" t="s">
        <v>3020</v>
      </c>
      <c r="BD267" t="s">
        <v>3021</v>
      </c>
      <c r="BG267" t="s">
        <v>127</v>
      </c>
      <c r="BH267" s="1">
        <v>45256.791666666664</v>
      </c>
      <c r="BI267">
        <v>40</v>
      </c>
      <c r="BJ267">
        <v>0</v>
      </c>
      <c r="BK267">
        <v>8</v>
      </c>
      <c r="BL267">
        <v>8</v>
      </c>
      <c r="BM267">
        <v>8</v>
      </c>
      <c r="BN267">
        <v>8</v>
      </c>
      <c r="BO267">
        <v>8</v>
      </c>
      <c r="BP267">
        <v>0</v>
      </c>
      <c r="BQ267" t="str">
        <f>"7:00 AM"</f>
        <v>7:00 AM</v>
      </c>
      <c r="BR267" t="str">
        <f>"6:00 PM"</f>
        <v>6:00 PM</v>
      </c>
      <c r="BS267" t="s">
        <v>131</v>
      </c>
      <c r="BT267">
        <v>0</v>
      </c>
      <c r="BU267">
        <v>0</v>
      </c>
      <c r="BV267" t="s">
        <v>114</v>
      </c>
      <c r="BX267" t="s">
        <v>131</v>
      </c>
      <c r="BY267" t="s">
        <v>19058</v>
      </c>
      <c r="CA267" t="s">
        <v>16220</v>
      </c>
      <c r="CB267" t="s">
        <v>127</v>
      </c>
      <c r="CC267" s="8" t="str">
        <f>"75022"</f>
        <v>75022</v>
      </c>
      <c r="CD267" t="s">
        <v>3259</v>
      </c>
      <c r="CE267" t="s">
        <v>263</v>
      </c>
      <c r="CF267" s="12">
        <v>16.86</v>
      </c>
      <c r="CG267" s="12">
        <v>18.489999999999998</v>
      </c>
      <c r="CH267" s="12">
        <v>25.29</v>
      </c>
      <c r="CI267" s="12">
        <v>27.74</v>
      </c>
      <c r="CJ267" t="s">
        <v>135</v>
      </c>
      <c r="CK267" t="s">
        <v>132</v>
      </c>
      <c r="CL267" t="s">
        <v>19062</v>
      </c>
      <c r="CO267" t="s">
        <v>132</v>
      </c>
      <c r="CP267" t="s">
        <v>136</v>
      </c>
      <c r="CQ267" t="s">
        <v>136</v>
      </c>
      <c r="CR267" t="s">
        <v>136</v>
      </c>
      <c r="CS267" t="s">
        <v>136</v>
      </c>
      <c r="CT267" t="s">
        <v>136</v>
      </c>
      <c r="CU267" t="s">
        <v>136</v>
      </c>
      <c r="CV267" t="s">
        <v>19063</v>
      </c>
      <c r="CW267" s="10" t="str">
        <f>"+18174910929"</f>
        <v>+18174910929</v>
      </c>
      <c r="CX267" t="s">
        <v>132</v>
      </c>
      <c r="CY267" t="s">
        <v>3190</v>
      </c>
      <c r="CZ267" t="s">
        <v>137</v>
      </c>
      <c r="DA267" t="s">
        <v>114</v>
      </c>
      <c r="DB267" t="s">
        <v>114</v>
      </c>
      <c r="DC267" t="s">
        <v>136</v>
      </c>
      <c r="DD267" t="s">
        <v>114</v>
      </c>
    </row>
    <row r="268" spans="1:113" ht="15" customHeight="1" x14ac:dyDescent="0.25">
      <c r="A268" t="s">
        <v>23154</v>
      </c>
      <c r="B268" t="s">
        <v>152</v>
      </c>
      <c r="C268" s="1">
        <v>45247.401251157411</v>
      </c>
      <c r="D268" s="1">
        <v>45279</v>
      </c>
      <c r="E268" t="s">
        <v>132</v>
      </c>
      <c r="F268" t="s">
        <v>1595</v>
      </c>
      <c r="G268" t="str">
        <f>"37-3011.00"</f>
        <v>37-3011.00</v>
      </c>
      <c r="H268" t="s">
        <v>429</v>
      </c>
      <c r="I268">
        <v>7</v>
      </c>
      <c r="J268">
        <v>7</v>
      </c>
      <c r="K268" s="1">
        <v>45337</v>
      </c>
      <c r="L268" s="1">
        <v>45611</v>
      </c>
      <c r="M268" s="1">
        <v>45337</v>
      </c>
      <c r="N268" s="1">
        <v>45611</v>
      </c>
      <c r="O268" t="s">
        <v>116</v>
      </c>
      <c r="P268" t="s">
        <v>7223</v>
      </c>
      <c r="R268" t="s">
        <v>7224</v>
      </c>
      <c r="T268" t="s">
        <v>1814</v>
      </c>
      <c r="U268" t="s">
        <v>333</v>
      </c>
      <c r="V268" s="8" t="str">
        <f>"70809"</f>
        <v>70809</v>
      </c>
      <c r="W268" t="s">
        <v>118</v>
      </c>
      <c r="Y268" s="10">
        <v>17135746430</v>
      </c>
      <c r="AA268">
        <v>56173</v>
      </c>
      <c r="AB268" t="s">
        <v>4896</v>
      </c>
      <c r="AC268" t="s">
        <v>250</v>
      </c>
      <c r="AD268" t="s">
        <v>1829</v>
      </c>
      <c r="AE268" t="s">
        <v>629</v>
      </c>
      <c r="AF268" t="s">
        <v>7224</v>
      </c>
      <c r="AH268" t="s">
        <v>1814</v>
      </c>
      <c r="AI268" t="s">
        <v>333</v>
      </c>
      <c r="AJ268" s="8" t="str">
        <f>"70809"</f>
        <v>70809</v>
      </c>
      <c r="AK268" t="s">
        <v>118</v>
      </c>
      <c r="AM268" s="10">
        <v>17135746430</v>
      </c>
      <c r="AO268" t="s">
        <v>4897</v>
      </c>
      <c r="AP268" t="s">
        <v>248</v>
      </c>
      <c r="AQ268" t="s">
        <v>3017</v>
      </c>
      <c r="AR268" t="s">
        <v>3018</v>
      </c>
      <c r="AT268" t="s">
        <v>3371</v>
      </c>
      <c r="AV268" t="s">
        <v>1168</v>
      </c>
      <c r="AW268" t="s">
        <v>127</v>
      </c>
      <c r="AX268" s="8" t="str">
        <f>"75098"</f>
        <v>75098</v>
      </c>
      <c r="AY268" t="s">
        <v>118</v>
      </c>
      <c r="BA268" s="10">
        <v>19724424244</v>
      </c>
      <c r="BC268" t="s">
        <v>3372</v>
      </c>
      <c r="BD268" t="s">
        <v>3021</v>
      </c>
      <c r="BG268" t="s">
        <v>127</v>
      </c>
      <c r="BH268" s="1">
        <v>45246.791666666664</v>
      </c>
      <c r="BI268">
        <v>40</v>
      </c>
      <c r="BJ268">
        <v>0</v>
      </c>
      <c r="BK268">
        <v>8</v>
      </c>
      <c r="BL268">
        <v>8</v>
      </c>
      <c r="BM268">
        <v>8</v>
      </c>
      <c r="BN268">
        <v>8</v>
      </c>
      <c r="BO268">
        <v>8</v>
      </c>
      <c r="BP268">
        <v>0</v>
      </c>
      <c r="BQ268" t="str">
        <f>"5:30 AM"</f>
        <v>5:30 AM</v>
      </c>
      <c r="BR268" t="str">
        <f>"4:00 PM"</f>
        <v>4:00 PM</v>
      </c>
      <c r="BS268" t="s">
        <v>131</v>
      </c>
      <c r="BT268">
        <v>0</v>
      </c>
      <c r="BU268">
        <v>0</v>
      </c>
      <c r="BV268" t="s">
        <v>114</v>
      </c>
      <c r="BX268" t="s">
        <v>131</v>
      </c>
      <c r="BY268" t="s">
        <v>23155</v>
      </c>
      <c r="CA268" t="s">
        <v>7800</v>
      </c>
      <c r="CB268" t="s">
        <v>127</v>
      </c>
      <c r="CC268" s="8" t="str">
        <f>"77429"</f>
        <v>77429</v>
      </c>
      <c r="CD268" t="s">
        <v>3327</v>
      </c>
      <c r="CE268" t="s">
        <v>879</v>
      </c>
      <c r="CF268" s="12">
        <v>16.29</v>
      </c>
      <c r="CG268" s="12">
        <v>20</v>
      </c>
      <c r="CH268" s="12">
        <v>24.44</v>
      </c>
      <c r="CI268" s="12">
        <v>30</v>
      </c>
      <c r="CJ268" t="s">
        <v>135</v>
      </c>
      <c r="CK268" t="s">
        <v>132</v>
      </c>
      <c r="CL268" t="s">
        <v>23156</v>
      </c>
      <c r="CO268" t="s">
        <v>132</v>
      </c>
      <c r="CP268" t="s">
        <v>136</v>
      </c>
      <c r="CQ268" t="s">
        <v>136</v>
      </c>
      <c r="CR268" t="s">
        <v>136</v>
      </c>
      <c r="CS268" t="s">
        <v>136</v>
      </c>
      <c r="CT268" t="s">
        <v>136</v>
      </c>
      <c r="CU268" t="s">
        <v>136</v>
      </c>
      <c r="CV268" t="s">
        <v>4899</v>
      </c>
      <c r="CW268" s="10" t="str">
        <f>"+17135746430"</f>
        <v>+17135746430</v>
      </c>
      <c r="CX268" t="s">
        <v>132</v>
      </c>
      <c r="CY268" t="s">
        <v>3190</v>
      </c>
      <c r="CZ268" t="s">
        <v>137</v>
      </c>
      <c r="DA268" t="s">
        <v>114</v>
      </c>
      <c r="DB268" t="s">
        <v>114</v>
      </c>
      <c r="DC268" t="s">
        <v>136</v>
      </c>
      <c r="DD268" t="s">
        <v>114</v>
      </c>
    </row>
    <row r="269" spans="1:113" ht="15" customHeight="1" x14ac:dyDescent="0.25">
      <c r="A269" t="s">
        <v>13839</v>
      </c>
      <c r="B269" t="s">
        <v>152</v>
      </c>
      <c r="C269" s="1">
        <v>45247.399193750003</v>
      </c>
      <c r="D269" s="1">
        <v>45279</v>
      </c>
      <c r="E269" t="s">
        <v>132</v>
      </c>
      <c r="F269" t="s">
        <v>1595</v>
      </c>
      <c r="G269" t="str">
        <f>"37-3011.00"</f>
        <v>37-3011.00</v>
      </c>
      <c r="H269" t="s">
        <v>429</v>
      </c>
      <c r="I269">
        <v>4</v>
      </c>
      <c r="J269">
        <v>4</v>
      </c>
      <c r="K269" s="1">
        <v>45337</v>
      </c>
      <c r="L269" s="1">
        <v>45611</v>
      </c>
      <c r="M269" s="1">
        <v>45337</v>
      </c>
      <c r="N269" s="1">
        <v>45611</v>
      </c>
      <c r="O269" t="s">
        <v>116</v>
      </c>
      <c r="P269" t="s">
        <v>13840</v>
      </c>
      <c r="R269" t="s">
        <v>13841</v>
      </c>
      <c r="S269" t="s">
        <v>13842</v>
      </c>
      <c r="T269" t="s">
        <v>13843</v>
      </c>
      <c r="U269" t="s">
        <v>127</v>
      </c>
      <c r="V269" s="8" t="str">
        <f>"76273"</f>
        <v>76273</v>
      </c>
      <c r="W269" t="s">
        <v>118</v>
      </c>
      <c r="Y269" s="10">
        <v>15122957535</v>
      </c>
      <c r="AA269">
        <v>56173</v>
      </c>
      <c r="AB269" t="s">
        <v>2667</v>
      </c>
      <c r="AC269" t="s">
        <v>514</v>
      </c>
      <c r="AE269" t="s">
        <v>629</v>
      </c>
      <c r="AF269" t="s">
        <v>13841</v>
      </c>
      <c r="AG269" t="s">
        <v>13842</v>
      </c>
      <c r="AH269" t="s">
        <v>13843</v>
      </c>
      <c r="AI269" t="s">
        <v>127</v>
      </c>
      <c r="AJ269" s="8" t="str">
        <f>"76273"</f>
        <v>76273</v>
      </c>
      <c r="AK269" t="s">
        <v>118</v>
      </c>
      <c r="AM269" s="10">
        <v>15122957535</v>
      </c>
      <c r="AO269" t="s">
        <v>13844</v>
      </c>
      <c r="AP269" t="s">
        <v>248</v>
      </c>
      <c r="AQ269" t="s">
        <v>3017</v>
      </c>
      <c r="AR269" t="s">
        <v>3018</v>
      </c>
      <c r="AT269" t="s">
        <v>3371</v>
      </c>
      <c r="AV269" t="s">
        <v>1168</v>
      </c>
      <c r="AW269" t="s">
        <v>127</v>
      </c>
      <c r="AX269" s="8" t="str">
        <f>"75098"</f>
        <v>75098</v>
      </c>
      <c r="AY269" t="s">
        <v>118</v>
      </c>
      <c r="BA269" s="10">
        <v>19724424244</v>
      </c>
      <c r="BC269" t="s">
        <v>3372</v>
      </c>
      <c r="BD269" t="s">
        <v>3021</v>
      </c>
      <c r="BG269" t="s">
        <v>127</v>
      </c>
      <c r="BH269" s="1">
        <v>45246.791666666664</v>
      </c>
      <c r="BI269">
        <v>40</v>
      </c>
      <c r="BJ269">
        <v>0</v>
      </c>
      <c r="BK269">
        <v>8</v>
      </c>
      <c r="BL269">
        <v>8</v>
      </c>
      <c r="BM269">
        <v>8</v>
      </c>
      <c r="BN269">
        <v>8</v>
      </c>
      <c r="BO269">
        <v>8</v>
      </c>
      <c r="BP269">
        <v>0</v>
      </c>
      <c r="BQ269" t="str">
        <f>"8:00 AM"</f>
        <v>8:00 AM</v>
      </c>
      <c r="BR269" t="str">
        <f>"5:00 PM"</f>
        <v>5:00 PM</v>
      </c>
      <c r="BS269" t="s">
        <v>131</v>
      </c>
      <c r="BT269">
        <v>0</v>
      </c>
      <c r="BU269">
        <v>0</v>
      </c>
      <c r="BV269" t="s">
        <v>114</v>
      </c>
      <c r="BX269" t="s">
        <v>131</v>
      </c>
      <c r="BY269" t="s">
        <v>13841</v>
      </c>
      <c r="CA269" t="s">
        <v>13843</v>
      </c>
      <c r="CB269" t="s">
        <v>127</v>
      </c>
      <c r="CC269" s="8" t="str">
        <f>"76273"</f>
        <v>76273</v>
      </c>
      <c r="CD269" t="s">
        <v>3259</v>
      </c>
      <c r="CE269" t="s">
        <v>263</v>
      </c>
      <c r="CF269" s="12">
        <v>16.86</v>
      </c>
      <c r="CG269" s="12">
        <v>18.86</v>
      </c>
      <c r="CH269" s="12">
        <v>25.29</v>
      </c>
      <c r="CI269" s="12">
        <v>28.29</v>
      </c>
      <c r="CJ269" t="s">
        <v>135</v>
      </c>
      <c r="CK269" t="s">
        <v>132</v>
      </c>
      <c r="CL269" t="s">
        <v>13845</v>
      </c>
      <c r="CO269" t="s">
        <v>132</v>
      </c>
      <c r="CP269" t="s">
        <v>136</v>
      </c>
      <c r="CQ269" t="s">
        <v>136</v>
      </c>
      <c r="CR269" t="s">
        <v>136</v>
      </c>
      <c r="CS269" t="s">
        <v>136</v>
      </c>
      <c r="CT269" t="s">
        <v>136</v>
      </c>
      <c r="CU269" t="s">
        <v>136</v>
      </c>
      <c r="CV269" t="s">
        <v>13846</v>
      </c>
      <c r="CW269" s="10" t="str">
        <f>"+15122957535"</f>
        <v>+15122957535</v>
      </c>
      <c r="CX269" t="s">
        <v>132</v>
      </c>
      <c r="CY269" t="s">
        <v>3190</v>
      </c>
      <c r="CZ269" t="s">
        <v>137</v>
      </c>
      <c r="DA269" t="s">
        <v>114</v>
      </c>
      <c r="DB269" t="s">
        <v>114</v>
      </c>
      <c r="DC269" t="s">
        <v>136</v>
      </c>
      <c r="DD269" t="s">
        <v>114</v>
      </c>
    </row>
    <row r="270" spans="1:113" ht="15" customHeight="1" x14ac:dyDescent="0.25">
      <c r="A270" t="s">
        <v>24079</v>
      </c>
      <c r="B270" t="s">
        <v>152</v>
      </c>
      <c r="C270" s="1">
        <v>45247.397950347222</v>
      </c>
      <c r="D270" s="1">
        <v>45279</v>
      </c>
      <c r="E270" t="s">
        <v>132</v>
      </c>
      <c r="F270" t="s">
        <v>24080</v>
      </c>
      <c r="G270" t="str">
        <f>"37-1012.00"</f>
        <v>37-1012.00</v>
      </c>
      <c r="H270" t="s">
        <v>3140</v>
      </c>
      <c r="I270">
        <v>2</v>
      </c>
      <c r="J270">
        <v>2</v>
      </c>
      <c r="K270" s="1">
        <v>45337</v>
      </c>
      <c r="L270" s="1">
        <v>45611</v>
      </c>
      <c r="M270" s="1">
        <v>45337</v>
      </c>
      <c r="N270" s="1">
        <v>45611</v>
      </c>
      <c r="O270" t="s">
        <v>116</v>
      </c>
      <c r="P270" t="s">
        <v>13840</v>
      </c>
      <c r="R270" t="s">
        <v>15352</v>
      </c>
      <c r="S270" t="s">
        <v>24081</v>
      </c>
      <c r="T270" t="s">
        <v>5793</v>
      </c>
      <c r="U270" t="s">
        <v>127</v>
      </c>
      <c r="V270" s="8" t="str">
        <f>"78610"</f>
        <v>78610</v>
      </c>
      <c r="W270" t="s">
        <v>118</v>
      </c>
      <c r="Y270" s="10">
        <v>15122957535</v>
      </c>
      <c r="AA270">
        <v>56173</v>
      </c>
      <c r="AB270" t="s">
        <v>2667</v>
      </c>
      <c r="AC270" t="s">
        <v>514</v>
      </c>
      <c r="AE270" t="s">
        <v>629</v>
      </c>
      <c r="AF270" t="s">
        <v>15352</v>
      </c>
      <c r="AG270" t="s">
        <v>24081</v>
      </c>
      <c r="AH270" t="s">
        <v>5793</v>
      </c>
      <c r="AI270" t="s">
        <v>127</v>
      </c>
      <c r="AJ270" s="8" t="str">
        <f>"78610"</f>
        <v>78610</v>
      </c>
      <c r="AK270" t="s">
        <v>118</v>
      </c>
      <c r="AM270" s="10">
        <v>15122957535</v>
      </c>
      <c r="AO270" t="s">
        <v>13844</v>
      </c>
      <c r="AP270" t="s">
        <v>248</v>
      </c>
      <c r="AQ270" t="s">
        <v>3017</v>
      </c>
      <c r="AR270" t="s">
        <v>3018</v>
      </c>
      <c r="AT270" t="s">
        <v>3371</v>
      </c>
      <c r="AV270" t="s">
        <v>1168</v>
      </c>
      <c r="AW270" t="s">
        <v>127</v>
      </c>
      <c r="AX270" s="8" t="str">
        <f>"75098"</f>
        <v>75098</v>
      </c>
      <c r="AY270" t="s">
        <v>118</v>
      </c>
      <c r="BA270" s="10">
        <v>19724424244</v>
      </c>
      <c r="BC270" t="s">
        <v>3372</v>
      </c>
      <c r="BD270" t="s">
        <v>3021</v>
      </c>
      <c r="BG270" t="s">
        <v>127</v>
      </c>
      <c r="BH270" s="1">
        <v>45246.791666666664</v>
      </c>
      <c r="BI270">
        <v>40</v>
      </c>
      <c r="BJ270">
        <v>0</v>
      </c>
      <c r="BK270">
        <v>8</v>
      </c>
      <c r="BL270">
        <v>8</v>
      </c>
      <c r="BM270">
        <v>8</v>
      </c>
      <c r="BN270">
        <v>8</v>
      </c>
      <c r="BO270">
        <v>8</v>
      </c>
      <c r="BP270">
        <v>0</v>
      </c>
      <c r="BQ270" t="str">
        <f>"8:00 AM"</f>
        <v>8:00 AM</v>
      </c>
      <c r="BR270" t="str">
        <f>"5:00 PM"</f>
        <v>5:00 PM</v>
      </c>
      <c r="BS270" t="s">
        <v>131</v>
      </c>
      <c r="BT270">
        <v>0</v>
      </c>
      <c r="BU270">
        <v>6</v>
      </c>
      <c r="BV270" t="s">
        <v>136</v>
      </c>
      <c r="BW270">
        <v>5</v>
      </c>
      <c r="BX270" t="s">
        <v>24082</v>
      </c>
      <c r="BY270" t="s">
        <v>15352</v>
      </c>
      <c r="CA270" t="s">
        <v>5793</v>
      </c>
      <c r="CB270" t="s">
        <v>127</v>
      </c>
      <c r="CC270" s="8" t="str">
        <f>"78610"</f>
        <v>78610</v>
      </c>
      <c r="CD270" t="s">
        <v>5800</v>
      </c>
      <c r="CE270" t="s">
        <v>324</v>
      </c>
      <c r="CF270" s="12">
        <v>24.81</v>
      </c>
      <c r="CG270" s="12">
        <v>26.81</v>
      </c>
      <c r="CH270" s="12">
        <v>37.22</v>
      </c>
      <c r="CI270" s="12">
        <v>40.22</v>
      </c>
      <c r="CJ270" t="s">
        <v>135</v>
      </c>
      <c r="CK270" t="s">
        <v>132</v>
      </c>
      <c r="CL270" t="s">
        <v>24083</v>
      </c>
      <c r="CO270" t="s">
        <v>132</v>
      </c>
      <c r="CP270" t="s">
        <v>136</v>
      </c>
      <c r="CQ270" t="s">
        <v>136</v>
      </c>
      <c r="CR270" t="s">
        <v>136</v>
      </c>
      <c r="CS270" t="s">
        <v>136</v>
      </c>
      <c r="CT270" t="s">
        <v>136</v>
      </c>
      <c r="CU270" t="s">
        <v>136</v>
      </c>
      <c r="CV270" s="2" t="s">
        <v>24084</v>
      </c>
      <c r="CW270" s="10" t="str">
        <f>"+15122957535"</f>
        <v>+15122957535</v>
      </c>
      <c r="CX270" t="s">
        <v>132</v>
      </c>
      <c r="CY270" t="s">
        <v>3190</v>
      </c>
      <c r="CZ270" t="s">
        <v>137</v>
      </c>
      <c r="DA270" t="s">
        <v>114</v>
      </c>
      <c r="DB270" t="s">
        <v>114</v>
      </c>
      <c r="DC270" t="s">
        <v>136</v>
      </c>
      <c r="DD270" t="s">
        <v>114</v>
      </c>
    </row>
    <row r="271" spans="1:113" ht="15" customHeight="1" x14ac:dyDescent="0.25">
      <c r="A271" t="s">
        <v>15351</v>
      </c>
      <c r="B271" t="s">
        <v>152</v>
      </c>
      <c r="C271" s="1">
        <v>45247.396409143519</v>
      </c>
      <c r="D271" s="1">
        <v>45279</v>
      </c>
      <c r="E271" t="s">
        <v>132</v>
      </c>
      <c r="F271" t="s">
        <v>1595</v>
      </c>
      <c r="G271" t="str">
        <f>"37-3011.00"</f>
        <v>37-3011.00</v>
      </c>
      <c r="H271" t="s">
        <v>429</v>
      </c>
      <c r="I271">
        <v>14</v>
      </c>
      <c r="J271">
        <v>14</v>
      </c>
      <c r="K271" s="1">
        <v>45337</v>
      </c>
      <c r="L271" s="1">
        <v>45611</v>
      </c>
      <c r="M271" s="1">
        <v>45337</v>
      </c>
      <c r="N271" s="1">
        <v>45611</v>
      </c>
      <c r="O271" t="s">
        <v>116</v>
      </c>
      <c r="P271" t="s">
        <v>13840</v>
      </c>
      <c r="R271" t="s">
        <v>15352</v>
      </c>
      <c r="S271" t="s">
        <v>13842</v>
      </c>
      <c r="T271" t="s">
        <v>5793</v>
      </c>
      <c r="U271" t="s">
        <v>127</v>
      </c>
      <c r="V271" s="8" t="str">
        <f>"78610"</f>
        <v>78610</v>
      </c>
      <c r="W271" t="s">
        <v>118</v>
      </c>
      <c r="Y271" s="10">
        <v>15122957535</v>
      </c>
      <c r="AA271">
        <v>56173</v>
      </c>
      <c r="AB271" t="s">
        <v>2667</v>
      </c>
      <c r="AC271" t="s">
        <v>514</v>
      </c>
      <c r="AE271" t="s">
        <v>629</v>
      </c>
      <c r="AF271" t="s">
        <v>15352</v>
      </c>
      <c r="AG271" t="s">
        <v>13842</v>
      </c>
      <c r="AH271" t="s">
        <v>5793</v>
      </c>
      <c r="AI271" t="s">
        <v>127</v>
      </c>
      <c r="AJ271" s="8" t="str">
        <f>"78610"</f>
        <v>78610</v>
      </c>
      <c r="AK271" t="s">
        <v>118</v>
      </c>
      <c r="AM271" s="10">
        <v>15122957535</v>
      </c>
      <c r="AO271" t="s">
        <v>13844</v>
      </c>
      <c r="AP271" t="s">
        <v>248</v>
      </c>
      <c r="AQ271" t="s">
        <v>3017</v>
      </c>
      <c r="AR271" t="s">
        <v>3018</v>
      </c>
      <c r="AT271" t="s">
        <v>3371</v>
      </c>
      <c r="AV271" t="s">
        <v>1168</v>
      </c>
      <c r="AW271" t="s">
        <v>127</v>
      </c>
      <c r="AX271" s="8" t="str">
        <f>"75098"</f>
        <v>75098</v>
      </c>
      <c r="AY271" t="s">
        <v>118</v>
      </c>
      <c r="BA271" s="10">
        <v>19724424244</v>
      </c>
      <c r="BC271" t="s">
        <v>3372</v>
      </c>
      <c r="BD271" t="s">
        <v>3021</v>
      </c>
      <c r="BG271" t="s">
        <v>127</v>
      </c>
      <c r="BH271" s="1">
        <v>45246.791666666664</v>
      </c>
      <c r="BI271">
        <v>40</v>
      </c>
      <c r="BJ271">
        <v>0</v>
      </c>
      <c r="BK271">
        <v>8</v>
      </c>
      <c r="BL271">
        <v>8</v>
      </c>
      <c r="BM271">
        <v>8</v>
      </c>
      <c r="BN271">
        <v>8</v>
      </c>
      <c r="BO271">
        <v>8</v>
      </c>
      <c r="BP271">
        <v>0</v>
      </c>
      <c r="BQ271" t="str">
        <f>"8:00 AM"</f>
        <v>8:00 AM</v>
      </c>
      <c r="BR271" t="str">
        <f>"5:00 PM"</f>
        <v>5:00 PM</v>
      </c>
      <c r="BS271" t="s">
        <v>131</v>
      </c>
      <c r="BT271">
        <v>0</v>
      </c>
      <c r="BU271">
        <v>0</v>
      </c>
      <c r="BV271" t="s">
        <v>114</v>
      </c>
      <c r="BX271" t="s">
        <v>131</v>
      </c>
      <c r="BY271" t="s">
        <v>15352</v>
      </c>
      <c r="CA271" t="s">
        <v>5793</v>
      </c>
      <c r="CB271" t="s">
        <v>127</v>
      </c>
      <c r="CC271" s="8" t="str">
        <f>"78610"</f>
        <v>78610</v>
      </c>
      <c r="CD271" t="s">
        <v>5800</v>
      </c>
      <c r="CE271" t="s">
        <v>324</v>
      </c>
      <c r="CF271" s="12">
        <v>16.91</v>
      </c>
      <c r="CG271" s="12">
        <v>18.91</v>
      </c>
      <c r="CH271" s="12">
        <v>25.37</v>
      </c>
      <c r="CI271" s="12">
        <v>28.37</v>
      </c>
      <c r="CJ271" t="s">
        <v>135</v>
      </c>
      <c r="CK271" t="s">
        <v>132</v>
      </c>
      <c r="CL271" t="s">
        <v>15353</v>
      </c>
      <c r="CO271" t="s">
        <v>132</v>
      </c>
      <c r="CP271" t="s">
        <v>136</v>
      </c>
      <c r="CQ271" t="s">
        <v>136</v>
      </c>
      <c r="CR271" t="s">
        <v>136</v>
      </c>
      <c r="CS271" t="s">
        <v>136</v>
      </c>
      <c r="CT271" t="s">
        <v>136</v>
      </c>
      <c r="CU271" t="s">
        <v>136</v>
      </c>
      <c r="CV271" t="s">
        <v>5425</v>
      </c>
      <c r="CW271" s="10" t="str">
        <f>"+15122957535"</f>
        <v>+15122957535</v>
      </c>
      <c r="CX271" t="s">
        <v>132</v>
      </c>
      <c r="CY271" t="s">
        <v>3190</v>
      </c>
      <c r="CZ271" t="s">
        <v>137</v>
      </c>
      <c r="DA271" t="s">
        <v>114</v>
      </c>
      <c r="DB271" t="s">
        <v>114</v>
      </c>
      <c r="DC271" t="s">
        <v>136</v>
      </c>
      <c r="DD271" t="s">
        <v>114</v>
      </c>
    </row>
    <row r="272" spans="1:113" ht="15" customHeight="1" x14ac:dyDescent="0.25">
      <c r="A272" t="s">
        <v>11335</v>
      </c>
      <c r="B272" t="s">
        <v>152</v>
      </c>
      <c r="C272" s="1">
        <v>45247.37928645833</v>
      </c>
      <c r="D272" s="1">
        <v>45279</v>
      </c>
      <c r="E272" t="s">
        <v>132</v>
      </c>
      <c r="F272" t="s">
        <v>4846</v>
      </c>
      <c r="G272" t="str">
        <f>"37-3011.00"</f>
        <v>37-3011.00</v>
      </c>
      <c r="H272" t="s">
        <v>429</v>
      </c>
      <c r="I272">
        <v>10</v>
      </c>
      <c r="J272">
        <v>10</v>
      </c>
      <c r="K272" s="1">
        <v>45337</v>
      </c>
      <c r="L272" s="1">
        <v>45570</v>
      </c>
      <c r="M272" s="1">
        <v>45337</v>
      </c>
      <c r="N272" s="1">
        <v>45570</v>
      </c>
      <c r="O272" t="s">
        <v>116</v>
      </c>
      <c r="P272" t="s">
        <v>11336</v>
      </c>
      <c r="Q272" t="s">
        <v>11337</v>
      </c>
      <c r="R272" t="s">
        <v>11338</v>
      </c>
      <c r="T272" t="s">
        <v>3255</v>
      </c>
      <c r="U272" t="s">
        <v>127</v>
      </c>
      <c r="V272" s="8" t="str">
        <f>"75057"</f>
        <v>75057</v>
      </c>
      <c r="W272" t="s">
        <v>118</v>
      </c>
      <c r="Y272" s="10">
        <v>19723532775</v>
      </c>
      <c r="AA272">
        <v>56173</v>
      </c>
      <c r="AB272" t="s">
        <v>11339</v>
      </c>
      <c r="AC272" t="s">
        <v>4686</v>
      </c>
      <c r="AE272" t="s">
        <v>629</v>
      </c>
      <c r="AF272" t="s">
        <v>11338</v>
      </c>
      <c r="AH272" t="s">
        <v>3255</v>
      </c>
      <c r="AI272" t="s">
        <v>127</v>
      </c>
      <c r="AJ272" s="8" t="str">
        <f>"75057"</f>
        <v>75057</v>
      </c>
      <c r="AK272" t="s">
        <v>118</v>
      </c>
      <c r="AM272" s="10">
        <v>19723532775</v>
      </c>
      <c r="AO272" t="s">
        <v>11340</v>
      </c>
      <c r="AP272" t="s">
        <v>248</v>
      </c>
      <c r="AQ272" t="s">
        <v>3017</v>
      </c>
      <c r="AR272" t="s">
        <v>3018</v>
      </c>
      <c r="AT272" t="s">
        <v>3019</v>
      </c>
      <c r="AV272" t="s">
        <v>1168</v>
      </c>
      <c r="AW272" t="s">
        <v>127</v>
      </c>
      <c r="AX272" s="8" t="str">
        <f>"75098"</f>
        <v>75098</v>
      </c>
      <c r="AY272" t="s">
        <v>118</v>
      </c>
      <c r="BA272" s="10">
        <v>19724424244</v>
      </c>
      <c r="BC272" t="s">
        <v>3020</v>
      </c>
      <c r="BD272" t="s">
        <v>3021</v>
      </c>
      <c r="BG272" t="s">
        <v>127</v>
      </c>
      <c r="BH272" s="1">
        <v>45246.791666666664</v>
      </c>
      <c r="BI272">
        <v>40</v>
      </c>
      <c r="BJ272">
        <v>0</v>
      </c>
      <c r="BK272">
        <v>8</v>
      </c>
      <c r="BL272">
        <v>8</v>
      </c>
      <c r="BM272">
        <v>8</v>
      </c>
      <c r="BN272">
        <v>8</v>
      </c>
      <c r="BO272">
        <v>8</v>
      </c>
      <c r="BP272">
        <v>0</v>
      </c>
      <c r="BQ272" t="str">
        <f>"7:00 AM"</f>
        <v>7:00 AM</v>
      </c>
      <c r="BR272" t="str">
        <f>"4:00 PM"</f>
        <v>4:00 PM</v>
      </c>
      <c r="BS272" t="s">
        <v>131</v>
      </c>
      <c r="BT272">
        <v>0</v>
      </c>
      <c r="BU272">
        <v>0</v>
      </c>
      <c r="BV272" t="s">
        <v>114</v>
      </c>
      <c r="BX272" t="s">
        <v>1480</v>
      </c>
      <c r="BY272" t="s">
        <v>11338</v>
      </c>
      <c r="CA272" t="s">
        <v>3255</v>
      </c>
      <c r="CB272" t="s">
        <v>127</v>
      </c>
      <c r="CC272" s="8" t="str">
        <f>"75057"</f>
        <v>75057</v>
      </c>
      <c r="CD272" t="s">
        <v>3259</v>
      </c>
      <c r="CE272" t="s">
        <v>263</v>
      </c>
      <c r="CF272" s="12">
        <v>16.86</v>
      </c>
      <c r="CG272" s="12">
        <v>18.86</v>
      </c>
      <c r="CH272" s="12">
        <v>25.29</v>
      </c>
      <c r="CI272" s="12">
        <v>28.29</v>
      </c>
      <c r="CJ272" t="s">
        <v>135</v>
      </c>
      <c r="CL272" t="s">
        <v>11341</v>
      </c>
      <c r="CO272" t="s">
        <v>132</v>
      </c>
      <c r="CP272" t="s">
        <v>136</v>
      </c>
      <c r="CQ272" t="s">
        <v>136</v>
      </c>
      <c r="CR272" t="s">
        <v>136</v>
      </c>
      <c r="CS272" t="s">
        <v>136</v>
      </c>
      <c r="CT272" t="s">
        <v>136</v>
      </c>
      <c r="CU272" t="s">
        <v>136</v>
      </c>
      <c r="CV272" t="s">
        <v>11342</v>
      </c>
      <c r="CW272" s="10" t="str">
        <f>"+19723532775"</f>
        <v>+19723532775</v>
      </c>
      <c r="CX272" t="s">
        <v>132</v>
      </c>
      <c r="CY272" t="s">
        <v>3190</v>
      </c>
      <c r="CZ272" t="s">
        <v>137</v>
      </c>
      <c r="DA272" t="s">
        <v>114</v>
      </c>
      <c r="DB272" t="s">
        <v>114</v>
      </c>
      <c r="DC272" t="s">
        <v>136</v>
      </c>
      <c r="DD272" t="s">
        <v>114</v>
      </c>
    </row>
    <row r="273" spans="1:108" ht="15" customHeight="1" x14ac:dyDescent="0.25">
      <c r="A273" t="s">
        <v>22058</v>
      </c>
      <c r="B273" t="s">
        <v>152</v>
      </c>
      <c r="C273" s="1">
        <v>45247.011459837966</v>
      </c>
      <c r="D273" s="1">
        <v>45279</v>
      </c>
      <c r="E273" t="s">
        <v>132</v>
      </c>
      <c r="F273" t="s">
        <v>1595</v>
      </c>
      <c r="G273" t="str">
        <f>"37-3011.00"</f>
        <v>37-3011.00</v>
      </c>
      <c r="H273" t="s">
        <v>429</v>
      </c>
      <c r="I273">
        <v>15</v>
      </c>
      <c r="J273">
        <v>15</v>
      </c>
      <c r="K273" s="1">
        <v>45337</v>
      </c>
      <c r="L273" s="1">
        <v>45626</v>
      </c>
      <c r="M273" s="1">
        <v>45337</v>
      </c>
      <c r="N273" s="1">
        <v>45626</v>
      </c>
      <c r="O273" t="s">
        <v>116</v>
      </c>
      <c r="P273" t="s">
        <v>22059</v>
      </c>
      <c r="Q273" t="s">
        <v>22060</v>
      </c>
      <c r="R273" t="s">
        <v>22061</v>
      </c>
      <c r="T273" t="s">
        <v>5635</v>
      </c>
      <c r="U273" t="s">
        <v>984</v>
      </c>
      <c r="V273" s="8" t="str">
        <f>"63040"</f>
        <v>63040</v>
      </c>
      <c r="W273" t="s">
        <v>118</v>
      </c>
      <c r="Y273" s="10">
        <v>13143240911</v>
      </c>
      <c r="AA273">
        <v>56173</v>
      </c>
      <c r="AB273" t="s">
        <v>2182</v>
      </c>
      <c r="AC273" t="s">
        <v>746</v>
      </c>
      <c r="AE273" t="s">
        <v>561</v>
      </c>
      <c r="AF273" t="s">
        <v>22061</v>
      </c>
      <c r="AH273" t="s">
        <v>5635</v>
      </c>
      <c r="AI273" t="s">
        <v>984</v>
      </c>
      <c r="AJ273" s="8" t="str">
        <f>"63040"</f>
        <v>63040</v>
      </c>
      <c r="AK273" t="s">
        <v>118</v>
      </c>
      <c r="AM273" s="10">
        <v>13148860911</v>
      </c>
      <c r="AO273" t="s">
        <v>22062</v>
      </c>
      <c r="AP273" t="s">
        <v>248</v>
      </c>
      <c r="AQ273" t="s">
        <v>960</v>
      </c>
      <c r="AR273" t="s">
        <v>961</v>
      </c>
      <c r="AS273" t="s">
        <v>962</v>
      </c>
      <c r="AT273" t="s">
        <v>963</v>
      </c>
      <c r="AU273" t="s">
        <v>296</v>
      </c>
      <c r="AV273" t="s">
        <v>964</v>
      </c>
      <c r="AW273" t="s">
        <v>127</v>
      </c>
      <c r="AX273" s="8" t="str">
        <f>"75033"</f>
        <v>75033</v>
      </c>
      <c r="AY273" t="s">
        <v>118</v>
      </c>
      <c r="BA273" s="10">
        <v>19727789690</v>
      </c>
      <c r="BC273" t="s">
        <v>1951</v>
      </c>
      <c r="BD273" t="s">
        <v>966</v>
      </c>
      <c r="BG273" t="s">
        <v>984</v>
      </c>
      <c r="BH273" s="1">
        <v>45246.791666666664</v>
      </c>
      <c r="BI273">
        <v>40</v>
      </c>
      <c r="BJ273">
        <v>0</v>
      </c>
      <c r="BK273">
        <v>8</v>
      </c>
      <c r="BL273">
        <v>8</v>
      </c>
      <c r="BM273">
        <v>8</v>
      </c>
      <c r="BN273">
        <v>8</v>
      </c>
      <c r="BO273">
        <v>8</v>
      </c>
      <c r="BP273">
        <v>0</v>
      </c>
      <c r="BQ273" t="str">
        <f>"7:00 AM"</f>
        <v>7:00 AM</v>
      </c>
      <c r="BR273" t="str">
        <f>"3:30 PM"</f>
        <v>3:30 PM</v>
      </c>
      <c r="BS273" t="s">
        <v>131</v>
      </c>
      <c r="BT273">
        <v>0</v>
      </c>
      <c r="BU273">
        <v>0</v>
      </c>
      <c r="BV273" t="s">
        <v>114</v>
      </c>
      <c r="BX273" s="2" t="s">
        <v>22063</v>
      </c>
      <c r="BY273" t="s">
        <v>22064</v>
      </c>
      <c r="CA273" t="s">
        <v>8134</v>
      </c>
      <c r="CB273" t="s">
        <v>984</v>
      </c>
      <c r="CC273" s="8" t="str">
        <f>"63038"</f>
        <v>63038</v>
      </c>
      <c r="CD273" t="s">
        <v>2851</v>
      </c>
      <c r="CE273" t="s">
        <v>1856</v>
      </c>
      <c r="CF273" s="12">
        <v>17.579999999999998</v>
      </c>
      <c r="CG273" s="12">
        <v>17.579999999999998</v>
      </c>
      <c r="CH273" s="12">
        <v>26.37</v>
      </c>
      <c r="CI273" s="12">
        <v>26.37</v>
      </c>
      <c r="CJ273" t="s">
        <v>135</v>
      </c>
      <c r="CK273" t="s">
        <v>973</v>
      </c>
      <c r="CL273" t="s">
        <v>22065</v>
      </c>
      <c r="CO273" t="s">
        <v>132</v>
      </c>
      <c r="CP273" t="s">
        <v>136</v>
      </c>
      <c r="CQ273" t="s">
        <v>136</v>
      </c>
      <c r="CR273" t="s">
        <v>136</v>
      </c>
      <c r="CS273" t="s">
        <v>136</v>
      </c>
      <c r="CT273" t="s">
        <v>136</v>
      </c>
      <c r="CU273" t="s">
        <v>136</v>
      </c>
      <c r="CV273" s="2" t="s">
        <v>22066</v>
      </c>
      <c r="CW273" s="10" t="str">
        <f>"+13143240911"</f>
        <v>+13143240911</v>
      </c>
      <c r="CX273" t="s">
        <v>132</v>
      </c>
      <c r="CY273" t="s">
        <v>5346</v>
      </c>
      <c r="CZ273" t="s">
        <v>137</v>
      </c>
      <c r="DA273" t="s">
        <v>114</v>
      </c>
      <c r="DB273" t="s">
        <v>136</v>
      </c>
      <c r="DC273" t="s">
        <v>136</v>
      </c>
      <c r="DD273" t="s">
        <v>114</v>
      </c>
    </row>
    <row r="274" spans="1:108" ht="15" customHeight="1" x14ac:dyDescent="0.25">
      <c r="A274" t="s">
        <v>15328</v>
      </c>
      <c r="B274" t="s">
        <v>152</v>
      </c>
      <c r="C274" s="1">
        <v>45247.003709722223</v>
      </c>
      <c r="D274" s="1">
        <v>45279</v>
      </c>
      <c r="E274" t="s">
        <v>132</v>
      </c>
      <c r="F274" t="s">
        <v>2230</v>
      </c>
      <c r="G274" t="str">
        <f>"37-3011.00"</f>
        <v>37-3011.00</v>
      </c>
      <c r="H274" t="s">
        <v>429</v>
      </c>
      <c r="I274">
        <v>10</v>
      </c>
      <c r="J274">
        <v>10</v>
      </c>
      <c r="K274" s="1">
        <v>45337</v>
      </c>
      <c r="L274" s="1">
        <v>45641</v>
      </c>
      <c r="M274" s="1">
        <v>45337</v>
      </c>
      <c r="N274" s="1">
        <v>45641</v>
      </c>
      <c r="O274" t="s">
        <v>238</v>
      </c>
      <c r="P274" t="s">
        <v>15329</v>
      </c>
      <c r="R274" t="s">
        <v>5528</v>
      </c>
      <c r="T274" t="s">
        <v>5048</v>
      </c>
      <c r="U274" t="s">
        <v>434</v>
      </c>
      <c r="V274" s="8" t="str">
        <f>"15108"</f>
        <v>15108</v>
      </c>
      <c r="W274" t="s">
        <v>118</v>
      </c>
      <c r="Y274" s="10">
        <v>14123312520</v>
      </c>
      <c r="AA274">
        <v>56173</v>
      </c>
      <c r="AB274" t="s">
        <v>5529</v>
      </c>
      <c r="AC274" t="s">
        <v>218</v>
      </c>
      <c r="AD274" t="s">
        <v>2057</v>
      </c>
      <c r="AE274" t="s">
        <v>5530</v>
      </c>
      <c r="AF274" t="s">
        <v>5528</v>
      </c>
      <c r="AH274" t="s">
        <v>5048</v>
      </c>
      <c r="AI274" t="s">
        <v>434</v>
      </c>
      <c r="AJ274" s="8" t="str">
        <f>"15108"</f>
        <v>15108</v>
      </c>
      <c r="AK274" t="s">
        <v>118</v>
      </c>
      <c r="AM274" s="10">
        <v>14123312520</v>
      </c>
      <c r="AO274" t="s">
        <v>5531</v>
      </c>
      <c r="AP274" t="s">
        <v>248</v>
      </c>
      <c r="AQ274" t="s">
        <v>1860</v>
      </c>
      <c r="AR274" t="s">
        <v>1861</v>
      </c>
      <c r="AS274" t="s">
        <v>1862</v>
      </c>
      <c r="AT274" t="s">
        <v>1863</v>
      </c>
      <c r="AU274" t="s">
        <v>1864</v>
      </c>
      <c r="AV274" t="s">
        <v>1865</v>
      </c>
      <c r="AW274" t="s">
        <v>581</v>
      </c>
      <c r="AX274" s="8" t="str">
        <f>"24521"</f>
        <v>24521</v>
      </c>
      <c r="AY274" t="s">
        <v>118</v>
      </c>
      <c r="BA274" s="10">
        <v>14349460035</v>
      </c>
      <c r="BB274">
        <v>11</v>
      </c>
      <c r="BC274" t="s">
        <v>1866</v>
      </c>
      <c r="BD274" t="s">
        <v>1867</v>
      </c>
      <c r="BG274" t="s">
        <v>434</v>
      </c>
      <c r="BH274" s="1">
        <v>45246.791666666664</v>
      </c>
      <c r="BI274">
        <v>45</v>
      </c>
      <c r="BJ274">
        <v>0</v>
      </c>
      <c r="BK274">
        <v>8</v>
      </c>
      <c r="BL274">
        <v>8</v>
      </c>
      <c r="BM274">
        <v>8</v>
      </c>
      <c r="BN274">
        <v>8</v>
      </c>
      <c r="BO274">
        <v>8</v>
      </c>
      <c r="BP274">
        <v>5</v>
      </c>
      <c r="BQ274" t="str">
        <f>"8:00 AM"</f>
        <v>8:00 AM</v>
      </c>
      <c r="BR274" t="str">
        <f>"4:30 PM"</f>
        <v>4:30 PM</v>
      </c>
      <c r="BS274" t="s">
        <v>131</v>
      </c>
      <c r="BT274">
        <v>0</v>
      </c>
      <c r="BU274">
        <v>0</v>
      </c>
      <c r="BV274" t="s">
        <v>114</v>
      </c>
      <c r="BX274" s="2" t="s">
        <v>15330</v>
      </c>
      <c r="BY274" t="s">
        <v>5528</v>
      </c>
      <c r="CA274" t="s">
        <v>5048</v>
      </c>
      <c r="CB274" t="s">
        <v>434</v>
      </c>
      <c r="CC274" s="8" t="str">
        <f>"15108"</f>
        <v>15108</v>
      </c>
      <c r="CD274" t="s">
        <v>1886</v>
      </c>
      <c r="CE274" t="s">
        <v>1887</v>
      </c>
      <c r="CF274" s="12">
        <v>16.84</v>
      </c>
      <c r="CG274" s="12">
        <v>16.84</v>
      </c>
      <c r="CH274" s="12">
        <v>25.26</v>
      </c>
      <c r="CI274" s="12">
        <v>25.26</v>
      </c>
      <c r="CJ274" t="s">
        <v>135</v>
      </c>
      <c r="CK274" t="s">
        <v>1870</v>
      </c>
      <c r="CL274" t="s">
        <v>5532</v>
      </c>
      <c r="CO274" t="s">
        <v>132</v>
      </c>
      <c r="CP274" t="s">
        <v>136</v>
      </c>
      <c r="CQ274" t="s">
        <v>136</v>
      </c>
      <c r="CR274" t="s">
        <v>136</v>
      </c>
      <c r="CS274" t="s">
        <v>114</v>
      </c>
      <c r="CT274" t="s">
        <v>136</v>
      </c>
      <c r="CU274" t="s">
        <v>136</v>
      </c>
      <c r="CV274" s="2" t="s">
        <v>5533</v>
      </c>
      <c r="CW274" s="10" t="str">
        <f>"+14124743059"</f>
        <v>+14124743059</v>
      </c>
      <c r="CX274" t="s">
        <v>5531</v>
      </c>
      <c r="CY274" t="s">
        <v>132</v>
      </c>
      <c r="CZ274" t="s">
        <v>137</v>
      </c>
      <c r="DA274" t="s">
        <v>114</v>
      </c>
      <c r="DB274" t="s">
        <v>136</v>
      </c>
      <c r="DC274" t="s">
        <v>136</v>
      </c>
      <c r="DD274" t="s">
        <v>114</v>
      </c>
    </row>
    <row r="275" spans="1:108" ht="15" customHeight="1" x14ac:dyDescent="0.25">
      <c r="A275" t="s">
        <v>18950</v>
      </c>
      <c r="B275" t="s">
        <v>152</v>
      </c>
      <c r="C275" s="1">
        <v>45246.594032754627</v>
      </c>
      <c r="D275" s="1">
        <v>45279</v>
      </c>
      <c r="E275" t="s">
        <v>132</v>
      </c>
      <c r="F275" t="s">
        <v>7428</v>
      </c>
      <c r="G275" t="str">
        <f>"37-3011.00"</f>
        <v>37-3011.00</v>
      </c>
      <c r="H275" t="s">
        <v>429</v>
      </c>
      <c r="I275">
        <v>22</v>
      </c>
      <c r="J275">
        <v>22</v>
      </c>
      <c r="K275" s="1">
        <v>45323</v>
      </c>
      <c r="L275" s="1">
        <v>45566</v>
      </c>
      <c r="M275" s="1">
        <v>45323</v>
      </c>
      <c r="N275" s="1">
        <v>45566</v>
      </c>
      <c r="O275" t="s">
        <v>238</v>
      </c>
      <c r="P275" t="s">
        <v>3168</v>
      </c>
      <c r="R275" t="s">
        <v>3169</v>
      </c>
      <c r="T275" t="s">
        <v>3170</v>
      </c>
      <c r="U275" t="s">
        <v>2090</v>
      </c>
      <c r="V275" s="8" t="str">
        <f>"68512"</f>
        <v>68512</v>
      </c>
      <c r="W275" t="s">
        <v>118</v>
      </c>
      <c r="Y275" s="10">
        <v>14024236653</v>
      </c>
      <c r="AA275">
        <v>237990</v>
      </c>
      <c r="AB275" t="s">
        <v>2186</v>
      </c>
      <c r="AC275" t="s">
        <v>3171</v>
      </c>
      <c r="AE275" t="s">
        <v>3172</v>
      </c>
      <c r="AF275" t="s">
        <v>3169</v>
      </c>
      <c r="AH275" t="s">
        <v>3170</v>
      </c>
      <c r="AI275" t="s">
        <v>2090</v>
      </c>
      <c r="AJ275" s="8" t="str">
        <f>"68512"</f>
        <v>68512</v>
      </c>
      <c r="AK275" t="s">
        <v>118</v>
      </c>
      <c r="AM275" s="10">
        <v>14024236653</v>
      </c>
      <c r="AO275" t="s">
        <v>3173</v>
      </c>
      <c r="AP275" t="s">
        <v>121</v>
      </c>
      <c r="AQ275" t="s">
        <v>3174</v>
      </c>
      <c r="AR275" t="s">
        <v>3175</v>
      </c>
      <c r="AS275" t="s">
        <v>3176</v>
      </c>
      <c r="AT275" t="s">
        <v>3177</v>
      </c>
      <c r="AU275" t="s">
        <v>3178</v>
      </c>
      <c r="AV275" t="s">
        <v>3179</v>
      </c>
      <c r="AW275" t="s">
        <v>127</v>
      </c>
      <c r="AX275" s="8" t="str">
        <f>"75234"</f>
        <v>75234</v>
      </c>
      <c r="AY275" t="s">
        <v>118</v>
      </c>
      <c r="BA275" s="10">
        <v>19722416445</v>
      </c>
      <c r="BC275" t="s">
        <v>3180</v>
      </c>
      <c r="BD275" t="s">
        <v>3181</v>
      </c>
      <c r="BE275" t="s">
        <v>127</v>
      </c>
      <c r="BF275" t="s">
        <v>750</v>
      </c>
      <c r="BG275" t="s">
        <v>1598</v>
      </c>
      <c r="BH275" s="1">
        <v>45237.791666666664</v>
      </c>
      <c r="BI275">
        <v>40</v>
      </c>
      <c r="BJ275">
        <v>5</v>
      </c>
      <c r="BK275">
        <v>6</v>
      </c>
      <c r="BL275">
        <v>6</v>
      </c>
      <c r="BM275">
        <v>6</v>
      </c>
      <c r="BN275">
        <v>6</v>
      </c>
      <c r="BO275">
        <v>6</v>
      </c>
      <c r="BP275">
        <v>5</v>
      </c>
      <c r="BQ275" t="str">
        <f>"6:00 AM"</f>
        <v>6:00 AM</v>
      </c>
      <c r="BR275" t="str">
        <f>"2:30 PM"</f>
        <v>2:30 PM</v>
      </c>
      <c r="BS275" t="s">
        <v>131</v>
      </c>
      <c r="BT275">
        <v>0</v>
      </c>
      <c r="BU275">
        <v>6</v>
      </c>
      <c r="BV275" t="s">
        <v>114</v>
      </c>
      <c r="BX275" s="2" t="s">
        <v>7429</v>
      </c>
      <c r="BY275" t="s">
        <v>17424</v>
      </c>
      <c r="BZ275" t="s">
        <v>3184</v>
      </c>
      <c r="CA275" t="s">
        <v>17425</v>
      </c>
      <c r="CB275" t="s">
        <v>1598</v>
      </c>
      <c r="CC275" s="8" t="str">
        <f>"35010"</f>
        <v>35010</v>
      </c>
      <c r="CD275" t="s">
        <v>1897</v>
      </c>
      <c r="CE275" t="s">
        <v>1898</v>
      </c>
      <c r="CF275" s="12">
        <v>17</v>
      </c>
      <c r="CH275" s="12">
        <v>25.5</v>
      </c>
      <c r="CJ275" t="s">
        <v>135</v>
      </c>
      <c r="CK275" t="s">
        <v>3185</v>
      </c>
      <c r="CL275" t="s">
        <v>18951</v>
      </c>
      <c r="CO275" t="s">
        <v>132</v>
      </c>
      <c r="CP275" t="s">
        <v>136</v>
      </c>
      <c r="CQ275" t="s">
        <v>114</v>
      </c>
      <c r="CR275" t="s">
        <v>136</v>
      </c>
      <c r="CS275" t="s">
        <v>114</v>
      </c>
      <c r="CT275" t="s">
        <v>136</v>
      </c>
      <c r="CU275" t="s">
        <v>136</v>
      </c>
      <c r="CV275" t="s">
        <v>3187</v>
      </c>
      <c r="CW275" s="10" t="str">
        <f>"+18553006690"</f>
        <v>+18553006690</v>
      </c>
      <c r="CX275" t="s">
        <v>132</v>
      </c>
      <c r="CY275" t="s">
        <v>3188</v>
      </c>
      <c r="CZ275" t="s">
        <v>137</v>
      </c>
      <c r="DA275" t="s">
        <v>114</v>
      </c>
      <c r="DB275" t="s">
        <v>114</v>
      </c>
      <c r="DC275" t="s">
        <v>136</v>
      </c>
      <c r="DD275" t="s">
        <v>114</v>
      </c>
    </row>
    <row r="276" spans="1:108" ht="15" customHeight="1" x14ac:dyDescent="0.25">
      <c r="A276" t="s">
        <v>17423</v>
      </c>
      <c r="B276" t="s">
        <v>152</v>
      </c>
      <c r="C276" s="1">
        <v>45246.581067245374</v>
      </c>
      <c r="D276" s="1">
        <v>45279</v>
      </c>
      <c r="E276" t="s">
        <v>132</v>
      </c>
      <c r="F276" t="s">
        <v>576</v>
      </c>
      <c r="G276" t="str">
        <f>"37-1012.00"</f>
        <v>37-1012.00</v>
      </c>
      <c r="H276" t="s">
        <v>3140</v>
      </c>
      <c r="I276">
        <v>3</v>
      </c>
      <c r="J276">
        <v>3</v>
      </c>
      <c r="K276" s="1">
        <v>45323</v>
      </c>
      <c r="L276" s="1">
        <v>45566</v>
      </c>
      <c r="M276" s="1">
        <v>45323</v>
      </c>
      <c r="N276" s="1">
        <v>45566</v>
      </c>
      <c r="O276" t="s">
        <v>238</v>
      </c>
      <c r="P276" t="s">
        <v>3168</v>
      </c>
      <c r="R276" t="s">
        <v>3169</v>
      </c>
      <c r="T276" t="s">
        <v>3170</v>
      </c>
      <c r="U276" t="s">
        <v>2090</v>
      </c>
      <c r="V276" s="8" t="str">
        <f>"68512"</f>
        <v>68512</v>
      </c>
      <c r="W276" t="s">
        <v>118</v>
      </c>
      <c r="Y276" s="10">
        <v>14024236653</v>
      </c>
      <c r="AA276">
        <v>237990</v>
      </c>
      <c r="AB276" t="s">
        <v>2186</v>
      </c>
      <c r="AC276" t="s">
        <v>3171</v>
      </c>
      <c r="AE276" t="s">
        <v>3172</v>
      </c>
      <c r="AF276" t="s">
        <v>3169</v>
      </c>
      <c r="AH276" t="s">
        <v>3170</v>
      </c>
      <c r="AI276" t="s">
        <v>2090</v>
      </c>
      <c r="AJ276" s="8" t="str">
        <f>"68512"</f>
        <v>68512</v>
      </c>
      <c r="AK276" t="s">
        <v>118</v>
      </c>
      <c r="AM276" s="10">
        <v>14024236653</v>
      </c>
      <c r="AO276" t="s">
        <v>3173</v>
      </c>
      <c r="AP276" t="s">
        <v>121</v>
      </c>
      <c r="AQ276" t="s">
        <v>3174</v>
      </c>
      <c r="AR276" t="s">
        <v>3175</v>
      </c>
      <c r="AS276" t="s">
        <v>3176</v>
      </c>
      <c r="AT276" t="s">
        <v>3177</v>
      </c>
      <c r="AU276" t="s">
        <v>3178</v>
      </c>
      <c r="AV276" t="s">
        <v>3179</v>
      </c>
      <c r="AW276" t="s">
        <v>127</v>
      </c>
      <c r="AX276" s="8" t="str">
        <f>"75234"</f>
        <v>75234</v>
      </c>
      <c r="AY276" t="s">
        <v>118</v>
      </c>
      <c r="BA276" s="10">
        <v>19722416445</v>
      </c>
      <c r="BC276" t="s">
        <v>3180</v>
      </c>
      <c r="BD276" t="s">
        <v>3181</v>
      </c>
      <c r="BE276" t="s">
        <v>127</v>
      </c>
      <c r="BF276" t="s">
        <v>750</v>
      </c>
      <c r="BG276" t="s">
        <v>1598</v>
      </c>
      <c r="BH276" s="1">
        <v>45237.791666666664</v>
      </c>
      <c r="BI276">
        <v>40</v>
      </c>
      <c r="BJ276">
        <v>5</v>
      </c>
      <c r="BK276">
        <v>6</v>
      </c>
      <c r="BL276">
        <v>6</v>
      </c>
      <c r="BM276">
        <v>6</v>
      </c>
      <c r="BN276">
        <v>6</v>
      </c>
      <c r="BO276">
        <v>6</v>
      </c>
      <c r="BP276">
        <v>5</v>
      </c>
      <c r="BQ276" t="str">
        <f>"6:00 AM"</f>
        <v>6:00 AM</v>
      </c>
      <c r="BR276" t="str">
        <f>"2:30 PM"</f>
        <v>2:30 PM</v>
      </c>
      <c r="BS276" t="s">
        <v>131</v>
      </c>
      <c r="BT276">
        <v>0</v>
      </c>
      <c r="BU276">
        <v>12</v>
      </c>
      <c r="BV276" t="s">
        <v>136</v>
      </c>
      <c r="BW276">
        <v>20</v>
      </c>
      <c r="BX276" s="2" t="s">
        <v>3182</v>
      </c>
      <c r="BY276" t="s">
        <v>17424</v>
      </c>
      <c r="BZ276" t="s">
        <v>3184</v>
      </c>
      <c r="CA276" t="s">
        <v>17425</v>
      </c>
      <c r="CB276" t="s">
        <v>1598</v>
      </c>
      <c r="CC276" s="8" t="str">
        <f>"35010"</f>
        <v>35010</v>
      </c>
      <c r="CD276" t="s">
        <v>1897</v>
      </c>
      <c r="CE276" t="s">
        <v>1898</v>
      </c>
      <c r="CF276" s="12">
        <v>26</v>
      </c>
      <c r="CH276" s="12">
        <v>39</v>
      </c>
      <c r="CJ276" t="s">
        <v>135</v>
      </c>
      <c r="CK276" t="s">
        <v>3185</v>
      </c>
      <c r="CL276" t="s">
        <v>17426</v>
      </c>
      <c r="CO276" t="s">
        <v>132</v>
      </c>
      <c r="CP276" t="s">
        <v>136</v>
      </c>
      <c r="CQ276" t="s">
        <v>114</v>
      </c>
      <c r="CR276" t="s">
        <v>136</v>
      </c>
      <c r="CS276" t="s">
        <v>114</v>
      </c>
      <c r="CT276" t="s">
        <v>136</v>
      </c>
      <c r="CU276" t="s">
        <v>136</v>
      </c>
      <c r="CV276" t="s">
        <v>3187</v>
      </c>
      <c r="CW276" s="10" t="str">
        <f>"+18553006690"</f>
        <v>+18553006690</v>
      </c>
      <c r="CX276" t="s">
        <v>132</v>
      </c>
      <c r="CY276" t="s">
        <v>3188</v>
      </c>
      <c r="CZ276" t="s">
        <v>137</v>
      </c>
      <c r="DA276" t="s">
        <v>114</v>
      </c>
      <c r="DB276" t="s">
        <v>114</v>
      </c>
      <c r="DC276" t="s">
        <v>136</v>
      </c>
      <c r="DD276" t="s">
        <v>114</v>
      </c>
    </row>
    <row r="277" spans="1:108" ht="15" customHeight="1" x14ac:dyDescent="0.25">
      <c r="A277" t="s">
        <v>7427</v>
      </c>
      <c r="B277" t="s">
        <v>152</v>
      </c>
      <c r="C277" s="1">
        <v>45246.562051504632</v>
      </c>
      <c r="D277" s="1">
        <v>45279</v>
      </c>
      <c r="E277" t="s">
        <v>132</v>
      </c>
      <c r="F277" t="s">
        <v>7428</v>
      </c>
      <c r="G277" t="str">
        <f>"37-3011.00"</f>
        <v>37-3011.00</v>
      </c>
      <c r="H277" t="s">
        <v>429</v>
      </c>
      <c r="I277">
        <v>30</v>
      </c>
      <c r="J277">
        <v>30</v>
      </c>
      <c r="K277" s="1">
        <v>45323</v>
      </c>
      <c r="L277" s="1">
        <v>45626</v>
      </c>
      <c r="M277" s="1">
        <v>45323</v>
      </c>
      <c r="N277" s="1">
        <v>45626</v>
      </c>
      <c r="O277" t="s">
        <v>238</v>
      </c>
      <c r="P277" t="s">
        <v>3168</v>
      </c>
      <c r="R277" t="s">
        <v>3169</v>
      </c>
      <c r="T277" t="s">
        <v>3170</v>
      </c>
      <c r="U277" t="s">
        <v>2090</v>
      </c>
      <c r="V277" s="8" t="str">
        <f>"68512"</f>
        <v>68512</v>
      </c>
      <c r="W277" t="s">
        <v>118</v>
      </c>
      <c r="Y277" s="10">
        <v>14024236653</v>
      </c>
      <c r="AA277">
        <v>237990</v>
      </c>
      <c r="AB277" t="s">
        <v>2186</v>
      </c>
      <c r="AC277" t="s">
        <v>3171</v>
      </c>
      <c r="AE277" t="s">
        <v>3172</v>
      </c>
      <c r="AF277" t="s">
        <v>3169</v>
      </c>
      <c r="AH277" t="s">
        <v>3170</v>
      </c>
      <c r="AI277" t="s">
        <v>2090</v>
      </c>
      <c r="AJ277" s="8" t="str">
        <f>"68512"</f>
        <v>68512</v>
      </c>
      <c r="AK277" t="s">
        <v>118</v>
      </c>
      <c r="AM277" s="10">
        <v>14024236653</v>
      </c>
      <c r="AO277" t="s">
        <v>3173</v>
      </c>
      <c r="AP277" t="s">
        <v>121</v>
      </c>
      <c r="AQ277" t="s">
        <v>3174</v>
      </c>
      <c r="AR277" t="s">
        <v>3175</v>
      </c>
      <c r="AS277" t="s">
        <v>3176</v>
      </c>
      <c r="AT277" t="s">
        <v>3177</v>
      </c>
      <c r="AU277" t="s">
        <v>3178</v>
      </c>
      <c r="AV277" t="s">
        <v>3179</v>
      </c>
      <c r="AW277" t="s">
        <v>127</v>
      </c>
      <c r="AX277" s="8" t="str">
        <f>"75234"</f>
        <v>75234</v>
      </c>
      <c r="AY277" t="s">
        <v>118</v>
      </c>
      <c r="BA277" s="10">
        <v>19722416445</v>
      </c>
      <c r="BC277" t="s">
        <v>3180</v>
      </c>
      <c r="BD277" t="s">
        <v>3181</v>
      </c>
      <c r="BE277" t="s">
        <v>127</v>
      </c>
      <c r="BF277" t="s">
        <v>750</v>
      </c>
      <c r="BG277" t="s">
        <v>127</v>
      </c>
      <c r="BH277" s="1">
        <v>45236.791666666664</v>
      </c>
      <c r="BI277">
        <v>40</v>
      </c>
      <c r="BJ277">
        <v>5</v>
      </c>
      <c r="BK277">
        <v>6</v>
      </c>
      <c r="BL277">
        <v>6</v>
      </c>
      <c r="BM277">
        <v>6</v>
      </c>
      <c r="BN277">
        <v>6</v>
      </c>
      <c r="BO277">
        <v>6</v>
      </c>
      <c r="BP277">
        <v>5</v>
      </c>
      <c r="BQ277" t="str">
        <f>"6:00 AM"</f>
        <v>6:00 AM</v>
      </c>
      <c r="BR277" t="str">
        <f>"2:30 PM"</f>
        <v>2:30 PM</v>
      </c>
      <c r="BS277" t="s">
        <v>131</v>
      </c>
      <c r="BT277">
        <v>0</v>
      </c>
      <c r="BU277">
        <v>6</v>
      </c>
      <c r="BV277" t="s">
        <v>114</v>
      </c>
      <c r="BX277" s="2" t="s">
        <v>7429</v>
      </c>
      <c r="BY277" t="s">
        <v>7430</v>
      </c>
      <c r="BZ277" t="s">
        <v>3184</v>
      </c>
      <c r="CA277" t="s">
        <v>7431</v>
      </c>
      <c r="CB277" t="s">
        <v>127</v>
      </c>
      <c r="CC277" s="8" t="str">
        <f>"78669"</f>
        <v>78669</v>
      </c>
      <c r="CD277" t="s">
        <v>323</v>
      </c>
      <c r="CE277" t="s">
        <v>324</v>
      </c>
      <c r="CF277" s="12">
        <v>16.91</v>
      </c>
      <c r="CH277" s="12">
        <v>25.37</v>
      </c>
      <c r="CJ277" t="s">
        <v>135</v>
      </c>
      <c r="CK277" t="s">
        <v>3185</v>
      </c>
      <c r="CL277" t="s">
        <v>7432</v>
      </c>
      <c r="CO277" t="s">
        <v>132</v>
      </c>
      <c r="CP277" t="s">
        <v>136</v>
      </c>
      <c r="CQ277" t="s">
        <v>114</v>
      </c>
      <c r="CR277" t="s">
        <v>136</v>
      </c>
      <c r="CS277" t="s">
        <v>114</v>
      </c>
      <c r="CT277" t="s">
        <v>136</v>
      </c>
      <c r="CU277" t="s">
        <v>136</v>
      </c>
      <c r="CV277" t="s">
        <v>3187</v>
      </c>
      <c r="CW277" s="10" t="str">
        <f>"+18553006690"</f>
        <v>+18553006690</v>
      </c>
      <c r="CX277" t="s">
        <v>132</v>
      </c>
      <c r="CY277" t="s">
        <v>3188</v>
      </c>
      <c r="CZ277" t="s">
        <v>137</v>
      </c>
      <c r="DA277" t="s">
        <v>114</v>
      </c>
      <c r="DB277" t="s">
        <v>114</v>
      </c>
      <c r="DC277" t="s">
        <v>136</v>
      </c>
      <c r="DD277" t="s">
        <v>114</v>
      </c>
    </row>
    <row r="278" spans="1:108" ht="15" customHeight="1" x14ac:dyDescent="0.25">
      <c r="A278" t="s">
        <v>17446</v>
      </c>
      <c r="B278" t="s">
        <v>152</v>
      </c>
      <c r="C278" s="1">
        <v>45246.070944907406</v>
      </c>
      <c r="D278" s="1">
        <v>45279</v>
      </c>
      <c r="E278" t="s">
        <v>132</v>
      </c>
      <c r="F278" t="s">
        <v>576</v>
      </c>
      <c r="G278" t="str">
        <f>"37-1012.00"</f>
        <v>37-1012.00</v>
      </c>
      <c r="H278" t="s">
        <v>3140</v>
      </c>
      <c r="I278">
        <v>2</v>
      </c>
      <c r="J278">
        <v>2</v>
      </c>
      <c r="K278" s="1">
        <v>45323</v>
      </c>
      <c r="L278" s="1">
        <v>45626</v>
      </c>
      <c r="M278" s="1">
        <v>45323</v>
      </c>
      <c r="N278" s="1">
        <v>45626</v>
      </c>
      <c r="O278" t="s">
        <v>238</v>
      </c>
      <c r="P278" t="s">
        <v>3168</v>
      </c>
      <c r="R278" t="s">
        <v>3169</v>
      </c>
      <c r="T278" t="s">
        <v>3170</v>
      </c>
      <c r="U278" t="s">
        <v>2090</v>
      </c>
      <c r="V278" s="8" t="str">
        <f>"68512"</f>
        <v>68512</v>
      </c>
      <c r="W278" t="s">
        <v>118</v>
      </c>
      <c r="Y278" s="10">
        <v>14024236653</v>
      </c>
      <c r="AA278">
        <v>237990</v>
      </c>
      <c r="AB278" t="s">
        <v>2186</v>
      </c>
      <c r="AC278" t="s">
        <v>3171</v>
      </c>
      <c r="AE278" t="s">
        <v>3172</v>
      </c>
      <c r="AF278" t="s">
        <v>3169</v>
      </c>
      <c r="AH278" t="s">
        <v>3170</v>
      </c>
      <c r="AI278" t="s">
        <v>2090</v>
      </c>
      <c r="AJ278" s="8" t="str">
        <f>"68512"</f>
        <v>68512</v>
      </c>
      <c r="AK278" t="s">
        <v>118</v>
      </c>
      <c r="AM278" s="10">
        <v>14024236653</v>
      </c>
      <c r="AO278" t="s">
        <v>3173</v>
      </c>
      <c r="AP278" t="s">
        <v>121</v>
      </c>
      <c r="AQ278" t="s">
        <v>3174</v>
      </c>
      <c r="AR278" t="s">
        <v>3175</v>
      </c>
      <c r="AS278" t="s">
        <v>3176</v>
      </c>
      <c r="AT278" t="s">
        <v>3177</v>
      </c>
      <c r="AU278" t="s">
        <v>3178</v>
      </c>
      <c r="AV278" t="s">
        <v>3179</v>
      </c>
      <c r="AW278" t="s">
        <v>127</v>
      </c>
      <c r="AX278" s="8" t="str">
        <f>"75234"</f>
        <v>75234</v>
      </c>
      <c r="AY278" t="s">
        <v>118</v>
      </c>
      <c r="BA278" s="10">
        <v>19722416445</v>
      </c>
      <c r="BC278" t="s">
        <v>3180</v>
      </c>
      <c r="BD278" t="s">
        <v>3181</v>
      </c>
      <c r="BE278" t="s">
        <v>127</v>
      </c>
      <c r="BF278" t="s">
        <v>750</v>
      </c>
      <c r="BG278" t="s">
        <v>127</v>
      </c>
      <c r="BH278" s="1">
        <v>45236.791666666664</v>
      </c>
      <c r="BI278">
        <v>40</v>
      </c>
      <c r="BJ278">
        <v>5</v>
      </c>
      <c r="BK278">
        <v>6</v>
      </c>
      <c r="BL278">
        <v>6</v>
      </c>
      <c r="BM278">
        <v>6</v>
      </c>
      <c r="BN278">
        <v>6</v>
      </c>
      <c r="BO278">
        <v>6</v>
      </c>
      <c r="BP278">
        <v>5</v>
      </c>
      <c r="BQ278" t="str">
        <f>"6:00 AM"</f>
        <v>6:00 AM</v>
      </c>
      <c r="BR278" t="str">
        <f>"2:30 PM"</f>
        <v>2:30 PM</v>
      </c>
      <c r="BS278" t="s">
        <v>131</v>
      </c>
      <c r="BT278">
        <v>0</v>
      </c>
      <c r="BU278">
        <v>12</v>
      </c>
      <c r="BV278" t="s">
        <v>136</v>
      </c>
      <c r="BW278">
        <v>20</v>
      </c>
      <c r="BX278" s="2" t="s">
        <v>3182</v>
      </c>
      <c r="BY278" t="s">
        <v>7430</v>
      </c>
      <c r="BZ278" t="s">
        <v>3184</v>
      </c>
      <c r="CA278" t="s">
        <v>7431</v>
      </c>
      <c r="CB278" t="s">
        <v>127</v>
      </c>
      <c r="CC278" s="8" t="str">
        <f>"78669"</f>
        <v>78669</v>
      </c>
      <c r="CD278" t="s">
        <v>323</v>
      </c>
      <c r="CE278" t="s">
        <v>324</v>
      </c>
      <c r="CF278" s="12">
        <v>24.81</v>
      </c>
      <c r="CH278" s="12">
        <v>37.22</v>
      </c>
      <c r="CJ278" t="s">
        <v>135</v>
      </c>
      <c r="CK278" t="s">
        <v>3185</v>
      </c>
      <c r="CL278" t="s">
        <v>17447</v>
      </c>
      <c r="CO278" t="s">
        <v>132</v>
      </c>
      <c r="CP278" t="s">
        <v>136</v>
      </c>
      <c r="CQ278" t="s">
        <v>114</v>
      </c>
      <c r="CR278" t="s">
        <v>136</v>
      </c>
      <c r="CS278" t="s">
        <v>114</v>
      </c>
      <c r="CT278" t="s">
        <v>136</v>
      </c>
      <c r="CU278" t="s">
        <v>136</v>
      </c>
      <c r="CV278" t="s">
        <v>3187</v>
      </c>
      <c r="CW278" s="10" t="str">
        <f>"+18553006690"</f>
        <v>+18553006690</v>
      </c>
      <c r="CX278" t="s">
        <v>132</v>
      </c>
      <c r="CY278" t="s">
        <v>3188</v>
      </c>
      <c r="CZ278" t="s">
        <v>137</v>
      </c>
      <c r="DA278" t="s">
        <v>114</v>
      </c>
      <c r="DB278" t="s">
        <v>114</v>
      </c>
      <c r="DC278" t="s">
        <v>136</v>
      </c>
      <c r="DD278" t="s">
        <v>114</v>
      </c>
    </row>
    <row r="279" spans="1:108" ht="15" customHeight="1" x14ac:dyDescent="0.25">
      <c r="A279" t="s">
        <v>18030</v>
      </c>
      <c r="B279" t="s">
        <v>152</v>
      </c>
      <c r="C279" s="1">
        <v>45246.060264236112</v>
      </c>
      <c r="D279" s="1">
        <v>45279</v>
      </c>
      <c r="E279" t="s">
        <v>132</v>
      </c>
      <c r="F279" t="s">
        <v>7428</v>
      </c>
      <c r="G279" t="str">
        <f>"37-3011.00"</f>
        <v>37-3011.00</v>
      </c>
      <c r="H279" t="s">
        <v>429</v>
      </c>
      <c r="I279">
        <v>20</v>
      </c>
      <c r="J279">
        <v>20</v>
      </c>
      <c r="K279" s="1">
        <v>45323</v>
      </c>
      <c r="L279" s="1">
        <v>45626</v>
      </c>
      <c r="M279" s="1">
        <v>45323</v>
      </c>
      <c r="N279" s="1">
        <v>45626</v>
      </c>
      <c r="O279" t="s">
        <v>238</v>
      </c>
      <c r="P279" t="s">
        <v>3168</v>
      </c>
      <c r="R279" t="s">
        <v>3169</v>
      </c>
      <c r="T279" t="s">
        <v>3170</v>
      </c>
      <c r="U279" t="s">
        <v>2090</v>
      </c>
      <c r="V279" s="8" t="str">
        <f>"68512"</f>
        <v>68512</v>
      </c>
      <c r="W279" t="s">
        <v>118</v>
      </c>
      <c r="Y279" s="10">
        <v>14024236653</v>
      </c>
      <c r="AA279">
        <v>237990</v>
      </c>
      <c r="AB279" t="s">
        <v>2186</v>
      </c>
      <c r="AC279" t="s">
        <v>3171</v>
      </c>
      <c r="AE279" t="s">
        <v>3172</v>
      </c>
      <c r="AF279" t="s">
        <v>3169</v>
      </c>
      <c r="AH279" t="s">
        <v>3170</v>
      </c>
      <c r="AI279" t="s">
        <v>2090</v>
      </c>
      <c r="AJ279" s="8" t="str">
        <f>"68512"</f>
        <v>68512</v>
      </c>
      <c r="AK279" t="s">
        <v>118</v>
      </c>
      <c r="AM279" s="10">
        <v>14024236653</v>
      </c>
      <c r="AO279" t="s">
        <v>3173</v>
      </c>
      <c r="AP279" t="s">
        <v>121</v>
      </c>
      <c r="AQ279" t="s">
        <v>3174</v>
      </c>
      <c r="AR279" t="s">
        <v>3175</v>
      </c>
      <c r="AS279" t="s">
        <v>3176</v>
      </c>
      <c r="AT279" t="s">
        <v>3177</v>
      </c>
      <c r="AU279" t="s">
        <v>3178</v>
      </c>
      <c r="AV279" t="s">
        <v>3179</v>
      </c>
      <c r="AW279" t="s">
        <v>127</v>
      </c>
      <c r="AX279" s="8" t="str">
        <f>"75234"</f>
        <v>75234</v>
      </c>
      <c r="AY279" t="s">
        <v>118</v>
      </c>
      <c r="BA279" s="10">
        <v>19722416445</v>
      </c>
      <c r="BC279" t="s">
        <v>3180</v>
      </c>
      <c r="BD279" t="s">
        <v>3181</v>
      </c>
      <c r="BE279" t="s">
        <v>127</v>
      </c>
      <c r="BF279" t="s">
        <v>750</v>
      </c>
      <c r="BG279" t="s">
        <v>127</v>
      </c>
      <c r="BH279" s="1">
        <v>45236.791666666664</v>
      </c>
      <c r="BI279">
        <v>40</v>
      </c>
      <c r="BJ279">
        <v>5</v>
      </c>
      <c r="BK279">
        <v>6</v>
      </c>
      <c r="BL279">
        <v>6</v>
      </c>
      <c r="BM279">
        <v>6</v>
      </c>
      <c r="BN279">
        <v>6</v>
      </c>
      <c r="BO279">
        <v>6</v>
      </c>
      <c r="BP279">
        <v>5</v>
      </c>
      <c r="BQ279" t="str">
        <f>"6:00 AM"</f>
        <v>6:00 AM</v>
      </c>
      <c r="BR279" t="str">
        <f>"2:30 PM"</f>
        <v>2:30 PM</v>
      </c>
      <c r="BS279" t="s">
        <v>131</v>
      </c>
      <c r="BT279">
        <v>0</v>
      </c>
      <c r="BU279">
        <v>6</v>
      </c>
      <c r="BV279" t="s">
        <v>114</v>
      </c>
      <c r="BX279" s="2" t="s">
        <v>7429</v>
      </c>
      <c r="BY279" t="s">
        <v>3183</v>
      </c>
      <c r="BZ279" t="s">
        <v>3184</v>
      </c>
      <c r="CA279" t="s">
        <v>1264</v>
      </c>
      <c r="CB279" t="s">
        <v>127</v>
      </c>
      <c r="CC279" s="8" t="str">
        <f>"75211"</f>
        <v>75211</v>
      </c>
      <c r="CD279" t="s">
        <v>2301</v>
      </c>
      <c r="CE279" t="s">
        <v>263</v>
      </c>
      <c r="CF279" s="12">
        <v>16.86</v>
      </c>
      <c r="CH279" s="12">
        <v>25.29</v>
      </c>
      <c r="CJ279" t="s">
        <v>135</v>
      </c>
      <c r="CK279" t="s">
        <v>3185</v>
      </c>
      <c r="CL279" t="s">
        <v>18031</v>
      </c>
      <c r="CO279" t="s">
        <v>132</v>
      </c>
      <c r="CP279" t="s">
        <v>136</v>
      </c>
      <c r="CQ279" t="s">
        <v>114</v>
      </c>
      <c r="CR279" t="s">
        <v>136</v>
      </c>
      <c r="CS279" t="s">
        <v>114</v>
      </c>
      <c r="CT279" t="s">
        <v>136</v>
      </c>
      <c r="CU279" t="s">
        <v>136</v>
      </c>
      <c r="CV279" t="s">
        <v>3187</v>
      </c>
      <c r="CW279" s="10" t="str">
        <f>"+18553006690"</f>
        <v>+18553006690</v>
      </c>
      <c r="CX279" t="s">
        <v>132</v>
      </c>
      <c r="CY279" t="s">
        <v>3188</v>
      </c>
      <c r="CZ279" t="s">
        <v>137</v>
      </c>
      <c r="DA279" t="s">
        <v>114</v>
      </c>
      <c r="DB279" t="s">
        <v>114</v>
      </c>
      <c r="DC279" t="s">
        <v>136</v>
      </c>
      <c r="DD279" t="s">
        <v>114</v>
      </c>
    </row>
    <row r="280" spans="1:108" ht="15" customHeight="1" x14ac:dyDescent="0.25">
      <c r="A280" t="s">
        <v>3167</v>
      </c>
      <c r="B280" t="s">
        <v>152</v>
      </c>
      <c r="C280" s="1">
        <v>45246.047374189817</v>
      </c>
      <c r="D280" s="1">
        <v>45279</v>
      </c>
      <c r="E280" t="s">
        <v>132</v>
      </c>
      <c r="F280" t="s">
        <v>576</v>
      </c>
      <c r="G280" t="str">
        <f>"37-1012.00"</f>
        <v>37-1012.00</v>
      </c>
      <c r="H280" t="s">
        <v>3140</v>
      </c>
      <c r="I280">
        <v>2</v>
      </c>
      <c r="J280">
        <v>2</v>
      </c>
      <c r="K280" s="1">
        <v>45323</v>
      </c>
      <c r="L280" s="1">
        <v>45626</v>
      </c>
      <c r="M280" s="1">
        <v>45323</v>
      </c>
      <c r="N280" s="1">
        <v>45626</v>
      </c>
      <c r="O280" t="s">
        <v>238</v>
      </c>
      <c r="P280" t="s">
        <v>3168</v>
      </c>
      <c r="R280" t="s">
        <v>3169</v>
      </c>
      <c r="T280" t="s">
        <v>3170</v>
      </c>
      <c r="U280" t="s">
        <v>2090</v>
      </c>
      <c r="V280" s="8" t="str">
        <f>"68512"</f>
        <v>68512</v>
      </c>
      <c r="W280" t="s">
        <v>118</v>
      </c>
      <c r="Y280" s="10">
        <v>14024236653</v>
      </c>
      <c r="AA280">
        <v>237990</v>
      </c>
      <c r="AB280" t="s">
        <v>2186</v>
      </c>
      <c r="AC280" t="s">
        <v>3171</v>
      </c>
      <c r="AE280" t="s">
        <v>3172</v>
      </c>
      <c r="AF280" t="s">
        <v>3169</v>
      </c>
      <c r="AH280" t="s">
        <v>3170</v>
      </c>
      <c r="AI280" t="s">
        <v>2090</v>
      </c>
      <c r="AJ280" s="8" t="str">
        <f>"68512"</f>
        <v>68512</v>
      </c>
      <c r="AK280" t="s">
        <v>118</v>
      </c>
      <c r="AM280" s="10">
        <v>14024236653</v>
      </c>
      <c r="AO280" t="s">
        <v>3173</v>
      </c>
      <c r="AP280" t="s">
        <v>121</v>
      </c>
      <c r="AQ280" t="s">
        <v>3174</v>
      </c>
      <c r="AR280" t="s">
        <v>3175</v>
      </c>
      <c r="AS280" t="s">
        <v>3176</v>
      </c>
      <c r="AT280" t="s">
        <v>3177</v>
      </c>
      <c r="AU280" t="s">
        <v>3178</v>
      </c>
      <c r="AV280" t="s">
        <v>3179</v>
      </c>
      <c r="AW280" t="s">
        <v>127</v>
      </c>
      <c r="AX280" s="8" t="str">
        <f>"75234"</f>
        <v>75234</v>
      </c>
      <c r="AY280" t="s">
        <v>118</v>
      </c>
      <c r="BA280" s="10">
        <v>19722416445</v>
      </c>
      <c r="BC280" t="s">
        <v>3180</v>
      </c>
      <c r="BD280" t="s">
        <v>3181</v>
      </c>
      <c r="BE280" t="s">
        <v>127</v>
      </c>
      <c r="BF280" t="s">
        <v>750</v>
      </c>
      <c r="BG280" t="s">
        <v>127</v>
      </c>
      <c r="BH280" s="1">
        <v>45236.791666666664</v>
      </c>
      <c r="BI280">
        <v>40</v>
      </c>
      <c r="BJ280">
        <v>5</v>
      </c>
      <c r="BK280">
        <v>6</v>
      </c>
      <c r="BL280">
        <v>6</v>
      </c>
      <c r="BM280">
        <v>6</v>
      </c>
      <c r="BN280">
        <v>6</v>
      </c>
      <c r="BO280">
        <v>6</v>
      </c>
      <c r="BP280">
        <v>5</v>
      </c>
      <c r="BQ280" t="str">
        <f>"6:00 AM"</f>
        <v>6:00 AM</v>
      </c>
      <c r="BR280" t="str">
        <f>"2:30 PM"</f>
        <v>2:30 PM</v>
      </c>
      <c r="BS280" t="s">
        <v>131</v>
      </c>
      <c r="BT280">
        <v>0</v>
      </c>
      <c r="BU280">
        <v>12</v>
      </c>
      <c r="BV280" t="s">
        <v>136</v>
      </c>
      <c r="BW280">
        <v>20</v>
      </c>
      <c r="BX280" s="2" t="s">
        <v>3182</v>
      </c>
      <c r="BY280" t="s">
        <v>3183</v>
      </c>
      <c r="BZ280" t="s">
        <v>3184</v>
      </c>
      <c r="CA280" t="s">
        <v>1264</v>
      </c>
      <c r="CB280" t="s">
        <v>127</v>
      </c>
      <c r="CC280" s="8" t="str">
        <f>"75211"</f>
        <v>75211</v>
      </c>
      <c r="CD280" t="s">
        <v>2301</v>
      </c>
      <c r="CE280" t="s">
        <v>263</v>
      </c>
      <c r="CF280" s="12">
        <v>24.38</v>
      </c>
      <c r="CH280" s="12">
        <v>36.57</v>
      </c>
      <c r="CJ280" t="s">
        <v>135</v>
      </c>
      <c r="CK280" t="s">
        <v>3185</v>
      </c>
      <c r="CL280" t="s">
        <v>3186</v>
      </c>
      <c r="CO280" t="s">
        <v>132</v>
      </c>
      <c r="CP280" t="s">
        <v>136</v>
      </c>
      <c r="CQ280" t="s">
        <v>114</v>
      </c>
      <c r="CR280" t="s">
        <v>136</v>
      </c>
      <c r="CS280" t="s">
        <v>114</v>
      </c>
      <c r="CT280" t="s">
        <v>136</v>
      </c>
      <c r="CU280" t="s">
        <v>136</v>
      </c>
      <c r="CV280" t="s">
        <v>3187</v>
      </c>
      <c r="CW280" s="10" t="str">
        <f>"+18553006690"</f>
        <v>+18553006690</v>
      </c>
      <c r="CX280" t="s">
        <v>132</v>
      </c>
      <c r="CY280" t="s">
        <v>3188</v>
      </c>
      <c r="CZ280" t="s">
        <v>137</v>
      </c>
      <c r="DA280" t="s">
        <v>114</v>
      </c>
      <c r="DB280" t="s">
        <v>114</v>
      </c>
      <c r="DC280" t="s">
        <v>136</v>
      </c>
      <c r="DD280" t="s">
        <v>114</v>
      </c>
    </row>
    <row r="281" spans="1:108" ht="15" customHeight="1" x14ac:dyDescent="0.25">
      <c r="A281" t="s">
        <v>17413</v>
      </c>
      <c r="B281" t="s">
        <v>152</v>
      </c>
      <c r="C281" s="1">
        <v>45246.035589004627</v>
      </c>
      <c r="D281" s="1">
        <v>45279</v>
      </c>
      <c r="E281" t="s">
        <v>132</v>
      </c>
      <c r="F281" t="s">
        <v>576</v>
      </c>
      <c r="G281" t="str">
        <f>"37-1012.00"</f>
        <v>37-1012.00</v>
      </c>
      <c r="H281" t="s">
        <v>3140</v>
      </c>
      <c r="I281">
        <v>1</v>
      </c>
      <c r="J281">
        <v>1</v>
      </c>
      <c r="K281" s="1">
        <v>45323</v>
      </c>
      <c r="L281" s="1">
        <v>45505</v>
      </c>
      <c r="M281" s="1">
        <v>45323</v>
      </c>
      <c r="N281" s="1">
        <v>45505</v>
      </c>
      <c r="O281" t="s">
        <v>238</v>
      </c>
      <c r="P281" t="s">
        <v>3168</v>
      </c>
      <c r="R281" t="s">
        <v>3169</v>
      </c>
      <c r="T281" t="s">
        <v>3170</v>
      </c>
      <c r="U281" t="s">
        <v>2090</v>
      </c>
      <c r="V281" s="8" t="str">
        <f>"68512"</f>
        <v>68512</v>
      </c>
      <c r="W281" t="s">
        <v>118</v>
      </c>
      <c r="Y281" s="10">
        <v>14024236653</v>
      </c>
      <c r="AA281">
        <v>237990</v>
      </c>
      <c r="AB281" t="s">
        <v>2186</v>
      </c>
      <c r="AC281" t="s">
        <v>3171</v>
      </c>
      <c r="AE281" t="s">
        <v>3172</v>
      </c>
      <c r="AF281" t="s">
        <v>3169</v>
      </c>
      <c r="AH281" t="s">
        <v>3170</v>
      </c>
      <c r="AI281" t="s">
        <v>2090</v>
      </c>
      <c r="AJ281" s="8" t="str">
        <f>"68512"</f>
        <v>68512</v>
      </c>
      <c r="AK281" t="s">
        <v>118</v>
      </c>
      <c r="AM281" s="10">
        <v>14024236653</v>
      </c>
      <c r="AO281" t="s">
        <v>3173</v>
      </c>
      <c r="AP281" t="s">
        <v>121</v>
      </c>
      <c r="AQ281" t="s">
        <v>3174</v>
      </c>
      <c r="AR281" t="s">
        <v>3175</v>
      </c>
      <c r="AS281" t="s">
        <v>3176</v>
      </c>
      <c r="AT281" t="s">
        <v>3177</v>
      </c>
      <c r="AU281" t="s">
        <v>3178</v>
      </c>
      <c r="AV281" t="s">
        <v>3179</v>
      </c>
      <c r="AW281" t="s">
        <v>127</v>
      </c>
      <c r="AX281" s="8" t="str">
        <f>"75234"</f>
        <v>75234</v>
      </c>
      <c r="AY281" t="s">
        <v>118</v>
      </c>
      <c r="BA281" s="10">
        <v>19722416445</v>
      </c>
      <c r="BC281" t="s">
        <v>3180</v>
      </c>
      <c r="BD281" t="s">
        <v>3181</v>
      </c>
      <c r="BE281" t="s">
        <v>127</v>
      </c>
      <c r="BF281" t="s">
        <v>750</v>
      </c>
      <c r="BG281" t="s">
        <v>550</v>
      </c>
      <c r="BH281" s="1">
        <v>45237.791666666664</v>
      </c>
      <c r="BI281">
        <v>40</v>
      </c>
      <c r="BJ281">
        <v>5</v>
      </c>
      <c r="BK281">
        <v>6</v>
      </c>
      <c r="BL281">
        <v>6</v>
      </c>
      <c r="BM281">
        <v>6</v>
      </c>
      <c r="BN281">
        <v>6</v>
      </c>
      <c r="BO281">
        <v>6</v>
      </c>
      <c r="BP281">
        <v>5</v>
      </c>
      <c r="BQ281" t="str">
        <f>"6:00 AM"</f>
        <v>6:00 AM</v>
      </c>
      <c r="BR281" t="str">
        <f>"2:30 PM"</f>
        <v>2:30 PM</v>
      </c>
      <c r="BS281" t="s">
        <v>131</v>
      </c>
      <c r="BT281">
        <v>0</v>
      </c>
      <c r="BU281">
        <v>12</v>
      </c>
      <c r="BV281" t="s">
        <v>136</v>
      </c>
      <c r="BW281">
        <v>20</v>
      </c>
      <c r="BX281" s="2" t="s">
        <v>3182</v>
      </c>
      <c r="BY281" t="s">
        <v>17414</v>
      </c>
      <c r="BZ281" t="s">
        <v>3184</v>
      </c>
      <c r="CA281" t="s">
        <v>17415</v>
      </c>
      <c r="CB281" t="s">
        <v>550</v>
      </c>
      <c r="CC281" s="8" t="str">
        <f>"31527"</f>
        <v>31527</v>
      </c>
      <c r="CD281" t="s">
        <v>3436</v>
      </c>
      <c r="CE281" t="s">
        <v>3437</v>
      </c>
      <c r="CF281" s="12">
        <v>23.57</v>
      </c>
      <c r="CH281" s="12">
        <v>35.36</v>
      </c>
      <c r="CJ281" t="s">
        <v>135</v>
      </c>
      <c r="CK281" t="s">
        <v>3185</v>
      </c>
      <c r="CL281" t="s">
        <v>17416</v>
      </c>
      <c r="CO281" t="s">
        <v>132</v>
      </c>
      <c r="CP281" t="s">
        <v>136</v>
      </c>
      <c r="CQ281" t="s">
        <v>114</v>
      </c>
      <c r="CR281" t="s">
        <v>136</v>
      </c>
      <c r="CS281" t="s">
        <v>114</v>
      </c>
      <c r="CT281" t="s">
        <v>136</v>
      </c>
      <c r="CU281" t="s">
        <v>136</v>
      </c>
      <c r="CV281" t="s">
        <v>3187</v>
      </c>
      <c r="CW281" s="10" t="str">
        <f>"+18553006690"</f>
        <v>+18553006690</v>
      </c>
      <c r="CX281" t="s">
        <v>132</v>
      </c>
      <c r="CY281" t="s">
        <v>3188</v>
      </c>
      <c r="CZ281" t="s">
        <v>137</v>
      </c>
      <c r="DA281" t="s">
        <v>114</v>
      </c>
      <c r="DB281" t="s">
        <v>114</v>
      </c>
      <c r="DC281" t="s">
        <v>136</v>
      </c>
      <c r="DD281" t="s">
        <v>114</v>
      </c>
    </row>
    <row r="282" spans="1:108" ht="15" customHeight="1" x14ac:dyDescent="0.25">
      <c r="A282" t="s">
        <v>19790</v>
      </c>
      <c r="B282" t="s">
        <v>152</v>
      </c>
      <c r="C282" s="1">
        <v>45246.026548379632</v>
      </c>
      <c r="D282" s="1">
        <v>45279</v>
      </c>
      <c r="E282" t="s">
        <v>132</v>
      </c>
      <c r="F282" t="s">
        <v>7428</v>
      </c>
      <c r="G282" t="str">
        <f>"37-3011.00"</f>
        <v>37-3011.00</v>
      </c>
      <c r="H282" t="s">
        <v>429</v>
      </c>
      <c r="I282">
        <v>20</v>
      </c>
      <c r="J282">
        <v>20</v>
      </c>
      <c r="K282" s="1">
        <v>45323</v>
      </c>
      <c r="L282" s="1">
        <v>45505</v>
      </c>
      <c r="M282" s="1">
        <v>45323</v>
      </c>
      <c r="N282" s="1">
        <v>45505</v>
      </c>
      <c r="O282" t="s">
        <v>238</v>
      </c>
      <c r="P282" t="s">
        <v>3168</v>
      </c>
      <c r="R282" t="s">
        <v>3169</v>
      </c>
      <c r="T282" t="s">
        <v>3170</v>
      </c>
      <c r="U282" t="s">
        <v>2090</v>
      </c>
      <c r="V282" s="8" t="str">
        <f>"68512"</f>
        <v>68512</v>
      </c>
      <c r="W282" t="s">
        <v>118</v>
      </c>
      <c r="Y282" s="10">
        <v>14024236653</v>
      </c>
      <c r="AA282">
        <v>237990</v>
      </c>
      <c r="AB282" t="s">
        <v>2186</v>
      </c>
      <c r="AC282" t="s">
        <v>3171</v>
      </c>
      <c r="AE282" t="s">
        <v>3172</v>
      </c>
      <c r="AF282" t="s">
        <v>3169</v>
      </c>
      <c r="AH282" t="s">
        <v>3170</v>
      </c>
      <c r="AI282" t="s">
        <v>2090</v>
      </c>
      <c r="AJ282" s="8" t="str">
        <f>"68512"</f>
        <v>68512</v>
      </c>
      <c r="AK282" t="s">
        <v>118</v>
      </c>
      <c r="AM282" s="10">
        <v>14024236653</v>
      </c>
      <c r="AO282" t="s">
        <v>3173</v>
      </c>
      <c r="AP282" t="s">
        <v>121</v>
      </c>
      <c r="AQ282" t="s">
        <v>3174</v>
      </c>
      <c r="AR282" t="s">
        <v>3175</v>
      </c>
      <c r="AS282" t="s">
        <v>3176</v>
      </c>
      <c r="AT282" t="s">
        <v>3177</v>
      </c>
      <c r="AU282" t="s">
        <v>3178</v>
      </c>
      <c r="AV282" t="s">
        <v>3179</v>
      </c>
      <c r="AW282" t="s">
        <v>127</v>
      </c>
      <c r="AX282" s="8" t="str">
        <f>"75234"</f>
        <v>75234</v>
      </c>
      <c r="AY282" t="s">
        <v>118</v>
      </c>
      <c r="BA282" s="10">
        <v>19722416445</v>
      </c>
      <c r="BC282" t="s">
        <v>3180</v>
      </c>
      <c r="BD282" t="s">
        <v>3181</v>
      </c>
      <c r="BE282" t="s">
        <v>127</v>
      </c>
      <c r="BF282" t="s">
        <v>750</v>
      </c>
      <c r="BG282" t="s">
        <v>550</v>
      </c>
      <c r="BH282" s="1">
        <v>45237.791666666664</v>
      </c>
      <c r="BI282">
        <v>40</v>
      </c>
      <c r="BJ282">
        <v>5</v>
      </c>
      <c r="BK282">
        <v>6</v>
      </c>
      <c r="BL282">
        <v>6</v>
      </c>
      <c r="BM282">
        <v>6</v>
      </c>
      <c r="BN282">
        <v>6</v>
      </c>
      <c r="BO282">
        <v>6</v>
      </c>
      <c r="BP282">
        <v>5</v>
      </c>
      <c r="BQ282" t="str">
        <f>"6:00 AM"</f>
        <v>6:00 AM</v>
      </c>
      <c r="BR282" t="str">
        <f>"2:30 PM"</f>
        <v>2:30 PM</v>
      </c>
      <c r="BS282" t="s">
        <v>131</v>
      </c>
      <c r="BT282">
        <v>0</v>
      </c>
      <c r="BU282">
        <v>6</v>
      </c>
      <c r="BV282" t="s">
        <v>114</v>
      </c>
      <c r="BX282" s="2" t="s">
        <v>19791</v>
      </c>
      <c r="BY282" t="s">
        <v>17414</v>
      </c>
      <c r="BZ282" t="s">
        <v>3184</v>
      </c>
      <c r="CA282" t="s">
        <v>17415</v>
      </c>
      <c r="CB282" t="s">
        <v>550</v>
      </c>
      <c r="CC282" s="8" t="str">
        <f>"31527"</f>
        <v>31527</v>
      </c>
      <c r="CD282" t="s">
        <v>3436</v>
      </c>
      <c r="CE282" t="s">
        <v>3437</v>
      </c>
      <c r="CF282" s="12">
        <v>15.08</v>
      </c>
      <c r="CH282" s="12">
        <v>22.62</v>
      </c>
      <c r="CJ282" t="s">
        <v>135</v>
      </c>
      <c r="CK282" t="s">
        <v>3185</v>
      </c>
      <c r="CL282" t="s">
        <v>19792</v>
      </c>
      <c r="CO282" t="s">
        <v>132</v>
      </c>
      <c r="CP282" t="s">
        <v>136</v>
      </c>
      <c r="CQ282" t="s">
        <v>114</v>
      </c>
      <c r="CR282" t="s">
        <v>136</v>
      </c>
      <c r="CS282" t="s">
        <v>114</v>
      </c>
      <c r="CT282" t="s">
        <v>136</v>
      </c>
      <c r="CU282" t="s">
        <v>136</v>
      </c>
      <c r="CV282" t="s">
        <v>3187</v>
      </c>
      <c r="CW282" s="10" t="str">
        <f>"+18553006690"</f>
        <v>+18553006690</v>
      </c>
      <c r="CX282" t="s">
        <v>132</v>
      </c>
      <c r="CY282" t="s">
        <v>3188</v>
      </c>
      <c r="CZ282" t="s">
        <v>137</v>
      </c>
      <c r="DA282" t="s">
        <v>114</v>
      </c>
      <c r="DB282" t="s">
        <v>114</v>
      </c>
      <c r="DC282" t="s">
        <v>136</v>
      </c>
      <c r="DD282" t="s">
        <v>114</v>
      </c>
    </row>
    <row r="283" spans="1:108" ht="15" customHeight="1" x14ac:dyDescent="0.25">
      <c r="A283" t="s">
        <v>2247</v>
      </c>
      <c r="B283" t="s">
        <v>152</v>
      </c>
      <c r="C283" s="1">
        <v>45237.521257754626</v>
      </c>
      <c r="D283" s="1">
        <v>45279</v>
      </c>
      <c r="E283" t="s">
        <v>132</v>
      </c>
      <c r="F283" t="s">
        <v>2248</v>
      </c>
      <c r="G283" t="str">
        <f>"39-3091.00"</f>
        <v>39-3091.00</v>
      </c>
      <c r="H283" t="s">
        <v>237</v>
      </c>
      <c r="I283">
        <v>45</v>
      </c>
      <c r="J283">
        <v>45</v>
      </c>
      <c r="K283" s="1">
        <v>45327</v>
      </c>
      <c r="L283" s="1">
        <v>45629</v>
      </c>
      <c r="M283" s="1">
        <v>45327</v>
      </c>
      <c r="N283" s="1">
        <v>45629</v>
      </c>
      <c r="O283" t="s">
        <v>238</v>
      </c>
      <c r="P283" t="s">
        <v>2249</v>
      </c>
      <c r="R283" t="s">
        <v>2250</v>
      </c>
      <c r="S283" t="s">
        <v>2251</v>
      </c>
      <c r="T283" t="s">
        <v>2252</v>
      </c>
      <c r="U283" t="s">
        <v>169</v>
      </c>
      <c r="V283" s="8" t="str">
        <f>"55330"</f>
        <v>55330</v>
      </c>
      <c r="W283" t="s">
        <v>118</v>
      </c>
      <c r="Y283" s="10">
        <v>17633609767</v>
      </c>
      <c r="AA283">
        <v>71399</v>
      </c>
      <c r="AB283" t="s">
        <v>2010</v>
      </c>
      <c r="AC283" t="s">
        <v>2253</v>
      </c>
      <c r="AE283" t="s">
        <v>561</v>
      </c>
      <c r="AF283" t="s">
        <v>2250</v>
      </c>
      <c r="AG283" t="s">
        <v>2251</v>
      </c>
      <c r="AH283" t="s">
        <v>2252</v>
      </c>
      <c r="AI283" t="s">
        <v>169</v>
      </c>
      <c r="AJ283" s="8" t="str">
        <f>"55330"</f>
        <v>55330</v>
      </c>
      <c r="AK283" t="s">
        <v>118</v>
      </c>
      <c r="AM283" s="10">
        <v>17633609767</v>
      </c>
      <c r="AO283" t="s">
        <v>2254</v>
      </c>
      <c r="AP283" t="s">
        <v>248</v>
      </c>
      <c r="AQ283" t="s">
        <v>249</v>
      </c>
      <c r="AR283" t="s">
        <v>250</v>
      </c>
      <c r="AS283" t="s">
        <v>251</v>
      </c>
      <c r="AT283" t="s">
        <v>252</v>
      </c>
      <c r="AU283" t="s">
        <v>253</v>
      </c>
      <c r="AV283" t="s">
        <v>254</v>
      </c>
      <c r="AW283" t="s">
        <v>127</v>
      </c>
      <c r="AX283" s="8" t="str">
        <f>"78550"</f>
        <v>78550</v>
      </c>
      <c r="AY283" t="s">
        <v>118</v>
      </c>
      <c r="BA283" s="10">
        <v>19564408720</v>
      </c>
      <c r="BB283" s="3" t="s">
        <v>256</v>
      </c>
      <c r="BC283" t="s">
        <v>257</v>
      </c>
      <c r="BD283" t="s">
        <v>258</v>
      </c>
      <c r="BG283" t="s">
        <v>169</v>
      </c>
      <c r="BH283" s="1">
        <v>45236.791666666664</v>
      </c>
      <c r="BI283">
        <v>40</v>
      </c>
      <c r="BJ283">
        <v>8</v>
      </c>
      <c r="BK283">
        <v>0</v>
      </c>
      <c r="BL283">
        <v>0</v>
      </c>
      <c r="BM283">
        <v>8</v>
      </c>
      <c r="BN283">
        <v>8</v>
      </c>
      <c r="BO283">
        <v>8</v>
      </c>
      <c r="BP283">
        <v>8</v>
      </c>
      <c r="BQ283" t="str">
        <f>"1:00 PM"</f>
        <v>1:00 PM</v>
      </c>
      <c r="BR283" t="str">
        <f>"10:00 PM"</f>
        <v>10:00 PM</v>
      </c>
      <c r="BS283" t="s">
        <v>131</v>
      </c>
      <c r="BT283">
        <v>0</v>
      </c>
      <c r="BU283">
        <v>0</v>
      </c>
      <c r="BV283" t="s">
        <v>114</v>
      </c>
      <c r="BX283" s="2" t="s">
        <v>2255</v>
      </c>
      <c r="BY283" t="s">
        <v>2250</v>
      </c>
      <c r="CA283" t="s">
        <v>2252</v>
      </c>
      <c r="CB283" t="s">
        <v>169</v>
      </c>
      <c r="CC283" s="8" t="str">
        <f>"55330"</f>
        <v>55330</v>
      </c>
      <c r="CD283" t="s">
        <v>2256</v>
      </c>
      <c r="CE283" t="s">
        <v>1910</v>
      </c>
      <c r="CF283" s="12">
        <v>9.23</v>
      </c>
      <c r="CG283" s="12">
        <v>15.09</v>
      </c>
      <c r="CJ283" t="s">
        <v>135</v>
      </c>
      <c r="CK283" t="s">
        <v>264</v>
      </c>
      <c r="CL283" t="s">
        <v>2257</v>
      </c>
      <c r="CO283" t="s">
        <v>132</v>
      </c>
      <c r="CP283" t="s">
        <v>136</v>
      </c>
      <c r="CQ283" t="s">
        <v>136</v>
      </c>
      <c r="CR283" t="s">
        <v>114</v>
      </c>
      <c r="CS283" t="s">
        <v>136</v>
      </c>
      <c r="CT283" t="s">
        <v>136</v>
      </c>
      <c r="CU283" t="s">
        <v>136</v>
      </c>
      <c r="CV283" t="s">
        <v>2258</v>
      </c>
      <c r="CW283" s="10" t="str">
        <f>"+17633609767"</f>
        <v>+17633609767</v>
      </c>
      <c r="CX283" t="s">
        <v>2259</v>
      </c>
      <c r="CY283" t="s">
        <v>132</v>
      </c>
      <c r="CZ283" t="s">
        <v>137</v>
      </c>
      <c r="DA283" t="s">
        <v>114</v>
      </c>
      <c r="DB283" t="s">
        <v>136</v>
      </c>
      <c r="DC283" t="s">
        <v>136</v>
      </c>
      <c r="DD283" t="s">
        <v>114</v>
      </c>
    </row>
    <row r="284" spans="1:108" ht="15" customHeight="1" x14ac:dyDescent="0.25">
      <c r="A284" t="s">
        <v>23876</v>
      </c>
      <c r="B284" t="s">
        <v>152</v>
      </c>
      <c r="C284" s="1">
        <v>45229.726899421294</v>
      </c>
      <c r="D284" s="1">
        <v>45279</v>
      </c>
      <c r="E284" t="s">
        <v>132</v>
      </c>
      <c r="F284" t="s">
        <v>22039</v>
      </c>
      <c r="G284" t="str">
        <f>"51-9193.00"</f>
        <v>51-9193.00</v>
      </c>
      <c r="H284" t="s">
        <v>8530</v>
      </c>
      <c r="I284">
        <v>2</v>
      </c>
      <c r="J284">
        <v>2</v>
      </c>
      <c r="K284" s="1">
        <v>45316</v>
      </c>
      <c r="L284" s="1">
        <v>45620</v>
      </c>
      <c r="M284" s="1">
        <v>45316</v>
      </c>
      <c r="N284" s="1">
        <v>45620</v>
      </c>
      <c r="O284" t="s">
        <v>116</v>
      </c>
      <c r="P284" t="s">
        <v>17451</v>
      </c>
      <c r="R284" t="s">
        <v>23877</v>
      </c>
      <c r="T284" t="s">
        <v>2992</v>
      </c>
      <c r="U284" t="s">
        <v>2706</v>
      </c>
      <c r="V284" s="8" t="str">
        <f>"99615"</f>
        <v>99615</v>
      </c>
      <c r="W284" t="s">
        <v>118</v>
      </c>
      <c r="Y284" s="10">
        <v>12067269900</v>
      </c>
      <c r="AA284">
        <v>31171</v>
      </c>
      <c r="AB284" t="s">
        <v>2000</v>
      </c>
      <c r="AC284" t="s">
        <v>17453</v>
      </c>
      <c r="AE284" t="s">
        <v>17454</v>
      </c>
      <c r="AF284" t="s">
        <v>23878</v>
      </c>
      <c r="AG284" t="s">
        <v>23879</v>
      </c>
      <c r="AH284" t="s">
        <v>3673</v>
      </c>
      <c r="AI284" t="s">
        <v>792</v>
      </c>
      <c r="AJ284" s="8" t="str">
        <f>"98109"</f>
        <v>98109</v>
      </c>
      <c r="AK284" t="s">
        <v>118</v>
      </c>
      <c r="AM284" s="10">
        <v>12067269900</v>
      </c>
      <c r="AO284" t="s">
        <v>17455</v>
      </c>
      <c r="AP284" t="s">
        <v>248</v>
      </c>
      <c r="AQ284" t="s">
        <v>849</v>
      </c>
      <c r="AR284" t="s">
        <v>850</v>
      </c>
      <c r="AS284" t="s">
        <v>132</v>
      </c>
      <c r="AT284" t="s">
        <v>851</v>
      </c>
      <c r="AU284" t="s">
        <v>852</v>
      </c>
      <c r="AV284" t="s">
        <v>853</v>
      </c>
      <c r="AW284" t="s">
        <v>854</v>
      </c>
      <c r="AX284" s="8" t="str">
        <f>"83814"</f>
        <v>83814</v>
      </c>
      <c r="AY284" t="s">
        <v>118</v>
      </c>
      <c r="BA284" s="10">
        <v>12087772654</v>
      </c>
      <c r="BC284" t="s">
        <v>855</v>
      </c>
      <c r="BD284" t="s">
        <v>856</v>
      </c>
      <c r="BG284" t="s">
        <v>2706</v>
      </c>
      <c r="BH284" s="1">
        <v>45228.833333333336</v>
      </c>
      <c r="BI284">
        <v>40</v>
      </c>
      <c r="BJ284">
        <v>0</v>
      </c>
      <c r="BK284">
        <v>8</v>
      </c>
      <c r="BL284">
        <v>8</v>
      </c>
      <c r="BM284">
        <v>8</v>
      </c>
      <c r="BN284">
        <v>8</v>
      </c>
      <c r="BO284">
        <v>8</v>
      </c>
      <c r="BP284">
        <v>0</v>
      </c>
      <c r="BQ284" t="str">
        <f>"6:00 AM"</f>
        <v>6:00 AM</v>
      </c>
      <c r="BR284" t="str">
        <f>"11:00 PM"</f>
        <v>11:00 PM</v>
      </c>
      <c r="BS284" t="s">
        <v>131</v>
      </c>
      <c r="BT284">
        <v>0</v>
      </c>
      <c r="BU284">
        <v>12</v>
      </c>
      <c r="BV284" t="s">
        <v>114</v>
      </c>
      <c r="BX284" s="2" t="s">
        <v>23880</v>
      </c>
      <c r="BY284" t="s">
        <v>21250</v>
      </c>
      <c r="CA284" t="s">
        <v>2992</v>
      </c>
      <c r="CB284" t="s">
        <v>2706</v>
      </c>
      <c r="CC284" s="8" t="str">
        <f>"99615"</f>
        <v>99615</v>
      </c>
      <c r="CD284" t="s">
        <v>2993</v>
      </c>
      <c r="CE284" t="s">
        <v>2714</v>
      </c>
      <c r="CF284" s="12">
        <v>21.27</v>
      </c>
      <c r="CH284" s="12">
        <v>31.91</v>
      </c>
      <c r="CJ284" t="s">
        <v>135</v>
      </c>
      <c r="CK284" t="s">
        <v>132</v>
      </c>
      <c r="CL284" t="s">
        <v>23881</v>
      </c>
      <c r="CO284" t="s">
        <v>132</v>
      </c>
      <c r="CP284" t="s">
        <v>136</v>
      </c>
      <c r="CQ284" t="s">
        <v>136</v>
      </c>
      <c r="CR284" t="s">
        <v>136</v>
      </c>
      <c r="CS284" t="s">
        <v>114</v>
      </c>
      <c r="CT284" t="s">
        <v>136</v>
      </c>
      <c r="CU284" t="s">
        <v>136</v>
      </c>
      <c r="CV284" t="s">
        <v>22043</v>
      </c>
      <c r="CW284" s="10" t="str">
        <f>"+12067269900"</f>
        <v>+12067269900</v>
      </c>
      <c r="CX284" t="s">
        <v>17460</v>
      </c>
      <c r="CY284" t="s">
        <v>132</v>
      </c>
      <c r="CZ284" t="s">
        <v>137</v>
      </c>
      <c r="DA284" t="s">
        <v>114</v>
      </c>
      <c r="DB284" t="s">
        <v>136</v>
      </c>
      <c r="DC284" t="s">
        <v>136</v>
      </c>
      <c r="DD284" t="s">
        <v>114</v>
      </c>
    </row>
    <row r="285" spans="1:108" ht="15" customHeight="1" x14ac:dyDescent="0.25">
      <c r="A285" t="s">
        <v>16367</v>
      </c>
      <c r="B285" t="s">
        <v>152</v>
      </c>
      <c r="C285" s="1">
        <v>45226.527724421299</v>
      </c>
      <c r="D285" s="1">
        <v>45279</v>
      </c>
      <c r="E285" t="s">
        <v>132</v>
      </c>
      <c r="F285" t="s">
        <v>3544</v>
      </c>
      <c r="G285" t="str">
        <f>"51-3022.00"</f>
        <v>51-3022.00</v>
      </c>
      <c r="H285" t="s">
        <v>1004</v>
      </c>
      <c r="I285">
        <v>125</v>
      </c>
      <c r="J285">
        <v>125</v>
      </c>
      <c r="K285" s="1">
        <v>45309</v>
      </c>
      <c r="L285" s="1">
        <v>45596</v>
      </c>
      <c r="M285" s="1">
        <v>45309</v>
      </c>
      <c r="N285" s="1">
        <v>45596</v>
      </c>
      <c r="O285" t="s">
        <v>116</v>
      </c>
      <c r="P285" t="s">
        <v>16368</v>
      </c>
      <c r="R285" t="s">
        <v>16369</v>
      </c>
      <c r="T285" t="s">
        <v>16370</v>
      </c>
      <c r="U285" t="s">
        <v>792</v>
      </c>
      <c r="V285" s="8" t="str">
        <f>"98119"</f>
        <v>98119</v>
      </c>
      <c r="W285" t="s">
        <v>118</v>
      </c>
      <c r="Y285" s="10">
        <v>12062856800</v>
      </c>
      <c r="AA285">
        <v>3117</v>
      </c>
      <c r="AB285" t="s">
        <v>16371</v>
      </c>
      <c r="AC285" t="s">
        <v>16372</v>
      </c>
      <c r="AE285" t="s">
        <v>16373</v>
      </c>
      <c r="AF285" t="s">
        <v>16374</v>
      </c>
      <c r="AH285" t="s">
        <v>3673</v>
      </c>
      <c r="AI285" t="s">
        <v>792</v>
      </c>
      <c r="AJ285" s="8" t="str">
        <f>"98119"</f>
        <v>98119</v>
      </c>
      <c r="AK285" t="s">
        <v>118</v>
      </c>
      <c r="AM285" s="10">
        <v>12062856800</v>
      </c>
      <c r="AO285" t="s">
        <v>16375</v>
      </c>
      <c r="AP285" t="s">
        <v>248</v>
      </c>
      <c r="AQ285" t="s">
        <v>960</v>
      </c>
      <c r="AR285" t="s">
        <v>961</v>
      </c>
      <c r="AS285" t="s">
        <v>962</v>
      </c>
      <c r="AT285" t="s">
        <v>963</v>
      </c>
      <c r="AU285" t="s">
        <v>296</v>
      </c>
      <c r="AV285" t="s">
        <v>964</v>
      </c>
      <c r="AW285" t="s">
        <v>127</v>
      </c>
      <c r="AX285" s="8" t="str">
        <f>"75033"</f>
        <v>75033</v>
      </c>
      <c r="AY285" t="s">
        <v>118</v>
      </c>
      <c r="BA285" s="10">
        <v>19727789690</v>
      </c>
      <c r="BC285" t="s">
        <v>1939</v>
      </c>
      <c r="BD285" t="s">
        <v>966</v>
      </c>
      <c r="BG285" t="s">
        <v>2706</v>
      </c>
      <c r="BH285" s="1">
        <v>45225.833333333336</v>
      </c>
      <c r="BI285">
        <v>35</v>
      </c>
      <c r="BJ285">
        <v>5</v>
      </c>
      <c r="BK285">
        <v>5</v>
      </c>
      <c r="BL285">
        <v>5</v>
      </c>
      <c r="BM285">
        <v>5</v>
      </c>
      <c r="BN285">
        <v>5</v>
      </c>
      <c r="BO285">
        <v>5</v>
      </c>
      <c r="BP285">
        <v>5</v>
      </c>
      <c r="BQ285" t="str">
        <f>"6:00 AM"</f>
        <v>6:00 AM</v>
      </c>
      <c r="BR285" t="str">
        <f>"6:00 PM"</f>
        <v>6:00 PM</v>
      </c>
      <c r="BS285" t="s">
        <v>131</v>
      </c>
      <c r="BT285">
        <v>0</v>
      </c>
      <c r="BU285">
        <v>0</v>
      </c>
      <c r="BV285" t="s">
        <v>114</v>
      </c>
      <c r="BX285" s="2" t="s">
        <v>16376</v>
      </c>
      <c r="BY285" t="s">
        <v>16377</v>
      </c>
      <c r="CA285" t="s">
        <v>16378</v>
      </c>
      <c r="CB285" t="s">
        <v>2706</v>
      </c>
      <c r="CC285" s="8" t="str">
        <f>"99615"</f>
        <v>99615</v>
      </c>
      <c r="CD285" t="s">
        <v>2993</v>
      </c>
      <c r="CE285" t="s">
        <v>2714</v>
      </c>
      <c r="CF285" s="12">
        <v>17.149999999999999</v>
      </c>
      <c r="CG285" s="12">
        <v>18.059999999999999</v>
      </c>
      <c r="CH285" s="12">
        <v>25.73</v>
      </c>
      <c r="CI285" s="12">
        <v>27.09</v>
      </c>
      <c r="CJ285" t="s">
        <v>135</v>
      </c>
      <c r="CK285" t="s">
        <v>16379</v>
      </c>
      <c r="CL285" t="s">
        <v>16380</v>
      </c>
      <c r="CO285" t="s">
        <v>132</v>
      </c>
      <c r="CP285" t="s">
        <v>136</v>
      </c>
      <c r="CQ285" t="s">
        <v>136</v>
      </c>
      <c r="CR285" t="s">
        <v>136</v>
      </c>
      <c r="CS285" t="s">
        <v>136</v>
      </c>
      <c r="CT285" t="s">
        <v>136</v>
      </c>
      <c r="CU285" t="s">
        <v>136</v>
      </c>
      <c r="CV285" s="2" t="s">
        <v>16381</v>
      </c>
      <c r="CW285" s="10" t="str">
        <f>"+12062856800"</f>
        <v>+12062856800</v>
      </c>
      <c r="CX285" t="s">
        <v>132</v>
      </c>
      <c r="CY285" t="s">
        <v>16382</v>
      </c>
      <c r="CZ285" t="s">
        <v>137</v>
      </c>
      <c r="DA285" t="s">
        <v>114</v>
      </c>
      <c r="DB285" t="s">
        <v>136</v>
      </c>
      <c r="DC285" t="s">
        <v>136</v>
      </c>
      <c r="DD285" t="s">
        <v>114</v>
      </c>
    </row>
    <row r="286" spans="1:108" ht="15" customHeight="1" x14ac:dyDescent="0.25">
      <c r="A286" t="s">
        <v>11170</v>
      </c>
      <c r="B286" t="s">
        <v>152</v>
      </c>
      <c r="C286" s="1">
        <v>45219.515593750002</v>
      </c>
      <c r="D286" s="1">
        <v>45279</v>
      </c>
      <c r="E286" t="s">
        <v>132</v>
      </c>
      <c r="F286" t="s">
        <v>11171</v>
      </c>
      <c r="G286" t="str">
        <f>"35-9031.00"</f>
        <v>35-9031.00</v>
      </c>
      <c r="H286" t="s">
        <v>916</v>
      </c>
      <c r="I286">
        <v>2</v>
      </c>
      <c r="J286">
        <v>2</v>
      </c>
      <c r="K286" s="1">
        <v>45294</v>
      </c>
      <c r="L286" s="1">
        <v>45473</v>
      </c>
      <c r="M286" s="1">
        <v>45294</v>
      </c>
      <c r="N286" s="1">
        <v>45473</v>
      </c>
      <c r="O286" t="s">
        <v>116</v>
      </c>
      <c r="P286" t="s">
        <v>5099</v>
      </c>
      <c r="Q286" t="s">
        <v>5100</v>
      </c>
      <c r="R286" t="s">
        <v>5101</v>
      </c>
      <c r="T286" t="s">
        <v>5102</v>
      </c>
      <c r="U286" t="s">
        <v>333</v>
      </c>
      <c r="V286" s="8" t="str">
        <f>"70130"</f>
        <v>70130</v>
      </c>
      <c r="W286" t="s">
        <v>118</v>
      </c>
      <c r="Y286" s="10">
        <v>15045256000</v>
      </c>
      <c r="AA286">
        <v>721110</v>
      </c>
      <c r="AB286" t="s">
        <v>2823</v>
      </c>
      <c r="AC286" t="s">
        <v>5103</v>
      </c>
      <c r="AE286" t="s">
        <v>161</v>
      </c>
      <c r="AF286" t="s">
        <v>5101</v>
      </c>
      <c r="AH286" t="s">
        <v>5102</v>
      </c>
      <c r="AI286" t="s">
        <v>333</v>
      </c>
      <c r="AJ286" s="8" t="str">
        <f>"70130"</f>
        <v>70130</v>
      </c>
      <c r="AK286" t="s">
        <v>118</v>
      </c>
      <c r="AM286" s="10">
        <v>15047171201</v>
      </c>
      <c r="AO286" t="s">
        <v>5104</v>
      </c>
      <c r="AP286" t="s">
        <v>121</v>
      </c>
      <c r="AQ286" t="s">
        <v>4300</v>
      </c>
      <c r="AR286" t="s">
        <v>5105</v>
      </c>
      <c r="AS286" t="s">
        <v>5106</v>
      </c>
      <c r="AT286" t="s">
        <v>5107</v>
      </c>
      <c r="AU286" t="s">
        <v>5108</v>
      </c>
      <c r="AV286" t="s">
        <v>5109</v>
      </c>
      <c r="AW286" t="s">
        <v>333</v>
      </c>
      <c r="AX286" s="8" t="str">
        <f>"70130"</f>
        <v>70130</v>
      </c>
      <c r="AY286" t="s">
        <v>118</v>
      </c>
      <c r="AZ286" t="s">
        <v>5110</v>
      </c>
      <c r="BA286" s="10">
        <v>15045849312</v>
      </c>
      <c r="BC286" t="s">
        <v>5111</v>
      </c>
      <c r="BD286" t="s">
        <v>5112</v>
      </c>
      <c r="BE286" t="s">
        <v>333</v>
      </c>
      <c r="BF286" t="s">
        <v>2190</v>
      </c>
      <c r="BG286" t="s">
        <v>333</v>
      </c>
      <c r="BH286" s="1">
        <v>45218.833333333336</v>
      </c>
      <c r="BI286">
        <v>40</v>
      </c>
      <c r="BJ286">
        <v>0</v>
      </c>
      <c r="BK286">
        <v>8</v>
      </c>
      <c r="BL286">
        <v>8</v>
      </c>
      <c r="BM286">
        <v>8</v>
      </c>
      <c r="BN286">
        <v>8</v>
      </c>
      <c r="BO286">
        <v>8</v>
      </c>
      <c r="BP286">
        <v>0</v>
      </c>
      <c r="BQ286" t="str">
        <f>"9:00 AM"</f>
        <v>9:00 AM</v>
      </c>
      <c r="BR286" t="str">
        <f>"5:00 PM"</f>
        <v>5:00 PM</v>
      </c>
      <c r="BS286" t="s">
        <v>131</v>
      </c>
      <c r="BT286">
        <v>0</v>
      </c>
      <c r="BU286">
        <v>3</v>
      </c>
      <c r="BV286" t="s">
        <v>114</v>
      </c>
      <c r="BX286" t="s">
        <v>1570</v>
      </c>
      <c r="BY286" t="s">
        <v>5101</v>
      </c>
      <c r="CA286" t="s">
        <v>5102</v>
      </c>
      <c r="CB286" t="s">
        <v>333</v>
      </c>
      <c r="CC286" s="8" t="str">
        <f>"70130"</f>
        <v>70130</v>
      </c>
      <c r="CD286" t="s">
        <v>679</v>
      </c>
      <c r="CE286" t="s">
        <v>341</v>
      </c>
      <c r="CF286" s="12">
        <v>14</v>
      </c>
      <c r="CH286" s="12">
        <v>21</v>
      </c>
      <c r="CJ286" t="s">
        <v>135</v>
      </c>
      <c r="CK286" t="s">
        <v>11172</v>
      </c>
      <c r="CL286" t="s">
        <v>11173</v>
      </c>
      <c r="CO286" t="s">
        <v>132</v>
      </c>
      <c r="CP286" t="s">
        <v>114</v>
      </c>
      <c r="CQ286" t="s">
        <v>114</v>
      </c>
      <c r="CR286" t="s">
        <v>136</v>
      </c>
      <c r="CS286" t="s">
        <v>136</v>
      </c>
      <c r="CT286" t="s">
        <v>136</v>
      </c>
      <c r="CU286" t="s">
        <v>136</v>
      </c>
      <c r="CV286" s="2" t="s">
        <v>11174</v>
      </c>
      <c r="CW286" s="10" t="str">
        <f>"+15045964761"</f>
        <v>+15045964761</v>
      </c>
      <c r="CX286" t="s">
        <v>5115</v>
      </c>
      <c r="CY286" t="s">
        <v>132</v>
      </c>
      <c r="CZ286" t="s">
        <v>137</v>
      </c>
      <c r="DA286" t="s">
        <v>114</v>
      </c>
      <c r="DB286" t="s">
        <v>136</v>
      </c>
      <c r="DC286" t="s">
        <v>136</v>
      </c>
      <c r="DD286" t="s">
        <v>114</v>
      </c>
    </row>
    <row r="287" spans="1:108" ht="15" customHeight="1" x14ac:dyDescent="0.25">
      <c r="A287" t="s">
        <v>24195</v>
      </c>
      <c r="B287" t="s">
        <v>152</v>
      </c>
      <c r="C287" s="1">
        <v>45216.485514004627</v>
      </c>
      <c r="D287" s="1">
        <v>45279</v>
      </c>
      <c r="E287" t="s">
        <v>132</v>
      </c>
      <c r="F287" t="s">
        <v>24196</v>
      </c>
      <c r="G287" t="str">
        <f>"37-2011.00"</f>
        <v>37-2011.00</v>
      </c>
      <c r="H287" t="s">
        <v>1089</v>
      </c>
      <c r="I287">
        <v>165</v>
      </c>
      <c r="J287">
        <v>165</v>
      </c>
      <c r="K287" s="1">
        <v>45292</v>
      </c>
      <c r="L287" s="1">
        <v>45566</v>
      </c>
      <c r="M287" s="1">
        <v>45292</v>
      </c>
      <c r="N287" s="1">
        <v>45566</v>
      </c>
      <c r="O287" t="s">
        <v>116</v>
      </c>
      <c r="P287" t="s">
        <v>4285</v>
      </c>
      <c r="R287" t="s">
        <v>16924</v>
      </c>
      <c r="T287" t="s">
        <v>16925</v>
      </c>
      <c r="U287" t="s">
        <v>211</v>
      </c>
      <c r="V287" s="8" t="str">
        <f>"84604"</f>
        <v>84604</v>
      </c>
      <c r="W287" t="s">
        <v>118</v>
      </c>
      <c r="Y287" s="10">
        <v>18016805552</v>
      </c>
      <c r="AA287">
        <v>56172</v>
      </c>
      <c r="AB287" t="s">
        <v>4289</v>
      </c>
      <c r="AC287" t="s">
        <v>4290</v>
      </c>
      <c r="AE287" t="s">
        <v>4291</v>
      </c>
      <c r="AF287" t="s">
        <v>16924</v>
      </c>
      <c r="AH287" t="s">
        <v>16925</v>
      </c>
      <c r="AI287" t="s">
        <v>211</v>
      </c>
      <c r="AJ287" s="8" t="str">
        <f>"84604"</f>
        <v>84604</v>
      </c>
      <c r="AK287" t="s">
        <v>118</v>
      </c>
      <c r="AM287" s="10">
        <v>18014668044</v>
      </c>
      <c r="AO287" t="s">
        <v>4292</v>
      </c>
      <c r="AP287" t="s">
        <v>121</v>
      </c>
      <c r="AQ287" t="s">
        <v>4293</v>
      </c>
      <c r="AR287" t="s">
        <v>4294</v>
      </c>
      <c r="AS287" t="s">
        <v>3625</v>
      </c>
      <c r="AT287" t="s">
        <v>4295</v>
      </c>
      <c r="AV287" t="s">
        <v>320</v>
      </c>
      <c r="AW287" t="s">
        <v>127</v>
      </c>
      <c r="AX287" s="8" t="str">
        <f>"78705"</f>
        <v>78705</v>
      </c>
      <c r="AY287" t="s">
        <v>118</v>
      </c>
      <c r="BA287" s="10">
        <v>15123470007</v>
      </c>
      <c r="BC287" t="s">
        <v>4296</v>
      </c>
      <c r="BD287" t="s">
        <v>4297</v>
      </c>
      <c r="BE287" t="s">
        <v>127</v>
      </c>
      <c r="BF287" t="s">
        <v>4298</v>
      </c>
      <c r="BG287" t="s">
        <v>211</v>
      </c>
      <c r="BH287" s="1">
        <v>45199.833333333336</v>
      </c>
      <c r="BI287">
        <v>40</v>
      </c>
      <c r="BJ287">
        <v>0</v>
      </c>
      <c r="BK287">
        <v>8</v>
      </c>
      <c r="BL287">
        <v>8</v>
      </c>
      <c r="BM287">
        <v>8</v>
      </c>
      <c r="BN287">
        <v>8</v>
      </c>
      <c r="BO287">
        <v>8</v>
      </c>
      <c r="BP287">
        <v>0</v>
      </c>
      <c r="BQ287" t="str">
        <f>"8:00 AM"</f>
        <v>8:00 AM</v>
      </c>
      <c r="BR287" t="str">
        <f>"5:00 PM"</f>
        <v>5:00 PM</v>
      </c>
      <c r="BS287" t="s">
        <v>131</v>
      </c>
      <c r="BT287">
        <v>0</v>
      </c>
      <c r="BU287">
        <v>0</v>
      </c>
      <c r="BV287" t="s">
        <v>114</v>
      </c>
      <c r="BX287" t="s">
        <v>4299</v>
      </c>
      <c r="BY287" t="s">
        <v>16924</v>
      </c>
      <c r="CA287" t="s">
        <v>16925</v>
      </c>
      <c r="CB287" t="s">
        <v>211</v>
      </c>
      <c r="CC287" s="8" t="str">
        <f>"84604"</f>
        <v>84604</v>
      </c>
      <c r="CD287" t="s">
        <v>2468</v>
      </c>
      <c r="CE287" t="s">
        <v>2469</v>
      </c>
      <c r="CF287" s="12">
        <v>13.8</v>
      </c>
      <c r="CH287" s="12">
        <v>20.7</v>
      </c>
      <c r="CJ287" t="s">
        <v>135</v>
      </c>
      <c r="CL287" t="s">
        <v>24197</v>
      </c>
      <c r="CO287" t="s">
        <v>132</v>
      </c>
      <c r="CP287" t="s">
        <v>136</v>
      </c>
      <c r="CQ287" t="s">
        <v>136</v>
      </c>
      <c r="CR287" t="s">
        <v>136</v>
      </c>
      <c r="CS287" t="s">
        <v>136</v>
      </c>
      <c r="CT287" t="s">
        <v>136</v>
      </c>
      <c r="CU287" t="s">
        <v>136</v>
      </c>
      <c r="CV287" t="s">
        <v>24198</v>
      </c>
      <c r="CW287" s="10" t="str">
        <f>"+18014668044"</f>
        <v>+18014668044</v>
      </c>
      <c r="CX287" t="s">
        <v>4292</v>
      </c>
      <c r="CY287" t="s">
        <v>132</v>
      </c>
      <c r="CZ287" t="s">
        <v>137</v>
      </c>
      <c r="DA287" t="s">
        <v>114</v>
      </c>
      <c r="DB287" t="s">
        <v>114</v>
      </c>
      <c r="DC287" t="s">
        <v>136</v>
      </c>
      <c r="DD287" t="s">
        <v>114</v>
      </c>
    </row>
    <row r="288" spans="1:108" ht="15" customHeight="1" x14ac:dyDescent="0.25">
      <c r="A288" t="s">
        <v>12823</v>
      </c>
      <c r="B288" t="s">
        <v>152</v>
      </c>
      <c r="C288" s="1">
        <v>45252.499860648146</v>
      </c>
      <c r="D288" s="1">
        <v>45278</v>
      </c>
      <c r="E288" t="s">
        <v>132</v>
      </c>
      <c r="F288" t="s">
        <v>3282</v>
      </c>
      <c r="G288" t="str">
        <f>"37-3011.00"</f>
        <v>37-3011.00</v>
      </c>
      <c r="H288" t="s">
        <v>429</v>
      </c>
      <c r="I288">
        <v>9</v>
      </c>
      <c r="J288">
        <v>9</v>
      </c>
      <c r="K288" s="1">
        <v>45342</v>
      </c>
      <c r="L288" s="1">
        <v>45626</v>
      </c>
      <c r="M288" s="1">
        <v>45342</v>
      </c>
      <c r="N288" s="1">
        <v>45626</v>
      </c>
      <c r="O288" t="s">
        <v>238</v>
      </c>
      <c r="P288" t="s">
        <v>12824</v>
      </c>
      <c r="R288" t="s">
        <v>12825</v>
      </c>
      <c r="T288" t="s">
        <v>12826</v>
      </c>
      <c r="U288" t="s">
        <v>386</v>
      </c>
      <c r="V288" s="8" t="str">
        <f>"37128"</f>
        <v>37128</v>
      </c>
      <c r="W288" t="s">
        <v>118</v>
      </c>
      <c r="Y288" s="10">
        <v>16154960705</v>
      </c>
      <c r="AA288">
        <v>56173</v>
      </c>
      <c r="AB288" t="s">
        <v>12827</v>
      </c>
      <c r="AC288" t="s">
        <v>9506</v>
      </c>
      <c r="AE288" t="s">
        <v>654</v>
      </c>
      <c r="AF288" t="s">
        <v>12825</v>
      </c>
      <c r="AH288" t="s">
        <v>12826</v>
      </c>
      <c r="AI288" t="s">
        <v>386</v>
      </c>
      <c r="AJ288" s="8" t="str">
        <f>"37128"</f>
        <v>37128</v>
      </c>
      <c r="AK288" t="s">
        <v>118</v>
      </c>
      <c r="AM288" s="10">
        <v>16154960705</v>
      </c>
      <c r="AO288" t="s">
        <v>12828</v>
      </c>
      <c r="AP288" t="s">
        <v>121</v>
      </c>
      <c r="AQ288" t="s">
        <v>2173</v>
      </c>
      <c r="AR288" t="s">
        <v>2174</v>
      </c>
      <c r="AS288" t="s">
        <v>1829</v>
      </c>
      <c r="AT288" t="s">
        <v>2175</v>
      </c>
      <c r="AV288" t="s">
        <v>2176</v>
      </c>
      <c r="AW288" t="s">
        <v>386</v>
      </c>
      <c r="AX288" s="8" t="str">
        <f>"37110"</f>
        <v>37110</v>
      </c>
      <c r="AY288" t="s">
        <v>118</v>
      </c>
      <c r="BA288" s="10">
        <v>19312747811</v>
      </c>
      <c r="BC288" t="s">
        <v>2177</v>
      </c>
      <c r="BD288" t="s">
        <v>2178</v>
      </c>
      <c r="BE288" t="s">
        <v>386</v>
      </c>
      <c r="BF288" t="s">
        <v>2179</v>
      </c>
      <c r="BG288" t="s">
        <v>386</v>
      </c>
      <c r="BH288" s="1">
        <v>45251.791666666664</v>
      </c>
      <c r="BI288">
        <v>40</v>
      </c>
      <c r="BJ288">
        <v>0</v>
      </c>
      <c r="BK288">
        <v>8</v>
      </c>
      <c r="BL288">
        <v>8</v>
      </c>
      <c r="BM288">
        <v>8</v>
      </c>
      <c r="BN288">
        <v>8</v>
      </c>
      <c r="BO288">
        <v>8</v>
      </c>
      <c r="BP288">
        <v>0</v>
      </c>
      <c r="BQ288" t="str">
        <f>"7:00 AM"</f>
        <v>7:00 AM</v>
      </c>
      <c r="BR288" t="str">
        <f>"4:00 PM"</f>
        <v>4:00 PM</v>
      </c>
      <c r="BS288" t="s">
        <v>131</v>
      </c>
      <c r="BT288">
        <v>0</v>
      </c>
      <c r="BU288">
        <v>3</v>
      </c>
      <c r="BV288" t="s">
        <v>114</v>
      </c>
      <c r="BX288" s="2" t="s">
        <v>12829</v>
      </c>
      <c r="BY288" t="s">
        <v>12825</v>
      </c>
      <c r="CA288" t="s">
        <v>12826</v>
      </c>
      <c r="CB288" t="s">
        <v>386</v>
      </c>
      <c r="CC288" s="8" t="str">
        <f>"37128"</f>
        <v>37128</v>
      </c>
      <c r="CD288" t="s">
        <v>3751</v>
      </c>
      <c r="CE288" t="s">
        <v>3752</v>
      </c>
      <c r="CF288" s="12">
        <v>17.05</v>
      </c>
      <c r="CH288" s="12">
        <v>25.58</v>
      </c>
      <c r="CJ288" t="s">
        <v>135</v>
      </c>
      <c r="CK288" t="s">
        <v>2181</v>
      </c>
      <c r="CL288" t="s">
        <v>12830</v>
      </c>
      <c r="CO288" t="s">
        <v>132</v>
      </c>
      <c r="CP288" t="s">
        <v>136</v>
      </c>
      <c r="CQ288" t="s">
        <v>136</v>
      </c>
      <c r="CR288" t="s">
        <v>136</v>
      </c>
      <c r="CS288" t="s">
        <v>114</v>
      </c>
      <c r="CT288" t="s">
        <v>136</v>
      </c>
      <c r="CU288" t="s">
        <v>114</v>
      </c>
      <c r="CV288" t="s">
        <v>1480</v>
      </c>
      <c r="CW288" s="10" t="str">
        <f>"+16154960705"</f>
        <v>+16154960705</v>
      </c>
      <c r="CX288" t="s">
        <v>12828</v>
      </c>
      <c r="CY288" t="s">
        <v>132</v>
      </c>
      <c r="CZ288" t="s">
        <v>137</v>
      </c>
      <c r="DA288" t="s">
        <v>114</v>
      </c>
      <c r="DB288" t="s">
        <v>114</v>
      </c>
      <c r="DC288" t="s">
        <v>136</v>
      </c>
      <c r="DD288" t="s">
        <v>114</v>
      </c>
    </row>
    <row r="289" spans="1:113" ht="15" customHeight="1" x14ac:dyDescent="0.25">
      <c r="A289" t="s">
        <v>3037</v>
      </c>
      <c r="B289" t="s">
        <v>152</v>
      </c>
      <c r="C289" s="1">
        <v>45252.380646064812</v>
      </c>
      <c r="D289" s="1">
        <v>45278</v>
      </c>
      <c r="E289" t="s">
        <v>132</v>
      </c>
      <c r="F289" t="s">
        <v>1595</v>
      </c>
      <c r="G289" t="str">
        <f>"37-3011.00"</f>
        <v>37-3011.00</v>
      </c>
      <c r="H289" t="s">
        <v>429</v>
      </c>
      <c r="I289">
        <v>7</v>
      </c>
      <c r="J289">
        <v>7</v>
      </c>
      <c r="K289" s="1">
        <v>45342</v>
      </c>
      <c r="L289" s="1">
        <v>45627</v>
      </c>
      <c r="M289" s="1">
        <v>45342</v>
      </c>
      <c r="N289" s="1">
        <v>45627</v>
      </c>
      <c r="O289" t="s">
        <v>116</v>
      </c>
      <c r="P289" t="s">
        <v>3038</v>
      </c>
      <c r="R289" t="s">
        <v>3039</v>
      </c>
      <c r="S289" t="s">
        <v>3040</v>
      </c>
      <c r="T289" t="s">
        <v>3041</v>
      </c>
      <c r="U289" t="s">
        <v>127</v>
      </c>
      <c r="V289" s="8" t="str">
        <f>"78006"</f>
        <v>78006</v>
      </c>
      <c r="W289" t="s">
        <v>118</v>
      </c>
      <c r="Y289" s="10">
        <v>12108840624</v>
      </c>
      <c r="AA289">
        <v>561730</v>
      </c>
      <c r="AB289" t="s">
        <v>3042</v>
      </c>
      <c r="AC289" t="s">
        <v>3043</v>
      </c>
      <c r="AE289" t="s">
        <v>561</v>
      </c>
      <c r="AF289" t="s">
        <v>3039</v>
      </c>
      <c r="AG289" t="s">
        <v>3040</v>
      </c>
      <c r="AH289" t="s">
        <v>3041</v>
      </c>
      <c r="AI289" t="s">
        <v>127</v>
      </c>
      <c r="AJ289" s="8" t="str">
        <f>"78006"</f>
        <v>78006</v>
      </c>
      <c r="AK289" t="s">
        <v>118</v>
      </c>
      <c r="AM289" s="10">
        <v>12108840624</v>
      </c>
      <c r="AO289" t="s">
        <v>3044</v>
      </c>
      <c r="AP289" t="s">
        <v>248</v>
      </c>
      <c r="AQ289" t="s">
        <v>1582</v>
      </c>
      <c r="AR289" t="s">
        <v>1583</v>
      </c>
      <c r="AS289" t="s">
        <v>631</v>
      </c>
      <c r="AT289" t="s">
        <v>1584</v>
      </c>
      <c r="AU289" t="s">
        <v>132</v>
      </c>
      <c r="AV289" t="s">
        <v>1585</v>
      </c>
      <c r="AW289" t="s">
        <v>127</v>
      </c>
      <c r="AX289" s="8" t="str">
        <f>"77414"</f>
        <v>77414</v>
      </c>
      <c r="AY289" t="s">
        <v>118</v>
      </c>
      <c r="BA289" s="10">
        <v>19793187280</v>
      </c>
      <c r="BC289" t="s">
        <v>1586</v>
      </c>
      <c r="BD289" t="s">
        <v>1587</v>
      </c>
      <c r="BG289" t="s">
        <v>127</v>
      </c>
      <c r="BH289" s="1">
        <v>45251.791666666664</v>
      </c>
      <c r="BI289">
        <v>40</v>
      </c>
      <c r="BJ289">
        <v>0</v>
      </c>
      <c r="BK289">
        <v>8</v>
      </c>
      <c r="BL289">
        <v>8</v>
      </c>
      <c r="BM289">
        <v>8</v>
      </c>
      <c r="BN289">
        <v>8</v>
      </c>
      <c r="BO289">
        <v>8</v>
      </c>
      <c r="BP289">
        <v>0</v>
      </c>
      <c r="BQ289" t="str">
        <f>"8:00 AM"</f>
        <v>8:00 AM</v>
      </c>
      <c r="BR289" t="str">
        <f>"5:00 PM"</f>
        <v>5:00 PM</v>
      </c>
      <c r="BS289" t="s">
        <v>131</v>
      </c>
      <c r="BT289">
        <v>0</v>
      </c>
      <c r="BU289">
        <v>0</v>
      </c>
      <c r="BV289" t="s">
        <v>114</v>
      </c>
      <c r="BX289" s="2" t="s">
        <v>3045</v>
      </c>
      <c r="BY289" t="s">
        <v>3039</v>
      </c>
      <c r="BZ289" t="s">
        <v>132</v>
      </c>
      <c r="CA289" t="s">
        <v>3041</v>
      </c>
      <c r="CB289" t="s">
        <v>127</v>
      </c>
      <c r="CC289" s="8" t="str">
        <f>"78006"</f>
        <v>78006</v>
      </c>
      <c r="CD289" t="s">
        <v>1941</v>
      </c>
      <c r="CE289" t="s">
        <v>1287</v>
      </c>
      <c r="CF289" s="12">
        <v>15.69</v>
      </c>
      <c r="CH289" s="12">
        <v>23.54</v>
      </c>
      <c r="CJ289" t="s">
        <v>135</v>
      </c>
      <c r="CK289" t="s">
        <v>132</v>
      </c>
      <c r="CL289" t="s">
        <v>3046</v>
      </c>
      <c r="CO289" t="s">
        <v>132</v>
      </c>
      <c r="CP289" t="s">
        <v>136</v>
      </c>
      <c r="CQ289" t="s">
        <v>136</v>
      </c>
      <c r="CR289" t="s">
        <v>136</v>
      </c>
      <c r="CS289" t="s">
        <v>136</v>
      </c>
      <c r="CT289" t="s">
        <v>136</v>
      </c>
      <c r="CU289" t="s">
        <v>114</v>
      </c>
      <c r="CV289" t="s">
        <v>2225</v>
      </c>
      <c r="CW289" s="10" t="str">
        <f>"+12108840624"</f>
        <v>+12108840624</v>
      </c>
      <c r="CX289" t="s">
        <v>3044</v>
      </c>
      <c r="CY289" t="s">
        <v>132</v>
      </c>
      <c r="CZ289" t="s">
        <v>137</v>
      </c>
      <c r="DA289" t="s">
        <v>114</v>
      </c>
      <c r="DB289" t="s">
        <v>114</v>
      </c>
      <c r="DC289" t="s">
        <v>136</v>
      </c>
      <c r="DD289" t="s">
        <v>114</v>
      </c>
    </row>
    <row r="290" spans="1:113" ht="15" customHeight="1" x14ac:dyDescent="0.25">
      <c r="A290" t="s">
        <v>17690</v>
      </c>
      <c r="B290" t="s">
        <v>152</v>
      </c>
      <c r="C290" s="1">
        <v>45251.88610787037</v>
      </c>
      <c r="D290" s="1">
        <v>45278</v>
      </c>
      <c r="E290" t="s">
        <v>132</v>
      </c>
      <c r="F290" t="s">
        <v>2324</v>
      </c>
      <c r="G290" t="str">
        <f>"35-3023.00"</f>
        <v>35-3023.00</v>
      </c>
      <c r="H290" t="s">
        <v>1365</v>
      </c>
      <c r="I290">
        <v>10</v>
      </c>
      <c r="J290">
        <v>10</v>
      </c>
      <c r="K290" s="1">
        <v>45337</v>
      </c>
      <c r="L290" s="1">
        <v>45611</v>
      </c>
      <c r="M290" s="1">
        <v>45337</v>
      </c>
      <c r="N290" s="1">
        <v>45611</v>
      </c>
      <c r="O290" t="s">
        <v>238</v>
      </c>
      <c r="P290" t="s">
        <v>17691</v>
      </c>
      <c r="R290" t="s">
        <v>17692</v>
      </c>
      <c r="S290" t="s">
        <v>17693</v>
      </c>
      <c r="T290" t="s">
        <v>6687</v>
      </c>
      <c r="U290" t="s">
        <v>127</v>
      </c>
      <c r="V290" s="8" t="str">
        <f>"75656"</f>
        <v>75656</v>
      </c>
      <c r="W290" t="s">
        <v>118</v>
      </c>
      <c r="Y290" s="10">
        <v>19039183694</v>
      </c>
      <c r="AA290">
        <v>71399</v>
      </c>
      <c r="AB290" t="s">
        <v>17694</v>
      </c>
      <c r="AC290" t="s">
        <v>12712</v>
      </c>
      <c r="AE290" t="s">
        <v>17695</v>
      </c>
      <c r="AF290" t="s">
        <v>17696</v>
      </c>
      <c r="AG290" t="s">
        <v>17693</v>
      </c>
      <c r="AH290" t="s">
        <v>7451</v>
      </c>
      <c r="AI290" t="s">
        <v>127</v>
      </c>
      <c r="AJ290" s="8" t="str">
        <f>"75656"</f>
        <v>75656</v>
      </c>
      <c r="AK290" t="s">
        <v>118</v>
      </c>
      <c r="AM290" s="10">
        <v>19039183694</v>
      </c>
      <c r="AO290" t="s">
        <v>17697</v>
      </c>
      <c r="AP290" t="s">
        <v>248</v>
      </c>
      <c r="AQ290" t="s">
        <v>249</v>
      </c>
      <c r="AR290" t="s">
        <v>250</v>
      </c>
      <c r="AS290" t="s">
        <v>251</v>
      </c>
      <c r="AT290" t="s">
        <v>252</v>
      </c>
      <c r="AU290" t="s">
        <v>253</v>
      </c>
      <c r="AV290" t="s">
        <v>254</v>
      </c>
      <c r="AW290" t="s">
        <v>127</v>
      </c>
      <c r="AX290" s="8" t="str">
        <f>"78550"</f>
        <v>78550</v>
      </c>
      <c r="AY290" t="s">
        <v>118</v>
      </c>
      <c r="BA290" s="10">
        <v>19564408720</v>
      </c>
      <c r="BB290" s="3" t="s">
        <v>256</v>
      </c>
      <c r="BC290" t="s">
        <v>257</v>
      </c>
      <c r="BD290" t="s">
        <v>258</v>
      </c>
      <c r="BG290" t="s">
        <v>127</v>
      </c>
      <c r="BH290" s="1">
        <v>45250.791666666664</v>
      </c>
      <c r="BI290">
        <v>40</v>
      </c>
      <c r="BJ290">
        <v>8</v>
      </c>
      <c r="BK290">
        <v>0</v>
      </c>
      <c r="BL290">
        <v>0</v>
      </c>
      <c r="BM290">
        <v>8</v>
      </c>
      <c r="BN290">
        <v>8</v>
      </c>
      <c r="BO290">
        <v>8</v>
      </c>
      <c r="BP290">
        <v>8</v>
      </c>
      <c r="BQ290" t="str">
        <f>"1:00 PM"</f>
        <v>1:00 PM</v>
      </c>
      <c r="BR290" t="str">
        <f>"10:00 PM"</f>
        <v>10:00 PM</v>
      </c>
      <c r="BS290" t="s">
        <v>131</v>
      </c>
      <c r="BT290">
        <v>0</v>
      </c>
      <c r="BU290">
        <v>0</v>
      </c>
      <c r="BV290" t="s">
        <v>114</v>
      </c>
      <c r="BX290" s="2" t="s">
        <v>2255</v>
      </c>
      <c r="BY290" t="s">
        <v>17696</v>
      </c>
      <c r="CA290" t="s">
        <v>7451</v>
      </c>
      <c r="CB290" t="s">
        <v>127</v>
      </c>
      <c r="CC290" s="8" t="str">
        <f>"75656"</f>
        <v>75656</v>
      </c>
      <c r="CD290" t="s">
        <v>2776</v>
      </c>
      <c r="CE290" t="s">
        <v>2876</v>
      </c>
      <c r="CF290" s="12">
        <v>9.8699999999999992</v>
      </c>
      <c r="CG290" s="12">
        <v>12.65</v>
      </c>
      <c r="CJ290" t="s">
        <v>135</v>
      </c>
      <c r="CK290" t="s">
        <v>264</v>
      </c>
      <c r="CL290" t="s">
        <v>17698</v>
      </c>
      <c r="CO290" t="s">
        <v>132</v>
      </c>
      <c r="CP290" t="s">
        <v>136</v>
      </c>
      <c r="CQ290" t="s">
        <v>136</v>
      </c>
      <c r="CR290" t="s">
        <v>114</v>
      </c>
      <c r="CS290" t="s">
        <v>136</v>
      </c>
      <c r="CT290" t="s">
        <v>136</v>
      </c>
      <c r="CU290" t="s">
        <v>136</v>
      </c>
      <c r="CV290" t="s">
        <v>266</v>
      </c>
      <c r="CW290" s="10" t="str">
        <f>"+19039183694"</f>
        <v>+19039183694</v>
      </c>
      <c r="CX290" t="s">
        <v>17697</v>
      </c>
      <c r="CY290" t="s">
        <v>132</v>
      </c>
      <c r="CZ290" t="s">
        <v>137</v>
      </c>
      <c r="DA290" t="s">
        <v>114</v>
      </c>
      <c r="DB290" t="s">
        <v>136</v>
      </c>
      <c r="DC290" t="s">
        <v>136</v>
      </c>
      <c r="DD290" t="s">
        <v>114</v>
      </c>
    </row>
    <row r="291" spans="1:113" ht="15" customHeight="1" x14ac:dyDescent="0.25">
      <c r="A291" t="s">
        <v>18913</v>
      </c>
      <c r="B291" t="s">
        <v>152</v>
      </c>
      <c r="C291" s="1">
        <v>45251.688208449072</v>
      </c>
      <c r="D291" s="1">
        <v>45278</v>
      </c>
      <c r="E291" t="s">
        <v>132</v>
      </c>
      <c r="F291" t="s">
        <v>2744</v>
      </c>
      <c r="G291" t="str">
        <f>"37-3011.00"</f>
        <v>37-3011.00</v>
      </c>
      <c r="H291" t="s">
        <v>429</v>
      </c>
      <c r="I291">
        <v>3</v>
      </c>
      <c r="J291">
        <v>3</v>
      </c>
      <c r="K291" s="1">
        <v>45337</v>
      </c>
      <c r="L291" s="1">
        <v>45640</v>
      </c>
      <c r="M291" s="1">
        <v>45337</v>
      </c>
      <c r="N291" s="1">
        <v>45640</v>
      </c>
      <c r="O291" t="s">
        <v>238</v>
      </c>
      <c r="P291" t="s">
        <v>18914</v>
      </c>
      <c r="R291" t="s">
        <v>18915</v>
      </c>
      <c r="T291" t="s">
        <v>7663</v>
      </c>
      <c r="U291" t="s">
        <v>581</v>
      </c>
      <c r="V291" s="8" t="str">
        <f>"22920"</f>
        <v>22920</v>
      </c>
      <c r="W291" t="s">
        <v>118</v>
      </c>
      <c r="Y291" s="10">
        <v>14343611588</v>
      </c>
      <c r="AA291">
        <v>56173</v>
      </c>
      <c r="AB291" t="s">
        <v>18916</v>
      </c>
      <c r="AC291" t="s">
        <v>7459</v>
      </c>
      <c r="AD291" t="s">
        <v>475</v>
      </c>
      <c r="AE291" t="s">
        <v>438</v>
      </c>
      <c r="AF291" t="s">
        <v>18917</v>
      </c>
      <c r="AH291" t="s">
        <v>18918</v>
      </c>
      <c r="AI291" t="s">
        <v>581</v>
      </c>
      <c r="AJ291" s="8" t="str">
        <f>"22920"</f>
        <v>22920</v>
      </c>
      <c r="AK291" t="s">
        <v>118</v>
      </c>
      <c r="AM291" s="10">
        <v>14343611588</v>
      </c>
      <c r="AO291" t="s">
        <v>18919</v>
      </c>
      <c r="AP291" t="s">
        <v>248</v>
      </c>
      <c r="AQ291" t="s">
        <v>5168</v>
      </c>
      <c r="AR291" t="s">
        <v>2187</v>
      </c>
      <c r="AS291" t="s">
        <v>628</v>
      </c>
      <c r="AT291" t="s">
        <v>5169</v>
      </c>
      <c r="AV291" t="s">
        <v>5170</v>
      </c>
      <c r="AW291" t="s">
        <v>581</v>
      </c>
      <c r="AX291" s="8" t="str">
        <f>"23505"</f>
        <v>23505</v>
      </c>
      <c r="AY291" t="s">
        <v>118</v>
      </c>
      <c r="BA291" s="10">
        <v>18043019607</v>
      </c>
      <c r="BC291" t="s">
        <v>5171</v>
      </c>
      <c r="BD291" t="s">
        <v>5172</v>
      </c>
      <c r="BG291" t="s">
        <v>581</v>
      </c>
      <c r="BH291" s="1">
        <v>45250.791666666664</v>
      </c>
      <c r="BI291">
        <v>40</v>
      </c>
      <c r="BJ291">
        <v>0</v>
      </c>
      <c r="BK291">
        <v>8</v>
      </c>
      <c r="BL291">
        <v>8</v>
      </c>
      <c r="BM291">
        <v>8</v>
      </c>
      <c r="BN291">
        <v>8</v>
      </c>
      <c r="BO291">
        <v>8</v>
      </c>
      <c r="BP291">
        <v>0</v>
      </c>
      <c r="BQ291" t="str">
        <f>"7:30 AM"</f>
        <v>7:30 AM</v>
      </c>
      <c r="BR291" t="str">
        <f>"4:30 PM"</f>
        <v>4:30 PM</v>
      </c>
      <c r="BS291" t="s">
        <v>131</v>
      </c>
      <c r="BT291">
        <v>0</v>
      </c>
      <c r="BU291">
        <v>3</v>
      </c>
      <c r="BV291" t="s">
        <v>114</v>
      </c>
      <c r="BX291" t="s">
        <v>18920</v>
      </c>
      <c r="BY291" t="s">
        <v>18915</v>
      </c>
      <c r="CA291" t="s">
        <v>7663</v>
      </c>
      <c r="CB291" t="s">
        <v>581</v>
      </c>
      <c r="CC291" s="8" t="str">
        <f>"22920"</f>
        <v>22920</v>
      </c>
      <c r="CD291" t="s">
        <v>6242</v>
      </c>
      <c r="CE291" t="s">
        <v>9274</v>
      </c>
      <c r="CF291" s="12">
        <v>17.07</v>
      </c>
      <c r="CG291" s="12">
        <v>17.07</v>
      </c>
      <c r="CH291" s="12">
        <v>25.61</v>
      </c>
      <c r="CI291" s="12">
        <v>25.61</v>
      </c>
      <c r="CJ291" t="s">
        <v>135</v>
      </c>
      <c r="CK291" t="s">
        <v>18921</v>
      </c>
      <c r="CL291" t="s">
        <v>18922</v>
      </c>
      <c r="CO291" t="s">
        <v>132</v>
      </c>
      <c r="CP291" t="s">
        <v>114</v>
      </c>
      <c r="CQ291" t="s">
        <v>136</v>
      </c>
      <c r="CR291" t="s">
        <v>136</v>
      </c>
      <c r="CS291" t="s">
        <v>114</v>
      </c>
      <c r="CT291" t="s">
        <v>136</v>
      </c>
      <c r="CU291" t="s">
        <v>114</v>
      </c>
      <c r="CV291" t="s">
        <v>18923</v>
      </c>
      <c r="CW291" s="10" t="str">
        <f>"+14343611588"</f>
        <v>+14343611588</v>
      </c>
      <c r="CX291" t="s">
        <v>18919</v>
      </c>
      <c r="CY291" t="s">
        <v>132</v>
      </c>
      <c r="CZ291" t="s">
        <v>137</v>
      </c>
      <c r="DA291" t="s">
        <v>114</v>
      </c>
      <c r="DB291" t="s">
        <v>136</v>
      </c>
      <c r="DC291" t="s">
        <v>136</v>
      </c>
      <c r="DD291" t="s">
        <v>114</v>
      </c>
      <c r="DE291" t="s">
        <v>5168</v>
      </c>
      <c r="DF291" t="s">
        <v>2187</v>
      </c>
      <c r="DG291" t="s">
        <v>628</v>
      </c>
      <c r="DH291" t="s">
        <v>18924</v>
      </c>
      <c r="DI291" t="s">
        <v>5171</v>
      </c>
    </row>
    <row r="292" spans="1:113" ht="15" customHeight="1" x14ac:dyDescent="0.25">
      <c r="A292" t="s">
        <v>11269</v>
      </c>
      <c r="B292" t="s">
        <v>152</v>
      </c>
      <c r="C292" s="1">
        <v>45251.569425694448</v>
      </c>
      <c r="D292" s="1">
        <v>45278</v>
      </c>
      <c r="E292" t="s">
        <v>132</v>
      </c>
      <c r="F292" t="s">
        <v>685</v>
      </c>
      <c r="G292" t="str">
        <f>"39-3091.00"</f>
        <v>39-3091.00</v>
      </c>
      <c r="H292" t="s">
        <v>237</v>
      </c>
      <c r="I292">
        <v>16</v>
      </c>
      <c r="J292">
        <v>16</v>
      </c>
      <c r="K292" s="1">
        <v>45332</v>
      </c>
      <c r="L292" s="1">
        <v>45606</v>
      </c>
      <c r="M292" s="1">
        <v>45332</v>
      </c>
      <c r="N292" s="1">
        <v>45606</v>
      </c>
      <c r="O292" t="s">
        <v>238</v>
      </c>
      <c r="P292" t="s">
        <v>11270</v>
      </c>
      <c r="R292" t="s">
        <v>11271</v>
      </c>
      <c r="T292" t="s">
        <v>1391</v>
      </c>
      <c r="U292" t="s">
        <v>558</v>
      </c>
      <c r="V292" s="8" t="str">
        <f>"85139"</f>
        <v>85139</v>
      </c>
      <c r="W292" t="s">
        <v>118</v>
      </c>
      <c r="Y292" s="10">
        <v>16027580300</v>
      </c>
      <c r="Z292" s="3" t="s">
        <v>256</v>
      </c>
      <c r="AA292">
        <v>71399</v>
      </c>
      <c r="AB292" t="s">
        <v>11272</v>
      </c>
      <c r="AC292" t="s">
        <v>11273</v>
      </c>
      <c r="AE292" t="s">
        <v>11274</v>
      </c>
      <c r="AF292" t="s">
        <v>11271</v>
      </c>
      <c r="AH292" t="s">
        <v>1391</v>
      </c>
      <c r="AI292" t="s">
        <v>558</v>
      </c>
      <c r="AJ292" s="8" t="str">
        <f>"85139"</f>
        <v>85139</v>
      </c>
      <c r="AK292" t="s">
        <v>118</v>
      </c>
      <c r="AM292" s="10">
        <v>16027580300</v>
      </c>
      <c r="AN292" s="3" t="s">
        <v>256</v>
      </c>
      <c r="AO292" t="s">
        <v>11275</v>
      </c>
      <c r="AP292" t="s">
        <v>248</v>
      </c>
      <c r="AQ292" t="s">
        <v>249</v>
      </c>
      <c r="AR292" t="s">
        <v>250</v>
      </c>
      <c r="AS292" t="s">
        <v>251</v>
      </c>
      <c r="AT292" t="s">
        <v>252</v>
      </c>
      <c r="AU292" t="s">
        <v>253</v>
      </c>
      <c r="AV292" t="s">
        <v>254</v>
      </c>
      <c r="AW292" t="s">
        <v>127</v>
      </c>
      <c r="AX292" s="8" t="str">
        <f>"78550"</f>
        <v>78550</v>
      </c>
      <c r="AY292" t="s">
        <v>118</v>
      </c>
      <c r="AZ292" t="s">
        <v>255</v>
      </c>
      <c r="BA292" s="10">
        <v>19564408720</v>
      </c>
      <c r="BB292" s="3" t="s">
        <v>256</v>
      </c>
      <c r="BC292" t="s">
        <v>338</v>
      </c>
      <c r="BD292" t="s">
        <v>258</v>
      </c>
      <c r="BG292" t="s">
        <v>558</v>
      </c>
      <c r="BH292" s="1">
        <v>45250.791666666664</v>
      </c>
      <c r="BI292">
        <v>40</v>
      </c>
      <c r="BJ292">
        <v>8</v>
      </c>
      <c r="BK292">
        <v>0</v>
      </c>
      <c r="BL292">
        <v>0</v>
      </c>
      <c r="BM292">
        <v>8</v>
      </c>
      <c r="BN292">
        <v>8</v>
      </c>
      <c r="BO292">
        <v>8</v>
      </c>
      <c r="BP292">
        <v>8</v>
      </c>
      <c r="BQ292" t="str">
        <f>"1:00 PM"</f>
        <v>1:00 PM</v>
      </c>
      <c r="BR292" t="str">
        <f>"10:00 PM"</f>
        <v>10:00 PM</v>
      </c>
      <c r="BS292" t="s">
        <v>131</v>
      </c>
      <c r="BT292">
        <v>0</v>
      </c>
      <c r="BU292">
        <v>0</v>
      </c>
      <c r="BV292" t="s">
        <v>114</v>
      </c>
      <c r="BX292" s="2" t="s">
        <v>339</v>
      </c>
      <c r="BY292" t="s">
        <v>11276</v>
      </c>
      <c r="CA292" t="s">
        <v>1391</v>
      </c>
      <c r="CB292" t="s">
        <v>558</v>
      </c>
      <c r="CC292" s="8" t="str">
        <f>"85139"</f>
        <v>85139</v>
      </c>
      <c r="CD292" t="s">
        <v>564</v>
      </c>
      <c r="CE292" t="s">
        <v>565</v>
      </c>
      <c r="CF292" s="12">
        <v>10.76</v>
      </c>
      <c r="CG292" s="12">
        <v>18.399999999999999</v>
      </c>
      <c r="CJ292" t="s">
        <v>135</v>
      </c>
      <c r="CK292" t="s">
        <v>342</v>
      </c>
      <c r="CL292" t="s">
        <v>11277</v>
      </c>
      <c r="CO292" t="s">
        <v>132</v>
      </c>
      <c r="CP292" t="s">
        <v>136</v>
      </c>
      <c r="CQ292" t="s">
        <v>136</v>
      </c>
      <c r="CR292" t="s">
        <v>114</v>
      </c>
      <c r="CS292" t="s">
        <v>136</v>
      </c>
      <c r="CT292" t="s">
        <v>136</v>
      </c>
      <c r="CU292" t="s">
        <v>136</v>
      </c>
      <c r="CV292" t="s">
        <v>344</v>
      </c>
      <c r="CW292" s="10" t="str">
        <f>"+16027580300"</f>
        <v>+16027580300</v>
      </c>
      <c r="CX292" t="s">
        <v>11275</v>
      </c>
      <c r="CY292" t="s">
        <v>132</v>
      </c>
      <c r="CZ292" t="s">
        <v>137</v>
      </c>
      <c r="DA292" t="s">
        <v>114</v>
      </c>
      <c r="DB292" t="s">
        <v>136</v>
      </c>
      <c r="DC292" t="s">
        <v>136</v>
      </c>
      <c r="DD292" t="s">
        <v>114</v>
      </c>
    </row>
    <row r="293" spans="1:113" ht="15" customHeight="1" x14ac:dyDescent="0.25">
      <c r="A293" t="s">
        <v>19955</v>
      </c>
      <c r="B293" t="s">
        <v>152</v>
      </c>
      <c r="C293" s="1">
        <v>45251.443426851853</v>
      </c>
      <c r="D293" s="1">
        <v>45278</v>
      </c>
      <c r="E293" t="s">
        <v>132</v>
      </c>
      <c r="F293" t="s">
        <v>1595</v>
      </c>
      <c r="G293" t="str">
        <f>"37-3011.00"</f>
        <v>37-3011.00</v>
      </c>
      <c r="H293" t="s">
        <v>429</v>
      </c>
      <c r="I293">
        <v>22</v>
      </c>
      <c r="J293">
        <v>22</v>
      </c>
      <c r="K293" s="1">
        <v>45341</v>
      </c>
      <c r="L293" s="1">
        <v>45639</v>
      </c>
      <c r="M293" s="1">
        <v>45341</v>
      </c>
      <c r="N293" s="1">
        <v>45639</v>
      </c>
      <c r="O293" t="s">
        <v>116</v>
      </c>
      <c r="P293" t="s">
        <v>19956</v>
      </c>
      <c r="R293" t="s">
        <v>19957</v>
      </c>
      <c r="T293" t="s">
        <v>4960</v>
      </c>
      <c r="U293" t="s">
        <v>1734</v>
      </c>
      <c r="V293" s="8" t="str">
        <f>"66085"</f>
        <v>66085</v>
      </c>
      <c r="W293" t="s">
        <v>118</v>
      </c>
      <c r="Y293" s="10">
        <v>19136818041</v>
      </c>
      <c r="AA293">
        <v>561730</v>
      </c>
      <c r="AB293" t="s">
        <v>9271</v>
      </c>
      <c r="AC293" t="s">
        <v>4478</v>
      </c>
      <c r="AE293" t="s">
        <v>629</v>
      </c>
      <c r="AF293" t="s">
        <v>19957</v>
      </c>
      <c r="AH293" t="s">
        <v>4960</v>
      </c>
      <c r="AI293" t="s">
        <v>1734</v>
      </c>
      <c r="AJ293" s="8" t="str">
        <f>"66085"</f>
        <v>66085</v>
      </c>
      <c r="AK293" t="s">
        <v>118</v>
      </c>
      <c r="AM293" s="10">
        <v>19136818041</v>
      </c>
      <c r="AO293" t="s">
        <v>9272</v>
      </c>
      <c r="AP293" t="s">
        <v>248</v>
      </c>
      <c r="AQ293" t="s">
        <v>3539</v>
      </c>
      <c r="AR293" t="s">
        <v>3540</v>
      </c>
      <c r="AT293" t="s">
        <v>1584</v>
      </c>
      <c r="AV293" t="s">
        <v>1585</v>
      </c>
      <c r="AW293" t="s">
        <v>127</v>
      </c>
      <c r="AX293" s="8" t="str">
        <f>"77414"</f>
        <v>77414</v>
      </c>
      <c r="AY293" t="s">
        <v>118</v>
      </c>
      <c r="BA293" s="10">
        <v>19793187290</v>
      </c>
      <c r="BC293" t="s">
        <v>3541</v>
      </c>
      <c r="BD293" t="s">
        <v>1587</v>
      </c>
      <c r="BG293" t="s">
        <v>1734</v>
      </c>
      <c r="BH293" s="1">
        <v>45250.791666666664</v>
      </c>
      <c r="BI293">
        <v>40</v>
      </c>
      <c r="BJ293">
        <v>0</v>
      </c>
      <c r="BK293">
        <v>8</v>
      </c>
      <c r="BL293">
        <v>8</v>
      </c>
      <c r="BM293">
        <v>8</v>
      </c>
      <c r="BN293">
        <v>8</v>
      </c>
      <c r="BO293">
        <v>8</v>
      </c>
      <c r="BP293">
        <v>0</v>
      </c>
      <c r="BQ293" t="str">
        <f>"7:30 AM"</f>
        <v>7:30 AM</v>
      </c>
      <c r="BR293" t="str">
        <f>"4:30 PM"</f>
        <v>4:30 PM</v>
      </c>
      <c r="BS293" t="s">
        <v>131</v>
      </c>
      <c r="BT293">
        <v>0</v>
      </c>
      <c r="BU293">
        <v>0</v>
      </c>
      <c r="BV293" t="s">
        <v>114</v>
      </c>
      <c r="BX293" s="2" t="s">
        <v>19958</v>
      </c>
      <c r="BY293" t="s">
        <v>19957</v>
      </c>
      <c r="CA293" t="s">
        <v>4960</v>
      </c>
      <c r="CB293" t="s">
        <v>1734</v>
      </c>
      <c r="CC293" s="8" t="str">
        <f>"66085"</f>
        <v>66085</v>
      </c>
      <c r="CD293" t="s">
        <v>1969</v>
      </c>
      <c r="CE293" t="s">
        <v>2431</v>
      </c>
      <c r="CF293" s="12">
        <v>17.47</v>
      </c>
      <c r="CG293" s="12">
        <v>19.559999999999999</v>
      </c>
      <c r="CH293" s="12">
        <v>26.21</v>
      </c>
      <c r="CI293" s="12">
        <v>29.34</v>
      </c>
      <c r="CJ293" t="s">
        <v>135</v>
      </c>
      <c r="CK293" t="s">
        <v>2642</v>
      </c>
      <c r="CL293" t="s">
        <v>19959</v>
      </c>
      <c r="CO293" t="s">
        <v>132</v>
      </c>
      <c r="CP293" t="s">
        <v>136</v>
      </c>
      <c r="CQ293" t="s">
        <v>136</v>
      </c>
      <c r="CR293" t="s">
        <v>136</v>
      </c>
      <c r="CS293" t="s">
        <v>136</v>
      </c>
      <c r="CT293" t="s">
        <v>136</v>
      </c>
      <c r="CU293" t="s">
        <v>136</v>
      </c>
      <c r="CV293" t="s">
        <v>19960</v>
      </c>
      <c r="CW293" s="10" t="str">
        <f>"+19136818041"</f>
        <v>+19136818041</v>
      </c>
      <c r="CX293" t="s">
        <v>9272</v>
      </c>
      <c r="CY293" t="s">
        <v>132</v>
      </c>
      <c r="CZ293" t="s">
        <v>137</v>
      </c>
      <c r="DA293" t="s">
        <v>114</v>
      </c>
      <c r="DB293" t="s">
        <v>114</v>
      </c>
      <c r="DC293" t="s">
        <v>136</v>
      </c>
      <c r="DD293" t="s">
        <v>114</v>
      </c>
    </row>
    <row r="294" spans="1:113" ht="15" customHeight="1" x14ac:dyDescent="0.25">
      <c r="A294" t="s">
        <v>9490</v>
      </c>
      <c r="B294" t="s">
        <v>152</v>
      </c>
      <c r="C294" s="1">
        <v>45251.404436111108</v>
      </c>
      <c r="D294" s="1">
        <v>45278</v>
      </c>
      <c r="E294" t="s">
        <v>132</v>
      </c>
      <c r="F294" t="s">
        <v>2744</v>
      </c>
      <c r="G294" t="str">
        <f>"37-3011.00"</f>
        <v>37-3011.00</v>
      </c>
      <c r="H294" t="s">
        <v>429</v>
      </c>
      <c r="I294">
        <v>12</v>
      </c>
      <c r="J294">
        <v>12</v>
      </c>
      <c r="K294" s="1">
        <v>45337</v>
      </c>
      <c r="L294" s="1">
        <v>45640</v>
      </c>
      <c r="M294" s="1">
        <v>45337</v>
      </c>
      <c r="N294" s="1">
        <v>45640</v>
      </c>
      <c r="O294" t="s">
        <v>238</v>
      </c>
      <c r="P294" t="s">
        <v>9491</v>
      </c>
      <c r="R294" t="s">
        <v>9492</v>
      </c>
      <c r="T294" t="s">
        <v>9493</v>
      </c>
      <c r="U294" t="s">
        <v>375</v>
      </c>
      <c r="V294" s="8" t="str">
        <f>"27235"</f>
        <v>27235</v>
      </c>
      <c r="W294" t="s">
        <v>118</v>
      </c>
      <c r="Y294" s="10">
        <v>13365750026</v>
      </c>
      <c r="AA294">
        <v>56173</v>
      </c>
      <c r="AB294" t="s">
        <v>9494</v>
      </c>
      <c r="AC294" t="s">
        <v>9495</v>
      </c>
      <c r="AE294" t="s">
        <v>9496</v>
      </c>
      <c r="AF294" t="s">
        <v>9492</v>
      </c>
      <c r="AH294" t="s">
        <v>9493</v>
      </c>
      <c r="AI294" t="s">
        <v>581</v>
      </c>
      <c r="AJ294" s="8" t="str">
        <f>"27235"</f>
        <v>27235</v>
      </c>
      <c r="AK294" t="s">
        <v>118</v>
      </c>
      <c r="AM294" s="10">
        <v>13365750026</v>
      </c>
      <c r="AO294" t="s">
        <v>9497</v>
      </c>
      <c r="AP294" t="s">
        <v>248</v>
      </c>
      <c r="AQ294" t="s">
        <v>5168</v>
      </c>
      <c r="AR294" t="s">
        <v>2187</v>
      </c>
      <c r="AS294" t="s">
        <v>628</v>
      </c>
      <c r="AT294" t="s">
        <v>5169</v>
      </c>
      <c r="AV294" t="s">
        <v>5170</v>
      </c>
      <c r="AW294" t="s">
        <v>581</v>
      </c>
      <c r="AX294" s="8" t="str">
        <f>"23505"</f>
        <v>23505</v>
      </c>
      <c r="AY294" t="s">
        <v>118</v>
      </c>
      <c r="BA294" s="10">
        <v>18043019607</v>
      </c>
      <c r="BC294" t="s">
        <v>5171</v>
      </c>
      <c r="BD294" t="s">
        <v>5172</v>
      </c>
      <c r="BG294" t="s">
        <v>375</v>
      </c>
      <c r="BH294" s="1">
        <v>45250.791666666664</v>
      </c>
      <c r="BI294">
        <v>40</v>
      </c>
      <c r="BJ294">
        <v>0</v>
      </c>
      <c r="BK294">
        <v>8</v>
      </c>
      <c r="BL294">
        <v>8</v>
      </c>
      <c r="BM294">
        <v>8</v>
      </c>
      <c r="BN294">
        <v>8</v>
      </c>
      <c r="BO294">
        <v>8</v>
      </c>
      <c r="BP294">
        <v>0</v>
      </c>
      <c r="BQ294" t="str">
        <f>"7:00 AM"</f>
        <v>7:00 AM</v>
      </c>
      <c r="BR294" t="str">
        <f>"4:00 PM"</f>
        <v>4:00 PM</v>
      </c>
      <c r="BS294" t="s">
        <v>131</v>
      </c>
      <c r="BT294">
        <v>0</v>
      </c>
      <c r="BU294">
        <v>0</v>
      </c>
      <c r="BV294" t="s">
        <v>114</v>
      </c>
      <c r="BX294" t="s">
        <v>9498</v>
      </c>
      <c r="BY294" t="s">
        <v>9492</v>
      </c>
      <c r="CA294" t="s">
        <v>9493</v>
      </c>
      <c r="CB294" t="s">
        <v>375</v>
      </c>
      <c r="CC294" s="8" t="str">
        <f>"27235"</f>
        <v>27235</v>
      </c>
      <c r="CD294" t="s">
        <v>2955</v>
      </c>
      <c r="CE294" t="s">
        <v>2956</v>
      </c>
      <c r="CF294" s="12">
        <v>17.239999999999998</v>
      </c>
      <c r="CG294" s="12">
        <v>17.239999999999998</v>
      </c>
      <c r="CH294" s="12">
        <v>25.86</v>
      </c>
      <c r="CI294" s="12">
        <v>25.86</v>
      </c>
      <c r="CJ294" t="s">
        <v>135</v>
      </c>
      <c r="CK294" t="s">
        <v>9476</v>
      </c>
      <c r="CL294" t="s">
        <v>9499</v>
      </c>
      <c r="CO294" t="s">
        <v>132</v>
      </c>
      <c r="CP294" t="s">
        <v>136</v>
      </c>
      <c r="CQ294" t="s">
        <v>136</v>
      </c>
      <c r="CR294" t="s">
        <v>136</v>
      </c>
      <c r="CS294" t="s">
        <v>114</v>
      </c>
      <c r="CT294" t="s">
        <v>136</v>
      </c>
      <c r="CU294" t="s">
        <v>114</v>
      </c>
      <c r="CV294" t="s">
        <v>9500</v>
      </c>
      <c r="CW294" s="10" t="str">
        <f>"+13366245729"</f>
        <v>+13366245729</v>
      </c>
      <c r="CX294" t="s">
        <v>9501</v>
      </c>
      <c r="CY294" t="s">
        <v>132</v>
      </c>
      <c r="CZ294" t="s">
        <v>137</v>
      </c>
      <c r="DA294" t="s">
        <v>114</v>
      </c>
      <c r="DB294" t="s">
        <v>136</v>
      </c>
      <c r="DC294" t="s">
        <v>136</v>
      </c>
      <c r="DD294" t="s">
        <v>114</v>
      </c>
      <c r="DE294" t="s">
        <v>5168</v>
      </c>
      <c r="DF294" t="s">
        <v>2187</v>
      </c>
      <c r="DG294" t="s">
        <v>628</v>
      </c>
      <c r="DH294" t="s">
        <v>5172</v>
      </c>
      <c r="DI294" t="s">
        <v>5171</v>
      </c>
    </row>
    <row r="295" spans="1:113" ht="15" customHeight="1" x14ac:dyDescent="0.25">
      <c r="A295" t="s">
        <v>17676</v>
      </c>
      <c r="B295" t="s">
        <v>152</v>
      </c>
      <c r="C295" s="1">
        <v>45251.403730208331</v>
      </c>
      <c r="D295" s="1">
        <v>45278</v>
      </c>
      <c r="E295" t="s">
        <v>132</v>
      </c>
      <c r="F295" t="s">
        <v>17677</v>
      </c>
      <c r="G295" t="str">
        <f>"47-4051.00"</f>
        <v>47-4051.00</v>
      </c>
      <c r="H295" t="s">
        <v>5632</v>
      </c>
      <c r="I295">
        <v>23</v>
      </c>
      <c r="J295">
        <v>23</v>
      </c>
      <c r="K295" s="1">
        <v>45341</v>
      </c>
      <c r="L295" s="1">
        <v>45644</v>
      </c>
      <c r="M295" s="1">
        <v>45341</v>
      </c>
      <c r="N295" s="1">
        <v>45644</v>
      </c>
      <c r="O295" t="s">
        <v>238</v>
      </c>
      <c r="P295" t="s">
        <v>17678</v>
      </c>
      <c r="R295" t="s">
        <v>17679</v>
      </c>
      <c r="S295" t="s">
        <v>132</v>
      </c>
      <c r="T295" t="s">
        <v>8232</v>
      </c>
      <c r="U295" t="s">
        <v>127</v>
      </c>
      <c r="V295" s="8" t="str">
        <f>"79763"</f>
        <v>79763</v>
      </c>
      <c r="W295" t="s">
        <v>118</v>
      </c>
      <c r="Y295" s="10">
        <v>14323328433</v>
      </c>
      <c r="AA295">
        <v>237310</v>
      </c>
      <c r="AB295" t="s">
        <v>17680</v>
      </c>
      <c r="AC295" t="s">
        <v>123</v>
      </c>
      <c r="AE295" t="s">
        <v>2405</v>
      </c>
      <c r="AF295" t="s">
        <v>17679</v>
      </c>
      <c r="AG295" t="s">
        <v>132</v>
      </c>
      <c r="AH295" t="s">
        <v>8232</v>
      </c>
      <c r="AI295" t="s">
        <v>127</v>
      </c>
      <c r="AJ295" s="8" t="str">
        <f>"79763"</f>
        <v>79763</v>
      </c>
      <c r="AK295" t="s">
        <v>118</v>
      </c>
      <c r="AM295" s="10">
        <v>14323328433</v>
      </c>
      <c r="AO295" t="s">
        <v>17681</v>
      </c>
      <c r="AP295" t="s">
        <v>248</v>
      </c>
      <c r="AQ295" t="s">
        <v>2452</v>
      </c>
      <c r="AR295" t="s">
        <v>2453</v>
      </c>
      <c r="AS295" t="s">
        <v>515</v>
      </c>
      <c r="AT295" t="s">
        <v>2454</v>
      </c>
      <c r="AU295" t="s">
        <v>132</v>
      </c>
      <c r="AV295" t="s">
        <v>1585</v>
      </c>
      <c r="AW295" t="s">
        <v>127</v>
      </c>
      <c r="AX295" s="8" t="str">
        <f>"77414"</f>
        <v>77414</v>
      </c>
      <c r="AY295" t="s">
        <v>118</v>
      </c>
      <c r="BA295" s="10">
        <v>19793187278</v>
      </c>
      <c r="BC295" t="s">
        <v>2455</v>
      </c>
      <c r="BD295" t="s">
        <v>1587</v>
      </c>
      <c r="BG295" t="s">
        <v>127</v>
      </c>
      <c r="BH295" s="1">
        <v>45250.791666666664</v>
      </c>
      <c r="BI295">
        <v>40</v>
      </c>
      <c r="BJ295">
        <v>0</v>
      </c>
      <c r="BK295">
        <v>8</v>
      </c>
      <c r="BL295">
        <v>8</v>
      </c>
      <c r="BM295">
        <v>8</v>
      </c>
      <c r="BN295">
        <v>8</v>
      </c>
      <c r="BO295">
        <v>8</v>
      </c>
      <c r="BP295">
        <v>0</v>
      </c>
      <c r="BQ295" t="str">
        <f>"7:00 AM"</f>
        <v>7:00 AM</v>
      </c>
      <c r="BR295" t="str">
        <f>"4:00 PM"</f>
        <v>4:00 PM</v>
      </c>
      <c r="BS295" t="s">
        <v>131</v>
      </c>
      <c r="BT295">
        <v>0</v>
      </c>
      <c r="BU295">
        <v>0</v>
      </c>
      <c r="BV295" t="s">
        <v>114</v>
      </c>
      <c r="BX295" s="2" t="s">
        <v>17682</v>
      </c>
      <c r="BY295" t="s">
        <v>17679</v>
      </c>
      <c r="BZ295" t="s">
        <v>132</v>
      </c>
      <c r="CA295" t="s">
        <v>8232</v>
      </c>
      <c r="CB295" t="s">
        <v>127</v>
      </c>
      <c r="CC295" s="8" t="str">
        <f>"79763"</f>
        <v>79763</v>
      </c>
      <c r="CD295" t="s">
        <v>8234</v>
      </c>
      <c r="CE295" t="s">
        <v>8235</v>
      </c>
      <c r="CF295" s="12">
        <v>17.91</v>
      </c>
      <c r="CG295" s="12">
        <v>19.440000000000001</v>
      </c>
      <c r="CH295" s="12">
        <v>26.87</v>
      </c>
      <c r="CI295" s="12">
        <v>29.16</v>
      </c>
      <c r="CJ295" t="s">
        <v>135</v>
      </c>
      <c r="CK295" t="s">
        <v>17683</v>
      </c>
      <c r="CL295" t="s">
        <v>17684</v>
      </c>
      <c r="CO295" t="s">
        <v>132</v>
      </c>
      <c r="CP295" t="s">
        <v>136</v>
      </c>
      <c r="CQ295" t="s">
        <v>136</v>
      </c>
      <c r="CR295" t="s">
        <v>136</v>
      </c>
      <c r="CS295" t="s">
        <v>136</v>
      </c>
      <c r="CT295" t="s">
        <v>136</v>
      </c>
      <c r="CU295" t="s">
        <v>114</v>
      </c>
      <c r="CV295" t="s">
        <v>17685</v>
      </c>
      <c r="CW295" s="10" t="str">
        <f>"+14323328433"</f>
        <v>+14323328433</v>
      </c>
      <c r="CX295" t="s">
        <v>17681</v>
      </c>
      <c r="CY295" t="s">
        <v>132</v>
      </c>
      <c r="CZ295" t="s">
        <v>137</v>
      </c>
      <c r="DA295" t="s">
        <v>114</v>
      </c>
      <c r="DB295" t="s">
        <v>114</v>
      </c>
      <c r="DC295" t="s">
        <v>136</v>
      </c>
      <c r="DD295" t="s">
        <v>114</v>
      </c>
    </row>
    <row r="296" spans="1:113" ht="15" customHeight="1" x14ac:dyDescent="0.25">
      <c r="A296" t="s">
        <v>23906</v>
      </c>
      <c r="B296" t="s">
        <v>152</v>
      </c>
      <c r="C296" s="1">
        <v>45251.398667939815</v>
      </c>
      <c r="D296" s="1">
        <v>45278</v>
      </c>
      <c r="E296" t="s">
        <v>132</v>
      </c>
      <c r="F296" t="s">
        <v>23004</v>
      </c>
      <c r="G296" t="str">
        <f>"47-2061.00"</f>
        <v>47-2061.00</v>
      </c>
      <c r="H296" t="s">
        <v>570</v>
      </c>
      <c r="I296">
        <v>15</v>
      </c>
      <c r="J296">
        <v>15</v>
      </c>
      <c r="K296" s="1">
        <v>45338</v>
      </c>
      <c r="L296" s="1">
        <v>45612</v>
      </c>
      <c r="M296" s="1">
        <v>45338</v>
      </c>
      <c r="N296" s="1">
        <v>45612</v>
      </c>
      <c r="O296" t="s">
        <v>116</v>
      </c>
      <c r="P296" t="s">
        <v>23907</v>
      </c>
      <c r="R296" t="s">
        <v>23908</v>
      </c>
      <c r="S296" t="s">
        <v>23909</v>
      </c>
      <c r="T296" t="s">
        <v>23008</v>
      </c>
      <c r="U296" t="s">
        <v>127</v>
      </c>
      <c r="V296" s="8" t="str">
        <f>"75482"</f>
        <v>75482</v>
      </c>
      <c r="W296" t="s">
        <v>118</v>
      </c>
      <c r="Y296" s="10">
        <v>19034394634</v>
      </c>
      <c r="AA296">
        <v>23731</v>
      </c>
      <c r="AB296" t="s">
        <v>2601</v>
      </c>
      <c r="AC296" t="s">
        <v>145</v>
      </c>
      <c r="AE296" t="s">
        <v>629</v>
      </c>
      <c r="AF296" t="s">
        <v>23908</v>
      </c>
      <c r="AG296" t="s">
        <v>23909</v>
      </c>
      <c r="AH296" t="s">
        <v>23008</v>
      </c>
      <c r="AI296" t="s">
        <v>127</v>
      </c>
      <c r="AJ296" s="8" t="str">
        <f>"75482"</f>
        <v>75482</v>
      </c>
      <c r="AK296" t="s">
        <v>118</v>
      </c>
      <c r="AM296" s="10">
        <v>19034394634</v>
      </c>
      <c r="AO296" t="s">
        <v>23910</v>
      </c>
      <c r="AP296" t="s">
        <v>248</v>
      </c>
      <c r="AQ296" t="s">
        <v>3017</v>
      </c>
      <c r="AR296" t="s">
        <v>3018</v>
      </c>
      <c r="AT296" t="s">
        <v>3371</v>
      </c>
      <c r="AV296" t="s">
        <v>1168</v>
      </c>
      <c r="AW296" t="s">
        <v>127</v>
      </c>
      <c r="AX296" s="8" t="str">
        <f>"75098"</f>
        <v>75098</v>
      </c>
      <c r="AY296" t="s">
        <v>118</v>
      </c>
      <c r="BA296" s="10">
        <v>19724424244</v>
      </c>
      <c r="BC296" t="s">
        <v>3372</v>
      </c>
      <c r="BD296" t="s">
        <v>3021</v>
      </c>
      <c r="BG296" t="s">
        <v>127</v>
      </c>
      <c r="BH296" s="1">
        <v>45247.791666666664</v>
      </c>
      <c r="BI296">
        <v>35</v>
      </c>
      <c r="BJ296">
        <v>0</v>
      </c>
      <c r="BK296">
        <v>7</v>
      </c>
      <c r="BL296">
        <v>7</v>
      </c>
      <c r="BM296">
        <v>7</v>
      </c>
      <c r="BN296">
        <v>7</v>
      </c>
      <c r="BO296">
        <v>7</v>
      </c>
      <c r="BP296">
        <v>0</v>
      </c>
      <c r="BQ296" t="str">
        <f>"7:00 AM"</f>
        <v>7:00 AM</v>
      </c>
      <c r="BR296" t="str">
        <f>"6:30 PM"</f>
        <v>6:30 PM</v>
      </c>
      <c r="BS296" t="s">
        <v>131</v>
      </c>
      <c r="BT296">
        <v>0</v>
      </c>
      <c r="BU296">
        <v>0</v>
      </c>
      <c r="BV296" t="s">
        <v>114</v>
      </c>
      <c r="BX296" t="s">
        <v>1480</v>
      </c>
      <c r="BY296" t="s">
        <v>23908</v>
      </c>
      <c r="CA296" t="s">
        <v>23008</v>
      </c>
      <c r="CB296" t="s">
        <v>127</v>
      </c>
      <c r="CC296" s="8" t="str">
        <f>"75482"</f>
        <v>75482</v>
      </c>
      <c r="CD296" t="s">
        <v>23012</v>
      </c>
      <c r="CE296" t="s">
        <v>2876</v>
      </c>
      <c r="CF296" s="12">
        <v>18.68</v>
      </c>
      <c r="CG296" s="12">
        <v>20.68</v>
      </c>
      <c r="CH296" s="12">
        <v>28.02</v>
      </c>
      <c r="CI296" s="12">
        <v>31.02</v>
      </c>
      <c r="CJ296" t="s">
        <v>135</v>
      </c>
      <c r="CL296" t="s">
        <v>23911</v>
      </c>
      <c r="CO296" t="s">
        <v>132</v>
      </c>
      <c r="CP296" t="s">
        <v>136</v>
      </c>
      <c r="CQ296" t="s">
        <v>136</v>
      </c>
      <c r="CR296" t="s">
        <v>136</v>
      </c>
      <c r="CS296" t="s">
        <v>136</v>
      </c>
      <c r="CT296" t="s">
        <v>136</v>
      </c>
      <c r="CU296" t="s">
        <v>136</v>
      </c>
      <c r="CV296" t="s">
        <v>23912</v>
      </c>
      <c r="CW296" s="10" t="str">
        <f>"+19034394634"</f>
        <v>+19034394634</v>
      </c>
      <c r="CX296" t="s">
        <v>132</v>
      </c>
      <c r="CY296" t="s">
        <v>3190</v>
      </c>
      <c r="CZ296" t="s">
        <v>137</v>
      </c>
      <c r="DA296" t="s">
        <v>114</v>
      </c>
      <c r="DB296" t="s">
        <v>114</v>
      </c>
      <c r="DC296" t="s">
        <v>136</v>
      </c>
      <c r="DD296" t="s">
        <v>114</v>
      </c>
    </row>
    <row r="297" spans="1:113" ht="15" customHeight="1" x14ac:dyDescent="0.25">
      <c r="A297" t="s">
        <v>22998</v>
      </c>
      <c r="B297" t="s">
        <v>152</v>
      </c>
      <c r="C297" s="1">
        <v>45251.273783912038</v>
      </c>
      <c r="D297" s="1">
        <v>45278</v>
      </c>
      <c r="E297" t="s">
        <v>132</v>
      </c>
      <c r="F297" t="s">
        <v>2020</v>
      </c>
      <c r="G297" t="str">
        <f>"37-3011.00"</f>
        <v>37-3011.00</v>
      </c>
      <c r="H297" t="s">
        <v>429</v>
      </c>
      <c r="I297">
        <v>45</v>
      </c>
      <c r="J297">
        <v>45</v>
      </c>
      <c r="K297" s="1">
        <v>45341</v>
      </c>
      <c r="L297" s="1">
        <v>45596</v>
      </c>
      <c r="M297" s="1">
        <v>45341</v>
      </c>
      <c r="N297" s="1">
        <v>45596</v>
      </c>
      <c r="O297" t="s">
        <v>116</v>
      </c>
      <c r="P297" t="s">
        <v>22999</v>
      </c>
      <c r="R297" t="s">
        <v>23000</v>
      </c>
      <c r="T297" t="s">
        <v>11051</v>
      </c>
      <c r="U297" t="s">
        <v>1691</v>
      </c>
      <c r="V297" s="8" t="str">
        <f>"29405"</f>
        <v>29405</v>
      </c>
      <c r="W297" t="s">
        <v>118</v>
      </c>
      <c r="Y297" s="10">
        <v>18432252380</v>
      </c>
      <c r="AA297">
        <v>56173</v>
      </c>
      <c r="AB297" t="s">
        <v>3274</v>
      </c>
      <c r="AC297" t="s">
        <v>3462</v>
      </c>
      <c r="AE297" t="s">
        <v>3463</v>
      </c>
      <c r="AF297" t="s">
        <v>23000</v>
      </c>
      <c r="AH297" t="s">
        <v>11051</v>
      </c>
      <c r="AI297" t="s">
        <v>1691</v>
      </c>
      <c r="AJ297" s="8" t="str">
        <f>"29405"</f>
        <v>29405</v>
      </c>
      <c r="AK297" t="s">
        <v>118</v>
      </c>
      <c r="AM297" s="10">
        <v>18432252380</v>
      </c>
      <c r="AO297" t="s">
        <v>132</v>
      </c>
      <c r="AP297" t="s">
        <v>248</v>
      </c>
      <c r="AQ297" t="s">
        <v>673</v>
      </c>
      <c r="AR297" t="s">
        <v>674</v>
      </c>
      <c r="AT297" t="s">
        <v>579</v>
      </c>
      <c r="AV297" t="s">
        <v>580</v>
      </c>
      <c r="AW297" t="s">
        <v>581</v>
      </c>
      <c r="AX297" s="8" t="str">
        <f>"22903"</f>
        <v>22903</v>
      </c>
      <c r="AY297" t="s">
        <v>118</v>
      </c>
      <c r="BA297" s="10">
        <v>14342634300</v>
      </c>
      <c r="BC297" t="s">
        <v>675</v>
      </c>
      <c r="BD297" t="s">
        <v>583</v>
      </c>
      <c r="BG297" t="s">
        <v>1691</v>
      </c>
      <c r="BH297" s="1">
        <v>45250.791666666664</v>
      </c>
      <c r="BI297">
        <v>40</v>
      </c>
      <c r="BJ297">
        <v>0</v>
      </c>
      <c r="BK297">
        <v>8</v>
      </c>
      <c r="BL297">
        <v>8</v>
      </c>
      <c r="BM297">
        <v>8</v>
      </c>
      <c r="BN297">
        <v>8</v>
      </c>
      <c r="BO297">
        <v>8</v>
      </c>
      <c r="BP297">
        <v>0</v>
      </c>
      <c r="BQ297" t="str">
        <f>"7:00 AM"</f>
        <v>7:00 AM</v>
      </c>
      <c r="BR297" t="str">
        <f>"4:00 PM"</f>
        <v>4:00 PM</v>
      </c>
      <c r="BS297" t="s">
        <v>131</v>
      </c>
      <c r="BT297">
        <v>0</v>
      </c>
      <c r="BU297">
        <v>0</v>
      </c>
      <c r="BV297" t="s">
        <v>114</v>
      </c>
      <c r="BX297" s="2" t="s">
        <v>3464</v>
      </c>
      <c r="BY297" t="s">
        <v>23001</v>
      </c>
      <c r="CA297" t="s">
        <v>11051</v>
      </c>
      <c r="CB297" t="s">
        <v>1691</v>
      </c>
      <c r="CC297" s="8" t="str">
        <f>"29405"</f>
        <v>29405</v>
      </c>
      <c r="CD297" t="s">
        <v>1868</v>
      </c>
      <c r="CE297" t="s">
        <v>1869</v>
      </c>
      <c r="CF297" s="12">
        <v>16.989999999999998</v>
      </c>
      <c r="CG297" s="12">
        <v>16.989999999999998</v>
      </c>
      <c r="CH297" s="12">
        <v>25.49</v>
      </c>
      <c r="CI297" s="12">
        <v>25.49</v>
      </c>
      <c r="CJ297" t="s">
        <v>135</v>
      </c>
      <c r="CK297" t="s">
        <v>590</v>
      </c>
      <c r="CL297" t="s">
        <v>23002</v>
      </c>
      <c r="CO297" t="s">
        <v>132</v>
      </c>
      <c r="CP297" t="s">
        <v>136</v>
      </c>
      <c r="CQ297" t="s">
        <v>136</v>
      </c>
      <c r="CR297" t="s">
        <v>136</v>
      </c>
      <c r="CS297" t="s">
        <v>136</v>
      </c>
      <c r="CT297" t="s">
        <v>136</v>
      </c>
      <c r="CU297" t="s">
        <v>136</v>
      </c>
      <c r="CV297" t="s">
        <v>5019</v>
      </c>
      <c r="CW297" s="10" t="str">
        <f>"+18432252380"</f>
        <v>+18432252380</v>
      </c>
      <c r="CX297" t="s">
        <v>132</v>
      </c>
      <c r="CY297" t="s">
        <v>2004</v>
      </c>
      <c r="CZ297" t="s">
        <v>137</v>
      </c>
      <c r="DA297" t="s">
        <v>114</v>
      </c>
      <c r="DB297" t="s">
        <v>136</v>
      </c>
      <c r="DC297" t="s">
        <v>136</v>
      </c>
      <c r="DD297" t="s">
        <v>114</v>
      </c>
      <c r="DE297" t="s">
        <v>673</v>
      </c>
      <c r="DF297" t="s">
        <v>674</v>
      </c>
      <c r="DH297" t="s">
        <v>583</v>
      </c>
      <c r="DI297" t="s">
        <v>675</v>
      </c>
    </row>
    <row r="298" spans="1:113" ht="15" customHeight="1" x14ac:dyDescent="0.25">
      <c r="A298" t="s">
        <v>13864</v>
      </c>
      <c r="B298" t="s">
        <v>152</v>
      </c>
      <c r="C298" s="1">
        <v>45251.273496527778</v>
      </c>
      <c r="D298" s="1">
        <v>45278</v>
      </c>
      <c r="E298" t="s">
        <v>132</v>
      </c>
      <c r="F298" t="s">
        <v>2020</v>
      </c>
      <c r="G298" t="str">
        <f>"37-3011.00"</f>
        <v>37-3011.00</v>
      </c>
      <c r="H298" t="s">
        <v>429</v>
      </c>
      <c r="I298">
        <v>10</v>
      </c>
      <c r="J298">
        <v>10</v>
      </c>
      <c r="K298" s="1">
        <v>45341</v>
      </c>
      <c r="L298" s="1">
        <v>45596</v>
      </c>
      <c r="M298" s="1">
        <v>45341</v>
      </c>
      <c r="N298" s="1">
        <v>45596</v>
      </c>
      <c r="O298" t="s">
        <v>116</v>
      </c>
      <c r="P298" t="s">
        <v>13865</v>
      </c>
      <c r="R298" t="s">
        <v>13866</v>
      </c>
      <c r="T298" t="s">
        <v>626</v>
      </c>
      <c r="U298" t="s">
        <v>550</v>
      </c>
      <c r="V298" s="8" t="str">
        <f>"30907"</f>
        <v>30907</v>
      </c>
      <c r="W298" t="s">
        <v>118</v>
      </c>
      <c r="Y298" s="10">
        <v>17069511789</v>
      </c>
      <c r="AA298">
        <v>56173</v>
      </c>
      <c r="AB298" t="s">
        <v>3274</v>
      </c>
      <c r="AC298" t="s">
        <v>3462</v>
      </c>
      <c r="AE298" t="s">
        <v>3463</v>
      </c>
      <c r="AF298" t="s">
        <v>13866</v>
      </c>
      <c r="AH298" t="s">
        <v>626</v>
      </c>
      <c r="AI298" t="s">
        <v>550</v>
      </c>
      <c r="AJ298" s="8" t="str">
        <f>"30907"</f>
        <v>30907</v>
      </c>
      <c r="AK298" t="s">
        <v>118</v>
      </c>
      <c r="AM298" s="10">
        <v>17069511789</v>
      </c>
      <c r="AO298" t="s">
        <v>132</v>
      </c>
      <c r="AP298" t="s">
        <v>248</v>
      </c>
      <c r="AQ298" t="s">
        <v>673</v>
      </c>
      <c r="AR298" t="s">
        <v>674</v>
      </c>
      <c r="AT298" t="s">
        <v>579</v>
      </c>
      <c r="AV298" t="s">
        <v>580</v>
      </c>
      <c r="AW298" t="s">
        <v>581</v>
      </c>
      <c r="AX298" s="8" t="str">
        <f>"22903"</f>
        <v>22903</v>
      </c>
      <c r="AY298" t="s">
        <v>118</v>
      </c>
      <c r="BA298" s="10">
        <v>14342634300</v>
      </c>
      <c r="BC298" t="s">
        <v>675</v>
      </c>
      <c r="BD298" t="s">
        <v>583</v>
      </c>
      <c r="BG298" t="s">
        <v>550</v>
      </c>
      <c r="BH298" s="1">
        <v>45250.791666666664</v>
      </c>
      <c r="BI298">
        <v>40</v>
      </c>
      <c r="BJ298">
        <v>0</v>
      </c>
      <c r="BK298">
        <v>8</v>
      </c>
      <c r="BL298">
        <v>8</v>
      </c>
      <c r="BM298">
        <v>8</v>
      </c>
      <c r="BN298">
        <v>8</v>
      </c>
      <c r="BO298">
        <v>8</v>
      </c>
      <c r="BP298">
        <v>0</v>
      </c>
      <c r="BQ298" t="str">
        <f>"7:00 AM"</f>
        <v>7:00 AM</v>
      </c>
      <c r="BR298" t="str">
        <f>"4:00 PM"</f>
        <v>4:00 PM</v>
      </c>
      <c r="BS298" t="s">
        <v>131</v>
      </c>
      <c r="BT298">
        <v>0</v>
      </c>
      <c r="BU298">
        <v>0</v>
      </c>
      <c r="BV298" t="s">
        <v>114</v>
      </c>
      <c r="BX298" s="2" t="s">
        <v>3464</v>
      </c>
      <c r="BY298" t="s">
        <v>13867</v>
      </c>
      <c r="CA298" t="s">
        <v>626</v>
      </c>
      <c r="CB298" t="s">
        <v>550</v>
      </c>
      <c r="CC298" s="8" t="str">
        <f>"30907"</f>
        <v>30907</v>
      </c>
      <c r="CD298" t="s">
        <v>1822</v>
      </c>
      <c r="CE298" t="s">
        <v>3543</v>
      </c>
      <c r="CF298" s="12">
        <v>15.5</v>
      </c>
      <c r="CG298" s="12">
        <v>15.5</v>
      </c>
      <c r="CH298" s="12">
        <v>23.25</v>
      </c>
      <c r="CI298" s="12">
        <v>23.25</v>
      </c>
      <c r="CJ298" t="s">
        <v>135</v>
      </c>
      <c r="CK298" t="s">
        <v>590</v>
      </c>
      <c r="CL298" t="s">
        <v>13868</v>
      </c>
      <c r="CO298" t="s">
        <v>132</v>
      </c>
      <c r="CP298" t="s">
        <v>136</v>
      </c>
      <c r="CQ298" t="s">
        <v>136</v>
      </c>
      <c r="CR298" t="s">
        <v>136</v>
      </c>
      <c r="CS298" t="s">
        <v>136</v>
      </c>
      <c r="CT298" t="s">
        <v>136</v>
      </c>
      <c r="CU298" t="s">
        <v>136</v>
      </c>
      <c r="CV298" s="2" t="s">
        <v>3468</v>
      </c>
      <c r="CW298" s="10" t="str">
        <f>"+17069511789"</f>
        <v>+17069511789</v>
      </c>
      <c r="CX298" t="s">
        <v>132</v>
      </c>
      <c r="CY298" t="s">
        <v>7599</v>
      </c>
      <c r="CZ298" t="s">
        <v>137</v>
      </c>
      <c r="DA298" t="s">
        <v>114</v>
      </c>
      <c r="DB298" t="s">
        <v>136</v>
      </c>
      <c r="DC298" t="s">
        <v>136</v>
      </c>
      <c r="DD298" t="s">
        <v>114</v>
      </c>
      <c r="DE298" t="s">
        <v>673</v>
      </c>
      <c r="DF298" t="s">
        <v>674</v>
      </c>
      <c r="DH298" t="s">
        <v>583</v>
      </c>
      <c r="DI298" t="s">
        <v>675</v>
      </c>
    </row>
    <row r="299" spans="1:113" ht="15" customHeight="1" x14ac:dyDescent="0.25">
      <c r="A299" t="s">
        <v>18986</v>
      </c>
      <c r="B299" t="s">
        <v>152</v>
      </c>
      <c r="C299" s="1">
        <v>45251.005531944444</v>
      </c>
      <c r="D299" s="1">
        <v>45278</v>
      </c>
      <c r="E299" t="s">
        <v>132</v>
      </c>
      <c r="F299" t="s">
        <v>1595</v>
      </c>
      <c r="G299" t="str">
        <f>"37-3011.00"</f>
        <v>37-3011.00</v>
      </c>
      <c r="H299" t="s">
        <v>429</v>
      </c>
      <c r="I299">
        <v>75</v>
      </c>
      <c r="J299">
        <v>75</v>
      </c>
      <c r="K299" s="1">
        <v>45341</v>
      </c>
      <c r="L299" s="1">
        <v>45597</v>
      </c>
      <c r="M299" s="1">
        <v>45341</v>
      </c>
      <c r="N299" s="1">
        <v>45597</v>
      </c>
      <c r="O299" t="s">
        <v>116</v>
      </c>
      <c r="P299" t="s">
        <v>18987</v>
      </c>
      <c r="Q299" t="s">
        <v>18988</v>
      </c>
      <c r="R299" t="s">
        <v>18989</v>
      </c>
      <c r="S299" t="s">
        <v>18990</v>
      </c>
      <c r="T299" t="s">
        <v>3255</v>
      </c>
      <c r="U299" t="s">
        <v>127</v>
      </c>
      <c r="V299" s="8" t="str">
        <f>"75056"</f>
        <v>75056</v>
      </c>
      <c r="W299" t="s">
        <v>118</v>
      </c>
      <c r="Y299" s="10">
        <v>13864376211</v>
      </c>
      <c r="AA299">
        <v>56173</v>
      </c>
      <c r="AB299" t="s">
        <v>3274</v>
      </c>
      <c r="AC299" t="s">
        <v>3462</v>
      </c>
      <c r="AE299" t="s">
        <v>1556</v>
      </c>
      <c r="AF299" t="s">
        <v>18989</v>
      </c>
      <c r="AG299" t="s">
        <v>6553</v>
      </c>
      <c r="AH299" t="s">
        <v>3255</v>
      </c>
      <c r="AI299" t="s">
        <v>127</v>
      </c>
      <c r="AJ299" s="8" t="str">
        <f>"75056"</f>
        <v>75056</v>
      </c>
      <c r="AK299" t="s">
        <v>118</v>
      </c>
      <c r="AM299" s="10">
        <v>13864376211</v>
      </c>
      <c r="AO299" t="s">
        <v>6557</v>
      </c>
      <c r="AP299" t="s">
        <v>248</v>
      </c>
      <c r="AQ299" t="s">
        <v>960</v>
      </c>
      <c r="AR299" t="s">
        <v>961</v>
      </c>
      <c r="AS299" t="s">
        <v>962</v>
      </c>
      <c r="AT299" t="s">
        <v>963</v>
      </c>
      <c r="AU299" t="s">
        <v>296</v>
      </c>
      <c r="AV299" t="s">
        <v>964</v>
      </c>
      <c r="AW299" t="s">
        <v>127</v>
      </c>
      <c r="AX299" s="8" t="str">
        <f>"75033"</f>
        <v>75033</v>
      </c>
      <c r="AY299" t="s">
        <v>118</v>
      </c>
      <c r="BA299" s="10">
        <v>19727789690</v>
      </c>
      <c r="BC299" t="s">
        <v>2964</v>
      </c>
      <c r="BD299" t="s">
        <v>966</v>
      </c>
      <c r="BG299" t="s">
        <v>127</v>
      </c>
      <c r="BH299" s="1">
        <v>45250.791666666664</v>
      </c>
      <c r="BI299">
        <v>40</v>
      </c>
      <c r="BJ299">
        <v>8</v>
      </c>
      <c r="BK299">
        <v>8</v>
      </c>
      <c r="BL299">
        <v>0</v>
      </c>
      <c r="BM299">
        <v>8</v>
      </c>
      <c r="BN299">
        <v>0</v>
      </c>
      <c r="BO299">
        <v>8</v>
      </c>
      <c r="BP299">
        <v>8</v>
      </c>
      <c r="BQ299" t="str">
        <f>"7:00 AM"</f>
        <v>7:00 AM</v>
      </c>
      <c r="BR299" t="str">
        <f>"4:00 PM"</f>
        <v>4:00 PM</v>
      </c>
      <c r="BS299" t="s">
        <v>131</v>
      </c>
      <c r="BT299">
        <v>0</v>
      </c>
      <c r="BU299">
        <v>0</v>
      </c>
      <c r="BV299" t="s">
        <v>114</v>
      </c>
      <c r="BX299" t="s">
        <v>12272</v>
      </c>
      <c r="BY299" t="s">
        <v>18989</v>
      </c>
      <c r="CA299" t="s">
        <v>3255</v>
      </c>
      <c r="CB299" t="s">
        <v>127</v>
      </c>
      <c r="CC299" s="8" t="str">
        <f>"75056"</f>
        <v>75056</v>
      </c>
      <c r="CD299" t="s">
        <v>3259</v>
      </c>
      <c r="CE299" t="s">
        <v>263</v>
      </c>
      <c r="CF299" s="12">
        <v>16.86</v>
      </c>
      <c r="CG299" s="12">
        <v>16.86</v>
      </c>
      <c r="CH299" s="12">
        <v>25.29</v>
      </c>
      <c r="CI299" s="12">
        <v>25.29</v>
      </c>
      <c r="CJ299" t="s">
        <v>135</v>
      </c>
      <c r="CK299" t="s">
        <v>7303</v>
      </c>
      <c r="CL299" t="s">
        <v>18991</v>
      </c>
      <c r="CO299" t="s">
        <v>132</v>
      </c>
      <c r="CP299" t="s">
        <v>136</v>
      </c>
      <c r="CQ299" t="s">
        <v>136</v>
      </c>
      <c r="CR299" t="s">
        <v>136</v>
      </c>
      <c r="CS299" t="s">
        <v>136</v>
      </c>
      <c r="CT299" t="s">
        <v>136</v>
      </c>
      <c r="CU299" t="s">
        <v>136</v>
      </c>
      <c r="CV299" s="2" t="s">
        <v>18992</v>
      </c>
      <c r="CW299" s="10" t="str">
        <f>"+19723885600"</f>
        <v>+19723885600</v>
      </c>
      <c r="CX299" t="s">
        <v>132</v>
      </c>
      <c r="CY299" t="s">
        <v>1853</v>
      </c>
      <c r="CZ299" t="s">
        <v>137</v>
      </c>
      <c r="DA299" t="s">
        <v>114</v>
      </c>
      <c r="DB299" t="s">
        <v>136</v>
      </c>
      <c r="DC299" t="s">
        <v>136</v>
      </c>
      <c r="DD299" t="s">
        <v>114</v>
      </c>
    </row>
    <row r="300" spans="1:113" ht="15" customHeight="1" x14ac:dyDescent="0.25">
      <c r="A300" t="s">
        <v>9421</v>
      </c>
      <c r="B300" t="s">
        <v>152</v>
      </c>
      <c r="C300" s="1">
        <v>45250.390930092595</v>
      </c>
      <c r="D300" s="1">
        <v>45278</v>
      </c>
      <c r="E300" t="s">
        <v>132</v>
      </c>
      <c r="F300" t="s">
        <v>1595</v>
      </c>
      <c r="G300" t="str">
        <f>"37-3011.00"</f>
        <v>37-3011.00</v>
      </c>
      <c r="H300" t="s">
        <v>429</v>
      </c>
      <c r="I300">
        <v>42</v>
      </c>
      <c r="J300">
        <v>42</v>
      </c>
      <c r="K300" s="1">
        <v>45338</v>
      </c>
      <c r="L300" s="1">
        <v>45640</v>
      </c>
      <c r="M300" s="1">
        <v>45338</v>
      </c>
      <c r="N300" s="1">
        <v>45640</v>
      </c>
      <c r="O300" t="s">
        <v>238</v>
      </c>
      <c r="P300" t="s">
        <v>9422</v>
      </c>
      <c r="R300" t="s">
        <v>9423</v>
      </c>
      <c r="T300" t="s">
        <v>9424</v>
      </c>
      <c r="U300" t="s">
        <v>1722</v>
      </c>
      <c r="V300" s="8" t="str">
        <f>"21102"</f>
        <v>21102</v>
      </c>
      <c r="W300" t="s">
        <v>118</v>
      </c>
      <c r="Y300" s="10">
        <v>14103296662</v>
      </c>
      <c r="AA300">
        <v>56173</v>
      </c>
      <c r="AB300" t="s">
        <v>9425</v>
      </c>
      <c r="AC300" t="s">
        <v>9426</v>
      </c>
      <c r="AE300" t="s">
        <v>2003</v>
      </c>
      <c r="AF300" t="s">
        <v>9423</v>
      </c>
      <c r="AH300" t="s">
        <v>9424</v>
      </c>
      <c r="AI300" t="s">
        <v>1722</v>
      </c>
      <c r="AJ300" s="8" t="str">
        <f>"21102"</f>
        <v>21102</v>
      </c>
      <c r="AK300" t="s">
        <v>118</v>
      </c>
      <c r="AM300" s="10">
        <v>14103296662</v>
      </c>
      <c r="AN300">
        <v>102</v>
      </c>
      <c r="AO300" t="s">
        <v>132</v>
      </c>
      <c r="AP300" t="s">
        <v>248</v>
      </c>
      <c r="AQ300" t="s">
        <v>577</v>
      </c>
      <c r="AR300" t="s">
        <v>578</v>
      </c>
      <c r="AT300" t="s">
        <v>579</v>
      </c>
      <c r="AV300" t="s">
        <v>580</v>
      </c>
      <c r="AW300" t="s">
        <v>581</v>
      </c>
      <c r="AX300" s="8" t="str">
        <f>"22903"</f>
        <v>22903</v>
      </c>
      <c r="AY300" t="s">
        <v>118</v>
      </c>
      <c r="BA300" s="10">
        <v>14342634300</v>
      </c>
      <c r="BC300" t="s">
        <v>3444</v>
      </c>
      <c r="BD300" t="s">
        <v>583</v>
      </c>
      <c r="BG300" t="s">
        <v>1722</v>
      </c>
      <c r="BH300" s="1">
        <v>45249.791666666664</v>
      </c>
      <c r="BI300">
        <v>40</v>
      </c>
      <c r="BJ300">
        <v>0</v>
      </c>
      <c r="BK300">
        <v>8</v>
      </c>
      <c r="BL300">
        <v>8</v>
      </c>
      <c r="BM300">
        <v>8</v>
      </c>
      <c r="BN300">
        <v>8</v>
      </c>
      <c r="BO300">
        <v>8</v>
      </c>
      <c r="BP300">
        <v>0</v>
      </c>
      <c r="BQ300" t="str">
        <f>"7:30 AM"</f>
        <v>7:30 AM</v>
      </c>
      <c r="BR300" t="str">
        <f>"4:00 PM"</f>
        <v>4:00 PM</v>
      </c>
      <c r="BS300" t="s">
        <v>131</v>
      </c>
      <c r="BT300">
        <v>0</v>
      </c>
      <c r="BU300">
        <v>0</v>
      </c>
      <c r="BV300" t="s">
        <v>114</v>
      </c>
      <c r="BX300" s="2" t="s">
        <v>9427</v>
      </c>
      <c r="BY300" t="s">
        <v>9423</v>
      </c>
      <c r="CA300" t="s">
        <v>9424</v>
      </c>
      <c r="CB300" t="s">
        <v>1722</v>
      </c>
      <c r="CC300" s="8" t="str">
        <f>"21102"</f>
        <v>21102</v>
      </c>
      <c r="CD300" t="s">
        <v>2013</v>
      </c>
      <c r="CE300" t="s">
        <v>1992</v>
      </c>
      <c r="CF300" s="12">
        <v>18.68</v>
      </c>
      <c r="CG300" s="12">
        <v>18.68</v>
      </c>
      <c r="CH300" s="12">
        <v>28.02</v>
      </c>
      <c r="CI300" s="12">
        <v>28.02</v>
      </c>
      <c r="CJ300" t="s">
        <v>135</v>
      </c>
      <c r="CK300" t="s">
        <v>590</v>
      </c>
      <c r="CL300" t="s">
        <v>9428</v>
      </c>
      <c r="CO300" t="s">
        <v>132</v>
      </c>
      <c r="CP300" t="s">
        <v>136</v>
      </c>
      <c r="CQ300" t="s">
        <v>136</v>
      </c>
      <c r="CR300" t="s">
        <v>136</v>
      </c>
      <c r="CS300" t="s">
        <v>136</v>
      </c>
      <c r="CT300" t="s">
        <v>136</v>
      </c>
      <c r="CU300" t="s">
        <v>114</v>
      </c>
      <c r="CV300" t="s">
        <v>9429</v>
      </c>
      <c r="CW300" s="10" t="str">
        <f>"N/A"</f>
        <v>N/A</v>
      </c>
      <c r="CX300" t="s">
        <v>9430</v>
      </c>
      <c r="CY300" t="s">
        <v>2598</v>
      </c>
      <c r="CZ300" t="s">
        <v>137</v>
      </c>
      <c r="DA300" t="s">
        <v>114</v>
      </c>
      <c r="DB300" t="s">
        <v>136</v>
      </c>
      <c r="DC300" t="s">
        <v>136</v>
      </c>
      <c r="DD300" t="s">
        <v>114</v>
      </c>
      <c r="DE300" t="s">
        <v>595</v>
      </c>
      <c r="DF300" t="s">
        <v>596</v>
      </c>
      <c r="DH300" t="s">
        <v>583</v>
      </c>
      <c r="DI300" t="s">
        <v>582</v>
      </c>
    </row>
    <row r="301" spans="1:113" ht="15" customHeight="1" x14ac:dyDescent="0.25">
      <c r="A301" t="s">
        <v>17651</v>
      </c>
      <c r="B301" t="s">
        <v>152</v>
      </c>
      <c r="C301" s="1">
        <v>45249.743425115739</v>
      </c>
      <c r="D301" s="1">
        <v>45278</v>
      </c>
      <c r="E301" t="s">
        <v>132</v>
      </c>
      <c r="F301" t="s">
        <v>1595</v>
      </c>
      <c r="G301" t="str">
        <f>"37-3011.00"</f>
        <v>37-3011.00</v>
      </c>
      <c r="H301" t="s">
        <v>429</v>
      </c>
      <c r="I301">
        <v>9</v>
      </c>
      <c r="J301">
        <v>9</v>
      </c>
      <c r="K301" s="1">
        <v>45339</v>
      </c>
      <c r="L301" s="1">
        <v>45612</v>
      </c>
      <c r="M301" s="1">
        <v>45339</v>
      </c>
      <c r="N301" s="1">
        <v>45612</v>
      </c>
      <c r="O301" t="s">
        <v>116</v>
      </c>
      <c r="P301" t="s">
        <v>17652</v>
      </c>
      <c r="R301" t="s">
        <v>17653</v>
      </c>
      <c r="S301" t="s">
        <v>17654</v>
      </c>
      <c r="T301" t="s">
        <v>17655</v>
      </c>
      <c r="U301" t="s">
        <v>127</v>
      </c>
      <c r="V301" s="8" t="str">
        <f>"78219"</f>
        <v>78219</v>
      </c>
      <c r="W301" t="s">
        <v>118</v>
      </c>
      <c r="Y301" s="10">
        <v>12103132770</v>
      </c>
      <c r="AA301">
        <v>561730</v>
      </c>
      <c r="AB301" t="s">
        <v>17656</v>
      </c>
      <c r="AC301" t="s">
        <v>2236</v>
      </c>
      <c r="AE301" t="s">
        <v>1799</v>
      </c>
      <c r="AF301" t="s">
        <v>17653</v>
      </c>
      <c r="AG301" t="s">
        <v>17654</v>
      </c>
      <c r="AH301" t="s">
        <v>17655</v>
      </c>
      <c r="AI301" t="s">
        <v>127</v>
      </c>
      <c r="AJ301" s="8" t="str">
        <f>"78219"</f>
        <v>78219</v>
      </c>
      <c r="AK301" t="s">
        <v>118</v>
      </c>
      <c r="AM301" s="10">
        <v>12103132770</v>
      </c>
      <c r="AO301" t="s">
        <v>17657</v>
      </c>
      <c r="AP301" t="s">
        <v>248</v>
      </c>
      <c r="AQ301" t="s">
        <v>1582</v>
      </c>
      <c r="AR301" t="s">
        <v>1583</v>
      </c>
      <c r="AS301" t="s">
        <v>631</v>
      </c>
      <c r="AT301" t="s">
        <v>1584</v>
      </c>
      <c r="AU301" t="s">
        <v>132</v>
      </c>
      <c r="AV301" t="s">
        <v>1585</v>
      </c>
      <c r="AW301" t="s">
        <v>127</v>
      </c>
      <c r="AX301" s="8" t="str">
        <f>"77414"</f>
        <v>77414</v>
      </c>
      <c r="AY301" t="s">
        <v>118</v>
      </c>
      <c r="BA301" s="10">
        <v>19793187280</v>
      </c>
      <c r="BC301" t="s">
        <v>1586</v>
      </c>
      <c r="BD301" t="s">
        <v>1587</v>
      </c>
      <c r="BG301" t="s">
        <v>127</v>
      </c>
      <c r="BH301" s="1">
        <v>45248.791666666664</v>
      </c>
      <c r="BI301">
        <v>40</v>
      </c>
      <c r="BJ301">
        <v>0</v>
      </c>
      <c r="BK301">
        <v>8</v>
      </c>
      <c r="BL301">
        <v>8</v>
      </c>
      <c r="BM301">
        <v>8</v>
      </c>
      <c r="BN301">
        <v>8</v>
      </c>
      <c r="BO301">
        <v>8</v>
      </c>
      <c r="BP301">
        <v>0</v>
      </c>
      <c r="BQ301" t="str">
        <f>"8:00 AM"</f>
        <v>8:00 AM</v>
      </c>
      <c r="BR301" t="str">
        <f>"5:00 PM"</f>
        <v>5:00 PM</v>
      </c>
      <c r="BS301" t="s">
        <v>131</v>
      </c>
      <c r="BT301">
        <v>0</v>
      </c>
      <c r="BU301">
        <v>0</v>
      </c>
      <c r="BV301" t="s">
        <v>114</v>
      </c>
      <c r="BX301" s="2" t="s">
        <v>17658</v>
      </c>
      <c r="BY301" t="s">
        <v>17653</v>
      </c>
      <c r="BZ301" t="s">
        <v>132</v>
      </c>
      <c r="CA301" t="s">
        <v>17655</v>
      </c>
      <c r="CB301" t="s">
        <v>127</v>
      </c>
      <c r="CC301" s="8" t="str">
        <f>"78219"</f>
        <v>78219</v>
      </c>
      <c r="CD301" t="s">
        <v>1941</v>
      </c>
      <c r="CE301" t="s">
        <v>1287</v>
      </c>
      <c r="CF301" s="12">
        <v>15.69</v>
      </c>
      <c r="CH301" s="12">
        <v>23.54</v>
      </c>
      <c r="CJ301" t="s">
        <v>135</v>
      </c>
      <c r="CK301" t="s">
        <v>7827</v>
      </c>
      <c r="CL301" t="s">
        <v>17659</v>
      </c>
      <c r="CO301" t="s">
        <v>132</v>
      </c>
      <c r="CP301" t="s">
        <v>136</v>
      </c>
      <c r="CQ301" t="s">
        <v>136</v>
      </c>
      <c r="CR301" t="s">
        <v>136</v>
      </c>
      <c r="CS301" t="s">
        <v>136</v>
      </c>
      <c r="CT301" t="s">
        <v>136</v>
      </c>
      <c r="CU301" t="s">
        <v>114</v>
      </c>
      <c r="CV301" t="s">
        <v>2171</v>
      </c>
      <c r="CW301" s="10" t="str">
        <f>"+12103132770"</f>
        <v>+12103132770</v>
      </c>
      <c r="CX301" t="s">
        <v>17657</v>
      </c>
      <c r="CY301" t="s">
        <v>132</v>
      </c>
      <c r="CZ301" t="s">
        <v>137</v>
      </c>
      <c r="DA301" t="s">
        <v>114</v>
      </c>
      <c r="DB301" t="s">
        <v>114</v>
      </c>
      <c r="DC301" t="s">
        <v>136</v>
      </c>
      <c r="DD301" t="s">
        <v>114</v>
      </c>
    </row>
    <row r="302" spans="1:113" ht="15" customHeight="1" x14ac:dyDescent="0.25">
      <c r="A302" t="s">
        <v>15342</v>
      </c>
      <c r="B302" t="s">
        <v>152</v>
      </c>
      <c r="C302" s="1">
        <v>45248.017914930555</v>
      </c>
      <c r="D302" s="1">
        <v>45278</v>
      </c>
      <c r="E302" t="s">
        <v>132</v>
      </c>
      <c r="F302" t="s">
        <v>1595</v>
      </c>
      <c r="G302" t="str">
        <f>"37-3011.00"</f>
        <v>37-3011.00</v>
      </c>
      <c r="H302" t="s">
        <v>429</v>
      </c>
      <c r="I302">
        <v>88</v>
      </c>
      <c r="J302">
        <v>88</v>
      </c>
      <c r="K302" s="1">
        <v>45338</v>
      </c>
      <c r="L302" s="1">
        <v>45613</v>
      </c>
      <c r="M302" s="1">
        <v>45338</v>
      </c>
      <c r="N302" s="1">
        <v>45613</v>
      </c>
      <c r="O302" t="s">
        <v>116</v>
      </c>
      <c r="P302" t="s">
        <v>3129</v>
      </c>
      <c r="R302" t="s">
        <v>3130</v>
      </c>
      <c r="S302" t="s">
        <v>296</v>
      </c>
      <c r="T302" t="s">
        <v>3131</v>
      </c>
      <c r="U302" t="s">
        <v>1598</v>
      </c>
      <c r="V302" s="8" t="str">
        <f>"35216"</f>
        <v>35216</v>
      </c>
      <c r="W302" t="s">
        <v>118</v>
      </c>
      <c r="Y302" s="10">
        <v>12055473945</v>
      </c>
      <c r="Z302">
        <v>2008</v>
      </c>
      <c r="AA302">
        <v>56173</v>
      </c>
      <c r="AB302" t="s">
        <v>3132</v>
      </c>
      <c r="AC302" t="s">
        <v>3133</v>
      </c>
      <c r="AE302" t="s">
        <v>1556</v>
      </c>
      <c r="AF302" t="s">
        <v>3130</v>
      </c>
      <c r="AG302" t="s">
        <v>296</v>
      </c>
      <c r="AH302" t="s">
        <v>3131</v>
      </c>
      <c r="AI302" t="s">
        <v>1598</v>
      </c>
      <c r="AJ302" s="8" t="str">
        <f>"35216"</f>
        <v>35216</v>
      </c>
      <c r="AK302" t="s">
        <v>118</v>
      </c>
      <c r="AM302" s="10">
        <v>12055473945</v>
      </c>
      <c r="AN302">
        <v>2008</v>
      </c>
      <c r="AO302" t="s">
        <v>3134</v>
      </c>
      <c r="AP302" t="s">
        <v>248</v>
      </c>
      <c r="AQ302" t="s">
        <v>2741</v>
      </c>
      <c r="AR302" t="s">
        <v>2742</v>
      </c>
      <c r="AS302" t="s">
        <v>132</v>
      </c>
      <c r="AT302" t="s">
        <v>1253</v>
      </c>
      <c r="AU302" t="s">
        <v>852</v>
      </c>
      <c r="AV302" t="s">
        <v>853</v>
      </c>
      <c r="AW302" t="s">
        <v>854</v>
      </c>
      <c r="AX302" s="8" t="str">
        <f>"83814"</f>
        <v>83814</v>
      </c>
      <c r="AY302" t="s">
        <v>118</v>
      </c>
      <c r="BA302" s="10">
        <v>12087772654</v>
      </c>
      <c r="BC302" t="s">
        <v>2743</v>
      </c>
      <c r="BD302" t="s">
        <v>856</v>
      </c>
      <c r="BG302" t="s">
        <v>333</v>
      </c>
      <c r="BH302" s="1">
        <v>45246.791666666664</v>
      </c>
      <c r="BI302">
        <v>40</v>
      </c>
      <c r="BJ302">
        <v>0</v>
      </c>
      <c r="BK302">
        <v>8</v>
      </c>
      <c r="BL302">
        <v>8</v>
      </c>
      <c r="BM302">
        <v>8</v>
      </c>
      <c r="BN302">
        <v>8</v>
      </c>
      <c r="BO302">
        <v>8</v>
      </c>
      <c r="BP302">
        <v>0</v>
      </c>
      <c r="BQ302" t="str">
        <f>"6:30 AM"</f>
        <v>6:30 AM</v>
      </c>
      <c r="BR302" t="str">
        <f>"3:30 PM"</f>
        <v>3:30 PM</v>
      </c>
      <c r="BS302" t="s">
        <v>131</v>
      </c>
      <c r="BT302">
        <v>0</v>
      </c>
      <c r="BU302">
        <v>0</v>
      </c>
      <c r="BV302" t="s">
        <v>114</v>
      </c>
      <c r="BX302" t="s">
        <v>3135</v>
      </c>
      <c r="BY302" t="s">
        <v>15343</v>
      </c>
      <c r="CA302" t="s">
        <v>15344</v>
      </c>
      <c r="CB302" t="s">
        <v>333</v>
      </c>
      <c r="CC302" s="8" t="str">
        <f>"70454"</f>
        <v>70454</v>
      </c>
      <c r="CD302" t="s">
        <v>7860</v>
      </c>
      <c r="CE302" t="s">
        <v>7861</v>
      </c>
      <c r="CF302" s="12">
        <v>15.19</v>
      </c>
      <c r="CG302" s="12">
        <v>16.190000000000001</v>
      </c>
      <c r="CH302" s="12">
        <v>22.79</v>
      </c>
      <c r="CI302" s="12">
        <v>24.29</v>
      </c>
      <c r="CJ302" t="s">
        <v>135</v>
      </c>
      <c r="CK302" t="s">
        <v>1899</v>
      </c>
      <c r="CL302" t="s">
        <v>15345</v>
      </c>
      <c r="CO302" t="s">
        <v>132</v>
      </c>
      <c r="CP302" t="s">
        <v>136</v>
      </c>
      <c r="CQ302" t="s">
        <v>136</v>
      </c>
      <c r="CR302" t="s">
        <v>136</v>
      </c>
      <c r="CS302" t="s">
        <v>136</v>
      </c>
      <c r="CT302" t="s">
        <v>136</v>
      </c>
      <c r="CU302" t="s">
        <v>136</v>
      </c>
      <c r="CV302" t="s">
        <v>6134</v>
      </c>
      <c r="CW302" s="10" t="str">
        <f>"+12055473945"</f>
        <v>+12055473945</v>
      </c>
      <c r="CX302" t="s">
        <v>3134</v>
      </c>
      <c r="CY302" t="s">
        <v>132</v>
      </c>
      <c r="CZ302" t="s">
        <v>137</v>
      </c>
      <c r="DA302" t="s">
        <v>114</v>
      </c>
      <c r="DB302" t="s">
        <v>136</v>
      </c>
      <c r="DC302" t="s">
        <v>136</v>
      </c>
      <c r="DD302" t="s">
        <v>114</v>
      </c>
    </row>
    <row r="303" spans="1:113" ht="15" customHeight="1" x14ac:dyDescent="0.25">
      <c r="A303" t="s">
        <v>24203</v>
      </c>
      <c r="B303" t="s">
        <v>152</v>
      </c>
      <c r="C303" s="1">
        <v>45247.993781597223</v>
      </c>
      <c r="D303" s="1">
        <v>45278</v>
      </c>
      <c r="E303" t="s">
        <v>132</v>
      </c>
      <c r="F303" t="s">
        <v>24204</v>
      </c>
      <c r="G303" t="str">
        <f>"49-3053.00"</f>
        <v>49-3053.00</v>
      </c>
      <c r="H303" t="s">
        <v>9820</v>
      </c>
      <c r="I303">
        <v>4</v>
      </c>
      <c r="J303">
        <v>4</v>
      </c>
      <c r="K303" s="1">
        <v>45337</v>
      </c>
      <c r="L303" s="1">
        <v>45640</v>
      </c>
      <c r="M303" s="1">
        <v>45337</v>
      </c>
      <c r="N303" s="1">
        <v>45640</v>
      </c>
      <c r="O303" t="s">
        <v>238</v>
      </c>
      <c r="P303" t="s">
        <v>14828</v>
      </c>
      <c r="R303" t="s">
        <v>14829</v>
      </c>
      <c r="S303" t="s">
        <v>132</v>
      </c>
      <c r="T303" t="s">
        <v>14830</v>
      </c>
      <c r="U303" t="s">
        <v>2194</v>
      </c>
      <c r="V303" s="8" t="str">
        <f>"03049"</f>
        <v>03049</v>
      </c>
      <c r="W303" t="s">
        <v>118</v>
      </c>
      <c r="X303" t="s">
        <v>132</v>
      </c>
      <c r="Y303" s="10">
        <v>16038825835</v>
      </c>
      <c r="AA303">
        <v>56173</v>
      </c>
      <c r="AB303" t="s">
        <v>14831</v>
      </c>
      <c r="AC303" t="s">
        <v>1945</v>
      </c>
      <c r="AD303" t="s">
        <v>2057</v>
      </c>
      <c r="AE303" t="s">
        <v>629</v>
      </c>
      <c r="AF303" t="s">
        <v>14829</v>
      </c>
      <c r="AG303" t="s">
        <v>132</v>
      </c>
      <c r="AH303" t="s">
        <v>14830</v>
      </c>
      <c r="AI303" t="s">
        <v>2194</v>
      </c>
      <c r="AJ303" s="8" t="str">
        <f>"03049"</f>
        <v>03049</v>
      </c>
      <c r="AK303" t="s">
        <v>118</v>
      </c>
      <c r="AM303" s="10">
        <v>16038825835</v>
      </c>
      <c r="AO303" t="s">
        <v>14832</v>
      </c>
      <c r="AX303" s="8" t="str">
        <f>""</f>
        <v/>
      </c>
      <c r="BG303" t="s">
        <v>2194</v>
      </c>
      <c r="BH303" s="1">
        <v>45249.791666666664</v>
      </c>
      <c r="BI303">
        <v>40</v>
      </c>
      <c r="BJ303">
        <v>0</v>
      </c>
      <c r="BK303">
        <v>8</v>
      </c>
      <c r="BL303">
        <v>8</v>
      </c>
      <c r="BM303">
        <v>8</v>
      </c>
      <c r="BN303">
        <v>8</v>
      </c>
      <c r="BO303">
        <v>8</v>
      </c>
      <c r="BP303">
        <v>0</v>
      </c>
      <c r="BQ303" t="str">
        <f>"7:00 AM"</f>
        <v>7:00 AM</v>
      </c>
      <c r="BR303" t="str">
        <f>"4:00 PM"</f>
        <v>4:00 PM</v>
      </c>
      <c r="BS303" t="s">
        <v>131</v>
      </c>
      <c r="BT303">
        <v>0</v>
      </c>
      <c r="BU303">
        <v>24</v>
      </c>
      <c r="BV303" t="s">
        <v>114</v>
      </c>
      <c r="BX303" s="2" t="s">
        <v>24205</v>
      </c>
      <c r="BY303" t="s">
        <v>14829</v>
      </c>
      <c r="CA303" t="s">
        <v>14830</v>
      </c>
      <c r="CB303" t="s">
        <v>2194</v>
      </c>
      <c r="CC303" s="8" t="str">
        <f>"03049-6563"</f>
        <v>03049-6563</v>
      </c>
      <c r="CD303" t="s">
        <v>14834</v>
      </c>
      <c r="CE303" t="s">
        <v>2399</v>
      </c>
      <c r="CF303" s="12">
        <v>23.42</v>
      </c>
      <c r="CG303" s="12">
        <v>23.42</v>
      </c>
      <c r="CH303" s="12">
        <v>35.130000000000003</v>
      </c>
      <c r="CI303" s="12">
        <v>35.130000000000003</v>
      </c>
      <c r="CJ303" t="s">
        <v>135</v>
      </c>
      <c r="CK303" t="s">
        <v>24206</v>
      </c>
      <c r="CL303" t="s">
        <v>24207</v>
      </c>
      <c r="CO303" t="s">
        <v>132</v>
      </c>
      <c r="CP303" t="s">
        <v>136</v>
      </c>
      <c r="CQ303" t="s">
        <v>136</v>
      </c>
      <c r="CR303" t="s">
        <v>136</v>
      </c>
      <c r="CS303" t="s">
        <v>136</v>
      </c>
      <c r="CT303" t="s">
        <v>136</v>
      </c>
      <c r="CU303" t="s">
        <v>136</v>
      </c>
      <c r="CV303" s="2" t="s">
        <v>24208</v>
      </c>
      <c r="CW303" s="10" t="str">
        <f>"+16038825835"</f>
        <v>+16038825835</v>
      </c>
      <c r="CX303" t="s">
        <v>14832</v>
      </c>
      <c r="CY303" t="s">
        <v>132</v>
      </c>
      <c r="CZ303" t="s">
        <v>137</v>
      </c>
      <c r="DA303" t="s">
        <v>114</v>
      </c>
      <c r="DB303" t="s">
        <v>114</v>
      </c>
      <c r="DC303" t="s">
        <v>136</v>
      </c>
      <c r="DD303" t="s">
        <v>114</v>
      </c>
    </row>
    <row r="304" spans="1:113" ht="15" customHeight="1" x14ac:dyDescent="0.25">
      <c r="A304" t="s">
        <v>22972</v>
      </c>
      <c r="B304" t="s">
        <v>152</v>
      </c>
      <c r="C304" s="1">
        <v>45247.817747337962</v>
      </c>
      <c r="D304" s="1">
        <v>45278</v>
      </c>
      <c r="E304" t="s">
        <v>132</v>
      </c>
      <c r="F304" t="s">
        <v>1595</v>
      </c>
      <c r="G304" t="str">
        <f>"37-3011.00"</f>
        <v>37-3011.00</v>
      </c>
      <c r="H304" t="s">
        <v>429</v>
      </c>
      <c r="I304">
        <v>30</v>
      </c>
      <c r="J304">
        <v>30</v>
      </c>
      <c r="K304" s="1">
        <v>45337</v>
      </c>
      <c r="L304" s="1">
        <v>45640</v>
      </c>
      <c r="M304" s="1">
        <v>45337</v>
      </c>
      <c r="N304" s="1">
        <v>45640</v>
      </c>
      <c r="O304" t="s">
        <v>238</v>
      </c>
      <c r="P304" t="s">
        <v>22973</v>
      </c>
      <c r="R304" t="s">
        <v>22974</v>
      </c>
      <c r="T304" t="s">
        <v>17448</v>
      </c>
      <c r="U304" t="s">
        <v>984</v>
      </c>
      <c r="V304" s="8" t="str">
        <f>"63341"</f>
        <v>63341</v>
      </c>
      <c r="W304" t="s">
        <v>118</v>
      </c>
      <c r="Y304" s="10">
        <v>16367982800</v>
      </c>
      <c r="AA304">
        <v>56173</v>
      </c>
      <c r="AB304" t="s">
        <v>2182</v>
      </c>
      <c r="AC304" t="s">
        <v>2083</v>
      </c>
      <c r="AE304" t="s">
        <v>561</v>
      </c>
      <c r="AF304" t="s">
        <v>22974</v>
      </c>
      <c r="AH304" t="s">
        <v>17448</v>
      </c>
      <c r="AI304" t="s">
        <v>984</v>
      </c>
      <c r="AJ304" s="8" t="str">
        <f>"63341"</f>
        <v>63341</v>
      </c>
      <c r="AK304" t="s">
        <v>118</v>
      </c>
      <c r="AM304" s="10">
        <v>16367982800</v>
      </c>
      <c r="AO304" t="s">
        <v>22975</v>
      </c>
      <c r="AP304" t="s">
        <v>248</v>
      </c>
      <c r="AQ304" t="s">
        <v>960</v>
      </c>
      <c r="AR304" t="s">
        <v>961</v>
      </c>
      <c r="AS304" t="s">
        <v>962</v>
      </c>
      <c r="AT304" t="s">
        <v>963</v>
      </c>
      <c r="AU304" t="s">
        <v>296</v>
      </c>
      <c r="AV304" t="s">
        <v>964</v>
      </c>
      <c r="AW304" t="s">
        <v>127</v>
      </c>
      <c r="AX304" s="8" t="str">
        <f>"75033"</f>
        <v>75033</v>
      </c>
      <c r="AY304" t="s">
        <v>118</v>
      </c>
      <c r="BA304" s="10">
        <v>19727789690</v>
      </c>
      <c r="BC304" t="s">
        <v>2017</v>
      </c>
      <c r="BD304" t="s">
        <v>966</v>
      </c>
      <c r="BG304" t="s">
        <v>984</v>
      </c>
      <c r="BH304" s="1">
        <v>45246.791666666664</v>
      </c>
      <c r="BI304">
        <v>40</v>
      </c>
      <c r="BJ304">
        <v>0</v>
      </c>
      <c r="BK304">
        <v>8</v>
      </c>
      <c r="BL304">
        <v>8</v>
      </c>
      <c r="BM304">
        <v>8</v>
      </c>
      <c r="BN304">
        <v>8</v>
      </c>
      <c r="BO304">
        <v>8</v>
      </c>
      <c r="BP304">
        <v>0</v>
      </c>
      <c r="BQ304" t="str">
        <f>"8:00 AM"</f>
        <v>8:00 AM</v>
      </c>
      <c r="BR304" t="str">
        <f>"5:00 PM"</f>
        <v>5:00 PM</v>
      </c>
      <c r="BS304" t="s">
        <v>131</v>
      </c>
      <c r="BT304">
        <v>0</v>
      </c>
      <c r="BU304">
        <v>0</v>
      </c>
      <c r="BV304" t="s">
        <v>114</v>
      </c>
      <c r="BX304" s="2" t="s">
        <v>22976</v>
      </c>
      <c r="BY304" t="s">
        <v>22974</v>
      </c>
      <c r="CA304" t="s">
        <v>22977</v>
      </c>
      <c r="CB304" t="s">
        <v>984</v>
      </c>
      <c r="CC304" s="8" t="str">
        <f>"63341"</f>
        <v>63341</v>
      </c>
      <c r="CD304" t="s">
        <v>1855</v>
      </c>
      <c r="CE304" t="s">
        <v>1856</v>
      </c>
      <c r="CF304" s="12">
        <v>17.579999999999998</v>
      </c>
      <c r="CH304" s="12">
        <v>26.37</v>
      </c>
      <c r="CJ304" t="s">
        <v>135</v>
      </c>
      <c r="CK304" t="s">
        <v>2018</v>
      </c>
      <c r="CL304" t="s">
        <v>22978</v>
      </c>
      <c r="CO304" t="s">
        <v>132</v>
      </c>
      <c r="CP304" t="s">
        <v>136</v>
      </c>
      <c r="CQ304" t="s">
        <v>136</v>
      </c>
      <c r="CR304" t="s">
        <v>136</v>
      </c>
      <c r="CS304" t="s">
        <v>136</v>
      </c>
      <c r="CT304" t="s">
        <v>136</v>
      </c>
      <c r="CU304" t="s">
        <v>136</v>
      </c>
      <c r="CV304" t="s">
        <v>22979</v>
      </c>
      <c r="CW304" s="10" t="str">
        <f>"+16367982800"</f>
        <v>+16367982800</v>
      </c>
      <c r="CX304" t="s">
        <v>132</v>
      </c>
      <c r="CY304" t="s">
        <v>7457</v>
      </c>
      <c r="CZ304" t="s">
        <v>137</v>
      </c>
      <c r="DA304" t="s">
        <v>114</v>
      </c>
      <c r="DB304" t="s">
        <v>136</v>
      </c>
      <c r="DC304" t="s">
        <v>136</v>
      </c>
      <c r="DD304" t="s">
        <v>114</v>
      </c>
    </row>
    <row r="305" spans="1:113" ht="15" customHeight="1" x14ac:dyDescent="0.25">
      <c r="A305" t="s">
        <v>14985</v>
      </c>
      <c r="B305" t="s">
        <v>152</v>
      </c>
      <c r="C305" s="1">
        <v>45247.717037731483</v>
      </c>
      <c r="D305" s="1">
        <v>45278</v>
      </c>
      <c r="E305" t="s">
        <v>132</v>
      </c>
      <c r="F305" t="s">
        <v>14986</v>
      </c>
      <c r="G305" t="str">
        <f>"35-3023.00"</f>
        <v>35-3023.00</v>
      </c>
      <c r="H305" t="s">
        <v>1365</v>
      </c>
      <c r="I305">
        <v>14</v>
      </c>
      <c r="J305">
        <v>14</v>
      </c>
      <c r="K305" s="1">
        <v>45337</v>
      </c>
      <c r="L305" s="1">
        <v>45641</v>
      </c>
      <c r="M305" s="1">
        <v>45337</v>
      </c>
      <c r="N305" s="1">
        <v>45641</v>
      </c>
      <c r="O305" t="s">
        <v>238</v>
      </c>
      <c r="P305" t="s">
        <v>14987</v>
      </c>
      <c r="R305" t="s">
        <v>14988</v>
      </c>
      <c r="T305" t="s">
        <v>3400</v>
      </c>
      <c r="U305" t="s">
        <v>127</v>
      </c>
      <c r="V305" s="8" t="str">
        <f>"78666"</f>
        <v>78666</v>
      </c>
      <c r="W305" t="s">
        <v>118</v>
      </c>
      <c r="Y305" s="10">
        <v>15123957934</v>
      </c>
      <c r="AA305">
        <v>722310</v>
      </c>
      <c r="AB305" t="s">
        <v>14989</v>
      </c>
      <c r="AC305" t="s">
        <v>14990</v>
      </c>
      <c r="AE305" t="s">
        <v>561</v>
      </c>
      <c r="AF305" t="s">
        <v>14988</v>
      </c>
      <c r="AH305" t="s">
        <v>3400</v>
      </c>
      <c r="AI305" t="s">
        <v>127</v>
      </c>
      <c r="AJ305" s="8" t="str">
        <f>"78666"</f>
        <v>78666</v>
      </c>
      <c r="AK305" t="s">
        <v>118</v>
      </c>
      <c r="AM305" s="10">
        <v>15123957934</v>
      </c>
      <c r="AO305" t="s">
        <v>14991</v>
      </c>
      <c r="AP305" t="s">
        <v>248</v>
      </c>
      <c r="AQ305" t="s">
        <v>3290</v>
      </c>
      <c r="AR305" t="s">
        <v>2001</v>
      </c>
      <c r="AT305" t="s">
        <v>3291</v>
      </c>
      <c r="AV305" t="s">
        <v>3292</v>
      </c>
      <c r="AW305" t="s">
        <v>402</v>
      </c>
      <c r="AX305" s="8" t="str">
        <f>"93446"</f>
        <v>93446</v>
      </c>
      <c r="AY305" t="s">
        <v>118</v>
      </c>
      <c r="AZ305" t="s">
        <v>3293</v>
      </c>
      <c r="BA305" s="10">
        <v>13217042589</v>
      </c>
      <c r="BC305" t="s">
        <v>3294</v>
      </c>
      <c r="BD305" t="s">
        <v>3295</v>
      </c>
      <c r="BG305" t="s">
        <v>127</v>
      </c>
      <c r="BH305" s="1">
        <v>45231.833333333336</v>
      </c>
      <c r="BI305">
        <v>35</v>
      </c>
      <c r="BJ305">
        <v>5</v>
      </c>
      <c r="BK305">
        <v>5</v>
      </c>
      <c r="BL305">
        <v>5</v>
      </c>
      <c r="BM305">
        <v>5</v>
      </c>
      <c r="BN305">
        <v>5</v>
      </c>
      <c r="BO305">
        <v>5</v>
      </c>
      <c r="BP305">
        <v>5</v>
      </c>
      <c r="BQ305" t="str">
        <f>"3:00 PM"</f>
        <v>3:00 PM</v>
      </c>
      <c r="BR305" t="str">
        <f>"11:00 PM"</f>
        <v>11:00 PM</v>
      </c>
      <c r="BS305" t="s">
        <v>131</v>
      </c>
      <c r="BT305">
        <v>0</v>
      </c>
      <c r="BU305">
        <v>0</v>
      </c>
      <c r="BV305" t="s">
        <v>114</v>
      </c>
      <c r="BX305" s="2" t="s">
        <v>14992</v>
      </c>
      <c r="BY305" t="s">
        <v>14993</v>
      </c>
      <c r="CA305" t="s">
        <v>2564</v>
      </c>
      <c r="CB305" t="s">
        <v>127</v>
      </c>
      <c r="CC305" s="8" t="str">
        <f>"77054"</f>
        <v>77054</v>
      </c>
      <c r="CD305" t="s">
        <v>3327</v>
      </c>
      <c r="CE305" t="s">
        <v>879</v>
      </c>
      <c r="CF305" s="12">
        <v>10.61</v>
      </c>
      <c r="CG305" s="12">
        <v>14.79</v>
      </c>
      <c r="CJ305" t="s">
        <v>135</v>
      </c>
      <c r="CK305" t="s">
        <v>5469</v>
      </c>
      <c r="CL305" t="s">
        <v>14994</v>
      </c>
      <c r="CO305" t="s">
        <v>132</v>
      </c>
      <c r="CP305" t="s">
        <v>136</v>
      </c>
      <c r="CQ305" t="s">
        <v>136</v>
      </c>
      <c r="CR305" t="s">
        <v>114</v>
      </c>
      <c r="CS305" t="s">
        <v>136</v>
      </c>
      <c r="CT305" t="s">
        <v>136</v>
      </c>
      <c r="CU305" t="s">
        <v>136</v>
      </c>
      <c r="CV305" t="s">
        <v>14995</v>
      </c>
      <c r="CW305" s="10" t="str">
        <f>"+15123957934"</f>
        <v>+15123957934</v>
      </c>
      <c r="CX305" t="s">
        <v>14991</v>
      </c>
      <c r="CY305" t="s">
        <v>132</v>
      </c>
      <c r="CZ305" t="s">
        <v>137</v>
      </c>
      <c r="DA305" t="s">
        <v>114</v>
      </c>
      <c r="DB305" t="s">
        <v>114</v>
      </c>
      <c r="DC305" t="s">
        <v>136</v>
      </c>
      <c r="DD305" t="s">
        <v>114</v>
      </c>
    </row>
    <row r="306" spans="1:113" ht="15" customHeight="1" x14ac:dyDescent="0.25">
      <c r="A306" t="s">
        <v>7649</v>
      </c>
      <c r="B306" t="s">
        <v>152</v>
      </c>
      <c r="C306" s="1">
        <v>45247.499495370372</v>
      </c>
      <c r="D306" s="1">
        <v>45278</v>
      </c>
      <c r="E306" t="s">
        <v>132</v>
      </c>
      <c r="F306" t="s">
        <v>2738</v>
      </c>
      <c r="G306" t="str">
        <f>"37-3011.00"</f>
        <v>37-3011.00</v>
      </c>
      <c r="H306" t="s">
        <v>429</v>
      </c>
      <c r="I306">
        <v>6</v>
      </c>
      <c r="J306">
        <v>6</v>
      </c>
      <c r="K306" s="1">
        <v>45337</v>
      </c>
      <c r="L306" s="1">
        <v>45626</v>
      </c>
      <c r="M306" s="1">
        <v>45337</v>
      </c>
      <c r="N306" s="1">
        <v>45626</v>
      </c>
      <c r="O306" t="s">
        <v>238</v>
      </c>
      <c r="P306" t="s">
        <v>7650</v>
      </c>
      <c r="R306" t="s">
        <v>7651</v>
      </c>
      <c r="T306" t="s">
        <v>7652</v>
      </c>
      <c r="U306" t="s">
        <v>375</v>
      </c>
      <c r="V306" s="8" t="str">
        <f>"28736"</f>
        <v>28736</v>
      </c>
      <c r="W306" t="s">
        <v>118</v>
      </c>
      <c r="Y306" s="10">
        <v>18034392212</v>
      </c>
      <c r="AA306">
        <v>56173</v>
      </c>
      <c r="AB306" t="s">
        <v>7653</v>
      </c>
      <c r="AC306" t="s">
        <v>7654</v>
      </c>
      <c r="AE306" t="s">
        <v>654</v>
      </c>
      <c r="AF306" t="s">
        <v>7651</v>
      </c>
      <c r="AH306" t="s">
        <v>7652</v>
      </c>
      <c r="AI306" t="s">
        <v>375</v>
      </c>
      <c r="AJ306" s="8" t="str">
        <f>"28736"</f>
        <v>28736</v>
      </c>
      <c r="AK306" t="s">
        <v>118</v>
      </c>
      <c r="AM306" s="10">
        <v>18034392212</v>
      </c>
      <c r="AO306" t="s">
        <v>7655</v>
      </c>
      <c r="AP306" t="s">
        <v>121</v>
      </c>
      <c r="AQ306" t="s">
        <v>2173</v>
      </c>
      <c r="AR306" t="s">
        <v>2174</v>
      </c>
      <c r="AS306" t="s">
        <v>1829</v>
      </c>
      <c r="AT306" t="s">
        <v>2175</v>
      </c>
      <c r="AV306" t="s">
        <v>2176</v>
      </c>
      <c r="AW306" t="s">
        <v>386</v>
      </c>
      <c r="AX306" s="8" t="str">
        <f>"37110"</f>
        <v>37110</v>
      </c>
      <c r="AY306" t="s">
        <v>118</v>
      </c>
      <c r="BA306" s="10">
        <v>19312747811</v>
      </c>
      <c r="BC306" t="s">
        <v>2177</v>
      </c>
      <c r="BD306" t="s">
        <v>2178</v>
      </c>
      <c r="BE306" t="s">
        <v>386</v>
      </c>
      <c r="BF306" t="s">
        <v>2179</v>
      </c>
      <c r="BG306" t="s">
        <v>375</v>
      </c>
      <c r="BH306" s="1">
        <v>45246.791666666664</v>
      </c>
      <c r="BI306">
        <v>40</v>
      </c>
      <c r="BJ306">
        <v>0</v>
      </c>
      <c r="BK306">
        <v>8</v>
      </c>
      <c r="BL306">
        <v>8</v>
      </c>
      <c r="BM306">
        <v>8</v>
      </c>
      <c r="BN306">
        <v>8</v>
      </c>
      <c r="BO306">
        <v>8</v>
      </c>
      <c r="BP306">
        <v>0</v>
      </c>
      <c r="BQ306" t="str">
        <f>"7:00 AM"</f>
        <v>7:00 AM</v>
      </c>
      <c r="BR306" t="str">
        <f>"4:00 PM"</f>
        <v>4:00 PM</v>
      </c>
      <c r="BS306" t="s">
        <v>131</v>
      </c>
      <c r="BT306">
        <v>0</v>
      </c>
      <c r="BU306">
        <v>3</v>
      </c>
      <c r="BV306" t="s">
        <v>114</v>
      </c>
      <c r="BX306" s="2" t="s">
        <v>7656</v>
      </c>
      <c r="BY306" t="s">
        <v>7651</v>
      </c>
      <c r="CA306" t="s">
        <v>7652</v>
      </c>
      <c r="CB306" t="s">
        <v>375</v>
      </c>
      <c r="CC306" s="8" t="str">
        <f>"28736"</f>
        <v>28736</v>
      </c>
      <c r="CD306" t="s">
        <v>859</v>
      </c>
      <c r="CE306" t="s">
        <v>641</v>
      </c>
      <c r="CF306" s="12">
        <v>15.99</v>
      </c>
      <c r="CH306" s="12">
        <v>23.99</v>
      </c>
      <c r="CJ306" t="s">
        <v>135</v>
      </c>
      <c r="CK306" t="s">
        <v>2181</v>
      </c>
      <c r="CL306" t="s">
        <v>7657</v>
      </c>
      <c r="CO306" t="s">
        <v>132</v>
      </c>
      <c r="CP306" t="s">
        <v>136</v>
      </c>
      <c r="CQ306" t="s">
        <v>136</v>
      </c>
      <c r="CR306" t="s">
        <v>136</v>
      </c>
      <c r="CS306" t="s">
        <v>114</v>
      </c>
      <c r="CT306" t="s">
        <v>136</v>
      </c>
      <c r="CU306" t="s">
        <v>114</v>
      </c>
      <c r="CV306" t="s">
        <v>1480</v>
      </c>
      <c r="CW306" s="10" t="str">
        <f>"+18034392212"</f>
        <v>+18034392212</v>
      </c>
      <c r="CX306" t="s">
        <v>7655</v>
      </c>
      <c r="CY306" t="s">
        <v>132</v>
      </c>
      <c r="CZ306" t="s">
        <v>137</v>
      </c>
      <c r="DA306" t="s">
        <v>114</v>
      </c>
      <c r="DB306" t="s">
        <v>114</v>
      </c>
      <c r="DC306" t="s">
        <v>136</v>
      </c>
      <c r="DD306" t="s">
        <v>114</v>
      </c>
    </row>
    <row r="307" spans="1:113" ht="15" customHeight="1" x14ac:dyDescent="0.25">
      <c r="A307" t="s">
        <v>3648</v>
      </c>
      <c r="B307" t="s">
        <v>152</v>
      </c>
      <c r="C307" s="1">
        <v>45247.463978935186</v>
      </c>
      <c r="D307" s="1">
        <v>45278</v>
      </c>
      <c r="E307" t="s">
        <v>132</v>
      </c>
      <c r="F307" t="s">
        <v>2738</v>
      </c>
      <c r="G307" t="str">
        <f>"37-3011.00"</f>
        <v>37-3011.00</v>
      </c>
      <c r="H307" t="s">
        <v>429</v>
      </c>
      <c r="I307">
        <v>5</v>
      </c>
      <c r="J307">
        <v>5</v>
      </c>
      <c r="K307" s="1">
        <v>45337</v>
      </c>
      <c r="L307" s="1">
        <v>45595</v>
      </c>
      <c r="M307" s="1">
        <v>45337</v>
      </c>
      <c r="N307" s="1">
        <v>45595</v>
      </c>
      <c r="O307" t="s">
        <v>238</v>
      </c>
      <c r="P307" t="s">
        <v>3649</v>
      </c>
      <c r="R307" t="s">
        <v>3650</v>
      </c>
      <c r="T307" t="s">
        <v>3651</v>
      </c>
      <c r="U307" t="s">
        <v>2090</v>
      </c>
      <c r="V307" s="8" t="str">
        <f>"68701"</f>
        <v>68701</v>
      </c>
      <c r="W307" t="s">
        <v>118</v>
      </c>
      <c r="Y307" s="10">
        <v>14023164272</v>
      </c>
      <c r="AA307">
        <v>56173</v>
      </c>
      <c r="AB307" t="s">
        <v>3652</v>
      </c>
      <c r="AC307" t="s">
        <v>3653</v>
      </c>
      <c r="AE307" t="s">
        <v>654</v>
      </c>
      <c r="AF307" t="s">
        <v>3650</v>
      </c>
      <c r="AH307" t="s">
        <v>3651</v>
      </c>
      <c r="AI307" t="s">
        <v>2090</v>
      </c>
      <c r="AJ307" s="8" t="str">
        <f>"68701"</f>
        <v>68701</v>
      </c>
      <c r="AK307" t="s">
        <v>118</v>
      </c>
      <c r="AM307" s="10">
        <v>14023164272</v>
      </c>
      <c r="AO307" t="s">
        <v>3654</v>
      </c>
      <c r="AP307" t="s">
        <v>121</v>
      </c>
      <c r="AQ307" t="s">
        <v>2173</v>
      </c>
      <c r="AR307" t="s">
        <v>2174</v>
      </c>
      <c r="AS307" t="s">
        <v>1829</v>
      </c>
      <c r="AT307" t="s">
        <v>2175</v>
      </c>
      <c r="AV307" t="s">
        <v>2176</v>
      </c>
      <c r="AW307" t="s">
        <v>386</v>
      </c>
      <c r="AX307" s="8" t="str">
        <f>"37110"</f>
        <v>37110</v>
      </c>
      <c r="AY307" t="s">
        <v>118</v>
      </c>
      <c r="BA307" s="10">
        <v>19312747811</v>
      </c>
      <c r="BC307" t="s">
        <v>2177</v>
      </c>
      <c r="BD307" t="s">
        <v>2178</v>
      </c>
      <c r="BE307" t="s">
        <v>386</v>
      </c>
      <c r="BF307" t="s">
        <v>2179</v>
      </c>
      <c r="BG307" t="s">
        <v>2090</v>
      </c>
      <c r="BH307" s="1">
        <v>45246.791666666664</v>
      </c>
      <c r="BI307">
        <v>40</v>
      </c>
      <c r="BJ307">
        <v>0</v>
      </c>
      <c r="BK307">
        <v>8</v>
      </c>
      <c r="BL307">
        <v>8</v>
      </c>
      <c r="BM307">
        <v>8</v>
      </c>
      <c r="BN307">
        <v>8</v>
      </c>
      <c r="BO307">
        <v>8</v>
      </c>
      <c r="BP307">
        <v>0</v>
      </c>
      <c r="BQ307" t="str">
        <f>"7:00 AM"</f>
        <v>7:00 AM</v>
      </c>
      <c r="BR307" t="str">
        <f>"4:00 PM"</f>
        <v>4:00 PM</v>
      </c>
      <c r="BS307" t="s">
        <v>131</v>
      </c>
      <c r="BT307">
        <v>0</v>
      </c>
      <c r="BU307">
        <v>3</v>
      </c>
      <c r="BV307" t="s">
        <v>114</v>
      </c>
      <c r="BX307" s="2" t="s">
        <v>3655</v>
      </c>
      <c r="BY307" t="s">
        <v>3650</v>
      </c>
      <c r="CA307" t="s">
        <v>3651</v>
      </c>
      <c r="CB307" t="s">
        <v>2090</v>
      </c>
      <c r="CC307" s="8" t="str">
        <f>"67801"</f>
        <v>67801</v>
      </c>
      <c r="CD307" t="s">
        <v>3656</v>
      </c>
      <c r="CE307" t="s">
        <v>3657</v>
      </c>
      <c r="CF307" s="12">
        <v>15.06</v>
      </c>
      <c r="CH307" s="12">
        <v>22.59</v>
      </c>
      <c r="CJ307" t="s">
        <v>135</v>
      </c>
      <c r="CK307" t="s">
        <v>2181</v>
      </c>
      <c r="CL307" t="s">
        <v>3658</v>
      </c>
      <c r="CO307" t="s">
        <v>132</v>
      </c>
      <c r="CP307" t="s">
        <v>136</v>
      </c>
      <c r="CQ307" t="s">
        <v>136</v>
      </c>
      <c r="CR307" t="s">
        <v>136</v>
      </c>
      <c r="CS307" t="s">
        <v>114</v>
      </c>
      <c r="CT307" t="s">
        <v>136</v>
      </c>
      <c r="CU307" t="s">
        <v>114</v>
      </c>
      <c r="CV307" t="s">
        <v>3659</v>
      </c>
      <c r="CW307" s="10" t="str">
        <f>"+14023164272"</f>
        <v>+14023164272</v>
      </c>
      <c r="CX307" t="s">
        <v>3654</v>
      </c>
      <c r="CY307" t="s">
        <v>132</v>
      </c>
      <c r="CZ307" t="s">
        <v>137</v>
      </c>
      <c r="DA307" t="s">
        <v>114</v>
      </c>
      <c r="DB307" t="s">
        <v>114</v>
      </c>
      <c r="DC307" t="s">
        <v>136</v>
      </c>
      <c r="DD307" t="s">
        <v>114</v>
      </c>
    </row>
    <row r="308" spans="1:113" ht="15" customHeight="1" x14ac:dyDescent="0.25">
      <c r="A308" t="s">
        <v>9835</v>
      </c>
      <c r="B308" t="s">
        <v>152</v>
      </c>
      <c r="C308" s="1">
        <v>45247.425147800925</v>
      </c>
      <c r="D308" s="1">
        <v>45278</v>
      </c>
      <c r="E308" t="s">
        <v>132</v>
      </c>
      <c r="F308" t="s">
        <v>2744</v>
      </c>
      <c r="G308" t="str">
        <f>"37-3011.00"</f>
        <v>37-3011.00</v>
      </c>
      <c r="H308" t="s">
        <v>429</v>
      </c>
      <c r="I308">
        <v>25</v>
      </c>
      <c r="J308">
        <v>25</v>
      </c>
      <c r="K308" s="1">
        <v>45337</v>
      </c>
      <c r="L308" s="1">
        <v>45627</v>
      </c>
      <c r="M308" s="1">
        <v>45337</v>
      </c>
      <c r="N308" s="1">
        <v>45627</v>
      </c>
      <c r="O308" t="s">
        <v>238</v>
      </c>
      <c r="P308" t="s">
        <v>9836</v>
      </c>
      <c r="R308" t="s">
        <v>9837</v>
      </c>
      <c r="T308" t="s">
        <v>2143</v>
      </c>
      <c r="U308" t="s">
        <v>581</v>
      </c>
      <c r="V308" s="8" t="str">
        <f>"23454"</f>
        <v>23454</v>
      </c>
      <c r="W308" t="s">
        <v>118</v>
      </c>
      <c r="Y308" s="10">
        <v>17575027724</v>
      </c>
      <c r="AA308">
        <v>56173</v>
      </c>
      <c r="AB308" t="s">
        <v>5567</v>
      </c>
      <c r="AC308" t="s">
        <v>9838</v>
      </c>
      <c r="AE308" t="s">
        <v>3824</v>
      </c>
      <c r="AF308" t="s">
        <v>9839</v>
      </c>
      <c r="AH308" t="s">
        <v>9840</v>
      </c>
      <c r="AI308" t="s">
        <v>581</v>
      </c>
      <c r="AJ308" s="8" t="str">
        <f>"23454"</f>
        <v>23454</v>
      </c>
      <c r="AK308" t="s">
        <v>118</v>
      </c>
      <c r="AM308" s="10">
        <v>17572544940</v>
      </c>
      <c r="AO308" t="s">
        <v>9841</v>
      </c>
      <c r="AP308" t="s">
        <v>248</v>
      </c>
      <c r="AQ308" t="s">
        <v>5168</v>
      </c>
      <c r="AR308" t="s">
        <v>2187</v>
      </c>
      <c r="AS308" t="s">
        <v>628</v>
      </c>
      <c r="AT308" t="s">
        <v>5169</v>
      </c>
      <c r="AV308" t="s">
        <v>5170</v>
      </c>
      <c r="AW308" t="s">
        <v>581</v>
      </c>
      <c r="AX308" s="8" t="str">
        <f>"23505"</f>
        <v>23505</v>
      </c>
      <c r="AY308" t="s">
        <v>118</v>
      </c>
      <c r="BA308" s="10">
        <v>18043019607</v>
      </c>
      <c r="BC308" t="s">
        <v>5171</v>
      </c>
      <c r="BD308" t="s">
        <v>5172</v>
      </c>
      <c r="BG308" t="s">
        <v>581</v>
      </c>
      <c r="BH308" s="1">
        <v>45243.791666666664</v>
      </c>
      <c r="BI308">
        <v>40</v>
      </c>
      <c r="BJ308">
        <v>0</v>
      </c>
      <c r="BK308">
        <v>8</v>
      </c>
      <c r="BL308">
        <v>8</v>
      </c>
      <c r="BM308">
        <v>8</v>
      </c>
      <c r="BN308">
        <v>8</v>
      </c>
      <c r="BO308">
        <v>8</v>
      </c>
      <c r="BP308">
        <v>0</v>
      </c>
      <c r="BQ308" t="str">
        <f>"7:30 AM"</f>
        <v>7:30 AM</v>
      </c>
      <c r="BR308" t="str">
        <f>"4:30 AM"</f>
        <v>4:30 AM</v>
      </c>
      <c r="BS308" t="s">
        <v>131</v>
      </c>
      <c r="BT308">
        <v>0</v>
      </c>
      <c r="BU308">
        <v>3</v>
      </c>
      <c r="BV308" t="s">
        <v>114</v>
      </c>
      <c r="BX308" t="s">
        <v>9842</v>
      </c>
      <c r="BY308" t="s">
        <v>9843</v>
      </c>
      <c r="CA308" t="s">
        <v>2143</v>
      </c>
      <c r="CB308" t="s">
        <v>581</v>
      </c>
      <c r="CC308" s="8" t="str">
        <f>"23450"</f>
        <v>23450</v>
      </c>
      <c r="CD308" t="s">
        <v>2144</v>
      </c>
      <c r="CE308" t="s">
        <v>2145</v>
      </c>
      <c r="CF308" s="12">
        <v>16.350000000000001</v>
      </c>
      <c r="CG308" s="12">
        <v>16.350000000000001</v>
      </c>
      <c r="CH308" s="12">
        <v>24.53</v>
      </c>
      <c r="CI308" s="12">
        <v>24.53</v>
      </c>
      <c r="CJ308" t="s">
        <v>135</v>
      </c>
      <c r="CK308" t="s">
        <v>9476</v>
      </c>
      <c r="CL308" t="s">
        <v>9844</v>
      </c>
      <c r="CO308" t="s">
        <v>132</v>
      </c>
      <c r="CP308" t="s">
        <v>114</v>
      </c>
      <c r="CQ308" t="s">
        <v>136</v>
      </c>
      <c r="CR308" t="s">
        <v>136</v>
      </c>
      <c r="CS308" t="s">
        <v>114</v>
      </c>
      <c r="CT308" t="s">
        <v>136</v>
      </c>
      <c r="CU308" t="s">
        <v>114</v>
      </c>
      <c r="CV308" t="s">
        <v>5173</v>
      </c>
      <c r="CW308" s="10" t="str">
        <f>"+17572544940"</f>
        <v>+17572544940</v>
      </c>
      <c r="CX308" t="s">
        <v>9845</v>
      </c>
      <c r="CY308" t="s">
        <v>132</v>
      </c>
      <c r="CZ308" t="s">
        <v>137</v>
      </c>
      <c r="DA308" t="s">
        <v>114</v>
      </c>
      <c r="DB308" t="s">
        <v>136</v>
      </c>
      <c r="DC308" t="s">
        <v>136</v>
      </c>
      <c r="DD308" t="s">
        <v>114</v>
      </c>
      <c r="DE308" t="s">
        <v>5168</v>
      </c>
      <c r="DF308" t="s">
        <v>2187</v>
      </c>
      <c r="DG308" t="s">
        <v>628</v>
      </c>
      <c r="DH308" t="s">
        <v>5172</v>
      </c>
      <c r="DI308" t="s">
        <v>5171</v>
      </c>
    </row>
    <row r="309" spans="1:113" ht="15" customHeight="1" x14ac:dyDescent="0.25">
      <c r="A309" t="s">
        <v>21271</v>
      </c>
      <c r="B309" t="s">
        <v>152</v>
      </c>
      <c r="C309" s="1">
        <v>45247.423280787036</v>
      </c>
      <c r="D309" s="1">
        <v>45278</v>
      </c>
      <c r="E309" t="s">
        <v>132</v>
      </c>
      <c r="F309" t="s">
        <v>20090</v>
      </c>
      <c r="G309" t="str">
        <f>"53-7062.00"</f>
        <v>53-7062.00</v>
      </c>
      <c r="H309" t="s">
        <v>2078</v>
      </c>
      <c r="I309">
        <v>15</v>
      </c>
      <c r="J309">
        <v>15</v>
      </c>
      <c r="K309" s="1">
        <v>45337</v>
      </c>
      <c r="L309" s="1">
        <v>45640</v>
      </c>
      <c r="M309" s="1">
        <v>45337</v>
      </c>
      <c r="N309" s="1">
        <v>45640</v>
      </c>
      <c r="O309" t="s">
        <v>116</v>
      </c>
      <c r="P309" t="s">
        <v>21272</v>
      </c>
      <c r="R309" t="s">
        <v>21273</v>
      </c>
      <c r="T309" t="s">
        <v>1841</v>
      </c>
      <c r="U309" t="s">
        <v>581</v>
      </c>
      <c r="V309" s="8" t="str">
        <f>"23228"</f>
        <v>23228</v>
      </c>
      <c r="W309" t="s">
        <v>118</v>
      </c>
      <c r="Y309" s="10">
        <v>18042646621</v>
      </c>
      <c r="AA309">
        <v>532289</v>
      </c>
      <c r="AB309" t="s">
        <v>21274</v>
      </c>
      <c r="AC309" t="s">
        <v>2770</v>
      </c>
      <c r="AE309" t="s">
        <v>1119</v>
      </c>
      <c r="AF309" t="s">
        <v>21275</v>
      </c>
      <c r="AH309" t="s">
        <v>1841</v>
      </c>
      <c r="AI309" t="s">
        <v>581</v>
      </c>
      <c r="AJ309" s="8" t="str">
        <f>"23228"</f>
        <v>23228</v>
      </c>
      <c r="AK309" t="s">
        <v>118</v>
      </c>
      <c r="AM309" s="10">
        <v>18044021966</v>
      </c>
      <c r="AO309" t="s">
        <v>21276</v>
      </c>
      <c r="AP309" t="s">
        <v>248</v>
      </c>
      <c r="AQ309" t="s">
        <v>5168</v>
      </c>
      <c r="AR309" t="s">
        <v>2187</v>
      </c>
      <c r="AS309" t="s">
        <v>628</v>
      </c>
      <c r="AT309" t="s">
        <v>5169</v>
      </c>
      <c r="AV309" t="s">
        <v>5170</v>
      </c>
      <c r="AW309" t="s">
        <v>581</v>
      </c>
      <c r="AX309" s="8" t="str">
        <f>"23505"</f>
        <v>23505</v>
      </c>
      <c r="AY309" t="s">
        <v>118</v>
      </c>
      <c r="BA309" s="10">
        <v>18043019607</v>
      </c>
      <c r="BC309" t="s">
        <v>5171</v>
      </c>
      <c r="BD309" t="s">
        <v>5172</v>
      </c>
      <c r="BG309" t="s">
        <v>581</v>
      </c>
      <c r="BH309" s="1">
        <v>45243.791666666664</v>
      </c>
      <c r="BI309">
        <v>40</v>
      </c>
      <c r="BJ309">
        <v>0</v>
      </c>
      <c r="BK309">
        <v>8</v>
      </c>
      <c r="BL309">
        <v>8</v>
      </c>
      <c r="BM309">
        <v>8</v>
      </c>
      <c r="BN309">
        <v>8</v>
      </c>
      <c r="BO309">
        <v>8</v>
      </c>
      <c r="BP309">
        <v>0</v>
      </c>
      <c r="BQ309" t="str">
        <f>"7:00 AM"</f>
        <v>7:00 AM</v>
      </c>
      <c r="BR309" t="str">
        <f>"4:00 PM"</f>
        <v>4:00 PM</v>
      </c>
      <c r="BS309" t="s">
        <v>131</v>
      </c>
      <c r="BT309">
        <v>0</v>
      </c>
      <c r="BU309">
        <v>3</v>
      </c>
      <c r="BV309" t="s">
        <v>114</v>
      </c>
      <c r="BX309" t="s">
        <v>21277</v>
      </c>
      <c r="BY309" t="s">
        <v>21278</v>
      </c>
      <c r="CA309" t="s">
        <v>21279</v>
      </c>
      <c r="CB309" t="s">
        <v>581</v>
      </c>
      <c r="CC309" s="8" t="str">
        <f>"23228"</f>
        <v>23228</v>
      </c>
      <c r="CD309" t="s">
        <v>9390</v>
      </c>
      <c r="CE309" t="s">
        <v>1850</v>
      </c>
      <c r="CF309" s="12">
        <v>17.8</v>
      </c>
      <c r="CG309" s="12">
        <v>17.8</v>
      </c>
      <c r="CH309" s="12">
        <v>26.7</v>
      </c>
      <c r="CI309" s="12">
        <v>26.7</v>
      </c>
      <c r="CJ309" t="s">
        <v>135</v>
      </c>
      <c r="CK309" t="s">
        <v>9476</v>
      </c>
      <c r="CL309" t="s">
        <v>21280</v>
      </c>
      <c r="CO309" t="s">
        <v>132</v>
      </c>
      <c r="CP309" t="s">
        <v>114</v>
      </c>
      <c r="CQ309" t="s">
        <v>136</v>
      </c>
      <c r="CR309" t="s">
        <v>136</v>
      </c>
      <c r="CS309" t="s">
        <v>114</v>
      </c>
      <c r="CT309" t="s">
        <v>136</v>
      </c>
      <c r="CU309" t="s">
        <v>114</v>
      </c>
      <c r="CV309" t="s">
        <v>5173</v>
      </c>
      <c r="CW309" s="10" t="str">
        <f>"+18042646621"</f>
        <v>+18042646621</v>
      </c>
      <c r="CX309" t="s">
        <v>21276</v>
      </c>
      <c r="CY309" t="s">
        <v>132</v>
      </c>
      <c r="CZ309" t="s">
        <v>137</v>
      </c>
      <c r="DA309" t="s">
        <v>114</v>
      </c>
      <c r="DB309" t="s">
        <v>136</v>
      </c>
      <c r="DC309" t="s">
        <v>136</v>
      </c>
      <c r="DD309" t="s">
        <v>114</v>
      </c>
      <c r="DE309" t="s">
        <v>5168</v>
      </c>
      <c r="DF309" t="s">
        <v>2187</v>
      </c>
      <c r="DG309" t="s">
        <v>628</v>
      </c>
      <c r="DH309" t="s">
        <v>5172</v>
      </c>
      <c r="DI309" t="s">
        <v>5171</v>
      </c>
    </row>
    <row r="310" spans="1:113" ht="15" customHeight="1" x14ac:dyDescent="0.25">
      <c r="A310" t="s">
        <v>17770</v>
      </c>
      <c r="B310" t="s">
        <v>152</v>
      </c>
      <c r="C310" s="1">
        <v>45247.42070347222</v>
      </c>
      <c r="D310" s="1">
        <v>45278</v>
      </c>
      <c r="E310" t="s">
        <v>132</v>
      </c>
      <c r="F310" t="s">
        <v>2744</v>
      </c>
      <c r="G310" t="str">
        <f>"37-3011.00"</f>
        <v>37-3011.00</v>
      </c>
      <c r="H310" t="s">
        <v>429</v>
      </c>
      <c r="I310">
        <v>20</v>
      </c>
      <c r="J310">
        <v>20</v>
      </c>
      <c r="K310" s="1">
        <v>45337</v>
      </c>
      <c r="L310" s="1">
        <v>45636</v>
      </c>
      <c r="M310" s="1">
        <v>45337</v>
      </c>
      <c r="N310" s="1">
        <v>45636</v>
      </c>
      <c r="O310" t="s">
        <v>238</v>
      </c>
      <c r="P310" t="s">
        <v>17771</v>
      </c>
      <c r="R310" t="s">
        <v>17772</v>
      </c>
      <c r="T310" t="s">
        <v>3469</v>
      </c>
      <c r="U310" t="s">
        <v>1722</v>
      </c>
      <c r="V310" s="8" t="str">
        <f>"20659"</f>
        <v>20659</v>
      </c>
      <c r="W310" t="s">
        <v>118</v>
      </c>
      <c r="Y310" s="10">
        <v>13013739245</v>
      </c>
      <c r="AA310">
        <v>56173</v>
      </c>
      <c r="AB310" t="s">
        <v>17773</v>
      </c>
      <c r="AC310" t="s">
        <v>3110</v>
      </c>
      <c r="AD310" t="s">
        <v>475</v>
      </c>
      <c r="AE310" t="s">
        <v>3519</v>
      </c>
      <c r="AF310" t="s">
        <v>17774</v>
      </c>
      <c r="AH310" t="s">
        <v>17775</v>
      </c>
      <c r="AI310" t="s">
        <v>1722</v>
      </c>
      <c r="AJ310" s="8" t="str">
        <f>"20622"</f>
        <v>20622</v>
      </c>
      <c r="AK310" t="s">
        <v>118</v>
      </c>
      <c r="AM310" s="10">
        <v>13013739245</v>
      </c>
      <c r="AO310" t="s">
        <v>17776</v>
      </c>
      <c r="AP310" t="s">
        <v>248</v>
      </c>
      <c r="AQ310" t="s">
        <v>5168</v>
      </c>
      <c r="AR310" t="s">
        <v>2187</v>
      </c>
      <c r="AS310" t="s">
        <v>628</v>
      </c>
      <c r="AT310" t="s">
        <v>5169</v>
      </c>
      <c r="AV310" t="s">
        <v>5170</v>
      </c>
      <c r="AW310" t="s">
        <v>581</v>
      </c>
      <c r="AX310" s="8" t="str">
        <f>"23505"</f>
        <v>23505</v>
      </c>
      <c r="AY310" t="s">
        <v>118</v>
      </c>
      <c r="BA310" s="10">
        <v>18043019607</v>
      </c>
      <c r="BC310" t="s">
        <v>5171</v>
      </c>
      <c r="BD310" t="s">
        <v>5172</v>
      </c>
      <c r="BG310" t="s">
        <v>1722</v>
      </c>
      <c r="BH310" s="1">
        <v>45243.791666666664</v>
      </c>
      <c r="BI310">
        <v>40</v>
      </c>
      <c r="BJ310">
        <v>0</v>
      </c>
      <c r="BK310">
        <v>8</v>
      </c>
      <c r="BL310">
        <v>8</v>
      </c>
      <c r="BM310">
        <v>8</v>
      </c>
      <c r="BN310">
        <v>8</v>
      </c>
      <c r="BO310">
        <v>8</v>
      </c>
      <c r="BP310">
        <v>0</v>
      </c>
      <c r="BQ310" t="str">
        <f>"8:00 AM"</f>
        <v>8:00 AM</v>
      </c>
      <c r="BR310" t="str">
        <f>"4:00 PM"</f>
        <v>4:00 PM</v>
      </c>
      <c r="BS310" t="s">
        <v>131</v>
      </c>
      <c r="BT310">
        <v>0</v>
      </c>
      <c r="BU310">
        <v>3</v>
      </c>
      <c r="BV310" t="s">
        <v>114</v>
      </c>
      <c r="BX310" s="2" t="s">
        <v>17777</v>
      </c>
      <c r="BY310" t="s">
        <v>17772</v>
      </c>
      <c r="CA310" t="s">
        <v>3469</v>
      </c>
      <c r="CB310" t="s">
        <v>1722</v>
      </c>
      <c r="CC310" s="8" t="str">
        <f>"20659"</f>
        <v>20659</v>
      </c>
      <c r="CD310" t="s">
        <v>17778</v>
      </c>
      <c r="CE310" t="s">
        <v>17779</v>
      </c>
      <c r="CF310" s="12">
        <v>19.670000000000002</v>
      </c>
      <c r="CG310" s="12">
        <v>19.670000000000002</v>
      </c>
      <c r="CH310" s="12">
        <v>29.51</v>
      </c>
      <c r="CI310" s="12">
        <v>29.51</v>
      </c>
      <c r="CJ310" t="s">
        <v>135</v>
      </c>
      <c r="CK310" t="s">
        <v>9476</v>
      </c>
      <c r="CL310" t="s">
        <v>17780</v>
      </c>
      <c r="CO310" t="s">
        <v>132</v>
      </c>
      <c r="CP310" t="s">
        <v>136</v>
      </c>
      <c r="CQ310" t="s">
        <v>136</v>
      </c>
      <c r="CR310" t="s">
        <v>136</v>
      </c>
      <c r="CS310" t="s">
        <v>114</v>
      </c>
      <c r="CT310" t="s">
        <v>136</v>
      </c>
      <c r="CU310" t="s">
        <v>114</v>
      </c>
      <c r="CV310" t="s">
        <v>5173</v>
      </c>
      <c r="CW310" s="10" t="str">
        <f>"+13013739245"</f>
        <v>+13013739245</v>
      </c>
      <c r="CX310" t="s">
        <v>17781</v>
      </c>
      <c r="CY310" t="s">
        <v>132</v>
      </c>
      <c r="CZ310" t="s">
        <v>137</v>
      </c>
      <c r="DA310" t="s">
        <v>114</v>
      </c>
      <c r="DB310" t="s">
        <v>136</v>
      </c>
      <c r="DC310" t="s">
        <v>136</v>
      </c>
      <c r="DD310" t="s">
        <v>114</v>
      </c>
      <c r="DE310" t="s">
        <v>5168</v>
      </c>
      <c r="DF310" t="s">
        <v>2187</v>
      </c>
      <c r="DG310" t="s">
        <v>628</v>
      </c>
      <c r="DH310" t="s">
        <v>5172</v>
      </c>
      <c r="DI310" t="s">
        <v>5171</v>
      </c>
    </row>
    <row r="311" spans="1:113" ht="15" customHeight="1" x14ac:dyDescent="0.25">
      <c r="A311" t="s">
        <v>21224</v>
      </c>
      <c r="B311" t="s">
        <v>152</v>
      </c>
      <c r="C311" s="1">
        <v>45247.416320486111</v>
      </c>
      <c r="D311" s="1">
        <v>45278</v>
      </c>
      <c r="E311" t="s">
        <v>132</v>
      </c>
      <c r="F311" t="s">
        <v>1595</v>
      </c>
      <c r="G311" t="str">
        <f>"37-3011.00"</f>
        <v>37-3011.00</v>
      </c>
      <c r="H311" t="s">
        <v>429</v>
      </c>
      <c r="I311">
        <v>18</v>
      </c>
      <c r="J311">
        <v>18</v>
      </c>
      <c r="K311" s="1">
        <v>45337</v>
      </c>
      <c r="L311" s="1">
        <v>45640</v>
      </c>
      <c r="M311" s="1">
        <v>45337</v>
      </c>
      <c r="N311" s="1">
        <v>45640</v>
      </c>
      <c r="O311" t="s">
        <v>116</v>
      </c>
      <c r="P311" t="s">
        <v>21225</v>
      </c>
      <c r="R311" t="s">
        <v>21226</v>
      </c>
      <c r="T311" t="s">
        <v>2029</v>
      </c>
      <c r="U311" t="s">
        <v>127</v>
      </c>
      <c r="V311" s="8" t="str">
        <f>"76012"</f>
        <v>76012</v>
      </c>
      <c r="W311" t="s">
        <v>118</v>
      </c>
      <c r="Y311" s="10">
        <v>18172750710</v>
      </c>
      <c r="AA311">
        <v>561730</v>
      </c>
      <c r="AB311" t="s">
        <v>13110</v>
      </c>
      <c r="AC311" t="s">
        <v>10784</v>
      </c>
      <c r="AD311" t="s">
        <v>7362</v>
      </c>
      <c r="AE311" t="s">
        <v>1799</v>
      </c>
      <c r="AF311" t="s">
        <v>21226</v>
      </c>
      <c r="AH311" t="s">
        <v>2029</v>
      </c>
      <c r="AI311" t="s">
        <v>127</v>
      </c>
      <c r="AJ311" s="8" t="str">
        <f>"76012"</f>
        <v>76012</v>
      </c>
      <c r="AK311" t="s">
        <v>118</v>
      </c>
      <c r="AM311" s="10">
        <v>18172750710</v>
      </c>
      <c r="AO311" t="s">
        <v>21227</v>
      </c>
      <c r="AP311" t="s">
        <v>248</v>
      </c>
      <c r="AQ311" t="s">
        <v>3539</v>
      </c>
      <c r="AR311" t="s">
        <v>3540</v>
      </c>
      <c r="AT311" t="s">
        <v>1584</v>
      </c>
      <c r="AV311" t="s">
        <v>1585</v>
      </c>
      <c r="AW311" t="s">
        <v>127</v>
      </c>
      <c r="AX311" s="8" t="str">
        <f>"77414"</f>
        <v>77414</v>
      </c>
      <c r="AY311" t="s">
        <v>118</v>
      </c>
      <c r="BA311" s="10">
        <v>19793187290</v>
      </c>
      <c r="BC311" t="s">
        <v>3541</v>
      </c>
      <c r="BD311" t="s">
        <v>1587</v>
      </c>
      <c r="BG311" t="s">
        <v>127</v>
      </c>
      <c r="BH311" s="1">
        <v>45246.791666666664</v>
      </c>
      <c r="BI311">
        <v>40</v>
      </c>
      <c r="BJ311">
        <v>0</v>
      </c>
      <c r="BK311">
        <v>8</v>
      </c>
      <c r="BL311">
        <v>8</v>
      </c>
      <c r="BM311">
        <v>8</v>
      </c>
      <c r="BN311">
        <v>8</v>
      </c>
      <c r="BO311">
        <v>8</v>
      </c>
      <c r="BP311">
        <v>0</v>
      </c>
      <c r="BQ311" t="str">
        <f>"7:00 AM"</f>
        <v>7:00 AM</v>
      </c>
      <c r="BR311" t="str">
        <f>"3:30 PM"</f>
        <v>3:30 PM</v>
      </c>
      <c r="BS311" t="s">
        <v>131</v>
      </c>
      <c r="BT311">
        <v>0</v>
      </c>
      <c r="BU311">
        <v>0</v>
      </c>
      <c r="BV311" t="s">
        <v>114</v>
      </c>
      <c r="BX311" s="2" t="s">
        <v>21228</v>
      </c>
      <c r="BY311" t="s">
        <v>21229</v>
      </c>
      <c r="CA311" t="s">
        <v>9622</v>
      </c>
      <c r="CB311" t="s">
        <v>127</v>
      </c>
      <c r="CC311" s="8" t="str">
        <f>"75050"</f>
        <v>75050</v>
      </c>
      <c r="CD311" t="s">
        <v>2301</v>
      </c>
      <c r="CE311" t="s">
        <v>263</v>
      </c>
      <c r="CF311" s="12">
        <v>16.86</v>
      </c>
      <c r="CG311" s="12">
        <v>17</v>
      </c>
      <c r="CH311" s="12">
        <v>25.29</v>
      </c>
      <c r="CI311" s="12">
        <v>25.5</v>
      </c>
      <c r="CJ311" t="s">
        <v>135</v>
      </c>
      <c r="CK311" t="s">
        <v>3584</v>
      </c>
      <c r="CL311" t="s">
        <v>21230</v>
      </c>
      <c r="CO311" t="s">
        <v>132</v>
      </c>
      <c r="CP311" t="s">
        <v>136</v>
      </c>
      <c r="CQ311" t="s">
        <v>136</v>
      </c>
      <c r="CR311" t="s">
        <v>136</v>
      </c>
      <c r="CS311" t="s">
        <v>136</v>
      </c>
      <c r="CT311" t="s">
        <v>136</v>
      </c>
      <c r="CU311" t="s">
        <v>114</v>
      </c>
      <c r="CV311" t="s">
        <v>131</v>
      </c>
      <c r="CW311" s="10" t="str">
        <f>"+18172750710"</f>
        <v>+18172750710</v>
      </c>
      <c r="CX311" t="s">
        <v>21227</v>
      </c>
      <c r="CY311" t="s">
        <v>132</v>
      </c>
      <c r="CZ311" t="s">
        <v>137</v>
      </c>
      <c r="DA311" t="s">
        <v>114</v>
      </c>
      <c r="DB311" t="s">
        <v>114</v>
      </c>
      <c r="DC311" t="s">
        <v>136</v>
      </c>
      <c r="DD311" t="s">
        <v>114</v>
      </c>
    </row>
    <row r="312" spans="1:113" ht="15" customHeight="1" x14ac:dyDescent="0.25">
      <c r="A312" t="s">
        <v>24068</v>
      </c>
      <c r="B312" t="s">
        <v>152</v>
      </c>
      <c r="C312" s="1">
        <v>45247.406119907406</v>
      </c>
      <c r="D312" s="1">
        <v>45278</v>
      </c>
      <c r="E312" t="s">
        <v>132</v>
      </c>
      <c r="F312" t="s">
        <v>2230</v>
      </c>
      <c r="G312" t="str">
        <f>"37-3011.00"</f>
        <v>37-3011.00</v>
      </c>
      <c r="H312" t="s">
        <v>429</v>
      </c>
      <c r="I312">
        <v>30</v>
      </c>
      <c r="J312">
        <v>30</v>
      </c>
      <c r="K312" s="1">
        <v>45337</v>
      </c>
      <c r="L312" s="1">
        <v>45610</v>
      </c>
      <c r="M312" s="1">
        <v>45337</v>
      </c>
      <c r="N312" s="1">
        <v>45610</v>
      </c>
      <c r="O312" t="s">
        <v>116</v>
      </c>
      <c r="P312" t="s">
        <v>24069</v>
      </c>
      <c r="R312" t="s">
        <v>24070</v>
      </c>
      <c r="S312" t="s">
        <v>24071</v>
      </c>
      <c r="T312" t="s">
        <v>5229</v>
      </c>
      <c r="U312" t="s">
        <v>127</v>
      </c>
      <c r="V312" s="8" t="str">
        <f>"78633"</f>
        <v>78633</v>
      </c>
      <c r="W312" t="s">
        <v>118</v>
      </c>
      <c r="Y312" s="10">
        <v>15128642722</v>
      </c>
      <c r="AA312">
        <v>56173</v>
      </c>
      <c r="AB312" t="s">
        <v>24072</v>
      </c>
      <c r="AC312" t="s">
        <v>746</v>
      </c>
      <c r="AE312" t="s">
        <v>629</v>
      </c>
      <c r="AF312" t="s">
        <v>24070</v>
      </c>
      <c r="AG312" t="s">
        <v>24071</v>
      </c>
      <c r="AH312" t="s">
        <v>5229</v>
      </c>
      <c r="AI312" t="s">
        <v>127</v>
      </c>
      <c r="AJ312" s="8" t="str">
        <f>"78633"</f>
        <v>78633</v>
      </c>
      <c r="AK312" t="s">
        <v>118</v>
      </c>
      <c r="AM312" s="10">
        <v>15128642722</v>
      </c>
      <c r="AO312" t="s">
        <v>24073</v>
      </c>
      <c r="AP312" t="s">
        <v>248</v>
      </c>
      <c r="AQ312" t="s">
        <v>3017</v>
      </c>
      <c r="AR312" t="s">
        <v>3018</v>
      </c>
      <c r="AT312" t="s">
        <v>3019</v>
      </c>
      <c r="AV312" t="s">
        <v>1168</v>
      </c>
      <c r="AW312" t="s">
        <v>127</v>
      </c>
      <c r="AX312" s="8" t="str">
        <f>"75098"</f>
        <v>75098</v>
      </c>
      <c r="AY312" t="s">
        <v>118</v>
      </c>
      <c r="BA312" s="10">
        <v>19724424244</v>
      </c>
      <c r="BC312" t="s">
        <v>3020</v>
      </c>
      <c r="BD312" t="s">
        <v>3021</v>
      </c>
      <c r="BG312" t="s">
        <v>127</v>
      </c>
      <c r="BH312" s="1">
        <v>45246.791666666664</v>
      </c>
      <c r="BI312">
        <v>40</v>
      </c>
      <c r="BJ312">
        <v>0</v>
      </c>
      <c r="BK312">
        <v>8</v>
      </c>
      <c r="BL312">
        <v>8</v>
      </c>
      <c r="BM312">
        <v>8</v>
      </c>
      <c r="BN312">
        <v>8</v>
      </c>
      <c r="BO312">
        <v>8</v>
      </c>
      <c r="BP312">
        <v>0</v>
      </c>
      <c r="BQ312" t="str">
        <f>"8:00 AM"</f>
        <v>8:00 AM</v>
      </c>
      <c r="BR312" t="str">
        <f>"5:00 PM"</f>
        <v>5:00 PM</v>
      </c>
      <c r="BS312" t="s">
        <v>131</v>
      </c>
      <c r="BT312">
        <v>0</v>
      </c>
      <c r="BU312">
        <v>0</v>
      </c>
      <c r="BV312" t="s">
        <v>114</v>
      </c>
      <c r="BX312" t="s">
        <v>131</v>
      </c>
      <c r="BY312" t="s">
        <v>24070</v>
      </c>
      <c r="CA312" t="s">
        <v>5229</v>
      </c>
      <c r="CB312" t="s">
        <v>127</v>
      </c>
      <c r="CC312" s="8" t="str">
        <f>"78633"</f>
        <v>78633</v>
      </c>
      <c r="CD312" t="s">
        <v>3147</v>
      </c>
      <c r="CE312" t="s">
        <v>324</v>
      </c>
      <c r="CF312" s="12">
        <v>16.91</v>
      </c>
      <c r="CG312" s="12">
        <v>20</v>
      </c>
      <c r="CH312" s="12">
        <v>16.91</v>
      </c>
      <c r="CI312" s="12">
        <v>30</v>
      </c>
      <c r="CJ312" t="s">
        <v>135</v>
      </c>
      <c r="CK312" t="s">
        <v>132</v>
      </c>
      <c r="CL312" t="s">
        <v>24074</v>
      </c>
      <c r="CO312" t="s">
        <v>132</v>
      </c>
      <c r="CP312" t="s">
        <v>136</v>
      </c>
      <c r="CQ312" t="s">
        <v>136</v>
      </c>
      <c r="CR312" t="s">
        <v>136</v>
      </c>
      <c r="CS312" t="s">
        <v>136</v>
      </c>
      <c r="CT312" t="s">
        <v>136</v>
      </c>
      <c r="CU312" t="s">
        <v>136</v>
      </c>
      <c r="CV312" t="s">
        <v>24075</v>
      </c>
      <c r="CW312" s="10" t="str">
        <f>"+15128642722"</f>
        <v>+15128642722</v>
      </c>
      <c r="CX312" t="s">
        <v>132</v>
      </c>
      <c r="CY312" t="s">
        <v>3190</v>
      </c>
      <c r="CZ312" t="s">
        <v>137</v>
      </c>
      <c r="DA312" t="s">
        <v>114</v>
      </c>
      <c r="DB312" t="s">
        <v>114</v>
      </c>
      <c r="DC312" t="s">
        <v>136</v>
      </c>
      <c r="DD312" t="s">
        <v>114</v>
      </c>
    </row>
    <row r="313" spans="1:113" ht="15" customHeight="1" x14ac:dyDescent="0.25">
      <c r="A313" t="s">
        <v>19992</v>
      </c>
      <c r="B313" t="s">
        <v>152</v>
      </c>
      <c r="C313" s="1">
        <v>45247.389304166667</v>
      </c>
      <c r="D313" s="1">
        <v>45278</v>
      </c>
      <c r="E313" t="s">
        <v>132</v>
      </c>
      <c r="F313" t="s">
        <v>1595</v>
      </c>
      <c r="G313" t="str">
        <f>"37-3011.00"</f>
        <v>37-3011.00</v>
      </c>
      <c r="H313" t="s">
        <v>429</v>
      </c>
      <c r="I313">
        <v>8</v>
      </c>
      <c r="J313">
        <v>8</v>
      </c>
      <c r="K313" s="1">
        <v>45337</v>
      </c>
      <c r="L313" s="1">
        <v>45611</v>
      </c>
      <c r="M313" s="1">
        <v>45337</v>
      </c>
      <c r="N313" s="1">
        <v>45611</v>
      </c>
      <c r="O313" t="s">
        <v>116</v>
      </c>
      <c r="P313" t="s">
        <v>19993</v>
      </c>
      <c r="R313" t="s">
        <v>19994</v>
      </c>
      <c r="T313" t="s">
        <v>1814</v>
      </c>
      <c r="U313" t="s">
        <v>333</v>
      </c>
      <c r="V313" s="8" t="str">
        <f>"70817"</f>
        <v>70817</v>
      </c>
      <c r="W313" t="s">
        <v>118</v>
      </c>
      <c r="Y313" s="10">
        <v>12254453415</v>
      </c>
      <c r="AA313">
        <v>56173</v>
      </c>
      <c r="AB313" t="s">
        <v>5448</v>
      </c>
      <c r="AC313" t="s">
        <v>2770</v>
      </c>
      <c r="AE313" t="s">
        <v>561</v>
      </c>
      <c r="AF313" t="s">
        <v>19994</v>
      </c>
      <c r="AH313" t="s">
        <v>1814</v>
      </c>
      <c r="AI313" t="s">
        <v>333</v>
      </c>
      <c r="AJ313" s="8" t="str">
        <f>"70817"</f>
        <v>70817</v>
      </c>
      <c r="AK313" t="s">
        <v>118</v>
      </c>
      <c r="AM313" s="10">
        <v>12254453415</v>
      </c>
      <c r="AO313" t="s">
        <v>19995</v>
      </c>
      <c r="AP313" t="s">
        <v>248</v>
      </c>
      <c r="AQ313" t="s">
        <v>3017</v>
      </c>
      <c r="AR313" t="s">
        <v>3018</v>
      </c>
      <c r="AS313" t="s">
        <v>631</v>
      </c>
      <c r="AT313" t="s">
        <v>3371</v>
      </c>
      <c r="AV313" t="s">
        <v>1168</v>
      </c>
      <c r="AW313" t="s">
        <v>127</v>
      </c>
      <c r="AX313" s="8" t="str">
        <f>"75098"</f>
        <v>75098</v>
      </c>
      <c r="AY313" t="s">
        <v>118</v>
      </c>
      <c r="BA313" s="10">
        <v>19724424244</v>
      </c>
      <c r="BC313" t="s">
        <v>3372</v>
      </c>
      <c r="BD313" t="s">
        <v>3021</v>
      </c>
      <c r="BG313" t="s">
        <v>333</v>
      </c>
      <c r="BH313" s="1">
        <v>45246.791666666664</v>
      </c>
      <c r="BI313">
        <v>35</v>
      </c>
      <c r="BJ313">
        <v>0</v>
      </c>
      <c r="BK313">
        <v>7</v>
      </c>
      <c r="BL313">
        <v>7</v>
      </c>
      <c r="BM313">
        <v>7</v>
      </c>
      <c r="BN313">
        <v>7</v>
      </c>
      <c r="BO313">
        <v>7</v>
      </c>
      <c r="BP313">
        <v>0</v>
      </c>
      <c r="BQ313" t="str">
        <f>"7:00 AM"</f>
        <v>7:00 AM</v>
      </c>
      <c r="BR313" t="str">
        <f>"4:00 PM"</f>
        <v>4:00 PM</v>
      </c>
      <c r="BS313" t="s">
        <v>131</v>
      </c>
      <c r="BT313">
        <v>0</v>
      </c>
      <c r="BU313">
        <v>0</v>
      </c>
      <c r="BV313" t="s">
        <v>114</v>
      </c>
      <c r="BX313" t="s">
        <v>131</v>
      </c>
      <c r="BY313" t="s">
        <v>19996</v>
      </c>
      <c r="CA313" t="s">
        <v>1814</v>
      </c>
      <c r="CB313" t="s">
        <v>333</v>
      </c>
      <c r="CC313" s="8" t="str">
        <f>"70817"</f>
        <v>70817</v>
      </c>
      <c r="CD313" t="s">
        <v>1929</v>
      </c>
      <c r="CE313" t="s">
        <v>1930</v>
      </c>
      <c r="CF313" s="12">
        <v>15.19</v>
      </c>
      <c r="CG313" s="12">
        <v>17</v>
      </c>
      <c r="CH313" s="12">
        <v>22.79</v>
      </c>
      <c r="CI313" s="12">
        <v>25.5</v>
      </c>
      <c r="CJ313" t="s">
        <v>135</v>
      </c>
      <c r="CK313" t="s">
        <v>132</v>
      </c>
      <c r="CL313" t="s">
        <v>19997</v>
      </c>
      <c r="CO313" t="s">
        <v>132</v>
      </c>
      <c r="CP313" t="s">
        <v>136</v>
      </c>
      <c r="CQ313" t="s">
        <v>136</v>
      </c>
      <c r="CR313" t="s">
        <v>136</v>
      </c>
      <c r="CS313" t="s">
        <v>136</v>
      </c>
      <c r="CT313" t="s">
        <v>136</v>
      </c>
      <c r="CU313" t="s">
        <v>136</v>
      </c>
      <c r="CV313" t="s">
        <v>19998</v>
      </c>
      <c r="CW313" s="10" t="str">
        <f>"+12254453415"</f>
        <v>+12254453415</v>
      </c>
      <c r="CX313" t="s">
        <v>132</v>
      </c>
      <c r="CY313" t="s">
        <v>4900</v>
      </c>
      <c r="CZ313" t="s">
        <v>137</v>
      </c>
      <c r="DA313" t="s">
        <v>114</v>
      </c>
      <c r="DB313" t="s">
        <v>114</v>
      </c>
      <c r="DC313" t="s">
        <v>136</v>
      </c>
      <c r="DD313" t="s">
        <v>114</v>
      </c>
    </row>
    <row r="314" spans="1:113" ht="15" customHeight="1" x14ac:dyDescent="0.25">
      <c r="A314" t="s">
        <v>24156</v>
      </c>
      <c r="B314" t="s">
        <v>152</v>
      </c>
      <c r="C314" s="1">
        <v>45247.38806597222</v>
      </c>
      <c r="D314" s="1">
        <v>45278</v>
      </c>
      <c r="E314" t="s">
        <v>132</v>
      </c>
      <c r="F314" t="s">
        <v>1595</v>
      </c>
      <c r="G314" t="str">
        <f>"37-3011.00"</f>
        <v>37-3011.00</v>
      </c>
      <c r="H314" t="s">
        <v>429</v>
      </c>
      <c r="I314">
        <v>4</v>
      </c>
      <c r="J314">
        <v>4</v>
      </c>
      <c r="K314" s="1">
        <v>45337</v>
      </c>
      <c r="L314" s="1">
        <v>45610</v>
      </c>
      <c r="M314" s="1">
        <v>45337</v>
      </c>
      <c r="N314" s="1">
        <v>45610</v>
      </c>
      <c r="O314" t="s">
        <v>238</v>
      </c>
      <c r="P314" t="s">
        <v>24157</v>
      </c>
      <c r="R314" t="s">
        <v>24158</v>
      </c>
      <c r="S314" t="s">
        <v>24159</v>
      </c>
      <c r="T314" t="s">
        <v>7415</v>
      </c>
      <c r="U314" t="s">
        <v>127</v>
      </c>
      <c r="V314" s="8" t="str">
        <f>"75009"</f>
        <v>75009</v>
      </c>
      <c r="W314" t="s">
        <v>118</v>
      </c>
      <c r="Y314" s="10">
        <v>12142938520</v>
      </c>
      <c r="AA314">
        <v>56173</v>
      </c>
      <c r="AB314" t="s">
        <v>13744</v>
      </c>
      <c r="AC314" t="s">
        <v>3412</v>
      </c>
      <c r="AE314" t="s">
        <v>561</v>
      </c>
      <c r="AF314" t="s">
        <v>24158</v>
      </c>
      <c r="AG314" t="s">
        <v>24159</v>
      </c>
      <c r="AH314" t="s">
        <v>7415</v>
      </c>
      <c r="AI314" t="s">
        <v>127</v>
      </c>
      <c r="AJ314" s="8" t="str">
        <f>"75009"</f>
        <v>75009</v>
      </c>
      <c r="AK314" t="s">
        <v>118</v>
      </c>
      <c r="AM314" s="10">
        <v>12142938520</v>
      </c>
      <c r="AO314" t="s">
        <v>24160</v>
      </c>
      <c r="AP314" t="s">
        <v>248</v>
      </c>
      <c r="AQ314" t="s">
        <v>3017</v>
      </c>
      <c r="AR314" t="s">
        <v>3018</v>
      </c>
      <c r="AT314" t="s">
        <v>3371</v>
      </c>
      <c r="AV314" t="s">
        <v>1168</v>
      </c>
      <c r="AW314" t="s">
        <v>127</v>
      </c>
      <c r="AX314" s="8" t="str">
        <f>"75098"</f>
        <v>75098</v>
      </c>
      <c r="AY314" t="s">
        <v>118</v>
      </c>
      <c r="BA314" s="10">
        <v>19724424244</v>
      </c>
      <c r="BC314" t="s">
        <v>3372</v>
      </c>
      <c r="BD314" t="s">
        <v>3021</v>
      </c>
      <c r="BG314" t="s">
        <v>127</v>
      </c>
      <c r="BH314" s="1">
        <v>45246.791666666664</v>
      </c>
      <c r="BI314">
        <v>40</v>
      </c>
      <c r="BJ314">
        <v>0</v>
      </c>
      <c r="BK314">
        <v>8</v>
      </c>
      <c r="BL314">
        <v>8</v>
      </c>
      <c r="BM314">
        <v>8</v>
      </c>
      <c r="BN314">
        <v>8</v>
      </c>
      <c r="BO314">
        <v>8</v>
      </c>
      <c r="BP314">
        <v>0</v>
      </c>
      <c r="BQ314" t="str">
        <f>"8:00 AM"</f>
        <v>8:00 AM</v>
      </c>
      <c r="BR314" t="str">
        <f>"3:30 PM"</f>
        <v>3:30 PM</v>
      </c>
      <c r="BS314" t="s">
        <v>131</v>
      </c>
      <c r="BT314">
        <v>0</v>
      </c>
      <c r="BU314">
        <v>0</v>
      </c>
      <c r="BV314" t="s">
        <v>114</v>
      </c>
      <c r="BX314" t="s">
        <v>131</v>
      </c>
      <c r="BY314" t="s">
        <v>24158</v>
      </c>
      <c r="CA314" t="s">
        <v>7415</v>
      </c>
      <c r="CB314" t="s">
        <v>127</v>
      </c>
      <c r="CC314" s="8" t="str">
        <f>"75009"</f>
        <v>75009</v>
      </c>
      <c r="CD314" t="s">
        <v>1177</v>
      </c>
      <c r="CE314" t="s">
        <v>263</v>
      </c>
      <c r="CF314" s="12">
        <v>16.86</v>
      </c>
      <c r="CG314" s="12">
        <v>18.86</v>
      </c>
      <c r="CH314" s="12">
        <v>25.29</v>
      </c>
      <c r="CI314" s="12">
        <v>28.29</v>
      </c>
      <c r="CJ314" t="s">
        <v>135</v>
      </c>
      <c r="CK314" t="s">
        <v>132</v>
      </c>
      <c r="CL314" t="s">
        <v>24161</v>
      </c>
      <c r="CO314" t="s">
        <v>132</v>
      </c>
      <c r="CP314" t="s">
        <v>136</v>
      </c>
      <c r="CQ314" t="s">
        <v>136</v>
      </c>
      <c r="CR314" t="s">
        <v>136</v>
      </c>
      <c r="CS314" t="s">
        <v>136</v>
      </c>
      <c r="CT314" t="s">
        <v>136</v>
      </c>
      <c r="CU314" t="s">
        <v>136</v>
      </c>
      <c r="CV314" t="s">
        <v>7774</v>
      </c>
      <c r="CW314" s="10" t="str">
        <f>"+12142938520"</f>
        <v>+12142938520</v>
      </c>
      <c r="CX314" t="s">
        <v>132</v>
      </c>
      <c r="CY314" t="s">
        <v>3190</v>
      </c>
      <c r="CZ314" t="s">
        <v>137</v>
      </c>
      <c r="DA314" t="s">
        <v>114</v>
      </c>
      <c r="DB314" t="s">
        <v>114</v>
      </c>
      <c r="DC314" t="s">
        <v>136</v>
      </c>
      <c r="DD314" t="s">
        <v>114</v>
      </c>
    </row>
    <row r="315" spans="1:113" ht="15" customHeight="1" x14ac:dyDescent="0.25">
      <c r="A315" t="s">
        <v>7766</v>
      </c>
      <c r="B315" t="s">
        <v>152</v>
      </c>
      <c r="C315" s="1">
        <v>45247.387015277774</v>
      </c>
      <c r="D315" s="1">
        <v>45278</v>
      </c>
      <c r="E315" t="s">
        <v>132</v>
      </c>
      <c r="F315" t="s">
        <v>2146</v>
      </c>
      <c r="G315" t="str">
        <f>"47-2061.00"</f>
        <v>47-2061.00</v>
      </c>
      <c r="H315" t="s">
        <v>570</v>
      </c>
      <c r="I315">
        <v>6</v>
      </c>
      <c r="J315">
        <v>6</v>
      </c>
      <c r="K315" s="1">
        <v>45337</v>
      </c>
      <c r="L315" s="1">
        <v>45611</v>
      </c>
      <c r="M315" s="1">
        <v>45337</v>
      </c>
      <c r="N315" s="1">
        <v>45611</v>
      </c>
      <c r="O315" t="s">
        <v>238</v>
      </c>
      <c r="P315" t="s">
        <v>7767</v>
      </c>
      <c r="R315" t="s">
        <v>7768</v>
      </c>
      <c r="T315" t="s">
        <v>126</v>
      </c>
      <c r="U315" t="s">
        <v>127</v>
      </c>
      <c r="V315" s="8" t="str">
        <f>"78232"</f>
        <v>78232</v>
      </c>
      <c r="W315" t="s">
        <v>118</v>
      </c>
      <c r="Y315" s="10">
        <v>15123314484</v>
      </c>
      <c r="AA315">
        <v>236220</v>
      </c>
      <c r="AB315" t="s">
        <v>7769</v>
      </c>
      <c r="AC315" t="s">
        <v>4170</v>
      </c>
      <c r="AE315" t="s">
        <v>629</v>
      </c>
      <c r="AF315" t="s">
        <v>7770</v>
      </c>
      <c r="AH315" t="s">
        <v>7771</v>
      </c>
      <c r="AI315" t="s">
        <v>127</v>
      </c>
      <c r="AJ315" s="8" t="str">
        <f>"78613"</f>
        <v>78613</v>
      </c>
      <c r="AK315" t="s">
        <v>118</v>
      </c>
      <c r="AM315" s="10">
        <v>15123314484</v>
      </c>
      <c r="AO315" t="s">
        <v>7772</v>
      </c>
      <c r="AP315" t="s">
        <v>248</v>
      </c>
      <c r="AQ315" t="s">
        <v>3017</v>
      </c>
      <c r="AR315" t="s">
        <v>3018</v>
      </c>
      <c r="AS315" t="s">
        <v>631</v>
      </c>
      <c r="AT315" t="s">
        <v>3371</v>
      </c>
      <c r="AV315" t="s">
        <v>1168</v>
      </c>
      <c r="AW315" t="s">
        <v>127</v>
      </c>
      <c r="AX315" s="8" t="str">
        <f>"75098"</f>
        <v>75098</v>
      </c>
      <c r="AY315" t="s">
        <v>118</v>
      </c>
      <c r="BA315" s="10">
        <v>19724424244</v>
      </c>
      <c r="BC315" t="s">
        <v>3372</v>
      </c>
      <c r="BD315" t="s">
        <v>3021</v>
      </c>
      <c r="BG315" t="s">
        <v>127</v>
      </c>
      <c r="BH315" s="1">
        <v>45246.791666666664</v>
      </c>
      <c r="BI315">
        <v>40</v>
      </c>
      <c r="BJ315">
        <v>0</v>
      </c>
      <c r="BK315">
        <v>8</v>
      </c>
      <c r="BL315">
        <v>8</v>
      </c>
      <c r="BM315">
        <v>8</v>
      </c>
      <c r="BN315">
        <v>8</v>
      </c>
      <c r="BO315">
        <v>8</v>
      </c>
      <c r="BP315">
        <v>0</v>
      </c>
      <c r="BQ315" t="str">
        <f>"7:00 AM"</f>
        <v>7:00 AM</v>
      </c>
      <c r="BR315" t="str">
        <f>"4:00 PM"</f>
        <v>4:00 PM</v>
      </c>
      <c r="BS315" t="s">
        <v>131</v>
      </c>
      <c r="BT315">
        <v>0</v>
      </c>
      <c r="BU315">
        <v>0</v>
      </c>
      <c r="BV315" t="s">
        <v>114</v>
      </c>
      <c r="BX315" t="s">
        <v>131</v>
      </c>
      <c r="BY315" t="s">
        <v>7768</v>
      </c>
      <c r="CA315" t="s">
        <v>126</v>
      </c>
      <c r="CB315" t="s">
        <v>127</v>
      </c>
      <c r="CC315" s="8" t="str">
        <f>"78232"</f>
        <v>78232</v>
      </c>
      <c r="CD315" t="s">
        <v>1941</v>
      </c>
      <c r="CE315" t="s">
        <v>1287</v>
      </c>
      <c r="CF315" s="12">
        <v>18.149999999999999</v>
      </c>
      <c r="CG315" s="12">
        <v>20.149999999999999</v>
      </c>
      <c r="CH315" s="12">
        <v>27.23</v>
      </c>
      <c r="CI315" s="12">
        <v>30.23</v>
      </c>
      <c r="CJ315" t="s">
        <v>135</v>
      </c>
      <c r="CK315" t="s">
        <v>132</v>
      </c>
      <c r="CL315" t="s">
        <v>7773</v>
      </c>
      <c r="CO315" t="s">
        <v>132</v>
      </c>
      <c r="CP315" t="s">
        <v>136</v>
      </c>
      <c r="CQ315" t="s">
        <v>136</v>
      </c>
      <c r="CR315" t="s">
        <v>136</v>
      </c>
      <c r="CS315" t="s">
        <v>136</v>
      </c>
      <c r="CT315" t="s">
        <v>136</v>
      </c>
      <c r="CU315" t="s">
        <v>136</v>
      </c>
      <c r="CV315" t="s">
        <v>7774</v>
      </c>
      <c r="CW315" s="10" t="str">
        <f>"+15123314484"</f>
        <v>+15123314484</v>
      </c>
      <c r="CX315" t="s">
        <v>132</v>
      </c>
      <c r="CY315" t="s">
        <v>3190</v>
      </c>
      <c r="CZ315" t="s">
        <v>137</v>
      </c>
      <c r="DA315" t="s">
        <v>114</v>
      </c>
      <c r="DB315" t="s">
        <v>114</v>
      </c>
      <c r="DC315" t="s">
        <v>136</v>
      </c>
      <c r="DD315" t="s">
        <v>114</v>
      </c>
    </row>
    <row r="316" spans="1:113" ht="15" customHeight="1" x14ac:dyDescent="0.25">
      <c r="A316" t="s">
        <v>9847</v>
      </c>
      <c r="B316" t="s">
        <v>152</v>
      </c>
      <c r="C316" s="1">
        <v>45247.386092361114</v>
      </c>
      <c r="D316" s="1">
        <v>45278</v>
      </c>
      <c r="E316" t="s">
        <v>132</v>
      </c>
      <c r="F316" t="s">
        <v>2146</v>
      </c>
      <c r="G316" t="str">
        <f>"47-2061.00"</f>
        <v>47-2061.00</v>
      </c>
      <c r="H316" t="s">
        <v>570</v>
      </c>
      <c r="I316">
        <v>6</v>
      </c>
      <c r="J316">
        <v>6</v>
      </c>
      <c r="K316" s="1">
        <v>45337</v>
      </c>
      <c r="L316" s="1">
        <v>45611</v>
      </c>
      <c r="M316" s="1">
        <v>45337</v>
      </c>
      <c r="N316" s="1">
        <v>45611</v>
      </c>
      <c r="O316" t="s">
        <v>116</v>
      </c>
      <c r="P316" t="s">
        <v>7767</v>
      </c>
      <c r="R316" t="s">
        <v>7770</v>
      </c>
      <c r="T316" t="s">
        <v>7771</v>
      </c>
      <c r="U316" t="s">
        <v>127</v>
      </c>
      <c r="V316" s="8" t="str">
        <f>"78613"</f>
        <v>78613</v>
      </c>
      <c r="W316" t="s">
        <v>118</v>
      </c>
      <c r="Y316" s="10">
        <v>15123314484</v>
      </c>
      <c r="AA316">
        <v>236220</v>
      </c>
      <c r="AB316" t="s">
        <v>9848</v>
      </c>
      <c r="AC316" t="s">
        <v>4170</v>
      </c>
      <c r="AE316" t="s">
        <v>629</v>
      </c>
      <c r="AF316" t="s">
        <v>7770</v>
      </c>
      <c r="AH316" t="s">
        <v>7771</v>
      </c>
      <c r="AI316" t="s">
        <v>127</v>
      </c>
      <c r="AJ316" s="8" t="str">
        <f>"78613"</f>
        <v>78613</v>
      </c>
      <c r="AK316" t="s">
        <v>118</v>
      </c>
      <c r="AM316" s="10">
        <v>15123314484</v>
      </c>
      <c r="AO316" t="s">
        <v>7772</v>
      </c>
      <c r="AP316" t="s">
        <v>248</v>
      </c>
      <c r="AQ316" t="s">
        <v>3017</v>
      </c>
      <c r="AR316" t="s">
        <v>3018</v>
      </c>
      <c r="AS316" t="s">
        <v>631</v>
      </c>
      <c r="AT316" t="s">
        <v>3371</v>
      </c>
      <c r="AV316" t="s">
        <v>1168</v>
      </c>
      <c r="AW316" t="s">
        <v>127</v>
      </c>
      <c r="AX316" s="8" t="str">
        <f>"75098"</f>
        <v>75098</v>
      </c>
      <c r="AY316" t="s">
        <v>118</v>
      </c>
      <c r="BA316" s="10">
        <v>19724424244</v>
      </c>
      <c r="BC316" t="s">
        <v>3372</v>
      </c>
      <c r="BD316" t="s">
        <v>3021</v>
      </c>
      <c r="BG316" t="s">
        <v>127</v>
      </c>
      <c r="BH316" s="1">
        <v>45246.791666666664</v>
      </c>
      <c r="BI316">
        <v>40</v>
      </c>
      <c r="BJ316">
        <v>0</v>
      </c>
      <c r="BK316">
        <v>8</v>
      </c>
      <c r="BL316">
        <v>8</v>
      </c>
      <c r="BM316">
        <v>8</v>
      </c>
      <c r="BN316">
        <v>8</v>
      </c>
      <c r="BO316">
        <v>8</v>
      </c>
      <c r="BP316">
        <v>0</v>
      </c>
      <c r="BQ316" t="str">
        <f>"7:00 AM"</f>
        <v>7:00 AM</v>
      </c>
      <c r="BR316" t="str">
        <f>"4:00 PM"</f>
        <v>4:00 PM</v>
      </c>
      <c r="BS316" t="s">
        <v>131</v>
      </c>
      <c r="BT316">
        <v>0</v>
      </c>
      <c r="BU316">
        <v>0</v>
      </c>
      <c r="BV316" t="s">
        <v>114</v>
      </c>
      <c r="BX316" t="s">
        <v>131</v>
      </c>
      <c r="BY316" t="s">
        <v>7770</v>
      </c>
      <c r="CA316" t="s">
        <v>7771</v>
      </c>
      <c r="CB316" t="s">
        <v>127</v>
      </c>
      <c r="CC316" s="8" t="str">
        <f>"78613"</f>
        <v>78613</v>
      </c>
      <c r="CD316" t="s">
        <v>3147</v>
      </c>
      <c r="CE316" t="s">
        <v>324</v>
      </c>
      <c r="CF316" s="12">
        <v>19.04</v>
      </c>
      <c r="CG316" s="12">
        <v>21.04</v>
      </c>
      <c r="CH316" s="12">
        <v>28.56</v>
      </c>
      <c r="CI316" s="12">
        <v>31.56</v>
      </c>
      <c r="CJ316" t="s">
        <v>135</v>
      </c>
      <c r="CK316" t="s">
        <v>132</v>
      </c>
      <c r="CL316" t="s">
        <v>9849</v>
      </c>
      <c r="CO316" t="s">
        <v>132</v>
      </c>
      <c r="CP316" t="s">
        <v>136</v>
      </c>
      <c r="CQ316" t="s">
        <v>136</v>
      </c>
      <c r="CR316" t="s">
        <v>136</v>
      </c>
      <c r="CS316" t="s">
        <v>136</v>
      </c>
      <c r="CT316" t="s">
        <v>136</v>
      </c>
      <c r="CU316" t="s">
        <v>136</v>
      </c>
      <c r="CV316" t="s">
        <v>9850</v>
      </c>
      <c r="CW316" s="10" t="str">
        <f>"+15123314484"</f>
        <v>+15123314484</v>
      </c>
      <c r="CX316" t="s">
        <v>132</v>
      </c>
      <c r="CY316" t="s">
        <v>3190</v>
      </c>
      <c r="CZ316" t="s">
        <v>137</v>
      </c>
      <c r="DA316" t="s">
        <v>114</v>
      </c>
      <c r="DB316" t="s">
        <v>114</v>
      </c>
      <c r="DC316" t="s">
        <v>136</v>
      </c>
      <c r="DD316" t="s">
        <v>114</v>
      </c>
    </row>
    <row r="317" spans="1:113" ht="15" customHeight="1" x14ac:dyDescent="0.25">
      <c r="A317" t="s">
        <v>18769</v>
      </c>
      <c r="B317" t="s">
        <v>152</v>
      </c>
      <c r="C317" s="1">
        <v>45247.384699421294</v>
      </c>
      <c r="D317" s="1">
        <v>45278</v>
      </c>
      <c r="E317" t="s">
        <v>132</v>
      </c>
      <c r="F317" t="s">
        <v>1595</v>
      </c>
      <c r="G317" t="str">
        <f>"37-3011.00"</f>
        <v>37-3011.00</v>
      </c>
      <c r="H317" t="s">
        <v>429</v>
      </c>
      <c r="I317">
        <v>20</v>
      </c>
      <c r="J317">
        <v>20</v>
      </c>
      <c r="K317" s="1">
        <v>45337</v>
      </c>
      <c r="L317" s="1">
        <v>45611</v>
      </c>
      <c r="M317" s="1">
        <v>45337</v>
      </c>
      <c r="N317" s="1">
        <v>45611</v>
      </c>
      <c r="O317" t="s">
        <v>238</v>
      </c>
      <c r="P317" t="s">
        <v>17569</v>
      </c>
      <c r="Q317" t="s">
        <v>17570</v>
      </c>
      <c r="R317" t="s">
        <v>17571</v>
      </c>
      <c r="T317" t="s">
        <v>17572</v>
      </c>
      <c r="U317" t="s">
        <v>1598</v>
      </c>
      <c r="V317" s="8" t="str">
        <f>"36804"</f>
        <v>36804</v>
      </c>
      <c r="W317" t="s">
        <v>118</v>
      </c>
      <c r="Y317" s="10">
        <v>13347496565</v>
      </c>
      <c r="AA317">
        <v>56173</v>
      </c>
      <c r="AB317" t="s">
        <v>13890</v>
      </c>
      <c r="AC317" t="s">
        <v>17573</v>
      </c>
      <c r="AE317" t="s">
        <v>629</v>
      </c>
      <c r="AF317" t="s">
        <v>17571</v>
      </c>
      <c r="AH317" t="s">
        <v>17572</v>
      </c>
      <c r="AI317" t="s">
        <v>1598</v>
      </c>
      <c r="AJ317" s="8" t="str">
        <f>"36804"</f>
        <v>36804</v>
      </c>
      <c r="AK317" t="s">
        <v>118</v>
      </c>
      <c r="AM317" s="10">
        <v>13347496565</v>
      </c>
      <c r="AO317" t="s">
        <v>17574</v>
      </c>
      <c r="AP317" t="s">
        <v>121</v>
      </c>
      <c r="AQ317" t="s">
        <v>1771</v>
      </c>
      <c r="AR317" t="s">
        <v>1772</v>
      </c>
      <c r="AS317" t="s">
        <v>1410</v>
      </c>
      <c r="AT317" t="s">
        <v>1773</v>
      </c>
      <c r="AU317" t="s">
        <v>1774</v>
      </c>
      <c r="AV317" t="s">
        <v>1775</v>
      </c>
      <c r="AW317" t="s">
        <v>1776</v>
      </c>
      <c r="AX317" s="8" t="str">
        <f>"08034"</f>
        <v>08034</v>
      </c>
      <c r="AY317" t="s">
        <v>118</v>
      </c>
      <c r="AZ317" t="s">
        <v>1777</v>
      </c>
      <c r="BA317" s="10">
        <v>18562819750</v>
      </c>
      <c r="BC317" t="s">
        <v>1778</v>
      </c>
      <c r="BD317" t="s">
        <v>1779</v>
      </c>
      <c r="BE317" t="s">
        <v>1776</v>
      </c>
      <c r="BF317" t="s">
        <v>1780</v>
      </c>
      <c r="BG317" t="s">
        <v>140</v>
      </c>
      <c r="BH317" s="1">
        <v>45165.833333333336</v>
      </c>
      <c r="BI317">
        <v>40</v>
      </c>
      <c r="BJ317">
        <v>0</v>
      </c>
      <c r="BK317">
        <v>8</v>
      </c>
      <c r="BL317">
        <v>8</v>
      </c>
      <c r="BM317">
        <v>8</v>
      </c>
      <c r="BN317">
        <v>8</v>
      </c>
      <c r="BO317">
        <v>8</v>
      </c>
      <c r="BP317">
        <v>0</v>
      </c>
      <c r="BQ317" t="str">
        <f>"7:00 AM"</f>
        <v>7:00 AM</v>
      </c>
      <c r="BR317" t="str">
        <f>"4:00 PM"</f>
        <v>4:00 PM</v>
      </c>
      <c r="BS317" t="s">
        <v>131</v>
      </c>
      <c r="BT317">
        <v>0</v>
      </c>
      <c r="BU317">
        <v>3</v>
      </c>
      <c r="BV317" t="s">
        <v>114</v>
      </c>
      <c r="BX317" s="2" t="s">
        <v>17575</v>
      </c>
      <c r="BY317" t="s">
        <v>18770</v>
      </c>
      <c r="CA317" t="s">
        <v>9277</v>
      </c>
      <c r="CB317" t="s">
        <v>140</v>
      </c>
      <c r="CC317" s="8" t="str">
        <f>"32439"</f>
        <v>32439</v>
      </c>
      <c r="CD317" t="s">
        <v>3313</v>
      </c>
      <c r="CE317" t="s">
        <v>3314</v>
      </c>
      <c r="CF317" s="12">
        <v>16.25</v>
      </c>
      <c r="CG317" s="12">
        <v>16.25</v>
      </c>
      <c r="CH317" s="12">
        <v>24.38</v>
      </c>
      <c r="CI317" s="12">
        <v>24.38</v>
      </c>
      <c r="CJ317" t="s">
        <v>135</v>
      </c>
      <c r="CK317" t="s">
        <v>1782</v>
      </c>
      <c r="CL317" t="s">
        <v>18771</v>
      </c>
      <c r="CO317" t="s">
        <v>132</v>
      </c>
      <c r="CP317" t="s">
        <v>136</v>
      </c>
      <c r="CQ317" t="s">
        <v>136</v>
      </c>
      <c r="CR317" t="s">
        <v>136</v>
      </c>
      <c r="CS317" t="s">
        <v>136</v>
      </c>
      <c r="CT317" t="s">
        <v>136</v>
      </c>
      <c r="CU317" t="s">
        <v>136</v>
      </c>
      <c r="CV317" t="s">
        <v>18772</v>
      </c>
      <c r="CW317" s="10" t="str">
        <f>"+13347496565"</f>
        <v>+13347496565</v>
      </c>
      <c r="CX317" t="s">
        <v>17574</v>
      </c>
      <c r="CY317" t="s">
        <v>132</v>
      </c>
      <c r="CZ317" t="s">
        <v>137</v>
      </c>
      <c r="DA317" t="s">
        <v>114</v>
      </c>
      <c r="DB317" t="s">
        <v>136</v>
      </c>
      <c r="DC317" t="s">
        <v>136</v>
      </c>
      <c r="DD317" t="s">
        <v>114</v>
      </c>
    </row>
    <row r="318" spans="1:113" ht="15" customHeight="1" x14ac:dyDescent="0.25">
      <c r="A318" t="s">
        <v>7358</v>
      </c>
      <c r="B318" t="s">
        <v>152</v>
      </c>
      <c r="C318" s="1">
        <v>45247.384615393516</v>
      </c>
      <c r="D318" s="1">
        <v>45278</v>
      </c>
      <c r="E318" t="s">
        <v>132</v>
      </c>
      <c r="F318" t="s">
        <v>1595</v>
      </c>
      <c r="G318" t="str">
        <f>"37-3011.00"</f>
        <v>37-3011.00</v>
      </c>
      <c r="H318" t="s">
        <v>429</v>
      </c>
      <c r="I318">
        <v>25</v>
      </c>
      <c r="J318">
        <v>25</v>
      </c>
      <c r="K318" s="1">
        <v>45337</v>
      </c>
      <c r="L318" s="1">
        <v>45611</v>
      </c>
      <c r="M318" s="1">
        <v>45337</v>
      </c>
      <c r="N318" s="1">
        <v>45611</v>
      </c>
      <c r="O318" t="s">
        <v>116</v>
      </c>
      <c r="P318" t="s">
        <v>7294</v>
      </c>
      <c r="R318" t="s">
        <v>7295</v>
      </c>
      <c r="S318" t="s">
        <v>7296</v>
      </c>
      <c r="T318" t="s">
        <v>985</v>
      </c>
      <c r="U318" t="s">
        <v>127</v>
      </c>
      <c r="V318" s="8" t="str">
        <f>"75002"</f>
        <v>75002</v>
      </c>
      <c r="W318" t="s">
        <v>118</v>
      </c>
      <c r="Y318" s="10">
        <v>19725160001</v>
      </c>
      <c r="AA318">
        <v>56173</v>
      </c>
      <c r="AB318" t="s">
        <v>7297</v>
      </c>
      <c r="AC318" t="s">
        <v>7298</v>
      </c>
      <c r="AE318" t="s">
        <v>629</v>
      </c>
      <c r="AF318" t="s">
        <v>7295</v>
      </c>
      <c r="AG318" t="s">
        <v>7296</v>
      </c>
      <c r="AH318" t="s">
        <v>985</v>
      </c>
      <c r="AI318" t="s">
        <v>127</v>
      </c>
      <c r="AJ318" s="8" t="str">
        <f>"75002"</f>
        <v>75002</v>
      </c>
      <c r="AK318" t="s">
        <v>118</v>
      </c>
      <c r="AM318" s="10">
        <v>19725160001</v>
      </c>
      <c r="AO318" t="s">
        <v>7299</v>
      </c>
      <c r="AP318" t="s">
        <v>248</v>
      </c>
      <c r="AQ318" t="s">
        <v>3017</v>
      </c>
      <c r="AR318" t="s">
        <v>3018</v>
      </c>
      <c r="AS318" t="s">
        <v>631</v>
      </c>
      <c r="AT318" t="s">
        <v>3371</v>
      </c>
      <c r="AV318" t="s">
        <v>1168</v>
      </c>
      <c r="AW318" t="s">
        <v>127</v>
      </c>
      <c r="AX318" s="8" t="str">
        <f>"75098"</f>
        <v>75098</v>
      </c>
      <c r="AY318" t="s">
        <v>118</v>
      </c>
      <c r="BA318" s="10">
        <v>19724424244</v>
      </c>
      <c r="BC318" t="s">
        <v>3372</v>
      </c>
      <c r="BD318" t="s">
        <v>3021</v>
      </c>
      <c r="BG318" t="s">
        <v>127</v>
      </c>
      <c r="BH318" s="1">
        <v>45246.791666666664</v>
      </c>
      <c r="BI318">
        <v>40</v>
      </c>
      <c r="BJ318">
        <v>0</v>
      </c>
      <c r="BK318">
        <v>8</v>
      </c>
      <c r="BL318">
        <v>8</v>
      </c>
      <c r="BM318">
        <v>8</v>
      </c>
      <c r="BN318">
        <v>8</v>
      </c>
      <c r="BO318">
        <v>8</v>
      </c>
      <c r="BP318">
        <v>0</v>
      </c>
      <c r="BQ318" t="str">
        <f>"7:00 AM"</f>
        <v>7:00 AM</v>
      </c>
      <c r="BR318" t="str">
        <f>"7:00 PM"</f>
        <v>7:00 PM</v>
      </c>
      <c r="BS318" t="s">
        <v>131</v>
      </c>
      <c r="BT318">
        <v>0</v>
      </c>
      <c r="BU318">
        <v>0</v>
      </c>
      <c r="BV318" t="s">
        <v>114</v>
      </c>
      <c r="BX318" t="s">
        <v>1480</v>
      </c>
      <c r="BY318" t="s">
        <v>7300</v>
      </c>
      <c r="CA318" t="s">
        <v>985</v>
      </c>
      <c r="CB318" t="s">
        <v>127</v>
      </c>
      <c r="CC318" s="8" t="str">
        <f>"75002"</f>
        <v>75002</v>
      </c>
      <c r="CD318" t="s">
        <v>1177</v>
      </c>
      <c r="CE318" t="s">
        <v>263</v>
      </c>
      <c r="CF318" s="12">
        <v>16.86</v>
      </c>
      <c r="CG318" s="12">
        <v>24</v>
      </c>
      <c r="CH318" s="12">
        <v>25.29</v>
      </c>
      <c r="CI318" s="12">
        <v>36</v>
      </c>
      <c r="CJ318" t="s">
        <v>135</v>
      </c>
      <c r="CL318" t="s">
        <v>7301</v>
      </c>
      <c r="CO318" t="s">
        <v>132</v>
      </c>
      <c r="CP318" t="s">
        <v>136</v>
      </c>
      <c r="CQ318" t="s">
        <v>136</v>
      </c>
      <c r="CR318" t="s">
        <v>136</v>
      </c>
      <c r="CS318" t="s">
        <v>136</v>
      </c>
      <c r="CT318" t="s">
        <v>136</v>
      </c>
      <c r="CU318" t="s">
        <v>136</v>
      </c>
      <c r="CV318" t="s">
        <v>7359</v>
      </c>
      <c r="CW318" s="10" t="str">
        <f>"+19725160001"</f>
        <v>+19725160001</v>
      </c>
      <c r="CX318" t="s">
        <v>132</v>
      </c>
      <c r="CY318" t="s">
        <v>3190</v>
      </c>
      <c r="CZ318" t="s">
        <v>137</v>
      </c>
      <c r="DA318" t="s">
        <v>114</v>
      </c>
      <c r="DB318" t="s">
        <v>114</v>
      </c>
      <c r="DC318" t="s">
        <v>136</v>
      </c>
      <c r="DD318" t="s">
        <v>114</v>
      </c>
    </row>
    <row r="319" spans="1:113" ht="15" customHeight="1" x14ac:dyDescent="0.25">
      <c r="A319" t="s">
        <v>17568</v>
      </c>
      <c r="B319" t="s">
        <v>152</v>
      </c>
      <c r="C319" s="1">
        <v>45247.383049421296</v>
      </c>
      <c r="D319" s="1">
        <v>45278</v>
      </c>
      <c r="E319" t="s">
        <v>132</v>
      </c>
      <c r="F319" t="s">
        <v>1595</v>
      </c>
      <c r="G319" t="str">
        <f>"37-3011.00"</f>
        <v>37-3011.00</v>
      </c>
      <c r="H319" t="s">
        <v>429</v>
      </c>
      <c r="I319">
        <v>24</v>
      </c>
      <c r="J319">
        <v>24</v>
      </c>
      <c r="K319" s="1">
        <v>45337</v>
      </c>
      <c r="L319" s="1">
        <v>45611</v>
      </c>
      <c r="M319" s="1">
        <v>45337</v>
      </c>
      <c r="N319" s="1">
        <v>45611</v>
      </c>
      <c r="O319" t="s">
        <v>238</v>
      </c>
      <c r="P319" t="s">
        <v>17569</v>
      </c>
      <c r="Q319" t="s">
        <v>17570</v>
      </c>
      <c r="R319" t="s">
        <v>17571</v>
      </c>
      <c r="T319" t="s">
        <v>17572</v>
      </c>
      <c r="U319" t="s">
        <v>1598</v>
      </c>
      <c r="V319" s="8" t="str">
        <f>"36804"</f>
        <v>36804</v>
      </c>
      <c r="W319" t="s">
        <v>118</v>
      </c>
      <c r="Y319" s="10">
        <v>13347496565</v>
      </c>
      <c r="AA319">
        <v>56173</v>
      </c>
      <c r="AB319" t="s">
        <v>13890</v>
      </c>
      <c r="AC319" t="s">
        <v>17573</v>
      </c>
      <c r="AE319" t="s">
        <v>629</v>
      </c>
      <c r="AF319" t="s">
        <v>17571</v>
      </c>
      <c r="AH319" t="s">
        <v>17572</v>
      </c>
      <c r="AI319" t="s">
        <v>1598</v>
      </c>
      <c r="AJ319" s="8" t="str">
        <f>"36804"</f>
        <v>36804</v>
      </c>
      <c r="AK319" t="s">
        <v>118</v>
      </c>
      <c r="AM319" s="10">
        <v>13347496565</v>
      </c>
      <c r="AO319" t="s">
        <v>17574</v>
      </c>
      <c r="AP319" t="s">
        <v>121</v>
      </c>
      <c r="AQ319" t="s">
        <v>1771</v>
      </c>
      <c r="AR319" t="s">
        <v>1772</v>
      </c>
      <c r="AS319" t="s">
        <v>1410</v>
      </c>
      <c r="AT319" t="s">
        <v>1773</v>
      </c>
      <c r="AU319" t="s">
        <v>1774</v>
      </c>
      <c r="AV319" t="s">
        <v>1775</v>
      </c>
      <c r="AW319" t="s">
        <v>1776</v>
      </c>
      <c r="AX319" s="8" t="str">
        <f>"08034"</f>
        <v>08034</v>
      </c>
      <c r="AY319" t="s">
        <v>118</v>
      </c>
      <c r="AZ319" t="s">
        <v>1777</v>
      </c>
      <c r="BA319" s="10">
        <v>18562819750</v>
      </c>
      <c r="BC319" t="s">
        <v>1778</v>
      </c>
      <c r="BD319" t="s">
        <v>1779</v>
      </c>
      <c r="BE319" t="s">
        <v>1776</v>
      </c>
      <c r="BF319" t="s">
        <v>1780</v>
      </c>
      <c r="BG319" t="s">
        <v>1598</v>
      </c>
      <c r="BH319" s="1">
        <v>45165.833333333336</v>
      </c>
      <c r="BI319">
        <v>40</v>
      </c>
      <c r="BJ319">
        <v>0</v>
      </c>
      <c r="BK319">
        <v>8</v>
      </c>
      <c r="BL319">
        <v>8</v>
      </c>
      <c r="BM319">
        <v>8</v>
      </c>
      <c r="BN319">
        <v>8</v>
      </c>
      <c r="BO319">
        <v>8</v>
      </c>
      <c r="BP319">
        <v>0</v>
      </c>
      <c r="BQ319" t="str">
        <f>"7:00 AM"</f>
        <v>7:00 AM</v>
      </c>
      <c r="BR319" t="str">
        <f>"4:00 PM"</f>
        <v>4:00 PM</v>
      </c>
      <c r="BS319" t="s">
        <v>131</v>
      </c>
      <c r="BT319">
        <v>0</v>
      </c>
      <c r="BU319">
        <v>3</v>
      </c>
      <c r="BV319" t="s">
        <v>114</v>
      </c>
      <c r="BX319" s="2" t="s">
        <v>17575</v>
      </c>
      <c r="BY319" t="s">
        <v>17576</v>
      </c>
      <c r="CA319" t="s">
        <v>9509</v>
      </c>
      <c r="CB319" t="s">
        <v>1598</v>
      </c>
      <c r="CC319" s="8" t="str">
        <f>"35043"</f>
        <v>35043</v>
      </c>
      <c r="CD319" t="s">
        <v>1054</v>
      </c>
      <c r="CE319" t="s">
        <v>2413</v>
      </c>
      <c r="CF319" s="12">
        <v>15.7</v>
      </c>
      <c r="CG319" s="12">
        <v>15.7</v>
      </c>
      <c r="CH319" s="12">
        <v>23.55</v>
      </c>
      <c r="CI319" s="12">
        <v>23.55</v>
      </c>
      <c r="CJ319" t="s">
        <v>135</v>
      </c>
      <c r="CK319" t="s">
        <v>1782</v>
      </c>
      <c r="CL319" t="s">
        <v>17577</v>
      </c>
      <c r="CO319" t="s">
        <v>132</v>
      </c>
      <c r="CP319" t="s">
        <v>136</v>
      </c>
      <c r="CQ319" t="s">
        <v>136</v>
      </c>
      <c r="CR319" t="s">
        <v>136</v>
      </c>
      <c r="CS319" t="s">
        <v>136</v>
      </c>
      <c r="CT319" t="s">
        <v>136</v>
      </c>
      <c r="CU319" t="s">
        <v>136</v>
      </c>
      <c r="CV319" t="s">
        <v>17578</v>
      </c>
      <c r="CW319" s="10" t="str">
        <f>"+13347496565"</f>
        <v>+13347496565</v>
      </c>
      <c r="CX319" t="s">
        <v>17574</v>
      </c>
      <c r="CY319" t="s">
        <v>132</v>
      </c>
      <c r="CZ319" t="s">
        <v>137</v>
      </c>
      <c r="DA319" t="s">
        <v>114</v>
      </c>
      <c r="DB319" t="s">
        <v>136</v>
      </c>
      <c r="DC319" t="s">
        <v>136</v>
      </c>
      <c r="DD319" t="s">
        <v>114</v>
      </c>
    </row>
    <row r="320" spans="1:113" ht="15" customHeight="1" x14ac:dyDescent="0.25">
      <c r="A320" t="s">
        <v>20137</v>
      </c>
      <c r="B320" t="s">
        <v>152</v>
      </c>
      <c r="C320" s="1">
        <v>45247.382318518517</v>
      </c>
      <c r="D320" s="1">
        <v>45278</v>
      </c>
      <c r="E320" t="s">
        <v>132</v>
      </c>
      <c r="F320" t="s">
        <v>1595</v>
      </c>
      <c r="G320" t="str">
        <f>"37-3011.00"</f>
        <v>37-3011.00</v>
      </c>
      <c r="H320" t="s">
        <v>429</v>
      </c>
      <c r="I320">
        <v>12</v>
      </c>
      <c r="J320">
        <v>12</v>
      </c>
      <c r="K320" s="1">
        <v>45337</v>
      </c>
      <c r="L320" s="1">
        <v>45611</v>
      </c>
      <c r="M320" s="1">
        <v>45337</v>
      </c>
      <c r="N320" s="1">
        <v>45611</v>
      </c>
      <c r="O320" t="s">
        <v>238</v>
      </c>
      <c r="P320" t="s">
        <v>17569</v>
      </c>
      <c r="Q320" t="s">
        <v>17570</v>
      </c>
      <c r="R320" t="s">
        <v>20138</v>
      </c>
      <c r="T320" t="s">
        <v>17572</v>
      </c>
      <c r="U320" t="s">
        <v>1598</v>
      </c>
      <c r="V320" s="8" t="str">
        <f>"36804"</f>
        <v>36804</v>
      </c>
      <c r="W320" t="s">
        <v>118</v>
      </c>
      <c r="Y320" s="10">
        <v>13347496565</v>
      </c>
      <c r="AA320">
        <v>56173</v>
      </c>
      <c r="AB320" t="s">
        <v>13890</v>
      </c>
      <c r="AC320" t="s">
        <v>17573</v>
      </c>
      <c r="AE320" t="s">
        <v>629</v>
      </c>
      <c r="AF320" t="s">
        <v>20138</v>
      </c>
      <c r="AH320" t="s">
        <v>17572</v>
      </c>
      <c r="AI320" t="s">
        <v>1598</v>
      </c>
      <c r="AJ320" s="8" t="str">
        <f>"36804"</f>
        <v>36804</v>
      </c>
      <c r="AK320" t="s">
        <v>118</v>
      </c>
      <c r="AM320" s="10">
        <v>13347496565</v>
      </c>
      <c r="AO320" t="s">
        <v>17574</v>
      </c>
      <c r="AP320" t="s">
        <v>121</v>
      </c>
      <c r="AQ320" t="s">
        <v>1771</v>
      </c>
      <c r="AR320" t="s">
        <v>1772</v>
      </c>
      <c r="AS320" t="s">
        <v>1410</v>
      </c>
      <c r="AT320" t="s">
        <v>1773</v>
      </c>
      <c r="AU320" t="s">
        <v>1774</v>
      </c>
      <c r="AV320" t="s">
        <v>1775</v>
      </c>
      <c r="AW320" t="s">
        <v>1776</v>
      </c>
      <c r="AX320" s="8" t="str">
        <f>"08034"</f>
        <v>08034</v>
      </c>
      <c r="AY320" t="s">
        <v>118</v>
      </c>
      <c r="AZ320" t="s">
        <v>1777</v>
      </c>
      <c r="BA320" s="10">
        <v>18562819750</v>
      </c>
      <c r="BC320" t="s">
        <v>1778</v>
      </c>
      <c r="BD320" t="s">
        <v>1779</v>
      </c>
      <c r="BE320" t="s">
        <v>1776</v>
      </c>
      <c r="BF320" t="s">
        <v>1780</v>
      </c>
      <c r="BG320" t="s">
        <v>1598</v>
      </c>
      <c r="BH320" s="1">
        <v>45165.833333333336</v>
      </c>
      <c r="BI320">
        <v>40</v>
      </c>
      <c r="BJ320">
        <v>0</v>
      </c>
      <c r="BK320">
        <v>8</v>
      </c>
      <c r="BL320">
        <v>8</v>
      </c>
      <c r="BM320">
        <v>8</v>
      </c>
      <c r="BN320">
        <v>8</v>
      </c>
      <c r="BO320">
        <v>8</v>
      </c>
      <c r="BP320">
        <v>0</v>
      </c>
      <c r="BQ320" t="str">
        <f>"7:00 AM"</f>
        <v>7:00 AM</v>
      </c>
      <c r="BR320" t="str">
        <f>"4:00 PM"</f>
        <v>4:00 PM</v>
      </c>
      <c r="BS320" t="s">
        <v>131</v>
      </c>
      <c r="BT320">
        <v>0</v>
      </c>
      <c r="BU320">
        <v>3</v>
      </c>
      <c r="BV320" t="s">
        <v>114</v>
      </c>
      <c r="BX320" s="2" t="s">
        <v>20139</v>
      </c>
      <c r="BY320" t="s">
        <v>20138</v>
      </c>
      <c r="CA320" t="s">
        <v>17572</v>
      </c>
      <c r="CB320" t="s">
        <v>1598</v>
      </c>
      <c r="CC320" s="8" t="str">
        <f>"36804"</f>
        <v>36804</v>
      </c>
      <c r="CD320" t="s">
        <v>362</v>
      </c>
      <c r="CE320" t="s">
        <v>20140</v>
      </c>
      <c r="CF320" s="12">
        <v>15.78</v>
      </c>
      <c r="CG320" s="12">
        <v>15.78</v>
      </c>
      <c r="CH320" s="12">
        <v>23.67</v>
      </c>
      <c r="CI320" s="12">
        <v>23.67</v>
      </c>
      <c r="CJ320" t="s">
        <v>135</v>
      </c>
      <c r="CK320" t="s">
        <v>1782</v>
      </c>
      <c r="CL320" t="s">
        <v>20141</v>
      </c>
      <c r="CO320" t="s">
        <v>132</v>
      </c>
      <c r="CP320" t="s">
        <v>136</v>
      </c>
      <c r="CQ320" t="s">
        <v>136</v>
      </c>
      <c r="CR320" t="s">
        <v>136</v>
      </c>
      <c r="CS320" t="s">
        <v>136</v>
      </c>
      <c r="CT320" t="s">
        <v>136</v>
      </c>
      <c r="CU320" t="s">
        <v>114</v>
      </c>
      <c r="CV320" t="s">
        <v>132</v>
      </c>
      <c r="CW320" s="10" t="str">
        <f>"+13347496565"</f>
        <v>+13347496565</v>
      </c>
      <c r="CX320" t="s">
        <v>17574</v>
      </c>
      <c r="CY320" t="s">
        <v>132</v>
      </c>
      <c r="CZ320" t="s">
        <v>137</v>
      </c>
      <c r="DA320" t="s">
        <v>114</v>
      </c>
      <c r="DB320" t="s">
        <v>136</v>
      </c>
      <c r="DC320" t="s">
        <v>136</v>
      </c>
      <c r="DD320" t="s">
        <v>114</v>
      </c>
    </row>
    <row r="321" spans="1:108" ht="15" customHeight="1" x14ac:dyDescent="0.25">
      <c r="A321" t="s">
        <v>22936</v>
      </c>
      <c r="B321" t="s">
        <v>152</v>
      </c>
      <c r="C321" s="1">
        <v>45247.381432523151</v>
      </c>
      <c r="D321" s="1">
        <v>45278</v>
      </c>
      <c r="E321" t="s">
        <v>132</v>
      </c>
      <c r="F321" t="s">
        <v>1595</v>
      </c>
      <c r="G321" t="str">
        <f>"37-3011.00"</f>
        <v>37-3011.00</v>
      </c>
      <c r="H321" t="s">
        <v>429</v>
      </c>
      <c r="I321">
        <v>30</v>
      </c>
      <c r="J321">
        <v>30</v>
      </c>
      <c r="K321" s="1">
        <v>45337</v>
      </c>
      <c r="L321" s="1">
        <v>45597</v>
      </c>
      <c r="M321" s="1">
        <v>45337</v>
      </c>
      <c r="N321" s="1">
        <v>45597</v>
      </c>
      <c r="O321" t="s">
        <v>238</v>
      </c>
      <c r="P321" t="s">
        <v>22937</v>
      </c>
      <c r="R321" t="s">
        <v>22938</v>
      </c>
      <c r="T321" t="s">
        <v>13635</v>
      </c>
      <c r="U321" t="s">
        <v>984</v>
      </c>
      <c r="V321" s="8" t="str">
        <f>"63021"</f>
        <v>63021</v>
      </c>
      <c r="W321" t="s">
        <v>118</v>
      </c>
      <c r="Y321" s="10">
        <v>16368876155</v>
      </c>
      <c r="AA321">
        <v>56173</v>
      </c>
      <c r="AB321" t="s">
        <v>22939</v>
      </c>
      <c r="AC321" t="s">
        <v>22940</v>
      </c>
      <c r="AE321" t="s">
        <v>2372</v>
      </c>
      <c r="AF321" t="s">
        <v>22938</v>
      </c>
      <c r="AH321" t="s">
        <v>13635</v>
      </c>
      <c r="AI321" t="s">
        <v>984</v>
      </c>
      <c r="AJ321" s="8" t="str">
        <f>"63021"</f>
        <v>63021</v>
      </c>
      <c r="AK321" t="s">
        <v>118</v>
      </c>
      <c r="AM321" s="10">
        <v>16368876155</v>
      </c>
      <c r="AO321" t="s">
        <v>22941</v>
      </c>
      <c r="AP321" t="s">
        <v>248</v>
      </c>
      <c r="AQ321" t="s">
        <v>3017</v>
      </c>
      <c r="AR321" t="s">
        <v>3018</v>
      </c>
      <c r="AS321" t="s">
        <v>631</v>
      </c>
      <c r="AT321" t="s">
        <v>3371</v>
      </c>
      <c r="AV321" t="s">
        <v>1168</v>
      </c>
      <c r="AW321" t="s">
        <v>127</v>
      </c>
      <c r="AX321" s="8" t="str">
        <f>"75098"</f>
        <v>75098</v>
      </c>
      <c r="AY321" t="s">
        <v>118</v>
      </c>
      <c r="BA321" s="10">
        <v>19724424244</v>
      </c>
      <c r="BC321" t="s">
        <v>3372</v>
      </c>
      <c r="BD321" t="s">
        <v>3021</v>
      </c>
      <c r="BG321" t="s">
        <v>984</v>
      </c>
      <c r="BH321" s="1">
        <v>45246.791666666664</v>
      </c>
      <c r="BI321">
        <v>40</v>
      </c>
      <c r="BJ321">
        <v>0</v>
      </c>
      <c r="BK321">
        <v>8</v>
      </c>
      <c r="BL321">
        <v>8</v>
      </c>
      <c r="BM321">
        <v>8</v>
      </c>
      <c r="BN321">
        <v>8</v>
      </c>
      <c r="BO321">
        <v>8</v>
      </c>
      <c r="BP321">
        <v>0</v>
      </c>
      <c r="BQ321" t="str">
        <f>"7:00 AM"</f>
        <v>7:00 AM</v>
      </c>
      <c r="BR321" t="str">
        <f>"5:00 PM"</f>
        <v>5:00 PM</v>
      </c>
      <c r="BS321" t="s">
        <v>131</v>
      </c>
      <c r="BT321">
        <v>0</v>
      </c>
      <c r="BU321">
        <v>0</v>
      </c>
      <c r="BV321" t="s">
        <v>114</v>
      </c>
      <c r="BX321" t="s">
        <v>131</v>
      </c>
      <c r="BY321" t="s">
        <v>22942</v>
      </c>
      <c r="CA321" t="s">
        <v>13635</v>
      </c>
      <c r="CB321" t="s">
        <v>984</v>
      </c>
      <c r="CC321" s="8" t="str">
        <f>"63021"</f>
        <v>63021</v>
      </c>
      <c r="CD321" t="s">
        <v>2851</v>
      </c>
      <c r="CE321" t="s">
        <v>1856</v>
      </c>
      <c r="CF321" s="12">
        <v>18.8</v>
      </c>
      <c r="CG321" s="12">
        <v>20.8</v>
      </c>
      <c r="CH321" s="12">
        <v>28.2</v>
      </c>
      <c r="CI321" s="12">
        <v>31.2</v>
      </c>
      <c r="CJ321" t="s">
        <v>135</v>
      </c>
      <c r="CK321" t="s">
        <v>132</v>
      </c>
      <c r="CL321" t="s">
        <v>22943</v>
      </c>
      <c r="CO321" t="s">
        <v>132</v>
      </c>
      <c r="CP321" t="s">
        <v>136</v>
      </c>
      <c r="CQ321" t="s">
        <v>136</v>
      </c>
      <c r="CR321" t="s">
        <v>136</v>
      </c>
      <c r="CS321" t="s">
        <v>136</v>
      </c>
      <c r="CT321" t="s">
        <v>136</v>
      </c>
      <c r="CU321" t="s">
        <v>136</v>
      </c>
      <c r="CV321" t="s">
        <v>22944</v>
      </c>
      <c r="CW321" s="10" t="str">
        <f>"+16368876155"</f>
        <v>+16368876155</v>
      </c>
      <c r="CX321" t="s">
        <v>132</v>
      </c>
      <c r="CY321" t="s">
        <v>1857</v>
      </c>
      <c r="CZ321" t="s">
        <v>137</v>
      </c>
      <c r="DA321" t="s">
        <v>114</v>
      </c>
      <c r="DB321" t="s">
        <v>114</v>
      </c>
      <c r="DC321" t="s">
        <v>136</v>
      </c>
      <c r="DD321" t="s">
        <v>114</v>
      </c>
    </row>
    <row r="322" spans="1:108" ht="15" customHeight="1" x14ac:dyDescent="0.25">
      <c r="A322" t="s">
        <v>24060</v>
      </c>
      <c r="B322" t="s">
        <v>152</v>
      </c>
      <c r="C322" s="1">
        <v>45247.369776967593</v>
      </c>
      <c r="D322" s="1">
        <v>45278</v>
      </c>
      <c r="E322" t="s">
        <v>132</v>
      </c>
      <c r="F322" t="s">
        <v>1595</v>
      </c>
      <c r="G322" t="str">
        <f>"37-3011.00"</f>
        <v>37-3011.00</v>
      </c>
      <c r="H322" t="s">
        <v>429</v>
      </c>
      <c r="I322">
        <v>50</v>
      </c>
      <c r="J322">
        <v>50</v>
      </c>
      <c r="K322" s="1">
        <v>45337</v>
      </c>
      <c r="L322" s="1">
        <v>45610</v>
      </c>
      <c r="M322" s="1">
        <v>45337</v>
      </c>
      <c r="N322" s="1">
        <v>45610</v>
      </c>
      <c r="O322" t="s">
        <v>116</v>
      </c>
      <c r="P322" t="s">
        <v>24061</v>
      </c>
      <c r="R322" t="s">
        <v>24062</v>
      </c>
      <c r="S322" t="s">
        <v>24063</v>
      </c>
      <c r="T322" t="s">
        <v>1814</v>
      </c>
      <c r="U322" t="s">
        <v>333</v>
      </c>
      <c r="V322" s="8" t="str">
        <f>"70817"</f>
        <v>70817</v>
      </c>
      <c r="W322" t="s">
        <v>118</v>
      </c>
      <c r="Y322" s="10">
        <v>12257563905</v>
      </c>
      <c r="AA322">
        <v>56173</v>
      </c>
      <c r="AB322" t="s">
        <v>24064</v>
      </c>
      <c r="AC322" t="s">
        <v>1212</v>
      </c>
      <c r="AE322" t="s">
        <v>561</v>
      </c>
      <c r="AF322" t="s">
        <v>24062</v>
      </c>
      <c r="AG322" t="s">
        <v>24063</v>
      </c>
      <c r="AH322" t="s">
        <v>1814</v>
      </c>
      <c r="AI322" t="s">
        <v>333</v>
      </c>
      <c r="AJ322" s="8" t="str">
        <f>"70817"</f>
        <v>70817</v>
      </c>
      <c r="AK322" t="s">
        <v>118</v>
      </c>
      <c r="AM322" s="10">
        <v>12257563905</v>
      </c>
      <c r="AO322" t="s">
        <v>24065</v>
      </c>
      <c r="AP322" t="s">
        <v>248</v>
      </c>
      <c r="AQ322" t="s">
        <v>3017</v>
      </c>
      <c r="AR322" t="s">
        <v>3018</v>
      </c>
      <c r="AT322" t="s">
        <v>3371</v>
      </c>
      <c r="AV322" t="s">
        <v>1168</v>
      </c>
      <c r="AW322" t="s">
        <v>127</v>
      </c>
      <c r="AX322" s="8" t="str">
        <f>"75098"</f>
        <v>75098</v>
      </c>
      <c r="AY322" t="s">
        <v>118</v>
      </c>
      <c r="BA322" s="10">
        <v>19724424244</v>
      </c>
      <c r="BC322" t="s">
        <v>3372</v>
      </c>
      <c r="BD322" t="s">
        <v>3021</v>
      </c>
      <c r="BG322" t="s">
        <v>333</v>
      </c>
      <c r="BH322" s="1">
        <v>45246.791666666664</v>
      </c>
      <c r="BI322">
        <v>40</v>
      </c>
      <c r="BJ322">
        <v>0</v>
      </c>
      <c r="BK322">
        <v>8</v>
      </c>
      <c r="BL322">
        <v>8</v>
      </c>
      <c r="BM322">
        <v>8</v>
      </c>
      <c r="BN322">
        <v>8</v>
      </c>
      <c r="BO322">
        <v>8</v>
      </c>
      <c r="BP322">
        <v>0</v>
      </c>
      <c r="BQ322" t="str">
        <f>"8:00 AM"</f>
        <v>8:00 AM</v>
      </c>
      <c r="BR322" t="str">
        <f>"5:00 PM"</f>
        <v>5:00 PM</v>
      </c>
      <c r="BS322" t="s">
        <v>131</v>
      </c>
      <c r="BT322">
        <v>0</v>
      </c>
      <c r="BU322">
        <v>0</v>
      </c>
      <c r="BV322" t="s">
        <v>114</v>
      </c>
      <c r="BX322" t="s">
        <v>1480</v>
      </c>
      <c r="BY322" t="s">
        <v>24062</v>
      </c>
      <c r="CA322" t="s">
        <v>1814</v>
      </c>
      <c r="CB322" t="s">
        <v>333</v>
      </c>
      <c r="CC322" s="8" t="str">
        <f>"70817"</f>
        <v>70817</v>
      </c>
      <c r="CD322" t="s">
        <v>1929</v>
      </c>
      <c r="CE322" t="s">
        <v>1930</v>
      </c>
      <c r="CF322" s="12">
        <v>15.19</v>
      </c>
      <c r="CG322" s="12">
        <v>18.5</v>
      </c>
      <c r="CH322" s="12">
        <v>22.79</v>
      </c>
      <c r="CI322" s="12">
        <v>27.75</v>
      </c>
      <c r="CJ322" t="s">
        <v>135</v>
      </c>
      <c r="CL322" t="s">
        <v>24066</v>
      </c>
      <c r="CO322" t="s">
        <v>132</v>
      </c>
      <c r="CP322" t="s">
        <v>136</v>
      </c>
      <c r="CQ322" t="s">
        <v>136</v>
      </c>
      <c r="CR322" t="s">
        <v>136</v>
      </c>
      <c r="CS322" t="s">
        <v>136</v>
      </c>
      <c r="CT322" t="s">
        <v>136</v>
      </c>
      <c r="CU322" t="s">
        <v>136</v>
      </c>
      <c r="CV322" t="s">
        <v>24067</v>
      </c>
      <c r="CW322" s="10" t="str">
        <f>"+12257563905"</f>
        <v>+12257563905</v>
      </c>
      <c r="CX322" t="s">
        <v>132</v>
      </c>
      <c r="CY322" t="s">
        <v>4900</v>
      </c>
      <c r="CZ322" t="s">
        <v>137</v>
      </c>
      <c r="DA322" t="s">
        <v>114</v>
      </c>
      <c r="DB322" t="s">
        <v>114</v>
      </c>
      <c r="DC322" t="s">
        <v>136</v>
      </c>
      <c r="DD322" t="s">
        <v>114</v>
      </c>
    </row>
    <row r="323" spans="1:108" ht="15" customHeight="1" x14ac:dyDescent="0.25">
      <c r="A323" t="s">
        <v>5417</v>
      </c>
      <c r="B323" t="s">
        <v>152</v>
      </c>
      <c r="C323" s="1">
        <v>45247.367341203702</v>
      </c>
      <c r="D323" s="1">
        <v>45278</v>
      </c>
      <c r="E323" t="s">
        <v>132</v>
      </c>
      <c r="F323" t="s">
        <v>1595</v>
      </c>
      <c r="G323" t="str">
        <f>"37-3011.00"</f>
        <v>37-3011.00</v>
      </c>
      <c r="H323" t="s">
        <v>429</v>
      </c>
      <c r="I323">
        <v>20</v>
      </c>
      <c r="J323">
        <v>20</v>
      </c>
      <c r="K323" s="1">
        <v>45337</v>
      </c>
      <c r="L323" s="1">
        <v>45611</v>
      </c>
      <c r="M323" s="1">
        <v>45337</v>
      </c>
      <c r="N323" s="1">
        <v>45611</v>
      </c>
      <c r="O323" t="s">
        <v>116</v>
      </c>
      <c r="P323" t="s">
        <v>5418</v>
      </c>
      <c r="Q323" t="s">
        <v>5419</v>
      </c>
      <c r="R323" t="s">
        <v>5420</v>
      </c>
      <c r="T323" t="s">
        <v>3255</v>
      </c>
      <c r="U323" t="s">
        <v>127</v>
      </c>
      <c r="V323" s="8" t="str">
        <f>"75067"</f>
        <v>75067</v>
      </c>
      <c r="W323" t="s">
        <v>118</v>
      </c>
      <c r="Y323" s="10">
        <v>19722215296</v>
      </c>
      <c r="AA323">
        <v>56173</v>
      </c>
      <c r="AB323" t="s">
        <v>2000</v>
      </c>
      <c r="AC323" t="s">
        <v>1555</v>
      </c>
      <c r="AE323" t="s">
        <v>629</v>
      </c>
      <c r="AF323" t="s">
        <v>5420</v>
      </c>
      <c r="AH323" t="s">
        <v>3255</v>
      </c>
      <c r="AI323" t="s">
        <v>127</v>
      </c>
      <c r="AJ323" s="8" t="str">
        <f>"75067"</f>
        <v>75067</v>
      </c>
      <c r="AK323" t="s">
        <v>118</v>
      </c>
      <c r="AM323" s="10">
        <v>19722215296</v>
      </c>
      <c r="AO323" t="s">
        <v>5421</v>
      </c>
      <c r="AP323" t="s">
        <v>248</v>
      </c>
      <c r="AQ323" t="s">
        <v>3017</v>
      </c>
      <c r="AR323" t="s">
        <v>3018</v>
      </c>
      <c r="AS323" t="s">
        <v>631</v>
      </c>
      <c r="AT323" t="s">
        <v>3371</v>
      </c>
      <c r="AV323" t="s">
        <v>1168</v>
      </c>
      <c r="AW323" t="s">
        <v>127</v>
      </c>
      <c r="AX323" s="8" t="str">
        <f>"75098"</f>
        <v>75098</v>
      </c>
      <c r="AY323" t="s">
        <v>118</v>
      </c>
      <c r="BA323" s="10">
        <v>19724424244</v>
      </c>
      <c r="BC323" t="s">
        <v>3372</v>
      </c>
      <c r="BD323" t="s">
        <v>3021</v>
      </c>
      <c r="BG323" t="s">
        <v>127</v>
      </c>
      <c r="BH323" s="1">
        <v>45246.791666666664</v>
      </c>
      <c r="BI323">
        <v>40</v>
      </c>
      <c r="BJ323">
        <v>0</v>
      </c>
      <c r="BK323">
        <v>8</v>
      </c>
      <c r="BL323">
        <v>8</v>
      </c>
      <c r="BM323">
        <v>8</v>
      </c>
      <c r="BN323">
        <v>8</v>
      </c>
      <c r="BO323">
        <v>8</v>
      </c>
      <c r="BP323">
        <v>0</v>
      </c>
      <c r="BQ323" t="str">
        <f>"8:00 AM"</f>
        <v>8:00 AM</v>
      </c>
      <c r="BR323" t="str">
        <f>"5:00 PM"</f>
        <v>5:00 PM</v>
      </c>
      <c r="BS323" t="s">
        <v>131</v>
      </c>
      <c r="BT323">
        <v>0</v>
      </c>
      <c r="BU323">
        <v>0</v>
      </c>
      <c r="BV323" t="s">
        <v>114</v>
      </c>
      <c r="BX323" t="s">
        <v>5422</v>
      </c>
      <c r="BY323" t="s">
        <v>5423</v>
      </c>
      <c r="CA323" t="s">
        <v>3255</v>
      </c>
      <c r="CB323" t="s">
        <v>127</v>
      </c>
      <c r="CC323" s="8" t="str">
        <f>"75057"</f>
        <v>75057</v>
      </c>
      <c r="CD323" t="s">
        <v>3259</v>
      </c>
      <c r="CE323" t="s">
        <v>263</v>
      </c>
      <c r="CF323" s="12">
        <v>16.86</v>
      </c>
      <c r="CG323" s="12">
        <v>26</v>
      </c>
      <c r="CH323" s="12">
        <v>25.29</v>
      </c>
      <c r="CI323" s="12">
        <v>39</v>
      </c>
      <c r="CJ323" t="s">
        <v>135</v>
      </c>
      <c r="CL323" t="s">
        <v>5424</v>
      </c>
      <c r="CO323" t="s">
        <v>132</v>
      </c>
      <c r="CP323" t="s">
        <v>136</v>
      </c>
      <c r="CQ323" t="s">
        <v>136</v>
      </c>
      <c r="CR323" t="s">
        <v>136</v>
      </c>
      <c r="CS323" t="s">
        <v>136</v>
      </c>
      <c r="CT323" t="s">
        <v>136</v>
      </c>
      <c r="CU323" t="s">
        <v>136</v>
      </c>
      <c r="CV323" t="s">
        <v>5425</v>
      </c>
      <c r="CW323" s="10" t="str">
        <f>"+19722215296"</f>
        <v>+19722215296</v>
      </c>
      <c r="CX323" t="s">
        <v>132</v>
      </c>
      <c r="CY323" t="s">
        <v>3190</v>
      </c>
      <c r="CZ323" t="s">
        <v>137</v>
      </c>
      <c r="DA323" t="s">
        <v>114</v>
      </c>
      <c r="DB323" t="s">
        <v>114</v>
      </c>
      <c r="DC323" t="s">
        <v>136</v>
      </c>
      <c r="DD323" t="s">
        <v>114</v>
      </c>
    </row>
    <row r="324" spans="1:108" ht="15" customHeight="1" x14ac:dyDescent="0.25">
      <c r="A324" t="s">
        <v>17472</v>
      </c>
      <c r="B324" t="s">
        <v>152</v>
      </c>
      <c r="C324" s="1">
        <v>45247.366116550926</v>
      </c>
      <c r="D324" s="1">
        <v>45278</v>
      </c>
      <c r="E324" t="s">
        <v>132</v>
      </c>
      <c r="F324" t="s">
        <v>1595</v>
      </c>
      <c r="G324" t="str">
        <f>"37-3011.00"</f>
        <v>37-3011.00</v>
      </c>
      <c r="H324" t="s">
        <v>429</v>
      </c>
      <c r="I324">
        <v>8</v>
      </c>
      <c r="J324">
        <v>8</v>
      </c>
      <c r="K324" s="1">
        <v>45337</v>
      </c>
      <c r="L324" s="1">
        <v>45611</v>
      </c>
      <c r="M324" s="1">
        <v>45337</v>
      </c>
      <c r="N324" s="1">
        <v>45611</v>
      </c>
      <c r="O324" t="s">
        <v>116</v>
      </c>
      <c r="P324" t="s">
        <v>17473</v>
      </c>
      <c r="R324" t="s">
        <v>17474</v>
      </c>
      <c r="S324" t="s">
        <v>17475</v>
      </c>
      <c r="T324" t="s">
        <v>3525</v>
      </c>
      <c r="U324" t="s">
        <v>127</v>
      </c>
      <c r="V324" s="8" t="str">
        <f>"75087"</f>
        <v>75087</v>
      </c>
      <c r="W324" t="s">
        <v>118</v>
      </c>
      <c r="Y324" s="10">
        <v>19727716402</v>
      </c>
      <c r="AA324">
        <v>56173</v>
      </c>
      <c r="AB324" t="s">
        <v>17476</v>
      </c>
      <c r="AC324" t="s">
        <v>14866</v>
      </c>
      <c r="AD324" t="s">
        <v>1738</v>
      </c>
      <c r="AE324" t="s">
        <v>629</v>
      </c>
      <c r="AF324" t="s">
        <v>17474</v>
      </c>
      <c r="AG324" t="s">
        <v>17475</v>
      </c>
      <c r="AH324" t="s">
        <v>3525</v>
      </c>
      <c r="AI324" t="s">
        <v>127</v>
      </c>
      <c r="AJ324" s="8" t="str">
        <f>"75087"</f>
        <v>75087</v>
      </c>
      <c r="AK324" t="s">
        <v>118</v>
      </c>
      <c r="AM324" s="10">
        <v>19727716402</v>
      </c>
      <c r="AO324" t="s">
        <v>17477</v>
      </c>
      <c r="AP324" t="s">
        <v>248</v>
      </c>
      <c r="AQ324" t="s">
        <v>3017</v>
      </c>
      <c r="AR324" t="s">
        <v>3018</v>
      </c>
      <c r="AS324" t="s">
        <v>631</v>
      </c>
      <c r="AT324" t="s">
        <v>3371</v>
      </c>
      <c r="AV324" t="s">
        <v>1168</v>
      </c>
      <c r="AW324" t="s">
        <v>127</v>
      </c>
      <c r="AX324" s="8" t="str">
        <f>"75098"</f>
        <v>75098</v>
      </c>
      <c r="AY324" t="s">
        <v>118</v>
      </c>
      <c r="BA324" s="10">
        <v>19724424244</v>
      </c>
      <c r="BC324" t="s">
        <v>3372</v>
      </c>
      <c r="BD324" t="s">
        <v>3021</v>
      </c>
      <c r="BG324" t="s">
        <v>127</v>
      </c>
      <c r="BH324" s="1">
        <v>45246.791666666664</v>
      </c>
      <c r="BI324">
        <v>35</v>
      </c>
      <c r="BJ324">
        <v>0</v>
      </c>
      <c r="BK324">
        <v>7</v>
      </c>
      <c r="BL324">
        <v>7</v>
      </c>
      <c r="BM324">
        <v>7</v>
      </c>
      <c r="BN324">
        <v>7</v>
      </c>
      <c r="BO324">
        <v>7</v>
      </c>
      <c r="BP324">
        <v>0</v>
      </c>
      <c r="BQ324" t="str">
        <f>"8:00 AM"</f>
        <v>8:00 AM</v>
      </c>
      <c r="BR324" t="str">
        <f>"5:00 PM"</f>
        <v>5:00 PM</v>
      </c>
      <c r="BS324" t="s">
        <v>131</v>
      </c>
      <c r="BT324">
        <v>0</v>
      </c>
      <c r="BU324">
        <v>0</v>
      </c>
      <c r="BV324" t="s">
        <v>114</v>
      </c>
      <c r="BX324" t="s">
        <v>1480</v>
      </c>
      <c r="BY324" t="s">
        <v>17474</v>
      </c>
      <c r="CA324" t="s">
        <v>3525</v>
      </c>
      <c r="CB324" t="s">
        <v>127</v>
      </c>
      <c r="CC324" s="8" t="str">
        <f>"75087"</f>
        <v>75087</v>
      </c>
      <c r="CD324" t="s">
        <v>3527</v>
      </c>
      <c r="CE324" t="s">
        <v>263</v>
      </c>
      <c r="CF324" s="12">
        <v>16.86</v>
      </c>
      <c r="CG324" s="12">
        <v>18.86</v>
      </c>
      <c r="CH324" s="12">
        <v>25.29</v>
      </c>
      <c r="CI324" s="12">
        <v>28.29</v>
      </c>
      <c r="CJ324" t="s">
        <v>135</v>
      </c>
      <c r="CL324" t="s">
        <v>17478</v>
      </c>
      <c r="CO324" t="s">
        <v>132</v>
      </c>
      <c r="CP324" t="s">
        <v>136</v>
      </c>
      <c r="CQ324" t="s">
        <v>136</v>
      </c>
      <c r="CR324" t="s">
        <v>136</v>
      </c>
      <c r="CS324" t="s">
        <v>136</v>
      </c>
      <c r="CT324" t="s">
        <v>136</v>
      </c>
      <c r="CU324" t="s">
        <v>136</v>
      </c>
      <c r="CV324" t="s">
        <v>17479</v>
      </c>
      <c r="CW324" s="10" t="str">
        <f>"+19727716402"</f>
        <v>+19727716402</v>
      </c>
      <c r="CX324" t="s">
        <v>132</v>
      </c>
      <c r="CY324" t="s">
        <v>3190</v>
      </c>
      <c r="CZ324" t="s">
        <v>137</v>
      </c>
      <c r="DA324" t="s">
        <v>114</v>
      </c>
      <c r="DB324" t="s">
        <v>114</v>
      </c>
      <c r="DC324" t="s">
        <v>136</v>
      </c>
      <c r="DD324" t="s">
        <v>114</v>
      </c>
    </row>
    <row r="325" spans="1:108" ht="15" customHeight="1" x14ac:dyDescent="0.25">
      <c r="A325" t="s">
        <v>19968</v>
      </c>
      <c r="B325" t="s">
        <v>152</v>
      </c>
      <c r="C325" s="1">
        <v>45247.364746874999</v>
      </c>
      <c r="D325" s="1">
        <v>45278</v>
      </c>
      <c r="E325" t="s">
        <v>132</v>
      </c>
      <c r="F325" t="s">
        <v>19969</v>
      </c>
      <c r="G325" t="str">
        <f>"37-3011.00"</f>
        <v>37-3011.00</v>
      </c>
      <c r="H325" t="s">
        <v>429</v>
      </c>
      <c r="I325">
        <v>12</v>
      </c>
      <c r="J325">
        <v>12</v>
      </c>
      <c r="K325" s="1">
        <v>45337</v>
      </c>
      <c r="L325" s="1">
        <v>45611</v>
      </c>
      <c r="M325" s="1">
        <v>45337</v>
      </c>
      <c r="N325" s="1">
        <v>45611</v>
      </c>
      <c r="O325" t="s">
        <v>116</v>
      </c>
      <c r="P325" t="s">
        <v>19970</v>
      </c>
      <c r="Q325" t="s">
        <v>19971</v>
      </c>
      <c r="R325" t="s">
        <v>19972</v>
      </c>
      <c r="S325" t="s">
        <v>19973</v>
      </c>
      <c r="T325" t="s">
        <v>1814</v>
      </c>
      <c r="U325" t="s">
        <v>333</v>
      </c>
      <c r="V325" s="8" t="str">
        <f>"70898"</f>
        <v>70898</v>
      </c>
      <c r="W325" t="s">
        <v>118</v>
      </c>
      <c r="Y325" s="10">
        <v>12253955959</v>
      </c>
      <c r="AA325">
        <v>56173</v>
      </c>
      <c r="AB325" t="s">
        <v>380</v>
      </c>
      <c r="AC325" t="s">
        <v>514</v>
      </c>
      <c r="AD325" t="s">
        <v>631</v>
      </c>
      <c r="AE325" t="s">
        <v>561</v>
      </c>
      <c r="AF325" t="s">
        <v>19972</v>
      </c>
      <c r="AG325" t="s">
        <v>19973</v>
      </c>
      <c r="AH325" t="s">
        <v>1814</v>
      </c>
      <c r="AI325" t="s">
        <v>333</v>
      </c>
      <c r="AJ325" s="8" t="str">
        <f>"70816"</f>
        <v>70816</v>
      </c>
      <c r="AK325" t="s">
        <v>118</v>
      </c>
      <c r="AM325" s="10">
        <v>12253955959</v>
      </c>
      <c r="AO325" t="s">
        <v>19974</v>
      </c>
      <c r="AP325" t="s">
        <v>248</v>
      </c>
      <c r="AQ325" t="s">
        <v>3017</v>
      </c>
      <c r="AR325" t="s">
        <v>3018</v>
      </c>
      <c r="AS325" t="s">
        <v>631</v>
      </c>
      <c r="AT325" t="s">
        <v>3371</v>
      </c>
      <c r="AV325" t="s">
        <v>1168</v>
      </c>
      <c r="AW325" t="s">
        <v>127</v>
      </c>
      <c r="AX325" s="8" t="str">
        <f>"75098"</f>
        <v>75098</v>
      </c>
      <c r="AY325" t="s">
        <v>118</v>
      </c>
      <c r="BA325" s="10">
        <v>19724424244</v>
      </c>
      <c r="BC325" t="s">
        <v>3372</v>
      </c>
      <c r="BD325" t="s">
        <v>3021</v>
      </c>
      <c r="BG325" t="s">
        <v>333</v>
      </c>
      <c r="BH325" s="1">
        <v>45246.791666666664</v>
      </c>
      <c r="BI325">
        <v>40</v>
      </c>
      <c r="BJ325">
        <v>0</v>
      </c>
      <c r="BK325">
        <v>8</v>
      </c>
      <c r="BL325">
        <v>8</v>
      </c>
      <c r="BM325">
        <v>8</v>
      </c>
      <c r="BN325">
        <v>8</v>
      </c>
      <c r="BO325">
        <v>8</v>
      </c>
      <c r="BP325">
        <v>0</v>
      </c>
      <c r="BQ325" t="str">
        <f>"7:00 AM"</f>
        <v>7:00 AM</v>
      </c>
      <c r="BR325" t="str">
        <f>"5:00 PM"</f>
        <v>5:00 PM</v>
      </c>
      <c r="BS325" t="s">
        <v>131</v>
      </c>
      <c r="BT325">
        <v>0</v>
      </c>
      <c r="BU325">
        <v>0</v>
      </c>
      <c r="BV325" t="s">
        <v>114</v>
      </c>
      <c r="BX325" t="s">
        <v>1480</v>
      </c>
      <c r="BY325" t="s">
        <v>19972</v>
      </c>
      <c r="CA325" t="s">
        <v>1814</v>
      </c>
      <c r="CB325" t="s">
        <v>333</v>
      </c>
      <c r="CC325" s="8" t="str">
        <f>"70816"</f>
        <v>70816</v>
      </c>
      <c r="CD325" t="s">
        <v>1929</v>
      </c>
      <c r="CE325" t="s">
        <v>1930</v>
      </c>
      <c r="CF325" s="12">
        <v>15.19</v>
      </c>
      <c r="CG325" s="12">
        <v>17.190000000000001</v>
      </c>
      <c r="CH325" s="12">
        <v>22.79</v>
      </c>
      <c r="CI325" s="12">
        <v>25.79</v>
      </c>
      <c r="CJ325" t="s">
        <v>135</v>
      </c>
      <c r="CL325" t="s">
        <v>19975</v>
      </c>
      <c r="CO325" t="s">
        <v>132</v>
      </c>
      <c r="CP325" t="s">
        <v>136</v>
      </c>
      <c r="CQ325" t="s">
        <v>136</v>
      </c>
      <c r="CR325" t="s">
        <v>136</v>
      </c>
      <c r="CS325" t="s">
        <v>136</v>
      </c>
      <c r="CT325" t="s">
        <v>136</v>
      </c>
      <c r="CU325" t="s">
        <v>136</v>
      </c>
      <c r="CV325" t="s">
        <v>19976</v>
      </c>
      <c r="CW325" s="10" t="str">
        <f>"+12253955959"</f>
        <v>+12253955959</v>
      </c>
      <c r="CX325" t="s">
        <v>132</v>
      </c>
      <c r="CY325" t="s">
        <v>4900</v>
      </c>
      <c r="CZ325" t="s">
        <v>137</v>
      </c>
      <c r="DA325" t="s">
        <v>114</v>
      </c>
      <c r="DB325" t="s">
        <v>114</v>
      </c>
      <c r="DC325" t="s">
        <v>136</v>
      </c>
      <c r="DD325" t="s">
        <v>114</v>
      </c>
    </row>
    <row r="326" spans="1:108" ht="15" customHeight="1" x14ac:dyDescent="0.25">
      <c r="A326" t="s">
        <v>12779</v>
      </c>
      <c r="B326" t="s">
        <v>152</v>
      </c>
      <c r="C326" s="1">
        <v>45247.362951388888</v>
      </c>
      <c r="D326" s="1">
        <v>45278</v>
      </c>
      <c r="E326" t="s">
        <v>132</v>
      </c>
      <c r="F326" t="s">
        <v>1595</v>
      </c>
      <c r="G326" t="str">
        <f>"37-3011.00"</f>
        <v>37-3011.00</v>
      </c>
      <c r="H326" t="s">
        <v>429</v>
      </c>
      <c r="I326">
        <v>20</v>
      </c>
      <c r="J326">
        <v>20</v>
      </c>
      <c r="K326" s="1">
        <v>45337</v>
      </c>
      <c r="L326" s="1">
        <v>45641</v>
      </c>
      <c r="M326" s="1">
        <v>45337</v>
      </c>
      <c r="N326" s="1">
        <v>45641</v>
      </c>
      <c r="O326" t="s">
        <v>116</v>
      </c>
      <c r="P326" t="s">
        <v>12780</v>
      </c>
      <c r="R326" t="s">
        <v>12781</v>
      </c>
      <c r="S326" t="s">
        <v>12782</v>
      </c>
      <c r="T326" t="s">
        <v>12783</v>
      </c>
      <c r="U326" t="s">
        <v>550</v>
      </c>
      <c r="V326" s="8" t="str">
        <f>"30101"</f>
        <v>30101</v>
      </c>
      <c r="W326" t="s">
        <v>118</v>
      </c>
      <c r="Y326" s="10">
        <v>16785744008</v>
      </c>
      <c r="AA326">
        <v>561730</v>
      </c>
      <c r="AB326" t="s">
        <v>985</v>
      </c>
      <c r="AC326" t="s">
        <v>2188</v>
      </c>
      <c r="AD326" t="s">
        <v>4795</v>
      </c>
      <c r="AE326" t="s">
        <v>561</v>
      </c>
      <c r="AF326" t="s">
        <v>12781</v>
      </c>
      <c r="AG326" t="s">
        <v>12782</v>
      </c>
      <c r="AH326" t="s">
        <v>12783</v>
      </c>
      <c r="AI326" t="s">
        <v>550</v>
      </c>
      <c r="AJ326" s="8" t="str">
        <f>"30101"</f>
        <v>30101</v>
      </c>
      <c r="AK326" t="s">
        <v>118</v>
      </c>
      <c r="AM326" s="10">
        <v>16785744008</v>
      </c>
      <c r="AO326" t="s">
        <v>12784</v>
      </c>
      <c r="AP326" t="s">
        <v>248</v>
      </c>
      <c r="AQ326" t="s">
        <v>1860</v>
      </c>
      <c r="AR326" t="s">
        <v>1861</v>
      </c>
      <c r="AS326" t="s">
        <v>1862</v>
      </c>
      <c r="AT326" t="s">
        <v>1863</v>
      </c>
      <c r="AU326" t="s">
        <v>1864</v>
      </c>
      <c r="AV326" t="s">
        <v>1865</v>
      </c>
      <c r="AW326" t="s">
        <v>581</v>
      </c>
      <c r="AX326" s="8" t="str">
        <f>"24521"</f>
        <v>24521</v>
      </c>
      <c r="AY326" t="s">
        <v>118</v>
      </c>
      <c r="BA326" s="10">
        <v>14349460035</v>
      </c>
      <c r="BB326">
        <v>11</v>
      </c>
      <c r="BC326" t="s">
        <v>1866</v>
      </c>
      <c r="BD326" t="s">
        <v>1867</v>
      </c>
      <c r="BG326" t="s">
        <v>550</v>
      </c>
      <c r="BH326" s="1">
        <v>45612.791666666664</v>
      </c>
      <c r="BI326">
        <v>40</v>
      </c>
      <c r="BJ326">
        <v>0</v>
      </c>
      <c r="BK326">
        <v>10</v>
      </c>
      <c r="BL326">
        <v>10</v>
      </c>
      <c r="BM326">
        <v>10</v>
      </c>
      <c r="BN326">
        <v>10</v>
      </c>
      <c r="BO326">
        <v>0</v>
      </c>
      <c r="BP326">
        <v>0</v>
      </c>
      <c r="BQ326" t="str">
        <f>"6:45 AM"</f>
        <v>6:45 AM</v>
      </c>
      <c r="BR326" t="str">
        <f>"5:30 PM"</f>
        <v>5:30 PM</v>
      </c>
      <c r="BS326" t="s">
        <v>131</v>
      </c>
      <c r="BT326">
        <v>0</v>
      </c>
      <c r="BU326">
        <v>0</v>
      </c>
      <c r="BV326" t="s">
        <v>114</v>
      </c>
      <c r="BX326" t="s">
        <v>12785</v>
      </c>
      <c r="BY326" t="s">
        <v>12781</v>
      </c>
      <c r="CA326" t="s">
        <v>12783</v>
      </c>
      <c r="CB326" t="s">
        <v>550</v>
      </c>
      <c r="CC326" s="8" t="str">
        <f>"30101"</f>
        <v>30101</v>
      </c>
      <c r="CD326" t="s">
        <v>7598</v>
      </c>
      <c r="CE326" t="s">
        <v>552</v>
      </c>
      <c r="CF326" s="12">
        <v>17.07</v>
      </c>
      <c r="CG326" s="12">
        <v>17.07</v>
      </c>
      <c r="CH326" s="12">
        <v>25.61</v>
      </c>
      <c r="CI326" s="12">
        <v>25.61</v>
      </c>
      <c r="CJ326" t="s">
        <v>135</v>
      </c>
      <c r="CK326" t="s">
        <v>5956</v>
      </c>
      <c r="CL326" t="s">
        <v>12786</v>
      </c>
      <c r="CO326" t="s">
        <v>132</v>
      </c>
      <c r="CP326" t="s">
        <v>136</v>
      </c>
      <c r="CQ326" t="s">
        <v>136</v>
      </c>
      <c r="CR326" t="s">
        <v>136</v>
      </c>
      <c r="CS326" t="s">
        <v>136</v>
      </c>
      <c r="CT326" t="s">
        <v>136</v>
      </c>
      <c r="CU326" t="s">
        <v>136</v>
      </c>
      <c r="CV326" t="s">
        <v>12787</v>
      </c>
      <c r="CW326" s="10" t="str">
        <f>"+16785744008"</f>
        <v>+16785744008</v>
      </c>
      <c r="CX326" t="s">
        <v>12788</v>
      </c>
      <c r="CY326" t="s">
        <v>132</v>
      </c>
      <c r="CZ326" t="s">
        <v>137</v>
      </c>
      <c r="DA326" t="s">
        <v>114</v>
      </c>
      <c r="DB326" t="s">
        <v>136</v>
      </c>
      <c r="DC326" t="s">
        <v>136</v>
      </c>
      <c r="DD326" t="s">
        <v>114</v>
      </c>
    </row>
    <row r="327" spans="1:108" ht="15" customHeight="1" x14ac:dyDescent="0.25">
      <c r="A327" t="s">
        <v>13847</v>
      </c>
      <c r="B327" t="s">
        <v>152</v>
      </c>
      <c r="C327" s="1">
        <v>45247.361597106479</v>
      </c>
      <c r="D327" s="1">
        <v>45278</v>
      </c>
      <c r="E327" t="s">
        <v>132</v>
      </c>
      <c r="F327" t="s">
        <v>13848</v>
      </c>
      <c r="G327" t="str">
        <f>"37-3011.00"</f>
        <v>37-3011.00</v>
      </c>
      <c r="H327" t="s">
        <v>429</v>
      </c>
      <c r="I327">
        <v>11</v>
      </c>
      <c r="J327">
        <v>11</v>
      </c>
      <c r="K327" s="1">
        <v>45337</v>
      </c>
      <c r="L327" s="1">
        <v>45611</v>
      </c>
      <c r="M327" s="1">
        <v>45337</v>
      </c>
      <c r="N327" s="1">
        <v>45611</v>
      </c>
      <c r="O327" t="s">
        <v>116</v>
      </c>
      <c r="P327" t="s">
        <v>13849</v>
      </c>
      <c r="R327" t="s">
        <v>13850</v>
      </c>
      <c r="T327" t="s">
        <v>5229</v>
      </c>
      <c r="U327" t="s">
        <v>127</v>
      </c>
      <c r="V327" s="8" t="str">
        <f>"78626"</f>
        <v>78626</v>
      </c>
      <c r="W327" t="s">
        <v>118</v>
      </c>
      <c r="Y327" s="10">
        <v>15125084663</v>
      </c>
      <c r="AA327">
        <v>23822</v>
      </c>
      <c r="AB327" t="s">
        <v>3124</v>
      </c>
      <c r="AC327" t="s">
        <v>4686</v>
      </c>
      <c r="AD327" t="s">
        <v>2291</v>
      </c>
      <c r="AE327" t="s">
        <v>629</v>
      </c>
      <c r="AF327" t="s">
        <v>13850</v>
      </c>
      <c r="AH327" t="s">
        <v>5229</v>
      </c>
      <c r="AI327" t="s">
        <v>127</v>
      </c>
      <c r="AJ327" s="8" t="str">
        <f>"78626"</f>
        <v>78626</v>
      </c>
      <c r="AK327" t="s">
        <v>118</v>
      </c>
      <c r="AM327" s="10">
        <v>15125084663</v>
      </c>
      <c r="AO327" t="s">
        <v>13851</v>
      </c>
      <c r="AP327" t="s">
        <v>248</v>
      </c>
      <c r="AQ327" t="s">
        <v>3017</v>
      </c>
      <c r="AR327" t="s">
        <v>3018</v>
      </c>
      <c r="AS327" t="s">
        <v>631</v>
      </c>
      <c r="AT327" t="s">
        <v>3371</v>
      </c>
      <c r="AV327" t="s">
        <v>1168</v>
      </c>
      <c r="AW327" t="s">
        <v>127</v>
      </c>
      <c r="AX327" s="8" t="str">
        <f>"75098"</f>
        <v>75098</v>
      </c>
      <c r="AY327" t="s">
        <v>118</v>
      </c>
      <c r="BA327" s="10">
        <v>19724424244</v>
      </c>
      <c r="BC327" t="s">
        <v>3372</v>
      </c>
      <c r="BD327" t="s">
        <v>3021</v>
      </c>
      <c r="BG327" t="s">
        <v>127</v>
      </c>
      <c r="BH327" s="1">
        <v>45246.791666666664</v>
      </c>
      <c r="BI327">
        <v>40</v>
      </c>
      <c r="BJ327">
        <v>0</v>
      </c>
      <c r="BK327">
        <v>8</v>
      </c>
      <c r="BL327">
        <v>8</v>
      </c>
      <c r="BM327">
        <v>8</v>
      </c>
      <c r="BN327">
        <v>8</v>
      </c>
      <c r="BO327">
        <v>8</v>
      </c>
      <c r="BP327">
        <v>0</v>
      </c>
      <c r="BQ327" t="str">
        <f>"8:00 AM"</f>
        <v>8:00 AM</v>
      </c>
      <c r="BR327" t="str">
        <f>"5:00 PM"</f>
        <v>5:00 PM</v>
      </c>
      <c r="BS327" t="s">
        <v>131</v>
      </c>
      <c r="BT327">
        <v>0</v>
      </c>
      <c r="BU327">
        <v>0</v>
      </c>
      <c r="BV327" t="s">
        <v>114</v>
      </c>
      <c r="BX327" t="s">
        <v>1480</v>
      </c>
      <c r="BY327" t="s">
        <v>13850</v>
      </c>
      <c r="CA327" t="s">
        <v>5229</v>
      </c>
      <c r="CB327" t="s">
        <v>127</v>
      </c>
      <c r="CC327" s="8" t="str">
        <f>"78626"</f>
        <v>78626</v>
      </c>
      <c r="CD327" t="s">
        <v>3147</v>
      </c>
      <c r="CE327" t="s">
        <v>324</v>
      </c>
      <c r="CF327" s="12">
        <v>16.91</v>
      </c>
      <c r="CG327" s="12">
        <v>18.91</v>
      </c>
      <c r="CH327" s="12">
        <v>25.37</v>
      </c>
      <c r="CI327" s="12">
        <v>28.37</v>
      </c>
      <c r="CJ327" t="s">
        <v>135</v>
      </c>
      <c r="CL327" t="s">
        <v>13852</v>
      </c>
      <c r="CO327" t="s">
        <v>132</v>
      </c>
      <c r="CP327" t="s">
        <v>136</v>
      </c>
      <c r="CQ327" t="s">
        <v>136</v>
      </c>
      <c r="CR327" t="s">
        <v>136</v>
      </c>
      <c r="CS327" t="s">
        <v>136</v>
      </c>
      <c r="CT327" t="s">
        <v>136</v>
      </c>
      <c r="CU327" t="s">
        <v>136</v>
      </c>
      <c r="CV327" t="s">
        <v>5425</v>
      </c>
      <c r="CW327" s="10" t="str">
        <f>"+15125084663"</f>
        <v>+15125084663</v>
      </c>
      <c r="CX327" t="s">
        <v>132</v>
      </c>
      <c r="CY327" t="s">
        <v>3190</v>
      </c>
      <c r="CZ327" t="s">
        <v>137</v>
      </c>
      <c r="DA327" t="s">
        <v>114</v>
      </c>
      <c r="DB327" t="s">
        <v>114</v>
      </c>
      <c r="DC327" t="s">
        <v>136</v>
      </c>
      <c r="DD327" t="s">
        <v>114</v>
      </c>
    </row>
    <row r="328" spans="1:108" ht="15" customHeight="1" x14ac:dyDescent="0.25">
      <c r="A328" t="s">
        <v>22013</v>
      </c>
      <c r="B328" t="s">
        <v>152</v>
      </c>
      <c r="C328" s="1">
        <v>45247.358092129631</v>
      </c>
      <c r="D328" s="1">
        <v>45278</v>
      </c>
      <c r="E328" t="s">
        <v>132</v>
      </c>
      <c r="F328" t="s">
        <v>236</v>
      </c>
      <c r="G328" t="str">
        <f>"35-3023.00"</f>
        <v>35-3023.00</v>
      </c>
      <c r="H328" t="s">
        <v>1365</v>
      </c>
      <c r="I328">
        <v>15</v>
      </c>
      <c r="J328">
        <v>15</v>
      </c>
      <c r="K328" s="1">
        <v>45337</v>
      </c>
      <c r="L328" s="1">
        <v>45640</v>
      </c>
      <c r="M328" s="1">
        <v>45337</v>
      </c>
      <c r="N328" s="1">
        <v>45640</v>
      </c>
      <c r="O328" t="s">
        <v>238</v>
      </c>
      <c r="P328" t="s">
        <v>22014</v>
      </c>
      <c r="R328" t="s">
        <v>22015</v>
      </c>
      <c r="T328" t="s">
        <v>22016</v>
      </c>
      <c r="U328" t="s">
        <v>402</v>
      </c>
      <c r="V328" s="8" t="str">
        <f>"90601"</f>
        <v>90601</v>
      </c>
      <c r="W328" t="s">
        <v>118</v>
      </c>
      <c r="Y328" s="10">
        <v>16262252791</v>
      </c>
      <c r="AA328">
        <v>71399</v>
      </c>
      <c r="AB328" t="s">
        <v>1820</v>
      </c>
      <c r="AC328" t="s">
        <v>1826</v>
      </c>
      <c r="AD328" t="s">
        <v>3976</v>
      </c>
      <c r="AE328" t="s">
        <v>776</v>
      </c>
      <c r="AF328" t="s">
        <v>22015</v>
      </c>
      <c r="AH328" t="s">
        <v>22016</v>
      </c>
      <c r="AI328" t="s">
        <v>402</v>
      </c>
      <c r="AJ328" s="8" t="str">
        <f>"90601"</f>
        <v>90601</v>
      </c>
      <c r="AK328" t="s">
        <v>118</v>
      </c>
      <c r="AM328" s="10">
        <v>16262787843</v>
      </c>
      <c r="AO328" t="s">
        <v>22017</v>
      </c>
      <c r="AP328" t="s">
        <v>248</v>
      </c>
      <c r="AQ328" t="s">
        <v>249</v>
      </c>
      <c r="AR328" t="s">
        <v>250</v>
      </c>
      <c r="AS328" t="s">
        <v>251</v>
      </c>
      <c r="AT328" t="s">
        <v>252</v>
      </c>
      <c r="AU328" t="s">
        <v>253</v>
      </c>
      <c r="AV328" t="s">
        <v>254</v>
      </c>
      <c r="AW328" t="s">
        <v>127</v>
      </c>
      <c r="AX328" s="8" t="str">
        <f>"78550"</f>
        <v>78550</v>
      </c>
      <c r="AY328" t="s">
        <v>118</v>
      </c>
      <c r="AZ328" t="s">
        <v>255</v>
      </c>
      <c r="BA328" s="10">
        <v>19564408720</v>
      </c>
      <c r="BB328" s="3" t="s">
        <v>256</v>
      </c>
      <c r="BC328" t="s">
        <v>257</v>
      </c>
      <c r="BD328" t="s">
        <v>258</v>
      </c>
      <c r="BG328" t="s">
        <v>402</v>
      </c>
      <c r="BH328" s="1">
        <v>45246.791666666664</v>
      </c>
      <c r="BI328">
        <v>40</v>
      </c>
      <c r="BJ328">
        <v>8</v>
      </c>
      <c r="BK328">
        <v>0</v>
      </c>
      <c r="BL328">
        <v>0</v>
      </c>
      <c r="BM328">
        <v>8</v>
      </c>
      <c r="BN328">
        <v>8</v>
      </c>
      <c r="BO328">
        <v>8</v>
      </c>
      <c r="BP328">
        <v>8</v>
      </c>
      <c r="BQ328" t="str">
        <f>"1:00 PM"</f>
        <v>1:00 PM</v>
      </c>
      <c r="BR328" t="str">
        <f>"10:00 PM"</f>
        <v>10:00 PM</v>
      </c>
      <c r="BS328" t="s">
        <v>131</v>
      </c>
      <c r="BT328">
        <v>0</v>
      </c>
      <c r="BU328">
        <v>0</v>
      </c>
      <c r="BV328" t="s">
        <v>114</v>
      </c>
      <c r="BX328" s="2" t="s">
        <v>259</v>
      </c>
      <c r="BY328" t="s">
        <v>22015</v>
      </c>
      <c r="CA328" t="s">
        <v>22018</v>
      </c>
      <c r="CB328" t="s">
        <v>402</v>
      </c>
      <c r="CC328" s="8" t="str">
        <f>"90601"</f>
        <v>90601</v>
      </c>
      <c r="CD328" t="s">
        <v>2968</v>
      </c>
      <c r="CE328" t="s">
        <v>2969</v>
      </c>
      <c r="CF328" s="12">
        <v>16</v>
      </c>
      <c r="CG328" s="12">
        <v>16.899999999999999</v>
      </c>
      <c r="CJ328" t="s">
        <v>135</v>
      </c>
      <c r="CK328" t="s">
        <v>264</v>
      </c>
      <c r="CL328" t="s">
        <v>22019</v>
      </c>
      <c r="CO328" t="s">
        <v>132</v>
      </c>
      <c r="CP328" t="s">
        <v>136</v>
      </c>
      <c r="CQ328" t="s">
        <v>136</v>
      </c>
      <c r="CR328" t="s">
        <v>114</v>
      </c>
      <c r="CS328" t="s">
        <v>136</v>
      </c>
      <c r="CT328" t="s">
        <v>136</v>
      </c>
      <c r="CU328" t="s">
        <v>136</v>
      </c>
      <c r="CV328" t="s">
        <v>266</v>
      </c>
      <c r="CW328" s="10" t="str">
        <f>"+16262252791"</f>
        <v>+16262252791</v>
      </c>
      <c r="CX328" t="s">
        <v>22017</v>
      </c>
      <c r="CY328" t="s">
        <v>132</v>
      </c>
      <c r="CZ328" t="s">
        <v>137</v>
      </c>
      <c r="DA328" t="s">
        <v>114</v>
      </c>
      <c r="DB328" t="s">
        <v>114</v>
      </c>
      <c r="DC328" t="s">
        <v>136</v>
      </c>
      <c r="DD328" t="s">
        <v>114</v>
      </c>
    </row>
    <row r="329" spans="1:108" ht="15" customHeight="1" x14ac:dyDescent="0.25">
      <c r="A329" t="s">
        <v>15201</v>
      </c>
      <c r="B329" t="s">
        <v>152</v>
      </c>
      <c r="C329" s="1">
        <v>45247.003847569445</v>
      </c>
      <c r="D329" s="1">
        <v>45278</v>
      </c>
      <c r="E329" t="s">
        <v>132</v>
      </c>
      <c r="F329" t="s">
        <v>1595</v>
      </c>
      <c r="G329" t="str">
        <f>"37-3011.00"</f>
        <v>37-3011.00</v>
      </c>
      <c r="H329" t="s">
        <v>429</v>
      </c>
      <c r="I329">
        <v>14</v>
      </c>
      <c r="J329">
        <v>14</v>
      </c>
      <c r="K329" s="1">
        <v>45337</v>
      </c>
      <c r="L329" s="1">
        <v>45640</v>
      </c>
      <c r="M329" s="1">
        <v>45337</v>
      </c>
      <c r="N329" s="1">
        <v>45640</v>
      </c>
      <c r="O329" t="s">
        <v>238</v>
      </c>
      <c r="P329" t="s">
        <v>15202</v>
      </c>
      <c r="R329" t="s">
        <v>15203</v>
      </c>
      <c r="T329" t="s">
        <v>13636</v>
      </c>
      <c r="U329" t="s">
        <v>984</v>
      </c>
      <c r="V329" s="8" t="str">
        <f>"63069"</f>
        <v>63069</v>
      </c>
      <c r="W329" t="s">
        <v>118</v>
      </c>
      <c r="Y329" s="10">
        <v>13147575296</v>
      </c>
      <c r="AA329">
        <v>56173</v>
      </c>
      <c r="AB329" t="s">
        <v>15204</v>
      </c>
      <c r="AC329" t="s">
        <v>2005</v>
      </c>
      <c r="AE329" t="s">
        <v>629</v>
      </c>
      <c r="AF329" t="s">
        <v>15203</v>
      </c>
      <c r="AH329" t="s">
        <v>13636</v>
      </c>
      <c r="AI329" t="s">
        <v>984</v>
      </c>
      <c r="AJ329" s="8" t="str">
        <f>"63069"</f>
        <v>63069</v>
      </c>
      <c r="AK329" t="s">
        <v>118</v>
      </c>
      <c r="AM329" s="10">
        <v>13147575296</v>
      </c>
      <c r="AO329" t="s">
        <v>15205</v>
      </c>
      <c r="AP329" t="s">
        <v>248</v>
      </c>
      <c r="AQ329" t="s">
        <v>2732</v>
      </c>
      <c r="AR329" t="s">
        <v>2733</v>
      </c>
      <c r="AT329" t="s">
        <v>1253</v>
      </c>
      <c r="AU329" t="s">
        <v>852</v>
      </c>
      <c r="AV329" t="s">
        <v>853</v>
      </c>
      <c r="AW329" t="s">
        <v>854</v>
      </c>
      <c r="AX329" s="8" t="str">
        <f>"83814"</f>
        <v>83814</v>
      </c>
      <c r="AY329" t="s">
        <v>118</v>
      </c>
      <c r="BA329" s="10">
        <v>12087772654</v>
      </c>
      <c r="BC329" t="s">
        <v>2734</v>
      </c>
      <c r="BD329" t="s">
        <v>856</v>
      </c>
      <c r="BG329" t="s">
        <v>984</v>
      </c>
      <c r="BH329" s="1">
        <v>45245.791666666664</v>
      </c>
      <c r="BI329">
        <v>40</v>
      </c>
      <c r="BJ329">
        <v>0</v>
      </c>
      <c r="BK329">
        <v>8</v>
      </c>
      <c r="BL329">
        <v>8</v>
      </c>
      <c r="BM329">
        <v>8</v>
      </c>
      <c r="BN329">
        <v>8</v>
      </c>
      <c r="BO329">
        <v>8</v>
      </c>
      <c r="BP329">
        <v>0</v>
      </c>
      <c r="BQ329" t="str">
        <f>"7:30 PM"</f>
        <v>7:30 PM</v>
      </c>
      <c r="BR329" t="str">
        <f>"6:30 PM"</f>
        <v>6:30 PM</v>
      </c>
      <c r="BS329" t="s">
        <v>131</v>
      </c>
      <c r="BT329">
        <v>0</v>
      </c>
      <c r="BU329">
        <v>0</v>
      </c>
      <c r="BV329" t="s">
        <v>114</v>
      </c>
      <c r="BX329" t="s">
        <v>2670</v>
      </c>
      <c r="BY329" t="s">
        <v>15206</v>
      </c>
      <c r="CA329" t="s">
        <v>13636</v>
      </c>
      <c r="CB329" t="s">
        <v>984</v>
      </c>
      <c r="CC329" s="8" t="str">
        <f>"63069"</f>
        <v>63069</v>
      </c>
      <c r="CD329" t="s">
        <v>535</v>
      </c>
      <c r="CE329" t="s">
        <v>1856</v>
      </c>
      <c r="CF329" s="12">
        <v>17.579999999999998</v>
      </c>
      <c r="CG329" s="12">
        <v>25</v>
      </c>
      <c r="CH329" s="12">
        <v>26.37</v>
      </c>
      <c r="CI329" s="12">
        <v>37.5</v>
      </c>
      <c r="CJ329" t="s">
        <v>135</v>
      </c>
      <c r="CK329" t="s">
        <v>1899</v>
      </c>
      <c r="CL329" t="s">
        <v>15207</v>
      </c>
      <c r="CO329" t="s">
        <v>132</v>
      </c>
      <c r="CP329" t="s">
        <v>136</v>
      </c>
      <c r="CQ329" t="s">
        <v>136</v>
      </c>
      <c r="CR329" t="s">
        <v>136</v>
      </c>
      <c r="CS329" t="s">
        <v>136</v>
      </c>
      <c r="CT329" t="s">
        <v>136</v>
      </c>
      <c r="CU329" t="s">
        <v>136</v>
      </c>
      <c r="CV329" t="s">
        <v>15208</v>
      </c>
      <c r="CW329" s="10" t="str">
        <f>"+13147575296"</f>
        <v>+13147575296</v>
      </c>
      <c r="CX329" t="s">
        <v>15209</v>
      </c>
      <c r="CY329" t="s">
        <v>132</v>
      </c>
      <c r="CZ329" t="s">
        <v>137</v>
      </c>
      <c r="DA329" t="s">
        <v>114</v>
      </c>
      <c r="DB329" t="s">
        <v>136</v>
      </c>
      <c r="DC329" t="s">
        <v>136</v>
      </c>
      <c r="DD329" t="s">
        <v>114</v>
      </c>
    </row>
    <row r="330" spans="1:108" ht="15" customHeight="1" x14ac:dyDescent="0.25">
      <c r="A330" t="s">
        <v>18071</v>
      </c>
      <c r="B330" t="s">
        <v>152</v>
      </c>
      <c r="C330" s="1">
        <v>45247.00290590278</v>
      </c>
      <c r="D330" s="1">
        <v>45278</v>
      </c>
      <c r="E330" t="s">
        <v>132</v>
      </c>
      <c r="F330" t="s">
        <v>569</v>
      </c>
      <c r="G330" t="str">
        <f>"47-2061.00"</f>
        <v>47-2061.00</v>
      </c>
      <c r="H330" t="s">
        <v>570</v>
      </c>
      <c r="I330">
        <v>20</v>
      </c>
      <c r="J330">
        <v>20</v>
      </c>
      <c r="K330" s="1">
        <v>45337</v>
      </c>
      <c r="L330" s="1">
        <v>45640</v>
      </c>
      <c r="M330" s="1">
        <v>45337</v>
      </c>
      <c r="N330" s="1">
        <v>45640</v>
      </c>
      <c r="O330" t="s">
        <v>116</v>
      </c>
      <c r="P330" t="s">
        <v>18072</v>
      </c>
      <c r="R330" t="s">
        <v>18073</v>
      </c>
      <c r="T330" t="s">
        <v>16568</v>
      </c>
      <c r="U330" t="s">
        <v>127</v>
      </c>
      <c r="V330" s="8" t="str">
        <f>"76031"</f>
        <v>76031</v>
      </c>
      <c r="W330" t="s">
        <v>118</v>
      </c>
      <c r="Y330" s="10">
        <v>18175562045</v>
      </c>
      <c r="AA330">
        <v>23731</v>
      </c>
      <c r="AB330" t="s">
        <v>18074</v>
      </c>
      <c r="AC330" t="s">
        <v>2627</v>
      </c>
      <c r="AE330" t="s">
        <v>629</v>
      </c>
      <c r="AF330" t="s">
        <v>18073</v>
      </c>
      <c r="AH330" t="s">
        <v>16568</v>
      </c>
      <c r="AI330" t="s">
        <v>127</v>
      </c>
      <c r="AJ330" s="8" t="str">
        <f>"76031"</f>
        <v>76031</v>
      </c>
      <c r="AK330" t="s">
        <v>118</v>
      </c>
      <c r="AM330" s="10">
        <v>18175562045</v>
      </c>
      <c r="AO330" t="s">
        <v>18075</v>
      </c>
      <c r="AP330" t="s">
        <v>248</v>
      </c>
      <c r="AQ330" t="s">
        <v>2699</v>
      </c>
      <c r="AR330" t="s">
        <v>2700</v>
      </c>
      <c r="AT330" t="s">
        <v>1253</v>
      </c>
      <c r="AU330" t="s">
        <v>852</v>
      </c>
      <c r="AV330" t="s">
        <v>853</v>
      </c>
      <c r="AW330" t="s">
        <v>854</v>
      </c>
      <c r="AX330" s="8" t="str">
        <f>"83814"</f>
        <v>83814</v>
      </c>
      <c r="AY330" t="s">
        <v>118</v>
      </c>
      <c r="BA330" s="10">
        <v>12087772654</v>
      </c>
      <c r="BC330" t="s">
        <v>2701</v>
      </c>
      <c r="BD330" t="s">
        <v>856</v>
      </c>
      <c r="BG330" t="s">
        <v>127</v>
      </c>
      <c r="BH330" s="1">
        <v>45245.791666666664</v>
      </c>
      <c r="BI330">
        <v>40</v>
      </c>
      <c r="BJ330">
        <v>0</v>
      </c>
      <c r="BK330">
        <v>8</v>
      </c>
      <c r="BL330">
        <v>8</v>
      </c>
      <c r="BM330">
        <v>8</v>
      </c>
      <c r="BN330">
        <v>8</v>
      </c>
      <c r="BO330">
        <v>8</v>
      </c>
      <c r="BP330">
        <v>0</v>
      </c>
      <c r="BQ330" t="str">
        <f>"7:00 AM"</f>
        <v>7:00 AM</v>
      </c>
      <c r="BR330" t="str">
        <f>"4:00 PM"</f>
        <v>4:00 PM</v>
      </c>
      <c r="BS330" t="s">
        <v>131</v>
      </c>
      <c r="BT330">
        <v>0</v>
      </c>
      <c r="BU330">
        <v>0</v>
      </c>
      <c r="BV330" t="s">
        <v>114</v>
      </c>
      <c r="BX330" t="s">
        <v>2670</v>
      </c>
      <c r="BY330" t="s">
        <v>18076</v>
      </c>
      <c r="CA330" t="s">
        <v>16568</v>
      </c>
      <c r="CB330" t="s">
        <v>127</v>
      </c>
      <c r="CC330" s="8" t="str">
        <f>"76031"</f>
        <v>76031</v>
      </c>
      <c r="CD330" t="s">
        <v>1969</v>
      </c>
      <c r="CE330" t="s">
        <v>263</v>
      </c>
      <c r="CF330" s="12">
        <v>18.68</v>
      </c>
      <c r="CG330" s="12">
        <v>25</v>
      </c>
      <c r="CH330" s="12">
        <v>28.02</v>
      </c>
      <c r="CI330" s="12">
        <v>37.5</v>
      </c>
      <c r="CJ330" t="s">
        <v>135</v>
      </c>
      <c r="CK330" t="s">
        <v>1899</v>
      </c>
      <c r="CL330" t="s">
        <v>18077</v>
      </c>
      <c r="CO330" t="s">
        <v>132</v>
      </c>
      <c r="CP330" t="s">
        <v>136</v>
      </c>
      <c r="CQ330" t="s">
        <v>136</v>
      </c>
      <c r="CR330" t="s">
        <v>136</v>
      </c>
      <c r="CS330" t="s">
        <v>136</v>
      </c>
      <c r="CT330" t="s">
        <v>136</v>
      </c>
      <c r="CU330" t="s">
        <v>114</v>
      </c>
      <c r="CV330" t="s">
        <v>1040</v>
      </c>
      <c r="CW330" s="10" t="str">
        <f>"+18175562045"</f>
        <v>+18175562045</v>
      </c>
      <c r="CX330" t="s">
        <v>18075</v>
      </c>
      <c r="CY330" t="s">
        <v>132</v>
      </c>
      <c r="CZ330" t="s">
        <v>137</v>
      </c>
      <c r="DA330" t="s">
        <v>114</v>
      </c>
      <c r="DB330" t="s">
        <v>136</v>
      </c>
      <c r="DC330" t="s">
        <v>136</v>
      </c>
      <c r="DD330" t="s">
        <v>114</v>
      </c>
    </row>
    <row r="331" spans="1:108" ht="15" customHeight="1" x14ac:dyDescent="0.25">
      <c r="A331" t="s">
        <v>7710</v>
      </c>
      <c r="B331" t="s">
        <v>152</v>
      </c>
      <c r="C331" s="1">
        <v>45247.001772916665</v>
      </c>
      <c r="D331" s="1">
        <v>45278</v>
      </c>
      <c r="E331" t="s">
        <v>132</v>
      </c>
      <c r="F331" t="s">
        <v>1595</v>
      </c>
      <c r="G331" t="str">
        <f>"37-3011.00"</f>
        <v>37-3011.00</v>
      </c>
      <c r="H331" t="s">
        <v>429</v>
      </c>
      <c r="I331">
        <v>3</v>
      </c>
      <c r="J331">
        <v>3</v>
      </c>
      <c r="K331" s="1">
        <v>45337</v>
      </c>
      <c r="L331" s="1">
        <v>45626</v>
      </c>
      <c r="M331" s="1">
        <v>45337</v>
      </c>
      <c r="N331" s="1">
        <v>45626</v>
      </c>
      <c r="O331" t="s">
        <v>238</v>
      </c>
      <c r="P331" t="s">
        <v>7711</v>
      </c>
      <c r="R331" t="s">
        <v>7712</v>
      </c>
      <c r="S331" t="s">
        <v>2308</v>
      </c>
      <c r="T331" t="s">
        <v>7519</v>
      </c>
      <c r="U331" t="s">
        <v>819</v>
      </c>
      <c r="V331" s="8" t="str">
        <f>"47715"</f>
        <v>47715</v>
      </c>
      <c r="W331" t="s">
        <v>118</v>
      </c>
      <c r="Y331" s="10">
        <v>18124543229</v>
      </c>
      <c r="AA331">
        <v>56173</v>
      </c>
      <c r="AB331" t="s">
        <v>7713</v>
      </c>
      <c r="AC331" t="s">
        <v>2005</v>
      </c>
      <c r="AE331" t="s">
        <v>561</v>
      </c>
      <c r="AF331" t="s">
        <v>7712</v>
      </c>
      <c r="AG331" t="s">
        <v>2308</v>
      </c>
      <c r="AH331" t="s">
        <v>7519</v>
      </c>
      <c r="AI331" t="s">
        <v>819</v>
      </c>
      <c r="AJ331" s="8" t="str">
        <f>"47715"</f>
        <v>47715</v>
      </c>
      <c r="AK331" t="s">
        <v>118</v>
      </c>
      <c r="AM331" s="10">
        <v>18124543229</v>
      </c>
      <c r="AO331" t="s">
        <v>7714</v>
      </c>
      <c r="AP331" t="s">
        <v>248</v>
      </c>
      <c r="AQ331" t="s">
        <v>2732</v>
      </c>
      <c r="AR331" t="s">
        <v>2733</v>
      </c>
      <c r="AT331" t="s">
        <v>1253</v>
      </c>
      <c r="AU331" t="s">
        <v>852</v>
      </c>
      <c r="AV331" t="s">
        <v>853</v>
      </c>
      <c r="AW331" t="s">
        <v>854</v>
      </c>
      <c r="AX331" s="8" t="str">
        <f>"83814"</f>
        <v>83814</v>
      </c>
      <c r="AY331" t="s">
        <v>118</v>
      </c>
      <c r="BA331" s="10">
        <v>12087772654</v>
      </c>
      <c r="BC331" t="s">
        <v>2734</v>
      </c>
      <c r="BD331" t="s">
        <v>856</v>
      </c>
      <c r="BG331" t="s">
        <v>819</v>
      </c>
      <c r="BH331" s="1">
        <v>45245.791666666664</v>
      </c>
      <c r="BI331">
        <v>40</v>
      </c>
      <c r="BJ331">
        <v>0</v>
      </c>
      <c r="BK331">
        <v>8</v>
      </c>
      <c r="BL331">
        <v>8</v>
      </c>
      <c r="BM331">
        <v>8</v>
      </c>
      <c r="BN331">
        <v>8</v>
      </c>
      <c r="BO331">
        <v>8</v>
      </c>
      <c r="BP331">
        <v>0</v>
      </c>
      <c r="BQ331" t="str">
        <f>"6:00 AM"</f>
        <v>6:00 AM</v>
      </c>
      <c r="BR331" t="str">
        <f>"3:30 PM"</f>
        <v>3:30 PM</v>
      </c>
      <c r="BS331" t="s">
        <v>131</v>
      </c>
      <c r="BT331">
        <v>0</v>
      </c>
      <c r="BU331">
        <v>0</v>
      </c>
      <c r="BV331" t="s">
        <v>114</v>
      </c>
      <c r="BX331" t="s">
        <v>2670</v>
      </c>
      <c r="BY331" t="s">
        <v>7715</v>
      </c>
      <c r="CA331" t="s">
        <v>7519</v>
      </c>
      <c r="CB331" t="s">
        <v>819</v>
      </c>
      <c r="CC331" s="8" t="str">
        <f>"47715"</f>
        <v>47715</v>
      </c>
      <c r="CD331" t="s">
        <v>7716</v>
      </c>
      <c r="CE331" t="s">
        <v>7717</v>
      </c>
      <c r="CF331" s="12">
        <v>15.8</v>
      </c>
      <c r="CH331" s="12">
        <v>23.7</v>
      </c>
      <c r="CJ331" t="s">
        <v>135</v>
      </c>
      <c r="CK331" t="s">
        <v>132</v>
      </c>
      <c r="CL331" t="s">
        <v>7718</v>
      </c>
      <c r="CO331" t="s">
        <v>132</v>
      </c>
      <c r="CP331" t="s">
        <v>136</v>
      </c>
      <c r="CQ331" t="s">
        <v>136</v>
      </c>
      <c r="CR331" t="s">
        <v>136</v>
      </c>
      <c r="CS331" t="s">
        <v>136</v>
      </c>
      <c r="CT331" t="s">
        <v>136</v>
      </c>
      <c r="CU331" t="s">
        <v>136</v>
      </c>
      <c r="CV331" t="s">
        <v>7719</v>
      </c>
      <c r="CW331" s="10" t="str">
        <f>"+18124543229"</f>
        <v>+18124543229</v>
      </c>
      <c r="CX331" t="s">
        <v>7714</v>
      </c>
      <c r="CY331" t="s">
        <v>132</v>
      </c>
      <c r="CZ331" t="s">
        <v>137</v>
      </c>
      <c r="DA331" t="s">
        <v>114</v>
      </c>
      <c r="DB331" t="s">
        <v>136</v>
      </c>
      <c r="DC331" t="s">
        <v>136</v>
      </c>
      <c r="DD331" t="s">
        <v>114</v>
      </c>
    </row>
    <row r="332" spans="1:108" ht="15" customHeight="1" x14ac:dyDescent="0.25">
      <c r="A332" t="s">
        <v>5334</v>
      </c>
      <c r="B332" t="s">
        <v>152</v>
      </c>
      <c r="C332" s="1">
        <v>45247.000223842595</v>
      </c>
      <c r="D332" s="1">
        <v>45278</v>
      </c>
      <c r="E332" t="s">
        <v>132</v>
      </c>
      <c r="F332" t="s">
        <v>1595</v>
      </c>
      <c r="G332" t="str">
        <f>"37-3011.00"</f>
        <v>37-3011.00</v>
      </c>
      <c r="H332" t="s">
        <v>429</v>
      </c>
      <c r="I332">
        <v>22</v>
      </c>
      <c r="J332">
        <v>22</v>
      </c>
      <c r="K332" s="1">
        <v>45337</v>
      </c>
      <c r="L332" s="1">
        <v>45626</v>
      </c>
      <c r="M332" s="1">
        <v>45337</v>
      </c>
      <c r="N332" s="1">
        <v>45626</v>
      </c>
      <c r="O332" t="s">
        <v>238</v>
      </c>
      <c r="P332" t="s">
        <v>5335</v>
      </c>
      <c r="R332" t="s">
        <v>5336</v>
      </c>
      <c r="T332" t="s">
        <v>5337</v>
      </c>
      <c r="U332" t="s">
        <v>984</v>
      </c>
      <c r="V332" s="8" t="str">
        <f>"63367"</f>
        <v>63367</v>
      </c>
      <c r="W332" t="s">
        <v>118</v>
      </c>
      <c r="Y332" s="10">
        <v>16366957800</v>
      </c>
      <c r="AA332">
        <v>56173</v>
      </c>
      <c r="AB332" t="s">
        <v>5338</v>
      </c>
      <c r="AC332" t="s">
        <v>5339</v>
      </c>
      <c r="AE332" t="s">
        <v>1836</v>
      </c>
      <c r="AF332" t="s">
        <v>5336</v>
      </c>
      <c r="AH332" t="s">
        <v>5337</v>
      </c>
      <c r="AI332" t="s">
        <v>984</v>
      </c>
      <c r="AJ332" s="8" t="str">
        <f>"63367"</f>
        <v>63367</v>
      </c>
      <c r="AK332" t="s">
        <v>118</v>
      </c>
      <c r="AM332" s="10">
        <v>16366957800</v>
      </c>
      <c r="AO332" t="s">
        <v>5340</v>
      </c>
      <c r="AP332" t="s">
        <v>248</v>
      </c>
      <c r="AQ332" t="s">
        <v>960</v>
      </c>
      <c r="AR332" t="s">
        <v>961</v>
      </c>
      <c r="AS332" t="s">
        <v>962</v>
      </c>
      <c r="AT332" t="s">
        <v>963</v>
      </c>
      <c r="AU332" t="s">
        <v>296</v>
      </c>
      <c r="AV332" t="s">
        <v>964</v>
      </c>
      <c r="AW332" t="s">
        <v>127</v>
      </c>
      <c r="AX332" s="8" t="str">
        <f>"75033"</f>
        <v>75033</v>
      </c>
      <c r="AY332" t="s">
        <v>118</v>
      </c>
      <c r="BA332" s="10">
        <v>19727789690</v>
      </c>
      <c r="BC332" t="s">
        <v>1388</v>
      </c>
      <c r="BD332" t="s">
        <v>966</v>
      </c>
      <c r="BG332" t="s">
        <v>984</v>
      </c>
      <c r="BH332" s="1">
        <v>45246.791666666664</v>
      </c>
      <c r="BI332">
        <v>48</v>
      </c>
      <c r="BJ332">
        <v>0</v>
      </c>
      <c r="BK332">
        <v>8</v>
      </c>
      <c r="BL332">
        <v>8</v>
      </c>
      <c r="BM332">
        <v>8</v>
      </c>
      <c r="BN332">
        <v>8</v>
      </c>
      <c r="BO332">
        <v>8</v>
      </c>
      <c r="BP332">
        <v>8</v>
      </c>
      <c r="BQ332" t="str">
        <f>"6:00 AM"</f>
        <v>6:00 AM</v>
      </c>
      <c r="BR332" t="str">
        <f>"3:00 PM"</f>
        <v>3:00 PM</v>
      </c>
      <c r="BS332" t="s">
        <v>131</v>
      </c>
      <c r="BT332">
        <v>0</v>
      </c>
      <c r="BU332">
        <v>0</v>
      </c>
      <c r="BV332" t="s">
        <v>114</v>
      </c>
      <c r="BX332" t="s">
        <v>5341</v>
      </c>
      <c r="BY332" t="s">
        <v>5342</v>
      </c>
      <c r="CA332" t="s">
        <v>5343</v>
      </c>
      <c r="CB332" t="s">
        <v>984</v>
      </c>
      <c r="CC332" s="8" t="str">
        <f>"63127"</f>
        <v>63127</v>
      </c>
      <c r="CD332" t="s">
        <v>2851</v>
      </c>
      <c r="CE332" t="s">
        <v>1856</v>
      </c>
      <c r="CF332" s="12">
        <v>17.579999999999998</v>
      </c>
      <c r="CG332" s="12">
        <v>17.579999999999998</v>
      </c>
      <c r="CH332" s="12">
        <v>26.37</v>
      </c>
      <c r="CI332" s="12">
        <v>26.37</v>
      </c>
      <c r="CJ332" t="s">
        <v>135</v>
      </c>
      <c r="CK332" t="s">
        <v>973</v>
      </c>
      <c r="CL332" t="s">
        <v>5344</v>
      </c>
      <c r="CO332" t="s">
        <v>132</v>
      </c>
      <c r="CP332" t="s">
        <v>136</v>
      </c>
      <c r="CQ332" t="s">
        <v>136</v>
      </c>
      <c r="CR332" t="s">
        <v>136</v>
      </c>
      <c r="CS332" t="s">
        <v>136</v>
      </c>
      <c r="CT332" t="s">
        <v>136</v>
      </c>
      <c r="CU332" t="s">
        <v>136</v>
      </c>
      <c r="CV332" t="s">
        <v>5345</v>
      </c>
      <c r="CW332" s="10" t="str">
        <f>"+16366957800"</f>
        <v>+16366957800</v>
      </c>
      <c r="CX332" t="s">
        <v>132</v>
      </c>
      <c r="CY332" t="s">
        <v>5346</v>
      </c>
      <c r="CZ332" t="s">
        <v>137</v>
      </c>
      <c r="DA332" t="s">
        <v>114</v>
      </c>
      <c r="DB332" t="s">
        <v>136</v>
      </c>
      <c r="DC332" t="s">
        <v>136</v>
      </c>
      <c r="DD332" t="s">
        <v>114</v>
      </c>
    </row>
    <row r="333" spans="1:108" ht="15" customHeight="1" x14ac:dyDescent="0.25">
      <c r="A333" t="s">
        <v>24076</v>
      </c>
      <c r="B333" t="s">
        <v>152</v>
      </c>
      <c r="C333" s="1">
        <v>45234.972272106483</v>
      </c>
      <c r="D333" s="1">
        <v>45278</v>
      </c>
      <c r="E333" t="s">
        <v>132</v>
      </c>
      <c r="F333" t="s">
        <v>2230</v>
      </c>
      <c r="G333" t="str">
        <f>"37-3011.00"</f>
        <v>37-3011.00</v>
      </c>
      <c r="H333" t="s">
        <v>429</v>
      </c>
      <c r="I333">
        <v>30</v>
      </c>
      <c r="J333">
        <v>30</v>
      </c>
      <c r="K333" s="1">
        <v>45323</v>
      </c>
      <c r="L333" s="1">
        <v>45626</v>
      </c>
      <c r="M333" s="1">
        <v>45323</v>
      </c>
      <c r="N333" s="1">
        <v>45626</v>
      </c>
      <c r="O333" t="s">
        <v>238</v>
      </c>
      <c r="P333" t="s">
        <v>24077</v>
      </c>
      <c r="Q333" t="s">
        <v>24077</v>
      </c>
      <c r="R333" t="s">
        <v>4676</v>
      </c>
      <c r="T333" t="s">
        <v>3520</v>
      </c>
      <c r="U333" t="s">
        <v>1427</v>
      </c>
      <c r="V333" s="8" t="str">
        <f>"19702"</f>
        <v>19702</v>
      </c>
      <c r="W333" t="s">
        <v>118</v>
      </c>
      <c r="Y333" s="10">
        <v>13025591428</v>
      </c>
      <c r="AA333">
        <v>56173</v>
      </c>
      <c r="AB333" t="s">
        <v>4677</v>
      </c>
      <c r="AC333" t="s">
        <v>4170</v>
      </c>
      <c r="AE333" t="s">
        <v>629</v>
      </c>
      <c r="AF333" t="s">
        <v>4676</v>
      </c>
      <c r="AH333" t="s">
        <v>3520</v>
      </c>
      <c r="AI333" t="s">
        <v>1427</v>
      </c>
      <c r="AJ333" s="8" t="str">
        <f>"19702"</f>
        <v>19702</v>
      </c>
      <c r="AK333" t="s">
        <v>118</v>
      </c>
      <c r="AM333" s="10">
        <v>13025591428</v>
      </c>
      <c r="AO333" t="s">
        <v>4678</v>
      </c>
      <c r="AP333" t="s">
        <v>121</v>
      </c>
      <c r="AQ333" t="s">
        <v>2236</v>
      </c>
      <c r="AR333" t="s">
        <v>2237</v>
      </c>
      <c r="AS333" t="s">
        <v>2238</v>
      </c>
      <c r="AT333" t="s">
        <v>3668</v>
      </c>
      <c r="AV333" t="s">
        <v>3669</v>
      </c>
      <c r="AW333" t="s">
        <v>1427</v>
      </c>
      <c r="AX333" s="8" t="str">
        <f>"19934"</f>
        <v>19934</v>
      </c>
      <c r="AY333" t="s">
        <v>118</v>
      </c>
      <c r="BA333" s="10">
        <v>16103485354</v>
      </c>
      <c r="BC333" t="s">
        <v>2240</v>
      </c>
      <c r="BD333" t="s">
        <v>2241</v>
      </c>
      <c r="BE333" t="s">
        <v>434</v>
      </c>
      <c r="BF333" t="s">
        <v>2242</v>
      </c>
      <c r="BG333" t="s">
        <v>1427</v>
      </c>
      <c r="BH333" s="1">
        <v>45233.833333333336</v>
      </c>
      <c r="BI333">
        <v>50</v>
      </c>
      <c r="BJ333">
        <v>0</v>
      </c>
      <c r="BK333">
        <v>8</v>
      </c>
      <c r="BL333">
        <v>8</v>
      </c>
      <c r="BM333">
        <v>8</v>
      </c>
      <c r="BN333">
        <v>8</v>
      </c>
      <c r="BO333">
        <v>8</v>
      </c>
      <c r="BP333">
        <v>10</v>
      </c>
      <c r="BQ333" t="str">
        <f>"7:00 AM"</f>
        <v>7:00 AM</v>
      </c>
      <c r="BR333" t="str">
        <f>"3:30 PM"</f>
        <v>3:30 PM</v>
      </c>
      <c r="BS333" t="s">
        <v>131</v>
      </c>
      <c r="BT333">
        <v>0</v>
      </c>
      <c r="BU333">
        <v>0</v>
      </c>
      <c r="BV333" t="s">
        <v>114</v>
      </c>
      <c r="BX333" s="2" t="s">
        <v>2243</v>
      </c>
      <c r="BY333" t="s">
        <v>4676</v>
      </c>
      <c r="CA333" t="s">
        <v>3520</v>
      </c>
      <c r="CB333" t="s">
        <v>1427</v>
      </c>
      <c r="CC333" s="8" t="str">
        <f>"19702"</f>
        <v>19702</v>
      </c>
      <c r="CD333" t="s">
        <v>3479</v>
      </c>
      <c r="CE333" t="s">
        <v>443</v>
      </c>
      <c r="CF333" s="12">
        <v>18.71</v>
      </c>
      <c r="CG333" s="12">
        <v>18.71</v>
      </c>
      <c r="CH333" s="12">
        <v>28.07</v>
      </c>
      <c r="CI333" s="12">
        <v>28.07</v>
      </c>
      <c r="CJ333" t="s">
        <v>135</v>
      </c>
      <c r="CL333" t="s">
        <v>24078</v>
      </c>
      <c r="CO333" t="s">
        <v>132</v>
      </c>
      <c r="CP333" t="s">
        <v>136</v>
      </c>
      <c r="CQ333" t="s">
        <v>136</v>
      </c>
      <c r="CR333" t="s">
        <v>136</v>
      </c>
      <c r="CS333" t="s">
        <v>136</v>
      </c>
      <c r="CT333" t="s">
        <v>136</v>
      </c>
      <c r="CU333" t="s">
        <v>114</v>
      </c>
      <c r="CV333" t="s">
        <v>2246</v>
      </c>
      <c r="CW333" s="10" t="str">
        <f>"+13025591428"</f>
        <v>+13025591428</v>
      </c>
      <c r="CX333" t="s">
        <v>4678</v>
      </c>
      <c r="CY333" t="s">
        <v>132</v>
      </c>
      <c r="CZ333" t="s">
        <v>137</v>
      </c>
      <c r="DA333" t="s">
        <v>114</v>
      </c>
      <c r="DB333" t="s">
        <v>114</v>
      </c>
      <c r="DC333" t="s">
        <v>136</v>
      </c>
      <c r="DD333" t="s">
        <v>114</v>
      </c>
    </row>
    <row r="334" spans="1:108" ht="15" customHeight="1" x14ac:dyDescent="0.25">
      <c r="A334" t="s">
        <v>9561</v>
      </c>
      <c r="B334" t="s">
        <v>152</v>
      </c>
      <c r="C334" s="1">
        <v>45233.547620949073</v>
      </c>
      <c r="D334" s="1">
        <v>45278</v>
      </c>
      <c r="E334" t="s">
        <v>132</v>
      </c>
      <c r="F334" t="s">
        <v>2230</v>
      </c>
      <c r="G334" t="str">
        <f>"37-3011.00"</f>
        <v>37-3011.00</v>
      </c>
      <c r="H334" t="s">
        <v>429</v>
      </c>
      <c r="I334">
        <v>12</v>
      </c>
      <c r="J334">
        <v>12</v>
      </c>
      <c r="K334" s="1">
        <v>45323</v>
      </c>
      <c r="L334" s="1">
        <v>45626</v>
      </c>
      <c r="M334" s="1">
        <v>45323</v>
      </c>
      <c r="N334" s="1">
        <v>45626</v>
      </c>
      <c r="O334" t="s">
        <v>116</v>
      </c>
      <c r="P334" t="s">
        <v>9562</v>
      </c>
      <c r="R334" t="s">
        <v>9563</v>
      </c>
      <c r="T334" t="s">
        <v>9564</v>
      </c>
      <c r="U334" t="s">
        <v>434</v>
      </c>
      <c r="V334" s="8" t="str">
        <f>"19060"</f>
        <v>19060</v>
      </c>
      <c r="W334" t="s">
        <v>118</v>
      </c>
      <c r="Y334" s="10">
        <v>16103297714</v>
      </c>
      <c r="AA334">
        <v>56173</v>
      </c>
      <c r="AB334" t="s">
        <v>9565</v>
      </c>
      <c r="AC334" t="s">
        <v>2770</v>
      </c>
      <c r="AE334" t="s">
        <v>629</v>
      </c>
      <c r="AF334" t="s">
        <v>9563</v>
      </c>
      <c r="AH334" t="s">
        <v>9564</v>
      </c>
      <c r="AI334" t="s">
        <v>434</v>
      </c>
      <c r="AJ334" s="8" t="str">
        <f>"19060"</f>
        <v>19060</v>
      </c>
      <c r="AK334" t="s">
        <v>118</v>
      </c>
      <c r="AM334" s="10">
        <v>16103297714</v>
      </c>
      <c r="AO334" t="s">
        <v>9566</v>
      </c>
      <c r="AP334" t="s">
        <v>121</v>
      </c>
      <c r="AQ334" t="s">
        <v>2236</v>
      </c>
      <c r="AR334" t="s">
        <v>2237</v>
      </c>
      <c r="AS334" t="s">
        <v>2238</v>
      </c>
      <c r="AT334" t="s">
        <v>3668</v>
      </c>
      <c r="AV334" t="s">
        <v>1426</v>
      </c>
      <c r="AW334" t="s">
        <v>1427</v>
      </c>
      <c r="AX334" s="8" t="str">
        <f>"19934"</f>
        <v>19934</v>
      </c>
      <c r="AY334" t="s">
        <v>118</v>
      </c>
      <c r="BA334" s="10">
        <v>16103485354</v>
      </c>
      <c r="BC334" t="s">
        <v>2240</v>
      </c>
      <c r="BD334" t="s">
        <v>2241</v>
      </c>
      <c r="BE334" t="s">
        <v>434</v>
      </c>
      <c r="BF334" t="s">
        <v>2242</v>
      </c>
      <c r="BG334" t="s">
        <v>434</v>
      </c>
      <c r="BH334" s="1">
        <v>45232.833333333336</v>
      </c>
      <c r="BI334">
        <v>50</v>
      </c>
      <c r="BJ334">
        <v>0</v>
      </c>
      <c r="BK334">
        <v>8</v>
      </c>
      <c r="BL334">
        <v>8</v>
      </c>
      <c r="BM334">
        <v>8</v>
      </c>
      <c r="BN334">
        <v>8</v>
      </c>
      <c r="BO334">
        <v>8</v>
      </c>
      <c r="BP334">
        <v>10</v>
      </c>
      <c r="BQ334" t="str">
        <f>"7:30 AM"</f>
        <v>7:30 AM</v>
      </c>
      <c r="BR334" t="str">
        <f>"4:30 PM"</f>
        <v>4:30 PM</v>
      </c>
      <c r="BS334" t="s">
        <v>131</v>
      </c>
      <c r="BT334">
        <v>0</v>
      </c>
      <c r="BU334">
        <v>0</v>
      </c>
      <c r="BV334" t="s">
        <v>114</v>
      </c>
      <c r="BX334" s="2" t="s">
        <v>2243</v>
      </c>
      <c r="BY334" t="s">
        <v>9567</v>
      </c>
      <c r="CA334" t="s">
        <v>3671</v>
      </c>
      <c r="CB334" t="s">
        <v>434</v>
      </c>
      <c r="CC334" s="8" t="str">
        <f>"19014"</f>
        <v>19014</v>
      </c>
      <c r="CD334" t="s">
        <v>442</v>
      </c>
      <c r="CE334" t="s">
        <v>443</v>
      </c>
      <c r="CF334" s="12">
        <v>18.71</v>
      </c>
      <c r="CG334" s="12">
        <v>18.71</v>
      </c>
      <c r="CH334" s="12">
        <v>28.07</v>
      </c>
      <c r="CI334" s="12">
        <v>28.07</v>
      </c>
      <c r="CJ334" t="s">
        <v>135</v>
      </c>
      <c r="CL334" t="s">
        <v>9568</v>
      </c>
      <c r="CO334" t="s">
        <v>132</v>
      </c>
      <c r="CP334" t="s">
        <v>136</v>
      </c>
      <c r="CQ334" t="s">
        <v>136</v>
      </c>
      <c r="CR334" t="s">
        <v>136</v>
      </c>
      <c r="CS334" t="s">
        <v>136</v>
      </c>
      <c r="CT334" t="s">
        <v>136</v>
      </c>
      <c r="CU334" t="s">
        <v>114</v>
      </c>
      <c r="CV334" t="s">
        <v>2246</v>
      </c>
      <c r="CW334" s="10" t="str">
        <f>"+16103297714"</f>
        <v>+16103297714</v>
      </c>
      <c r="CX334" t="s">
        <v>9566</v>
      </c>
      <c r="CY334" t="s">
        <v>132</v>
      </c>
      <c r="CZ334" t="s">
        <v>137</v>
      </c>
      <c r="DA334" t="s">
        <v>114</v>
      </c>
      <c r="DB334" t="s">
        <v>114</v>
      </c>
      <c r="DC334" t="s">
        <v>136</v>
      </c>
      <c r="DD334" t="s">
        <v>114</v>
      </c>
    </row>
    <row r="335" spans="1:108" ht="15" customHeight="1" x14ac:dyDescent="0.25">
      <c r="A335" t="s">
        <v>12463</v>
      </c>
      <c r="B335" t="s">
        <v>152</v>
      </c>
      <c r="C335" s="1">
        <v>45233.022739930559</v>
      </c>
      <c r="D335" s="1">
        <v>45278</v>
      </c>
      <c r="E335" t="s">
        <v>132</v>
      </c>
      <c r="F335" t="s">
        <v>1595</v>
      </c>
      <c r="G335" t="str">
        <f>"37-3011.00"</f>
        <v>37-3011.00</v>
      </c>
      <c r="H335" t="s">
        <v>429</v>
      </c>
      <c r="I335">
        <v>26</v>
      </c>
      <c r="J335">
        <v>26</v>
      </c>
      <c r="K335" s="1">
        <v>45323</v>
      </c>
      <c r="L335" s="1">
        <v>45597</v>
      </c>
      <c r="M335" s="1">
        <v>45323</v>
      </c>
      <c r="N335" s="1">
        <v>45597</v>
      </c>
      <c r="O335" t="s">
        <v>116</v>
      </c>
      <c r="P335" t="s">
        <v>12464</v>
      </c>
      <c r="R335" t="s">
        <v>12465</v>
      </c>
      <c r="S335" t="s">
        <v>12466</v>
      </c>
      <c r="T335" t="s">
        <v>2087</v>
      </c>
      <c r="U335" t="s">
        <v>127</v>
      </c>
      <c r="V335" s="8" t="str">
        <f>"75401"</f>
        <v>75401</v>
      </c>
      <c r="W335" t="s">
        <v>118</v>
      </c>
      <c r="Y335" s="10">
        <v>19034543935</v>
      </c>
      <c r="AA335">
        <v>56173</v>
      </c>
      <c r="AB335" t="s">
        <v>12467</v>
      </c>
      <c r="AC335" t="s">
        <v>2449</v>
      </c>
      <c r="AD335" t="s">
        <v>1719</v>
      </c>
      <c r="AE335" t="s">
        <v>629</v>
      </c>
      <c r="AF335" t="s">
        <v>12465</v>
      </c>
      <c r="AG335" t="s">
        <v>12466</v>
      </c>
      <c r="AH335" t="s">
        <v>2087</v>
      </c>
      <c r="AI335" t="s">
        <v>127</v>
      </c>
      <c r="AJ335" s="8" t="str">
        <f>"75401"</f>
        <v>75401</v>
      </c>
      <c r="AK335" t="s">
        <v>118</v>
      </c>
      <c r="AM335" s="10">
        <v>19034543935</v>
      </c>
      <c r="AO335" t="s">
        <v>12468</v>
      </c>
      <c r="AP335" t="s">
        <v>248</v>
      </c>
      <c r="AQ335" t="s">
        <v>3017</v>
      </c>
      <c r="AR335" t="s">
        <v>3018</v>
      </c>
      <c r="AT335" t="s">
        <v>3371</v>
      </c>
      <c r="AV335" t="s">
        <v>1168</v>
      </c>
      <c r="AW335" t="s">
        <v>127</v>
      </c>
      <c r="AX335" s="8" t="str">
        <f>"75098"</f>
        <v>75098</v>
      </c>
      <c r="AY335" t="s">
        <v>118</v>
      </c>
      <c r="BA335" s="10">
        <v>19724424244</v>
      </c>
      <c r="BC335" t="s">
        <v>3372</v>
      </c>
      <c r="BD335" t="s">
        <v>3021</v>
      </c>
      <c r="BG335" t="s">
        <v>127</v>
      </c>
      <c r="BH335" s="1">
        <v>45232.833333333336</v>
      </c>
      <c r="BI335">
        <v>40</v>
      </c>
      <c r="BJ335">
        <v>0</v>
      </c>
      <c r="BK335">
        <v>8</v>
      </c>
      <c r="BL335">
        <v>8</v>
      </c>
      <c r="BM335">
        <v>8</v>
      </c>
      <c r="BN335">
        <v>8</v>
      </c>
      <c r="BO335">
        <v>8</v>
      </c>
      <c r="BP335">
        <v>0</v>
      </c>
      <c r="BQ335" t="str">
        <f>"7:30 AM"</f>
        <v>7:30 AM</v>
      </c>
      <c r="BR335" t="str">
        <f>"4:30 PM"</f>
        <v>4:30 PM</v>
      </c>
      <c r="BS335" t="s">
        <v>131</v>
      </c>
      <c r="BT335">
        <v>0</v>
      </c>
      <c r="BU335">
        <v>0</v>
      </c>
      <c r="BV335" t="s">
        <v>114</v>
      </c>
      <c r="BX335" t="s">
        <v>131</v>
      </c>
      <c r="BY335" t="s">
        <v>12465</v>
      </c>
      <c r="CA335" t="s">
        <v>2087</v>
      </c>
      <c r="CB335" t="s">
        <v>127</v>
      </c>
      <c r="CC335" s="8" t="str">
        <f>"75401"</f>
        <v>75401</v>
      </c>
      <c r="CD335" t="s">
        <v>11438</v>
      </c>
      <c r="CE335" t="s">
        <v>263</v>
      </c>
      <c r="CF335" s="12">
        <v>16.86</v>
      </c>
      <c r="CG335" s="12">
        <v>18.86</v>
      </c>
      <c r="CH335" s="12">
        <v>25.29</v>
      </c>
      <c r="CI335" s="12">
        <v>28.29</v>
      </c>
      <c r="CJ335" t="s">
        <v>135</v>
      </c>
      <c r="CK335" t="s">
        <v>132</v>
      </c>
      <c r="CL335" t="s">
        <v>12469</v>
      </c>
      <c r="CO335" t="s">
        <v>132</v>
      </c>
      <c r="CP335" t="s">
        <v>136</v>
      </c>
      <c r="CQ335" t="s">
        <v>136</v>
      </c>
      <c r="CR335" t="s">
        <v>136</v>
      </c>
      <c r="CS335" t="s">
        <v>136</v>
      </c>
      <c r="CT335" t="s">
        <v>136</v>
      </c>
      <c r="CU335" t="s">
        <v>136</v>
      </c>
      <c r="CV335" t="s">
        <v>12470</v>
      </c>
      <c r="CW335" s="10" t="str">
        <f>"+19034543935"</f>
        <v>+19034543935</v>
      </c>
      <c r="CX335" t="s">
        <v>132</v>
      </c>
      <c r="CY335" t="s">
        <v>3190</v>
      </c>
      <c r="CZ335" t="s">
        <v>137</v>
      </c>
      <c r="DA335" t="s">
        <v>114</v>
      </c>
      <c r="DB335" t="s">
        <v>114</v>
      </c>
      <c r="DC335" t="s">
        <v>136</v>
      </c>
      <c r="DD335" t="s">
        <v>114</v>
      </c>
    </row>
    <row r="336" spans="1:108" ht="15" customHeight="1" x14ac:dyDescent="0.25">
      <c r="A336" t="s">
        <v>15163</v>
      </c>
      <c r="B336" t="s">
        <v>152</v>
      </c>
      <c r="C336" s="1">
        <v>45233.001320717594</v>
      </c>
      <c r="D336" s="1">
        <v>45278</v>
      </c>
      <c r="E336" t="s">
        <v>132</v>
      </c>
      <c r="F336" t="s">
        <v>1595</v>
      </c>
      <c r="G336" t="str">
        <f>"37-3011.00"</f>
        <v>37-3011.00</v>
      </c>
      <c r="H336" t="s">
        <v>429</v>
      </c>
      <c r="I336">
        <v>10</v>
      </c>
      <c r="J336">
        <v>10</v>
      </c>
      <c r="K336" s="1">
        <v>45323</v>
      </c>
      <c r="L336" s="1">
        <v>45626</v>
      </c>
      <c r="M336" s="1">
        <v>45323</v>
      </c>
      <c r="N336" s="1">
        <v>45626</v>
      </c>
      <c r="O336" t="s">
        <v>116</v>
      </c>
      <c r="P336" t="s">
        <v>10814</v>
      </c>
      <c r="Q336" t="s">
        <v>15164</v>
      </c>
      <c r="R336" t="s">
        <v>15165</v>
      </c>
      <c r="T336" t="s">
        <v>2119</v>
      </c>
      <c r="U336" t="s">
        <v>386</v>
      </c>
      <c r="V336" s="8" t="str">
        <f>"37777"</f>
        <v>37777</v>
      </c>
      <c r="W336" t="s">
        <v>118</v>
      </c>
      <c r="Y336" s="10">
        <v>18655624192</v>
      </c>
      <c r="AA336">
        <v>56173</v>
      </c>
      <c r="AB336" t="s">
        <v>10817</v>
      </c>
      <c r="AC336" t="s">
        <v>10818</v>
      </c>
      <c r="AE336" t="s">
        <v>15166</v>
      </c>
      <c r="AF336" t="s">
        <v>15165</v>
      </c>
      <c r="AH336" t="s">
        <v>2119</v>
      </c>
      <c r="AI336" t="s">
        <v>386</v>
      </c>
      <c r="AJ336" s="8" t="str">
        <f>"37777"</f>
        <v>37777</v>
      </c>
      <c r="AK336" t="s">
        <v>118</v>
      </c>
      <c r="AM336" s="10">
        <v>18655624192</v>
      </c>
      <c r="AO336" t="s">
        <v>10820</v>
      </c>
      <c r="AP336" t="s">
        <v>248</v>
      </c>
      <c r="AQ336" t="s">
        <v>2732</v>
      </c>
      <c r="AR336" t="s">
        <v>2733</v>
      </c>
      <c r="AT336" t="s">
        <v>851</v>
      </c>
      <c r="AU336" t="s">
        <v>852</v>
      </c>
      <c r="AV336" t="s">
        <v>10821</v>
      </c>
      <c r="AW336" t="s">
        <v>854</v>
      </c>
      <c r="AX336" s="8" t="str">
        <f>"83814"</f>
        <v>83814</v>
      </c>
      <c r="AY336" t="s">
        <v>118</v>
      </c>
      <c r="BA336" s="10">
        <v>12087772654</v>
      </c>
      <c r="BC336" t="s">
        <v>2734</v>
      </c>
      <c r="BD336" t="s">
        <v>856</v>
      </c>
      <c r="BG336" t="s">
        <v>386</v>
      </c>
      <c r="BH336" s="1">
        <v>45231.833333333336</v>
      </c>
      <c r="BI336">
        <v>40</v>
      </c>
      <c r="BJ336">
        <v>0</v>
      </c>
      <c r="BK336">
        <v>8</v>
      </c>
      <c r="BL336">
        <v>8</v>
      </c>
      <c r="BM336">
        <v>8</v>
      </c>
      <c r="BN336">
        <v>8</v>
      </c>
      <c r="BO336">
        <v>8</v>
      </c>
      <c r="BP336">
        <v>0</v>
      </c>
      <c r="BQ336" t="str">
        <f>"6:30 AM"</f>
        <v>6:30 AM</v>
      </c>
      <c r="BR336" t="str">
        <f>"6:30 PM"</f>
        <v>6:30 PM</v>
      </c>
      <c r="BS336" t="s">
        <v>131</v>
      </c>
      <c r="BT336">
        <v>0</v>
      </c>
      <c r="BU336">
        <v>0</v>
      </c>
      <c r="BV336" t="s">
        <v>114</v>
      </c>
      <c r="BX336" s="2" t="s">
        <v>9802</v>
      </c>
      <c r="BY336" t="s">
        <v>15167</v>
      </c>
      <c r="CA336" t="s">
        <v>2119</v>
      </c>
      <c r="CB336" t="s">
        <v>386</v>
      </c>
      <c r="CC336" s="8" t="str">
        <f>"37777"</f>
        <v>37777</v>
      </c>
      <c r="CD336" t="s">
        <v>14587</v>
      </c>
      <c r="CE336" t="s">
        <v>3276</v>
      </c>
      <c r="CF336" s="12">
        <v>16.32</v>
      </c>
      <c r="CG336" s="12">
        <v>16.8</v>
      </c>
      <c r="CH336" s="12">
        <v>24.48</v>
      </c>
      <c r="CI336" s="12">
        <v>25.2</v>
      </c>
      <c r="CJ336" t="s">
        <v>135</v>
      </c>
      <c r="CK336" t="s">
        <v>10823</v>
      </c>
      <c r="CL336" t="s">
        <v>15168</v>
      </c>
      <c r="CO336" t="s">
        <v>132</v>
      </c>
      <c r="CP336" t="s">
        <v>136</v>
      </c>
      <c r="CQ336" t="s">
        <v>136</v>
      </c>
      <c r="CR336" t="s">
        <v>136</v>
      </c>
      <c r="CS336" t="s">
        <v>136</v>
      </c>
      <c r="CT336" t="s">
        <v>136</v>
      </c>
      <c r="CU336" t="s">
        <v>136</v>
      </c>
      <c r="CV336" t="s">
        <v>15169</v>
      </c>
      <c r="CW336" s="10" t="str">
        <f>"+19727071589"</f>
        <v>+19727071589</v>
      </c>
      <c r="CX336" t="s">
        <v>10826</v>
      </c>
      <c r="CY336" t="s">
        <v>132</v>
      </c>
      <c r="CZ336" t="s">
        <v>137</v>
      </c>
      <c r="DA336" t="s">
        <v>114</v>
      </c>
      <c r="DB336" t="s">
        <v>136</v>
      </c>
      <c r="DC336" t="s">
        <v>136</v>
      </c>
      <c r="DD336" t="s">
        <v>114</v>
      </c>
    </row>
    <row r="337" spans="1:113" ht="15" customHeight="1" x14ac:dyDescent="0.25">
      <c r="A337" t="s">
        <v>20084</v>
      </c>
      <c r="B337" t="s">
        <v>152</v>
      </c>
      <c r="C337" s="1">
        <v>45224.453202083336</v>
      </c>
      <c r="D337" s="1">
        <v>45278</v>
      </c>
      <c r="E337" t="s">
        <v>132</v>
      </c>
      <c r="F337" t="s">
        <v>5382</v>
      </c>
      <c r="G337" t="str">
        <f>"37-1011.00"</f>
        <v>37-1011.00</v>
      </c>
      <c r="H337" t="s">
        <v>5383</v>
      </c>
      <c r="I337">
        <v>2</v>
      </c>
      <c r="J337">
        <v>2</v>
      </c>
      <c r="K337" s="1">
        <v>45299</v>
      </c>
      <c r="L337" s="1">
        <v>45550</v>
      </c>
      <c r="M337" s="1">
        <v>45299</v>
      </c>
      <c r="N337" s="1">
        <v>45550</v>
      </c>
      <c r="O337" t="s">
        <v>238</v>
      </c>
      <c r="P337" t="s">
        <v>10246</v>
      </c>
      <c r="Q337" t="s">
        <v>10246</v>
      </c>
      <c r="R337" t="s">
        <v>10247</v>
      </c>
      <c r="S337" t="s">
        <v>14312</v>
      </c>
      <c r="T337" t="s">
        <v>2773</v>
      </c>
      <c r="U337" t="s">
        <v>140</v>
      </c>
      <c r="V337" s="8" t="str">
        <f>"32408"</f>
        <v>32408</v>
      </c>
      <c r="W337" t="s">
        <v>118</v>
      </c>
      <c r="Y337" s="10">
        <v>17864929774</v>
      </c>
      <c r="AA337">
        <v>561720</v>
      </c>
      <c r="AB337" t="s">
        <v>10248</v>
      </c>
      <c r="AC337" t="s">
        <v>10249</v>
      </c>
      <c r="AE337" t="s">
        <v>629</v>
      </c>
      <c r="AF337" t="s">
        <v>10247</v>
      </c>
      <c r="AH337" t="s">
        <v>2773</v>
      </c>
      <c r="AI337" t="s">
        <v>140</v>
      </c>
      <c r="AJ337" s="8" t="str">
        <f>"32408"</f>
        <v>32408</v>
      </c>
      <c r="AK337" t="s">
        <v>118</v>
      </c>
      <c r="AM337" s="10">
        <v>17863285408</v>
      </c>
      <c r="AO337" t="s">
        <v>10250</v>
      </c>
      <c r="AX337" s="8" t="str">
        <f>""</f>
        <v/>
      </c>
      <c r="BG337" t="s">
        <v>140</v>
      </c>
      <c r="BH337" s="1">
        <v>45222.833333333336</v>
      </c>
      <c r="BI337">
        <v>35</v>
      </c>
      <c r="BJ337">
        <v>5</v>
      </c>
      <c r="BK337">
        <v>5</v>
      </c>
      <c r="BL337">
        <v>5</v>
      </c>
      <c r="BM337">
        <v>5</v>
      </c>
      <c r="BN337">
        <v>5</v>
      </c>
      <c r="BO337">
        <v>5</v>
      </c>
      <c r="BP337">
        <v>5</v>
      </c>
      <c r="BQ337" t="str">
        <f>"8:00 AM"</f>
        <v>8:00 AM</v>
      </c>
      <c r="BR337" t="str">
        <f>"4:00 PM"</f>
        <v>4:00 PM</v>
      </c>
      <c r="BS337" t="s">
        <v>147</v>
      </c>
      <c r="BT337">
        <v>0</v>
      </c>
      <c r="BU337">
        <v>12</v>
      </c>
      <c r="BV337" t="s">
        <v>136</v>
      </c>
      <c r="BW337">
        <v>25</v>
      </c>
      <c r="BX337" s="2" t="s">
        <v>20085</v>
      </c>
      <c r="BY337" t="s">
        <v>14161</v>
      </c>
      <c r="CA337" t="s">
        <v>3309</v>
      </c>
      <c r="CB337" t="s">
        <v>140</v>
      </c>
      <c r="CC337" s="8" t="str">
        <f>"32459"</f>
        <v>32459</v>
      </c>
      <c r="CD337" t="s">
        <v>7637</v>
      </c>
      <c r="CE337" t="s">
        <v>5538</v>
      </c>
      <c r="CF337" s="12">
        <v>20.16</v>
      </c>
      <c r="CG337" s="12">
        <v>20.3</v>
      </c>
      <c r="CH337" s="12">
        <v>30.24</v>
      </c>
      <c r="CI337" s="12">
        <v>30.45</v>
      </c>
      <c r="CJ337" t="s">
        <v>135</v>
      </c>
      <c r="CK337" t="s">
        <v>10253</v>
      </c>
      <c r="CL337" t="s">
        <v>20086</v>
      </c>
      <c r="CO337" t="s">
        <v>132</v>
      </c>
      <c r="CP337" t="s">
        <v>114</v>
      </c>
      <c r="CQ337" t="s">
        <v>114</v>
      </c>
      <c r="CR337" t="s">
        <v>136</v>
      </c>
      <c r="CS337" t="s">
        <v>114</v>
      </c>
      <c r="CT337" t="s">
        <v>136</v>
      </c>
      <c r="CU337" t="s">
        <v>136</v>
      </c>
      <c r="CV337" s="2" t="s">
        <v>20087</v>
      </c>
      <c r="CW337" s="10" t="str">
        <f>"N/A"</f>
        <v>N/A</v>
      </c>
      <c r="CX337" t="s">
        <v>20088</v>
      </c>
      <c r="CY337" t="s">
        <v>20089</v>
      </c>
      <c r="CZ337" t="s">
        <v>137</v>
      </c>
      <c r="DA337" t="s">
        <v>114</v>
      </c>
      <c r="DB337" t="s">
        <v>114</v>
      </c>
      <c r="DC337" t="s">
        <v>136</v>
      </c>
      <c r="DD337" t="s">
        <v>114</v>
      </c>
    </row>
    <row r="338" spans="1:113" ht="15" customHeight="1" x14ac:dyDescent="0.25">
      <c r="A338" t="s">
        <v>17623</v>
      </c>
      <c r="B338" t="s">
        <v>152</v>
      </c>
      <c r="C338" s="1">
        <v>45222.41945775463</v>
      </c>
      <c r="D338" s="1">
        <v>45278</v>
      </c>
      <c r="E338" t="s">
        <v>132</v>
      </c>
      <c r="F338" t="s">
        <v>13345</v>
      </c>
      <c r="G338" t="str">
        <f>"49-9099.00"</f>
        <v>49-9099.00</v>
      </c>
      <c r="H338" t="s">
        <v>3863</v>
      </c>
      <c r="I338">
        <v>15</v>
      </c>
      <c r="J338">
        <v>15</v>
      </c>
      <c r="K338" s="1">
        <v>45301</v>
      </c>
      <c r="L338" s="1">
        <v>45383</v>
      </c>
      <c r="M338" s="1">
        <v>45301</v>
      </c>
      <c r="N338" s="1">
        <v>45383</v>
      </c>
      <c r="O338" t="s">
        <v>238</v>
      </c>
      <c r="P338" t="s">
        <v>16923</v>
      </c>
      <c r="R338" t="s">
        <v>17624</v>
      </c>
      <c r="T338" t="s">
        <v>17625</v>
      </c>
      <c r="U338" t="s">
        <v>211</v>
      </c>
      <c r="V338" s="8" t="str">
        <f>"84737"</f>
        <v>84737</v>
      </c>
      <c r="W338" t="s">
        <v>118</v>
      </c>
      <c r="Y338" s="10">
        <v>18016805552</v>
      </c>
      <c r="AA338">
        <v>23821</v>
      </c>
      <c r="AB338" t="s">
        <v>4289</v>
      </c>
      <c r="AC338" t="s">
        <v>4290</v>
      </c>
      <c r="AE338" t="s">
        <v>4291</v>
      </c>
      <c r="AF338" t="s">
        <v>17624</v>
      </c>
      <c r="AH338" t="s">
        <v>17625</v>
      </c>
      <c r="AI338" t="s">
        <v>211</v>
      </c>
      <c r="AJ338" s="8" t="str">
        <f>"84737"</f>
        <v>84737</v>
      </c>
      <c r="AK338" t="s">
        <v>118</v>
      </c>
      <c r="AM338" s="10">
        <v>18014668044</v>
      </c>
      <c r="AO338" t="s">
        <v>4292</v>
      </c>
      <c r="AP338" t="s">
        <v>121</v>
      </c>
      <c r="AQ338" t="s">
        <v>4293</v>
      </c>
      <c r="AR338" t="s">
        <v>4294</v>
      </c>
      <c r="AS338" t="s">
        <v>3625</v>
      </c>
      <c r="AT338" t="s">
        <v>4295</v>
      </c>
      <c r="AV338" t="s">
        <v>320</v>
      </c>
      <c r="AW338" t="s">
        <v>127</v>
      </c>
      <c r="AX338" s="8" t="str">
        <f>"78705"</f>
        <v>78705</v>
      </c>
      <c r="AY338" t="s">
        <v>118</v>
      </c>
      <c r="BA338" s="10">
        <v>15123470007</v>
      </c>
      <c r="BC338" t="s">
        <v>4296</v>
      </c>
      <c r="BD338" t="s">
        <v>4297</v>
      </c>
      <c r="BE338" t="s">
        <v>127</v>
      </c>
      <c r="BF338" t="s">
        <v>4298</v>
      </c>
      <c r="BG338" t="s">
        <v>211</v>
      </c>
      <c r="BH338" s="1">
        <v>45221.833333333336</v>
      </c>
      <c r="BI338">
        <v>40</v>
      </c>
      <c r="BJ338">
        <v>0</v>
      </c>
      <c r="BK338">
        <v>8</v>
      </c>
      <c r="BL338">
        <v>8</v>
      </c>
      <c r="BM338">
        <v>8</v>
      </c>
      <c r="BN338">
        <v>8</v>
      </c>
      <c r="BO338">
        <v>8</v>
      </c>
      <c r="BP338">
        <v>0</v>
      </c>
      <c r="BQ338" t="str">
        <f>"8:00 AM"</f>
        <v>8:00 AM</v>
      </c>
      <c r="BR338" t="str">
        <f>"5:00 PM"</f>
        <v>5:00 PM</v>
      </c>
      <c r="BS338" t="s">
        <v>131</v>
      </c>
      <c r="BT338">
        <v>0</v>
      </c>
      <c r="BU338">
        <v>0</v>
      </c>
      <c r="BV338" t="s">
        <v>114</v>
      </c>
      <c r="BX338" t="s">
        <v>17626</v>
      </c>
      <c r="BY338" t="s">
        <v>17624</v>
      </c>
      <c r="CA338" t="s">
        <v>17625</v>
      </c>
      <c r="CB338" t="s">
        <v>211</v>
      </c>
      <c r="CC338" s="8" t="str">
        <f>"84737"</f>
        <v>84737</v>
      </c>
      <c r="CD338" t="s">
        <v>806</v>
      </c>
      <c r="CE338" t="s">
        <v>8029</v>
      </c>
      <c r="CF338" s="12">
        <v>18.34</v>
      </c>
      <c r="CH338" s="12">
        <v>27.51</v>
      </c>
      <c r="CJ338" t="s">
        <v>305</v>
      </c>
      <c r="CK338" t="s">
        <v>17627</v>
      </c>
      <c r="CL338" t="s">
        <v>17628</v>
      </c>
      <c r="CO338" t="s">
        <v>132</v>
      </c>
      <c r="CP338" t="s">
        <v>114</v>
      </c>
      <c r="CQ338" t="s">
        <v>136</v>
      </c>
      <c r="CR338" t="s">
        <v>136</v>
      </c>
      <c r="CS338" t="s">
        <v>136</v>
      </c>
      <c r="CT338" t="s">
        <v>136</v>
      </c>
      <c r="CU338" t="s">
        <v>136</v>
      </c>
      <c r="CV338" t="s">
        <v>4797</v>
      </c>
      <c r="CW338" s="10" t="str">
        <f>"+18016805552"</f>
        <v>+18016805552</v>
      </c>
      <c r="CX338" t="s">
        <v>4292</v>
      </c>
      <c r="CY338" t="s">
        <v>132</v>
      </c>
      <c r="CZ338" t="s">
        <v>137</v>
      </c>
      <c r="DA338" t="s">
        <v>114</v>
      </c>
      <c r="DB338" t="s">
        <v>114</v>
      </c>
      <c r="DC338" t="s">
        <v>136</v>
      </c>
      <c r="DD338" t="s">
        <v>114</v>
      </c>
    </row>
    <row r="339" spans="1:113" ht="15" customHeight="1" x14ac:dyDescent="0.25">
      <c r="A339" t="s">
        <v>12480</v>
      </c>
      <c r="B339" t="s">
        <v>152</v>
      </c>
      <c r="C339" s="1">
        <v>45217.523396759258</v>
      </c>
      <c r="D339" s="1">
        <v>45278</v>
      </c>
      <c r="E339" t="s">
        <v>132</v>
      </c>
      <c r="F339" t="s">
        <v>7731</v>
      </c>
      <c r="G339" t="str">
        <f>"51-9198.00"</f>
        <v>51-9198.00</v>
      </c>
      <c r="H339" t="s">
        <v>1892</v>
      </c>
      <c r="I339">
        <v>16</v>
      </c>
      <c r="J339">
        <v>16</v>
      </c>
      <c r="K339" s="1">
        <v>45306</v>
      </c>
      <c r="L339" s="1">
        <v>45610</v>
      </c>
      <c r="M339" s="1">
        <v>45306</v>
      </c>
      <c r="N339" s="1">
        <v>45610</v>
      </c>
      <c r="O339" t="s">
        <v>116</v>
      </c>
      <c r="P339" t="s">
        <v>12481</v>
      </c>
      <c r="R339" t="s">
        <v>12482</v>
      </c>
      <c r="T339" t="s">
        <v>12483</v>
      </c>
      <c r="U339" t="s">
        <v>2608</v>
      </c>
      <c r="V339" s="8" t="str">
        <f>"74562"</f>
        <v>74562</v>
      </c>
      <c r="W339" t="s">
        <v>118</v>
      </c>
      <c r="Y339" s="10">
        <v>15805872432</v>
      </c>
      <c r="AA339">
        <v>336212</v>
      </c>
      <c r="AB339" t="s">
        <v>12484</v>
      </c>
      <c r="AC339" t="s">
        <v>7298</v>
      </c>
      <c r="AE339" t="s">
        <v>629</v>
      </c>
      <c r="AF339" t="s">
        <v>12482</v>
      </c>
      <c r="AH339" t="s">
        <v>12483</v>
      </c>
      <c r="AI339" t="s">
        <v>2608</v>
      </c>
      <c r="AJ339" s="8" t="str">
        <f>"74562"</f>
        <v>74562</v>
      </c>
      <c r="AK339" t="s">
        <v>118</v>
      </c>
      <c r="AM339" s="10">
        <v>15805872432</v>
      </c>
      <c r="AO339" t="s">
        <v>12485</v>
      </c>
      <c r="AP339" t="s">
        <v>248</v>
      </c>
      <c r="AQ339" t="s">
        <v>3017</v>
      </c>
      <c r="AR339" t="s">
        <v>3018</v>
      </c>
      <c r="AT339" t="s">
        <v>3019</v>
      </c>
      <c r="AV339" t="s">
        <v>1168</v>
      </c>
      <c r="AW339" t="s">
        <v>127</v>
      </c>
      <c r="AX339" s="8" t="str">
        <f>"75098"</f>
        <v>75098</v>
      </c>
      <c r="AY339" t="s">
        <v>118</v>
      </c>
      <c r="BA339" s="10">
        <v>19724424244</v>
      </c>
      <c r="BC339" t="s">
        <v>3372</v>
      </c>
      <c r="BD339" t="s">
        <v>3021</v>
      </c>
      <c r="BG339" t="s">
        <v>2608</v>
      </c>
      <c r="BH339" s="1">
        <v>45215.833333333336</v>
      </c>
      <c r="BI339">
        <v>40</v>
      </c>
      <c r="BJ339">
        <v>0</v>
      </c>
      <c r="BK339">
        <v>8</v>
      </c>
      <c r="BL339">
        <v>8</v>
      </c>
      <c r="BM339">
        <v>8</v>
      </c>
      <c r="BN339">
        <v>8</v>
      </c>
      <c r="BO339">
        <v>8</v>
      </c>
      <c r="BP339">
        <v>0</v>
      </c>
      <c r="BQ339" t="str">
        <f>"6:00 AM"</f>
        <v>6:00 AM</v>
      </c>
      <c r="BR339" t="str">
        <f>"4:00 PM"</f>
        <v>4:00 PM</v>
      </c>
      <c r="BS339" t="s">
        <v>131</v>
      </c>
      <c r="BT339">
        <v>0</v>
      </c>
      <c r="BU339">
        <v>0</v>
      </c>
      <c r="BV339" t="s">
        <v>114</v>
      </c>
      <c r="BX339" t="s">
        <v>1480</v>
      </c>
      <c r="BY339" t="s">
        <v>12482</v>
      </c>
      <c r="CA339" t="s">
        <v>12483</v>
      </c>
      <c r="CB339" t="s">
        <v>2608</v>
      </c>
      <c r="CC339" s="8" t="str">
        <f>"74562"</f>
        <v>74562</v>
      </c>
      <c r="CD339" t="s">
        <v>12486</v>
      </c>
      <c r="CE339" t="s">
        <v>6608</v>
      </c>
      <c r="CF339" s="12">
        <v>15.76</v>
      </c>
      <c r="CG339" s="12">
        <v>17.760000000000002</v>
      </c>
      <c r="CH339" s="12">
        <v>23.64</v>
      </c>
      <c r="CI339" s="12">
        <v>26.64</v>
      </c>
      <c r="CJ339" t="s">
        <v>135</v>
      </c>
      <c r="CL339" t="s">
        <v>12487</v>
      </c>
      <c r="CO339" t="s">
        <v>132</v>
      </c>
      <c r="CP339" t="s">
        <v>114</v>
      </c>
      <c r="CQ339" t="s">
        <v>136</v>
      </c>
      <c r="CR339" t="s">
        <v>136</v>
      </c>
      <c r="CS339" t="s">
        <v>136</v>
      </c>
      <c r="CT339" t="s">
        <v>136</v>
      </c>
      <c r="CU339" t="s">
        <v>136</v>
      </c>
      <c r="CV339" t="s">
        <v>12488</v>
      </c>
      <c r="CW339" s="10" t="str">
        <f>"+15805872432"</f>
        <v>+15805872432</v>
      </c>
      <c r="CX339" t="s">
        <v>132</v>
      </c>
      <c r="CY339" t="s">
        <v>9448</v>
      </c>
      <c r="CZ339" t="s">
        <v>137</v>
      </c>
      <c r="DA339" t="s">
        <v>114</v>
      </c>
      <c r="DB339" t="s">
        <v>114</v>
      </c>
      <c r="DC339" t="s">
        <v>136</v>
      </c>
      <c r="DD339" t="s">
        <v>114</v>
      </c>
    </row>
    <row r="340" spans="1:113" ht="15" customHeight="1" x14ac:dyDescent="0.25">
      <c r="A340" t="s">
        <v>17449</v>
      </c>
      <c r="B340" t="s">
        <v>152</v>
      </c>
      <c r="C340" s="1">
        <v>45208.712141550925</v>
      </c>
      <c r="D340" s="1">
        <v>45278</v>
      </c>
      <c r="E340" t="s">
        <v>132</v>
      </c>
      <c r="F340" t="s">
        <v>17450</v>
      </c>
      <c r="G340" t="str">
        <f>"49-9043.00"</f>
        <v>49-9043.00</v>
      </c>
      <c r="H340" t="s">
        <v>10239</v>
      </c>
      <c r="I340">
        <v>2</v>
      </c>
      <c r="J340">
        <v>2</v>
      </c>
      <c r="K340" s="1">
        <v>45292</v>
      </c>
      <c r="L340" s="1">
        <v>45596</v>
      </c>
      <c r="M340" s="1">
        <v>45292</v>
      </c>
      <c r="N340" s="1">
        <v>45596</v>
      </c>
      <c r="O340" t="s">
        <v>238</v>
      </c>
      <c r="P340" t="s">
        <v>17451</v>
      </c>
      <c r="R340" t="s">
        <v>17452</v>
      </c>
      <c r="T340" t="s">
        <v>3675</v>
      </c>
      <c r="U340" t="s">
        <v>2706</v>
      </c>
      <c r="V340" s="8" t="str">
        <f>"99835"</f>
        <v>99835</v>
      </c>
      <c r="W340" t="s">
        <v>118</v>
      </c>
      <c r="Y340" s="10">
        <v>12067269900</v>
      </c>
      <c r="AA340">
        <v>31171</v>
      </c>
      <c r="AB340" t="s">
        <v>2000</v>
      </c>
      <c r="AC340" t="s">
        <v>17453</v>
      </c>
      <c r="AE340" t="s">
        <v>17454</v>
      </c>
      <c r="AF340" t="s">
        <v>17452</v>
      </c>
      <c r="AH340" t="s">
        <v>3675</v>
      </c>
      <c r="AI340" t="s">
        <v>2706</v>
      </c>
      <c r="AJ340" s="8" t="str">
        <f>"99835"</f>
        <v>99835</v>
      </c>
      <c r="AK340" t="s">
        <v>118</v>
      </c>
      <c r="AM340" s="10">
        <v>12067269900</v>
      </c>
      <c r="AO340" t="s">
        <v>17455</v>
      </c>
      <c r="AP340" t="s">
        <v>248</v>
      </c>
      <c r="AQ340" t="s">
        <v>849</v>
      </c>
      <c r="AR340" t="s">
        <v>850</v>
      </c>
      <c r="AS340" t="s">
        <v>132</v>
      </c>
      <c r="AT340" t="s">
        <v>851</v>
      </c>
      <c r="AU340" t="s">
        <v>852</v>
      </c>
      <c r="AV340" t="s">
        <v>853</v>
      </c>
      <c r="AW340" t="s">
        <v>854</v>
      </c>
      <c r="AX340" s="8" t="str">
        <f>"83814"</f>
        <v>83814</v>
      </c>
      <c r="AY340" t="s">
        <v>118</v>
      </c>
      <c r="BA340" s="10">
        <v>12087772654</v>
      </c>
      <c r="BC340" t="s">
        <v>855</v>
      </c>
      <c r="BD340" t="s">
        <v>856</v>
      </c>
      <c r="BG340" t="s">
        <v>2706</v>
      </c>
      <c r="BH340" s="1">
        <v>45207.833333333336</v>
      </c>
      <c r="BI340">
        <v>40</v>
      </c>
      <c r="BJ340">
        <v>0</v>
      </c>
      <c r="BK340">
        <v>8</v>
      </c>
      <c r="BL340">
        <v>8</v>
      </c>
      <c r="BM340">
        <v>8</v>
      </c>
      <c r="BN340">
        <v>8</v>
      </c>
      <c r="BO340">
        <v>8</v>
      </c>
      <c r="BP340">
        <v>0</v>
      </c>
      <c r="BQ340" t="str">
        <f>"6:00 AM"</f>
        <v>6:00 AM</v>
      </c>
      <c r="BR340" t="str">
        <f>"11:00 PM"</f>
        <v>11:00 PM</v>
      </c>
      <c r="BS340" t="s">
        <v>131</v>
      </c>
      <c r="BT340">
        <v>0</v>
      </c>
      <c r="BU340">
        <v>12</v>
      </c>
      <c r="BV340" t="s">
        <v>114</v>
      </c>
      <c r="BX340" s="2" t="s">
        <v>17456</v>
      </c>
      <c r="BY340" t="s">
        <v>17457</v>
      </c>
      <c r="CA340" t="s">
        <v>2992</v>
      </c>
      <c r="CB340" t="s">
        <v>2706</v>
      </c>
      <c r="CC340" s="8" t="str">
        <f>"99615"</f>
        <v>99615</v>
      </c>
      <c r="CD340" t="s">
        <v>2993</v>
      </c>
      <c r="CE340" t="s">
        <v>2714</v>
      </c>
      <c r="CF340" s="12">
        <v>38.68</v>
      </c>
      <c r="CH340" s="12">
        <v>58.02</v>
      </c>
      <c r="CJ340" t="s">
        <v>135</v>
      </c>
      <c r="CK340" t="s">
        <v>132</v>
      </c>
      <c r="CL340" t="s">
        <v>17458</v>
      </c>
      <c r="CO340" t="s">
        <v>132</v>
      </c>
      <c r="CP340" t="s">
        <v>114</v>
      </c>
      <c r="CQ340" t="s">
        <v>136</v>
      </c>
      <c r="CR340" t="s">
        <v>136</v>
      </c>
      <c r="CS340" t="s">
        <v>114</v>
      </c>
      <c r="CT340" t="s">
        <v>136</v>
      </c>
      <c r="CU340" t="s">
        <v>136</v>
      </c>
      <c r="CV340" t="s">
        <v>17459</v>
      </c>
      <c r="CW340" s="10" t="str">
        <f>"+12067269900"</f>
        <v>+12067269900</v>
      </c>
      <c r="CX340" t="s">
        <v>17460</v>
      </c>
      <c r="CY340" t="s">
        <v>132</v>
      </c>
      <c r="CZ340" t="s">
        <v>137</v>
      </c>
      <c r="DA340" t="s">
        <v>114</v>
      </c>
      <c r="DB340" t="s">
        <v>136</v>
      </c>
      <c r="DC340" t="s">
        <v>136</v>
      </c>
      <c r="DD340" t="s">
        <v>114</v>
      </c>
    </row>
    <row r="341" spans="1:113" ht="15" customHeight="1" x14ac:dyDescent="0.25">
      <c r="A341" t="s">
        <v>19131</v>
      </c>
      <c r="B341" t="s">
        <v>152</v>
      </c>
      <c r="C341" s="1">
        <v>45187.631592939812</v>
      </c>
      <c r="D341" s="1">
        <v>45278</v>
      </c>
      <c r="E341" t="s">
        <v>132</v>
      </c>
      <c r="F341" t="s">
        <v>19132</v>
      </c>
      <c r="G341" t="str">
        <f>"39-3011.00"</f>
        <v>39-3011.00</v>
      </c>
      <c r="H341" t="s">
        <v>19133</v>
      </c>
      <c r="I341">
        <v>20</v>
      </c>
      <c r="J341">
        <v>20</v>
      </c>
      <c r="K341" s="1">
        <v>45264</v>
      </c>
      <c r="L341" s="1">
        <v>45504</v>
      </c>
      <c r="M341" s="1">
        <v>45264</v>
      </c>
      <c r="N341" s="1">
        <v>45504</v>
      </c>
      <c r="O341" t="s">
        <v>116</v>
      </c>
      <c r="P341" t="s">
        <v>3214</v>
      </c>
      <c r="Q341" t="s">
        <v>3215</v>
      </c>
      <c r="R341" t="s">
        <v>3216</v>
      </c>
      <c r="T341" t="s">
        <v>3217</v>
      </c>
      <c r="U341" t="s">
        <v>3218</v>
      </c>
      <c r="V341" s="8" t="str">
        <f>"00820"</f>
        <v>00820</v>
      </c>
      <c r="W341" t="s">
        <v>118</v>
      </c>
      <c r="X341" t="s">
        <v>3219</v>
      </c>
      <c r="Y341" s="10">
        <v>13407737529</v>
      </c>
      <c r="AA341">
        <v>713210</v>
      </c>
      <c r="AB341" t="s">
        <v>3220</v>
      </c>
      <c r="AC341" t="s">
        <v>3221</v>
      </c>
      <c r="AE341" t="s">
        <v>405</v>
      </c>
      <c r="AF341" t="s">
        <v>3216</v>
      </c>
      <c r="AH341" t="s">
        <v>3217</v>
      </c>
      <c r="AI341" t="s">
        <v>3218</v>
      </c>
      <c r="AJ341" s="8" t="str">
        <f>"00820"</f>
        <v>00820</v>
      </c>
      <c r="AK341" t="s">
        <v>118</v>
      </c>
      <c r="AL341" t="s">
        <v>3219</v>
      </c>
      <c r="AM341" s="10">
        <v>18505180828</v>
      </c>
      <c r="AO341" t="s">
        <v>3223</v>
      </c>
      <c r="AP341" t="s">
        <v>121</v>
      </c>
      <c r="AQ341" t="s">
        <v>846</v>
      </c>
      <c r="AR341" t="s">
        <v>3224</v>
      </c>
      <c r="AT341" t="s">
        <v>3225</v>
      </c>
      <c r="AV341" t="s">
        <v>3226</v>
      </c>
      <c r="AW341" t="s">
        <v>140</v>
      </c>
      <c r="AX341" s="8" t="str">
        <f>"33030"</f>
        <v>33030</v>
      </c>
      <c r="AY341" t="s">
        <v>118</v>
      </c>
      <c r="BA341" s="10">
        <v>17864291511</v>
      </c>
      <c r="BC341" t="s">
        <v>3227</v>
      </c>
      <c r="BD341" t="s">
        <v>9666</v>
      </c>
      <c r="BE341" t="s">
        <v>140</v>
      </c>
      <c r="BF341" t="s">
        <v>3229</v>
      </c>
      <c r="BG341" t="s">
        <v>3218</v>
      </c>
      <c r="BH341" s="1">
        <v>45165.833333333336</v>
      </c>
      <c r="BI341">
        <v>40</v>
      </c>
      <c r="BJ341">
        <v>8</v>
      </c>
      <c r="BK341">
        <v>0</v>
      </c>
      <c r="BL341">
        <v>0</v>
      </c>
      <c r="BM341">
        <v>8</v>
      </c>
      <c r="BN341">
        <v>8</v>
      </c>
      <c r="BO341">
        <v>8</v>
      </c>
      <c r="BP341">
        <v>8</v>
      </c>
      <c r="BQ341" t="str">
        <f>"4:00 PM"</f>
        <v>4:00 PM</v>
      </c>
      <c r="BR341" t="str">
        <f>"1:00 AM"</f>
        <v>1:00 AM</v>
      </c>
      <c r="BS341" t="s">
        <v>147</v>
      </c>
      <c r="BT341">
        <v>4</v>
      </c>
      <c r="BU341">
        <v>12</v>
      </c>
      <c r="BV341" t="s">
        <v>114</v>
      </c>
      <c r="BX341" s="2" t="s">
        <v>19134</v>
      </c>
      <c r="BY341" t="s">
        <v>3216</v>
      </c>
      <c r="CA341" t="s">
        <v>3217</v>
      </c>
      <c r="CB341" t="s">
        <v>3218</v>
      </c>
      <c r="CC341" s="8" t="str">
        <f>"00820"</f>
        <v>00820</v>
      </c>
      <c r="CD341" t="s">
        <v>3231</v>
      </c>
      <c r="CE341" t="s">
        <v>3232</v>
      </c>
      <c r="CF341" s="12">
        <v>16.510000000000002</v>
      </c>
      <c r="CG341" s="12">
        <v>16.510000000000002</v>
      </c>
      <c r="CH341" s="12">
        <v>24.77</v>
      </c>
      <c r="CI341" s="12">
        <v>24.77</v>
      </c>
      <c r="CJ341" t="s">
        <v>135</v>
      </c>
      <c r="CL341" t="s">
        <v>19135</v>
      </c>
      <c r="CO341" t="s">
        <v>132</v>
      </c>
      <c r="CP341" t="s">
        <v>114</v>
      </c>
      <c r="CQ341" t="s">
        <v>136</v>
      </c>
      <c r="CR341" t="s">
        <v>136</v>
      </c>
      <c r="CS341" t="s">
        <v>136</v>
      </c>
      <c r="CT341" t="s">
        <v>136</v>
      </c>
      <c r="CU341" t="s">
        <v>136</v>
      </c>
      <c r="CV341" s="2" t="s">
        <v>19136</v>
      </c>
      <c r="CW341" s="10" t="str">
        <f>"+13407737529"</f>
        <v>+13407737529</v>
      </c>
      <c r="CX341" t="s">
        <v>3235</v>
      </c>
      <c r="CY341" t="s">
        <v>132</v>
      </c>
      <c r="CZ341" t="s">
        <v>137</v>
      </c>
      <c r="DA341" t="s">
        <v>114</v>
      </c>
      <c r="DB341" t="s">
        <v>136</v>
      </c>
      <c r="DC341" t="s">
        <v>136</v>
      </c>
      <c r="DD341" t="s">
        <v>114</v>
      </c>
    </row>
    <row r="342" spans="1:113" ht="15" customHeight="1" x14ac:dyDescent="0.25">
      <c r="A342" t="s">
        <v>3459</v>
      </c>
      <c r="B342" t="s">
        <v>152</v>
      </c>
      <c r="C342" s="1">
        <v>45251.277090625001</v>
      </c>
      <c r="D342" s="1">
        <v>45275</v>
      </c>
      <c r="E342" t="s">
        <v>132</v>
      </c>
      <c r="F342" t="s">
        <v>2020</v>
      </c>
      <c r="G342" t="str">
        <f>"37-3011.00"</f>
        <v>37-3011.00</v>
      </c>
      <c r="H342" t="s">
        <v>429</v>
      </c>
      <c r="I342">
        <v>28</v>
      </c>
      <c r="J342">
        <v>28</v>
      </c>
      <c r="K342" s="1">
        <v>45341</v>
      </c>
      <c r="L342" s="1">
        <v>45596</v>
      </c>
      <c r="M342" s="1">
        <v>45341</v>
      </c>
      <c r="N342" s="1">
        <v>45596</v>
      </c>
      <c r="O342" t="s">
        <v>116</v>
      </c>
      <c r="P342" t="s">
        <v>3460</v>
      </c>
      <c r="R342" t="s">
        <v>3461</v>
      </c>
      <c r="T342" t="s">
        <v>126</v>
      </c>
      <c r="U342" t="s">
        <v>140</v>
      </c>
      <c r="V342" s="8" t="str">
        <f>"33576"</f>
        <v>33576</v>
      </c>
      <c r="W342" t="s">
        <v>118</v>
      </c>
      <c r="Y342" s="10">
        <v>18132236999</v>
      </c>
      <c r="AA342">
        <v>56173</v>
      </c>
      <c r="AB342" t="s">
        <v>3274</v>
      </c>
      <c r="AC342" t="s">
        <v>3462</v>
      </c>
      <c r="AE342" t="s">
        <v>3463</v>
      </c>
      <c r="AF342" t="s">
        <v>3461</v>
      </c>
      <c r="AH342" t="s">
        <v>126</v>
      </c>
      <c r="AI342" t="s">
        <v>140</v>
      </c>
      <c r="AJ342" s="8" t="str">
        <f>"33576"</f>
        <v>33576</v>
      </c>
      <c r="AK342" t="s">
        <v>118</v>
      </c>
      <c r="AM342" s="10">
        <v>18132236999</v>
      </c>
      <c r="AO342" t="s">
        <v>132</v>
      </c>
      <c r="AP342" t="s">
        <v>248</v>
      </c>
      <c r="AQ342" t="s">
        <v>673</v>
      </c>
      <c r="AR342" t="s">
        <v>674</v>
      </c>
      <c r="AT342" t="s">
        <v>579</v>
      </c>
      <c r="AV342" t="s">
        <v>580</v>
      </c>
      <c r="AW342" t="s">
        <v>581</v>
      </c>
      <c r="AX342" s="8" t="str">
        <f>"22903"</f>
        <v>22903</v>
      </c>
      <c r="AY342" t="s">
        <v>118</v>
      </c>
      <c r="BA342" s="10">
        <v>14342634300</v>
      </c>
      <c r="BC342" t="s">
        <v>675</v>
      </c>
      <c r="BD342" t="s">
        <v>583</v>
      </c>
      <c r="BG342" t="s">
        <v>140</v>
      </c>
      <c r="BH342" s="1">
        <v>45250.791666666664</v>
      </c>
      <c r="BI342">
        <v>40</v>
      </c>
      <c r="BJ342">
        <v>0</v>
      </c>
      <c r="BK342">
        <v>8</v>
      </c>
      <c r="BL342">
        <v>8</v>
      </c>
      <c r="BM342">
        <v>8</v>
      </c>
      <c r="BN342">
        <v>8</v>
      </c>
      <c r="BO342">
        <v>8</v>
      </c>
      <c r="BP342">
        <v>0</v>
      </c>
      <c r="BQ342" t="str">
        <f>"7:00 AM"</f>
        <v>7:00 AM</v>
      </c>
      <c r="BR342" t="str">
        <f>"4:00 PM"</f>
        <v>4:00 PM</v>
      </c>
      <c r="BS342" t="s">
        <v>131</v>
      </c>
      <c r="BT342">
        <v>0</v>
      </c>
      <c r="BU342">
        <v>0</v>
      </c>
      <c r="BV342" t="s">
        <v>114</v>
      </c>
      <c r="BX342" s="2" t="s">
        <v>3464</v>
      </c>
      <c r="BY342" t="s">
        <v>3465</v>
      </c>
      <c r="CA342" t="s">
        <v>126</v>
      </c>
      <c r="CB342" t="s">
        <v>140</v>
      </c>
      <c r="CC342" s="8" t="str">
        <f>"33576"</f>
        <v>33576</v>
      </c>
      <c r="CD342" t="s">
        <v>3466</v>
      </c>
      <c r="CE342" t="s">
        <v>467</v>
      </c>
      <c r="CF342" s="12">
        <v>15.63</v>
      </c>
      <c r="CG342" s="12">
        <v>15.63</v>
      </c>
      <c r="CH342" s="12">
        <v>23.45</v>
      </c>
      <c r="CI342" s="12">
        <v>23.45</v>
      </c>
      <c r="CJ342" t="s">
        <v>135</v>
      </c>
      <c r="CK342" t="s">
        <v>590</v>
      </c>
      <c r="CL342" t="s">
        <v>3467</v>
      </c>
      <c r="CO342" t="s">
        <v>132</v>
      </c>
      <c r="CP342" t="s">
        <v>136</v>
      </c>
      <c r="CQ342" t="s">
        <v>136</v>
      </c>
      <c r="CR342" t="s">
        <v>136</v>
      </c>
      <c r="CS342" t="s">
        <v>136</v>
      </c>
      <c r="CT342" t="s">
        <v>136</v>
      </c>
      <c r="CU342" t="s">
        <v>136</v>
      </c>
      <c r="CV342" s="2" t="s">
        <v>3468</v>
      </c>
      <c r="CW342" s="10" t="str">
        <f>"+18132236999"</f>
        <v>+18132236999</v>
      </c>
      <c r="CX342" t="s">
        <v>132</v>
      </c>
      <c r="CY342" t="s">
        <v>1876</v>
      </c>
      <c r="CZ342" t="s">
        <v>137</v>
      </c>
      <c r="DA342" t="s">
        <v>114</v>
      </c>
      <c r="DB342" t="s">
        <v>136</v>
      </c>
      <c r="DC342" t="s">
        <v>136</v>
      </c>
      <c r="DD342" t="s">
        <v>114</v>
      </c>
      <c r="DE342" t="s">
        <v>673</v>
      </c>
      <c r="DF342" t="s">
        <v>674</v>
      </c>
      <c r="DH342" t="s">
        <v>583</v>
      </c>
      <c r="DI342" t="s">
        <v>675</v>
      </c>
    </row>
    <row r="343" spans="1:113" ht="15" customHeight="1" x14ac:dyDescent="0.25">
      <c r="A343" t="s">
        <v>18060</v>
      </c>
      <c r="B343" t="s">
        <v>152</v>
      </c>
      <c r="C343" s="1">
        <v>45251.276821180552</v>
      </c>
      <c r="D343" s="1">
        <v>45275</v>
      </c>
      <c r="E343" t="s">
        <v>132</v>
      </c>
      <c r="F343" t="s">
        <v>2020</v>
      </c>
      <c r="G343" t="str">
        <f>"37-3011.00"</f>
        <v>37-3011.00</v>
      </c>
      <c r="H343" t="s">
        <v>429</v>
      </c>
      <c r="I343">
        <v>12</v>
      </c>
      <c r="J343">
        <v>12</v>
      </c>
      <c r="K343" s="1">
        <v>45341</v>
      </c>
      <c r="L343" s="1">
        <v>45596</v>
      </c>
      <c r="M343" s="1">
        <v>45341</v>
      </c>
      <c r="N343" s="1">
        <v>45596</v>
      </c>
      <c r="O343" t="s">
        <v>116</v>
      </c>
      <c r="P343" t="s">
        <v>18061</v>
      </c>
      <c r="R343" t="s">
        <v>18062</v>
      </c>
      <c r="T343" t="s">
        <v>11417</v>
      </c>
      <c r="U343" t="s">
        <v>140</v>
      </c>
      <c r="V343" s="8" t="str">
        <f>"32084"</f>
        <v>32084</v>
      </c>
      <c r="W343" t="s">
        <v>118</v>
      </c>
      <c r="Y343" s="10">
        <v>19044202694</v>
      </c>
      <c r="AA343">
        <v>56173</v>
      </c>
      <c r="AB343" t="s">
        <v>3274</v>
      </c>
      <c r="AC343" t="s">
        <v>3462</v>
      </c>
      <c r="AE343" t="s">
        <v>3463</v>
      </c>
      <c r="AF343" t="s">
        <v>18062</v>
      </c>
      <c r="AH343" t="s">
        <v>11417</v>
      </c>
      <c r="AI343" t="s">
        <v>140</v>
      </c>
      <c r="AJ343" s="8" t="str">
        <f>"32084"</f>
        <v>32084</v>
      </c>
      <c r="AK343" t="s">
        <v>118</v>
      </c>
      <c r="AM343" s="10">
        <v>19044202694</v>
      </c>
      <c r="AO343" t="s">
        <v>132</v>
      </c>
      <c r="AP343" t="s">
        <v>248</v>
      </c>
      <c r="AQ343" t="s">
        <v>673</v>
      </c>
      <c r="AR343" t="s">
        <v>674</v>
      </c>
      <c r="AT343" t="s">
        <v>579</v>
      </c>
      <c r="AV343" t="s">
        <v>580</v>
      </c>
      <c r="AW343" t="s">
        <v>581</v>
      </c>
      <c r="AX343" s="8" t="str">
        <f>"22903"</f>
        <v>22903</v>
      </c>
      <c r="AY343" t="s">
        <v>118</v>
      </c>
      <c r="BA343" s="10">
        <v>14342634300</v>
      </c>
      <c r="BC343" t="s">
        <v>675</v>
      </c>
      <c r="BD343" t="s">
        <v>583</v>
      </c>
      <c r="BG343" t="s">
        <v>140</v>
      </c>
      <c r="BH343" s="1">
        <v>45250.791666666664</v>
      </c>
      <c r="BI343">
        <v>40</v>
      </c>
      <c r="BJ343">
        <v>0</v>
      </c>
      <c r="BK343">
        <v>8</v>
      </c>
      <c r="BL343">
        <v>8</v>
      </c>
      <c r="BM343">
        <v>8</v>
      </c>
      <c r="BN343">
        <v>8</v>
      </c>
      <c r="BO343">
        <v>8</v>
      </c>
      <c r="BP343">
        <v>0</v>
      </c>
      <c r="BQ343" t="str">
        <f>"7:00 AM"</f>
        <v>7:00 AM</v>
      </c>
      <c r="BR343" t="str">
        <f>"4:00 PM"</f>
        <v>4:00 PM</v>
      </c>
      <c r="BS343" t="s">
        <v>131</v>
      </c>
      <c r="BT343">
        <v>0</v>
      </c>
      <c r="BU343">
        <v>0</v>
      </c>
      <c r="BV343" t="s">
        <v>114</v>
      </c>
      <c r="BX343" s="2" t="s">
        <v>12702</v>
      </c>
      <c r="BY343" t="s">
        <v>18063</v>
      </c>
      <c r="CA343" t="s">
        <v>11417</v>
      </c>
      <c r="CB343" t="s">
        <v>140</v>
      </c>
      <c r="CC343" s="8" t="str">
        <f>"32084"</f>
        <v>32084</v>
      </c>
      <c r="CD343" t="s">
        <v>11418</v>
      </c>
      <c r="CE343" t="s">
        <v>3596</v>
      </c>
      <c r="CF343" s="12">
        <v>16</v>
      </c>
      <c r="CG343" s="12">
        <v>16</v>
      </c>
      <c r="CH343" s="12">
        <v>24</v>
      </c>
      <c r="CI343" s="12">
        <v>24</v>
      </c>
      <c r="CJ343" t="s">
        <v>135</v>
      </c>
      <c r="CK343" t="s">
        <v>590</v>
      </c>
      <c r="CL343" t="s">
        <v>18064</v>
      </c>
      <c r="CO343" t="s">
        <v>132</v>
      </c>
      <c r="CP343" t="s">
        <v>136</v>
      </c>
      <c r="CQ343" t="s">
        <v>136</v>
      </c>
      <c r="CR343" t="s">
        <v>136</v>
      </c>
      <c r="CS343" t="s">
        <v>136</v>
      </c>
      <c r="CT343" t="s">
        <v>136</v>
      </c>
      <c r="CU343" t="s">
        <v>136</v>
      </c>
      <c r="CV343" s="2" t="s">
        <v>3468</v>
      </c>
      <c r="CW343" s="10" t="str">
        <f>"+19044202694"</f>
        <v>+19044202694</v>
      </c>
      <c r="CX343" t="s">
        <v>132</v>
      </c>
      <c r="CY343" t="s">
        <v>1876</v>
      </c>
      <c r="CZ343" t="s">
        <v>137</v>
      </c>
      <c r="DA343" t="s">
        <v>114</v>
      </c>
      <c r="DB343" t="s">
        <v>136</v>
      </c>
      <c r="DC343" t="s">
        <v>136</v>
      </c>
      <c r="DD343" t="s">
        <v>114</v>
      </c>
      <c r="DE343" t="s">
        <v>673</v>
      </c>
      <c r="DF343" t="s">
        <v>674</v>
      </c>
      <c r="DH343" t="s">
        <v>583</v>
      </c>
      <c r="DI343" t="s">
        <v>675</v>
      </c>
    </row>
    <row r="344" spans="1:113" ht="15" customHeight="1" x14ac:dyDescent="0.25">
      <c r="A344" t="s">
        <v>19809</v>
      </c>
      <c r="B344" t="s">
        <v>152</v>
      </c>
      <c r="C344" s="1">
        <v>45251.276542129628</v>
      </c>
      <c r="D344" s="1">
        <v>45275</v>
      </c>
      <c r="E344" t="s">
        <v>132</v>
      </c>
      <c r="F344" t="s">
        <v>2020</v>
      </c>
      <c r="G344" t="str">
        <f>"37-3011.00"</f>
        <v>37-3011.00</v>
      </c>
      <c r="H344" t="s">
        <v>429</v>
      </c>
      <c r="I344">
        <v>18</v>
      </c>
      <c r="J344">
        <v>18</v>
      </c>
      <c r="K344" s="1">
        <v>45341</v>
      </c>
      <c r="L344" s="1">
        <v>45596</v>
      </c>
      <c r="M344" s="1">
        <v>45341</v>
      </c>
      <c r="N344" s="1">
        <v>45596</v>
      </c>
      <c r="O344" t="s">
        <v>116</v>
      </c>
      <c r="P344" t="s">
        <v>19810</v>
      </c>
      <c r="R344" t="s">
        <v>19811</v>
      </c>
      <c r="T344" t="s">
        <v>6179</v>
      </c>
      <c r="U344" t="s">
        <v>140</v>
      </c>
      <c r="V344" s="8" t="str">
        <f>"34203"</f>
        <v>34203</v>
      </c>
      <c r="W344" t="s">
        <v>118</v>
      </c>
      <c r="Y344" s="10">
        <v>18132236999</v>
      </c>
      <c r="AA344">
        <v>56173</v>
      </c>
      <c r="AB344" t="s">
        <v>3274</v>
      </c>
      <c r="AC344" t="s">
        <v>3462</v>
      </c>
      <c r="AE344" t="s">
        <v>3463</v>
      </c>
      <c r="AF344" t="s">
        <v>19811</v>
      </c>
      <c r="AH344" t="s">
        <v>6179</v>
      </c>
      <c r="AI344" t="s">
        <v>140</v>
      </c>
      <c r="AJ344" s="8" t="str">
        <f>"34203"</f>
        <v>34203</v>
      </c>
      <c r="AK344" t="s">
        <v>118</v>
      </c>
      <c r="AM344" s="10">
        <v>18132236999</v>
      </c>
      <c r="AN344">
        <v>2</v>
      </c>
      <c r="AO344" t="s">
        <v>132</v>
      </c>
      <c r="AP344" t="s">
        <v>248</v>
      </c>
      <c r="AQ344" t="s">
        <v>673</v>
      </c>
      <c r="AR344" t="s">
        <v>674</v>
      </c>
      <c r="AT344" t="s">
        <v>579</v>
      </c>
      <c r="AV344" t="s">
        <v>580</v>
      </c>
      <c r="AW344" t="s">
        <v>581</v>
      </c>
      <c r="AX344" s="8" t="str">
        <f>"22903"</f>
        <v>22903</v>
      </c>
      <c r="AY344" t="s">
        <v>118</v>
      </c>
      <c r="BA344" s="10">
        <v>14342634300</v>
      </c>
      <c r="BC344" t="s">
        <v>675</v>
      </c>
      <c r="BD344" t="s">
        <v>583</v>
      </c>
      <c r="BG344" t="s">
        <v>140</v>
      </c>
      <c r="BH344" s="1">
        <v>45250.791666666664</v>
      </c>
      <c r="BI344">
        <v>40</v>
      </c>
      <c r="BJ344">
        <v>0</v>
      </c>
      <c r="BK344">
        <v>8</v>
      </c>
      <c r="BL344">
        <v>8</v>
      </c>
      <c r="BM344">
        <v>8</v>
      </c>
      <c r="BN344">
        <v>8</v>
      </c>
      <c r="BO344">
        <v>8</v>
      </c>
      <c r="BP344">
        <v>0</v>
      </c>
      <c r="BQ344" t="str">
        <f>"7:00 AM"</f>
        <v>7:00 AM</v>
      </c>
      <c r="BR344" t="str">
        <f>"4:00 PM"</f>
        <v>4:00 PM</v>
      </c>
      <c r="BS344" t="s">
        <v>131</v>
      </c>
      <c r="BT344">
        <v>0</v>
      </c>
      <c r="BU344">
        <v>0</v>
      </c>
      <c r="BV344" t="s">
        <v>114</v>
      </c>
      <c r="BX344" s="2" t="s">
        <v>12702</v>
      </c>
      <c r="BY344" t="s">
        <v>19812</v>
      </c>
      <c r="CA344" t="s">
        <v>6179</v>
      </c>
      <c r="CB344" t="s">
        <v>140</v>
      </c>
      <c r="CC344" s="8" t="str">
        <f>"34203"</f>
        <v>34203</v>
      </c>
      <c r="CD344" t="s">
        <v>1729</v>
      </c>
      <c r="CE344" t="s">
        <v>1730</v>
      </c>
      <c r="CF344" s="12">
        <v>16.63</v>
      </c>
      <c r="CG344" s="12">
        <v>16.63</v>
      </c>
      <c r="CH344" s="12">
        <v>24.95</v>
      </c>
      <c r="CI344" s="12">
        <v>24.95</v>
      </c>
      <c r="CJ344" t="s">
        <v>135</v>
      </c>
      <c r="CK344" t="s">
        <v>590</v>
      </c>
      <c r="CL344" t="s">
        <v>19813</v>
      </c>
      <c r="CO344" t="s">
        <v>132</v>
      </c>
      <c r="CP344" t="s">
        <v>136</v>
      </c>
      <c r="CQ344" t="s">
        <v>136</v>
      </c>
      <c r="CR344" t="s">
        <v>136</v>
      </c>
      <c r="CS344" t="s">
        <v>136</v>
      </c>
      <c r="CT344" t="s">
        <v>136</v>
      </c>
      <c r="CU344" t="s">
        <v>136</v>
      </c>
      <c r="CV344" s="2" t="s">
        <v>3468</v>
      </c>
      <c r="CW344" s="10" t="str">
        <f>"+18132236999"</f>
        <v>+18132236999</v>
      </c>
      <c r="CX344" t="s">
        <v>132</v>
      </c>
      <c r="CY344" t="s">
        <v>1876</v>
      </c>
      <c r="CZ344" t="s">
        <v>137</v>
      </c>
      <c r="DA344" t="s">
        <v>114</v>
      </c>
      <c r="DB344" t="s">
        <v>136</v>
      </c>
      <c r="DC344" t="s">
        <v>136</v>
      </c>
      <c r="DD344" t="s">
        <v>114</v>
      </c>
      <c r="DE344" t="s">
        <v>673</v>
      </c>
      <c r="DF344" t="s">
        <v>674</v>
      </c>
      <c r="DH344" t="s">
        <v>583</v>
      </c>
      <c r="DI344" t="s">
        <v>675</v>
      </c>
    </row>
    <row r="345" spans="1:113" ht="15" customHeight="1" x14ac:dyDescent="0.25">
      <c r="A345" t="s">
        <v>14797</v>
      </c>
      <c r="B345" t="s">
        <v>152</v>
      </c>
      <c r="C345" s="1">
        <v>45251.276251041665</v>
      </c>
      <c r="D345" s="1">
        <v>45275</v>
      </c>
      <c r="E345" t="s">
        <v>132</v>
      </c>
      <c r="F345" t="s">
        <v>2020</v>
      </c>
      <c r="G345" t="str">
        <f>"37-3011.00"</f>
        <v>37-3011.00</v>
      </c>
      <c r="H345" t="s">
        <v>429</v>
      </c>
      <c r="I345">
        <v>33</v>
      </c>
      <c r="J345">
        <v>33</v>
      </c>
      <c r="K345" s="1">
        <v>45341</v>
      </c>
      <c r="L345" s="1">
        <v>45583</v>
      </c>
      <c r="M345" s="1">
        <v>45341</v>
      </c>
      <c r="N345" s="1">
        <v>45583</v>
      </c>
      <c r="O345" t="s">
        <v>116</v>
      </c>
      <c r="P345" t="s">
        <v>14798</v>
      </c>
      <c r="R345" t="s">
        <v>14799</v>
      </c>
      <c r="T345" t="s">
        <v>11293</v>
      </c>
      <c r="U345" t="s">
        <v>140</v>
      </c>
      <c r="V345" s="8" t="str">
        <f>"34953"</f>
        <v>34953</v>
      </c>
      <c r="W345" t="s">
        <v>118</v>
      </c>
      <c r="Y345" s="10">
        <v>17722004571</v>
      </c>
      <c r="AA345">
        <v>56173</v>
      </c>
      <c r="AB345" t="s">
        <v>3274</v>
      </c>
      <c r="AC345" t="s">
        <v>3462</v>
      </c>
      <c r="AE345" t="s">
        <v>3463</v>
      </c>
      <c r="AF345" t="s">
        <v>14799</v>
      </c>
      <c r="AH345" t="s">
        <v>11293</v>
      </c>
      <c r="AI345" t="s">
        <v>140</v>
      </c>
      <c r="AJ345" s="8" t="str">
        <f>"34953"</f>
        <v>34953</v>
      </c>
      <c r="AK345" t="s">
        <v>118</v>
      </c>
      <c r="AM345" s="10">
        <v>17722004571</v>
      </c>
      <c r="AO345" t="s">
        <v>132</v>
      </c>
      <c r="AP345" t="s">
        <v>248</v>
      </c>
      <c r="AQ345" t="s">
        <v>673</v>
      </c>
      <c r="AR345" t="s">
        <v>674</v>
      </c>
      <c r="AT345" t="s">
        <v>579</v>
      </c>
      <c r="AV345" t="s">
        <v>580</v>
      </c>
      <c r="AW345" t="s">
        <v>581</v>
      </c>
      <c r="AX345" s="8" t="str">
        <f>"22903"</f>
        <v>22903</v>
      </c>
      <c r="AY345" t="s">
        <v>118</v>
      </c>
      <c r="BA345" s="10">
        <v>14342634300</v>
      </c>
      <c r="BC345" t="s">
        <v>675</v>
      </c>
      <c r="BD345" t="s">
        <v>583</v>
      </c>
      <c r="BG345" t="s">
        <v>140</v>
      </c>
      <c r="BH345" s="1">
        <v>45250.791666666664</v>
      </c>
      <c r="BI345">
        <v>40</v>
      </c>
      <c r="BJ345">
        <v>0</v>
      </c>
      <c r="BK345">
        <v>8</v>
      </c>
      <c r="BL345">
        <v>8</v>
      </c>
      <c r="BM345">
        <v>8</v>
      </c>
      <c r="BN345">
        <v>8</v>
      </c>
      <c r="BO345">
        <v>8</v>
      </c>
      <c r="BP345">
        <v>0</v>
      </c>
      <c r="BQ345" t="str">
        <f>"7:00 AM"</f>
        <v>7:00 AM</v>
      </c>
      <c r="BR345" t="str">
        <f>"4:00 PM"</f>
        <v>4:00 PM</v>
      </c>
      <c r="BS345" t="s">
        <v>131</v>
      </c>
      <c r="BT345">
        <v>0</v>
      </c>
      <c r="BU345">
        <v>0</v>
      </c>
      <c r="BV345" t="s">
        <v>114</v>
      </c>
      <c r="BX345" s="2" t="s">
        <v>3464</v>
      </c>
      <c r="BY345" t="s">
        <v>14799</v>
      </c>
      <c r="CA345" t="s">
        <v>11293</v>
      </c>
      <c r="CB345" t="s">
        <v>140</v>
      </c>
      <c r="CC345" s="8" t="str">
        <f>"34953"</f>
        <v>34953</v>
      </c>
      <c r="CD345" t="s">
        <v>2508</v>
      </c>
      <c r="CE345" t="s">
        <v>696</v>
      </c>
      <c r="CF345" s="12">
        <v>16.010000000000002</v>
      </c>
      <c r="CG345" s="12">
        <v>16.010000000000002</v>
      </c>
      <c r="CH345" s="12">
        <v>24.02</v>
      </c>
      <c r="CI345" s="12">
        <v>24.02</v>
      </c>
      <c r="CJ345" t="s">
        <v>135</v>
      </c>
      <c r="CK345" t="s">
        <v>590</v>
      </c>
      <c r="CL345" t="s">
        <v>14800</v>
      </c>
      <c r="CO345" t="s">
        <v>132</v>
      </c>
      <c r="CP345" t="s">
        <v>136</v>
      </c>
      <c r="CQ345" t="s">
        <v>136</v>
      </c>
      <c r="CR345" t="s">
        <v>136</v>
      </c>
      <c r="CS345" t="s">
        <v>136</v>
      </c>
      <c r="CT345" t="s">
        <v>136</v>
      </c>
      <c r="CU345" t="s">
        <v>136</v>
      </c>
      <c r="CV345" s="2" t="s">
        <v>3468</v>
      </c>
      <c r="CW345" s="10" t="str">
        <f>"+17722004571"</f>
        <v>+17722004571</v>
      </c>
      <c r="CX345" t="s">
        <v>132</v>
      </c>
      <c r="CY345" t="s">
        <v>1876</v>
      </c>
      <c r="CZ345" t="s">
        <v>137</v>
      </c>
      <c r="DA345" t="s">
        <v>114</v>
      </c>
      <c r="DB345" t="s">
        <v>136</v>
      </c>
      <c r="DC345" t="s">
        <v>136</v>
      </c>
      <c r="DD345" t="s">
        <v>114</v>
      </c>
      <c r="DE345" t="s">
        <v>673</v>
      </c>
      <c r="DF345" t="s">
        <v>674</v>
      </c>
      <c r="DH345" t="s">
        <v>583</v>
      </c>
      <c r="DI345" t="s">
        <v>675</v>
      </c>
    </row>
    <row r="346" spans="1:113" ht="15" customHeight="1" x14ac:dyDescent="0.25">
      <c r="A346" t="s">
        <v>15016</v>
      </c>
      <c r="B346" t="s">
        <v>152</v>
      </c>
      <c r="C346" s="1">
        <v>45251.27593935185</v>
      </c>
      <c r="D346" s="1">
        <v>45275</v>
      </c>
      <c r="E346" t="s">
        <v>132</v>
      </c>
      <c r="F346" t="s">
        <v>2020</v>
      </c>
      <c r="G346" t="str">
        <f>"37-3011.00"</f>
        <v>37-3011.00</v>
      </c>
      <c r="H346" t="s">
        <v>429</v>
      </c>
      <c r="I346">
        <v>5</v>
      </c>
      <c r="J346">
        <v>5</v>
      </c>
      <c r="K346" s="1">
        <v>45341</v>
      </c>
      <c r="L346" s="1">
        <v>45596</v>
      </c>
      <c r="M346" s="1">
        <v>45341</v>
      </c>
      <c r="N346" s="1">
        <v>45596</v>
      </c>
      <c r="O346" t="s">
        <v>116</v>
      </c>
      <c r="P346" t="s">
        <v>15017</v>
      </c>
      <c r="R346" t="s">
        <v>15018</v>
      </c>
      <c r="T346" t="s">
        <v>15019</v>
      </c>
      <c r="U346" t="s">
        <v>140</v>
      </c>
      <c r="V346" s="8" t="str">
        <f>"32110"</f>
        <v>32110</v>
      </c>
      <c r="W346" t="s">
        <v>118</v>
      </c>
      <c r="Y346" s="10">
        <v>13864376211</v>
      </c>
      <c r="AA346">
        <v>56173</v>
      </c>
      <c r="AB346" t="s">
        <v>3274</v>
      </c>
      <c r="AC346" t="s">
        <v>3462</v>
      </c>
      <c r="AE346" t="s">
        <v>3463</v>
      </c>
      <c r="AF346" t="s">
        <v>15018</v>
      </c>
      <c r="AH346" t="s">
        <v>15019</v>
      </c>
      <c r="AI346" t="s">
        <v>140</v>
      </c>
      <c r="AJ346" s="8" t="str">
        <f>"32110"</f>
        <v>32110</v>
      </c>
      <c r="AK346" t="s">
        <v>118</v>
      </c>
      <c r="AM346" s="10">
        <v>13864376211</v>
      </c>
      <c r="AO346" t="s">
        <v>132</v>
      </c>
      <c r="AP346" t="s">
        <v>248</v>
      </c>
      <c r="AQ346" t="s">
        <v>673</v>
      </c>
      <c r="AR346" t="s">
        <v>674</v>
      </c>
      <c r="AT346" t="s">
        <v>579</v>
      </c>
      <c r="AV346" t="s">
        <v>580</v>
      </c>
      <c r="AW346" t="s">
        <v>581</v>
      </c>
      <c r="AX346" s="8" t="str">
        <f>"22903"</f>
        <v>22903</v>
      </c>
      <c r="AY346" t="s">
        <v>118</v>
      </c>
      <c r="BA346" s="10">
        <v>14342634300</v>
      </c>
      <c r="BC346" t="s">
        <v>675</v>
      </c>
      <c r="BD346" t="s">
        <v>583</v>
      </c>
      <c r="BG346" t="s">
        <v>140</v>
      </c>
      <c r="BH346" s="1">
        <v>45250.791666666664</v>
      </c>
      <c r="BI346">
        <v>40</v>
      </c>
      <c r="BJ346">
        <v>0</v>
      </c>
      <c r="BK346">
        <v>8</v>
      </c>
      <c r="BL346">
        <v>8</v>
      </c>
      <c r="BM346">
        <v>8</v>
      </c>
      <c r="BN346">
        <v>8</v>
      </c>
      <c r="BO346">
        <v>8</v>
      </c>
      <c r="BP346">
        <v>0</v>
      </c>
      <c r="BQ346" t="str">
        <f>"7:00 AM"</f>
        <v>7:00 AM</v>
      </c>
      <c r="BR346" t="str">
        <f>"4:00 PM"</f>
        <v>4:00 PM</v>
      </c>
      <c r="BS346" t="s">
        <v>131</v>
      </c>
      <c r="BT346">
        <v>0</v>
      </c>
      <c r="BU346">
        <v>0</v>
      </c>
      <c r="BV346" t="s">
        <v>114</v>
      </c>
      <c r="BX346" s="2" t="s">
        <v>12702</v>
      </c>
      <c r="BY346" t="s">
        <v>15020</v>
      </c>
      <c r="CA346" t="s">
        <v>15019</v>
      </c>
      <c r="CB346" t="s">
        <v>140</v>
      </c>
      <c r="CC346" s="8" t="str">
        <f>"32110"</f>
        <v>32110</v>
      </c>
      <c r="CD346" t="s">
        <v>15021</v>
      </c>
      <c r="CE346" t="s">
        <v>3092</v>
      </c>
      <c r="CF346" s="12">
        <v>15.01</v>
      </c>
      <c r="CG346" s="12">
        <v>15.01</v>
      </c>
      <c r="CH346" s="12">
        <v>22.52</v>
      </c>
      <c r="CI346" s="12">
        <v>22.52</v>
      </c>
      <c r="CJ346" t="s">
        <v>135</v>
      </c>
      <c r="CK346" t="s">
        <v>590</v>
      </c>
      <c r="CL346" t="s">
        <v>15022</v>
      </c>
      <c r="CO346" t="s">
        <v>132</v>
      </c>
      <c r="CP346" t="s">
        <v>136</v>
      </c>
      <c r="CQ346" t="s">
        <v>136</v>
      </c>
      <c r="CR346" t="s">
        <v>136</v>
      </c>
      <c r="CS346" t="s">
        <v>136</v>
      </c>
      <c r="CT346" t="s">
        <v>136</v>
      </c>
      <c r="CU346" t="s">
        <v>136</v>
      </c>
      <c r="CV346" t="s">
        <v>5019</v>
      </c>
      <c r="CW346" s="10" t="str">
        <f>"+13864376211"</f>
        <v>+13864376211</v>
      </c>
      <c r="CX346" t="s">
        <v>132</v>
      </c>
      <c r="CY346" t="s">
        <v>1876</v>
      </c>
      <c r="CZ346" t="s">
        <v>137</v>
      </c>
      <c r="DA346" t="s">
        <v>114</v>
      </c>
      <c r="DB346" t="s">
        <v>136</v>
      </c>
      <c r="DC346" t="s">
        <v>136</v>
      </c>
      <c r="DD346" t="s">
        <v>114</v>
      </c>
      <c r="DE346" t="s">
        <v>673</v>
      </c>
      <c r="DF346" t="s">
        <v>674</v>
      </c>
      <c r="DH346" t="s">
        <v>583</v>
      </c>
      <c r="DI346" t="s">
        <v>675</v>
      </c>
    </row>
    <row r="347" spans="1:113" ht="15" customHeight="1" x14ac:dyDescent="0.25">
      <c r="A347" t="s">
        <v>7489</v>
      </c>
      <c r="B347" t="s">
        <v>152</v>
      </c>
      <c r="C347" s="1">
        <v>45251.27563877315</v>
      </c>
      <c r="D347" s="1">
        <v>45275</v>
      </c>
      <c r="E347" t="s">
        <v>132</v>
      </c>
      <c r="F347" t="s">
        <v>2020</v>
      </c>
      <c r="G347" t="str">
        <f>"37-3011.00"</f>
        <v>37-3011.00</v>
      </c>
      <c r="H347" t="s">
        <v>429</v>
      </c>
      <c r="I347">
        <v>80</v>
      </c>
      <c r="J347">
        <v>80</v>
      </c>
      <c r="K347" s="1">
        <v>45341</v>
      </c>
      <c r="L347" s="1">
        <v>45596</v>
      </c>
      <c r="M347" s="1">
        <v>45341</v>
      </c>
      <c r="N347" s="1">
        <v>45596</v>
      </c>
      <c r="O347" t="s">
        <v>116</v>
      </c>
      <c r="P347" t="s">
        <v>7490</v>
      </c>
      <c r="R347" t="s">
        <v>7491</v>
      </c>
      <c r="T347" t="s">
        <v>2043</v>
      </c>
      <c r="U347" t="s">
        <v>140</v>
      </c>
      <c r="V347" s="8" t="str">
        <f>"34758"</f>
        <v>34758</v>
      </c>
      <c r="W347" t="s">
        <v>118</v>
      </c>
      <c r="Y347" s="10">
        <v>14073960529</v>
      </c>
      <c r="AA347">
        <v>56173</v>
      </c>
      <c r="AB347" t="s">
        <v>3274</v>
      </c>
      <c r="AC347" t="s">
        <v>3462</v>
      </c>
      <c r="AE347" t="s">
        <v>3463</v>
      </c>
      <c r="AF347" t="s">
        <v>7491</v>
      </c>
      <c r="AH347" t="s">
        <v>2043</v>
      </c>
      <c r="AI347" t="s">
        <v>140</v>
      </c>
      <c r="AJ347" s="8" t="str">
        <f>"34758"</f>
        <v>34758</v>
      </c>
      <c r="AK347" t="s">
        <v>118</v>
      </c>
      <c r="AM347" s="10">
        <v>14073960529</v>
      </c>
      <c r="AO347" t="s">
        <v>132</v>
      </c>
      <c r="AP347" t="s">
        <v>248</v>
      </c>
      <c r="AQ347" t="s">
        <v>673</v>
      </c>
      <c r="AR347" t="s">
        <v>674</v>
      </c>
      <c r="AT347" t="s">
        <v>579</v>
      </c>
      <c r="AV347" t="s">
        <v>580</v>
      </c>
      <c r="AW347" t="s">
        <v>581</v>
      </c>
      <c r="AX347" s="8" t="str">
        <f>"22903"</f>
        <v>22903</v>
      </c>
      <c r="AY347" t="s">
        <v>118</v>
      </c>
      <c r="BA347" s="10">
        <v>14342634300</v>
      </c>
      <c r="BC347" t="s">
        <v>675</v>
      </c>
      <c r="BD347" t="s">
        <v>583</v>
      </c>
      <c r="BG347" t="s">
        <v>140</v>
      </c>
      <c r="BH347" s="1">
        <v>45250.791666666664</v>
      </c>
      <c r="BI347">
        <v>40</v>
      </c>
      <c r="BJ347">
        <v>0</v>
      </c>
      <c r="BK347">
        <v>8</v>
      </c>
      <c r="BL347">
        <v>8</v>
      </c>
      <c r="BM347">
        <v>8</v>
      </c>
      <c r="BN347">
        <v>8</v>
      </c>
      <c r="BO347">
        <v>8</v>
      </c>
      <c r="BP347">
        <v>0</v>
      </c>
      <c r="BQ347" t="str">
        <f>"7:00 AM"</f>
        <v>7:00 AM</v>
      </c>
      <c r="BR347" t="str">
        <f>"4:00 PM"</f>
        <v>4:00 PM</v>
      </c>
      <c r="BS347" t="s">
        <v>131</v>
      </c>
      <c r="BT347">
        <v>0</v>
      </c>
      <c r="BU347">
        <v>0</v>
      </c>
      <c r="BV347" t="s">
        <v>114</v>
      </c>
      <c r="BX347" s="2" t="s">
        <v>7492</v>
      </c>
      <c r="BY347" t="s">
        <v>7493</v>
      </c>
      <c r="CA347" t="s">
        <v>2043</v>
      </c>
      <c r="CB347" t="s">
        <v>140</v>
      </c>
      <c r="CC347" s="8" t="str">
        <f>"34758"</f>
        <v>34758</v>
      </c>
      <c r="CD347" t="s">
        <v>2051</v>
      </c>
      <c r="CE347" t="s">
        <v>2052</v>
      </c>
      <c r="CF347" s="12">
        <v>16.23</v>
      </c>
      <c r="CG347" s="12">
        <v>16.23</v>
      </c>
      <c r="CH347" s="12">
        <v>24.35</v>
      </c>
      <c r="CI347" s="12">
        <v>24.35</v>
      </c>
      <c r="CJ347" t="s">
        <v>135</v>
      </c>
      <c r="CK347" t="s">
        <v>590</v>
      </c>
      <c r="CL347" t="s">
        <v>7494</v>
      </c>
      <c r="CO347" t="s">
        <v>132</v>
      </c>
      <c r="CP347" t="s">
        <v>136</v>
      </c>
      <c r="CQ347" t="s">
        <v>136</v>
      </c>
      <c r="CR347" t="s">
        <v>136</v>
      </c>
      <c r="CS347" t="s">
        <v>136</v>
      </c>
      <c r="CT347" t="s">
        <v>136</v>
      </c>
      <c r="CU347" t="s">
        <v>136</v>
      </c>
      <c r="CV347" s="2" t="s">
        <v>3468</v>
      </c>
      <c r="CW347" s="10" t="str">
        <f>"+14073960529"</f>
        <v>+14073960529</v>
      </c>
      <c r="CX347" t="s">
        <v>132</v>
      </c>
      <c r="CY347" t="s">
        <v>1876</v>
      </c>
      <c r="CZ347" t="s">
        <v>137</v>
      </c>
      <c r="DA347" t="s">
        <v>114</v>
      </c>
      <c r="DB347" t="s">
        <v>136</v>
      </c>
      <c r="DC347" t="s">
        <v>136</v>
      </c>
      <c r="DD347" t="s">
        <v>114</v>
      </c>
      <c r="DE347" t="s">
        <v>673</v>
      </c>
      <c r="DF347" t="s">
        <v>674</v>
      </c>
      <c r="DH347" t="s">
        <v>583</v>
      </c>
      <c r="DI347" t="s">
        <v>675</v>
      </c>
    </row>
    <row r="348" spans="1:113" ht="15" customHeight="1" x14ac:dyDescent="0.25">
      <c r="A348" t="s">
        <v>12535</v>
      </c>
      <c r="B348" t="s">
        <v>152</v>
      </c>
      <c r="C348" s="1">
        <v>45251.275351851851</v>
      </c>
      <c r="D348" s="1">
        <v>45275</v>
      </c>
      <c r="E348" t="s">
        <v>132</v>
      </c>
      <c r="F348" t="s">
        <v>2020</v>
      </c>
      <c r="G348" t="str">
        <f>"37-3011.00"</f>
        <v>37-3011.00</v>
      </c>
      <c r="H348" t="s">
        <v>429</v>
      </c>
      <c r="I348">
        <v>31</v>
      </c>
      <c r="J348">
        <v>31</v>
      </c>
      <c r="K348" s="1">
        <v>45341</v>
      </c>
      <c r="L348" s="1">
        <v>45596</v>
      </c>
      <c r="M348" s="1">
        <v>45341</v>
      </c>
      <c r="N348" s="1">
        <v>45596</v>
      </c>
      <c r="O348" t="s">
        <v>116</v>
      </c>
      <c r="P348" t="s">
        <v>12536</v>
      </c>
      <c r="R348" t="s">
        <v>12537</v>
      </c>
      <c r="T348" t="s">
        <v>11475</v>
      </c>
      <c r="U348" t="s">
        <v>140</v>
      </c>
      <c r="V348" s="8" t="str">
        <f>"33461"</f>
        <v>33461</v>
      </c>
      <c r="W348" t="s">
        <v>118</v>
      </c>
      <c r="Y348" s="10">
        <v>19547689086</v>
      </c>
      <c r="AA348">
        <v>56173</v>
      </c>
      <c r="AB348" t="s">
        <v>3274</v>
      </c>
      <c r="AC348" t="s">
        <v>3462</v>
      </c>
      <c r="AE348" t="s">
        <v>3463</v>
      </c>
      <c r="AF348" t="s">
        <v>12537</v>
      </c>
      <c r="AH348" t="s">
        <v>11475</v>
      </c>
      <c r="AI348" t="s">
        <v>140</v>
      </c>
      <c r="AJ348" s="8" t="str">
        <f>"33461"</f>
        <v>33461</v>
      </c>
      <c r="AK348" t="s">
        <v>118</v>
      </c>
      <c r="AM348" s="10">
        <v>19547689086</v>
      </c>
      <c r="AO348" t="s">
        <v>132</v>
      </c>
      <c r="AP348" t="s">
        <v>248</v>
      </c>
      <c r="AQ348" t="s">
        <v>673</v>
      </c>
      <c r="AR348" t="s">
        <v>674</v>
      </c>
      <c r="AT348" t="s">
        <v>579</v>
      </c>
      <c r="AV348" t="s">
        <v>580</v>
      </c>
      <c r="AW348" t="s">
        <v>581</v>
      </c>
      <c r="AX348" s="8" t="str">
        <f>"22903"</f>
        <v>22903</v>
      </c>
      <c r="AY348" t="s">
        <v>118</v>
      </c>
      <c r="BA348" s="10">
        <v>14342634300</v>
      </c>
      <c r="BC348" t="s">
        <v>675</v>
      </c>
      <c r="BD348" t="s">
        <v>583</v>
      </c>
      <c r="BG348" t="s">
        <v>140</v>
      </c>
      <c r="BH348" s="1">
        <v>45250.791666666664</v>
      </c>
      <c r="BI348">
        <v>40</v>
      </c>
      <c r="BJ348">
        <v>0</v>
      </c>
      <c r="BK348">
        <v>8</v>
      </c>
      <c r="BL348">
        <v>8</v>
      </c>
      <c r="BM348">
        <v>8</v>
      </c>
      <c r="BN348">
        <v>8</v>
      </c>
      <c r="BO348">
        <v>8</v>
      </c>
      <c r="BP348">
        <v>0</v>
      </c>
      <c r="BQ348" t="str">
        <f>"7:00 AM"</f>
        <v>7:00 AM</v>
      </c>
      <c r="BR348" t="str">
        <f>"4:00 PM"</f>
        <v>4:00 PM</v>
      </c>
      <c r="BS348" t="s">
        <v>131</v>
      </c>
      <c r="BT348">
        <v>0</v>
      </c>
      <c r="BU348">
        <v>0</v>
      </c>
      <c r="BV348" t="s">
        <v>114</v>
      </c>
      <c r="BX348" s="2" t="s">
        <v>3464</v>
      </c>
      <c r="BY348" t="s">
        <v>12537</v>
      </c>
      <c r="CA348" t="s">
        <v>11475</v>
      </c>
      <c r="CB348" t="s">
        <v>140</v>
      </c>
      <c r="CC348" s="8" t="str">
        <f>"33461"</f>
        <v>33461</v>
      </c>
      <c r="CD348" t="s">
        <v>767</v>
      </c>
      <c r="CE348" t="s">
        <v>149</v>
      </c>
      <c r="CF348" s="12">
        <v>16.61</v>
      </c>
      <c r="CG348" s="12">
        <v>16.61</v>
      </c>
      <c r="CH348" s="12">
        <v>24.92</v>
      </c>
      <c r="CI348" s="12">
        <v>24.92</v>
      </c>
      <c r="CJ348" t="s">
        <v>135</v>
      </c>
      <c r="CK348" t="s">
        <v>590</v>
      </c>
      <c r="CL348" t="s">
        <v>12538</v>
      </c>
      <c r="CO348" t="s">
        <v>132</v>
      </c>
      <c r="CP348" t="s">
        <v>136</v>
      </c>
      <c r="CQ348" t="s">
        <v>136</v>
      </c>
      <c r="CR348" t="s">
        <v>136</v>
      </c>
      <c r="CS348" t="s">
        <v>136</v>
      </c>
      <c r="CT348" t="s">
        <v>136</v>
      </c>
      <c r="CU348" t="s">
        <v>136</v>
      </c>
      <c r="CV348" t="s">
        <v>5019</v>
      </c>
      <c r="CW348" s="10" t="str">
        <f>"+19547689086"</f>
        <v>+19547689086</v>
      </c>
      <c r="CX348" t="s">
        <v>132</v>
      </c>
      <c r="CY348" t="s">
        <v>1876</v>
      </c>
      <c r="CZ348" t="s">
        <v>137</v>
      </c>
      <c r="DA348" t="s">
        <v>114</v>
      </c>
      <c r="DB348" t="s">
        <v>136</v>
      </c>
      <c r="DC348" t="s">
        <v>136</v>
      </c>
      <c r="DD348" t="s">
        <v>114</v>
      </c>
      <c r="DE348" t="s">
        <v>673</v>
      </c>
      <c r="DF348" t="s">
        <v>674</v>
      </c>
      <c r="DH348" t="s">
        <v>583</v>
      </c>
      <c r="DI348" t="s">
        <v>675</v>
      </c>
    </row>
    <row r="349" spans="1:113" ht="15" customHeight="1" x14ac:dyDescent="0.25">
      <c r="A349" t="s">
        <v>23899</v>
      </c>
      <c r="B349" t="s">
        <v>152</v>
      </c>
      <c r="C349" s="1">
        <v>45251.275052199075</v>
      </c>
      <c r="D349" s="1">
        <v>45275</v>
      </c>
      <c r="E349" t="s">
        <v>132</v>
      </c>
      <c r="F349" t="s">
        <v>2020</v>
      </c>
      <c r="G349" t="str">
        <f>"37-3011.00"</f>
        <v>37-3011.00</v>
      </c>
      <c r="H349" t="s">
        <v>429</v>
      </c>
      <c r="I349">
        <v>12</v>
      </c>
      <c r="J349">
        <v>12</v>
      </c>
      <c r="K349" s="1">
        <v>45341</v>
      </c>
      <c r="L349" s="1">
        <v>45596</v>
      </c>
      <c r="M349" s="1">
        <v>45341</v>
      </c>
      <c r="N349" s="1">
        <v>45596</v>
      </c>
      <c r="O349" t="s">
        <v>116</v>
      </c>
      <c r="P349" t="s">
        <v>23900</v>
      </c>
      <c r="R349" t="s">
        <v>23901</v>
      </c>
      <c r="T349" t="s">
        <v>23902</v>
      </c>
      <c r="U349" t="s">
        <v>550</v>
      </c>
      <c r="V349" s="8" t="str">
        <f>"31024"</f>
        <v>31024</v>
      </c>
      <c r="W349" t="s">
        <v>118</v>
      </c>
      <c r="Y349" s="10">
        <v>17069270088</v>
      </c>
      <c r="AA349">
        <v>56173</v>
      </c>
      <c r="AB349" t="s">
        <v>3274</v>
      </c>
      <c r="AC349" t="s">
        <v>3462</v>
      </c>
      <c r="AE349" t="s">
        <v>3463</v>
      </c>
      <c r="AF349" t="s">
        <v>23901</v>
      </c>
      <c r="AH349" t="s">
        <v>23902</v>
      </c>
      <c r="AI349" t="s">
        <v>550</v>
      </c>
      <c r="AJ349" s="8" t="str">
        <f>"31024"</f>
        <v>31024</v>
      </c>
      <c r="AK349" t="s">
        <v>118</v>
      </c>
      <c r="AM349" s="10">
        <v>17069270088</v>
      </c>
      <c r="AO349" t="s">
        <v>132</v>
      </c>
      <c r="AP349" t="s">
        <v>248</v>
      </c>
      <c r="AQ349" t="s">
        <v>673</v>
      </c>
      <c r="AR349" t="s">
        <v>674</v>
      </c>
      <c r="AT349" t="s">
        <v>579</v>
      </c>
      <c r="AV349" t="s">
        <v>580</v>
      </c>
      <c r="AW349" t="s">
        <v>581</v>
      </c>
      <c r="AX349" s="8" t="str">
        <f>"22903"</f>
        <v>22903</v>
      </c>
      <c r="AY349" t="s">
        <v>118</v>
      </c>
      <c r="BA349" s="10">
        <v>14342634300</v>
      </c>
      <c r="BC349" t="s">
        <v>675</v>
      </c>
      <c r="BD349" t="s">
        <v>583</v>
      </c>
      <c r="BG349" t="s">
        <v>550</v>
      </c>
      <c r="BH349" s="1">
        <v>45250.791666666664</v>
      </c>
      <c r="BI349">
        <v>40</v>
      </c>
      <c r="BJ349">
        <v>0</v>
      </c>
      <c r="BK349">
        <v>8</v>
      </c>
      <c r="BL349">
        <v>8</v>
      </c>
      <c r="BM349">
        <v>8</v>
      </c>
      <c r="BN349">
        <v>8</v>
      </c>
      <c r="BO349">
        <v>8</v>
      </c>
      <c r="BP349">
        <v>0</v>
      </c>
      <c r="BQ349" t="str">
        <f>"7:00 AM"</f>
        <v>7:00 AM</v>
      </c>
      <c r="BR349" t="str">
        <f>"4:00 PM"</f>
        <v>4:00 PM</v>
      </c>
      <c r="BS349" t="s">
        <v>131</v>
      </c>
      <c r="BT349">
        <v>0</v>
      </c>
      <c r="BU349">
        <v>0</v>
      </c>
      <c r="BV349" t="s">
        <v>114</v>
      </c>
      <c r="BX349" s="2" t="s">
        <v>23903</v>
      </c>
      <c r="BY349" t="s">
        <v>23904</v>
      </c>
      <c r="CA349" t="s">
        <v>23902</v>
      </c>
      <c r="CB349" t="s">
        <v>550</v>
      </c>
      <c r="CC349" s="8" t="str">
        <f>"31024"</f>
        <v>31024</v>
      </c>
      <c r="CD349" t="s">
        <v>6036</v>
      </c>
      <c r="CE349" t="s">
        <v>6037</v>
      </c>
      <c r="CF349" s="12">
        <v>15.78</v>
      </c>
      <c r="CG349" s="12">
        <v>15.78</v>
      </c>
      <c r="CH349" s="12">
        <v>23.67</v>
      </c>
      <c r="CI349" s="12">
        <v>23.67</v>
      </c>
      <c r="CJ349" t="s">
        <v>135</v>
      </c>
      <c r="CK349" t="s">
        <v>590</v>
      </c>
      <c r="CL349" t="s">
        <v>23905</v>
      </c>
      <c r="CO349" t="s">
        <v>132</v>
      </c>
      <c r="CP349" t="s">
        <v>136</v>
      </c>
      <c r="CQ349" t="s">
        <v>136</v>
      </c>
      <c r="CR349" t="s">
        <v>136</v>
      </c>
      <c r="CS349" t="s">
        <v>136</v>
      </c>
      <c r="CT349" t="s">
        <v>136</v>
      </c>
      <c r="CU349" t="s">
        <v>136</v>
      </c>
      <c r="CV349" s="2" t="s">
        <v>3468</v>
      </c>
      <c r="CW349" s="10" t="str">
        <f>"+17069270088"</f>
        <v>+17069270088</v>
      </c>
      <c r="CX349" t="s">
        <v>132</v>
      </c>
      <c r="CY349" t="s">
        <v>7599</v>
      </c>
      <c r="CZ349" t="s">
        <v>137</v>
      </c>
      <c r="DA349" t="s">
        <v>114</v>
      </c>
      <c r="DB349" t="s">
        <v>136</v>
      </c>
      <c r="DC349" t="s">
        <v>136</v>
      </c>
      <c r="DD349" t="s">
        <v>114</v>
      </c>
      <c r="DE349" t="s">
        <v>673</v>
      </c>
      <c r="DF349" t="s">
        <v>674</v>
      </c>
      <c r="DH349" t="s">
        <v>583</v>
      </c>
      <c r="DI349" t="s">
        <v>675</v>
      </c>
    </row>
    <row r="350" spans="1:113" ht="15" customHeight="1" x14ac:dyDescent="0.25">
      <c r="A350" t="s">
        <v>22073</v>
      </c>
      <c r="B350" t="s">
        <v>152</v>
      </c>
      <c r="C350" s="1">
        <v>45251.274751504629</v>
      </c>
      <c r="D350" s="1">
        <v>45275</v>
      </c>
      <c r="E350" t="s">
        <v>132</v>
      </c>
      <c r="F350" t="s">
        <v>2020</v>
      </c>
      <c r="G350" t="str">
        <f>"37-3011.00"</f>
        <v>37-3011.00</v>
      </c>
      <c r="H350" t="s">
        <v>429</v>
      </c>
      <c r="I350">
        <v>62</v>
      </c>
      <c r="J350">
        <v>62</v>
      </c>
      <c r="K350" s="1">
        <v>45341</v>
      </c>
      <c r="L350" s="1">
        <v>45583</v>
      </c>
      <c r="M350" s="1">
        <v>45341</v>
      </c>
      <c r="N350" s="1">
        <v>45583</v>
      </c>
      <c r="O350" t="s">
        <v>116</v>
      </c>
      <c r="P350" t="s">
        <v>22074</v>
      </c>
      <c r="R350" t="s">
        <v>22075</v>
      </c>
      <c r="T350" t="s">
        <v>9282</v>
      </c>
      <c r="U350" t="s">
        <v>140</v>
      </c>
      <c r="V350" s="8" t="str">
        <f>"32207"</f>
        <v>32207</v>
      </c>
      <c r="W350" t="s">
        <v>118</v>
      </c>
      <c r="Y350" s="10">
        <v>19042682626</v>
      </c>
      <c r="AA350">
        <v>56173</v>
      </c>
      <c r="AB350" t="s">
        <v>3274</v>
      </c>
      <c r="AC350" t="s">
        <v>3462</v>
      </c>
      <c r="AE350" t="s">
        <v>3463</v>
      </c>
      <c r="AF350" t="s">
        <v>22075</v>
      </c>
      <c r="AH350" t="s">
        <v>9282</v>
      </c>
      <c r="AI350" t="s">
        <v>140</v>
      </c>
      <c r="AJ350" s="8" t="str">
        <f>"32207"</f>
        <v>32207</v>
      </c>
      <c r="AK350" t="s">
        <v>118</v>
      </c>
      <c r="AM350" s="10">
        <v>19042682626</v>
      </c>
      <c r="AO350" t="s">
        <v>132</v>
      </c>
      <c r="AP350" t="s">
        <v>248</v>
      </c>
      <c r="AQ350" t="s">
        <v>673</v>
      </c>
      <c r="AR350" t="s">
        <v>674</v>
      </c>
      <c r="AT350" t="s">
        <v>579</v>
      </c>
      <c r="AV350" t="s">
        <v>580</v>
      </c>
      <c r="AW350" t="s">
        <v>581</v>
      </c>
      <c r="AX350" s="8" t="str">
        <f>"22903"</f>
        <v>22903</v>
      </c>
      <c r="AY350" t="s">
        <v>118</v>
      </c>
      <c r="BA350" s="10">
        <v>14342634300</v>
      </c>
      <c r="BC350" t="s">
        <v>675</v>
      </c>
      <c r="BD350" t="s">
        <v>583</v>
      </c>
      <c r="BG350" t="s">
        <v>140</v>
      </c>
      <c r="BH350" s="1">
        <v>45250.791666666664</v>
      </c>
      <c r="BI350">
        <v>40</v>
      </c>
      <c r="BJ350">
        <v>0</v>
      </c>
      <c r="BK350">
        <v>8</v>
      </c>
      <c r="BL350">
        <v>8</v>
      </c>
      <c r="BM350">
        <v>8</v>
      </c>
      <c r="BN350">
        <v>8</v>
      </c>
      <c r="BO350">
        <v>8</v>
      </c>
      <c r="BP350">
        <v>0</v>
      </c>
      <c r="BQ350" t="str">
        <f>"7:00 AM"</f>
        <v>7:00 AM</v>
      </c>
      <c r="BR350" t="str">
        <f>"4:00 PM"</f>
        <v>4:00 PM</v>
      </c>
      <c r="BS350" t="s">
        <v>131</v>
      </c>
      <c r="BT350">
        <v>0</v>
      </c>
      <c r="BU350">
        <v>0</v>
      </c>
      <c r="BV350" t="s">
        <v>114</v>
      </c>
      <c r="BX350" s="2" t="s">
        <v>3464</v>
      </c>
      <c r="BY350" t="s">
        <v>22075</v>
      </c>
      <c r="CA350" t="s">
        <v>9282</v>
      </c>
      <c r="CB350" t="s">
        <v>140</v>
      </c>
      <c r="CC350" s="8" t="str">
        <f>"32207"</f>
        <v>32207</v>
      </c>
      <c r="CD350" t="s">
        <v>9283</v>
      </c>
      <c r="CE350" t="s">
        <v>3596</v>
      </c>
      <c r="CF350" s="12">
        <v>16</v>
      </c>
      <c r="CG350" s="12">
        <v>16</v>
      </c>
      <c r="CH350" s="12">
        <v>24</v>
      </c>
      <c r="CI350" s="12">
        <v>24</v>
      </c>
      <c r="CJ350" t="s">
        <v>135</v>
      </c>
      <c r="CK350" t="s">
        <v>590</v>
      </c>
      <c r="CL350" t="s">
        <v>22076</v>
      </c>
      <c r="CO350" t="s">
        <v>132</v>
      </c>
      <c r="CP350" t="s">
        <v>136</v>
      </c>
      <c r="CQ350" t="s">
        <v>136</v>
      </c>
      <c r="CR350" t="s">
        <v>136</v>
      </c>
      <c r="CS350" t="s">
        <v>136</v>
      </c>
      <c r="CT350" t="s">
        <v>136</v>
      </c>
      <c r="CU350" t="s">
        <v>136</v>
      </c>
      <c r="CV350" t="s">
        <v>5019</v>
      </c>
      <c r="CW350" s="10" t="str">
        <f>"+19042682626"</f>
        <v>+19042682626</v>
      </c>
      <c r="CX350" t="s">
        <v>132</v>
      </c>
      <c r="CY350" t="s">
        <v>1876</v>
      </c>
      <c r="CZ350" t="s">
        <v>137</v>
      </c>
      <c r="DA350" t="s">
        <v>114</v>
      </c>
      <c r="DB350" t="s">
        <v>136</v>
      </c>
      <c r="DC350" t="s">
        <v>136</v>
      </c>
      <c r="DD350" t="s">
        <v>114</v>
      </c>
      <c r="DE350" t="s">
        <v>673</v>
      </c>
      <c r="DF350" t="s">
        <v>674</v>
      </c>
      <c r="DH350" t="s">
        <v>583</v>
      </c>
      <c r="DI350" t="s">
        <v>675</v>
      </c>
    </row>
    <row r="351" spans="1:113" ht="15" customHeight="1" x14ac:dyDescent="0.25">
      <c r="A351" t="s">
        <v>15331</v>
      </c>
      <c r="B351" t="s">
        <v>152</v>
      </c>
      <c r="C351" s="1">
        <v>45251.274421064816</v>
      </c>
      <c r="D351" s="1">
        <v>45275</v>
      </c>
      <c r="E351" t="s">
        <v>132</v>
      </c>
      <c r="F351" t="s">
        <v>2020</v>
      </c>
      <c r="G351" t="str">
        <f>"37-3011.00"</f>
        <v>37-3011.00</v>
      </c>
      <c r="H351" t="s">
        <v>429</v>
      </c>
      <c r="I351">
        <v>16</v>
      </c>
      <c r="J351">
        <v>16</v>
      </c>
      <c r="K351" s="1">
        <v>45341</v>
      </c>
      <c r="L351" s="1">
        <v>45596</v>
      </c>
      <c r="M351" s="1">
        <v>45341</v>
      </c>
      <c r="N351" s="1">
        <v>45596</v>
      </c>
      <c r="O351" t="s">
        <v>116</v>
      </c>
      <c r="P351" t="s">
        <v>15332</v>
      </c>
      <c r="R351" t="s">
        <v>15333</v>
      </c>
      <c r="T351" t="s">
        <v>3086</v>
      </c>
      <c r="U351" t="s">
        <v>140</v>
      </c>
      <c r="V351" s="8" t="str">
        <f>"32117"</f>
        <v>32117</v>
      </c>
      <c r="W351" t="s">
        <v>118</v>
      </c>
      <c r="Y351" s="10">
        <v>13862483298</v>
      </c>
      <c r="AA351">
        <v>56173</v>
      </c>
      <c r="AB351" t="s">
        <v>3274</v>
      </c>
      <c r="AC351" t="s">
        <v>3462</v>
      </c>
      <c r="AE351" t="s">
        <v>3463</v>
      </c>
      <c r="AF351" t="s">
        <v>15333</v>
      </c>
      <c r="AH351" t="s">
        <v>3086</v>
      </c>
      <c r="AI351" t="s">
        <v>140</v>
      </c>
      <c r="AJ351" s="8" t="str">
        <f>"32117"</f>
        <v>32117</v>
      </c>
      <c r="AK351" t="s">
        <v>118</v>
      </c>
      <c r="AM351" s="10">
        <v>13862483298</v>
      </c>
      <c r="AO351" t="s">
        <v>132</v>
      </c>
      <c r="AP351" t="s">
        <v>248</v>
      </c>
      <c r="AQ351" t="s">
        <v>673</v>
      </c>
      <c r="AR351" t="s">
        <v>674</v>
      </c>
      <c r="AT351" t="s">
        <v>579</v>
      </c>
      <c r="AV351" t="s">
        <v>580</v>
      </c>
      <c r="AW351" t="s">
        <v>581</v>
      </c>
      <c r="AX351" s="8" t="str">
        <f>"22903"</f>
        <v>22903</v>
      </c>
      <c r="AY351" t="s">
        <v>118</v>
      </c>
      <c r="BA351" s="10">
        <v>14342634300</v>
      </c>
      <c r="BC351" t="s">
        <v>675</v>
      </c>
      <c r="BD351" t="s">
        <v>583</v>
      </c>
      <c r="BG351" t="s">
        <v>140</v>
      </c>
      <c r="BH351" s="1">
        <v>45250.791666666664</v>
      </c>
      <c r="BI351">
        <v>40</v>
      </c>
      <c r="BJ351">
        <v>0</v>
      </c>
      <c r="BK351">
        <v>8</v>
      </c>
      <c r="BL351">
        <v>8</v>
      </c>
      <c r="BM351">
        <v>8</v>
      </c>
      <c r="BN351">
        <v>8</v>
      </c>
      <c r="BO351">
        <v>8</v>
      </c>
      <c r="BP351">
        <v>0</v>
      </c>
      <c r="BQ351" t="str">
        <f>"7:00 AM"</f>
        <v>7:00 AM</v>
      </c>
      <c r="BR351" t="str">
        <f>"4:00 PM"</f>
        <v>4:00 PM</v>
      </c>
      <c r="BS351" t="s">
        <v>131</v>
      </c>
      <c r="BT351">
        <v>0</v>
      </c>
      <c r="BU351">
        <v>0</v>
      </c>
      <c r="BV351" t="s">
        <v>114</v>
      </c>
      <c r="BX351" s="2" t="s">
        <v>3464</v>
      </c>
      <c r="BY351" t="s">
        <v>15334</v>
      </c>
      <c r="CA351" t="s">
        <v>3086</v>
      </c>
      <c r="CB351" t="s">
        <v>140</v>
      </c>
      <c r="CC351" s="8" t="str">
        <f>"32117"</f>
        <v>32117</v>
      </c>
      <c r="CD351" t="s">
        <v>3091</v>
      </c>
      <c r="CE351" t="s">
        <v>3092</v>
      </c>
      <c r="CF351" s="12">
        <v>15.01</v>
      </c>
      <c r="CG351" s="12">
        <v>15.01</v>
      </c>
      <c r="CH351" s="12">
        <v>22.52</v>
      </c>
      <c r="CI351" s="12">
        <v>22.52</v>
      </c>
      <c r="CJ351" t="s">
        <v>135</v>
      </c>
      <c r="CK351" t="s">
        <v>590</v>
      </c>
      <c r="CL351" t="s">
        <v>15335</v>
      </c>
      <c r="CO351" t="s">
        <v>132</v>
      </c>
      <c r="CP351" t="s">
        <v>136</v>
      </c>
      <c r="CQ351" t="s">
        <v>136</v>
      </c>
      <c r="CR351" t="s">
        <v>136</v>
      </c>
      <c r="CS351" t="s">
        <v>136</v>
      </c>
      <c r="CT351" t="s">
        <v>136</v>
      </c>
      <c r="CU351" t="s">
        <v>136</v>
      </c>
      <c r="CV351" t="s">
        <v>5019</v>
      </c>
      <c r="CW351" s="10" t="str">
        <f>"+13862483298"</f>
        <v>+13862483298</v>
      </c>
      <c r="CX351" t="s">
        <v>132</v>
      </c>
      <c r="CY351" t="s">
        <v>1876</v>
      </c>
      <c r="CZ351" t="s">
        <v>137</v>
      </c>
      <c r="DA351" t="s">
        <v>114</v>
      </c>
      <c r="DB351" t="s">
        <v>136</v>
      </c>
      <c r="DC351" t="s">
        <v>136</v>
      </c>
      <c r="DD351" t="s">
        <v>114</v>
      </c>
      <c r="DE351" t="s">
        <v>673</v>
      </c>
      <c r="DF351" t="s">
        <v>674</v>
      </c>
      <c r="DH351" t="s">
        <v>583</v>
      </c>
      <c r="DI351" t="s">
        <v>675</v>
      </c>
    </row>
    <row r="352" spans="1:113" ht="15" customHeight="1" x14ac:dyDescent="0.25">
      <c r="A352" t="s">
        <v>5013</v>
      </c>
      <c r="B352" t="s">
        <v>152</v>
      </c>
      <c r="C352" s="1">
        <v>45251.274092824075</v>
      </c>
      <c r="D352" s="1">
        <v>45275</v>
      </c>
      <c r="E352" t="s">
        <v>132</v>
      </c>
      <c r="F352" t="s">
        <v>2020</v>
      </c>
      <c r="G352" t="str">
        <f>"37-3011.00"</f>
        <v>37-3011.00</v>
      </c>
      <c r="H352" t="s">
        <v>429</v>
      </c>
      <c r="I352">
        <v>8</v>
      </c>
      <c r="J352">
        <v>8</v>
      </c>
      <c r="K352" s="1">
        <v>45341</v>
      </c>
      <c r="L352" s="1">
        <v>45596</v>
      </c>
      <c r="M352" s="1">
        <v>45341</v>
      </c>
      <c r="N352" s="1">
        <v>45596</v>
      </c>
      <c r="O352" t="s">
        <v>116</v>
      </c>
      <c r="P352" t="s">
        <v>5014</v>
      </c>
      <c r="R352" t="s">
        <v>5015</v>
      </c>
      <c r="T352" t="s">
        <v>1764</v>
      </c>
      <c r="U352" t="s">
        <v>1691</v>
      </c>
      <c r="V352" s="8" t="str">
        <f>"29072"</f>
        <v>29072</v>
      </c>
      <c r="W352" t="s">
        <v>118</v>
      </c>
      <c r="Y352" s="10">
        <v>18036670488</v>
      </c>
      <c r="AA352">
        <v>56173</v>
      </c>
      <c r="AB352" t="s">
        <v>3274</v>
      </c>
      <c r="AC352" t="s">
        <v>3462</v>
      </c>
      <c r="AE352" t="s">
        <v>3463</v>
      </c>
      <c r="AF352" t="s">
        <v>5015</v>
      </c>
      <c r="AH352" t="s">
        <v>1764</v>
      </c>
      <c r="AI352" t="s">
        <v>1691</v>
      </c>
      <c r="AJ352" s="8" t="str">
        <f>"29072"</f>
        <v>29072</v>
      </c>
      <c r="AK352" t="s">
        <v>118</v>
      </c>
      <c r="AM352" s="10">
        <v>18036670488</v>
      </c>
      <c r="AO352" t="s">
        <v>132</v>
      </c>
      <c r="AP352" t="s">
        <v>248</v>
      </c>
      <c r="AQ352" t="s">
        <v>673</v>
      </c>
      <c r="AR352" t="s">
        <v>674</v>
      </c>
      <c r="AT352" t="s">
        <v>579</v>
      </c>
      <c r="AV352" t="s">
        <v>580</v>
      </c>
      <c r="AW352" t="s">
        <v>581</v>
      </c>
      <c r="AX352" s="8" t="str">
        <f>"22903"</f>
        <v>22903</v>
      </c>
      <c r="AY352" t="s">
        <v>118</v>
      </c>
      <c r="BA352" s="10">
        <v>14342634300</v>
      </c>
      <c r="BC352" t="s">
        <v>675</v>
      </c>
      <c r="BD352" t="s">
        <v>583</v>
      </c>
      <c r="BG352" t="s">
        <v>1691</v>
      </c>
      <c r="BH352" s="1">
        <v>45250.791666666664</v>
      </c>
      <c r="BI352">
        <v>40</v>
      </c>
      <c r="BJ352">
        <v>0</v>
      </c>
      <c r="BK352">
        <v>8</v>
      </c>
      <c r="BL352">
        <v>8</v>
      </c>
      <c r="BM352">
        <v>8</v>
      </c>
      <c r="BN352">
        <v>8</v>
      </c>
      <c r="BO352">
        <v>8</v>
      </c>
      <c r="BP352">
        <v>0</v>
      </c>
      <c r="BQ352" t="str">
        <f>"7:00 AM"</f>
        <v>7:00 AM</v>
      </c>
      <c r="BR352" t="str">
        <f>"4:00 PM"</f>
        <v>4:00 PM</v>
      </c>
      <c r="BS352" t="s">
        <v>131</v>
      </c>
      <c r="BT352">
        <v>0</v>
      </c>
      <c r="BU352">
        <v>0</v>
      </c>
      <c r="BV352" t="s">
        <v>114</v>
      </c>
      <c r="BX352" s="2" t="s">
        <v>3464</v>
      </c>
      <c r="BY352" t="s">
        <v>5016</v>
      </c>
      <c r="CA352" t="s">
        <v>1764</v>
      </c>
      <c r="CB352" t="s">
        <v>1691</v>
      </c>
      <c r="CC352" s="8" t="str">
        <f>"29072"</f>
        <v>29072</v>
      </c>
      <c r="CD352" t="s">
        <v>4940</v>
      </c>
      <c r="CE352" t="s">
        <v>5017</v>
      </c>
      <c r="CF352" s="12">
        <v>15.84</v>
      </c>
      <c r="CG352" s="12">
        <v>15.84</v>
      </c>
      <c r="CH352" s="12">
        <v>23.76</v>
      </c>
      <c r="CI352" s="12">
        <v>23.76</v>
      </c>
      <c r="CJ352" t="s">
        <v>135</v>
      </c>
      <c r="CK352" t="s">
        <v>590</v>
      </c>
      <c r="CL352" t="s">
        <v>5018</v>
      </c>
      <c r="CO352" t="s">
        <v>132</v>
      </c>
      <c r="CP352" t="s">
        <v>136</v>
      </c>
      <c r="CQ352" t="s">
        <v>136</v>
      </c>
      <c r="CR352" t="s">
        <v>136</v>
      </c>
      <c r="CS352" t="s">
        <v>136</v>
      </c>
      <c r="CT352" t="s">
        <v>136</v>
      </c>
      <c r="CU352" t="s">
        <v>136</v>
      </c>
      <c r="CV352" t="s">
        <v>5019</v>
      </c>
      <c r="CW352" s="10" t="str">
        <f>"+18036670488"</f>
        <v>+18036670488</v>
      </c>
      <c r="CX352" t="s">
        <v>132</v>
      </c>
      <c r="CY352" t="s">
        <v>2004</v>
      </c>
      <c r="CZ352" t="s">
        <v>137</v>
      </c>
      <c r="DA352" t="s">
        <v>114</v>
      </c>
      <c r="DB352" t="s">
        <v>136</v>
      </c>
      <c r="DC352" t="s">
        <v>136</v>
      </c>
      <c r="DD352" t="s">
        <v>114</v>
      </c>
      <c r="DE352" t="s">
        <v>673</v>
      </c>
      <c r="DF352" t="s">
        <v>674</v>
      </c>
      <c r="DH352" t="s">
        <v>583</v>
      </c>
      <c r="DI352" t="s">
        <v>675</v>
      </c>
    </row>
    <row r="353" spans="1:113" ht="15" customHeight="1" x14ac:dyDescent="0.25">
      <c r="A353" t="s">
        <v>13524</v>
      </c>
      <c r="B353" t="s">
        <v>152</v>
      </c>
      <c r="C353" s="1">
        <v>45251.273202430559</v>
      </c>
      <c r="D353" s="1">
        <v>45275</v>
      </c>
      <c r="E353" t="s">
        <v>132</v>
      </c>
      <c r="F353" t="s">
        <v>2020</v>
      </c>
      <c r="G353" t="str">
        <f>"37-3011.00"</f>
        <v>37-3011.00</v>
      </c>
      <c r="H353" t="s">
        <v>429</v>
      </c>
      <c r="I353">
        <v>103</v>
      </c>
      <c r="J353">
        <v>103</v>
      </c>
      <c r="K353" s="1">
        <v>45341</v>
      </c>
      <c r="L353" s="1">
        <v>45596</v>
      </c>
      <c r="M353" s="1">
        <v>45341</v>
      </c>
      <c r="N353" s="1">
        <v>45596</v>
      </c>
      <c r="O353" t="s">
        <v>116</v>
      </c>
      <c r="P353" t="s">
        <v>13525</v>
      </c>
      <c r="R353" t="s">
        <v>13526</v>
      </c>
      <c r="T353" t="s">
        <v>9956</v>
      </c>
      <c r="U353" t="s">
        <v>140</v>
      </c>
      <c r="V353" s="8" t="str">
        <f>"30082"</f>
        <v>30082</v>
      </c>
      <c r="W353" t="s">
        <v>118</v>
      </c>
      <c r="Y353" s="10">
        <v>12394495022</v>
      </c>
      <c r="AA353">
        <v>56173</v>
      </c>
      <c r="AB353" t="s">
        <v>3274</v>
      </c>
      <c r="AC353" t="s">
        <v>3462</v>
      </c>
      <c r="AE353" t="s">
        <v>3463</v>
      </c>
      <c r="AF353" t="s">
        <v>13526</v>
      </c>
      <c r="AH353" t="s">
        <v>9956</v>
      </c>
      <c r="AI353" t="s">
        <v>140</v>
      </c>
      <c r="AJ353" s="8" t="str">
        <f>"30082"</f>
        <v>30082</v>
      </c>
      <c r="AK353" t="s">
        <v>118</v>
      </c>
      <c r="AM353" s="10">
        <v>12394495022</v>
      </c>
      <c r="AO353" t="s">
        <v>132</v>
      </c>
      <c r="AP353" t="s">
        <v>248</v>
      </c>
      <c r="AQ353" t="s">
        <v>673</v>
      </c>
      <c r="AR353" t="s">
        <v>674</v>
      </c>
      <c r="AT353" t="s">
        <v>579</v>
      </c>
      <c r="AV353" t="s">
        <v>580</v>
      </c>
      <c r="AW353" t="s">
        <v>581</v>
      </c>
      <c r="AX353" s="8" t="str">
        <f>"22903"</f>
        <v>22903</v>
      </c>
      <c r="AY353" t="s">
        <v>118</v>
      </c>
      <c r="BA353" s="10">
        <v>14342634300</v>
      </c>
      <c r="BC353" t="s">
        <v>675</v>
      </c>
      <c r="BD353" t="s">
        <v>583</v>
      </c>
      <c r="BG353" t="s">
        <v>550</v>
      </c>
      <c r="BH353" s="1">
        <v>45250.791666666664</v>
      </c>
      <c r="BI353">
        <v>40</v>
      </c>
      <c r="BJ353">
        <v>0</v>
      </c>
      <c r="BK353">
        <v>8</v>
      </c>
      <c r="BL353">
        <v>8</v>
      </c>
      <c r="BM353">
        <v>8</v>
      </c>
      <c r="BN353">
        <v>8</v>
      </c>
      <c r="BO353">
        <v>8</v>
      </c>
      <c r="BP353">
        <v>0</v>
      </c>
      <c r="BQ353" t="str">
        <f>"7:00 AM"</f>
        <v>7:00 AM</v>
      </c>
      <c r="BR353" t="str">
        <f>"4:00 PM"</f>
        <v>4:00 PM</v>
      </c>
      <c r="BS353" t="s">
        <v>131</v>
      </c>
      <c r="BT353">
        <v>0</v>
      </c>
      <c r="BU353">
        <v>0</v>
      </c>
      <c r="BV353" t="s">
        <v>114</v>
      </c>
      <c r="BX353" s="2" t="s">
        <v>3464</v>
      </c>
      <c r="BY353" t="s">
        <v>13526</v>
      </c>
      <c r="CA353" t="s">
        <v>9956</v>
      </c>
      <c r="CB353" t="s">
        <v>550</v>
      </c>
      <c r="CC353" s="8" t="str">
        <f>"30082"</f>
        <v>30082</v>
      </c>
      <c r="CD353" t="s">
        <v>7598</v>
      </c>
      <c r="CE353" t="s">
        <v>552</v>
      </c>
      <c r="CF353" s="12">
        <v>17.07</v>
      </c>
      <c r="CG353" s="12">
        <v>17.07</v>
      </c>
      <c r="CH353" s="12">
        <v>25.61</v>
      </c>
      <c r="CI353" s="12">
        <v>25.61</v>
      </c>
      <c r="CJ353" t="s">
        <v>135</v>
      </c>
      <c r="CK353" t="s">
        <v>590</v>
      </c>
      <c r="CL353" t="s">
        <v>13527</v>
      </c>
      <c r="CO353" t="s">
        <v>132</v>
      </c>
      <c r="CP353" t="s">
        <v>136</v>
      </c>
      <c r="CQ353" t="s">
        <v>136</v>
      </c>
      <c r="CR353" t="s">
        <v>136</v>
      </c>
      <c r="CS353" t="s">
        <v>136</v>
      </c>
      <c r="CT353" t="s">
        <v>136</v>
      </c>
      <c r="CU353" t="s">
        <v>136</v>
      </c>
      <c r="CV353" s="2" t="s">
        <v>3468</v>
      </c>
      <c r="CW353" s="10" t="str">
        <f>"+16782713700"</f>
        <v>+16782713700</v>
      </c>
      <c r="CX353" t="s">
        <v>132</v>
      </c>
      <c r="CY353" t="s">
        <v>7458</v>
      </c>
      <c r="CZ353" t="s">
        <v>137</v>
      </c>
      <c r="DA353" t="s">
        <v>114</v>
      </c>
      <c r="DB353" t="s">
        <v>136</v>
      </c>
      <c r="DC353" t="s">
        <v>136</v>
      </c>
      <c r="DD353" t="s">
        <v>114</v>
      </c>
      <c r="DE353" t="s">
        <v>673</v>
      </c>
      <c r="DF353" t="s">
        <v>674</v>
      </c>
      <c r="DH353" t="s">
        <v>583</v>
      </c>
      <c r="DI353" t="s">
        <v>675</v>
      </c>
    </row>
    <row r="354" spans="1:113" ht="15" customHeight="1" x14ac:dyDescent="0.25">
      <c r="A354" t="s">
        <v>17534</v>
      </c>
      <c r="B354" t="s">
        <v>152</v>
      </c>
      <c r="C354" s="1">
        <v>45251.272775231482</v>
      </c>
      <c r="D354" s="1">
        <v>45275</v>
      </c>
      <c r="E354" t="s">
        <v>132</v>
      </c>
      <c r="F354" t="s">
        <v>2020</v>
      </c>
      <c r="G354" t="str">
        <f>"37-3011.00"</f>
        <v>37-3011.00</v>
      </c>
      <c r="H354" t="s">
        <v>429</v>
      </c>
      <c r="I354">
        <v>22</v>
      </c>
      <c r="J354">
        <v>22</v>
      </c>
      <c r="K354" s="1">
        <v>45341</v>
      </c>
      <c r="L354" s="1">
        <v>45596</v>
      </c>
      <c r="M354" s="1">
        <v>45341</v>
      </c>
      <c r="N354" s="1">
        <v>45596</v>
      </c>
      <c r="O354" t="s">
        <v>116</v>
      </c>
      <c r="P354" t="s">
        <v>17535</v>
      </c>
      <c r="R354" t="s">
        <v>17536</v>
      </c>
      <c r="T354" t="s">
        <v>773</v>
      </c>
      <c r="U354" t="s">
        <v>140</v>
      </c>
      <c r="V354" s="8" t="str">
        <f>"33624"</f>
        <v>33624</v>
      </c>
      <c r="W354" t="s">
        <v>118</v>
      </c>
      <c r="Y354" s="10">
        <v>18138867755</v>
      </c>
      <c r="AA354">
        <v>56173</v>
      </c>
      <c r="AB354" t="s">
        <v>3274</v>
      </c>
      <c r="AC354" t="s">
        <v>3462</v>
      </c>
      <c r="AE354" t="s">
        <v>17537</v>
      </c>
      <c r="AF354" t="s">
        <v>17536</v>
      </c>
      <c r="AH354" t="s">
        <v>773</v>
      </c>
      <c r="AI354" t="s">
        <v>140</v>
      </c>
      <c r="AJ354" s="8" t="str">
        <f>"33624"</f>
        <v>33624</v>
      </c>
      <c r="AK354" t="s">
        <v>118</v>
      </c>
      <c r="AM354" s="10">
        <v>18138867755</v>
      </c>
      <c r="AO354" t="s">
        <v>132</v>
      </c>
      <c r="AP354" t="s">
        <v>248</v>
      </c>
      <c r="AQ354" t="s">
        <v>673</v>
      </c>
      <c r="AR354" t="s">
        <v>674</v>
      </c>
      <c r="AT354" t="s">
        <v>579</v>
      </c>
      <c r="AV354" t="s">
        <v>580</v>
      </c>
      <c r="AW354" t="s">
        <v>581</v>
      </c>
      <c r="AX354" s="8" t="str">
        <f>"22903"</f>
        <v>22903</v>
      </c>
      <c r="AY354" t="s">
        <v>118</v>
      </c>
      <c r="BA354" s="10">
        <v>14342634300</v>
      </c>
      <c r="BC354" t="s">
        <v>675</v>
      </c>
      <c r="BD354" t="s">
        <v>583</v>
      </c>
      <c r="BG354" t="s">
        <v>140</v>
      </c>
      <c r="BH354" s="1">
        <v>45250.791666666664</v>
      </c>
      <c r="BI354">
        <v>40</v>
      </c>
      <c r="BJ354">
        <v>0</v>
      </c>
      <c r="BK354">
        <v>8</v>
      </c>
      <c r="BL354">
        <v>8</v>
      </c>
      <c r="BM354">
        <v>8</v>
      </c>
      <c r="BN354">
        <v>8</v>
      </c>
      <c r="BO354">
        <v>8</v>
      </c>
      <c r="BP354">
        <v>0</v>
      </c>
      <c r="BQ354" t="str">
        <f>"7:00 AM"</f>
        <v>7:00 AM</v>
      </c>
      <c r="BR354" t="str">
        <f>"4:00 PM"</f>
        <v>4:00 PM</v>
      </c>
      <c r="BS354" t="s">
        <v>131</v>
      </c>
      <c r="BT354">
        <v>0</v>
      </c>
      <c r="BU354">
        <v>0</v>
      </c>
      <c r="BV354" t="s">
        <v>114</v>
      </c>
      <c r="BX354" s="2" t="s">
        <v>12702</v>
      </c>
      <c r="BY354" t="s">
        <v>17538</v>
      </c>
      <c r="CA354" t="s">
        <v>773</v>
      </c>
      <c r="CB354" t="s">
        <v>140</v>
      </c>
      <c r="CC354" s="8" t="str">
        <f>"33624"</f>
        <v>33624</v>
      </c>
      <c r="CD354" t="s">
        <v>781</v>
      </c>
      <c r="CE354" t="s">
        <v>467</v>
      </c>
      <c r="CF354" s="12">
        <v>15.63</v>
      </c>
      <c r="CG354" s="12">
        <v>15.63</v>
      </c>
      <c r="CH354" s="12">
        <v>23.45</v>
      </c>
      <c r="CI354" s="12">
        <v>23.45</v>
      </c>
      <c r="CJ354" t="s">
        <v>135</v>
      </c>
      <c r="CK354" t="s">
        <v>590</v>
      </c>
      <c r="CL354" t="s">
        <v>17539</v>
      </c>
      <c r="CO354" t="s">
        <v>132</v>
      </c>
      <c r="CP354" t="s">
        <v>136</v>
      </c>
      <c r="CQ354" t="s">
        <v>136</v>
      </c>
      <c r="CR354" t="s">
        <v>136</v>
      </c>
      <c r="CS354" t="s">
        <v>136</v>
      </c>
      <c r="CT354" t="s">
        <v>136</v>
      </c>
      <c r="CU354" t="s">
        <v>136</v>
      </c>
      <c r="CV354" t="s">
        <v>17540</v>
      </c>
      <c r="CW354" s="10" t="str">
        <f>"+18138867755"</f>
        <v>+18138867755</v>
      </c>
      <c r="CX354" t="s">
        <v>132</v>
      </c>
      <c r="CY354" t="s">
        <v>1876</v>
      </c>
      <c r="CZ354" t="s">
        <v>137</v>
      </c>
      <c r="DA354" t="s">
        <v>114</v>
      </c>
      <c r="DB354" t="s">
        <v>136</v>
      </c>
      <c r="DC354" t="s">
        <v>136</v>
      </c>
      <c r="DD354" t="s">
        <v>114</v>
      </c>
      <c r="DE354" t="s">
        <v>673</v>
      </c>
      <c r="DF354" t="s">
        <v>674</v>
      </c>
      <c r="DH354" t="s">
        <v>583</v>
      </c>
      <c r="DI354" t="s">
        <v>675</v>
      </c>
    </row>
    <row r="355" spans="1:113" ht="15" customHeight="1" x14ac:dyDescent="0.25">
      <c r="A355" t="s">
        <v>22097</v>
      </c>
      <c r="B355" t="s">
        <v>152</v>
      </c>
      <c r="C355" s="1">
        <v>45247.648263888892</v>
      </c>
      <c r="D355" s="1">
        <v>45275</v>
      </c>
      <c r="E355" t="s">
        <v>132</v>
      </c>
      <c r="F355" t="s">
        <v>3098</v>
      </c>
      <c r="G355" t="str">
        <f>"35-3023.00"</f>
        <v>35-3023.00</v>
      </c>
      <c r="H355" t="s">
        <v>1365</v>
      </c>
      <c r="I355">
        <v>45</v>
      </c>
      <c r="J355">
        <v>45</v>
      </c>
      <c r="K355" s="1">
        <v>45337</v>
      </c>
      <c r="L355" s="1">
        <v>45640</v>
      </c>
      <c r="M355" s="1">
        <v>45337</v>
      </c>
      <c r="N355" s="1">
        <v>45640</v>
      </c>
      <c r="O355" t="s">
        <v>238</v>
      </c>
      <c r="P355" t="s">
        <v>22098</v>
      </c>
      <c r="R355" t="s">
        <v>22099</v>
      </c>
      <c r="S355" t="s">
        <v>22100</v>
      </c>
      <c r="T355" t="s">
        <v>22101</v>
      </c>
      <c r="U355" t="s">
        <v>543</v>
      </c>
      <c r="V355" s="8" t="str">
        <f>"43315"</f>
        <v>43315</v>
      </c>
      <c r="W355" t="s">
        <v>118</v>
      </c>
      <c r="Y355" s="10">
        <v>18136712021</v>
      </c>
      <c r="Z355" s="3" t="s">
        <v>256</v>
      </c>
      <c r="AA355">
        <v>711190</v>
      </c>
      <c r="AB355" t="s">
        <v>16566</v>
      </c>
      <c r="AC355" t="s">
        <v>2032</v>
      </c>
      <c r="AE355" t="s">
        <v>561</v>
      </c>
      <c r="AF355" t="s">
        <v>22099</v>
      </c>
      <c r="AG355" t="s">
        <v>22100</v>
      </c>
      <c r="AH355" t="s">
        <v>22101</v>
      </c>
      <c r="AI355" t="s">
        <v>543</v>
      </c>
      <c r="AJ355" s="8" t="str">
        <f>"43315"</f>
        <v>43315</v>
      </c>
      <c r="AK355" t="s">
        <v>118</v>
      </c>
      <c r="AM355" s="10">
        <v>18132998160</v>
      </c>
      <c r="AN355" s="3" t="s">
        <v>256</v>
      </c>
      <c r="AO355" t="s">
        <v>22102</v>
      </c>
      <c r="AP355" t="s">
        <v>248</v>
      </c>
      <c r="AQ355" t="s">
        <v>249</v>
      </c>
      <c r="AR355" t="s">
        <v>250</v>
      </c>
      <c r="AS355" t="s">
        <v>251</v>
      </c>
      <c r="AT355" t="s">
        <v>252</v>
      </c>
      <c r="AU355" t="s">
        <v>253</v>
      </c>
      <c r="AV355" t="s">
        <v>254</v>
      </c>
      <c r="AW355" t="s">
        <v>127</v>
      </c>
      <c r="AX355" s="8" t="str">
        <f>"78550"</f>
        <v>78550</v>
      </c>
      <c r="AY355" t="s">
        <v>118</v>
      </c>
      <c r="AZ355" t="s">
        <v>255</v>
      </c>
      <c r="BA355" s="10">
        <v>19564408720</v>
      </c>
      <c r="BB355" s="3" t="s">
        <v>256</v>
      </c>
      <c r="BC355" t="s">
        <v>338</v>
      </c>
      <c r="BD355" t="s">
        <v>258</v>
      </c>
      <c r="BG355" t="s">
        <v>543</v>
      </c>
      <c r="BH355" s="1">
        <v>45246.791666666664</v>
      </c>
      <c r="BI355">
        <v>40</v>
      </c>
      <c r="BJ355">
        <v>8</v>
      </c>
      <c r="BK355">
        <v>0</v>
      </c>
      <c r="BL355">
        <v>0</v>
      </c>
      <c r="BM355">
        <v>8</v>
      </c>
      <c r="BN355">
        <v>8</v>
      </c>
      <c r="BO355">
        <v>8</v>
      </c>
      <c r="BP355">
        <v>8</v>
      </c>
      <c r="BQ355" t="str">
        <f>"1:00 PM"</f>
        <v>1:00 PM</v>
      </c>
      <c r="BR355" t="str">
        <f>"10:00 PM"</f>
        <v>10:00 PM</v>
      </c>
      <c r="BS355" t="s">
        <v>131</v>
      </c>
      <c r="BT355">
        <v>0</v>
      </c>
      <c r="BU355">
        <v>0</v>
      </c>
      <c r="BV355" t="s">
        <v>114</v>
      </c>
      <c r="BX355" s="2" t="s">
        <v>2396</v>
      </c>
      <c r="BY355" t="s">
        <v>22103</v>
      </c>
      <c r="CA355" t="s">
        <v>22104</v>
      </c>
      <c r="CB355" t="s">
        <v>543</v>
      </c>
      <c r="CC355" s="8" t="str">
        <f>"43315"</f>
        <v>43315</v>
      </c>
      <c r="CD355" t="s">
        <v>22105</v>
      </c>
      <c r="CE355" t="s">
        <v>2272</v>
      </c>
      <c r="CF355" s="12">
        <v>11.25</v>
      </c>
      <c r="CG355" s="12">
        <v>14.08</v>
      </c>
      <c r="CJ355" t="s">
        <v>135</v>
      </c>
      <c r="CK355" t="s">
        <v>342</v>
      </c>
      <c r="CL355" t="s">
        <v>22106</v>
      </c>
      <c r="CO355" t="s">
        <v>132</v>
      </c>
      <c r="CP355" t="s">
        <v>136</v>
      </c>
      <c r="CQ355" t="s">
        <v>136</v>
      </c>
      <c r="CR355" t="s">
        <v>114</v>
      </c>
      <c r="CS355" t="s">
        <v>136</v>
      </c>
      <c r="CT355" t="s">
        <v>136</v>
      </c>
      <c r="CU355" t="s">
        <v>136</v>
      </c>
      <c r="CV355" t="s">
        <v>344</v>
      </c>
      <c r="CW355" s="10" t="str">
        <f>"+18132998160"</f>
        <v>+18132998160</v>
      </c>
      <c r="CX355" t="s">
        <v>22102</v>
      </c>
      <c r="CY355" t="s">
        <v>132</v>
      </c>
      <c r="CZ355" t="s">
        <v>137</v>
      </c>
      <c r="DA355" t="s">
        <v>114</v>
      </c>
      <c r="DB355" t="s">
        <v>136</v>
      </c>
      <c r="DC355" t="s">
        <v>136</v>
      </c>
      <c r="DD355" t="s">
        <v>114</v>
      </c>
    </row>
    <row r="356" spans="1:113" ht="15" customHeight="1" x14ac:dyDescent="0.25">
      <c r="A356" t="s">
        <v>16322</v>
      </c>
      <c r="B356" t="s">
        <v>152</v>
      </c>
      <c r="C356" s="1">
        <v>45247.537017939816</v>
      </c>
      <c r="D356" s="1">
        <v>45275</v>
      </c>
      <c r="E356" t="s">
        <v>132</v>
      </c>
      <c r="F356" t="s">
        <v>1595</v>
      </c>
      <c r="G356" t="str">
        <f>"37-3011.00"</f>
        <v>37-3011.00</v>
      </c>
      <c r="H356" t="s">
        <v>429</v>
      </c>
      <c r="I356">
        <v>4</v>
      </c>
      <c r="J356">
        <v>4</v>
      </c>
      <c r="K356" s="1">
        <v>45337</v>
      </c>
      <c r="L356" s="1">
        <v>45641</v>
      </c>
      <c r="M356" s="1">
        <v>45337</v>
      </c>
      <c r="N356" s="1">
        <v>45641</v>
      </c>
      <c r="O356" t="s">
        <v>238</v>
      </c>
      <c r="P356" t="s">
        <v>16323</v>
      </c>
      <c r="R356" t="s">
        <v>16324</v>
      </c>
      <c r="S356" t="s">
        <v>1763</v>
      </c>
      <c r="T356" t="s">
        <v>11284</v>
      </c>
      <c r="U356" t="s">
        <v>1434</v>
      </c>
      <c r="V356" s="8" t="str">
        <f>"41005"</f>
        <v>41005</v>
      </c>
      <c r="W356" t="s">
        <v>118</v>
      </c>
      <c r="Y356" s="10">
        <v>18595864784</v>
      </c>
      <c r="AA356">
        <v>56173</v>
      </c>
      <c r="AB356" t="s">
        <v>16325</v>
      </c>
      <c r="AC356" t="s">
        <v>1826</v>
      </c>
      <c r="AE356" t="s">
        <v>1959</v>
      </c>
      <c r="AF356" t="s">
        <v>16324</v>
      </c>
      <c r="AG356" t="s">
        <v>1763</v>
      </c>
      <c r="AH356" t="s">
        <v>11284</v>
      </c>
      <c r="AI356" t="s">
        <v>1434</v>
      </c>
      <c r="AJ356" s="8" t="str">
        <f>"41005"</f>
        <v>41005</v>
      </c>
      <c r="AK356" t="s">
        <v>118</v>
      </c>
      <c r="AM356" s="10">
        <v>18595864784</v>
      </c>
      <c r="AO356" t="s">
        <v>16326</v>
      </c>
      <c r="AP356" t="s">
        <v>248</v>
      </c>
      <c r="AQ356" t="s">
        <v>849</v>
      </c>
      <c r="AR356" t="s">
        <v>850</v>
      </c>
      <c r="AS356" t="s">
        <v>132</v>
      </c>
      <c r="AT356" t="s">
        <v>1253</v>
      </c>
      <c r="AU356" t="s">
        <v>852</v>
      </c>
      <c r="AV356" t="s">
        <v>853</v>
      </c>
      <c r="AW356" t="s">
        <v>854</v>
      </c>
      <c r="AX356" s="8" t="str">
        <f>"83814"</f>
        <v>83814</v>
      </c>
      <c r="AY356" t="s">
        <v>118</v>
      </c>
      <c r="BA356" s="10">
        <v>12087772654</v>
      </c>
      <c r="BC356" t="s">
        <v>855</v>
      </c>
      <c r="BD356" t="s">
        <v>856</v>
      </c>
      <c r="BG356" t="s">
        <v>1434</v>
      </c>
      <c r="BH356" s="1">
        <v>45246.791666666664</v>
      </c>
      <c r="BI356">
        <v>40</v>
      </c>
      <c r="BJ356">
        <v>0</v>
      </c>
      <c r="BK356">
        <v>8</v>
      </c>
      <c r="BL356">
        <v>8</v>
      </c>
      <c r="BM356">
        <v>8</v>
      </c>
      <c r="BN356">
        <v>8</v>
      </c>
      <c r="BO356">
        <v>8</v>
      </c>
      <c r="BP356">
        <v>0</v>
      </c>
      <c r="BQ356" t="str">
        <f>"8:00 AM"</f>
        <v>8:00 AM</v>
      </c>
      <c r="BR356" t="str">
        <f>"4:30 PM"</f>
        <v>4:30 PM</v>
      </c>
      <c r="BS356" t="s">
        <v>131</v>
      </c>
      <c r="BT356">
        <v>0</v>
      </c>
      <c r="BU356">
        <v>0</v>
      </c>
      <c r="BV356" t="s">
        <v>114</v>
      </c>
      <c r="BX356" t="s">
        <v>3491</v>
      </c>
      <c r="BY356" t="s">
        <v>16327</v>
      </c>
      <c r="BZ356" t="s">
        <v>1763</v>
      </c>
      <c r="CA356" t="s">
        <v>11284</v>
      </c>
      <c r="CB356" t="s">
        <v>1434</v>
      </c>
      <c r="CC356" s="8" t="str">
        <f>"41005"</f>
        <v>41005</v>
      </c>
      <c r="CD356" t="s">
        <v>2672</v>
      </c>
      <c r="CE356" t="s">
        <v>3443</v>
      </c>
      <c r="CF356" s="12">
        <v>16.690000000000001</v>
      </c>
      <c r="CG356" s="12">
        <v>19</v>
      </c>
      <c r="CH356" s="12">
        <v>25.04</v>
      </c>
      <c r="CI356" s="12">
        <v>28.5</v>
      </c>
      <c r="CJ356" t="s">
        <v>135</v>
      </c>
      <c r="CK356" t="s">
        <v>1899</v>
      </c>
      <c r="CL356" t="s">
        <v>16328</v>
      </c>
      <c r="CO356" t="s">
        <v>132</v>
      </c>
      <c r="CP356" t="s">
        <v>136</v>
      </c>
      <c r="CQ356" t="s">
        <v>136</v>
      </c>
      <c r="CR356" t="s">
        <v>136</v>
      </c>
      <c r="CS356" t="s">
        <v>136</v>
      </c>
      <c r="CT356" t="s">
        <v>136</v>
      </c>
      <c r="CU356" t="s">
        <v>136</v>
      </c>
      <c r="CV356" t="s">
        <v>16329</v>
      </c>
      <c r="CW356" s="10" t="str">
        <f>"+18595864784"</f>
        <v>+18595864784</v>
      </c>
      <c r="CX356" t="s">
        <v>16330</v>
      </c>
      <c r="CY356" t="s">
        <v>132</v>
      </c>
      <c r="CZ356" t="s">
        <v>137</v>
      </c>
      <c r="DA356" t="s">
        <v>114</v>
      </c>
      <c r="DB356" t="s">
        <v>136</v>
      </c>
      <c r="DC356" t="s">
        <v>136</v>
      </c>
      <c r="DD356" t="s">
        <v>114</v>
      </c>
    </row>
    <row r="357" spans="1:113" ht="15" customHeight="1" x14ac:dyDescent="0.25">
      <c r="A357" t="s">
        <v>22994</v>
      </c>
      <c r="B357" t="s">
        <v>152</v>
      </c>
      <c r="C357" s="1">
        <v>45247.531835416667</v>
      </c>
      <c r="D357" s="1">
        <v>45275</v>
      </c>
      <c r="E357" t="s">
        <v>132</v>
      </c>
      <c r="F357" t="s">
        <v>2866</v>
      </c>
      <c r="G357" t="str">
        <f>"35-9021.00"</f>
        <v>35-9021.00</v>
      </c>
      <c r="H357" t="s">
        <v>501</v>
      </c>
      <c r="I357">
        <v>2</v>
      </c>
      <c r="J357">
        <v>2</v>
      </c>
      <c r="K357" s="1">
        <v>45337</v>
      </c>
      <c r="L357" s="1">
        <v>45641</v>
      </c>
      <c r="M357" s="1">
        <v>45337</v>
      </c>
      <c r="N357" s="1">
        <v>45641</v>
      </c>
      <c r="O357" t="s">
        <v>116</v>
      </c>
      <c r="P357" t="s">
        <v>1934</v>
      </c>
      <c r="Q357" t="s">
        <v>1935</v>
      </c>
      <c r="R357" t="s">
        <v>1936</v>
      </c>
      <c r="T357" t="s">
        <v>126</v>
      </c>
      <c r="U357" t="s">
        <v>127</v>
      </c>
      <c r="V357" s="8" t="str">
        <f>"78205"</f>
        <v>78205</v>
      </c>
      <c r="W357" t="s">
        <v>118</v>
      </c>
      <c r="Y357" s="10">
        <v>12103965800</v>
      </c>
      <c r="AA357">
        <v>72111</v>
      </c>
      <c r="AB357" t="s">
        <v>1937</v>
      </c>
      <c r="AC357" t="s">
        <v>1328</v>
      </c>
      <c r="AE357" t="s">
        <v>405</v>
      </c>
      <c r="AF357" t="s">
        <v>1936</v>
      </c>
      <c r="AH357" t="s">
        <v>126</v>
      </c>
      <c r="AI357" t="s">
        <v>127</v>
      </c>
      <c r="AJ357" s="8" t="str">
        <f>"78205"</f>
        <v>78205</v>
      </c>
      <c r="AK357" t="s">
        <v>118</v>
      </c>
      <c r="AM357" s="10">
        <v>12103965800</v>
      </c>
      <c r="AO357" t="s">
        <v>1938</v>
      </c>
      <c r="AP357" t="s">
        <v>248</v>
      </c>
      <c r="AQ357" t="s">
        <v>960</v>
      </c>
      <c r="AR357" t="s">
        <v>961</v>
      </c>
      <c r="AS357" t="s">
        <v>962</v>
      </c>
      <c r="AT357" t="s">
        <v>963</v>
      </c>
      <c r="AU357" t="s">
        <v>296</v>
      </c>
      <c r="AV357" t="s">
        <v>964</v>
      </c>
      <c r="AW357" t="s">
        <v>127</v>
      </c>
      <c r="AX357" s="8" t="str">
        <f>"75033"</f>
        <v>75033</v>
      </c>
      <c r="AY357" t="s">
        <v>118</v>
      </c>
      <c r="BA357" s="10">
        <v>19727789690</v>
      </c>
      <c r="BC357" t="s">
        <v>1939</v>
      </c>
      <c r="BD357" t="s">
        <v>966</v>
      </c>
      <c r="BG357" t="s">
        <v>127</v>
      </c>
      <c r="BH357" s="1">
        <v>45246.791666666664</v>
      </c>
      <c r="BI357">
        <v>37.5</v>
      </c>
      <c r="BJ357">
        <v>7.5</v>
      </c>
      <c r="BK357">
        <v>0</v>
      </c>
      <c r="BL357">
        <v>0</v>
      </c>
      <c r="BM357">
        <v>7.5</v>
      </c>
      <c r="BN357">
        <v>7.5</v>
      </c>
      <c r="BO357">
        <v>7.5</v>
      </c>
      <c r="BP357">
        <v>7.5</v>
      </c>
      <c r="BQ357" t="str">
        <f>"7:00 AM"</f>
        <v>7:00 AM</v>
      </c>
      <c r="BR357" t="str">
        <f>"3:00 PM"</f>
        <v>3:00 PM</v>
      </c>
      <c r="BS357" t="s">
        <v>131</v>
      </c>
      <c r="BT357">
        <v>0</v>
      </c>
      <c r="BU357">
        <v>0</v>
      </c>
      <c r="BV357" t="s">
        <v>114</v>
      </c>
      <c r="BX357" s="2" t="s">
        <v>22995</v>
      </c>
      <c r="BY357" t="s">
        <v>1936</v>
      </c>
      <c r="CA357" t="s">
        <v>126</v>
      </c>
      <c r="CB357" t="s">
        <v>127</v>
      </c>
      <c r="CC357" s="8" t="str">
        <f>"78205"</f>
        <v>78205</v>
      </c>
      <c r="CD357" t="s">
        <v>1941</v>
      </c>
      <c r="CE357" t="s">
        <v>1287</v>
      </c>
      <c r="CF357" s="12">
        <v>15</v>
      </c>
      <c r="CH357" s="12">
        <v>22.5</v>
      </c>
      <c r="CJ357" t="s">
        <v>135</v>
      </c>
      <c r="CK357" t="s">
        <v>1840</v>
      </c>
      <c r="CL357" t="s">
        <v>22996</v>
      </c>
      <c r="CO357" t="s">
        <v>132</v>
      </c>
      <c r="CP357" t="s">
        <v>114</v>
      </c>
      <c r="CQ357" t="s">
        <v>114</v>
      </c>
      <c r="CR357" t="s">
        <v>136</v>
      </c>
      <c r="CS357" t="s">
        <v>136</v>
      </c>
      <c r="CT357" t="s">
        <v>136</v>
      </c>
      <c r="CU357" t="s">
        <v>136</v>
      </c>
      <c r="CV357" s="2" t="s">
        <v>22997</v>
      </c>
      <c r="CW357" s="10" t="str">
        <f>"+12103965800"</f>
        <v>+12103965800</v>
      </c>
      <c r="CX357" t="s">
        <v>132</v>
      </c>
      <c r="CY357" t="s">
        <v>1853</v>
      </c>
      <c r="CZ357" t="s">
        <v>137</v>
      </c>
      <c r="DA357" t="s">
        <v>114</v>
      </c>
      <c r="DB357" t="s">
        <v>114</v>
      </c>
      <c r="DC357" t="s">
        <v>136</v>
      </c>
      <c r="DD357" t="s">
        <v>114</v>
      </c>
    </row>
    <row r="358" spans="1:113" ht="15" customHeight="1" x14ac:dyDescent="0.25">
      <c r="A358" t="s">
        <v>1933</v>
      </c>
      <c r="B358" t="s">
        <v>152</v>
      </c>
      <c r="C358" s="1">
        <v>45247.499801851853</v>
      </c>
      <c r="D358" s="1">
        <v>45275</v>
      </c>
      <c r="E358" t="s">
        <v>132</v>
      </c>
      <c r="F358" t="s">
        <v>293</v>
      </c>
      <c r="G358" t="str">
        <f>"37-2012.00"</f>
        <v>37-2012.00</v>
      </c>
      <c r="H358" t="s">
        <v>205</v>
      </c>
      <c r="I358">
        <v>2</v>
      </c>
      <c r="J358">
        <v>2</v>
      </c>
      <c r="K358" s="1">
        <v>45337</v>
      </c>
      <c r="L358" s="1">
        <v>45641</v>
      </c>
      <c r="M358" s="1">
        <v>45337</v>
      </c>
      <c r="N358" s="1">
        <v>45641</v>
      </c>
      <c r="O358" t="s">
        <v>116</v>
      </c>
      <c r="P358" t="s">
        <v>1934</v>
      </c>
      <c r="Q358" t="s">
        <v>1935</v>
      </c>
      <c r="R358" t="s">
        <v>1936</v>
      </c>
      <c r="T358" t="s">
        <v>126</v>
      </c>
      <c r="U358" t="s">
        <v>127</v>
      </c>
      <c r="V358" s="8" t="str">
        <f>"78205"</f>
        <v>78205</v>
      </c>
      <c r="W358" t="s">
        <v>118</v>
      </c>
      <c r="Y358" s="10">
        <v>12103965800</v>
      </c>
      <c r="AA358">
        <v>72111</v>
      </c>
      <c r="AB358" t="s">
        <v>1937</v>
      </c>
      <c r="AC358" t="s">
        <v>1328</v>
      </c>
      <c r="AE358" t="s">
        <v>405</v>
      </c>
      <c r="AF358" t="s">
        <v>1936</v>
      </c>
      <c r="AH358" t="s">
        <v>126</v>
      </c>
      <c r="AI358" t="s">
        <v>127</v>
      </c>
      <c r="AJ358" s="8" t="str">
        <f>"78205"</f>
        <v>78205</v>
      </c>
      <c r="AK358" t="s">
        <v>118</v>
      </c>
      <c r="AM358" s="10">
        <v>12103965800</v>
      </c>
      <c r="AO358" t="s">
        <v>1938</v>
      </c>
      <c r="AP358" t="s">
        <v>248</v>
      </c>
      <c r="AQ358" t="s">
        <v>960</v>
      </c>
      <c r="AR358" t="s">
        <v>961</v>
      </c>
      <c r="AS358" t="s">
        <v>962</v>
      </c>
      <c r="AT358" t="s">
        <v>963</v>
      </c>
      <c r="AU358" t="s">
        <v>296</v>
      </c>
      <c r="AV358" t="s">
        <v>964</v>
      </c>
      <c r="AW358" t="s">
        <v>127</v>
      </c>
      <c r="AX358" s="8" t="str">
        <f>"75033"</f>
        <v>75033</v>
      </c>
      <c r="AY358" t="s">
        <v>118</v>
      </c>
      <c r="BA358" s="10">
        <v>19727789690</v>
      </c>
      <c r="BC358" t="s">
        <v>1939</v>
      </c>
      <c r="BD358" t="s">
        <v>966</v>
      </c>
      <c r="BG358" t="s">
        <v>127</v>
      </c>
      <c r="BH358" s="1">
        <v>45246.791666666664</v>
      </c>
      <c r="BI358">
        <v>37.5</v>
      </c>
      <c r="BJ358">
        <v>7.5</v>
      </c>
      <c r="BK358">
        <v>0</v>
      </c>
      <c r="BL358">
        <v>0</v>
      </c>
      <c r="BM358">
        <v>7.5</v>
      </c>
      <c r="BN358">
        <v>7.5</v>
      </c>
      <c r="BO358">
        <v>7.5</v>
      </c>
      <c r="BP358">
        <v>7.5</v>
      </c>
      <c r="BQ358" t="str">
        <f>"7:00 AM"</f>
        <v>7:00 AM</v>
      </c>
      <c r="BR358" t="str">
        <f>"3:00 PM"</f>
        <v>3:00 PM</v>
      </c>
      <c r="BS358" t="s">
        <v>131</v>
      </c>
      <c r="BT358">
        <v>0</v>
      </c>
      <c r="BU358">
        <v>0</v>
      </c>
      <c r="BV358" t="s">
        <v>114</v>
      </c>
      <c r="BX358" s="2" t="s">
        <v>1940</v>
      </c>
      <c r="BY358" t="s">
        <v>1936</v>
      </c>
      <c r="CA358" t="s">
        <v>126</v>
      </c>
      <c r="CB358" t="s">
        <v>127</v>
      </c>
      <c r="CC358" s="8" t="str">
        <f>"78205"</f>
        <v>78205</v>
      </c>
      <c r="CD358" t="s">
        <v>1941</v>
      </c>
      <c r="CE358" t="s">
        <v>1287</v>
      </c>
      <c r="CF358" s="12">
        <v>18</v>
      </c>
      <c r="CH358" s="12">
        <v>27</v>
      </c>
      <c r="CJ358" t="s">
        <v>135</v>
      </c>
      <c r="CK358" t="s">
        <v>1942</v>
      </c>
      <c r="CL358" t="s">
        <v>1943</v>
      </c>
      <c r="CO358" t="s">
        <v>132</v>
      </c>
      <c r="CP358" t="s">
        <v>114</v>
      </c>
      <c r="CQ358" t="s">
        <v>114</v>
      </c>
      <c r="CR358" t="s">
        <v>136</v>
      </c>
      <c r="CS358" t="s">
        <v>136</v>
      </c>
      <c r="CT358" t="s">
        <v>136</v>
      </c>
      <c r="CU358" t="s">
        <v>136</v>
      </c>
      <c r="CV358" s="2" t="s">
        <v>1944</v>
      </c>
      <c r="CW358" s="10" t="str">
        <f>"+12103965800"</f>
        <v>+12103965800</v>
      </c>
      <c r="CX358" t="s">
        <v>132</v>
      </c>
      <c r="CY358" t="s">
        <v>1853</v>
      </c>
      <c r="CZ358" t="s">
        <v>137</v>
      </c>
      <c r="DA358" t="s">
        <v>114</v>
      </c>
      <c r="DB358" t="s">
        <v>114</v>
      </c>
      <c r="DC358" t="s">
        <v>136</v>
      </c>
      <c r="DD358" t="s">
        <v>114</v>
      </c>
    </row>
    <row r="359" spans="1:113" ht="15" customHeight="1" x14ac:dyDescent="0.25">
      <c r="A359" t="s">
        <v>16241</v>
      </c>
      <c r="B359" t="s">
        <v>152</v>
      </c>
      <c r="C359" s="1">
        <v>45247.494182523151</v>
      </c>
      <c r="D359" s="1">
        <v>45275</v>
      </c>
      <c r="E359" t="s">
        <v>132</v>
      </c>
      <c r="F359" t="s">
        <v>13757</v>
      </c>
      <c r="G359" t="str">
        <f>"35-9011.00"</f>
        <v>35-9011.00</v>
      </c>
      <c r="H359" t="s">
        <v>1512</v>
      </c>
      <c r="I359">
        <v>2</v>
      </c>
      <c r="J359">
        <v>2</v>
      </c>
      <c r="K359" s="1">
        <v>45337</v>
      </c>
      <c r="L359" s="1">
        <v>45641</v>
      </c>
      <c r="M359" s="1">
        <v>45337</v>
      </c>
      <c r="N359" s="1">
        <v>45641</v>
      </c>
      <c r="O359" t="s">
        <v>116</v>
      </c>
      <c r="P359" t="s">
        <v>1934</v>
      </c>
      <c r="Q359" t="s">
        <v>1935</v>
      </c>
      <c r="R359" t="s">
        <v>1936</v>
      </c>
      <c r="T359" t="s">
        <v>126</v>
      </c>
      <c r="U359" t="s">
        <v>127</v>
      </c>
      <c r="V359" s="8" t="str">
        <f>"78205"</f>
        <v>78205</v>
      </c>
      <c r="W359" t="s">
        <v>118</v>
      </c>
      <c r="Y359" s="10">
        <v>12103965800</v>
      </c>
      <c r="AA359">
        <v>72111</v>
      </c>
      <c r="AB359" t="s">
        <v>1937</v>
      </c>
      <c r="AC359" t="s">
        <v>1328</v>
      </c>
      <c r="AE359" t="s">
        <v>405</v>
      </c>
      <c r="AF359" t="s">
        <v>1936</v>
      </c>
      <c r="AH359" t="s">
        <v>126</v>
      </c>
      <c r="AI359" t="s">
        <v>127</v>
      </c>
      <c r="AJ359" s="8" t="str">
        <f>"78205"</f>
        <v>78205</v>
      </c>
      <c r="AK359" t="s">
        <v>118</v>
      </c>
      <c r="AM359" s="10">
        <v>12103965800</v>
      </c>
      <c r="AO359" t="s">
        <v>1938</v>
      </c>
      <c r="AP359" t="s">
        <v>248</v>
      </c>
      <c r="AQ359" t="s">
        <v>960</v>
      </c>
      <c r="AR359" t="s">
        <v>961</v>
      </c>
      <c r="AS359" t="s">
        <v>962</v>
      </c>
      <c r="AT359" t="s">
        <v>963</v>
      </c>
      <c r="AU359" t="s">
        <v>296</v>
      </c>
      <c r="AV359" t="s">
        <v>964</v>
      </c>
      <c r="AW359" t="s">
        <v>127</v>
      </c>
      <c r="AX359" s="8" t="str">
        <f>"75033"</f>
        <v>75033</v>
      </c>
      <c r="AY359" t="s">
        <v>118</v>
      </c>
      <c r="BA359" s="10">
        <v>19727789690</v>
      </c>
      <c r="BC359" t="s">
        <v>1939</v>
      </c>
      <c r="BD359" t="s">
        <v>966</v>
      </c>
      <c r="BG359" t="s">
        <v>127</v>
      </c>
      <c r="BH359" s="1">
        <v>45246.791666666664</v>
      </c>
      <c r="BI359">
        <v>37.5</v>
      </c>
      <c r="BJ359">
        <v>7.5</v>
      </c>
      <c r="BK359">
        <v>0</v>
      </c>
      <c r="BL359">
        <v>0</v>
      </c>
      <c r="BM359">
        <v>7.5</v>
      </c>
      <c r="BN359">
        <v>7.5</v>
      </c>
      <c r="BO359">
        <v>7.5</v>
      </c>
      <c r="BP359">
        <v>7.5</v>
      </c>
      <c r="BQ359" t="str">
        <f>"7:00 AM"</f>
        <v>7:00 AM</v>
      </c>
      <c r="BR359" t="str">
        <f>"3:00 PM"</f>
        <v>3:00 PM</v>
      </c>
      <c r="BS359" t="s">
        <v>131</v>
      </c>
      <c r="BT359">
        <v>0</v>
      </c>
      <c r="BU359">
        <v>0</v>
      </c>
      <c r="BV359" t="s">
        <v>114</v>
      </c>
      <c r="BX359" s="2" t="s">
        <v>16242</v>
      </c>
      <c r="BY359" t="s">
        <v>1936</v>
      </c>
      <c r="CA359" t="s">
        <v>126</v>
      </c>
      <c r="CB359" t="s">
        <v>127</v>
      </c>
      <c r="CC359" s="8" t="str">
        <f>"78205"</f>
        <v>78205</v>
      </c>
      <c r="CD359" t="s">
        <v>1941</v>
      </c>
      <c r="CE359" t="s">
        <v>1287</v>
      </c>
      <c r="CF359" s="12">
        <v>12.38</v>
      </c>
      <c r="CH359" s="12">
        <v>18.57</v>
      </c>
      <c r="CJ359" t="s">
        <v>135</v>
      </c>
      <c r="CK359" t="s">
        <v>1840</v>
      </c>
      <c r="CL359" t="s">
        <v>16243</v>
      </c>
      <c r="CO359" t="s">
        <v>132</v>
      </c>
      <c r="CP359" t="s">
        <v>114</v>
      </c>
      <c r="CQ359" t="s">
        <v>114</v>
      </c>
      <c r="CR359" t="s">
        <v>136</v>
      </c>
      <c r="CS359" t="s">
        <v>136</v>
      </c>
      <c r="CT359" t="s">
        <v>136</v>
      </c>
      <c r="CU359" t="s">
        <v>136</v>
      </c>
      <c r="CV359" s="2" t="s">
        <v>16244</v>
      </c>
      <c r="CW359" s="10" t="str">
        <f>"+12103965800"</f>
        <v>+12103965800</v>
      </c>
      <c r="CX359" t="s">
        <v>132</v>
      </c>
      <c r="CY359" t="s">
        <v>1853</v>
      </c>
      <c r="CZ359" t="s">
        <v>137</v>
      </c>
      <c r="DA359" t="s">
        <v>114</v>
      </c>
      <c r="DB359" t="s">
        <v>114</v>
      </c>
      <c r="DC359" t="s">
        <v>136</v>
      </c>
      <c r="DD359" t="s">
        <v>114</v>
      </c>
    </row>
    <row r="360" spans="1:113" ht="15" customHeight="1" x14ac:dyDescent="0.25">
      <c r="A360" t="s">
        <v>17686</v>
      </c>
      <c r="B360" t="s">
        <v>152</v>
      </c>
      <c r="C360" s="1">
        <v>45247.470463078702</v>
      </c>
      <c r="D360" s="1">
        <v>45275</v>
      </c>
      <c r="E360" t="s">
        <v>132</v>
      </c>
      <c r="F360" t="s">
        <v>293</v>
      </c>
      <c r="G360" t="str">
        <f>"37-2012.00"</f>
        <v>37-2012.00</v>
      </c>
      <c r="H360" t="s">
        <v>205</v>
      </c>
      <c r="I360">
        <v>4</v>
      </c>
      <c r="J360">
        <v>4</v>
      </c>
      <c r="K360" s="1">
        <v>45337</v>
      </c>
      <c r="L360" s="1">
        <v>45641</v>
      </c>
      <c r="M360" s="1">
        <v>45337</v>
      </c>
      <c r="N360" s="1">
        <v>45641</v>
      </c>
      <c r="O360" t="s">
        <v>116</v>
      </c>
      <c r="P360" t="s">
        <v>13758</v>
      </c>
      <c r="Q360" t="s">
        <v>13759</v>
      </c>
      <c r="R360" t="s">
        <v>13760</v>
      </c>
      <c r="T360" t="s">
        <v>126</v>
      </c>
      <c r="U360" t="s">
        <v>127</v>
      </c>
      <c r="V360" s="8" t="str">
        <f>"78205"</f>
        <v>78205</v>
      </c>
      <c r="W360" t="s">
        <v>118</v>
      </c>
      <c r="Y360" s="10">
        <v>12105181000</v>
      </c>
      <c r="AA360">
        <v>72111</v>
      </c>
      <c r="AB360" t="s">
        <v>1937</v>
      </c>
      <c r="AC360" t="s">
        <v>1328</v>
      </c>
      <c r="AE360" t="s">
        <v>405</v>
      </c>
      <c r="AF360" t="s">
        <v>13760</v>
      </c>
      <c r="AH360" t="s">
        <v>126</v>
      </c>
      <c r="AI360" t="s">
        <v>127</v>
      </c>
      <c r="AJ360" s="8" t="str">
        <f>"78205"</f>
        <v>78205</v>
      </c>
      <c r="AK360" t="s">
        <v>118</v>
      </c>
      <c r="AM360" s="10">
        <v>12105181000</v>
      </c>
      <c r="AO360" t="s">
        <v>1938</v>
      </c>
      <c r="AP360" t="s">
        <v>248</v>
      </c>
      <c r="AQ360" t="s">
        <v>960</v>
      </c>
      <c r="AR360" t="s">
        <v>961</v>
      </c>
      <c r="AS360" t="s">
        <v>962</v>
      </c>
      <c r="AT360" t="s">
        <v>963</v>
      </c>
      <c r="AU360" t="s">
        <v>296</v>
      </c>
      <c r="AV360" t="s">
        <v>964</v>
      </c>
      <c r="AW360" t="s">
        <v>127</v>
      </c>
      <c r="AX360" s="8" t="str">
        <f>"75033"</f>
        <v>75033</v>
      </c>
      <c r="AY360" t="s">
        <v>118</v>
      </c>
      <c r="BA360" s="10">
        <v>19727789690</v>
      </c>
      <c r="BC360" t="s">
        <v>1939</v>
      </c>
      <c r="BD360" t="s">
        <v>966</v>
      </c>
      <c r="BG360" t="s">
        <v>127</v>
      </c>
      <c r="BH360" s="1">
        <v>45246.791666666664</v>
      </c>
      <c r="BI360">
        <v>40</v>
      </c>
      <c r="BJ360">
        <v>8</v>
      </c>
      <c r="BK360">
        <v>0</v>
      </c>
      <c r="BL360">
        <v>0</v>
      </c>
      <c r="BM360">
        <v>8</v>
      </c>
      <c r="BN360">
        <v>8</v>
      </c>
      <c r="BO360">
        <v>8</v>
      </c>
      <c r="BP360">
        <v>8</v>
      </c>
      <c r="BQ360" t="str">
        <f>"8:00 AM"</f>
        <v>8:00 AM</v>
      </c>
      <c r="BR360" t="str">
        <f>"4:30 PM"</f>
        <v>4:30 PM</v>
      </c>
      <c r="BS360" t="s">
        <v>131</v>
      </c>
      <c r="BT360">
        <v>0</v>
      </c>
      <c r="BU360">
        <v>0</v>
      </c>
      <c r="BV360" t="s">
        <v>114</v>
      </c>
      <c r="BX360" s="2" t="s">
        <v>17687</v>
      </c>
      <c r="BY360" t="s">
        <v>13760</v>
      </c>
      <c r="CA360" t="s">
        <v>126</v>
      </c>
      <c r="CB360" t="s">
        <v>127</v>
      </c>
      <c r="CC360" s="8" t="str">
        <f>"78205"</f>
        <v>78205</v>
      </c>
      <c r="CD360" t="s">
        <v>1941</v>
      </c>
      <c r="CE360" t="s">
        <v>1287</v>
      </c>
      <c r="CF360" s="12">
        <v>16</v>
      </c>
      <c r="CH360" s="12">
        <v>24</v>
      </c>
      <c r="CJ360" t="s">
        <v>135</v>
      </c>
      <c r="CK360" t="s">
        <v>1840</v>
      </c>
      <c r="CL360" t="s">
        <v>17688</v>
      </c>
      <c r="CO360" t="s">
        <v>132</v>
      </c>
      <c r="CP360" t="s">
        <v>114</v>
      </c>
      <c r="CQ360" t="s">
        <v>114</v>
      </c>
      <c r="CR360" t="s">
        <v>136</v>
      </c>
      <c r="CS360" t="s">
        <v>136</v>
      </c>
      <c r="CT360" t="s">
        <v>136</v>
      </c>
      <c r="CU360" t="s">
        <v>136</v>
      </c>
      <c r="CV360" s="2" t="s">
        <v>13997</v>
      </c>
      <c r="CW360" s="10" t="str">
        <f>"+12105181000"</f>
        <v>+12105181000</v>
      </c>
      <c r="CX360" t="s">
        <v>132</v>
      </c>
      <c r="CY360" t="s">
        <v>1853</v>
      </c>
      <c r="CZ360" t="s">
        <v>137</v>
      </c>
      <c r="DA360" t="s">
        <v>114</v>
      </c>
      <c r="DB360" t="s">
        <v>114</v>
      </c>
      <c r="DC360" t="s">
        <v>136</v>
      </c>
      <c r="DD360" t="s">
        <v>114</v>
      </c>
    </row>
    <row r="361" spans="1:113" ht="15" customHeight="1" x14ac:dyDescent="0.25">
      <c r="A361" t="s">
        <v>13994</v>
      </c>
      <c r="B361" t="s">
        <v>152</v>
      </c>
      <c r="C361" s="1">
        <v>45247.461716203703</v>
      </c>
      <c r="D361" s="1">
        <v>45275</v>
      </c>
      <c r="E361" t="s">
        <v>132</v>
      </c>
      <c r="F361" t="s">
        <v>2866</v>
      </c>
      <c r="G361" t="str">
        <f>"35-9021.00"</f>
        <v>35-9021.00</v>
      </c>
      <c r="H361" t="s">
        <v>501</v>
      </c>
      <c r="I361">
        <v>2</v>
      </c>
      <c r="J361">
        <v>2</v>
      </c>
      <c r="K361" s="1">
        <v>45337</v>
      </c>
      <c r="L361" s="1">
        <v>45641</v>
      </c>
      <c r="M361" s="1">
        <v>45337</v>
      </c>
      <c r="N361" s="1">
        <v>45641</v>
      </c>
      <c r="O361" t="s">
        <v>116</v>
      </c>
      <c r="P361" t="s">
        <v>13758</v>
      </c>
      <c r="Q361" t="s">
        <v>13759</v>
      </c>
      <c r="R361" t="s">
        <v>13760</v>
      </c>
      <c r="T361" t="s">
        <v>126</v>
      </c>
      <c r="U361" t="s">
        <v>127</v>
      </c>
      <c r="V361" s="8" t="str">
        <f>"78205"</f>
        <v>78205</v>
      </c>
      <c r="W361" t="s">
        <v>118</v>
      </c>
      <c r="Y361" s="10">
        <v>12105181000</v>
      </c>
      <c r="AA361">
        <v>72111</v>
      </c>
      <c r="AB361" t="s">
        <v>1937</v>
      </c>
      <c r="AC361" t="s">
        <v>1328</v>
      </c>
      <c r="AE361" t="s">
        <v>405</v>
      </c>
      <c r="AF361" t="s">
        <v>13760</v>
      </c>
      <c r="AH361" t="s">
        <v>126</v>
      </c>
      <c r="AI361" t="s">
        <v>127</v>
      </c>
      <c r="AJ361" s="8" t="str">
        <f>"78205"</f>
        <v>78205</v>
      </c>
      <c r="AK361" t="s">
        <v>118</v>
      </c>
      <c r="AM361" s="10">
        <v>12105181000</v>
      </c>
      <c r="AO361" t="s">
        <v>1938</v>
      </c>
      <c r="AP361" t="s">
        <v>248</v>
      </c>
      <c r="AQ361" t="s">
        <v>960</v>
      </c>
      <c r="AR361" t="s">
        <v>961</v>
      </c>
      <c r="AS361" t="s">
        <v>962</v>
      </c>
      <c r="AT361" t="s">
        <v>963</v>
      </c>
      <c r="AU361" t="s">
        <v>296</v>
      </c>
      <c r="AV361" t="s">
        <v>964</v>
      </c>
      <c r="AW361" t="s">
        <v>127</v>
      </c>
      <c r="AX361" s="8" t="str">
        <f>"75033"</f>
        <v>75033</v>
      </c>
      <c r="AY361" t="s">
        <v>118</v>
      </c>
      <c r="BA361" s="10">
        <v>19727789690</v>
      </c>
      <c r="BC361" t="s">
        <v>1939</v>
      </c>
      <c r="BD361" t="s">
        <v>966</v>
      </c>
      <c r="BG361" t="s">
        <v>127</v>
      </c>
      <c r="BH361" s="1">
        <v>45246.791666666664</v>
      </c>
      <c r="BI361">
        <v>37.5</v>
      </c>
      <c r="BJ361">
        <v>7.5</v>
      </c>
      <c r="BK361">
        <v>0</v>
      </c>
      <c r="BL361">
        <v>0</v>
      </c>
      <c r="BM361">
        <v>7.5</v>
      </c>
      <c r="BN361">
        <v>7.5</v>
      </c>
      <c r="BO361">
        <v>7.5</v>
      </c>
      <c r="BP361">
        <v>7.5</v>
      </c>
      <c r="BQ361" t="str">
        <f>"7:00 AM"</f>
        <v>7:00 AM</v>
      </c>
      <c r="BR361" t="str">
        <f>"3:00 PM"</f>
        <v>3:00 PM</v>
      </c>
      <c r="BS361" t="s">
        <v>131</v>
      </c>
      <c r="BT361">
        <v>0</v>
      </c>
      <c r="BU361">
        <v>0</v>
      </c>
      <c r="BV361" t="s">
        <v>114</v>
      </c>
      <c r="BX361" s="2" t="s">
        <v>13995</v>
      </c>
      <c r="BY361" t="s">
        <v>13760</v>
      </c>
      <c r="CA361" t="s">
        <v>126</v>
      </c>
      <c r="CB361" t="s">
        <v>127</v>
      </c>
      <c r="CC361" s="8" t="str">
        <f>"78205"</f>
        <v>78205</v>
      </c>
      <c r="CD361" t="s">
        <v>1941</v>
      </c>
      <c r="CE361" t="s">
        <v>1287</v>
      </c>
      <c r="CF361" s="12">
        <v>15</v>
      </c>
      <c r="CH361" s="12">
        <v>22.5</v>
      </c>
      <c r="CJ361" t="s">
        <v>135</v>
      </c>
      <c r="CK361" t="s">
        <v>5877</v>
      </c>
      <c r="CL361" t="s">
        <v>13996</v>
      </c>
      <c r="CO361" t="s">
        <v>132</v>
      </c>
      <c r="CP361" t="s">
        <v>114</v>
      </c>
      <c r="CQ361" t="s">
        <v>114</v>
      </c>
      <c r="CR361" t="s">
        <v>136</v>
      </c>
      <c r="CS361" t="s">
        <v>136</v>
      </c>
      <c r="CT361" t="s">
        <v>136</v>
      </c>
      <c r="CU361" t="s">
        <v>136</v>
      </c>
      <c r="CV361" s="2" t="s">
        <v>13997</v>
      </c>
      <c r="CW361" s="10" t="str">
        <f>"+12105181000"</f>
        <v>+12105181000</v>
      </c>
      <c r="CX361" t="s">
        <v>132</v>
      </c>
      <c r="CY361" t="s">
        <v>1853</v>
      </c>
      <c r="CZ361" t="s">
        <v>137</v>
      </c>
      <c r="DA361" t="s">
        <v>114</v>
      </c>
      <c r="DB361" t="s">
        <v>114</v>
      </c>
      <c r="DC361" t="s">
        <v>136</v>
      </c>
      <c r="DD361" t="s">
        <v>114</v>
      </c>
    </row>
    <row r="362" spans="1:113" ht="15" customHeight="1" x14ac:dyDescent="0.25">
      <c r="A362" t="s">
        <v>13756</v>
      </c>
      <c r="B362" t="s">
        <v>152</v>
      </c>
      <c r="C362" s="1">
        <v>45247.448798379628</v>
      </c>
      <c r="D362" s="1">
        <v>45275</v>
      </c>
      <c r="E362" t="s">
        <v>132</v>
      </c>
      <c r="F362" t="s">
        <v>13757</v>
      </c>
      <c r="G362" t="str">
        <f>"35-9011.00"</f>
        <v>35-9011.00</v>
      </c>
      <c r="H362" t="s">
        <v>1512</v>
      </c>
      <c r="I362">
        <v>2</v>
      </c>
      <c r="J362">
        <v>2</v>
      </c>
      <c r="K362" s="1">
        <v>45337</v>
      </c>
      <c r="L362" s="1">
        <v>45641</v>
      </c>
      <c r="M362" s="1">
        <v>45337</v>
      </c>
      <c r="N362" s="1">
        <v>45641</v>
      </c>
      <c r="O362" t="s">
        <v>116</v>
      </c>
      <c r="P362" t="s">
        <v>13758</v>
      </c>
      <c r="Q362" t="s">
        <v>13759</v>
      </c>
      <c r="R362" t="s">
        <v>13760</v>
      </c>
      <c r="T362" t="s">
        <v>126</v>
      </c>
      <c r="U362" t="s">
        <v>127</v>
      </c>
      <c r="V362" s="8" t="str">
        <f>"78205"</f>
        <v>78205</v>
      </c>
      <c r="W362" t="s">
        <v>118</v>
      </c>
      <c r="Y362" s="10">
        <v>12105181000</v>
      </c>
      <c r="AA362">
        <v>72111</v>
      </c>
      <c r="AB362" t="s">
        <v>1937</v>
      </c>
      <c r="AC362" t="s">
        <v>1328</v>
      </c>
      <c r="AE362" t="s">
        <v>405</v>
      </c>
      <c r="AF362" t="s">
        <v>13760</v>
      </c>
      <c r="AH362" t="s">
        <v>126</v>
      </c>
      <c r="AI362" t="s">
        <v>127</v>
      </c>
      <c r="AJ362" s="8" t="str">
        <f>"78205"</f>
        <v>78205</v>
      </c>
      <c r="AK362" t="s">
        <v>118</v>
      </c>
      <c r="AM362" s="10">
        <v>12105181000</v>
      </c>
      <c r="AO362" t="s">
        <v>1938</v>
      </c>
      <c r="AP362" t="s">
        <v>248</v>
      </c>
      <c r="AQ362" t="s">
        <v>960</v>
      </c>
      <c r="AR362" t="s">
        <v>961</v>
      </c>
      <c r="AS362" t="s">
        <v>962</v>
      </c>
      <c r="AT362" t="s">
        <v>963</v>
      </c>
      <c r="AU362" t="s">
        <v>296</v>
      </c>
      <c r="AV362" t="s">
        <v>964</v>
      </c>
      <c r="AW362" t="s">
        <v>127</v>
      </c>
      <c r="AX362" s="8" t="str">
        <f>"75033"</f>
        <v>75033</v>
      </c>
      <c r="AY362" t="s">
        <v>118</v>
      </c>
      <c r="BA362" s="10">
        <v>19727789690</v>
      </c>
      <c r="BC362" t="s">
        <v>1939</v>
      </c>
      <c r="BD362" t="s">
        <v>966</v>
      </c>
      <c r="BG362" t="s">
        <v>127</v>
      </c>
      <c r="BH362" s="1">
        <v>45246.791666666664</v>
      </c>
      <c r="BI362">
        <v>40</v>
      </c>
      <c r="BJ362">
        <v>8</v>
      </c>
      <c r="BK362">
        <v>0</v>
      </c>
      <c r="BL362">
        <v>0</v>
      </c>
      <c r="BM362">
        <v>8</v>
      </c>
      <c r="BN362">
        <v>8</v>
      </c>
      <c r="BO362">
        <v>8</v>
      </c>
      <c r="BP362">
        <v>8</v>
      </c>
      <c r="BQ362" t="str">
        <f>"7:00 AM"</f>
        <v>7:00 AM</v>
      </c>
      <c r="BR362" t="str">
        <f>"3:00 PM"</f>
        <v>3:00 PM</v>
      </c>
      <c r="BS362" t="s">
        <v>131</v>
      </c>
      <c r="BT362">
        <v>0</v>
      </c>
      <c r="BU362">
        <v>0</v>
      </c>
      <c r="BV362" t="s">
        <v>114</v>
      </c>
      <c r="BX362" s="2" t="s">
        <v>13761</v>
      </c>
      <c r="BY362" t="s">
        <v>13760</v>
      </c>
      <c r="CA362" t="s">
        <v>126</v>
      </c>
      <c r="CB362" t="s">
        <v>127</v>
      </c>
      <c r="CC362" s="8" t="str">
        <f>"78205"</f>
        <v>78205</v>
      </c>
      <c r="CD362" t="s">
        <v>1941</v>
      </c>
      <c r="CE362" t="s">
        <v>1287</v>
      </c>
      <c r="CF362" s="12">
        <v>12.38</v>
      </c>
      <c r="CH362" s="12">
        <v>18.57</v>
      </c>
      <c r="CJ362" t="s">
        <v>135</v>
      </c>
      <c r="CK362" t="s">
        <v>5877</v>
      </c>
      <c r="CL362" t="s">
        <v>13762</v>
      </c>
      <c r="CO362" t="s">
        <v>132</v>
      </c>
      <c r="CP362" t="s">
        <v>114</v>
      </c>
      <c r="CQ362" t="s">
        <v>114</v>
      </c>
      <c r="CR362" t="s">
        <v>136</v>
      </c>
      <c r="CS362" t="s">
        <v>136</v>
      </c>
      <c r="CT362" t="s">
        <v>136</v>
      </c>
      <c r="CU362" t="s">
        <v>136</v>
      </c>
      <c r="CV362" t="s">
        <v>13763</v>
      </c>
      <c r="CW362" s="10" t="str">
        <f>"+12105181000"</f>
        <v>+12105181000</v>
      </c>
      <c r="CX362" t="s">
        <v>132</v>
      </c>
      <c r="CY362" t="s">
        <v>1853</v>
      </c>
      <c r="CZ362" t="s">
        <v>137</v>
      </c>
      <c r="DA362" t="s">
        <v>114</v>
      </c>
      <c r="DB362" t="s">
        <v>114</v>
      </c>
      <c r="DC362" t="s">
        <v>136</v>
      </c>
      <c r="DD362" t="s">
        <v>114</v>
      </c>
    </row>
    <row r="363" spans="1:113" ht="15" customHeight="1" x14ac:dyDescent="0.25">
      <c r="A363" t="s">
        <v>17841</v>
      </c>
      <c r="B363" t="s">
        <v>152</v>
      </c>
      <c r="C363" s="1">
        <v>45247.308022337966</v>
      </c>
      <c r="D363" s="1">
        <v>45275</v>
      </c>
      <c r="E363" t="s">
        <v>132</v>
      </c>
      <c r="F363" t="s">
        <v>1595</v>
      </c>
      <c r="G363" t="str">
        <f>"37-3011.00"</f>
        <v>37-3011.00</v>
      </c>
      <c r="H363" t="s">
        <v>429</v>
      </c>
      <c r="I363">
        <v>16</v>
      </c>
      <c r="J363">
        <v>16</v>
      </c>
      <c r="K363" s="1">
        <v>45337</v>
      </c>
      <c r="L363" s="1">
        <v>45640</v>
      </c>
      <c r="M363" s="1">
        <v>45337</v>
      </c>
      <c r="N363" s="1">
        <v>45640</v>
      </c>
      <c r="O363" t="s">
        <v>116</v>
      </c>
      <c r="P363" t="s">
        <v>17842</v>
      </c>
      <c r="Q363" t="s">
        <v>17843</v>
      </c>
      <c r="R363" t="s">
        <v>17844</v>
      </c>
      <c r="S363" t="s">
        <v>132</v>
      </c>
      <c r="T363" t="s">
        <v>3442</v>
      </c>
      <c r="U363" t="s">
        <v>127</v>
      </c>
      <c r="V363" s="8" t="str">
        <f>"77707"</f>
        <v>77707</v>
      </c>
      <c r="W363" t="s">
        <v>118</v>
      </c>
      <c r="X363" t="s">
        <v>132</v>
      </c>
      <c r="Y363" s="10">
        <v>14097917875</v>
      </c>
      <c r="AA363">
        <v>561730</v>
      </c>
      <c r="AB363" t="s">
        <v>3346</v>
      </c>
      <c r="AC363" t="s">
        <v>9477</v>
      </c>
      <c r="AD363" t="s">
        <v>132</v>
      </c>
      <c r="AE363" t="s">
        <v>17845</v>
      </c>
      <c r="AF363" t="s">
        <v>17844</v>
      </c>
      <c r="AG363" t="s">
        <v>132</v>
      </c>
      <c r="AH363" t="s">
        <v>3442</v>
      </c>
      <c r="AI363" t="s">
        <v>127</v>
      </c>
      <c r="AJ363" s="8" t="str">
        <f>"77707"</f>
        <v>77707</v>
      </c>
      <c r="AK363" t="s">
        <v>118</v>
      </c>
      <c r="AM363" s="10">
        <v>14097917875</v>
      </c>
      <c r="AO363" t="s">
        <v>17846</v>
      </c>
      <c r="AP363" t="s">
        <v>248</v>
      </c>
      <c r="AQ363" t="s">
        <v>5000</v>
      </c>
      <c r="AR363" t="s">
        <v>4889</v>
      </c>
      <c r="AS363" t="s">
        <v>2998</v>
      </c>
      <c r="AT363" t="s">
        <v>1584</v>
      </c>
      <c r="AU363" t="s">
        <v>132</v>
      </c>
      <c r="AV363" t="s">
        <v>1585</v>
      </c>
      <c r="AW363" t="s">
        <v>127</v>
      </c>
      <c r="AX363" s="8" t="str">
        <f>"77414"</f>
        <v>77414</v>
      </c>
      <c r="AY363" t="s">
        <v>118</v>
      </c>
      <c r="BA363" s="10">
        <v>19793187277</v>
      </c>
      <c r="BC363" t="s">
        <v>5001</v>
      </c>
      <c r="BD363" t="s">
        <v>1587</v>
      </c>
      <c r="BG363" t="s">
        <v>127</v>
      </c>
      <c r="BH363" s="1">
        <v>45246.791666666664</v>
      </c>
      <c r="BI363">
        <v>40</v>
      </c>
      <c r="BJ363">
        <v>0</v>
      </c>
      <c r="BK363">
        <v>8</v>
      </c>
      <c r="BL363">
        <v>8</v>
      </c>
      <c r="BM363">
        <v>8</v>
      </c>
      <c r="BN363">
        <v>8</v>
      </c>
      <c r="BO363">
        <v>8</v>
      </c>
      <c r="BP363">
        <v>0</v>
      </c>
      <c r="BQ363" t="str">
        <f>"7:00 AM"</f>
        <v>7:00 AM</v>
      </c>
      <c r="BR363" t="str">
        <f>"4:00 PM"</f>
        <v>4:00 PM</v>
      </c>
      <c r="BS363" t="s">
        <v>131</v>
      </c>
      <c r="BT363">
        <v>0</v>
      </c>
      <c r="BU363">
        <v>0</v>
      </c>
      <c r="BV363" t="s">
        <v>114</v>
      </c>
      <c r="BX363" s="2" t="s">
        <v>17847</v>
      </c>
      <c r="BY363" t="s">
        <v>17844</v>
      </c>
      <c r="BZ363" t="s">
        <v>132</v>
      </c>
      <c r="CA363" t="s">
        <v>3442</v>
      </c>
      <c r="CB363" t="s">
        <v>127</v>
      </c>
      <c r="CC363" s="8" t="str">
        <f>"77707"</f>
        <v>77707</v>
      </c>
      <c r="CD363" t="s">
        <v>1767</v>
      </c>
      <c r="CE363" t="s">
        <v>2433</v>
      </c>
      <c r="CF363" s="12">
        <v>14.96</v>
      </c>
      <c r="CH363" s="12">
        <v>22.44</v>
      </c>
      <c r="CJ363" t="s">
        <v>135</v>
      </c>
      <c r="CL363" t="s">
        <v>17848</v>
      </c>
      <c r="CO363" t="s">
        <v>132</v>
      </c>
      <c r="CP363" t="s">
        <v>136</v>
      </c>
      <c r="CQ363" t="s">
        <v>136</v>
      </c>
      <c r="CR363" t="s">
        <v>136</v>
      </c>
      <c r="CS363" t="s">
        <v>136</v>
      </c>
      <c r="CT363" t="s">
        <v>136</v>
      </c>
      <c r="CU363" t="s">
        <v>114</v>
      </c>
      <c r="CV363" t="s">
        <v>2225</v>
      </c>
      <c r="CW363" s="10" t="str">
        <f>"+14096000521"</f>
        <v>+14096000521</v>
      </c>
      <c r="CX363" t="s">
        <v>17849</v>
      </c>
      <c r="CY363" t="s">
        <v>132</v>
      </c>
      <c r="CZ363" t="s">
        <v>137</v>
      </c>
      <c r="DA363" t="s">
        <v>114</v>
      </c>
      <c r="DB363" t="s">
        <v>114</v>
      </c>
      <c r="DC363" t="s">
        <v>136</v>
      </c>
      <c r="DD363" t="s">
        <v>114</v>
      </c>
    </row>
    <row r="364" spans="1:113" ht="15" customHeight="1" x14ac:dyDescent="0.25">
      <c r="A364" t="s">
        <v>5263</v>
      </c>
      <c r="B364" t="s">
        <v>152</v>
      </c>
      <c r="C364" s="1">
        <v>45247.00273078704</v>
      </c>
      <c r="D364" s="1">
        <v>45275</v>
      </c>
      <c r="E364" t="s">
        <v>132</v>
      </c>
      <c r="F364" t="s">
        <v>1595</v>
      </c>
      <c r="G364" t="str">
        <f>"37-3011.00"</f>
        <v>37-3011.00</v>
      </c>
      <c r="H364" t="s">
        <v>429</v>
      </c>
      <c r="I364">
        <v>35</v>
      </c>
      <c r="J364">
        <v>35</v>
      </c>
      <c r="K364" s="1">
        <v>45337</v>
      </c>
      <c r="L364" s="1">
        <v>45640</v>
      </c>
      <c r="M364" s="1">
        <v>45337</v>
      </c>
      <c r="N364" s="1">
        <v>45640</v>
      </c>
      <c r="O364" t="s">
        <v>238</v>
      </c>
      <c r="P364" t="s">
        <v>5264</v>
      </c>
      <c r="R364" t="s">
        <v>5265</v>
      </c>
      <c r="T364" t="s">
        <v>3722</v>
      </c>
      <c r="U364" t="s">
        <v>1722</v>
      </c>
      <c r="V364" s="8" t="str">
        <f>"21154"</f>
        <v>21154</v>
      </c>
      <c r="W364" t="s">
        <v>118</v>
      </c>
      <c r="Y364" s="10">
        <v>14109379871</v>
      </c>
      <c r="AA364">
        <v>56173</v>
      </c>
      <c r="AB364" t="s">
        <v>5266</v>
      </c>
      <c r="AC364" t="s">
        <v>1945</v>
      </c>
      <c r="AE364" t="s">
        <v>629</v>
      </c>
      <c r="AF364" t="s">
        <v>5265</v>
      </c>
      <c r="AH364" t="s">
        <v>3722</v>
      </c>
      <c r="AI364" t="s">
        <v>1722</v>
      </c>
      <c r="AJ364" s="8" t="str">
        <f>"21154"</f>
        <v>21154</v>
      </c>
      <c r="AK364" t="s">
        <v>118</v>
      </c>
      <c r="AM364" s="10">
        <v>14109379871</v>
      </c>
      <c r="AO364" t="s">
        <v>5267</v>
      </c>
      <c r="AP364" t="s">
        <v>248</v>
      </c>
      <c r="AQ364" t="s">
        <v>2667</v>
      </c>
      <c r="AR364" t="s">
        <v>2668</v>
      </c>
      <c r="AT364" t="s">
        <v>1253</v>
      </c>
      <c r="AU364" t="s">
        <v>852</v>
      </c>
      <c r="AV364" t="s">
        <v>853</v>
      </c>
      <c r="AW364" t="s">
        <v>854</v>
      </c>
      <c r="AX364" s="8" t="str">
        <f>"83814"</f>
        <v>83814</v>
      </c>
      <c r="AY364" t="s">
        <v>118</v>
      </c>
      <c r="BA364" s="10">
        <v>12087772654</v>
      </c>
      <c r="BC364" t="s">
        <v>2669</v>
      </c>
      <c r="BD364" t="s">
        <v>856</v>
      </c>
      <c r="BG364" t="s">
        <v>1722</v>
      </c>
      <c r="BH364" s="1">
        <v>45245.791666666664</v>
      </c>
      <c r="BI364">
        <v>40</v>
      </c>
      <c r="BJ364">
        <v>0</v>
      </c>
      <c r="BK364">
        <v>8</v>
      </c>
      <c r="BL364">
        <v>8</v>
      </c>
      <c r="BM364">
        <v>8</v>
      </c>
      <c r="BN364">
        <v>8</v>
      </c>
      <c r="BO364">
        <v>8</v>
      </c>
      <c r="BP364">
        <v>0</v>
      </c>
      <c r="BQ364" t="str">
        <f>"7:00 AM"</f>
        <v>7:00 AM</v>
      </c>
      <c r="BR364" t="str">
        <f>"4:00 PM"</f>
        <v>4:00 PM</v>
      </c>
      <c r="BS364" t="s">
        <v>131</v>
      </c>
      <c r="BT364">
        <v>0</v>
      </c>
      <c r="BU364">
        <v>0</v>
      </c>
      <c r="BV364" t="s">
        <v>114</v>
      </c>
      <c r="BX364" t="s">
        <v>2670</v>
      </c>
      <c r="BY364" t="s">
        <v>5268</v>
      </c>
      <c r="CA364" t="s">
        <v>3722</v>
      </c>
      <c r="CB364" t="s">
        <v>1722</v>
      </c>
      <c r="CC364" s="8" t="str">
        <f>"21154"</f>
        <v>21154</v>
      </c>
      <c r="CD364" t="s">
        <v>2847</v>
      </c>
      <c r="CE364" t="s">
        <v>1992</v>
      </c>
      <c r="CF364" s="12">
        <v>18.71</v>
      </c>
      <c r="CG364" s="12">
        <v>19.5</v>
      </c>
      <c r="CH364" s="12">
        <v>28.07</v>
      </c>
      <c r="CI364" s="12">
        <v>29.25</v>
      </c>
      <c r="CJ364" t="s">
        <v>135</v>
      </c>
      <c r="CK364" t="s">
        <v>1899</v>
      </c>
      <c r="CL364" t="s">
        <v>5269</v>
      </c>
      <c r="CO364" t="s">
        <v>132</v>
      </c>
      <c r="CP364" t="s">
        <v>136</v>
      </c>
      <c r="CQ364" t="s">
        <v>136</v>
      </c>
      <c r="CR364" t="s">
        <v>136</v>
      </c>
      <c r="CS364" t="s">
        <v>136</v>
      </c>
      <c r="CT364" t="s">
        <v>136</v>
      </c>
      <c r="CU364" t="s">
        <v>136</v>
      </c>
      <c r="CV364" t="s">
        <v>5270</v>
      </c>
      <c r="CW364" s="10" t="str">
        <f>"+14104575296"</f>
        <v>+14104575296</v>
      </c>
      <c r="CX364" t="s">
        <v>5271</v>
      </c>
      <c r="CY364" t="s">
        <v>132</v>
      </c>
      <c r="CZ364" t="s">
        <v>137</v>
      </c>
      <c r="DA364" t="s">
        <v>114</v>
      </c>
      <c r="DB364" t="s">
        <v>136</v>
      </c>
      <c r="DC364" t="s">
        <v>136</v>
      </c>
      <c r="DD364" t="s">
        <v>114</v>
      </c>
    </row>
    <row r="365" spans="1:113" ht="15" customHeight="1" x14ac:dyDescent="0.25">
      <c r="A365" t="s">
        <v>7934</v>
      </c>
      <c r="B365" t="s">
        <v>152</v>
      </c>
      <c r="C365" s="1">
        <v>45247.002307407405</v>
      </c>
      <c r="D365" s="1">
        <v>45275</v>
      </c>
      <c r="E365" t="s">
        <v>132</v>
      </c>
      <c r="F365" t="s">
        <v>1595</v>
      </c>
      <c r="G365" t="str">
        <f>"37-3011.00"</f>
        <v>37-3011.00</v>
      </c>
      <c r="H365" t="s">
        <v>429</v>
      </c>
      <c r="I365">
        <v>10</v>
      </c>
      <c r="J365">
        <v>10</v>
      </c>
      <c r="K365" s="1">
        <v>45337</v>
      </c>
      <c r="L365" s="1">
        <v>45617</v>
      </c>
      <c r="M365" s="1">
        <v>45337</v>
      </c>
      <c r="N365" s="1">
        <v>45617</v>
      </c>
      <c r="O365" t="s">
        <v>116</v>
      </c>
      <c r="P365" t="s">
        <v>7935</v>
      </c>
      <c r="R365" t="s">
        <v>7936</v>
      </c>
      <c r="T365" t="s">
        <v>6092</v>
      </c>
      <c r="U365" t="s">
        <v>333</v>
      </c>
      <c r="V365" s="8" t="str">
        <f>"70605"</f>
        <v>70605</v>
      </c>
      <c r="W365" t="s">
        <v>118</v>
      </c>
      <c r="Y365" s="10">
        <v>13375621663</v>
      </c>
      <c r="AA365">
        <v>56173</v>
      </c>
      <c r="AB365" t="s">
        <v>7937</v>
      </c>
      <c r="AC365" t="s">
        <v>160</v>
      </c>
      <c r="AE365" t="s">
        <v>5587</v>
      </c>
      <c r="AF365" t="s">
        <v>7936</v>
      </c>
      <c r="AH365" t="s">
        <v>6092</v>
      </c>
      <c r="AI365" t="s">
        <v>333</v>
      </c>
      <c r="AJ365" s="8" t="str">
        <f>"70605"</f>
        <v>70605</v>
      </c>
      <c r="AK365" t="s">
        <v>118</v>
      </c>
      <c r="AM365" s="10">
        <v>13375621663</v>
      </c>
      <c r="AO365" t="s">
        <v>7938</v>
      </c>
      <c r="AP365" t="s">
        <v>248</v>
      </c>
      <c r="AQ365" t="s">
        <v>2667</v>
      </c>
      <c r="AR365" t="s">
        <v>2668</v>
      </c>
      <c r="AT365" t="s">
        <v>1253</v>
      </c>
      <c r="AU365" t="s">
        <v>852</v>
      </c>
      <c r="AV365" t="s">
        <v>853</v>
      </c>
      <c r="AW365" t="s">
        <v>854</v>
      </c>
      <c r="AX365" s="8" t="str">
        <f>"83814"</f>
        <v>83814</v>
      </c>
      <c r="AY365" t="s">
        <v>118</v>
      </c>
      <c r="BA365" s="10">
        <v>12087772654</v>
      </c>
      <c r="BC365" t="s">
        <v>2669</v>
      </c>
      <c r="BD365" t="s">
        <v>856</v>
      </c>
      <c r="BG365" t="s">
        <v>333</v>
      </c>
      <c r="BH365" s="1">
        <v>45245.791666666664</v>
      </c>
      <c r="BI365">
        <v>40</v>
      </c>
      <c r="BJ365">
        <v>0</v>
      </c>
      <c r="BK365">
        <v>8</v>
      </c>
      <c r="BL365">
        <v>8</v>
      </c>
      <c r="BM365">
        <v>8</v>
      </c>
      <c r="BN365">
        <v>8</v>
      </c>
      <c r="BO365">
        <v>8</v>
      </c>
      <c r="BP365">
        <v>0</v>
      </c>
      <c r="BQ365" t="str">
        <f>"6:00 AM"</f>
        <v>6:00 AM</v>
      </c>
      <c r="BR365" t="str">
        <f>"2:30 PM"</f>
        <v>2:30 PM</v>
      </c>
      <c r="BS365" t="s">
        <v>131</v>
      </c>
      <c r="BT365">
        <v>0</v>
      </c>
      <c r="BU365">
        <v>0</v>
      </c>
      <c r="BV365" t="s">
        <v>114</v>
      </c>
      <c r="BX365" t="s">
        <v>7939</v>
      </c>
      <c r="BY365" t="s">
        <v>7940</v>
      </c>
      <c r="CA365" t="s">
        <v>6092</v>
      </c>
      <c r="CB365" t="s">
        <v>333</v>
      </c>
      <c r="CC365" s="8" t="str">
        <f>"70605"</f>
        <v>70605</v>
      </c>
      <c r="CD365" t="s">
        <v>6094</v>
      </c>
      <c r="CE365" t="s">
        <v>6095</v>
      </c>
      <c r="CF365" s="12">
        <v>14.35</v>
      </c>
      <c r="CG365" s="12">
        <v>16</v>
      </c>
      <c r="CH365" s="12">
        <v>21.53</v>
      </c>
      <c r="CI365" s="12">
        <v>24</v>
      </c>
      <c r="CJ365" t="s">
        <v>135</v>
      </c>
      <c r="CK365" t="s">
        <v>1899</v>
      </c>
      <c r="CL365" t="s">
        <v>7941</v>
      </c>
      <c r="CO365" t="s">
        <v>132</v>
      </c>
      <c r="CP365" t="s">
        <v>114</v>
      </c>
      <c r="CQ365" t="s">
        <v>114</v>
      </c>
      <c r="CR365" t="s">
        <v>136</v>
      </c>
      <c r="CS365" t="s">
        <v>136</v>
      </c>
      <c r="CT365" t="s">
        <v>136</v>
      </c>
      <c r="CU365" t="s">
        <v>136</v>
      </c>
      <c r="CV365" t="s">
        <v>7942</v>
      </c>
      <c r="CW365" s="10" t="str">
        <f>"+13375621663"</f>
        <v>+13375621663</v>
      </c>
      <c r="CX365" t="s">
        <v>7938</v>
      </c>
      <c r="CY365" t="s">
        <v>132</v>
      </c>
      <c r="CZ365" t="s">
        <v>137</v>
      </c>
      <c r="DA365" t="s">
        <v>114</v>
      </c>
      <c r="DB365" t="s">
        <v>136</v>
      </c>
      <c r="DC365" t="s">
        <v>136</v>
      </c>
      <c r="DD365" t="s">
        <v>114</v>
      </c>
    </row>
    <row r="366" spans="1:113" ht="15" customHeight="1" x14ac:dyDescent="0.25">
      <c r="A366" t="s">
        <v>14739</v>
      </c>
      <c r="B366" t="s">
        <v>152</v>
      </c>
      <c r="C366" s="1">
        <v>45246.748948958331</v>
      </c>
      <c r="D366" s="1">
        <v>45275</v>
      </c>
      <c r="E366" t="s">
        <v>132</v>
      </c>
      <c r="F366" t="s">
        <v>7477</v>
      </c>
      <c r="G366" t="str">
        <f>"37-3011.00"</f>
        <v>37-3011.00</v>
      </c>
      <c r="H366" t="s">
        <v>429</v>
      </c>
      <c r="I366">
        <v>50</v>
      </c>
      <c r="J366">
        <v>50</v>
      </c>
      <c r="K366" s="1">
        <v>45336</v>
      </c>
      <c r="L366" s="1">
        <v>45601</v>
      </c>
      <c r="M366" s="1">
        <v>45336</v>
      </c>
      <c r="N366" s="1">
        <v>45601</v>
      </c>
      <c r="O366" t="s">
        <v>116</v>
      </c>
      <c r="P366" t="s">
        <v>14740</v>
      </c>
      <c r="Q366" t="s">
        <v>14741</v>
      </c>
      <c r="R366" t="s">
        <v>14742</v>
      </c>
      <c r="T366" t="s">
        <v>1264</v>
      </c>
      <c r="U366" t="s">
        <v>127</v>
      </c>
      <c r="V366" s="8" t="str">
        <f>"75212"</f>
        <v>75212</v>
      </c>
      <c r="W366" t="s">
        <v>118</v>
      </c>
      <c r="Y366" s="10">
        <v>12143683327</v>
      </c>
      <c r="AA366">
        <v>56173</v>
      </c>
      <c r="AB366" t="s">
        <v>14743</v>
      </c>
      <c r="AC366" t="s">
        <v>9736</v>
      </c>
      <c r="AE366" t="s">
        <v>1283</v>
      </c>
      <c r="AF366" t="s">
        <v>14744</v>
      </c>
      <c r="AH366" t="s">
        <v>1264</v>
      </c>
      <c r="AI366" t="s">
        <v>127</v>
      </c>
      <c r="AJ366" s="8" t="str">
        <f>"75212"</f>
        <v>75212</v>
      </c>
      <c r="AK366" t="s">
        <v>118</v>
      </c>
      <c r="AM366" s="10">
        <v>12143683327</v>
      </c>
      <c r="AO366" t="s">
        <v>14745</v>
      </c>
      <c r="AP366" t="s">
        <v>248</v>
      </c>
      <c r="AQ366" t="s">
        <v>960</v>
      </c>
      <c r="AR366" t="s">
        <v>961</v>
      </c>
      <c r="AS366" t="s">
        <v>962</v>
      </c>
      <c r="AT366" t="s">
        <v>963</v>
      </c>
      <c r="AU366" t="s">
        <v>296</v>
      </c>
      <c r="AV366" t="s">
        <v>964</v>
      </c>
      <c r="AW366" t="s">
        <v>127</v>
      </c>
      <c r="AX366" s="8" t="str">
        <f>"75033"</f>
        <v>75033</v>
      </c>
      <c r="AY366" t="s">
        <v>118</v>
      </c>
      <c r="BA366" s="10">
        <v>19727789690</v>
      </c>
      <c r="BC366" t="s">
        <v>5860</v>
      </c>
      <c r="BD366" t="s">
        <v>966</v>
      </c>
      <c r="BG366" t="s">
        <v>127</v>
      </c>
      <c r="BH366" s="1">
        <v>45246.791666666664</v>
      </c>
      <c r="BI366">
        <v>40</v>
      </c>
      <c r="BJ366">
        <v>0</v>
      </c>
      <c r="BK366">
        <v>10</v>
      </c>
      <c r="BL366">
        <v>10</v>
      </c>
      <c r="BM366">
        <v>10</v>
      </c>
      <c r="BN366">
        <v>10</v>
      </c>
      <c r="BO366">
        <v>0</v>
      </c>
      <c r="BP366">
        <v>0</v>
      </c>
      <c r="BQ366" t="str">
        <f>"7:00 AM"</f>
        <v>7:00 AM</v>
      </c>
      <c r="BR366" t="str">
        <f>"5:00 PM"</f>
        <v>5:00 PM</v>
      </c>
      <c r="BS366" t="s">
        <v>131</v>
      </c>
      <c r="BT366">
        <v>0</v>
      </c>
      <c r="BU366">
        <v>0</v>
      </c>
      <c r="BV366" t="s">
        <v>114</v>
      </c>
      <c r="BX366" s="2" t="s">
        <v>14746</v>
      </c>
      <c r="BY366" t="s">
        <v>14744</v>
      </c>
      <c r="CA366" t="s">
        <v>1264</v>
      </c>
      <c r="CB366" t="s">
        <v>127</v>
      </c>
      <c r="CC366" s="8" t="str">
        <f>"75212"</f>
        <v>75212</v>
      </c>
      <c r="CD366" t="s">
        <v>2301</v>
      </c>
      <c r="CE366" t="s">
        <v>263</v>
      </c>
      <c r="CF366" s="12">
        <v>16.86</v>
      </c>
      <c r="CG366" s="12">
        <v>16.86</v>
      </c>
      <c r="CH366" s="12">
        <v>25.29</v>
      </c>
      <c r="CI366" s="12">
        <v>25.29</v>
      </c>
      <c r="CJ366" t="s">
        <v>135</v>
      </c>
      <c r="CK366" t="s">
        <v>973</v>
      </c>
      <c r="CL366" t="s">
        <v>14747</v>
      </c>
      <c r="CO366" t="s">
        <v>132</v>
      </c>
      <c r="CP366" t="s">
        <v>136</v>
      </c>
      <c r="CQ366" t="s">
        <v>136</v>
      </c>
      <c r="CR366" t="s">
        <v>136</v>
      </c>
      <c r="CS366" t="s">
        <v>136</v>
      </c>
      <c r="CT366" t="s">
        <v>136</v>
      </c>
      <c r="CU366" t="s">
        <v>136</v>
      </c>
      <c r="CV366" s="2" t="s">
        <v>14748</v>
      </c>
      <c r="CW366" s="10" t="str">
        <f>"+12143683327"</f>
        <v>+12143683327</v>
      </c>
      <c r="CX366" t="s">
        <v>132</v>
      </c>
      <c r="CY366" t="s">
        <v>1853</v>
      </c>
      <c r="CZ366" t="s">
        <v>137</v>
      </c>
      <c r="DA366" t="s">
        <v>114</v>
      </c>
      <c r="DB366" t="s">
        <v>136</v>
      </c>
      <c r="DC366" t="s">
        <v>136</v>
      </c>
      <c r="DD366" t="s">
        <v>114</v>
      </c>
    </row>
    <row r="367" spans="1:113" ht="15" customHeight="1" x14ac:dyDescent="0.25">
      <c r="A367" t="s">
        <v>18730</v>
      </c>
      <c r="B367" t="s">
        <v>152</v>
      </c>
      <c r="C367" s="1">
        <v>45245.661259143519</v>
      </c>
      <c r="D367" s="1">
        <v>45275</v>
      </c>
      <c r="E367" t="s">
        <v>132</v>
      </c>
      <c r="F367" t="s">
        <v>1595</v>
      </c>
      <c r="G367" t="str">
        <f>"37-3011.00"</f>
        <v>37-3011.00</v>
      </c>
      <c r="H367" t="s">
        <v>429</v>
      </c>
      <c r="I367">
        <v>30</v>
      </c>
      <c r="J367">
        <v>30</v>
      </c>
      <c r="K367" s="1">
        <v>45335</v>
      </c>
      <c r="L367" s="1">
        <v>45627</v>
      </c>
      <c r="M367" s="1">
        <v>45335</v>
      </c>
      <c r="N367" s="1">
        <v>45627</v>
      </c>
      <c r="O367" t="s">
        <v>116</v>
      </c>
      <c r="P367" t="s">
        <v>18731</v>
      </c>
      <c r="R367" t="s">
        <v>18732</v>
      </c>
      <c r="T367" t="s">
        <v>18733</v>
      </c>
      <c r="U367" t="s">
        <v>333</v>
      </c>
      <c r="V367" s="8" t="str">
        <f>"70301"</f>
        <v>70301</v>
      </c>
      <c r="W367" t="s">
        <v>118</v>
      </c>
      <c r="Y367" s="10">
        <v>19854475296</v>
      </c>
      <c r="AA367">
        <v>56173</v>
      </c>
      <c r="AB367" t="s">
        <v>7420</v>
      </c>
      <c r="AC367" t="s">
        <v>486</v>
      </c>
      <c r="AD367" t="s">
        <v>5940</v>
      </c>
      <c r="AE367" t="s">
        <v>2023</v>
      </c>
      <c r="AF367" t="s">
        <v>18732</v>
      </c>
      <c r="AG367" t="s">
        <v>18734</v>
      </c>
      <c r="AH367" t="s">
        <v>18733</v>
      </c>
      <c r="AI367" t="s">
        <v>333</v>
      </c>
      <c r="AJ367" s="8" t="str">
        <f>"70301"</f>
        <v>70301</v>
      </c>
      <c r="AK367" t="s">
        <v>118</v>
      </c>
      <c r="AM367" s="10">
        <v>19854475296</v>
      </c>
      <c r="AO367" t="s">
        <v>18735</v>
      </c>
      <c r="AP367" t="s">
        <v>248</v>
      </c>
      <c r="AQ367" t="s">
        <v>960</v>
      </c>
      <c r="AR367" t="s">
        <v>961</v>
      </c>
      <c r="AS367" t="s">
        <v>962</v>
      </c>
      <c r="AT367" t="s">
        <v>963</v>
      </c>
      <c r="AU367" t="s">
        <v>296</v>
      </c>
      <c r="AV367" t="s">
        <v>964</v>
      </c>
      <c r="AW367" t="s">
        <v>127</v>
      </c>
      <c r="AX367" s="8" t="str">
        <f>"75033"</f>
        <v>75033</v>
      </c>
      <c r="AY367" t="s">
        <v>118</v>
      </c>
      <c r="BA367" s="10">
        <v>19727789690</v>
      </c>
      <c r="BC367" t="s">
        <v>1951</v>
      </c>
      <c r="BD367" t="s">
        <v>966</v>
      </c>
      <c r="BG367" t="s">
        <v>333</v>
      </c>
      <c r="BH367" s="1">
        <v>45244.791666666664</v>
      </c>
      <c r="BI367">
        <v>40</v>
      </c>
      <c r="BJ367">
        <v>0</v>
      </c>
      <c r="BK367">
        <v>8</v>
      </c>
      <c r="BL367">
        <v>8</v>
      </c>
      <c r="BM367">
        <v>8</v>
      </c>
      <c r="BN367">
        <v>8</v>
      </c>
      <c r="BO367">
        <v>8</v>
      </c>
      <c r="BP367">
        <v>0</v>
      </c>
      <c r="BQ367" t="str">
        <f>"6:00 AM"</f>
        <v>6:00 AM</v>
      </c>
      <c r="BR367" t="str">
        <f>"2:30 PM"</f>
        <v>2:30 PM</v>
      </c>
      <c r="BS367" t="s">
        <v>131</v>
      </c>
      <c r="BT367">
        <v>0</v>
      </c>
      <c r="BU367">
        <v>0</v>
      </c>
      <c r="BV367" t="s">
        <v>114</v>
      </c>
      <c r="BX367" s="2" t="s">
        <v>18736</v>
      </c>
      <c r="BY367" t="s">
        <v>18732</v>
      </c>
      <c r="CA367" t="s">
        <v>18733</v>
      </c>
      <c r="CB367" t="s">
        <v>333</v>
      </c>
      <c r="CC367" s="8" t="str">
        <f>"70301"</f>
        <v>70301</v>
      </c>
      <c r="CD367" t="s">
        <v>13167</v>
      </c>
      <c r="CE367" t="s">
        <v>6547</v>
      </c>
      <c r="CF367" s="12">
        <v>15.13</v>
      </c>
      <c r="CH367" s="12">
        <v>22.7</v>
      </c>
      <c r="CJ367" t="s">
        <v>135</v>
      </c>
      <c r="CK367" t="s">
        <v>973</v>
      </c>
      <c r="CL367" t="s">
        <v>18737</v>
      </c>
      <c r="CO367" t="s">
        <v>132</v>
      </c>
      <c r="CP367" t="s">
        <v>136</v>
      </c>
      <c r="CQ367" t="s">
        <v>136</v>
      </c>
      <c r="CR367" t="s">
        <v>136</v>
      </c>
      <c r="CS367" t="s">
        <v>136</v>
      </c>
      <c r="CT367" t="s">
        <v>136</v>
      </c>
      <c r="CU367" t="s">
        <v>136</v>
      </c>
      <c r="CV367" s="2" t="s">
        <v>18738</v>
      </c>
      <c r="CW367" s="10" t="str">
        <f>"+19854475296"</f>
        <v>+19854475296</v>
      </c>
      <c r="CX367" t="s">
        <v>132</v>
      </c>
      <c r="CY367" t="s">
        <v>7257</v>
      </c>
      <c r="CZ367" t="s">
        <v>137</v>
      </c>
      <c r="DA367" t="s">
        <v>114</v>
      </c>
      <c r="DB367" t="s">
        <v>136</v>
      </c>
      <c r="DC367" t="s">
        <v>136</v>
      </c>
      <c r="DD367" t="s">
        <v>114</v>
      </c>
    </row>
    <row r="368" spans="1:113" ht="15" customHeight="1" x14ac:dyDescent="0.25">
      <c r="A368" t="s">
        <v>19867</v>
      </c>
      <c r="B368" t="s">
        <v>152</v>
      </c>
      <c r="C368" s="1">
        <v>45217.565957638886</v>
      </c>
      <c r="D368" s="1">
        <v>45275</v>
      </c>
      <c r="E368" t="s">
        <v>132</v>
      </c>
      <c r="F368" t="s">
        <v>14292</v>
      </c>
      <c r="G368" t="str">
        <f>"53-7061.00"</f>
        <v>53-7061.00</v>
      </c>
      <c r="H368" t="s">
        <v>4866</v>
      </c>
      <c r="I368">
        <v>20</v>
      </c>
      <c r="J368">
        <v>20</v>
      </c>
      <c r="K368" s="1">
        <v>45292</v>
      </c>
      <c r="L368" s="1">
        <v>45442</v>
      </c>
      <c r="M368" s="1">
        <v>45292</v>
      </c>
      <c r="N368" s="1">
        <v>45442</v>
      </c>
      <c r="O368" t="s">
        <v>116</v>
      </c>
      <c r="P368" t="s">
        <v>14293</v>
      </c>
      <c r="R368" t="s">
        <v>14294</v>
      </c>
      <c r="S368" t="s">
        <v>14298</v>
      </c>
      <c r="T368" t="s">
        <v>955</v>
      </c>
      <c r="U368" t="s">
        <v>140</v>
      </c>
      <c r="V368" s="8" t="str">
        <f>"34761"</f>
        <v>34761</v>
      </c>
      <c r="W368" t="s">
        <v>118</v>
      </c>
      <c r="Y368" s="10">
        <v>16892057446</v>
      </c>
      <c r="AA368">
        <v>811192</v>
      </c>
      <c r="AB368" t="s">
        <v>380</v>
      </c>
      <c r="AC368" t="s">
        <v>9684</v>
      </c>
      <c r="AD368" t="s">
        <v>14297</v>
      </c>
      <c r="AE368" t="s">
        <v>161</v>
      </c>
      <c r="AF368" t="s">
        <v>19868</v>
      </c>
      <c r="AH368" t="s">
        <v>14296</v>
      </c>
      <c r="AI368" t="s">
        <v>140</v>
      </c>
      <c r="AJ368" s="8" t="str">
        <f>"34761"</f>
        <v>34761</v>
      </c>
      <c r="AK368" t="s">
        <v>118</v>
      </c>
      <c r="AM368" s="10">
        <v>16892057446</v>
      </c>
      <c r="AO368" t="s">
        <v>14299</v>
      </c>
      <c r="AP368" t="s">
        <v>121</v>
      </c>
      <c r="AQ368" t="s">
        <v>14300</v>
      </c>
      <c r="AR368" t="s">
        <v>14301</v>
      </c>
      <c r="AS368" t="s">
        <v>2709</v>
      </c>
      <c r="AT368" t="s">
        <v>14302</v>
      </c>
      <c r="AV368" t="s">
        <v>14303</v>
      </c>
      <c r="AW368" t="s">
        <v>402</v>
      </c>
      <c r="AX368" s="8" t="str">
        <f>"92106"</f>
        <v>92106</v>
      </c>
      <c r="AY368" t="s">
        <v>118</v>
      </c>
      <c r="BA368" s="10">
        <v>16192696164</v>
      </c>
      <c r="BC368" t="s">
        <v>14304</v>
      </c>
      <c r="BD368" t="s">
        <v>14305</v>
      </c>
      <c r="BE368" t="s">
        <v>402</v>
      </c>
      <c r="BF368" t="s">
        <v>4644</v>
      </c>
      <c r="BG368" t="s">
        <v>140</v>
      </c>
      <c r="BH368" s="1">
        <v>45209.833333333336</v>
      </c>
      <c r="BI368">
        <v>40</v>
      </c>
      <c r="BJ368">
        <v>0</v>
      </c>
      <c r="BK368">
        <v>8</v>
      </c>
      <c r="BL368">
        <v>8</v>
      </c>
      <c r="BM368">
        <v>8</v>
      </c>
      <c r="BN368">
        <v>8</v>
      </c>
      <c r="BO368">
        <v>8</v>
      </c>
      <c r="BP368">
        <v>0</v>
      </c>
      <c r="BQ368" t="str">
        <f>"7:00 AM"</f>
        <v>7:00 AM</v>
      </c>
      <c r="BR368" t="str">
        <f>"4:00 PM"</f>
        <v>4:00 PM</v>
      </c>
      <c r="BS368" t="s">
        <v>131</v>
      </c>
      <c r="BT368">
        <v>0</v>
      </c>
      <c r="BU368">
        <v>0</v>
      </c>
      <c r="BV368" t="s">
        <v>114</v>
      </c>
      <c r="BX368" t="s">
        <v>14306</v>
      </c>
      <c r="BY368" t="s">
        <v>19869</v>
      </c>
      <c r="BZ368" t="s">
        <v>19870</v>
      </c>
      <c r="CA368" t="s">
        <v>14296</v>
      </c>
      <c r="CB368" t="s">
        <v>140</v>
      </c>
      <c r="CC368" s="8" t="str">
        <f>"34761"</f>
        <v>34761</v>
      </c>
      <c r="CD368" t="s">
        <v>2274</v>
      </c>
      <c r="CE368" t="s">
        <v>2052</v>
      </c>
      <c r="CF368" s="12">
        <v>14.55</v>
      </c>
      <c r="CG368" s="12">
        <v>14.55</v>
      </c>
      <c r="CH368" s="12">
        <v>21.83</v>
      </c>
      <c r="CI368" s="12">
        <v>21.83</v>
      </c>
      <c r="CJ368" t="s">
        <v>135</v>
      </c>
      <c r="CK368" t="s">
        <v>19871</v>
      </c>
      <c r="CL368" t="s">
        <v>19872</v>
      </c>
      <c r="CO368" t="s">
        <v>132</v>
      </c>
      <c r="CP368" t="s">
        <v>136</v>
      </c>
      <c r="CQ368" t="s">
        <v>136</v>
      </c>
      <c r="CR368" t="s">
        <v>136</v>
      </c>
      <c r="CS368" t="s">
        <v>136</v>
      </c>
      <c r="CT368" t="s">
        <v>136</v>
      </c>
      <c r="CU368" t="s">
        <v>136</v>
      </c>
      <c r="CV368" t="s">
        <v>19873</v>
      </c>
      <c r="CW368" s="10" t="str">
        <f>"+16892057446"</f>
        <v>+16892057446</v>
      </c>
      <c r="CX368" t="s">
        <v>14299</v>
      </c>
      <c r="CY368" t="s">
        <v>132</v>
      </c>
      <c r="CZ368" t="s">
        <v>137</v>
      </c>
      <c r="DA368" t="s">
        <v>114</v>
      </c>
      <c r="DB368" t="s">
        <v>114</v>
      </c>
      <c r="DC368" t="s">
        <v>136</v>
      </c>
      <c r="DD368" t="s">
        <v>114</v>
      </c>
    </row>
    <row r="369" spans="1:113" ht="15" customHeight="1" x14ac:dyDescent="0.25">
      <c r="A369" t="s">
        <v>22840</v>
      </c>
      <c r="B369" t="s">
        <v>152</v>
      </c>
      <c r="C369" s="1">
        <v>45249.545248842594</v>
      </c>
      <c r="D369" s="1">
        <v>45274</v>
      </c>
      <c r="E369" t="s">
        <v>132</v>
      </c>
      <c r="F369" t="s">
        <v>3098</v>
      </c>
      <c r="G369" t="str">
        <f>"35-3023.00"</f>
        <v>35-3023.00</v>
      </c>
      <c r="H369" t="s">
        <v>1365</v>
      </c>
      <c r="I369">
        <v>33</v>
      </c>
      <c r="J369">
        <v>33</v>
      </c>
      <c r="K369" s="1">
        <v>45339</v>
      </c>
      <c r="L369" s="1">
        <v>45642</v>
      </c>
      <c r="M369" s="1">
        <v>45339</v>
      </c>
      <c r="N369" s="1">
        <v>45642</v>
      </c>
      <c r="O369" t="s">
        <v>238</v>
      </c>
      <c r="P369" t="s">
        <v>12731</v>
      </c>
      <c r="R369" t="s">
        <v>12732</v>
      </c>
      <c r="T369" t="s">
        <v>7660</v>
      </c>
      <c r="U369" t="s">
        <v>1434</v>
      </c>
      <c r="V369" s="8" t="str">
        <f>"42376"</f>
        <v>42376</v>
      </c>
      <c r="W369" t="s">
        <v>118</v>
      </c>
      <c r="Y369" s="10">
        <v>12705704497</v>
      </c>
      <c r="Z369" s="3" t="s">
        <v>256</v>
      </c>
      <c r="AA369">
        <v>711190</v>
      </c>
      <c r="AB369" t="s">
        <v>1894</v>
      </c>
      <c r="AC369" t="s">
        <v>2946</v>
      </c>
      <c r="AE369" t="s">
        <v>12733</v>
      </c>
      <c r="AF369" t="s">
        <v>12732</v>
      </c>
      <c r="AH369" t="s">
        <v>7660</v>
      </c>
      <c r="AI369" t="s">
        <v>1434</v>
      </c>
      <c r="AJ369" s="8" t="str">
        <f>"42376"</f>
        <v>42376</v>
      </c>
      <c r="AK369" t="s">
        <v>118</v>
      </c>
      <c r="AM369" s="10">
        <v>12705704497</v>
      </c>
      <c r="AN369" s="3" t="s">
        <v>256</v>
      </c>
      <c r="AO369" t="s">
        <v>12734</v>
      </c>
      <c r="AP369" t="s">
        <v>248</v>
      </c>
      <c r="AQ369" t="s">
        <v>249</v>
      </c>
      <c r="AR369" t="s">
        <v>250</v>
      </c>
      <c r="AS369" t="s">
        <v>251</v>
      </c>
      <c r="AT369" t="s">
        <v>252</v>
      </c>
      <c r="AU369" t="s">
        <v>253</v>
      </c>
      <c r="AV369" t="s">
        <v>254</v>
      </c>
      <c r="AW369" t="s">
        <v>127</v>
      </c>
      <c r="AX369" s="8" t="str">
        <f>"78550"</f>
        <v>78550</v>
      </c>
      <c r="AY369" t="s">
        <v>118</v>
      </c>
      <c r="AZ369" t="s">
        <v>255</v>
      </c>
      <c r="BA369" s="10">
        <v>19564408720</v>
      </c>
      <c r="BB369" s="3" t="s">
        <v>256</v>
      </c>
      <c r="BC369" t="s">
        <v>338</v>
      </c>
      <c r="BD369" t="s">
        <v>258</v>
      </c>
      <c r="BG369" t="s">
        <v>1434</v>
      </c>
      <c r="BH369" s="1">
        <v>45248.791666666664</v>
      </c>
      <c r="BI369">
        <v>40</v>
      </c>
      <c r="BJ369">
        <v>8</v>
      </c>
      <c r="BK369">
        <v>0</v>
      </c>
      <c r="BL369">
        <v>0</v>
      </c>
      <c r="BM369">
        <v>8</v>
      </c>
      <c r="BN369">
        <v>8</v>
      </c>
      <c r="BO369">
        <v>8</v>
      </c>
      <c r="BP369">
        <v>8</v>
      </c>
      <c r="BQ369" t="str">
        <f>"1:00 PM"</f>
        <v>1:00 PM</v>
      </c>
      <c r="BR369" t="str">
        <f>"10:00 PM"</f>
        <v>10:00 PM</v>
      </c>
      <c r="BS369" t="s">
        <v>131</v>
      </c>
      <c r="BT369">
        <v>0</v>
      </c>
      <c r="BU369">
        <v>0</v>
      </c>
      <c r="BV369" t="s">
        <v>114</v>
      </c>
      <c r="BX369" s="2" t="s">
        <v>2396</v>
      </c>
      <c r="BY369" t="s">
        <v>12732</v>
      </c>
      <c r="CA369" t="s">
        <v>7660</v>
      </c>
      <c r="CB369" t="s">
        <v>1434</v>
      </c>
      <c r="CC369" s="8" t="str">
        <f>"42376"</f>
        <v>42376</v>
      </c>
      <c r="CD369" t="s">
        <v>12735</v>
      </c>
      <c r="CE369" t="s">
        <v>12736</v>
      </c>
      <c r="CF369" s="12">
        <v>10.09</v>
      </c>
      <c r="CG369" s="12">
        <v>12.53</v>
      </c>
      <c r="CJ369" t="s">
        <v>135</v>
      </c>
      <c r="CK369" t="s">
        <v>342</v>
      </c>
      <c r="CL369" t="s">
        <v>12737</v>
      </c>
      <c r="CO369" t="s">
        <v>132</v>
      </c>
      <c r="CP369" t="s">
        <v>136</v>
      </c>
      <c r="CQ369" t="s">
        <v>136</v>
      </c>
      <c r="CR369" t="s">
        <v>114</v>
      </c>
      <c r="CS369" t="s">
        <v>136</v>
      </c>
      <c r="CT369" t="s">
        <v>136</v>
      </c>
      <c r="CU369" t="s">
        <v>136</v>
      </c>
      <c r="CV369" t="s">
        <v>22841</v>
      </c>
      <c r="CW369" s="10" t="str">
        <f>"+12705704497"</f>
        <v>+12705704497</v>
      </c>
      <c r="CX369" t="s">
        <v>12738</v>
      </c>
      <c r="CY369" t="s">
        <v>132</v>
      </c>
      <c r="CZ369" t="s">
        <v>137</v>
      </c>
      <c r="DA369" t="s">
        <v>114</v>
      </c>
      <c r="DB369" t="s">
        <v>136</v>
      </c>
      <c r="DC369" t="s">
        <v>136</v>
      </c>
      <c r="DD369" t="s">
        <v>114</v>
      </c>
    </row>
    <row r="370" spans="1:113" ht="15" customHeight="1" x14ac:dyDescent="0.25">
      <c r="A370" t="s">
        <v>22150</v>
      </c>
      <c r="B370" t="s">
        <v>152</v>
      </c>
      <c r="C370" s="1">
        <v>45248.484917476853</v>
      </c>
      <c r="D370" s="1">
        <v>45274</v>
      </c>
      <c r="E370" t="s">
        <v>132</v>
      </c>
      <c r="F370" t="s">
        <v>1595</v>
      </c>
      <c r="G370" t="str">
        <f>"37-3011.00"</f>
        <v>37-3011.00</v>
      </c>
      <c r="H370" t="s">
        <v>429</v>
      </c>
      <c r="I370">
        <v>15</v>
      </c>
      <c r="J370">
        <v>15</v>
      </c>
      <c r="K370" s="1">
        <v>45338</v>
      </c>
      <c r="L370" s="1">
        <v>45596</v>
      </c>
      <c r="M370" s="1">
        <v>45338</v>
      </c>
      <c r="N370" s="1">
        <v>45596</v>
      </c>
      <c r="O370" t="s">
        <v>116</v>
      </c>
      <c r="P370" t="s">
        <v>22151</v>
      </c>
      <c r="Q370" t="s">
        <v>22152</v>
      </c>
      <c r="R370" t="s">
        <v>22153</v>
      </c>
      <c r="S370" t="s">
        <v>22154</v>
      </c>
      <c r="T370" t="s">
        <v>5840</v>
      </c>
      <c r="U370" t="s">
        <v>2608</v>
      </c>
      <c r="V370" s="8" t="str">
        <f>"73003"</f>
        <v>73003</v>
      </c>
      <c r="W370" t="s">
        <v>118</v>
      </c>
      <c r="X370" t="s">
        <v>132</v>
      </c>
      <c r="Y370" s="10">
        <v>14057573181</v>
      </c>
      <c r="AA370">
        <v>561730</v>
      </c>
      <c r="AB370" t="s">
        <v>22155</v>
      </c>
      <c r="AC370" t="s">
        <v>486</v>
      </c>
      <c r="AD370" t="s">
        <v>132</v>
      </c>
      <c r="AE370" t="s">
        <v>5585</v>
      </c>
      <c r="AF370" t="s">
        <v>22153</v>
      </c>
      <c r="AG370" t="s">
        <v>22154</v>
      </c>
      <c r="AH370" t="s">
        <v>5840</v>
      </c>
      <c r="AI370" t="s">
        <v>2608</v>
      </c>
      <c r="AJ370" s="8" t="str">
        <f>"73003"</f>
        <v>73003</v>
      </c>
      <c r="AK370" t="s">
        <v>118</v>
      </c>
      <c r="AM370" s="10">
        <v>14057573181</v>
      </c>
      <c r="AO370" t="s">
        <v>22156</v>
      </c>
      <c r="AP370" t="s">
        <v>248</v>
      </c>
      <c r="AQ370" t="s">
        <v>1827</v>
      </c>
      <c r="AR370" t="s">
        <v>1828</v>
      </c>
      <c r="AS370" t="s">
        <v>1829</v>
      </c>
      <c r="AT370" t="s">
        <v>1830</v>
      </c>
      <c r="AU370" t="s">
        <v>132</v>
      </c>
      <c r="AV370" t="s">
        <v>1585</v>
      </c>
      <c r="AW370" t="s">
        <v>127</v>
      </c>
      <c r="AX370" s="8" t="str">
        <f>"77414"</f>
        <v>77414</v>
      </c>
      <c r="AY370" t="s">
        <v>118</v>
      </c>
      <c r="BA370" s="10">
        <v>19793187283</v>
      </c>
      <c r="BC370" t="s">
        <v>1831</v>
      </c>
      <c r="BD370" t="s">
        <v>1587</v>
      </c>
      <c r="BG370" t="s">
        <v>2608</v>
      </c>
      <c r="BH370" s="1">
        <v>45247.791666666664</v>
      </c>
      <c r="BI370">
        <v>40</v>
      </c>
      <c r="BJ370">
        <v>0</v>
      </c>
      <c r="BK370">
        <v>8</v>
      </c>
      <c r="BL370">
        <v>8</v>
      </c>
      <c r="BM370">
        <v>8</v>
      </c>
      <c r="BN370">
        <v>8</v>
      </c>
      <c r="BO370">
        <v>8</v>
      </c>
      <c r="BP370">
        <v>0</v>
      </c>
      <c r="BQ370" t="str">
        <f>"7:00 AM"</f>
        <v>7:00 AM</v>
      </c>
      <c r="BR370" t="str">
        <f>"4:00 PM"</f>
        <v>4:00 PM</v>
      </c>
      <c r="BS370" t="s">
        <v>131</v>
      </c>
      <c r="BT370">
        <v>0</v>
      </c>
      <c r="BU370">
        <v>0</v>
      </c>
      <c r="BV370" t="s">
        <v>114</v>
      </c>
      <c r="BX370" s="2" t="s">
        <v>22157</v>
      </c>
      <c r="BY370" t="s">
        <v>22153</v>
      </c>
      <c r="BZ370" t="s">
        <v>132</v>
      </c>
      <c r="CA370" t="s">
        <v>5840</v>
      </c>
      <c r="CB370" t="s">
        <v>2608</v>
      </c>
      <c r="CC370" s="8" t="str">
        <f>"73003"</f>
        <v>73003</v>
      </c>
      <c r="CD370" t="s">
        <v>3576</v>
      </c>
      <c r="CE370" t="s">
        <v>3577</v>
      </c>
      <c r="CF370" s="12">
        <v>16.149999999999999</v>
      </c>
      <c r="CH370" s="12">
        <v>24.23</v>
      </c>
      <c r="CJ370" t="s">
        <v>135</v>
      </c>
      <c r="CK370" t="s">
        <v>132</v>
      </c>
      <c r="CL370" t="s">
        <v>22158</v>
      </c>
      <c r="CO370" t="s">
        <v>132</v>
      </c>
      <c r="CP370" t="s">
        <v>136</v>
      </c>
      <c r="CQ370" t="s">
        <v>136</v>
      </c>
      <c r="CR370" t="s">
        <v>136</v>
      </c>
      <c r="CS370" t="s">
        <v>136</v>
      </c>
      <c r="CT370" t="s">
        <v>136</v>
      </c>
      <c r="CU370" t="s">
        <v>114</v>
      </c>
      <c r="CV370" t="s">
        <v>2225</v>
      </c>
      <c r="CW370" s="10" t="str">
        <f>"+14057573181"</f>
        <v>+14057573181</v>
      </c>
      <c r="CX370" t="s">
        <v>22159</v>
      </c>
      <c r="CY370" t="s">
        <v>132</v>
      </c>
      <c r="CZ370" t="s">
        <v>137</v>
      </c>
      <c r="DA370" t="s">
        <v>114</v>
      </c>
      <c r="DB370" t="s">
        <v>114</v>
      </c>
      <c r="DC370" t="s">
        <v>136</v>
      </c>
      <c r="DD370" t="s">
        <v>114</v>
      </c>
    </row>
    <row r="371" spans="1:113" ht="15" customHeight="1" x14ac:dyDescent="0.25">
      <c r="A371" t="s">
        <v>21256</v>
      </c>
      <c r="B371" t="s">
        <v>152</v>
      </c>
      <c r="C371" s="1">
        <v>45248.480629282407</v>
      </c>
      <c r="D371" s="1">
        <v>45274</v>
      </c>
      <c r="E371" t="s">
        <v>132</v>
      </c>
      <c r="F371" t="s">
        <v>9057</v>
      </c>
      <c r="G371" t="str">
        <f>"37-3011.00"</f>
        <v>37-3011.00</v>
      </c>
      <c r="H371" t="s">
        <v>429</v>
      </c>
      <c r="I371">
        <v>15</v>
      </c>
      <c r="J371">
        <v>15</v>
      </c>
      <c r="K371" s="1">
        <v>45323</v>
      </c>
      <c r="L371" s="1">
        <v>45600</v>
      </c>
      <c r="M371" s="1">
        <v>45323</v>
      </c>
      <c r="N371" s="1">
        <v>45600</v>
      </c>
      <c r="O371" t="s">
        <v>116</v>
      </c>
      <c r="P371" t="s">
        <v>21257</v>
      </c>
      <c r="R371" t="s">
        <v>668</v>
      </c>
      <c r="T371" t="s">
        <v>669</v>
      </c>
      <c r="U371" t="s">
        <v>127</v>
      </c>
      <c r="V371" s="8" t="str">
        <f>"77598"</f>
        <v>77598</v>
      </c>
      <c r="W371" t="s">
        <v>118</v>
      </c>
      <c r="Y371" s="10">
        <v>12812801100</v>
      </c>
      <c r="AA371">
        <v>56173</v>
      </c>
      <c r="AB371" t="s">
        <v>670</v>
      </c>
      <c r="AC371" t="s">
        <v>671</v>
      </c>
      <c r="AE371" t="s">
        <v>405</v>
      </c>
      <c r="AF371" t="s">
        <v>668</v>
      </c>
      <c r="AH371" t="s">
        <v>669</v>
      </c>
      <c r="AI371" t="s">
        <v>127</v>
      </c>
      <c r="AJ371" s="8" t="str">
        <f>"77598"</f>
        <v>77598</v>
      </c>
      <c r="AK371" t="s">
        <v>118</v>
      </c>
      <c r="AM371" s="10">
        <v>12812801100</v>
      </c>
      <c r="AO371" t="s">
        <v>672</v>
      </c>
      <c r="AP371" t="s">
        <v>248</v>
      </c>
      <c r="AQ371" t="s">
        <v>673</v>
      </c>
      <c r="AR371" t="s">
        <v>674</v>
      </c>
      <c r="AT371" t="s">
        <v>579</v>
      </c>
      <c r="AV371" t="s">
        <v>580</v>
      </c>
      <c r="AW371" t="s">
        <v>581</v>
      </c>
      <c r="AX371" s="8" t="str">
        <f>"22903"</f>
        <v>22903</v>
      </c>
      <c r="AY371" t="s">
        <v>118</v>
      </c>
      <c r="BA371" s="10">
        <v>14342634300</v>
      </c>
      <c r="BC371" t="s">
        <v>675</v>
      </c>
      <c r="BD371" t="s">
        <v>583</v>
      </c>
      <c r="BG371" t="s">
        <v>140</v>
      </c>
      <c r="BH371" s="1">
        <v>45247.791666666664</v>
      </c>
      <c r="BI371">
        <v>35</v>
      </c>
      <c r="BJ371">
        <v>0</v>
      </c>
      <c r="BK371">
        <v>7</v>
      </c>
      <c r="BL371">
        <v>7</v>
      </c>
      <c r="BM371">
        <v>7</v>
      </c>
      <c r="BN371">
        <v>7</v>
      </c>
      <c r="BO371">
        <v>7</v>
      </c>
      <c r="BP371">
        <v>0</v>
      </c>
      <c r="BQ371" t="str">
        <f>"7:00 AM"</f>
        <v>7:00 AM</v>
      </c>
      <c r="BR371" t="str">
        <f>"3:00 PM"</f>
        <v>3:00 PM</v>
      </c>
      <c r="BS371" t="s">
        <v>131</v>
      </c>
      <c r="BT371">
        <v>0</v>
      </c>
      <c r="BU371">
        <v>0</v>
      </c>
      <c r="BV371" t="s">
        <v>114</v>
      </c>
      <c r="BX371" s="2" t="s">
        <v>12816</v>
      </c>
      <c r="BY371" t="s">
        <v>21258</v>
      </c>
      <c r="CA371" t="s">
        <v>21259</v>
      </c>
      <c r="CB371" t="s">
        <v>140</v>
      </c>
      <c r="CC371" s="8" t="str">
        <f>"32134"</f>
        <v>32134</v>
      </c>
      <c r="CD371" t="s">
        <v>1257</v>
      </c>
      <c r="CE371" t="s">
        <v>2342</v>
      </c>
      <c r="CF371" s="12">
        <v>14.8</v>
      </c>
      <c r="CG371" s="12">
        <v>14.8</v>
      </c>
      <c r="CH371" s="12">
        <v>22.2</v>
      </c>
      <c r="CI371" s="12">
        <v>22.2</v>
      </c>
      <c r="CJ371" t="s">
        <v>135</v>
      </c>
      <c r="CK371" t="s">
        <v>590</v>
      </c>
      <c r="CL371" t="s">
        <v>21260</v>
      </c>
      <c r="CO371" t="s">
        <v>132</v>
      </c>
      <c r="CP371" t="s">
        <v>136</v>
      </c>
      <c r="CQ371" t="s">
        <v>114</v>
      </c>
      <c r="CR371" t="s">
        <v>136</v>
      </c>
      <c r="CS371" t="s">
        <v>136</v>
      </c>
      <c r="CT371" t="s">
        <v>136</v>
      </c>
      <c r="CU371" t="s">
        <v>136</v>
      </c>
      <c r="CV371" t="s">
        <v>21261</v>
      </c>
      <c r="CW371" s="10" t="str">
        <f>"N/A"</f>
        <v>N/A</v>
      </c>
      <c r="CX371" t="s">
        <v>682</v>
      </c>
      <c r="CY371" t="s">
        <v>1876</v>
      </c>
      <c r="CZ371" t="s">
        <v>137</v>
      </c>
      <c r="DA371" t="s">
        <v>114</v>
      </c>
      <c r="DB371" t="s">
        <v>136</v>
      </c>
      <c r="DC371" t="s">
        <v>136</v>
      </c>
      <c r="DD371" t="s">
        <v>114</v>
      </c>
      <c r="DE371" t="s">
        <v>673</v>
      </c>
      <c r="DF371" t="s">
        <v>674</v>
      </c>
      <c r="DH371" t="s">
        <v>583</v>
      </c>
      <c r="DI371" t="s">
        <v>675</v>
      </c>
    </row>
    <row r="372" spans="1:113" ht="15" customHeight="1" x14ac:dyDescent="0.25">
      <c r="A372" t="s">
        <v>17699</v>
      </c>
      <c r="B372" t="s">
        <v>152</v>
      </c>
      <c r="C372" s="1">
        <v>45248.365237384256</v>
      </c>
      <c r="D372" s="1">
        <v>45274</v>
      </c>
      <c r="E372" t="s">
        <v>132</v>
      </c>
      <c r="F372" t="s">
        <v>1595</v>
      </c>
      <c r="G372" t="str">
        <f>"37-3011.00"</f>
        <v>37-3011.00</v>
      </c>
      <c r="H372" t="s">
        <v>429</v>
      </c>
      <c r="I372">
        <v>6</v>
      </c>
      <c r="J372">
        <v>6</v>
      </c>
      <c r="K372" s="1">
        <v>45338</v>
      </c>
      <c r="L372" s="1">
        <v>45641</v>
      </c>
      <c r="M372" s="1">
        <v>45338</v>
      </c>
      <c r="N372" s="1">
        <v>45641</v>
      </c>
      <c r="O372" t="s">
        <v>116</v>
      </c>
      <c r="P372" t="s">
        <v>17700</v>
      </c>
      <c r="R372" t="s">
        <v>17701</v>
      </c>
      <c r="S372" t="s">
        <v>132</v>
      </c>
      <c r="T372" t="s">
        <v>17702</v>
      </c>
      <c r="U372" t="s">
        <v>1776</v>
      </c>
      <c r="V372" s="8" t="str">
        <f>"08080"</f>
        <v>08080</v>
      </c>
      <c r="W372" t="s">
        <v>118</v>
      </c>
      <c r="X372" t="s">
        <v>132</v>
      </c>
      <c r="Y372" s="10">
        <v>18563744700</v>
      </c>
      <c r="AA372">
        <v>561730</v>
      </c>
      <c r="AB372" t="s">
        <v>17703</v>
      </c>
      <c r="AC372" t="s">
        <v>4170</v>
      </c>
      <c r="AD372" t="s">
        <v>132</v>
      </c>
      <c r="AE372" t="s">
        <v>629</v>
      </c>
      <c r="AF372" t="s">
        <v>17704</v>
      </c>
      <c r="AG372" t="s">
        <v>132</v>
      </c>
      <c r="AH372" t="s">
        <v>17702</v>
      </c>
      <c r="AI372" t="s">
        <v>1776</v>
      </c>
      <c r="AJ372" s="8" t="str">
        <f>"08080"</f>
        <v>08080</v>
      </c>
      <c r="AK372" t="s">
        <v>118</v>
      </c>
      <c r="AM372" s="10">
        <v>18563744700</v>
      </c>
      <c r="AO372" t="s">
        <v>17705</v>
      </c>
      <c r="AP372" t="s">
        <v>248</v>
      </c>
      <c r="AQ372" t="s">
        <v>5000</v>
      </c>
      <c r="AR372" t="s">
        <v>4889</v>
      </c>
      <c r="AS372" t="s">
        <v>2998</v>
      </c>
      <c r="AT372" t="s">
        <v>1584</v>
      </c>
      <c r="AU372" t="s">
        <v>132</v>
      </c>
      <c r="AV372" t="s">
        <v>1585</v>
      </c>
      <c r="AW372" t="s">
        <v>127</v>
      </c>
      <c r="AX372" s="8" t="str">
        <f>"77414"</f>
        <v>77414</v>
      </c>
      <c r="AY372" t="s">
        <v>118</v>
      </c>
      <c r="BA372" s="10">
        <v>19793187277</v>
      </c>
      <c r="BC372" t="s">
        <v>5001</v>
      </c>
      <c r="BD372" t="s">
        <v>1587</v>
      </c>
      <c r="BG372" t="s">
        <v>1776</v>
      </c>
      <c r="BH372" s="1">
        <v>45247.791666666664</v>
      </c>
      <c r="BI372">
        <v>40</v>
      </c>
      <c r="BJ372">
        <v>0</v>
      </c>
      <c r="BK372">
        <v>8</v>
      </c>
      <c r="BL372">
        <v>8</v>
      </c>
      <c r="BM372">
        <v>8</v>
      </c>
      <c r="BN372">
        <v>8</v>
      </c>
      <c r="BO372">
        <v>8</v>
      </c>
      <c r="BP372">
        <v>0</v>
      </c>
      <c r="BQ372" t="str">
        <f>"7:30 AM"</f>
        <v>7:30 AM</v>
      </c>
      <c r="BR372" t="str">
        <f>"4:30 PM"</f>
        <v>4:30 PM</v>
      </c>
      <c r="BS372" t="s">
        <v>131</v>
      </c>
      <c r="BT372">
        <v>0</v>
      </c>
      <c r="BU372">
        <v>0</v>
      </c>
      <c r="BV372" t="s">
        <v>114</v>
      </c>
      <c r="BX372" s="2" t="s">
        <v>17706</v>
      </c>
      <c r="BY372" t="s">
        <v>17704</v>
      </c>
      <c r="BZ372" t="s">
        <v>132</v>
      </c>
      <c r="CA372" t="s">
        <v>17702</v>
      </c>
      <c r="CB372" t="s">
        <v>1776</v>
      </c>
      <c r="CC372" s="8" t="str">
        <f>"08080"</f>
        <v>08080</v>
      </c>
      <c r="CD372" t="s">
        <v>2244</v>
      </c>
      <c r="CE372" t="s">
        <v>443</v>
      </c>
      <c r="CF372" s="12">
        <v>18.71</v>
      </c>
      <c r="CG372" s="12">
        <v>19</v>
      </c>
      <c r="CH372" s="12">
        <v>28.07</v>
      </c>
      <c r="CI372" s="12">
        <v>28.5</v>
      </c>
      <c r="CJ372" t="s">
        <v>135</v>
      </c>
      <c r="CK372" t="s">
        <v>2642</v>
      </c>
      <c r="CL372" t="s">
        <v>17707</v>
      </c>
      <c r="CO372" t="s">
        <v>132</v>
      </c>
      <c r="CP372" t="s">
        <v>136</v>
      </c>
      <c r="CQ372" t="s">
        <v>136</v>
      </c>
      <c r="CR372" t="s">
        <v>136</v>
      </c>
      <c r="CS372" t="s">
        <v>136</v>
      </c>
      <c r="CT372" t="s">
        <v>136</v>
      </c>
      <c r="CU372" t="s">
        <v>114</v>
      </c>
      <c r="CV372" t="s">
        <v>2225</v>
      </c>
      <c r="CW372" s="10" t="str">
        <f>"+18563744700"</f>
        <v>+18563744700</v>
      </c>
      <c r="CX372" t="s">
        <v>17705</v>
      </c>
      <c r="CY372" t="s">
        <v>132</v>
      </c>
      <c r="CZ372" t="s">
        <v>137</v>
      </c>
      <c r="DA372" t="s">
        <v>114</v>
      </c>
      <c r="DB372" t="s">
        <v>114</v>
      </c>
      <c r="DC372" t="s">
        <v>136</v>
      </c>
      <c r="DD372" t="s">
        <v>114</v>
      </c>
    </row>
    <row r="373" spans="1:113" ht="15" customHeight="1" x14ac:dyDescent="0.25">
      <c r="A373" t="s">
        <v>5203</v>
      </c>
      <c r="B373" t="s">
        <v>152</v>
      </c>
      <c r="C373" s="1">
        <v>45247.566436805559</v>
      </c>
      <c r="D373" s="1">
        <v>45274</v>
      </c>
      <c r="E373" t="s">
        <v>132</v>
      </c>
      <c r="F373" t="s">
        <v>5204</v>
      </c>
      <c r="G373" t="str">
        <f>"35-9021.00"</f>
        <v>35-9021.00</v>
      </c>
      <c r="H373" t="s">
        <v>501</v>
      </c>
      <c r="I373">
        <v>10</v>
      </c>
      <c r="J373">
        <v>10</v>
      </c>
      <c r="K373" s="1">
        <v>45337</v>
      </c>
      <c r="L373" s="1">
        <v>45611</v>
      </c>
      <c r="M373" s="1">
        <v>45337</v>
      </c>
      <c r="N373" s="1">
        <v>45611</v>
      </c>
      <c r="O373" t="s">
        <v>116</v>
      </c>
      <c r="P373" t="s">
        <v>5205</v>
      </c>
      <c r="Q373" t="s">
        <v>5206</v>
      </c>
      <c r="R373" t="s">
        <v>5207</v>
      </c>
      <c r="T373" t="s">
        <v>5208</v>
      </c>
      <c r="U373" t="s">
        <v>127</v>
      </c>
      <c r="V373" s="8" t="str">
        <f>"78735"</f>
        <v>78735</v>
      </c>
      <c r="W373" t="s">
        <v>118</v>
      </c>
      <c r="Y373" s="10">
        <v>15123297911</v>
      </c>
      <c r="AA373">
        <v>72111</v>
      </c>
      <c r="AB373" t="s">
        <v>5209</v>
      </c>
      <c r="AC373" t="s">
        <v>5210</v>
      </c>
      <c r="AE373" t="s">
        <v>1104</v>
      </c>
      <c r="AF373" t="s">
        <v>5207</v>
      </c>
      <c r="AH373" t="s">
        <v>320</v>
      </c>
      <c r="AI373" t="s">
        <v>127</v>
      </c>
      <c r="AJ373" s="8" t="str">
        <f>"78735"</f>
        <v>78735</v>
      </c>
      <c r="AK373" t="s">
        <v>118</v>
      </c>
      <c r="AM373" s="10">
        <v>15123297911</v>
      </c>
      <c r="AO373" t="s">
        <v>5211</v>
      </c>
      <c r="AP373" t="s">
        <v>248</v>
      </c>
      <c r="AQ373" t="s">
        <v>960</v>
      </c>
      <c r="AR373" t="s">
        <v>961</v>
      </c>
      <c r="AS373" t="s">
        <v>962</v>
      </c>
      <c r="AT373" t="s">
        <v>963</v>
      </c>
      <c r="AU373" t="s">
        <v>296</v>
      </c>
      <c r="AV373" t="s">
        <v>964</v>
      </c>
      <c r="AW373" t="s">
        <v>127</v>
      </c>
      <c r="AX373" s="8" t="str">
        <f>"75033"</f>
        <v>75033</v>
      </c>
      <c r="AY373" t="s">
        <v>118</v>
      </c>
      <c r="BA373" s="10">
        <v>19727789690</v>
      </c>
      <c r="BC373" t="s">
        <v>1919</v>
      </c>
      <c r="BD373" t="s">
        <v>966</v>
      </c>
      <c r="BG373" t="s">
        <v>127</v>
      </c>
      <c r="BH373" s="1">
        <v>45246.791666666664</v>
      </c>
      <c r="BI373">
        <v>40</v>
      </c>
      <c r="BJ373">
        <v>8</v>
      </c>
      <c r="BK373">
        <v>0</v>
      </c>
      <c r="BL373">
        <v>8</v>
      </c>
      <c r="BM373">
        <v>0</v>
      </c>
      <c r="BN373">
        <v>8</v>
      </c>
      <c r="BO373">
        <v>8</v>
      </c>
      <c r="BP373">
        <v>8</v>
      </c>
      <c r="BQ373" t="str">
        <f>"5:00 AM"</f>
        <v>5:00 AM</v>
      </c>
      <c r="BR373" t="str">
        <f>"2:00 PM"</f>
        <v>2:00 PM</v>
      </c>
      <c r="BS373" t="s">
        <v>131</v>
      </c>
      <c r="BT373">
        <v>0</v>
      </c>
      <c r="BU373">
        <v>0</v>
      </c>
      <c r="BV373" t="s">
        <v>114</v>
      </c>
      <c r="BX373" s="2" t="s">
        <v>5212</v>
      </c>
      <c r="BY373" t="s">
        <v>5207</v>
      </c>
      <c r="CA373" t="s">
        <v>320</v>
      </c>
      <c r="CB373" t="s">
        <v>127</v>
      </c>
      <c r="CC373" s="8" t="str">
        <f>"78735"</f>
        <v>78735</v>
      </c>
      <c r="CD373" t="s">
        <v>323</v>
      </c>
      <c r="CE373" t="s">
        <v>324</v>
      </c>
      <c r="CF373" s="12">
        <v>16</v>
      </c>
      <c r="CH373" s="12">
        <v>24</v>
      </c>
      <c r="CJ373" t="s">
        <v>135</v>
      </c>
      <c r="CK373" t="s">
        <v>1840</v>
      </c>
      <c r="CL373" t="s">
        <v>5213</v>
      </c>
      <c r="CO373" t="s">
        <v>132</v>
      </c>
      <c r="CP373" t="s">
        <v>114</v>
      </c>
      <c r="CQ373" t="s">
        <v>114</v>
      </c>
      <c r="CR373" t="s">
        <v>136</v>
      </c>
      <c r="CS373" t="s">
        <v>136</v>
      </c>
      <c r="CT373" t="s">
        <v>136</v>
      </c>
      <c r="CU373" t="s">
        <v>136</v>
      </c>
      <c r="CV373" s="2" t="s">
        <v>5214</v>
      </c>
      <c r="CW373" s="10" t="str">
        <f>"+15123294000"</f>
        <v>+15123294000</v>
      </c>
      <c r="CX373" t="s">
        <v>132</v>
      </c>
      <c r="CY373" t="s">
        <v>1853</v>
      </c>
      <c r="CZ373" t="s">
        <v>137</v>
      </c>
      <c r="DA373" t="s">
        <v>114</v>
      </c>
      <c r="DB373" t="s">
        <v>136</v>
      </c>
      <c r="DC373" t="s">
        <v>136</v>
      </c>
      <c r="DD373" t="s">
        <v>114</v>
      </c>
    </row>
    <row r="374" spans="1:113" ht="15" customHeight="1" x14ac:dyDescent="0.25">
      <c r="A374" t="s">
        <v>24047</v>
      </c>
      <c r="B374" t="s">
        <v>152</v>
      </c>
      <c r="C374" s="1">
        <v>45247.563305902775</v>
      </c>
      <c r="D374" s="1">
        <v>45274</v>
      </c>
      <c r="E374" t="s">
        <v>132</v>
      </c>
      <c r="F374" t="s">
        <v>5970</v>
      </c>
      <c r="G374" t="str">
        <f>"35-9011.00"</f>
        <v>35-9011.00</v>
      </c>
      <c r="H374" t="s">
        <v>1512</v>
      </c>
      <c r="I374">
        <v>7</v>
      </c>
      <c r="J374">
        <v>7</v>
      </c>
      <c r="K374" s="1">
        <v>45337</v>
      </c>
      <c r="L374" s="1">
        <v>45611</v>
      </c>
      <c r="M374" s="1">
        <v>45337</v>
      </c>
      <c r="N374" s="1">
        <v>45611</v>
      </c>
      <c r="O374" t="s">
        <v>116</v>
      </c>
      <c r="P374" t="s">
        <v>5205</v>
      </c>
      <c r="Q374" t="s">
        <v>5206</v>
      </c>
      <c r="R374" t="s">
        <v>5207</v>
      </c>
      <c r="T374" t="s">
        <v>5208</v>
      </c>
      <c r="U374" t="s">
        <v>127</v>
      </c>
      <c r="V374" s="8" t="str">
        <f>"78735"</f>
        <v>78735</v>
      </c>
      <c r="W374" t="s">
        <v>118</v>
      </c>
      <c r="Y374" s="10">
        <v>15123297911</v>
      </c>
      <c r="AA374">
        <v>72111</v>
      </c>
      <c r="AB374" t="s">
        <v>5209</v>
      </c>
      <c r="AC374" t="s">
        <v>5210</v>
      </c>
      <c r="AE374" t="s">
        <v>1104</v>
      </c>
      <c r="AF374" t="s">
        <v>5207</v>
      </c>
      <c r="AH374" t="s">
        <v>320</v>
      </c>
      <c r="AI374" t="s">
        <v>127</v>
      </c>
      <c r="AJ374" s="8" t="str">
        <f>"78735"</f>
        <v>78735</v>
      </c>
      <c r="AK374" t="s">
        <v>118</v>
      </c>
      <c r="AM374" s="10">
        <v>15123297911</v>
      </c>
      <c r="AO374" t="s">
        <v>5211</v>
      </c>
      <c r="AP374" t="s">
        <v>248</v>
      </c>
      <c r="AQ374" t="s">
        <v>960</v>
      </c>
      <c r="AR374" t="s">
        <v>961</v>
      </c>
      <c r="AS374" t="s">
        <v>962</v>
      </c>
      <c r="AT374" t="s">
        <v>963</v>
      </c>
      <c r="AU374" t="s">
        <v>296</v>
      </c>
      <c r="AV374" t="s">
        <v>964</v>
      </c>
      <c r="AW374" t="s">
        <v>127</v>
      </c>
      <c r="AX374" s="8" t="str">
        <f>"75033"</f>
        <v>75033</v>
      </c>
      <c r="AY374" t="s">
        <v>118</v>
      </c>
      <c r="BA374" s="10">
        <v>19727789690</v>
      </c>
      <c r="BC374" t="s">
        <v>1919</v>
      </c>
      <c r="BD374" t="s">
        <v>966</v>
      </c>
      <c r="BG374" t="s">
        <v>127</v>
      </c>
      <c r="BH374" s="1">
        <v>45246.791666666664</v>
      </c>
      <c r="BI374">
        <v>40</v>
      </c>
      <c r="BJ374">
        <v>8</v>
      </c>
      <c r="BK374">
        <v>0</v>
      </c>
      <c r="BL374">
        <v>8</v>
      </c>
      <c r="BM374">
        <v>0</v>
      </c>
      <c r="BN374">
        <v>8</v>
      </c>
      <c r="BO374">
        <v>8</v>
      </c>
      <c r="BP374">
        <v>8</v>
      </c>
      <c r="BQ374" t="str">
        <f>"7:00 AM"</f>
        <v>7:00 AM</v>
      </c>
      <c r="BR374" t="str">
        <f>"4:00 PM"</f>
        <v>4:00 PM</v>
      </c>
      <c r="BS374" t="s">
        <v>131</v>
      </c>
      <c r="BT374">
        <v>0</v>
      </c>
      <c r="BU374">
        <v>0</v>
      </c>
      <c r="BV374" t="s">
        <v>114</v>
      </c>
      <c r="BX374" s="2" t="s">
        <v>24048</v>
      </c>
      <c r="BY374" t="s">
        <v>5207</v>
      </c>
      <c r="CA374" t="s">
        <v>320</v>
      </c>
      <c r="CB374" t="s">
        <v>127</v>
      </c>
      <c r="CC374" s="8" t="str">
        <f>"78735"</f>
        <v>78735</v>
      </c>
      <c r="CD374" t="s">
        <v>323</v>
      </c>
      <c r="CE374" t="s">
        <v>324</v>
      </c>
      <c r="CF374" s="12">
        <v>15</v>
      </c>
      <c r="CH374" s="12">
        <v>22.5</v>
      </c>
      <c r="CJ374" t="s">
        <v>135</v>
      </c>
      <c r="CK374" t="s">
        <v>1840</v>
      </c>
      <c r="CL374" t="s">
        <v>24049</v>
      </c>
      <c r="CO374" t="s">
        <v>132</v>
      </c>
      <c r="CP374" t="s">
        <v>114</v>
      </c>
      <c r="CQ374" t="s">
        <v>114</v>
      </c>
      <c r="CR374" t="s">
        <v>136</v>
      </c>
      <c r="CS374" t="s">
        <v>136</v>
      </c>
      <c r="CT374" t="s">
        <v>136</v>
      </c>
      <c r="CU374" t="s">
        <v>136</v>
      </c>
      <c r="CV374" s="2" t="s">
        <v>5214</v>
      </c>
      <c r="CW374" s="10" t="str">
        <f>"+15123294000"</f>
        <v>+15123294000</v>
      </c>
      <c r="CX374" t="s">
        <v>132</v>
      </c>
      <c r="CY374" t="s">
        <v>1853</v>
      </c>
      <c r="CZ374" t="s">
        <v>137</v>
      </c>
      <c r="DA374" t="s">
        <v>114</v>
      </c>
      <c r="DB374" t="s">
        <v>136</v>
      </c>
      <c r="DC374" t="s">
        <v>136</v>
      </c>
      <c r="DD374" t="s">
        <v>114</v>
      </c>
    </row>
    <row r="375" spans="1:113" ht="15" customHeight="1" x14ac:dyDescent="0.25">
      <c r="A375" t="s">
        <v>23961</v>
      </c>
      <c r="B375" t="s">
        <v>152</v>
      </c>
      <c r="C375" s="1">
        <v>45247.560707870369</v>
      </c>
      <c r="D375" s="1">
        <v>45274</v>
      </c>
      <c r="E375" t="s">
        <v>132</v>
      </c>
      <c r="F375" t="s">
        <v>1059</v>
      </c>
      <c r="G375" t="str">
        <f>"35-2014.00"</f>
        <v>35-2014.00</v>
      </c>
      <c r="H375" t="s">
        <v>154</v>
      </c>
      <c r="I375">
        <v>10</v>
      </c>
      <c r="J375">
        <v>10</v>
      </c>
      <c r="K375" s="1">
        <v>45337</v>
      </c>
      <c r="L375" s="1">
        <v>45611</v>
      </c>
      <c r="M375" s="1">
        <v>45337</v>
      </c>
      <c r="N375" s="1">
        <v>45611</v>
      </c>
      <c r="O375" t="s">
        <v>116</v>
      </c>
      <c r="P375" t="s">
        <v>5205</v>
      </c>
      <c r="Q375" t="s">
        <v>5206</v>
      </c>
      <c r="R375" t="s">
        <v>5207</v>
      </c>
      <c r="T375" t="s">
        <v>5208</v>
      </c>
      <c r="U375" t="s">
        <v>127</v>
      </c>
      <c r="V375" s="8" t="str">
        <f>"78735"</f>
        <v>78735</v>
      </c>
      <c r="W375" t="s">
        <v>118</v>
      </c>
      <c r="Y375" s="10">
        <v>15123297911</v>
      </c>
      <c r="AA375">
        <v>72111</v>
      </c>
      <c r="AB375" t="s">
        <v>5209</v>
      </c>
      <c r="AC375" t="s">
        <v>5210</v>
      </c>
      <c r="AE375" t="s">
        <v>1104</v>
      </c>
      <c r="AF375" t="s">
        <v>5207</v>
      </c>
      <c r="AH375" t="s">
        <v>320</v>
      </c>
      <c r="AI375" t="s">
        <v>127</v>
      </c>
      <c r="AJ375" s="8" t="str">
        <f>"78735"</f>
        <v>78735</v>
      </c>
      <c r="AK375" t="s">
        <v>118</v>
      </c>
      <c r="AM375" s="10">
        <v>15123297911</v>
      </c>
      <c r="AO375" t="s">
        <v>5211</v>
      </c>
      <c r="AP375" t="s">
        <v>248</v>
      </c>
      <c r="AQ375" t="s">
        <v>960</v>
      </c>
      <c r="AR375" t="s">
        <v>961</v>
      </c>
      <c r="AS375" t="s">
        <v>962</v>
      </c>
      <c r="AT375" t="s">
        <v>963</v>
      </c>
      <c r="AU375" t="s">
        <v>296</v>
      </c>
      <c r="AV375" t="s">
        <v>964</v>
      </c>
      <c r="AW375" t="s">
        <v>127</v>
      </c>
      <c r="AX375" s="8" t="str">
        <f>"75033"</f>
        <v>75033</v>
      </c>
      <c r="AY375" t="s">
        <v>118</v>
      </c>
      <c r="BA375" s="10">
        <v>19727789690</v>
      </c>
      <c r="BC375" t="s">
        <v>1919</v>
      </c>
      <c r="BD375" t="s">
        <v>966</v>
      </c>
      <c r="BG375" t="s">
        <v>127</v>
      </c>
      <c r="BH375" s="1">
        <v>45246.791666666664</v>
      </c>
      <c r="BI375">
        <v>40</v>
      </c>
      <c r="BJ375">
        <v>8</v>
      </c>
      <c r="BK375">
        <v>0</v>
      </c>
      <c r="BL375">
        <v>8</v>
      </c>
      <c r="BM375">
        <v>0</v>
      </c>
      <c r="BN375">
        <v>8</v>
      </c>
      <c r="BO375">
        <v>8</v>
      </c>
      <c r="BP375">
        <v>8</v>
      </c>
      <c r="BQ375" t="str">
        <f>"5:00 AM"</f>
        <v>5:00 AM</v>
      </c>
      <c r="BR375" t="str">
        <f>"2:00 PM"</f>
        <v>2:00 PM</v>
      </c>
      <c r="BS375" t="s">
        <v>131</v>
      </c>
      <c r="BT375">
        <v>0</v>
      </c>
      <c r="BU375">
        <v>0</v>
      </c>
      <c r="BV375" t="s">
        <v>114</v>
      </c>
      <c r="BX375" s="2" t="s">
        <v>23962</v>
      </c>
      <c r="BY375" t="s">
        <v>5207</v>
      </c>
      <c r="CA375" t="s">
        <v>320</v>
      </c>
      <c r="CB375" t="s">
        <v>127</v>
      </c>
      <c r="CC375" s="8" t="str">
        <f>"78735"</f>
        <v>78735</v>
      </c>
      <c r="CD375" t="s">
        <v>323</v>
      </c>
      <c r="CE375" t="s">
        <v>324</v>
      </c>
      <c r="CF375" s="12">
        <v>18</v>
      </c>
      <c r="CH375" s="12">
        <v>27</v>
      </c>
      <c r="CJ375" t="s">
        <v>135</v>
      </c>
      <c r="CK375" t="s">
        <v>1840</v>
      </c>
      <c r="CL375" t="s">
        <v>23963</v>
      </c>
      <c r="CO375" t="s">
        <v>132</v>
      </c>
      <c r="CP375" t="s">
        <v>114</v>
      </c>
      <c r="CQ375" t="s">
        <v>114</v>
      </c>
      <c r="CR375" t="s">
        <v>136</v>
      </c>
      <c r="CS375" t="s">
        <v>136</v>
      </c>
      <c r="CT375" t="s">
        <v>136</v>
      </c>
      <c r="CU375" t="s">
        <v>136</v>
      </c>
      <c r="CV375" s="2" t="s">
        <v>5214</v>
      </c>
      <c r="CW375" s="10" t="str">
        <f>"+15123294000"</f>
        <v>+15123294000</v>
      </c>
      <c r="CX375" t="s">
        <v>132</v>
      </c>
      <c r="CY375" t="s">
        <v>1853</v>
      </c>
      <c r="CZ375" t="s">
        <v>137</v>
      </c>
      <c r="DA375" t="s">
        <v>114</v>
      </c>
      <c r="DB375" t="s">
        <v>136</v>
      </c>
      <c r="DC375" t="s">
        <v>136</v>
      </c>
      <c r="DD375" t="s">
        <v>114</v>
      </c>
    </row>
    <row r="376" spans="1:113" ht="15" customHeight="1" x14ac:dyDescent="0.25">
      <c r="A376" t="s">
        <v>10910</v>
      </c>
      <c r="B376" t="s">
        <v>152</v>
      </c>
      <c r="C376" s="1">
        <v>45247.54094525463</v>
      </c>
      <c r="D376" s="1">
        <v>45274</v>
      </c>
      <c r="E376" t="s">
        <v>132</v>
      </c>
      <c r="F376" t="s">
        <v>10911</v>
      </c>
      <c r="G376" t="str">
        <f>"37-2011.00"</f>
        <v>37-2011.00</v>
      </c>
      <c r="H376" t="s">
        <v>1089</v>
      </c>
      <c r="I376">
        <v>4</v>
      </c>
      <c r="J376">
        <v>4</v>
      </c>
      <c r="K376" s="1">
        <v>45322</v>
      </c>
      <c r="L376" s="1">
        <v>45412</v>
      </c>
      <c r="M376" s="1">
        <v>45322</v>
      </c>
      <c r="N376" s="1">
        <v>45412</v>
      </c>
      <c r="O376" t="s">
        <v>238</v>
      </c>
      <c r="P376" t="s">
        <v>10912</v>
      </c>
      <c r="R376" t="s">
        <v>10913</v>
      </c>
      <c r="S376" t="s">
        <v>10914</v>
      </c>
      <c r="T376" t="s">
        <v>10915</v>
      </c>
      <c r="U376" t="s">
        <v>740</v>
      </c>
      <c r="V376" s="8" t="str">
        <f>"50548"</f>
        <v>50548</v>
      </c>
      <c r="W376" t="s">
        <v>118</v>
      </c>
      <c r="Y376" s="10">
        <v>15155749526</v>
      </c>
      <c r="AA376">
        <v>11199</v>
      </c>
      <c r="AB376" t="s">
        <v>10916</v>
      </c>
      <c r="AC376" t="s">
        <v>1282</v>
      </c>
      <c r="AE376" t="s">
        <v>561</v>
      </c>
      <c r="AF376" t="s">
        <v>10913</v>
      </c>
      <c r="AG376" t="s">
        <v>10914</v>
      </c>
      <c r="AH376" t="s">
        <v>10915</v>
      </c>
      <c r="AI376" t="s">
        <v>740</v>
      </c>
      <c r="AJ376" s="8" t="str">
        <f>"50548"</f>
        <v>50548</v>
      </c>
      <c r="AK376" t="s">
        <v>118</v>
      </c>
      <c r="AM376" s="10">
        <v>15155749526</v>
      </c>
      <c r="AO376" t="s">
        <v>10917</v>
      </c>
      <c r="AP376" t="s">
        <v>121</v>
      </c>
      <c r="AQ376" t="s">
        <v>929</v>
      </c>
      <c r="AR376" t="s">
        <v>930</v>
      </c>
      <c r="AS376" t="s">
        <v>931</v>
      </c>
      <c r="AT376" t="s">
        <v>932</v>
      </c>
      <c r="AU376" t="s">
        <v>132</v>
      </c>
      <c r="AV376" t="s">
        <v>933</v>
      </c>
      <c r="AW376" t="s">
        <v>740</v>
      </c>
      <c r="AX376" s="8" t="str">
        <f>"50010"</f>
        <v>50010</v>
      </c>
      <c r="AY376" t="s">
        <v>118</v>
      </c>
      <c r="BA376" s="10">
        <v>15152324444</v>
      </c>
      <c r="BB376">
        <v>0</v>
      </c>
      <c r="BC376" t="s">
        <v>934</v>
      </c>
      <c r="BD376" t="s">
        <v>935</v>
      </c>
      <c r="BE376" t="s">
        <v>740</v>
      </c>
      <c r="BF376" t="s">
        <v>172</v>
      </c>
      <c r="BG376" t="s">
        <v>740</v>
      </c>
      <c r="BH376" s="1">
        <v>45246.791666666664</v>
      </c>
      <c r="BI376">
        <v>40</v>
      </c>
      <c r="BJ376">
        <v>0</v>
      </c>
      <c r="BK376">
        <v>8</v>
      </c>
      <c r="BL376">
        <v>8</v>
      </c>
      <c r="BM376">
        <v>8</v>
      </c>
      <c r="BN376">
        <v>8</v>
      </c>
      <c r="BO376">
        <v>8</v>
      </c>
      <c r="BP376">
        <v>0</v>
      </c>
      <c r="BQ376" t="str">
        <f>"9:00 AM"</f>
        <v>9:00 AM</v>
      </c>
      <c r="BR376" t="str">
        <f>"5:00 PM"</f>
        <v>5:00 PM</v>
      </c>
      <c r="BS376" t="s">
        <v>131</v>
      </c>
      <c r="BT376">
        <v>0</v>
      </c>
      <c r="BU376">
        <v>0</v>
      </c>
      <c r="BV376" t="s">
        <v>114</v>
      </c>
      <c r="BX376" s="2" t="s">
        <v>10918</v>
      </c>
      <c r="BY376" t="s">
        <v>10919</v>
      </c>
      <c r="CA376" t="s">
        <v>10920</v>
      </c>
      <c r="CB376" t="s">
        <v>740</v>
      </c>
      <c r="CC376" s="8" t="str">
        <f>"50447"</f>
        <v>50447</v>
      </c>
      <c r="CD376" t="s">
        <v>2573</v>
      </c>
      <c r="CE376" t="s">
        <v>2289</v>
      </c>
      <c r="CF376" s="12">
        <v>15.93</v>
      </c>
      <c r="CG376" s="12">
        <v>15.93</v>
      </c>
      <c r="CH376" s="12">
        <v>23.9</v>
      </c>
      <c r="CI376" s="12">
        <v>23.9</v>
      </c>
      <c r="CJ376" t="s">
        <v>135</v>
      </c>
      <c r="CK376" t="s">
        <v>10921</v>
      </c>
      <c r="CL376" t="s">
        <v>10922</v>
      </c>
      <c r="CO376" t="s">
        <v>132</v>
      </c>
      <c r="CP376" t="s">
        <v>136</v>
      </c>
      <c r="CQ376" t="s">
        <v>136</v>
      </c>
      <c r="CR376" t="s">
        <v>136</v>
      </c>
      <c r="CS376" t="s">
        <v>136</v>
      </c>
      <c r="CT376" t="s">
        <v>136</v>
      </c>
      <c r="CU376" t="s">
        <v>136</v>
      </c>
      <c r="CV376" s="2" t="s">
        <v>10923</v>
      </c>
      <c r="CW376" s="10" t="str">
        <f>"+15155749526"</f>
        <v>+15155749526</v>
      </c>
      <c r="CX376" t="s">
        <v>10917</v>
      </c>
      <c r="CY376" t="s">
        <v>132</v>
      </c>
      <c r="CZ376" t="s">
        <v>137</v>
      </c>
      <c r="DA376" t="s">
        <v>114</v>
      </c>
      <c r="DB376" t="s">
        <v>136</v>
      </c>
      <c r="DC376" t="s">
        <v>136</v>
      </c>
      <c r="DD376" t="s">
        <v>114</v>
      </c>
    </row>
    <row r="377" spans="1:113" ht="15" customHeight="1" x14ac:dyDescent="0.25">
      <c r="A377" t="s">
        <v>15191</v>
      </c>
      <c r="B377" t="s">
        <v>152</v>
      </c>
      <c r="C377" s="1">
        <v>45247.516458680555</v>
      </c>
      <c r="D377" s="1">
        <v>45274</v>
      </c>
      <c r="E377" t="s">
        <v>132</v>
      </c>
      <c r="F377" t="s">
        <v>293</v>
      </c>
      <c r="G377" t="str">
        <f>"37-2012.00"</f>
        <v>37-2012.00</v>
      </c>
      <c r="H377" t="s">
        <v>205</v>
      </c>
      <c r="I377">
        <v>6</v>
      </c>
      <c r="J377">
        <v>6</v>
      </c>
      <c r="K377" s="1">
        <v>45337</v>
      </c>
      <c r="L377" s="1">
        <v>45626</v>
      </c>
      <c r="M377" s="1">
        <v>45337</v>
      </c>
      <c r="N377" s="1">
        <v>45626</v>
      </c>
      <c r="O377" t="s">
        <v>116</v>
      </c>
      <c r="P377" t="s">
        <v>15192</v>
      </c>
      <c r="Q377" t="s">
        <v>15193</v>
      </c>
      <c r="R377" t="s">
        <v>15194</v>
      </c>
      <c r="T377" t="s">
        <v>11093</v>
      </c>
      <c r="U377" t="s">
        <v>211</v>
      </c>
      <c r="V377" s="8" t="str">
        <f>"84775"</f>
        <v>84775</v>
      </c>
      <c r="W377" t="s">
        <v>118</v>
      </c>
      <c r="Y377" s="10">
        <v>18018976739</v>
      </c>
      <c r="AA377">
        <v>72111</v>
      </c>
      <c r="AB377" t="s">
        <v>3446</v>
      </c>
      <c r="AC377" t="s">
        <v>2153</v>
      </c>
      <c r="AD377" t="s">
        <v>132</v>
      </c>
      <c r="AE377" t="s">
        <v>561</v>
      </c>
      <c r="AF377" t="s">
        <v>15194</v>
      </c>
      <c r="AH377" t="s">
        <v>11093</v>
      </c>
      <c r="AI377" t="s">
        <v>211</v>
      </c>
      <c r="AJ377" s="8" t="str">
        <f>"84775"</f>
        <v>84775</v>
      </c>
      <c r="AK377" t="s">
        <v>118</v>
      </c>
      <c r="AM377" s="10">
        <v>18018976739</v>
      </c>
      <c r="AO377" t="s">
        <v>15195</v>
      </c>
      <c r="AP377" t="s">
        <v>248</v>
      </c>
      <c r="AQ377" t="s">
        <v>3008</v>
      </c>
      <c r="AR377" t="s">
        <v>3009</v>
      </c>
      <c r="AS377" t="s">
        <v>132</v>
      </c>
      <c r="AT377" t="s">
        <v>1253</v>
      </c>
      <c r="AU377" t="s">
        <v>852</v>
      </c>
      <c r="AV377" t="s">
        <v>853</v>
      </c>
      <c r="AW377" t="s">
        <v>854</v>
      </c>
      <c r="AX377" s="8" t="str">
        <f>"83814"</f>
        <v>83814</v>
      </c>
      <c r="AY377" t="s">
        <v>118</v>
      </c>
      <c r="BA377" s="10">
        <v>12087772654</v>
      </c>
      <c r="BC377" t="s">
        <v>3010</v>
      </c>
      <c r="BD377" t="s">
        <v>856</v>
      </c>
      <c r="BG377" t="s">
        <v>211</v>
      </c>
      <c r="BH377" s="1">
        <v>45245.791666666664</v>
      </c>
      <c r="BI377">
        <v>35</v>
      </c>
      <c r="BJ377">
        <v>0</v>
      </c>
      <c r="BK377">
        <v>7</v>
      </c>
      <c r="BL377">
        <v>7</v>
      </c>
      <c r="BM377">
        <v>7</v>
      </c>
      <c r="BN377">
        <v>7</v>
      </c>
      <c r="BO377">
        <v>7</v>
      </c>
      <c r="BP377">
        <v>0</v>
      </c>
      <c r="BQ377" t="str">
        <f>"7:00 AM"</f>
        <v>7:00 AM</v>
      </c>
      <c r="BR377" t="str">
        <f>"3:00 PM"</f>
        <v>3:00 PM</v>
      </c>
      <c r="BS377" t="s">
        <v>131</v>
      </c>
      <c r="BT377">
        <v>0</v>
      </c>
      <c r="BU377">
        <v>0</v>
      </c>
      <c r="BV377" t="s">
        <v>114</v>
      </c>
      <c r="BX377" t="s">
        <v>7903</v>
      </c>
      <c r="BY377" t="s">
        <v>15196</v>
      </c>
      <c r="CA377" t="s">
        <v>11093</v>
      </c>
      <c r="CB377" t="s">
        <v>211</v>
      </c>
      <c r="CC377" s="8" t="str">
        <f>"84775"</f>
        <v>84775</v>
      </c>
      <c r="CD377" t="s">
        <v>1735</v>
      </c>
      <c r="CE377" t="s">
        <v>5363</v>
      </c>
      <c r="CF377" s="12">
        <v>14.48</v>
      </c>
      <c r="CG377" s="12">
        <v>16</v>
      </c>
      <c r="CH377" s="12">
        <v>21.72</v>
      </c>
      <c r="CI377" s="12">
        <v>24</v>
      </c>
      <c r="CJ377" t="s">
        <v>135</v>
      </c>
      <c r="CK377" t="s">
        <v>1899</v>
      </c>
      <c r="CL377" t="s">
        <v>15197</v>
      </c>
      <c r="CO377" t="s">
        <v>132</v>
      </c>
      <c r="CP377" t="s">
        <v>114</v>
      </c>
      <c r="CQ377" t="s">
        <v>114</v>
      </c>
      <c r="CR377" t="s">
        <v>136</v>
      </c>
      <c r="CS377" t="s">
        <v>136</v>
      </c>
      <c r="CT377" t="s">
        <v>136</v>
      </c>
      <c r="CU377" t="s">
        <v>136</v>
      </c>
      <c r="CV377" t="s">
        <v>15198</v>
      </c>
      <c r="CW377" s="10" t="str">
        <f>"+18018976739"</f>
        <v>+18018976739</v>
      </c>
      <c r="CX377" t="s">
        <v>15195</v>
      </c>
      <c r="CY377" t="s">
        <v>132</v>
      </c>
      <c r="CZ377" t="s">
        <v>137</v>
      </c>
      <c r="DA377" t="s">
        <v>114</v>
      </c>
      <c r="DB377" t="s">
        <v>136</v>
      </c>
      <c r="DC377" t="s">
        <v>136</v>
      </c>
      <c r="DD377" t="s">
        <v>114</v>
      </c>
    </row>
    <row r="378" spans="1:113" ht="15" customHeight="1" x14ac:dyDescent="0.25">
      <c r="A378" t="s">
        <v>12201</v>
      </c>
      <c r="B378" t="s">
        <v>152</v>
      </c>
      <c r="C378" s="1">
        <v>45247.285304050929</v>
      </c>
      <c r="D378" s="1">
        <v>45274</v>
      </c>
      <c r="E378" t="s">
        <v>132</v>
      </c>
      <c r="F378" t="s">
        <v>236</v>
      </c>
      <c r="G378" t="str">
        <f>"39-3091.00"</f>
        <v>39-3091.00</v>
      </c>
      <c r="H378" t="s">
        <v>237</v>
      </c>
      <c r="I378">
        <v>30</v>
      </c>
      <c r="J378">
        <v>30</v>
      </c>
      <c r="K378" s="1">
        <v>45337</v>
      </c>
      <c r="L378" s="1">
        <v>45632</v>
      </c>
      <c r="M378" s="1">
        <v>45337</v>
      </c>
      <c r="N378" s="1">
        <v>45632</v>
      </c>
      <c r="O378" t="s">
        <v>238</v>
      </c>
      <c r="P378" t="s">
        <v>12202</v>
      </c>
      <c r="Q378" t="s">
        <v>12203</v>
      </c>
      <c r="R378" t="s">
        <v>12204</v>
      </c>
      <c r="T378" t="s">
        <v>12205</v>
      </c>
      <c r="U378" t="s">
        <v>375</v>
      </c>
      <c r="V378" s="8" t="str">
        <f>"27525"</f>
        <v>27525</v>
      </c>
      <c r="W378" t="s">
        <v>118</v>
      </c>
      <c r="Y378" s="10">
        <v>19195291081</v>
      </c>
      <c r="AA378">
        <v>71399</v>
      </c>
      <c r="AB378" t="s">
        <v>12206</v>
      </c>
      <c r="AC378" t="s">
        <v>1995</v>
      </c>
      <c r="AD378" t="s">
        <v>631</v>
      </c>
      <c r="AE378" t="s">
        <v>561</v>
      </c>
      <c r="AF378" t="s">
        <v>12204</v>
      </c>
      <c r="AH378" t="s">
        <v>12205</v>
      </c>
      <c r="AI378" t="s">
        <v>375</v>
      </c>
      <c r="AJ378" s="8" t="str">
        <f>"27525"</f>
        <v>27525</v>
      </c>
      <c r="AK378" t="s">
        <v>118</v>
      </c>
      <c r="AM378" s="10">
        <v>19194144771</v>
      </c>
      <c r="AO378" t="s">
        <v>12207</v>
      </c>
      <c r="AP378" t="s">
        <v>248</v>
      </c>
      <c r="AQ378" t="s">
        <v>249</v>
      </c>
      <c r="AR378" t="s">
        <v>250</v>
      </c>
      <c r="AS378" t="s">
        <v>251</v>
      </c>
      <c r="AT378" t="s">
        <v>252</v>
      </c>
      <c r="AU378" t="s">
        <v>253</v>
      </c>
      <c r="AV378" t="s">
        <v>254</v>
      </c>
      <c r="AW378" t="s">
        <v>127</v>
      </c>
      <c r="AX378" s="8" t="str">
        <f>"78550"</f>
        <v>78550</v>
      </c>
      <c r="AY378" t="s">
        <v>118</v>
      </c>
      <c r="AZ378" t="s">
        <v>255</v>
      </c>
      <c r="BA378" s="10">
        <v>19564408720</v>
      </c>
      <c r="BB378" s="3" t="s">
        <v>256</v>
      </c>
      <c r="BC378" t="s">
        <v>257</v>
      </c>
      <c r="BD378" t="s">
        <v>258</v>
      </c>
      <c r="BG378" t="s">
        <v>375</v>
      </c>
      <c r="BH378" s="1">
        <v>45246.791666666664</v>
      </c>
      <c r="BI378">
        <v>40</v>
      </c>
      <c r="BJ378">
        <v>8</v>
      </c>
      <c r="BK378">
        <v>0</v>
      </c>
      <c r="BL378">
        <v>0</v>
      </c>
      <c r="BM378">
        <v>8</v>
      </c>
      <c r="BN378">
        <v>8</v>
      </c>
      <c r="BO378">
        <v>8</v>
      </c>
      <c r="BP378">
        <v>8</v>
      </c>
      <c r="BQ378" t="str">
        <f>"1:00 PM"</f>
        <v>1:00 PM</v>
      </c>
      <c r="BR378" t="str">
        <f>"10:00 PM"</f>
        <v>10:00 PM</v>
      </c>
      <c r="BS378" t="s">
        <v>131</v>
      </c>
      <c r="BT378">
        <v>0</v>
      </c>
      <c r="BU378">
        <v>0</v>
      </c>
      <c r="BV378" t="s">
        <v>114</v>
      </c>
      <c r="BX378" s="2" t="s">
        <v>259</v>
      </c>
      <c r="BY378" t="s">
        <v>12208</v>
      </c>
      <c r="CA378" t="s">
        <v>12205</v>
      </c>
      <c r="CB378" t="s">
        <v>375</v>
      </c>
      <c r="CC378" s="8" t="str">
        <f>"27525"</f>
        <v>27525</v>
      </c>
      <c r="CD378" t="s">
        <v>535</v>
      </c>
      <c r="CE378" t="s">
        <v>392</v>
      </c>
      <c r="CF378" s="12">
        <v>10.1</v>
      </c>
      <c r="CG378" s="12">
        <v>13.8</v>
      </c>
      <c r="CJ378" t="s">
        <v>135</v>
      </c>
      <c r="CK378" t="s">
        <v>264</v>
      </c>
      <c r="CL378" t="s">
        <v>12209</v>
      </c>
      <c r="CO378" t="s">
        <v>132</v>
      </c>
      <c r="CP378" t="s">
        <v>136</v>
      </c>
      <c r="CQ378" t="s">
        <v>136</v>
      </c>
      <c r="CR378" t="s">
        <v>114</v>
      </c>
      <c r="CS378" t="s">
        <v>136</v>
      </c>
      <c r="CT378" t="s">
        <v>136</v>
      </c>
      <c r="CU378" t="s">
        <v>136</v>
      </c>
      <c r="CV378" t="s">
        <v>266</v>
      </c>
      <c r="CW378" s="10" t="str">
        <f>"+19195291081"</f>
        <v>+19195291081</v>
      </c>
      <c r="CX378" t="s">
        <v>12207</v>
      </c>
      <c r="CY378" t="s">
        <v>132</v>
      </c>
      <c r="CZ378" t="s">
        <v>137</v>
      </c>
      <c r="DA378" t="s">
        <v>114</v>
      </c>
      <c r="DB378" t="s">
        <v>136</v>
      </c>
      <c r="DC378" t="s">
        <v>136</v>
      </c>
      <c r="DD378" t="s">
        <v>114</v>
      </c>
    </row>
    <row r="379" spans="1:113" ht="15" customHeight="1" x14ac:dyDescent="0.25">
      <c r="A379" t="s">
        <v>16257</v>
      </c>
      <c r="B379" t="s">
        <v>152</v>
      </c>
      <c r="C379" s="1">
        <v>45247.004489699073</v>
      </c>
      <c r="D379" s="1">
        <v>45274</v>
      </c>
      <c r="E379" t="s">
        <v>132</v>
      </c>
      <c r="F379" t="s">
        <v>1595</v>
      </c>
      <c r="G379" t="str">
        <f>"37-3011.00"</f>
        <v>37-3011.00</v>
      </c>
      <c r="H379" t="s">
        <v>429</v>
      </c>
      <c r="I379">
        <v>6</v>
      </c>
      <c r="J379">
        <v>6</v>
      </c>
      <c r="K379" s="1">
        <v>45337</v>
      </c>
      <c r="L379" s="1">
        <v>45640</v>
      </c>
      <c r="M379" s="1">
        <v>45337</v>
      </c>
      <c r="N379" s="1">
        <v>45640</v>
      </c>
      <c r="O379" t="s">
        <v>238</v>
      </c>
      <c r="P379" t="s">
        <v>16258</v>
      </c>
      <c r="R379" t="s">
        <v>16259</v>
      </c>
      <c r="T379" t="s">
        <v>1854</v>
      </c>
      <c r="U379" t="s">
        <v>984</v>
      </c>
      <c r="V379" s="8" t="str">
        <f>"63366"</f>
        <v>63366</v>
      </c>
      <c r="W379" t="s">
        <v>118</v>
      </c>
      <c r="Y379" s="10">
        <v>13146107944</v>
      </c>
      <c r="AA379">
        <v>56173</v>
      </c>
      <c r="AB379" t="s">
        <v>16260</v>
      </c>
      <c r="AC379" t="s">
        <v>508</v>
      </c>
      <c r="AE379" t="s">
        <v>2405</v>
      </c>
      <c r="AF379" t="s">
        <v>16259</v>
      </c>
      <c r="AH379" t="s">
        <v>1854</v>
      </c>
      <c r="AI379" t="s">
        <v>984</v>
      </c>
      <c r="AJ379" s="8" t="str">
        <f>"63366"</f>
        <v>63366</v>
      </c>
      <c r="AK379" t="s">
        <v>118</v>
      </c>
      <c r="AM379" s="10">
        <v>13146107944</v>
      </c>
      <c r="AO379" t="s">
        <v>16261</v>
      </c>
      <c r="AP379" t="s">
        <v>248</v>
      </c>
      <c r="AQ379" t="s">
        <v>2732</v>
      </c>
      <c r="AR379" t="s">
        <v>2733</v>
      </c>
      <c r="AT379" t="s">
        <v>1253</v>
      </c>
      <c r="AU379" t="s">
        <v>852</v>
      </c>
      <c r="AV379" t="s">
        <v>853</v>
      </c>
      <c r="AW379" t="s">
        <v>854</v>
      </c>
      <c r="AX379" s="8" t="str">
        <f>"83814"</f>
        <v>83814</v>
      </c>
      <c r="AY379" t="s">
        <v>118</v>
      </c>
      <c r="BA379" s="10">
        <v>12087772654</v>
      </c>
      <c r="BC379" t="s">
        <v>2734</v>
      </c>
      <c r="BD379" t="s">
        <v>856</v>
      </c>
      <c r="BG379" t="s">
        <v>984</v>
      </c>
      <c r="BH379" s="1">
        <v>45245.791666666664</v>
      </c>
      <c r="BI379">
        <v>40</v>
      </c>
      <c r="BJ379">
        <v>0</v>
      </c>
      <c r="BK379">
        <v>8</v>
      </c>
      <c r="BL379">
        <v>8</v>
      </c>
      <c r="BM379">
        <v>8</v>
      </c>
      <c r="BN379">
        <v>8</v>
      </c>
      <c r="BO379">
        <v>8</v>
      </c>
      <c r="BP379">
        <v>0</v>
      </c>
      <c r="BQ379" t="str">
        <f>"7:00 AM"</f>
        <v>7:00 AM</v>
      </c>
      <c r="BR379" t="str">
        <f>"4:00 PM"</f>
        <v>4:00 PM</v>
      </c>
      <c r="BS379" t="s">
        <v>131</v>
      </c>
      <c r="BT379">
        <v>0</v>
      </c>
      <c r="BU379">
        <v>0</v>
      </c>
      <c r="BV379" t="s">
        <v>114</v>
      </c>
      <c r="BX379" t="s">
        <v>2670</v>
      </c>
      <c r="BY379" t="s">
        <v>16262</v>
      </c>
      <c r="CA379" t="s">
        <v>1854</v>
      </c>
      <c r="CB379" t="s">
        <v>984</v>
      </c>
      <c r="CC379" s="8" t="str">
        <f>"63366"</f>
        <v>63366</v>
      </c>
      <c r="CD379" t="s">
        <v>1855</v>
      </c>
      <c r="CE379" t="s">
        <v>1856</v>
      </c>
      <c r="CF379" s="12">
        <v>17.579999999999998</v>
      </c>
      <c r="CH379" s="12">
        <v>26.37</v>
      </c>
      <c r="CJ379" t="s">
        <v>135</v>
      </c>
      <c r="CK379" t="s">
        <v>132</v>
      </c>
      <c r="CL379" t="s">
        <v>16263</v>
      </c>
      <c r="CO379" t="s">
        <v>132</v>
      </c>
      <c r="CP379" t="s">
        <v>136</v>
      </c>
      <c r="CQ379" t="s">
        <v>136</v>
      </c>
      <c r="CR379" t="s">
        <v>136</v>
      </c>
      <c r="CS379" t="s">
        <v>136</v>
      </c>
      <c r="CT379" t="s">
        <v>136</v>
      </c>
      <c r="CU379" t="s">
        <v>114</v>
      </c>
      <c r="CV379" t="s">
        <v>132</v>
      </c>
      <c r="CW379" s="10" t="str">
        <f>"+13149565419"</f>
        <v>+13149565419</v>
      </c>
      <c r="CX379" t="s">
        <v>16261</v>
      </c>
      <c r="CY379" t="s">
        <v>132</v>
      </c>
      <c r="CZ379" t="s">
        <v>137</v>
      </c>
      <c r="DA379" t="s">
        <v>114</v>
      </c>
      <c r="DB379" t="s">
        <v>136</v>
      </c>
      <c r="DC379" t="s">
        <v>136</v>
      </c>
      <c r="DD379" t="s">
        <v>114</v>
      </c>
    </row>
    <row r="380" spans="1:113" ht="15" customHeight="1" x14ac:dyDescent="0.25">
      <c r="A380" t="s">
        <v>13899</v>
      </c>
      <c r="B380" t="s">
        <v>152</v>
      </c>
      <c r="C380" s="1">
        <v>45247.003360995368</v>
      </c>
      <c r="D380" s="1">
        <v>45274</v>
      </c>
      <c r="E380" t="s">
        <v>132</v>
      </c>
      <c r="F380" t="s">
        <v>1595</v>
      </c>
      <c r="G380" t="str">
        <f>"37-3011.00"</f>
        <v>37-3011.00</v>
      </c>
      <c r="H380" t="s">
        <v>429</v>
      </c>
      <c r="I380">
        <v>38</v>
      </c>
      <c r="J380">
        <v>38</v>
      </c>
      <c r="K380" s="1">
        <v>45337</v>
      </c>
      <c r="L380" s="1">
        <v>45640</v>
      </c>
      <c r="M380" s="1">
        <v>45337</v>
      </c>
      <c r="N380" s="1">
        <v>45640</v>
      </c>
      <c r="O380" t="s">
        <v>238</v>
      </c>
      <c r="P380" t="s">
        <v>13900</v>
      </c>
      <c r="R380" t="s">
        <v>13901</v>
      </c>
      <c r="T380" t="s">
        <v>5635</v>
      </c>
      <c r="U380" t="s">
        <v>984</v>
      </c>
      <c r="V380" s="8" t="str">
        <f>"63005"</f>
        <v>63005</v>
      </c>
      <c r="W380" t="s">
        <v>118</v>
      </c>
      <c r="Y380" s="10">
        <v>13145682719</v>
      </c>
      <c r="AA380">
        <v>56173</v>
      </c>
      <c r="AB380" t="s">
        <v>5062</v>
      </c>
      <c r="AC380" t="s">
        <v>3265</v>
      </c>
      <c r="AE380" t="s">
        <v>629</v>
      </c>
      <c r="AF380" t="s">
        <v>13901</v>
      </c>
      <c r="AH380" t="s">
        <v>5635</v>
      </c>
      <c r="AI380" t="s">
        <v>984</v>
      </c>
      <c r="AJ380" s="8" t="str">
        <f>"63005"</f>
        <v>63005</v>
      </c>
      <c r="AK380" t="s">
        <v>118</v>
      </c>
      <c r="AM380" s="10">
        <v>13145682719</v>
      </c>
      <c r="AO380" t="s">
        <v>13902</v>
      </c>
      <c r="AP380" t="s">
        <v>248</v>
      </c>
      <c r="AQ380" t="s">
        <v>2732</v>
      </c>
      <c r="AR380" t="s">
        <v>2733</v>
      </c>
      <c r="AT380" t="s">
        <v>1253</v>
      </c>
      <c r="AU380" t="s">
        <v>852</v>
      </c>
      <c r="AV380" t="s">
        <v>853</v>
      </c>
      <c r="AW380" t="s">
        <v>854</v>
      </c>
      <c r="AX380" s="8" t="str">
        <f>"83814"</f>
        <v>83814</v>
      </c>
      <c r="AY380" t="s">
        <v>118</v>
      </c>
      <c r="BA380" s="10">
        <v>12087772654</v>
      </c>
      <c r="BC380" t="s">
        <v>2734</v>
      </c>
      <c r="BD380" t="s">
        <v>856</v>
      </c>
      <c r="BG380" t="s">
        <v>984</v>
      </c>
      <c r="BH380" s="1">
        <v>45245.791666666664</v>
      </c>
      <c r="BI380">
        <v>40</v>
      </c>
      <c r="BJ380">
        <v>0</v>
      </c>
      <c r="BK380">
        <v>8</v>
      </c>
      <c r="BL380">
        <v>8</v>
      </c>
      <c r="BM380">
        <v>8</v>
      </c>
      <c r="BN380">
        <v>8</v>
      </c>
      <c r="BO380">
        <v>8</v>
      </c>
      <c r="BP380">
        <v>0</v>
      </c>
      <c r="BQ380" t="str">
        <f>"8:00 AM"</f>
        <v>8:00 AM</v>
      </c>
      <c r="BR380" t="str">
        <f>"5:00 PM"</f>
        <v>5:00 PM</v>
      </c>
      <c r="BS380" t="s">
        <v>131</v>
      </c>
      <c r="BT380">
        <v>0</v>
      </c>
      <c r="BU380">
        <v>0</v>
      </c>
      <c r="BV380" t="s">
        <v>114</v>
      </c>
      <c r="BX380" t="s">
        <v>13903</v>
      </c>
      <c r="BY380" t="s">
        <v>13904</v>
      </c>
      <c r="CA380" t="s">
        <v>3569</v>
      </c>
      <c r="CB380" t="s">
        <v>984</v>
      </c>
      <c r="CC380" s="8" t="str">
        <f>"63005"</f>
        <v>63005</v>
      </c>
      <c r="CD380" t="s">
        <v>2851</v>
      </c>
      <c r="CE380" t="s">
        <v>1856</v>
      </c>
      <c r="CF380" s="12">
        <v>17.579999999999998</v>
      </c>
      <c r="CG380" s="12">
        <v>19.399999999999999</v>
      </c>
      <c r="CH380" s="12">
        <v>26.37</v>
      </c>
      <c r="CI380" s="12">
        <v>29.1</v>
      </c>
      <c r="CJ380" t="s">
        <v>135</v>
      </c>
      <c r="CK380" t="s">
        <v>1899</v>
      </c>
      <c r="CL380" t="s">
        <v>13905</v>
      </c>
      <c r="CO380" t="s">
        <v>132</v>
      </c>
      <c r="CP380" t="s">
        <v>136</v>
      </c>
      <c r="CQ380" t="s">
        <v>136</v>
      </c>
      <c r="CR380" t="s">
        <v>136</v>
      </c>
      <c r="CS380" t="s">
        <v>136</v>
      </c>
      <c r="CT380" t="s">
        <v>136</v>
      </c>
      <c r="CU380" t="s">
        <v>114</v>
      </c>
      <c r="CV380" t="s">
        <v>1040</v>
      </c>
      <c r="CW380" s="10" t="str">
        <f>"+13145682719"</f>
        <v>+13145682719</v>
      </c>
      <c r="CX380" t="s">
        <v>13902</v>
      </c>
      <c r="CY380" t="s">
        <v>132</v>
      </c>
      <c r="CZ380" t="s">
        <v>137</v>
      </c>
      <c r="DA380" t="s">
        <v>114</v>
      </c>
      <c r="DB380" t="s">
        <v>136</v>
      </c>
      <c r="DC380" t="s">
        <v>136</v>
      </c>
      <c r="DD380" t="s">
        <v>114</v>
      </c>
    </row>
    <row r="381" spans="1:113" ht="15" customHeight="1" x14ac:dyDescent="0.25">
      <c r="A381" t="s">
        <v>21295</v>
      </c>
      <c r="B381" t="s">
        <v>152</v>
      </c>
      <c r="C381" s="1">
        <v>45247.002923958331</v>
      </c>
      <c r="D381" s="1">
        <v>45274</v>
      </c>
      <c r="E381" t="s">
        <v>132</v>
      </c>
      <c r="F381" t="s">
        <v>1595</v>
      </c>
      <c r="G381" t="str">
        <f>"37-3011.00"</f>
        <v>37-3011.00</v>
      </c>
      <c r="H381" t="s">
        <v>429</v>
      </c>
      <c r="I381">
        <v>8</v>
      </c>
      <c r="J381">
        <v>8</v>
      </c>
      <c r="K381" s="1">
        <v>45337</v>
      </c>
      <c r="L381" s="1">
        <v>45626</v>
      </c>
      <c r="M381" s="1">
        <v>45337</v>
      </c>
      <c r="N381" s="1">
        <v>45626</v>
      </c>
      <c r="O381" t="s">
        <v>238</v>
      </c>
      <c r="P381" t="s">
        <v>21296</v>
      </c>
      <c r="R381" t="s">
        <v>21297</v>
      </c>
      <c r="T381" t="s">
        <v>13635</v>
      </c>
      <c r="U381" t="s">
        <v>984</v>
      </c>
      <c r="V381" s="8" t="str">
        <f>"63021"</f>
        <v>63021</v>
      </c>
      <c r="W381" t="s">
        <v>118</v>
      </c>
      <c r="Y381" s="10">
        <v>16365307663</v>
      </c>
      <c r="AA381">
        <v>56173</v>
      </c>
      <c r="AB381" t="s">
        <v>21298</v>
      </c>
      <c r="AC381" t="s">
        <v>6015</v>
      </c>
      <c r="AE381" t="s">
        <v>794</v>
      </c>
      <c r="AF381" t="s">
        <v>21297</v>
      </c>
      <c r="AH381" t="s">
        <v>13635</v>
      </c>
      <c r="AI381" t="s">
        <v>984</v>
      </c>
      <c r="AJ381" s="8" t="str">
        <f>"63021"</f>
        <v>63021</v>
      </c>
      <c r="AK381" t="s">
        <v>118</v>
      </c>
      <c r="AM381" s="10">
        <v>16365307663</v>
      </c>
      <c r="AO381" t="s">
        <v>21299</v>
      </c>
      <c r="AP381" t="s">
        <v>248</v>
      </c>
      <c r="AQ381" t="s">
        <v>2732</v>
      </c>
      <c r="AR381" t="s">
        <v>2733</v>
      </c>
      <c r="AT381" t="s">
        <v>1253</v>
      </c>
      <c r="AU381" t="s">
        <v>852</v>
      </c>
      <c r="AV381" t="s">
        <v>853</v>
      </c>
      <c r="AW381" t="s">
        <v>854</v>
      </c>
      <c r="AX381" s="8" t="str">
        <f>"83814"</f>
        <v>83814</v>
      </c>
      <c r="AY381" t="s">
        <v>118</v>
      </c>
      <c r="BA381" s="10">
        <v>12087772654</v>
      </c>
      <c r="BC381" t="s">
        <v>2734</v>
      </c>
      <c r="BD381" t="s">
        <v>856</v>
      </c>
      <c r="BG381" t="s">
        <v>984</v>
      </c>
      <c r="BH381" s="1">
        <v>45245.791666666664</v>
      </c>
      <c r="BI381">
        <v>40</v>
      </c>
      <c r="BJ381">
        <v>0</v>
      </c>
      <c r="BK381">
        <v>8</v>
      </c>
      <c r="BL381">
        <v>8</v>
      </c>
      <c r="BM381">
        <v>8</v>
      </c>
      <c r="BN381">
        <v>8</v>
      </c>
      <c r="BO381">
        <v>8</v>
      </c>
      <c r="BP381">
        <v>0</v>
      </c>
      <c r="BQ381" t="str">
        <f>"8:00 AM"</f>
        <v>8:00 AM</v>
      </c>
      <c r="BR381" t="str">
        <f>"5:00 PM"</f>
        <v>5:00 PM</v>
      </c>
      <c r="BS381" t="s">
        <v>131</v>
      </c>
      <c r="BT381">
        <v>0</v>
      </c>
      <c r="BU381">
        <v>0</v>
      </c>
      <c r="BV381" t="s">
        <v>114</v>
      </c>
      <c r="BX381" t="s">
        <v>21300</v>
      </c>
      <c r="BY381" t="s">
        <v>21301</v>
      </c>
      <c r="CA381" t="s">
        <v>13635</v>
      </c>
      <c r="CB381" t="s">
        <v>984</v>
      </c>
      <c r="CC381" s="8" t="str">
        <f>"63021"</f>
        <v>63021</v>
      </c>
      <c r="CD381" t="s">
        <v>2851</v>
      </c>
      <c r="CE381" t="s">
        <v>1856</v>
      </c>
      <c r="CF381" s="12">
        <v>17.579999999999998</v>
      </c>
      <c r="CG381" s="12">
        <v>18</v>
      </c>
      <c r="CH381" s="12">
        <v>26.37</v>
      </c>
      <c r="CI381" s="12">
        <v>27</v>
      </c>
      <c r="CJ381" t="s">
        <v>135</v>
      </c>
      <c r="CK381" t="s">
        <v>1899</v>
      </c>
      <c r="CL381" t="s">
        <v>21302</v>
      </c>
      <c r="CO381" t="s">
        <v>132</v>
      </c>
      <c r="CP381" t="s">
        <v>136</v>
      </c>
      <c r="CQ381" t="s">
        <v>136</v>
      </c>
      <c r="CR381" t="s">
        <v>136</v>
      </c>
      <c r="CS381" t="s">
        <v>136</v>
      </c>
      <c r="CT381" t="s">
        <v>136</v>
      </c>
      <c r="CU381" t="s">
        <v>136</v>
      </c>
      <c r="CV381" t="s">
        <v>21303</v>
      </c>
      <c r="CW381" s="10" t="str">
        <f>"+16365307663"</f>
        <v>+16365307663</v>
      </c>
      <c r="CX381" t="s">
        <v>21304</v>
      </c>
      <c r="CY381" t="s">
        <v>132</v>
      </c>
      <c r="CZ381" t="s">
        <v>137</v>
      </c>
      <c r="DA381" t="s">
        <v>114</v>
      </c>
      <c r="DB381" t="s">
        <v>136</v>
      </c>
      <c r="DC381" t="s">
        <v>136</v>
      </c>
      <c r="DD381" t="s">
        <v>114</v>
      </c>
    </row>
    <row r="382" spans="1:113" ht="15" customHeight="1" x14ac:dyDescent="0.25">
      <c r="A382" t="s">
        <v>20097</v>
      </c>
      <c r="B382" t="s">
        <v>152</v>
      </c>
      <c r="C382" s="1">
        <v>45247.002471180553</v>
      </c>
      <c r="D382" s="1">
        <v>45274</v>
      </c>
      <c r="E382" t="s">
        <v>132</v>
      </c>
      <c r="F382" t="s">
        <v>1595</v>
      </c>
      <c r="G382" t="str">
        <f>"37-3011.00"</f>
        <v>37-3011.00</v>
      </c>
      <c r="H382" t="s">
        <v>429</v>
      </c>
      <c r="I382">
        <v>28</v>
      </c>
      <c r="J382">
        <v>28</v>
      </c>
      <c r="K382" s="1">
        <v>45337</v>
      </c>
      <c r="L382" s="1">
        <v>45640</v>
      </c>
      <c r="M382" s="1">
        <v>45337</v>
      </c>
      <c r="N382" s="1">
        <v>45640</v>
      </c>
      <c r="O382" t="s">
        <v>116</v>
      </c>
      <c r="P382" t="s">
        <v>20098</v>
      </c>
      <c r="R382" t="s">
        <v>20099</v>
      </c>
      <c r="T382" t="s">
        <v>20100</v>
      </c>
      <c r="U382" t="s">
        <v>140</v>
      </c>
      <c r="V382" s="8" t="str">
        <f>"32514"</f>
        <v>32514</v>
      </c>
      <c r="W382" t="s">
        <v>118</v>
      </c>
      <c r="Y382" s="10">
        <v>18504336770</v>
      </c>
      <c r="AA382">
        <v>56173</v>
      </c>
      <c r="AB382" t="s">
        <v>5437</v>
      </c>
      <c r="AC382" t="s">
        <v>12712</v>
      </c>
      <c r="AE382" t="s">
        <v>629</v>
      </c>
      <c r="AF382" t="s">
        <v>20099</v>
      </c>
      <c r="AH382" t="s">
        <v>20100</v>
      </c>
      <c r="AI382" t="s">
        <v>140</v>
      </c>
      <c r="AJ382" s="8" t="str">
        <f>"32514"</f>
        <v>32514</v>
      </c>
      <c r="AK382" t="s">
        <v>118</v>
      </c>
      <c r="AM382" s="10">
        <v>18504336770</v>
      </c>
      <c r="AO382" t="s">
        <v>20101</v>
      </c>
      <c r="AP382" t="s">
        <v>248</v>
      </c>
      <c r="AQ382" t="s">
        <v>2732</v>
      </c>
      <c r="AR382" t="s">
        <v>2733</v>
      </c>
      <c r="AT382" t="s">
        <v>1253</v>
      </c>
      <c r="AU382" t="s">
        <v>852</v>
      </c>
      <c r="AV382" t="s">
        <v>853</v>
      </c>
      <c r="AW382" t="s">
        <v>854</v>
      </c>
      <c r="AX382" s="8" t="str">
        <f>"83814"</f>
        <v>83814</v>
      </c>
      <c r="AY382" t="s">
        <v>118</v>
      </c>
      <c r="BA382" s="10">
        <v>12087772654</v>
      </c>
      <c r="BC382" t="s">
        <v>2734</v>
      </c>
      <c r="BD382" t="s">
        <v>856</v>
      </c>
      <c r="BG382" t="s">
        <v>140</v>
      </c>
      <c r="BH382" s="1">
        <v>45245.791666666664</v>
      </c>
      <c r="BI382">
        <v>40</v>
      </c>
      <c r="BJ382">
        <v>0</v>
      </c>
      <c r="BK382">
        <v>8</v>
      </c>
      <c r="BL382">
        <v>8</v>
      </c>
      <c r="BM382">
        <v>8</v>
      </c>
      <c r="BN382">
        <v>8</v>
      </c>
      <c r="BO382">
        <v>8</v>
      </c>
      <c r="BP382">
        <v>0</v>
      </c>
      <c r="BQ382" t="str">
        <f>"7:00 AM"</f>
        <v>7:00 AM</v>
      </c>
      <c r="BR382" t="str">
        <f>"5:00 PM"</f>
        <v>5:00 PM</v>
      </c>
      <c r="BS382" t="s">
        <v>131</v>
      </c>
      <c r="BT382">
        <v>0</v>
      </c>
      <c r="BU382">
        <v>0</v>
      </c>
      <c r="BV382" t="s">
        <v>114</v>
      </c>
      <c r="BX382" t="s">
        <v>1604</v>
      </c>
      <c r="BY382" t="s">
        <v>20102</v>
      </c>
      <c r="CA382" t="s">
        <v>5536</v>
      </c>
      <c r="CB382" t="s">
        <v>140</v>
      </c>
      <c r="CC382" s="8" t="str">
        <f>"32514"</f>
        <v>32514</v>
      </c>
      <c r="CD382" t="s">
        <v>5537</v>
      </c>
      <c r="CE382" t="s">
        <v>5538</v>
      </c>
      <c r="CF382" s="12">
        <v>15.55</v>
      </c>
      <c r="CH382" s="12">
        <v>23.33</v>
      </c>
      <c r="CJ382" t="s">
        <v>135</v>
      </c>
      <c r="CK382" t="s">
        <v>132</v>
      </c>
      <c r="CL382" t="s">
        <v>20103</v>
      </c>
      <c r="CO382" t="s">
        <v>132</v>
      </c>
      <c r="CP382" t="s">
        <v>136</v>
      </c>
      <c r="CQ382" t="s">
        <v>136</v>
      </c>
      <c r="CR382" t="s">
        <v>136</v>
      </c>
      <c r="CS382" t="s">
        <v>136</v>
      </c>
      <c r="CT382" t="s">
        <v>136</v>
      </c>
      <c r="CU382" t="s">
        <v>136</v>
      </c>
      <c r="CV382" t="s">
        <v>20104</v>
      </c>
      <c r="CW382" s="10" t="str">
        <f>"+18504336770"</f>
        <v>+18504336770</v>
      </c>
      <c r="CX382" t="s">
        <v>20101</v>
      </c>
      <c r="CY382" t="s">
        <v>132</v>
      </c>
      <c r="CZ382" t="s">
        <v>137</v>
      </c>
      <c r="DA382" t="s">
        <v>114</v>
      </c>
      <c r="DB382" t="s">
        <v>136</v>
      </c>
      <c r="DC382" t="s">
        <v>136</v>
      </c>
      <c r="DD382" t="s">
        <v>114</v>
      </c>
    </row>
    <row r="383" spans="1:113" ht="15" customHeight="1" x14ac:dyDescent="0.25">
      <c r="A383" t="s">
        <v>22915</v>
      </c>
      <c r="B383" t="s">
        <v>152</v>
      </c>
      <c r="C383" s="1">
        <v>45247.002107060187</v>
      </c>
      <c r="D383" s="1">
        <v>45274</v>
      </c>
      <c r="E383" t="s">
        <v>132</v>
      </c>
      <c r="F383" t="s">
        <v>1595</v>
      </c>
      <c r="G383" t="str">
        <f>"37-3011.00"</f>
        <v>37-3011.00</v>
      </c>
      <c r="H383" t="s">
        <v>429</v>
      </c>
      <c r="I383">
        <v>6</v>
      </c>
      <c r="J383">
        <v>6</v>
      </c>
      <c r="K383" s="1">
        <v>45337</v>
      </c>
      <c r="L383" s="1">
        <v>45640</v>
      </c>
      <c r="M383" s="1">
        <v>45337</v>
      </c>
      <c r="N383" s="1">
        <v>45640</v>
      </c>
      <c r="O383" t="s">
        <v>116</v>
      </c>
      <c r="P383" t="s">
        <v>22916</v>
      </c>
      <c r="R383" t="s">
        <v>22917</v>
      </c>
      <c r="T383" t="s">
        <v>2189</v>
      </c>
      <c r="U383" t="s">
        <v>333</v>
      </c>
      <c r="V383" s="8" t="str">
        <f>"70507"</f>
        <v>70507</v>
      </c>
      <c r="W383" t="s">
        <v>118</v>
      </c>
      <c r="Y383" s="10">
        <v>13378861125</v>
      </c>
      <c r="AA383">
        <v>56173</v>
      </c>
      <c r="AB383" t="s">
        <v>22918</v>
      </c>
      <c r="AC383" t="s">
        <v>14485</v>
      </c>
      <c r="AE383" t="s">
        <v>561</v>
      </c>
      <c r="AF383" t="s">
        <v>22917</v>
      </c>
      <c r="AH383" t="s">
        <v>2189</v>
      </c>
      <c r="AI383" t="s">
        <v>333</v>
      </c>
      <c r="AJ383" s="8" t="str">
        <f>"70507"</f>
        <v>70507</v>
      </c>
      <c r="AK383" t="s">
        <v>118</v>
      </c>
      <c r="AM383" s="10">
        <v>13378861125</v>
      </c>
      <c r="AO383" t="s">
        <v>22919</v>
      </c>
      <c r="AP383" t="s">
        <v>248</v>
      </c>
      <c r="AQ383" t="s">
        <v>2699</v>
      </c>
      <c r="AR383" t="s">
        <v>2700</v>
      </c>
      <c r="AT383" t="s">
        <v>1253</v>
      </c>
      <c r="AU383" t="s">
        <v>852</v>
      </c>
      <c r="AV383" t="s">
        <v>853</v>
      </c>
      <c r="AW383" t="s">
        <v>854</v>
      </c>
      <c r="AX383" s="8" t="str">
        <f>"83814"</f>
        <v>83814</v>
      </c>
      <c r="AY383" t="s">
        <v>118</v>
      </c>
      <c r="BA383" s="10">
        <v>12087772654</v>
      </c>
      <c r="BC383" t="s">
        <v>2701</v>
      </c>
      <c r="BD383" t="s">
        <v>856</v>
      </c>
      <c r="BG383" t="s">
        <v>333</v>
      </c>
      <c r="BH383" s="1">
        <v>45245.791666666664</v>
      </c>
      <c r="BI383">
        <v>40</v>
      </c>
      <c r="BJ383">
        <v>0</v>
      </c>
      <c r="BK383">
        <v>8</v>
      </c>
      <c r="BL383">
        <v>8</v>
      </c>
      <c r="BM383">
        <v>8</v>
      </c>
      <c r="BN383">
        <v>8</v>
      </c>
      <c r="BO383">
        <v>8</v>
      </c>
      <c r="BP383">
        <v>0</v>
      </c>
      <c r="BQ383" t="str">
        <f>"7:00 AM"</f>
        <v>7:00 AM</v>
      </c>
      <c r="BR383" t="str">
        <f>"4:00 PM"</f>
        <v>4:00 PM</v>
      </c>
      <c r="BS383" t="s">
        <v>131</v>
      </c>
      <c r="BT383">
        <v>0</v>
      </c>
      <c r="BU383">
        <v>0</v>
      </c>
      <c r="BV383" t="s">
        <v>114</v>
      </c>
      <c r="BX383" t="s">
        <v>2088</v>
      </c>
      <c r="BY383" t="s">
        <v>22920</v>
      </c>
      <c r="CA383" t="s">
        <v>2189</v>
      </c>
      <c r="CB383" t="s">
        <v>333</v>
      </c>
      <c r="CC383" s="8" t="str">
        <f>"70507"</f>
        <v>70507</v>
      </c>
      <c r="CD383" t="s">
        <v>2900</v>
      </c>
      <c r="CE383" t="s">
        <v>1818</v>
      </c>
      <c r="CF383" s="12">
        <v>14.42</v>
      </c>
      <c r="CG383" s="12">
        <v>15.42</v>
      </c>
      <c r="CH383" s="12">
        <v>21.63</v>
      </c>
      <c r="CI383" s="12">
        <v>23.13</v>
      </c>
      <c r="CJ383" t="s">
        <v>135</v>
      </c>
      <c r="CK383" t="s">
        <v>1899</v>
      </c>
      <c r="CL383" t="s">
        <v>22921</v>
      </c>
      <c r="CO383" t="s">
        <v>132</v>
      </c>
      <c r="CP383" t="s">
        <v>136</v>
      </c>
      <c r="CQ383" t="s">
        <v>136</v>
      </c>
      <c r="CR383" t="s">
        <v>136</v>
      </c>
      <c r="CS383" t="s">
        <v>136</v>
      </c>
      <c r="CT383" t="s">
        <v>136</v>
      </c>
      <c r="CU383" t="s">
        <v>136</v>
      </c>
      <c r="CV383" t="s">
        <v>1040</v>
      </c>
      <c r="CW383" s="10" t="str">
        <f>"+13378861125"</f>
        <v>+13378861125</v>
      </c>
      <c r="CX383" t="s">
        <v>22922</v>
      </c>
      <c r="CY383" t="s">
        <v>132</v>
      </c>
      <c r="CZ383" t="s">
        <v>137</v>
      </c>
      <c r="DA383" t="s">
        <v>114</v>
      </c>
      <c r="DB383" t="s">
        <v>136</v>
      </c>
      <c r="DC383" t="s">
        <v>136</v>
      </c>
      <c r="DD383" t="s">
        <v>114</v>
      </c>
    </row>
    <row r="384" spans="1:113" ht="15" customHeight="1" x14ac:dyDescent="0.25">
      <c r="A384" t="s">
        <v>23029</v>
      </c>
      <c r="B384" t="s">
        <v>152</v>
      </c>
      <c r="C384" s="1">
        <v>45247.001806134256</v>
      </c>
      <c r="D384" s="1">
        <v>45274</v>
      </c>
      <c r="E384" t="s">
        <v>132</v>
      </c>
      <c r="F384" t="s">
        <v>1595</v>
      </c>
      <c r="G384" t="str">
        <f>"37-3011.00"</f>
        <v>37-3011.00</v>
      </c>
      <c r="H384" t="s">
        <v>429</v>
      </c>
      <c r="I384">
        <v>8</v>
      </c>
      <c r="J384">
        <v>8</v>
      </c>
      <c r="K384" s="1">
        <v>45337</v>
      </c>
      <c r="L384" s="1">
        <v>45640</v>
      </c>
      <c r="M384" s="1">
        <v>45337</v>
      </c>
      <c r="N384" s="1">
        <v>45640</v>
      </c>
      <c r="O384" t="s">
        <v>238</v>
      </c>
      <c r="P384" t="s">
        <v>23030</v>
      </c>
      <c r="R384" t="s">
        <v>23031</v>
      </c>
      <c r="T384" t="s">
        <v>10927</v>
      </c>
      <c r="U384" t="s">
        <v>1722</v>
      </c>
      <c r="V384" s="8" t="str">
        <f>"21014"</f>
        <v>21014</v>
      </c>
      <c r="W384" t="s">
        <v>118</v>
      </c>
      <c r="Y384" s="10">
        <v>14108381700</v>
      </c>
      <c r="AA384">
        <v>56173</v>
      </c>
      <c r="AB384" t="s">
        <v>23032</v>
      </c>
      <c r="AC384" t="s">
        <v>3279</v>
      </c>
      <c r="AE384" t="s">
        <v>561</v>
      </c>
      <c r="AF384" t="s">
        <v>23031</v>
      </c>
      <c r="AH384" t="s">
        <v>10927</v>
      </c>
      <c r="AI384" t="s">
        <v>1722</v>
      </c>
      <c r="AJ384" s="8" t="str">
        <f>"21014"</f>
        <v>21014</v>
      </c>
      <c r="AK384" t="s">
        <v>118</v>
      </c>
      <c r="AM384" s="10">
        <v>14108381700</v>
      </c>
      <c r="AO384" t="s">
        <v>23033</v>
      </c>
      <c r="AP384" t="s">
        <v>248</v>
      </c>
      <c r="AQ384" t="s">
        <v>2667</v>
      </c>
      <c r="AR384" t="s">
        <v>2668</v>
      </c>
      <c r="AT384" t="s">
        <v>1253</v>
      </c>
      <c r="AU384" t="s">
        <v>852</v>
      </c>
      <c r="AV384" t="s">
        <v>853</v>
      </c>
      <c r="AW384" t="s">
        <v>854</v>
      </c>
      <c r="AX384" s="8" t="str">
        <f>"83814"</f>
        <v>83814</v>
      </c>
      <c r="AY384" t="s">
        <v>118</v>
      </c>
      <c r="BA384" s="10">
        <v>12087772654</v>
      </c>
      <c r="BC384" t="s">
        <v>2669</v>
      </c>
      <c r="BD384" t="s">
        <v>856</v>
      </c>
      <c r="BG384" t="s">
        <v>1722</v>
      </c>
      <c r="BH384" s="1">
        <v>45245.791666666664</v>
      </c>
      <c r="BI384">
        <v>40</v>
      </c>
      <c r="BJ384">
        <v>0</v>
      </c>
      <c r="BK384">
        <v>8</v>
      </c>
      <c r="BL384">
        <v>8</v>
      </c>
      <c r="BM384">
        <v>8</v>
      </c>
      <c r="BN384">
        <v>8</v>
      </c>
      <c r="BO384">
        <v>8</v>
      </c>
      <c r="BP384">
        <v>0</v>
      </c>
      <c r="BQ384" t="str">
        <f>"7:00 AM"</f>
        <v>7:00 AM</v>
      </c>
      <c r="BR384" t="str">
        <f>"4:00 PM"</f>
        <v>4:00 PM</v>
      </c>
      <c r="BS384" t="s">
        <v>131</v>
      </c>
      <c r="BT384">
        <v>0</v>
      </c>
      <c r="BU384">
        <v>0</v>
      </c>
      <c r="BV384" t="s">
        <v>114</v>
      </c>
      <c r="BX384" t="s">
        <v>2670</v>
      </c>
      <c r="BY384" t="s">
        <v>23034</v>
      </c>
      <c r="BZ384" t="s">
        <v>5754</v>
      </c>
      <c r="CA384" t="s">
        <v>10927</v>
      </c>
      <c r="CB384" t="s">
        <v>1722</v>
      </c>
      <c r="CC384" s="8" t="str">
        <f>"21014"</f>
        <v>21014</v>
      </c>
      <c r="CD384" t="s">
        <v>2847</v>
      </c>
      <c r="CE384" t="s">
        <v>1992</v>
      </c>
      <c r="CF384" s="12">
        <v>18.68</v>
      </c>
      <c r="CH384" s="12">
        <v>28.02</v>
      </c>
      <c r="CJ384" t="s">
        <v>135</v>
      </c>
      <c r="CK384" t="s">
        <v>132</v>
      </c>
      <c r="CL384" t="s">
        <v>23035</v>
      </c>
      <c r="CO384" t="s">
        <v>132</v>
      </c>
      <c r="CP384" t="s">
        <v>136</v>
      </c>
      <c r="CQ384" t="s">
        <v>136</v>
      </c>
      <c r="CR384" t="s">
        <v>136</v>
      </c>
      <c r="CS384" t="s">
        <v>136</v>
      </c>
      <c r="CT384" t="s">
        <v>136</v>
      </c>
      <c r="CU384" t="s">
        <v>136</v>
      </c>
      <c r="CV384" t="s">
        <v>23036</v>
      </c>
      <c r="CW384" s="10" t="str">
        <f>"+14108381700"</f>
        <v>+14108381700</v>
      </c>
      <c r="CX384" t="s">
        <v>23033</v>
      </c>
      <c r="CY384" t="s">
        <v>132</v>
      </c>
      <c r="CZ384" t="s">
        <v>137</v>
      </c>
      <c r="DA384" t="s">
        <v>114</v>
      </c>
      <c r="DB384" t="s">
        <v>136</v>
      </c>
      <c r="DC384" t="s">
        <v>136</v>
      </c>
      <c r="DD384" t="s">
        <v>114</v>
      </c>
    </row>
    <row r="385" spans="1:108" ht="15" customHeight="1" x14ac:dyDescent="0.25">
      <c r="A385" t="s">
        <v>15283</v>
      </c>
      <c r="B385" t="s">
        <v>152</v>
      </c>
      <c r="C385" s="1">
        <v>45247.001394444444</v>
      </c>
      <c r="D385" s="1">
        <v>45274</v>
      </c>
      <c r="E385" t="s">
        <v>132</v>
      </c>
      <c r="F385" t="s">
        <v>1595</v>
      </c>
      <c r="G385" t="str">
        <f>"17-3011.00"</f>
        <v>17-3011.00</v>
      </c>
      <c r="H385" t="s">
        <v>15284</v>
      </c>
      <c r="I385">
        <v>14</v>
      </c>
      <c r="J385">
        <v>14</v>
      </c>
      <c r="K385" s="1">
        <v>45337</v>
      </c>
      <c r="L385" s="1">
        <v>45640</v>
      </c>
      <c r="M385" s="1">
        <v>45337</v>
      </c>
      <c r="N385" s="1">
        <v>45640</v>
      </c>
      <c r="O385" t="s">
        <v>238</v>
      </c>
      <c r="P385" t="s">
        <v>15285</v>
      </c>
      <c r="R385" t="s">
        <v>15286</v>
      </c>
      <c r="T385" t="s">
        <v>3569</v>
      </c>
      <c r="U385" t="s">
        <v>984</v>
      </c>
      <c r="V385" s="8" t="str">
        <f>"63017"</f>
        <v>63017</v>
      </c>
      <c r="W385" t="s">
        <v>118</v>
      </c>
      <c r="Y385" s="10">
        <v>13145688135</v>
      </c>
      <c r="AA385">
        <v>56173</v>
      </c>
      <c r="AB385" t="s">
        <v>15287</v>
      </c>
      <c r="AC385" t="s">
        <v>486</v>
      </c>
      <c r="AE385" t="s">
        <v>561</v>
      </c>
      <c r="AF385" t="s">
        <v>15286</v>
      </c>
      <c r="AH385" t="s">
        <v>3569</v>
      </c>
      <c r="AI385" t="s">
        <v>984</v>
      </c>
      <c r="AJ385" s="8" t="str">
        <f>"63017"</f>
        <v>63017</v>
      </c>
      <c r="AK385" t="s">
        <v>118</v>
      </c>
      <c r="AM385" s="10">
        <v>13145688135</v>
      </c>
      <c r="AO385" t="s">
        <v>15288</v>
      </c>
      <c r="AP385" t="s">
        <v>248</v>
      </c>
      <c r="AQ385" t="s">
        <v>2732</v>
      </c>
      <c r="AR385" t="s">
        <v>2733</v>
      </c>
      <c r="AT385" t="s">
        <v>1253</v>
      </c>
      <c r="AU385" t="s">
        <v>852</v>
      </c>
      <c r="AV385" t="s">
        <v>853</v>
      </c>
      <c r="AW385" t="s">
        <v>854</v>
      </c>
      <c r="AX385" s="8" t="str">
        <f>"83814"</f>
        <v>83814</v>
      </c>
      <c r="AY385" t="s">
        <v>118</v>
      </c>
      <c r="BA385" s="10">
        <v>12087772654</v>
      </c>
      <c r="BC385" t="s">
        <v>2734</v>
      </c>
      <c r="BD385" t="s">
        <v>856</v>
      </c>
      <c r="BG385" t="s">
        <v>984</v>
      </c>
      <c r="BH385" s="1">
        <v>45245.791666666664</v>
      </c>
      <c r="BI385">
        <v>40</v>
      </c>
      <c r="BJ385">
        <v>0</v>
      </c>
      <c r="BK385">
        <v>8</v>
      </c>
      <c r="BL385">
        <v>8</v>
      </c>
      <c r="BM385">
        <v>8</v>
      </c>
      <c r="BN385">
        <v>8</v>
      </c>
      <c r="BO385">
        <v>8</v>
      </c>
      <c r="BP385">
        <v>0</v>
      </c>
      <c r="BQ385" t="str">
        <f>"7:30 AM"</f>
        <v>7:30 AM</v>
      </c>
      <c r="BR385" t="str">
        <f>"5:00 PM"</f>
        <v>5:00 PM</v>
      </c>
      <c r="BS385" t="s">
        <v>131</v>
      </c>
      <c r="BT385">
        <v>0</v>
      </c>
      <c r="BU385">
        <v>0</v>
      </c>
      <c r="BV385" t="s">
        <v>114</v>
      </c>
      <c r="BX385" t="s">
        <v>2670</v>
      </c>
      <c r="BY385" t="s">
        <v>15289</v>
      </c>
      <c r="CA385" t="s">
        <v>3569</v>
      </c>
      <c r="CB385" t="s">
        <v>984</v>
      </c>
      <c r="CC385" s="8" t="str">
        <f>"63017"</f>
        <v>63017</v>
      </c>
      <c r="CD385" t="s">
        <v>2851</v>
      </c>
      <c r="CE385" t="s">
        <v>1856</v>
      </c>
      <c r="CF385" s="12">
        <v>17.579999999999998</v>
      </c>
      <c r="CG385" s="12">
        <v>20</v>
      </c>
      <c r="CH385" s="12">
        <v>26.37</v>
      </c>
      <c r="CI385" s="12">
        <v>30</v>
      </c>
      <c r="CJ385" t="s">
        <v>135</v>
      </c>
      <c r="CK385" t="s">
        <v>1899</v>
      </c>
      <c r="CL385" t="s">
        <v>15290</v>
      </c>
      <c r="CO385" t="s">
        <v>132</v>
      </c>
      <c r="CP385" t="s">
        <v>136</v>
      </c>
      <c r="CQ385" t="s">
        <v>136</v>
      </c>
      <c r="CR385" t="s">
        <v>136</v>
      </c>
      <c r="CS385" t="s">
        <v>136</v>
      </c>
      <c r="CT385" t="s">
        <v>136</v>
      </c>
      <c r="CU385" t="s">
        <v>136</v>
      </c>
      <c r="CV385" t="s">
        <v>15291</v>
      </c>
      <c r="CW385" s="10" t="str">
        <f>"+13145688135"</f>
        <v>+13145688135</v>
      </c>
      <c r="CX385" t="s">
        <v>15288</v>
      </c>
      <c r="CY385" t="s">
        <v>132</v>
      </c>
      <c r="CZ385" t="s">
        <v>137</v>
      </c>
      <c r="DA385" t="s">
        <v>114</v>
      </c>
      <c r="DB385" t="s">
        <v>136</v>
      </c>
      <c r="DC385" t="s">
        <v>136</v>
      </c>
      <c r="DD385" t="s">
        <v>114</v>
      </c>
    </row>
    <row r="386" spans="1:108" ht="15" customHeight="1" x14ac:dyDescent="0.25">
      <c r="A386" t="s">
        <v>3640</v>
      </c>
      <c r="B386" t="s">
        <v>152</v>
      </c>
      <c r="C386" s="1">
        <v>45247.000809953701</v>
      </c>
      <c r="D386" s="1">
        <v>45274</v>
      </c>
      <c r="E386" t="s">
        <v>132</v>
      </c>
      <c r="F386" t="s">
        <v>1595</v>
      </c>
      <c r="G386" t="str">
        <f>"37-3011.00"</f>
        <v>37-3011.00</v>
      </c>
      <c r="H386" t="s">
        <v>429</v>
      </c>
      <c r="I386">
        <v>16</v>
      </c>
      <c r="J386">
        <v>16</v>
      </c>
      <c r="K386" s="1">
        <v>45337</v>
      </c>
      <c r="L386" s="1">
        <v>45640</v>
      </c>
      <c r="M386" s="1">
        <v>45337</v>
      </c>
      <c r="N386" s="1">
        <v>45640</v>
      </c>
      <c r="O386" t="s">
        <v>238</v>
      </c>
      <c r="P386" t="s">
        <v>3641</v>
      </c>
      <c r="R386" t="s">
        <v>3642</v>
      </c>
      <c r="T386" t="s">
        <v>2848</v>
      </c>
      <c r="U386" t="s">
        <v>984</v>
      </c>
      <c r="V386" s="8" t="str">
        <f>"63128"</f>
        <v>63128</v>
      </c>
      <c r="W386" t="s">
        <v>118</v>
      </c>
      <c r="Y386" s="10">
        <v>13148927733</v>
      </c>
      <c r="AA386">
        <v>56173</v>
      </c>
      <c r="AB386" t="s">
        <v>3643</v>
      </c>
      <c r="AC386" t="s">
        <v>2005</v>
      </c>
      <c r="AE386" t="s">
        <v>629</v>
      </c>
      <c r="AF386" t="s">
        <v>3642</v>
      </c>
      <c r="AH386" t="s">
        <v>2848</v>
      </c>
      <c r="AI386" t="s">
        <v>984</v>
      </c>
      <c r="AJ386" s="8" t="str">
        <f>"63128"</f>
        <v>63128</v>
      </c>
      <c r="AK386" t="s">
        <v>118</v>
      </c>
      <c r="AM386" s="10">
        <v>13148927733</v>
      </c>
      <c r="AO386" t="s">
        <v>3644</v>
      </c>
      <c r="AP386" t="s">
        <v>248</v>
      </c>
      <c r="AQ386" t="s">
        <v>2732</v>
      </c>
      <c r="AR386" t="s">
        <v>2733</v>
      </c>
      <c r="AT386" t="s">
        <v>1253</v>
      </c>
      <c r="AU386" t="s">
        <v>852</v>
      </c>
      <c r="AV386" t="s">
        <v>853</v>
      </c>
      <c r="AW386" t="s">
        <v>854</v>
      </c>
      <c r="AX386" s="8" t="str">
        <f>"83814"</f>
        <v>83814</v>
      </c>
      <c r="AY386" t="s">
        <v>118</v>
      </c>
      <c r="BA386" s="10">
        <v>12087772654</v>
      </c>
      <c r="BC386" t="s">
        <v>2734</v>
      </c>
      <c r="BD386" t="s">
        <v>856</v>
      </c>
      <c r="BG386" t="s">
        <v>984</v>
      </c>
      <c r="BH386" s="1">
        <v>45245.791666666664</v>
      </c>
      <c r="BI386">
        <v>40</v>
      </c>
      <c r="BJ386">
        <v>0</v>
      </c>
      <c r="BK386">
        <v>8</v>
      </c>
      <c r="BL386">
        <v>8</v>
      </c>
      <c r="BM386">
        <v>8</v>
      </c>
      <c r="BN386">
        <v>8</v>
      </c>
      <c r="BO386">
        <v>8</v>
      </c>
      <c r="BP386">
        <v>0</v>
      </c>
      <c r="BQ386" t="str">
        <f>"7:00 AM"</f>
        <v>7:00 AM</v>
      </c>
      <c r="BR386" t="str">
        <f>"4:00 PM"</f>
        <v>4:00 PM</v>
      </c>
      <c r="BS386" t="s">
        <v>131</v>
      </c>
      <c r="BT386">
        <v>0</v>
      </c>
      <c r="BU386">
        <v>0</v>
      </c>
      <c r="BV386" t="s">
        <v>114</v>
      </c>
      <c r="BX386" t="s">
        <v>2670</v>
      </c>
      <c r="BY386" t="s">
        <v>3645</v>
      </c>
      <c r="CA386" t="s">
        <v>2848</v>
      </c>
      <c r="CB386" t="s">
        <v>984</v>
      </c>
      <c r="CC386" s="8" t="str">
        <f>"63125"</f>
        <v>63125</v>
      </c>
      <c r="CD386" t="s">
        <v>2851</v>
      </c>
      <c r="CE386" t="s">
        <v>1856</v>
      </c>
      <c r="CF386" s="12">
        <v>17.579999999999998</v>
      </c>
      <c r="CG386" s="12">
        <v>21</v>
      </c>
      <c r="CH386" s="12">
        <v>26.37</v>
      </c>
      <c r="CI386" s="12">
        <v>31.5</v>
      </c>
      <c r="CJ386" t="s">
        <v>135</v>
      </c>
      <c r="CK386" t="s">
        <v>1899</v>
      </c>
      <c r="CL386" t="s">
        <v>3646</v>
      </c>
      <c r="CO386" t="s">
        <v>132</v>
      </c>
      <c r="CP386" t="s">
        <v>136</v>
      </c>
      <c r="CQ386" t="s">
        <v>136</v>
      </c>
      <c r="CR386" t="s">
        <v>136</v>
      </c>
      <c r="CS386" t="s">
        <v>136</v>
      </c>
      <c r="CT386" t="s">
        <v>136</v>
      </c>
      <c r="CU386" t="s">
        <v>136</v>
      </c>
      <c r="CV386" t="s">
        <v>3647</v>
      </c>
      <c r="CW386" s="10" t="str">
        <f>"+13145749939"</f>
        <v>+13145749939</v>
      </c>
      <c r="CX386" t="s">
        <v>3644</v>
      </c>
      <c r="CY386" t="s">
        <v>132</v>
      </c>
      <c r="CZ386" t="s">
        <v>137</v>
      </c>
      <c r="DA386" t="s">
        <v>114</v>
      </c>
      <c r="DB386" t="s">
        <v>136</v>
      </c>
      <c r="DC386" t="s">
        <v>136</v>
      </c>
      <c r="DD386" t="s">
        <v>114</v>
      </c>
    </row>
    <row r="387" spans="1:108" ht="15" customHeight="1" x14ac:dyDescent="0.25">
      <c r="A387" t="s">
        <v>17966</v>
      </c>
      <c r="B387" t="s">
        <v>152</v>
      </c>
      <c r="C387" s="1">
        <v>45247.000728009261</v>
      </c>
      <c r="D387" s="1">
        <v>45274</v>
      </c>
      <c r="E387" t="s">
        <v>132</v>
      </c>
      <c r="F387" t="s">
        <v>2715</v>
      </c>
      <c r="G387" t="str">
        <f>"39-3091.00"</f>
        <v>39-3091.00</v>
      </c>
      <c r="H387" t="s">
        <v>237</v>
      </c>
      <c r="I387">
        <v>20</v>
      </c>
      <c r="J387">
        <v>20</v>
      </c>
      <c r="K387" s="1">
        <v>45337</v>
      </c>
      <c r="L387" s="1">
        <v>45617</v>
      </c>
      <c r="M387" s="1">
        <v>45337</v>
      </c>
      <c r="N387" s="1">
        <v>45617</v>
      </c>
      <c r="O387" t="s">
        <v>238</v>
      </c>
      <c r="P387" t="s">
        <v>17967</v>
      </c>
      <c r="R387" t="s">
        <v>17968</v>
      </c>
      <c r="T387" t="s">
        <v>7211</v>
      </c>
      <c r="U387" t="s">
        <v>127</v>
      </c>
      <c r="V387" s="8" t="str">
        <f>"78216"</f>
        <v>78216</v>
      </c>
      <c r="W387" t="s">
        <v>118</v>
      </c>
      <c r="Y387" s="10">
        <v>12104101919</v>
      </c>
      <c r="AA387">
        <v>71399</v>
      </c>
      <c r="AB387" t="s">
        <v>15176</v>
      </c>
      <c r="AC387" t="s">
        <v>2410</v>
      </c>
      <c r="AE387" t="s">
        <v>629</v>
      </c>
      <c r="AF387" t="s">
        <v>17968</v>
      </c>
      <c r="AH387" t="s">
        <v>126</v>
      </c>
      <c r="AI387" t="s">
        <v>127</v>
      </c>
      <c r="AJ387" s="8" t="str">
        <f>"78216"</f>
        <v>78216</v>
      </c>
      <c r="AK387" t="s">
        <v>118</v>
      </c>
      <c r="AM387" s="10">
        <v>12104101919</v>
      </c>
      <c r="AO387" t="s">
        <v>17969</v>
      </c>
      <c r="AP387" t="s">
        <v>248</v>
      </c>
      <c r="AQ387" t="s">
        <v>960</v>
      </c>
      <c r="AR387" t="s">
        <v>961</v>
      </c>
      <c r="AS387" t="s">
        <v>962</v>
      </c>
      <c r="AT387" t="s">
        <v>963</v>
      </c>
      <c r="AU387" t="s">
        <v>296</v>
      </c>
      <c r="AV387" t="s">
        <v>964</v>
      </c>
      <c r="AW387" t="s">
        <v>127</v>
      </c>
      <c r="AX387" s="8" t="str">
        <f>"75033"</f>
        <v>75033</v>
      </c>
      <c r="AY387" t="s">
        <v>118</v>
      </c>
      <c r="BA387" s="10">
        <v>19727789690</v>
      </c>
      <c r="BC387" t="s">
        <v>1388</v>
      </c>
      <c r="BD387" t="s">
        <v>966</v>
      </c>
      <c r="BG387" t="s">
        <v>127</v>
      </c>
      <c r="BH387" s="1">
        <v>45246.791666666664</v>
      </c>
      <c r="BI387">
        <v>40</v>
      </c>
      <c r="BJ387">
        <v>8</v>
      </c>
      <c r="BK387">
        <v>8</v>
      </c>
      <c r="BL387">
        <v>0</v>
      </c>
      <c r="BM387">
        <v>8</v>
      </c>
      <c r="BN387">
        <v>0</v>
      </c>
      <c r="BO387">
        <v>8</v>
      </c>
      <c r="BP387">
        <v>8</v>
      </c>
      <c r="BQ387" t="str">
        <f>"10:00 AM"</f>
        <v>10:00 AM</v>
      </c>
      <c r="BR387" t="str">
        <f>"7:00 PM"</f>
        <v>7:00 PM</v>
      </c>
      <c r="BS387" t="s">
        <v>131</v>
      </c>
      <c r="BT387">
        <v>0</v>
      </c>
      <c r="BU387">
        <v>0</v>
      </c>
      <c r="BV387" t="s">
        <v>114</v>
      </c>
      <c r="BX387" t="s">
        <v>17970</v>
      </c>
      <c r="BY387" t="s">
        <v>17971</v>
      </c>
      <c r="CA387" t="s">
        <v>126</v>
      </c>
      <c r="CB387" t="s">
        <v>127</v>
      </c>
      <c r="CC387" s="8" t="str">
        <f>"78214"</f>
        <v>78214</v>
      </c>
      <c r="CD387" t="s">
        <v>1941</v>
      </c>
      <c r="CE387" t="s">
        <v>1287</v>
      </c>
      <c r="CF387" s="12">
        <v>10.3</v>
      </c>
      <c r="CG387" s="12">
        <v>16</v>
      </c>
      <c r="CH387" s="12">
        <v>18.329999999999998</v>
      </c>
      <c r="CI387" s="12">
        <v>32.6</v>
      </c>
      <c r="CJ387" t="s">
        <v>135</v>
      </c>
      <c r="CK387" t="s">
        <v>3772</v>
      </c>
      <c r="CL387" t="s">
        <v>17972</v>
      </c>
      <c r="CO387" t="s">
        <v>132</v>
      </c>
      <c r="CP387" t="s">
        <v>136</v>
      </c>
      <c r="CQ387" t="s">
        <v>136</v>
      </c>
      <c r="CR387" t="s">
        <v>136</v>
      </c>
      <c r="CS387" t="s">
        <v>136</v>
      </c>
      <c r="CT387" t="s">
        <v>136</v>
      </c>
      <c r="CU387" t="s">
        <v>136</v>
      </c>
      <c r="CV387" t="s">
        <v>2972</v>
      </c>
      <c r="CW387" s="10" t="str">
        <f>"+12104101919"</f>
        <v>+12104101919</v>
      </c>
      <c r="CX387" t="s">
        <v>132</v>
      </c>
      <c r="CY387" t="s">
        <v>1853</v>
      </c>
      <c r="CZ387" t="s">
        <v>137</v>
      </c>
      <c r="DA387" t="s">
        <v>114</v>
      </c>
      <c r="DB387" t="s">
        <v>136</v>
      </c>
      <c r="DC387" t="s">
        <v>136</v>
      </c>
      <c r="DD387" t="s">
        <v>114</v>
      </c>
    </row>
    <row r="388" spans="1:108" ht="15" customHeight="1" x14ac:dyDescent="0.25">
      <c r="A388" t="s">
        <v>14976</v>
      </c>
      <c r="B388" t="s">
        <v>152</v>
      </c>
      <c r="C388" s="1">
        <v>45247.000601851854</v>
      </c>
      <c r="D388" s="1">
        <v>45274</v>
      </c>
      <c r="E388" t="s">
        <v>132</v>
      </c>
      <c r="F388" t="s">
        <v>1595</v>
      </c>
      <c r="G388" t="str">
        <f>"37-3011.00"</f>
        <v>37-3011.00</v>
      </c>
      <c r="H388" t="s">
        <v>429</v>
      </c>
      <c r="I388">
        <v>24</v>
      </c>
      <c r="J388">
        <v>24</v>
      </c>
      <c r="K388" s="1">
        <v>45337</v>
      </c>
      <c r="L388" s="1">
        <v>45640</v>
      </c>
      <c r="M388" s="1">
        <v>45337</v>
      </c>
      <c r="N388" s="1">
        <v>45640</v>
      </c>
      <c r="O388" t="s">
        <v>116</v>
      </c>
      <c r="P388" t="s">
        <v>14977</v>
      </c>
      <c r="R388" t="s">
        <v>14978</v>
      </c>
      <c r="T388" t="s">
        <v>1814</v>
      </c>
      <c r="U388" t="s">
        <v>333</v>
      </c>
      <c r="V388" s="8" t="str">
        <f>"70805"</f>
        <v>70805</v>
      </c>
      <c r="W388" t="s">
        <v>118</v>
      </c>
      <c r="Y388" s="10">
        <v>12253832660</v>
      </c>
      <c r="AA388">
        <v>56173</v>
      </c>
      <c r="AB388" t="s">
        <v>14979</v>
      </c>
      <c r="AC388" t="s">
        <v>2188</v>
      </c>
      <c r="AE388" t="s">
        <v>561</v>
      </c>
      <c r="AF388" t="s">
        <v>14978</v>
      </c>
      <c r="AH388" t="s">
        <v>1814</v>
      </c>
      <c r="AI388" t="s">
        <v>333</v>
      </c>
      <c r="AJ388" s="8" t="str">
        <f>"70805"</f>
        <v>70805</v>
      </c>
      <c r="AK388" t="s">
        <v>118</v>
      </c>
      <c r="AM388" s="10">
        <v>12253832660</v>
      </c>
      <c r="AO388" t="s">
        <v>14980</v>
      </c>
      <c r="AP388" t="s">
        <v>248</v>
      </c>
      <c r="AQ388" t="s">
        <v>2699</v>
      </c>
      <c r="AR388" t="s">
        <v>2700</v>
      </c>
      <c r="AT388" t="s">
        <v>1253</v>
      </c>
      <c r="AU388" t="s">
        <v>852</v>
      </c>
      <c r="AV388" t="s">
        <v>853</v>
      </c>
      <c r="AW388" t="s">
        <v>854</v>
      </c>
      <c r="AX388" s="8" t="str">
        <f>"83814"</f>
        <v>83814</v>
      </c>
      <c r="AY388" t="s">
        <v>118</v>
      </c>
      <c r="BA388" s="10">
        <v>12087772654</v>
      </c>
      <c r="BC388" t="s">
        <v>2701</v>
      </c>
      <c r="BD388" t="s">
        <v>856</v>
      </c>
      <c r="BG388" t="s">
        <v>333</v>
      </c>
      <c r="BH388" s="1">
        <v>45245.791666666664</v>
      </c>
      <c r="BI388">
        <v>40</v>
      </c>
      <c r="BJ388">
        <v>0</v>
      </c>
      <c r="BK388">
        <v>8</v>
      </c>
      <c r="BL388">
        <v>8</v>
      </c>
      <c r="BM388">
        <v>8</v>
      </c>
      <c r="BN388">
        <v>8</v>
      </c>
      <c r="BO388">
        <v>8</v>
      </c>
      <c r="BP388">
        <v>0</v>
      </c>
      <c r="BQ388" t="str">
        <f>"6:00 AM"</f>
        <v>6:00 AM</v>
      </c>
      <c r="BR388" t="str">
        <f>"3:00 PM"</f>
        <v>3:00 PM</v>
      </c>
      <c r="BS388" t="s">
        <v>131</v>
      </c>
      <c r="BT388">
        <v>0</v>
      </c>
      <c r="BU388">
        <v>0</v>
      </c>
      <c r="BV388" t="s">
        <v>114</v>
      </c>
      <c r="BX388" t="s">
        <v>2088</v>
      </c>
      <c r="BY388" t="s">
        <v>14981</v>
      </c>
      <c r="CA388" t="s">
        <v>1814</v>
      </c>
      <c r="CB388" t="s">
        <v>333</v>
      </c>
      <c r="CC388" s="8" t="str">
        <f>"70805"</f>
        <v>70805</v>
      </c>
      <c r="CD388" t="s">
        <v>1929</v>
      </c>
      <c r="CE388" t="s">
        <v>1930</v>
      </c>
      <c r="CF388" s="12">
        <v>15.19</v>
      </c>
      <c r="CG388" s="12">
        <v>17</v>
      </c>
      <c r="CH388" s="12">
        <v>22.79</v>
      </c>
      <c r="CI388" s="12">
        <v>25.5</v>
      </c>
      <c r="CJ388" t="s">
        <v>135</v>
      </c>
      <c r="CK388" t="s">
        <v>1899</v>
      </c>
      <c r="CL388" t="s">
        <v>14982</v>
      </c>
      <c r="CO388" t="s">
        <v>132</v>
      </c>
      <c r="CP388" t="s">
        <v>136</v>
      </c>
      <c r="CQ388" t="s">
        <v>136</v>
      </c>
      <c r="CR388" t="s">
        <v>136</v>
      </c>
      <c r="CS388" t="s">
        <v>136</v>
      </c>
      <c r="CT388" t="s">
        <v>136</v>
      </c>
      <c r="CU388" t="s">
        <v>136</v>
      </c>
      <c r="CV388" t="s">
        <v>14983</v>
      </c>
      <c r="CW388" s="10" t="str">
        <f>"+12253832660"</f>
        <v>+12253832660</v>
      </c>
      <c r="CX388" t="s">
        <v>14984</v>
      </c>
      <c r="CY388" t="s">
        <v>132</v>
      </c>
      <c r="CZ388" t="s">
        <v>137</v>
      </c>
      <c r="DA388" t="s">
        <v>114</v>
      </c>
      <c r="DB388" t="s">
        <v>136</v>
      </c>
      <c r="DC388" t="s">
        <v>136</v>
      </c>
      <c r="DD388" t="s">
        <v>114</v>
      </c>
    </row>
    <row r="389" spans="1:108" ht="15" customHeight="1" x14ac:dyDescent="0.25">
      <c r="A389" t="s">
        <v>11248</v>
      </c>
      <c r="B389" t="s">
        <v>152</v>
      </c>
      <c r="C389" s="1">
        <v>45247.000354398151</v>
      </c>
      <c r="D389" s="1">
        <v>45274</v>
      </c>
      <c r="E389" t="s">
        <v>132</v>
      </c>
      <c r="F389" t="s">
        <v>1595</v>
      </c>
      <c r="G389" t="str">
        <f>"37-3011.00"</f>
        <v>37-3011.00</v>
      </c>
      <c r="H389" t="s">
        <v>429</v>
      </c>
      <c r="I389">
        <v>12</v>
      </c>
      <c r="J389">
        <v>12</v>
      </c>
      <c r="K389" s="1">
        <v>45337</v>
      </c>
      <c r="L389" s="1">
        <v>45640</v>
      </c>
      <c r="M389" s="1">
        <v>45337</v>
      </c>
      <c r="N389" s="1">
        <v>45640</v>
      </c>
      <c r="O389" t="s">
        <v>238</v>
      </c>
      <c r="P389" t="s">
        <v>11249</v>
      </c>
      <c r="R389" t="s">
        <v>11250</v>
      </c>
      <c r="T389" t="s">
        <v>7693</v>
      </c>
      <c r="U389" t="s">
        <v>984</v>
      </c>
      <c r="V389" s="8" t="str">
        <f>"63303"</f>
        <v>63303</v>
      </c>
      <c r="W389" t="s">
        <v>118</v>
      </c>
      <c r="Y389" s="10">
        <v>16369400660</v>
      </c>
      <c r="AA389">
        <v>56173</v>
      </c>
      <c r="AB389" t="s">
        <v>1265</v>
      </c>
      <c r="AC389" t="s">
        <v>2919</v>
      </c>
      <c r="AE389" t="s">
        <v>561</v>
      </c>
      <c r="AF389" t="s">
        <v>11250</v>
      </c>
      <c r="AH389" t="s">
        <v>7693</v>
      </c>
      <c r="AI389" t="s">
        <v>984</v>
      </c>
      <c r="AJ389" s="8" t="str">
        <f>"63303"</f>
        <v>63303</v>
      </c>
      <c r="AK389" t="s">
        <v>118</v>
      </c>
      <c r="AM389" s="10">
        <v>16369400660</v>
      </c>
      <c r="AO389" t="s">
        <v>11251</v>
      </c>
      <c r="AP389" t="s">
        <v>248</v>
      </c>
      <c r="AQ389" t="s">
        <v>2732</v>
      </c>
      <c r="AR389" t="s">
        <v>2733</v>
      </c>
      <c r="AT389" t="s">
        <v>1253</v>
      </c>
      <c r="AU389" t="s">
        <v>852</v>
      </c>
      <c r="AV389" t="s">
        <v>853</v>
      </c>
      <c r="AW389" t="s">
        <v>854</v>
      </c>
      <c r="AX389" s="8" t="str">
        <f>"83814"</f>
        <v>83814</v>
      </c>
      <c r="AY389" t="s">
        <v>118</v>
      </c>
      <c r="BA389" s="10">
        <v>12087772654</v>
      </c>
      <c r="BC389" t="s">
        <v>2734</v>
      </c>
      <c r="BD389" t="s">
        <v>856</v>
      </c>
      <c r="BG389" t="s">
        <v>984</v>
      </c>
      <c r="BH389" s="1">
        <v>45245.791666666664</v>
      </c>
      <c r="BI389">
        <v>40</v>
      </c>
      <c r="BJ389">
        <v>0</v>
      </c>
      <c r="BK389">
        <v>8</v>
      </c>
      <c r="BL389">
        <v>8</v>
      </c>
      <c r="BM389">
        <v>8</v>
      </c>
      <c r="BN389">
        <v>8</v>
      </c>
      <c r="BO389">
        <v>8</v>
      </c>
      <c r="BP389">
        <v>0</v>
      </c>
      <c r="BQ389" t="str">
        <f>"7:30 AM"</f>
        <v>7:30 AM</v>
      </c>
      <c r="BR389" t="str">
        <f>"4:30 PM"</f>
        <v>4:30 PM</v>
      </c>
      <c r="BS389" t="s">
        <v>131</v>
      </c>
      <c r="BT389">
        <v>0</v>
      </c>
      <c r="BU389">
        <v>0</v>
      </c>
      <c r="BV389" t="s">
        <v>114</v>
      </c>
      <c r="BX389" t="s">
        <v>5630</v>
      </c>
      <c r="BY389" t="s">
        <v>11252</v>
      </c>
      <c r="CA389" t="s">
        <v>7693</v>
      </c>
      <c r="CB389" t="s">
        <v>984</v>
      </c>
      <c r="CC389" s="8" t="str">
        <f>"63303"</f>
        <v>63303</v>
      </c>
      <c r="CD389" t="s">
        <v>1855</v>
      </c>
      <c r="CE389" t="s">
        <v>1856</v>
      </c>
      <c r="CF389" s="12">
        <v>17.579999999999998</v>
      </c>
      <c r="CH389" s="12">
        <v>26.37</v>
      </c>
      <c r="CJ389" t="s">
        <v>135</v>
      </c>
      <c r="CK389" t="s">
        <v>1608</v>
      </c>
      <c r="CL389" t="s">
        <v>11253</v>
      </c>
      <c r="CO389" t="s">
        <v>132</v>
      </c>
      <c r="CP389" t="s">
        <v>136</v>
      </c>
      <c r="CQ389" t="s">
        <v>136</v>
      </c>
      <c r="CR389" t="s">
        <v>136</v>
      </c>
      <c r="CS389" t="s">
        <v>136</v>
      </c>
      <c r="CT389" t="s">
        <v>136</v>
      </c>
      <c r="CU389" t="s">
        <v>136</v>
      </c>
      <c r="CV389" t="s">
        <v>11254</v>
      </c>
      <c r="CW389" s="10" t="str">
        <f>"+16369400660"</f>
        <v>+16369400660</v>
      </c>
      <c r="CX389" t="s">
        <v>11255</v>
      </c>
      <c r="CY389" t="s">
        <v>132</v>
      </c>
      <c r="CZ389" t="s">
        <v>137</v>
      </c>
      <c r="DA389" t="s">
        <v>114</v>
      </c>
      <c r="DB389" t="s">
        <v>136</v>
      </c>
      <c r="DC389" t="s">
        <v>136</v>
      </c>
      <c r="DD389" t="s">
        <v>114</v>
      </c>
    </row>
    <row r="390" spans="1:108" ht="15" customHeight="1" x14ac:dyDescent="0.25">
      <c r="A390" t="s">
        <v>14894</v>
      </c>
      <c r="B390" t="s">
        <v>152</v>
      </c>
      <c r="C390" s="1">
        <v>45246.583592129631</v>
      </c>
      <c r="D390" s="1">
        <v>45274</v>
      </c>
      <c r="E390" t="s">
        <v>132</v>
      </c>
      <c r="F390" t="s">
        <v>7945</v>
      </c>
      <c r="G390" t="str">
        <f>"51-3022.00"</f>
        <v>51-3022.00</v>
      </c>
      <c r="H390" t="s">
        <v>1004</v>
      </c>
      <c r="I390">
        <v>40</v>
      </c>
      <c r="J390">
        <v>40</v>
      </c>
      <c r="K390" s="1">
        <v>45323</v>
      </c>
      <c r="L390" s="1">
        <v>45474</v>
      </c>
      <c r="M390" s="1">
        <v>45323</v>
      </c>
      <c r="N390" s="1">
        <v>45474</v>
      </c>
      <c r="O390" t="s">
        <v>238</v>
      </c>
      <c r="P390" t="s">
        <v>14895</v>
      </c>
      <c r="Q390" t="s">
        <v>14896</v>
      </c>
      <c r="R390" t="s">
        <v>14897</v>
      </c>
      <c r="T390" t="s">
        <v>2189</v>
      </c>
      <c r="U390" t="s">
        <v>333</v>
      </c>
      <c r="V390" s="8" t="str">
        <f>"70501"</f>
        <v>70501</v>
      </c>
      <c r="W390" t="s">
        <v>118</v>
      </c>
      <c r="Y390" s="10">
        <v>13372348001</v>
      </c>
      <c r="AA390">
        <v>311710</v>
      </c>
      <c r="AB390" t="s">
        <v>14898</v>
      </c>
      <c r="AC390" t="s">
        <v>14899</v>
      </c>
      <c r="AE390" t="s">
        <v>561</v>
      </c>
      <c r="AF390" t="s">
        <v>14897</v>
      </c>
      <c r="AH390" t="s">
        <v>2189</v>
      </c>
      <c r="AI390" t="s">
        <v>333</v>
      </c>
      <c r="AJ390" s="8" t="str">
        <f>"70501"</f>
        <v>70501</v>
      </c>
      <c r="AK390" t="s">
        <v>118</v>
      </c>
      <c r="AM390" s="10">
        <v>13373194267</v>
      </c>
      <c r="AO390" t="s">
        <v>14900</v>
      </c>
      <c r="AP390" t="s">
        <v>121</v>
      </c>
      <c r="AQ390" t="s">
        <v>3627</v>
      </c>
      <c r="AR390" t="s">
        <v>2309</v>
      </c>
      <c r="AS390" t="s">
        <v>5087</v>
      </c>
      <c r="AT390" t="s">
        <v>14901</v>
      </c>
      <c r="AV390" t="s">
        <v>5089</v>
      </c>
      <c r="AW390" t="s">
        <v>333</v>
      </c>
      <c r="AX390" s="8" t="str">
        <f>"70535"</f>
        <v>70535</v>
      </c>
      <c r="AY390" t="s">
        <v>118</v>
      </c>
      <c r="BA390" s="10">
        <v>13374663722</v>
      </c>
      <c r="BC390" t="s">
        <v>5090</v>
      </c>
      <c r="BD390" t="s">
        <v>10193</v>
      </c>
      <c r="BE390" t="s">
        <v>333</v>
      </c>
      <c r="BF390" t="s">
        <v>2190</v>
      </c>
      <c r="BG390" t="s">
        <v>333</v>
      </c>
      <c r="BH390" s="1">
        <v>45245.791666666664</v>
      </c>
      <c r="BI390">
        <v>35</v>
      </c>
      <c r="BJ390">
        <v>0</v>
      </c>
      <c r="BK390">
        <v>7</v>
      </c>
      <c r="BL390">
        <v>7</v>
      </c>
      <c r="BM390">
        <v>7</v>
      </c>
      <c r="BN390">
        <v>7</v>
      </c>
      <c r="BO390">
        <v>7</v>
      </c>
      <c r="BP390">
        <v>0</v>
      </c>
      <c r="BQ390" t="str">
        <f>"6:00 AM"</f>
        <v>6:00 AM</v>
      </c>
      <c r="BR390" t="str">
        <f>"4:00 PM"</f>
        <v>4:00 PM</v>
      </c>
      <c r="BS390" t="s">
        <v>131</v>
      </c>
      <c r="BT390">
        <v>0</v>
      </c>
      <c r="BU390">
        <v>0</v>
      </c>
      <c r="BV390" t="s">
        <v>114</v>
      </c>
      <c r="BX390" s="2" t="s">
        <v>14902</v>
      </c>
      <c r="BY390" t="s">
        <v>14897</v>
      </c>
      <c r="CA390" t="s">
        <v>2189</v>
      </c>
      <c r="CB390" t="s">
        <v>333</v>
      </c>
      <c r="CC390" s="8" t="str">
        <f>"70501"</f>
        <v>70501</v>
      </c>
      <c r="CD390" t="s">
        <v>2900</v>
      </c>
      <c r="CE390" t="s">
        <v>1818</v>
      </c>
      <c r="CF390" s="12">
        <v>12.63</v>
      </c>
      <c r="CG390" s="12">
        <v>12.63</v>
      </c>
      <c r="CH390" s="12">
        <v>18.95</v>
      </c>
      <c r="CI390" s="12">
        <v>18.95</v>
      </c>
      <c r="CJ390" t="s">
        <v>135</v>
      </c>
      <c r="CK390" t="s">
        <v>14903</v>
      </c>
      <c r="CL390" t="s">
        <v>14904</v>
      </c>
      <c r="CO390" t="s">
        <v>132</v>
      </c>
      <c r="CP390" t="s">
        <v>114</v>
      </c>
      <c r="CQ390" t="s">
        <v>114</v>
      </c>
      <c r="CR390" t="s">
        <v>136</v>
      </c>
      <c r="CS390" t="s">
        <v>114</v>
      </c>
      <c r="CT390" t="s">
        <v>136</v>
      </c>
      <c r="CU390" t="s">
        <v>136</v>
      </c>
      <c r="CV390" t="s">
        <v>6331</v>
      </c>
      <c r="CW390" s="10" t="str">
        <f>"+13372348001"</f>
        <v>+13372348001</v>
      </c>
      <c r="CX390" t="s">
        <v>14900</v>
      </c>
      <c r="CY390" t="s">
        <v>132</v>
      </c>
      <c r="CZ390" t="s">
        <v>137</v>
      </c>
      <c r="DA390" t="s">
        <v>114</v>
      </c>
      <c r="DB390" t="s">
        <v>114</v>
      </c>
      <c r="DC390" t="s">
        <v>136</v>
      </c>
      <c r="DD390" t="s">
        <v>114</v>
      </c>
    </row>
    <row r="391" spans="1:108" ht="15" customHeight="1" x14ac:dyDescent="0.25">
      <c r="A391" t="s">
        <v>22411</v>
      </c>
      <c r="B391" t="s">
        <v>152</v>
      </c>
      <c r="C391" s="1">
        <v>45246.30044097222</v>
      </c>
      <c r="D391" s="1">
        <v>45274</v>
      </c>
      <c r="E391" t="s">
        <v>132</v>
      </c>
      <c r="F391" t="s">
        <v>1595</v>
      </c>
      <c r="G391" t="str">
        <f>"37-3011.00"</f>
        <v>37-3011.00</v>
      </c>
      <c r="H391" t="s">
        <v>429</v>
      </c>
      <c r="I391">
        <v>50</v>
      </c>
      <c r="J391">
        <v>50</v>
      </c>
      <c r="K391" s="1">
        <v>45336</v>
      </c>
      <c r="L391" s="1">
        <v>45626</v>
      </c>
      <c r="M391" s="1">
        <v>45336</v>
      </c>
      <c r="N391" s="1">
        <v>45626</v>
      </c>
      <c r="O391" t="s">
        <v>116</v>
      </c>
      <c r="P391" t="s">
        <v>22412</v>
      </c>
      <c r="R391" t="s">
        <v>22413</v>
      </c>
      <c r="T391" t="s">
        <v>1814</v>
      </c>
      <c r="U391" t="s">
        <v>333</v>
      </c>
      <c r="V391" s="8" t="str">
        <f>"70817"</f>
        <v>70817</v>
      </c>
      <c r="W391" t="s">
        <v>118</v>
      </c>
      <c r="Y391" s="10">
        <v>12257535296</v>
      </c>
      <c r="AA391">
        <v>56173</v>
      </c>
      <c r="AB391" t="s">
        <v>22414</v>
      </c>
      <c r="AC391" t="s">
        <v>2022</v>
      </c>
      <c r="AE391" t="s">
        <v>629</v>
      </c>
      <c r="AF391" t="s">
        <v>22413</v>
      </c>
      <c r="AH391" t="s">
        <v>1814</v>
      </c>
      <c r="AI391" t="s">
        <v>333</v>
      </c>
      <c r="AJ391" s="8" t="str">
        <f>"70817"</f>
        <v>70817</v>
      </c>
      <c r="AK391" t="s">
        <v>118</v>
      </c>
      <c r="AM391" s="10">
        <v>12257535296</v>
      </c>
      <c r="AO391" t="s">
        <v>22415</v>
      </c>
      <c r="AP391" t="s">
        <v>248</v>
      </c>
      <c r="AQ391" t="s">
        <v>2699</v>
      </c>
      <c r="AR391" t="s">
        <v>2700</v>
      </c>
      <c r="AT391" t="s">
        <v>3080</v>
      </c>
      <c r="AU391" t="s">
        <v>3081</v>
      </c>
      <c r="AV391" t="s">
        <v>3082</v>
      </c>
      <c r="AW391" t="s">
        <v>854</v>
      </c>
      <c r="AX391" s="8" t="str">
        <f>"83814"</f>
        <v>83814</v>
      </c>
      <c r="AY391" t="s">
        <v>118</v>
      </c>
      <c r="BA391" s="10">
        <v>12087772654</v>
      </c>
      <c r="BC391" t="s">
        <v>2701</v>
      </c>
      <c r="BD391" t="s">
        <v>856</v>
      </c>
      <c r="BF391" t="s">
        <v>796</v>
      </c>
      <c r="BG391" t="s">
        <v>333</v>
      </c>
      <c r="BH391" s="1">
        <v>45244.791666666664</v>
      </c>
      <c r="BI391">
        <v>40</v>
      </c>
      <c r="BJ391">
        <v>0</v>
      </c>
      <c r="BK391">
        <v>8</v>
      </c>
      <c r="BL391">
        <v>8</v>
      </c>
      <c r="BM391">
        <v>8</v>
      </c>
      <c r="BN391">
        <v>8</v>
      </c>
      <c r="BO391">
        <v>8</v>
      </c>
      <c r="BP391">
        <v>0</v>
      </c>
      <c r="BQ391" t="str">
        <f>"6:30 AM"</f>
        <v>6:30 AM</v>
      </c>
      <c r="BR391" t="str">
        <f>"3:30 PM"</f>
        <v>3:30 PM</v>
      </c>
      <c r="BS391" t="s">
        <v>131</v>
      </c>
      <c r="BT391">
        <v>0</v>
      </c>
      <c r="BU391">
        <v>0</v>
      </c>
      <c r="BV391" t="s">
        <v>114</v>
      </c>
      <c r="BX391" t="s">
        <v>1604</v>
      </c>
      <c r="BY391" t="s">
        <v>22416</v>
      </c>
      <c r="CA391" t="s">
        <v>1814</v>
      </c>
      <c r="CB391" t="s">
        <v>333</v>
      </c>
      <c r="CC391" s="8" t="str">
        <f>"70817"</f>
        <v>70817</v>
      </c>
      <c r="CD391" t="s">
        <v>1929</v>
      </c>
      <c r="CE391" t="s">
        <v>1930</v>
      </c>
      <c r="CF391" s="12">
        <v>15.19</v>
      </c>
      <c r="CG391" s="12">
        <v>16</v>
      </c>
      <c r="CH391" s="12">
        <v>22.79</v>
      </c>
      <c r="CI391" s="12">
        <v>24</v>
      </c>
      <c r="CJ391" t="s">
        <v>135</v>
      </c>
      <c r="CK391" t="s">
        <v>1899</v>
      </c>
      <c r="CL391" t="s">
        <v>22417</v>
      </c>
      <c r="CO391" t="s">
        <v>132</v>
      </c>
      <c r="CP391" t="s">
        <v>136</v>
      </c>
      <c r="CQ391" t="s">
        <v>136</v>
      </c>
      <c r="CR391" t="s">
        <v>136</v>
      </c>
      <c r="CS391" t="s">
        <v>136</v>
      </c>
      <c r="CT391" t="s">
        <v>136</v>
      </c>
      <c r="CU391" t="s">
        <v>136</v>
      </c>
      <c r="CV391" t="s">
        <v>22418</v>
      </c>
      <c r="CW391" s="10" t="str">
        <f>"+12257535296"</f>
        <v>+12257535296</v>
      </c>
      <c r="CX391" t="s">
        <v>22419</v>
      </c>
      <c r="CY391" t="s">
        <v>132</v>
      </c>
      <c r="CZ391" t="s">
        <v>137</v>
      </c>
      <c r="DA391" t="s">
        <v>114</v>
      </c>
      <c r="DB391" t="s">
        <v>136</v>
      </c>
      <c r="DC391" t="s">
        <v>136</v>
      </c>
      <c r="DD391" t="s">
        <v>114</v>
      </c>
    </row>
    <row r="392" spans="1:108" ht="15" customHeight="1" x14ac:dyDescent="0.25">
      <c r="A392" t="s">
        <v>22267</v>
      </c>
      <c r="B392" t="s">
        <v>152</v>
      </c>
      <c r="C392" s="1">
        <v>45240.760834953704</v>
      </c>
      <c r="D392" s="1">
        <v>45274</v>
      </c>
      <c r="E392" t="s">
        <v>132</v>
      </c>
      <c r="F392" t="s">
        <v>1626</v>
      </c>
      <c r="G392" t="str">
        <f>"51-3099.00"</f>
        <v>51-3099.00</v>
      </c>
      <c r="H392" t="s">
        <v>22268</v>
      </c>
      <c r="I392">
        <v>12</v>
      </c>
      <c r="J392">
        <v>12</v>
      </c>
      <c r="K392" s="1">
        <v>45315</v>
      </c>
      <c r="L392" s="1">
        <v>45427</v>
      </c>
      <c r="M392" s="1">
        <v>45315</v>
      </c>
      <c r="N392" s="1">
        <v>45427</v>
      </c>
      <c r="O392" t="s">
        <v>238</v>
      </c>
      <c r="P392" t="s">
        <v>22269</v>
      </c>
      <c r="R392" t="s">
        <v>22270</v>
      </c>
      <c r="T392" t="s">
        <v>22271</v>
      </c>
      <c r="U392" t="s">
        <v>358</v>
      </c>
      <c r="V392" s="8" t="str">
        <f>"11435"</f>
        <v>11435</v>
      </c>
      <c r="W392" t="s">
        <v>118</v>
      </c>
      <c r="Y392" s="10">
        <v>17184006139</v>
      </c>
      <c r="AA392">
        <v>7225</v>
      </c>
      <c r="AB392" t="s">
        <v>22272</v>
      </c>
      <c r="AC392" t="s">
        <v>22273</v>
      </c>
      <c r="AE392" t="s">
        <v>629</v>
      </c>
      <c r="AF392" t="s">
        <v>22270</v>
      </c>
      <c r="AH392" t="s">
        <v>22271</v>
      </c>
      <c r="AI392" t="s">
        <v>358</v>
      </c>
      <c r="AJ392" s="8" t="str">
        <f>"11435"</f>
        <v>11435</v>
      </c>
      <c r="AK392" t="s">
        <v>118</v>
      </c>
      <c r="AM392" s="10">
        <v>17184006139</v>
      </c>
      <c r="AO392" t="s">
        <v>22274</v>
      </c>
      <c r="AP392" t="s">
        <v>121</v>
      </c>
      <c r="AQ392" t="s">
        <v>380</v>
      </c>
      <c r="AR392" t="s">
        <v>381</v>
      </c>
      <c r="AT392" t="s">
        <v>383</v>
      </c>
      <c r="AU392" t="s">
        <v>384</v>
      </c>
      <c r="AV392" t="s">
        <v>385</v>
      </c>
      <c r="AW392" t="s">
        <v>386</v>
      </c>
      <c r="AX392" s="8" t="str">
        <f>"37122"</f>
        <v>37122</v>
      </c>
      <c r="AY392" t="s">
        <v>118</v>
      </c>
      <c r="BA392" s="10">
        <v>19312428584</v>
      </c>
      <c r="BC392" t="s">
        <v>1012</v>
      </c>
      <c r="BD392" t="s">
        <v>1013</v>
      </c>
      <c r="BE392" t="s">
        <v>386</v>
      </c>
      <c r="BF392" t="s">
        <v>389</v>
      </c>
      <c r="BG392" t="s">
        <v>358</v>
      </c>
      <c r="BH392" s="1">
        <v>45239.791666666664</v>
      </c>
      <c r="BI392">
        <v>40</v>
      </c>
      <c r="BJ392">
        <v>4</v>
      </c>
      <c r="BK392">
        <v>6</v>
      </c>
      <c r="BL392">
        <v>6</v>
      </c>
      <c r="BM392">
        <v>6</v>
      </c>
      <c r="BN392">
        <v>6</v>
      </c>
      <c r="BO392">
        <v>6</v>
      </c>
      <c r="BP392">
        <v>6</v>
      </c>
      <c r="BQ392" t="str">
        <f>"6:00 AM"</f>
        <v>6:00 AM</v>
      </c>
      <c r="BR392" t="str">
        <f>"10:00 PM"</f>
        <v>10:00 PM</v>
      </c>
      <c r="BS392" t="s">
        <v>131</v>
      </c>
      <c r="BT392">
        <v>1</v>
      </c>
      <c r="BU392">
        <v>0</v>
      </c>
      <c r="BV392" t="s">
        <v>114</v>
      </c>
      <c r="BX392" s="2" t="s">
        <v>22275</v>
      </c>
      <c r="BY392" t="s">
        <v>22276</v>
      </c>
      <c r="CA392" t="s">
        <v>22271</v>
      </c>
      <c r="CB392" t="s">
        <v>358</v>
      </c>
      <c r="CC392" s="8" t="str">
        <f>"11435"</f>
        <v>11435</v>
      </c>
      <c r="CD392" t="s">
        <v>14334</v>
      </c>
      <c r="CE392" t="s">
        <v>1418</v>
      </c>
      <c r="CF392" s="12">
        <v>21.4</v>
      </c>
      <c r="CG392" s="12">
        <v>21.4</v>
      </c>
      <c r="CH392" s="12">
        <v>32.1</v>
      </c>
      <c r="CI392" s="12">
        <v>32.1</v>
      </c>
      <c r="CJ392" t="s">
        <v>135</v>
      </c>
      <c r="CK392" t="s">
        <v>22277</v>
      </c>
      <c r="CL392" t="s">
        <v>22278</v>
      </c>
      <c r="CO392" t="s">
        <v>132</v>
      </c>
      <c r="CP392" t="s">
        <v>114</v>
      </c>
      <c r="CQ392" t="s">
        <v>114</v>
      </c>
      <c r="CR392" t="s">
        <v>136</v>
      </c>
      <c r="CS392" t="s">
        <v>136</v>
      </c>
      <c r="CT392" t="s">
        <v>136</v>
      </c>
      <c r="CU392" t="s">
        <v>114</v>
      </c>
      <c r="CV392" t="s">
        <v>22279</v>
      </c>
      <c r="CW392" s="10" t="str">
        <f>"+17184006139"</f>
        <v>+17184006139</v>
      </c>
      <c r="CX392" t="s">
        <v>22274</v>
      </c>
      <c r="CY392" t="s">
        <v>132</v>
      </c>
      <c r="CZ392" t="s">
        <v>137</v>
      </c>
      <c r="DA392" t="s">
        <v>114</v>
      </c>
      <c r="DB392" t="s">
        <v>114</v>
      </c>
      <c r="DC392" t="s">
        <v>136</v>
      </c>
      <c r="DD392" t="s">
        <v>114</v>
      </c>
    </row>
    <row r="393" spans="1:108" ht="15" customHeight="1" x14ac:dyDescent="0.25">
      <c r="A393" t="s">
        <v>13566</v>
      </c>
      <c r="B393" t="s">
        <v>152</v>
      </c>
      <c r="C393" s="1">
        <v>45226.635064699076</v>
      </c>
      <c r="D393" s="1">
        <v>45274</v>
      </c>
      <c r="E393" t="s">
        <v>132</v>
      </c>
      <c r="F393" t="s">
        <v>13567</v>
      </c>
      <c r="G393" t="str">
        <f>"39-3093.00"</f>
        <v>39-3093.00</v>
      </c>
      <c r="H393" t="s">
        <v>6032</v>
      </c>
      <c r="I393">
        <v>10</v>
      </c>
      <c r="J393">
        <v>10</v>
      </c>
      <c r="K393" s="1">
        <v>45301</v>
      </c>
      <c r="L393" s="1">
        <v>45432</v>
      </c>
      <c r="M393" s="1">
        <v>45301</v>
      </c>
      <c r="N393" s="1">
        <v>45432</v>
      </c>
      <c r="O393" t="s">
        <v>238</v>
      </c>
      <c r="P393" t="s">
        <v>3334</v>
      </c>
      <c r="Q393" t="s">
        <v>3335</v>
      </c>
      <c r="R393" t="s">
        <v>3336</v>
      </c>
      <c r="T393" t="s">
        <v>1209</v>
      </c>
      <c r="U393" t="s">
        <v>140</v>
      </c>
      <c r="V393" s="8" t="str">
        <f>"33480"</f>
        <v>33480</v>
      </c>
      <c r="W393" t="s">
        <v>118</v>
      </c>
      <c r="Y393" s="10">
        <v>15615406700</v>
      </c>
      <c r="AA393">
        <v>72111</v>
      </c>
      <c r="AB393" t="s">
        <v>3337</v>
      </c>
      <c r="AC393" t="s">
        <v>3338</v>
      </c>
      <c r="AE393" t="s">
        <v>3339</v>
      </c>
      <c r="AF393" t="s">
        <v>3336</v>
      </c>
      <c r="AH393" t="s">
        <v>1209</v>
      </c>
      <c r="AI393" t="s">
        <v>140</v>
      </c>
      <c r="AJ393" s="8" t="str">
        <f>"33480"</f>
        <v>33480</v>
      </c>
      <c r="AK393" t="s">
        <v>118</v>
      </c>
      <c r="AM393" s="10">
        <v>15615406700</v>
      </c>
      <c r="AO393" t="s">
        <v>132</v>
      </c>
      <c r="AP393" t="s">
        <v>121</v>
      </c>
      <c r="AQ393" t="s">
        <v>1215</v>
      </c>
      <c r="AR393" t="s">
        <v>1216</v>
      </c>
      <c r="AS393" t="s">
        <v>1217</v>
      </c>
      <c r="AT393" t="s">
        <v>1433</v>
      </c>
      <c r="AU393" t="s">
        <v>1219</v>
      </c>
      <c r="AV393" t="s">
        <v>1220</v>
      </c>
      <c r="AW393" t="s">
        <v>358</v>
      </c>
      <c r="AX393" s="8" t="str">
        <f>"10036"</f>
        <v>10036</v>
      </c>
      <c r="AY393" t="s">
        <v>118</v>
      </c>
      <c r="BA393" s="10">
        <v>12123247280</v>
      </c>
      <c r="BC393" t="s">
        <v>1221</v>
      </c>
      <c r="BD393" t="s">
        <v>1222</v>
      </c>
      <c r="BE393" t="s">
        <v>375</v>
      </c>
      <c r="BF393" t="s">
        <v>1223</v>
      </c>
      <c r="BG393" t="s">
        <v>140</v>
      </c>
      <c r="BH393" s="1">
        <v>45222.833333333336</v>
      </c>
      <c r="BI393">
        <v>35</v>
      </c>
      <c r="BJ393">
        <v>5</v>
      </c>
      <c r="BK393">
        <v>5</v>
      </c>
      <c r="BL393">
        <v>5</v>
      </c>
      <c r="BM393">
        <v>5</v>
      </c>
      <c r="BN393">
        <v>5</v>
      </c>
      <c r="BO393">
        <v>5</v>
      </c>
      <c r="BP393">
        <v>5</v>
      </c>
      <c r="BQ393" t="str">
        <f>"6:00 AM"</f>
        <v>6:00 AM</v>
      </c>
      <c r="BR393" t="str">
        <f>"10:00 PM"</f>
        <v>10:00 PM</v>
      </c>
      <c r="BS393" t="s">
        <v>131</v>
      </c>
      <c r="BT393">
        <v>0</v>
      </c>
      <c r="BU393">
        <v>2</v>
      </c>
      <c r="BV393" t="s">
        <v>114</v>
      </c>
      <c r="BX393" s="2" t="s">
        <v>13568</v>
      </c>
      <c r="BY393" t="s">
        <v>3336</v>
      </c>
      <c r="CA393" t="s">
        <v>1209</v>
      </c>
      <c r="CB393" t="s">
        <v>140</v>
      </c>
      <c r="CC393" s="8" t="str">
        <f>"33480"</f>
        <v>33480</v>
      </c>
      <c r="CD393" t="s">
        <v>767</v>
      </c>
      <c r="CE393" t="s">
        <v>149</v>
      </c>
      <c r="CF393" s="12">
        <v>14.54</v>
      </c>
      <c r="CH393" s="12">
        <v>21.81</v>
      </c>
      <c r="CJ393" t="s">
        <v>135</v>
      </c>
      <c r="CK393" t="s">
        <v>3341</v>
      </c>
      <c r="CL393" t="s">
        <v>13569</v>
      </c>
      <c r="CO393" t="s">
        <v>136</v>
      </c>
      <c r="CP393" t="s">
        <v>114</v>
      </c>
      <c r="CQ393" t="s">
        <v>136</v>
      </c>
      <c r="CR393" t="s">
        <v>136</v>
      </c>
      <c r="CS393" t="s">
        <v>136</v>
      </c>
      <c r="CT393" t="s">
        <v>136</v>
      </c>
      <c r="CU393" t="s">
        <v>136</v>
      </c>
      <c r="CV393" t="s">
        <v>12608</v>
      </c>
      <c r="CW393" s="10" t="str">
        <f>"+15616592233"</f>
        <v>+15616592233</v>
      </c>
      <c r="CX393" t="s">
        <v>1228</v>
      </c>
      <c r="CY393" t="s">
        <v>132</v>
      </c>
      <c r="CZ393" t="s">
        <v>137</v>
      </c>
      <c r="DA393" t="s">
        <v>114</v>
      </c>
      <c r="DB393" t="s">
        <v>136</v>
      </c>
      <c r="DC393" t="s">
        <v>136</v>
      </c>
      <c r="DD393" t="s">
        <v>114</v>
      </c>
    </row>
    <row r="394" spans="1:108" ht="15" customHeight="1" x14ac:dyDescent="0.25">
      <c r="A394" t="s">
        <v>5440</v>
      </c>
      <c r="B394" t="s">
        <v>152</v>
      </c>
      <c r="C394" s="1">
        <v>45208.586159143517</v>
      </c>
      <c r="D394" s="1">
        <v>45274</v>
      </c>
      <c r="E394" t="s">
        <v>132</v>
      </c>
      <c r="F394" t="s">
        <v>1247</v>
      </c>
      <c r="G394" t="str">
        <f>"45-4011.00"</f>
        <v>45-4011.00</v>
      </c>
      <c r="H394" t="s">
        <v>842</v>
      </c>
      <c r="I394">
        <v>30</v>
      </c>
      <c r="J394">
        <v>30</v>
      </c>
      <c r="K394" s="1">
        <v>45292</v>
      </c>
      <c r="L394" s="1">
        <v>45595</v>
      </c>
      <c r="M394" s="1">
        <v>45292</v>
      </c>
      <c r="N394" s="1">
        <v>45595</v>
      </c>
      <c r="O394" t="s">
        <v>238</v>
      </c>
      <c r="P394" t="s">
        <v>5441</v>
      </c>
      <c r="R394" t="s">
        <v>5442</v>
      </c>
      <c r="T394" t="s">
        <v>845</v>
      </c>
      <c r="U394" t="s">
        <v>479</v>
      </c>
      <c r="V394" s="8" t="str">
        <f>"97502"</f>
        <v>97502</v>
      </c>
      <c r="W394" t="s">
        <v>118</v>
      </c>
      <c r="Y394" s="10">
        <v>15418904035</v>
      </c>
      <c r="AA394">
        <v>11531</v>
      </c>
      <c r="AB394" t="s">
        <v>5443</v>
      </c>
      <c r="AC394" t="s">
        <v>5444</v>
      </c>
      <c r="AE394" t="s">
        <v>2405</v>
      </c>
      <c r="AF394" t="s">
        <v>5442</v>
      </c>
      <c r="AH394" t="s">
        <v>845</v>
      </c>
      <c r="AI394" t="s">
        <v>479</v>
      </c>
      <c r="AJ394" s="8" t="str">
        <f>"97502"</f>
        <v>97502</v>
      </c>
      <c r="AK394" t="s">
        <v>118</v>
      </c>
      <c r="AM394" s="10">
        <v>15418904035</v>
      </c>
      <c r="AO394" t="s">
        <v>5445</v>
      </c>
      <c r="AP394" t="s">
        <v>248</v>
      </c>
      <c r="AQ394" t="s">
        <v>1601</v>
      </c>
      <c r="AR394" t="s">
        <v>1602</v>
      </c>
      <c r="AT394" t="s">
        <v>1253</v>
      </c>
      <c r="AU394" t="s">
        <v>852</v>
      </c>
      <c r="AV394" t="s">
        <v>853</v>
      </c>
      <c r="AW394" t="s">
        <v>854</v>
      </c>
      <c r="AX394" s="8" t="str">
        <f>"83814"</f>
        <v>83814</v>
      </c>
      <c r="AY394" t="s">
        <v>118</v>
      </c>
      <c r="BA394" s="10">
        <v>12087772654</v>
      </c>
      <c r="BC394" t="s">
        <v>1603</v>
      </c>
      <c r="BD394" t="s">
        <v>856</v>
      </c>
      <c r="BG394" t="s">
        <v>479</v>
      </c>
      <c r="BH394" s="1">
        <v>45200.833333333336</v>
      </c>
      <c r="BI394">
        <v>40</v>
      </c>
      <c r="BJ394">
        <v>0</v>
      </c>
      <c r="BK394">
        <v>8</v>
      </c>
      <c r="BL394">
        <v>8</v>
      </c>
      <c r="BM394">
        <v>8</v>
      </c>
      <c r="BN394">
        <v>8</v>
      </c>
      <c r="BO394">
        <v>8</v>
      </c>
      <c r="BP394">
        <v>0</v>
      </c>
      <c r="BQ394" t="str">
        <f>"7:00 AM"</f>
        <v>7:00 AM</v>
      </c>
      <c r="BR394" t="str">
        <f>"4:00 PM"</f>
        <v>4:00 PM</v>
      </c>
      <c r="BS394" t="s">
        <v>131</v>
      </c>
      <c r="BT394">
        <v>0</v>
      </c>
      <c r="BU394">
        <v>0</v>
      </c>
      <c r="BV394" t="s">
        <v>114</v>
      </c>
      <c r="BX394" t="s">
        <v>4841</v>
      </c>
      <c r="BY394" t="s">
        <v>5446</v>
      </c>
      <c r="CA394" t="s">
        <v>845</v>
      </c>
      <c r="CB394" t="s">
        <v>479</v>
      </c>
      <c r="CC394" s="8" t="str">
        <f>"97502"</f>
        <v>97502</v>
      </c>
      <c r="CD394" t="s">
        <v>859</v>
      </c>
      <c r="CE394" t="s">
        <v>860</v>
      </c>
      <c r="CF394" s="12">
        <v>15.39</v>
      </c>
      <c r="CG394" s="12">
        <v>24.44</v>
      </c>
      <c r="CH394" s="12">
        <v>23.09</v>
      </c>
      <c r="CI394" s="12">
        <v>36.659999999999997</v>
      </c>
      <c r="CJ394" t="s">
        <v>135</v>
      </c>
      <c r="CK394" t="s">
        <v>861</v>
      </c>
      <c r="CL394" t="s">
        <v>5447</v>
      </c>
      <c r="CO394" t="s">
        <v>132</v>
      </c>
      <c r="CP394" t="s">
        <v>136</v>
      </c>
      <c r="CQ394" t="s">
        <v>136</v>
      </c>
      <c r="CR394" t="s">
        <v>136</v>
      </c>
      <c r="CS394" t="s">
        <v>136</v>
      </c>
      <c r="CT394" t="s">
        <v>136</v>
      </c>
      <c r="CU394" t="s">
        <v>136</v>
      </c>
      <c r="CV394" t="s">
        <v>1040</v>
      </c>
      <c r="CW394" s="10" t="str">
        <f>"+15418904035"</f>
        <v>+15418904035</v>
      </c>
      <c r="CX394" t="s">
        <v>5445</v>
      </c>
      <c r="CY394" t="s">
        <v>132</v>
      </c>
      <c r="CZ394" t="s">
        <v>137</v>
      </c>
      <c r="DA394" t="s">
        <v>114</v>
      </c>
      <c r="DB394" t="s">
        <v>114</v>
      </c>
      <c r="DC394" t="s">
        <v>136</v>
      </c>
      <c r="DD394" t="s">
        <v>114</v>
      </c>
    </row>
    <row r="395" spans="1:108" ht="15" customHeight="1" x14ac:dyDescent="0.25">
      <c r="A395" t="s">
        <v>23913</v>
      </c>
      <c r="B395" t="s">
        <v>152</v>
      </c>
      <c r="C395" s="1">
        <v>45175.91053090278</v>
      </c>
      <c r="D395" s="1">
        <v>45274</v>
      </c>
      <c r="E395" t="s">
        <v>132</v>
      </c>
      <c r="F395" t="s">
        <v>1397</v>
      </c>
      <c r="G395" t="str">
        <f>"39-9011.01"</f>
        <v>39-9011.01</v>
      </c>
      <c r="H395" t="s">
        <v>1488</v>
      </c>
      <c r="I395">
        <v>1</v>
      </c>
      <c r="J395">
        <v>1</v>
      </c>
      <c r="K395" s="1">
        <v>45250</v>
      </c>
      <c r="L395" s="1">
        <v>46235</v>
      </c>
      <c r="M395" s="1">
        <v>45250</v>
      </c>
      <c r="N395" s="1">
        <v>46235</v>
      </c>
      <c r="O395" t="s">
        <v>184</v>
      </c>
      <c r="P395" t="s">
        <v>23914</v>
      </c>
      <c r="R395" t="s">
        <v>23915</v>
      </c>
      <c r="T395" t="s">
        <v>964</v>
      </c>
      <c r="U395" t="s">
        <v>127</v>
      </c>
      <c r="V395" s="8" t="str">
        <f>"75033"</f>
        <v>75033</v>
      </c>
      <c r="W395" t="s">
        <v>118</v>
      </c>
      <c r="Y395" s="10">
        <v>15046547331</v>
      </c>
      <c r="AA395">
        <v>814110</v>
      </c>
      <c r="AB395" t="s">
        <v>2000</v>
      </c>
      <c r="AC395" t="s">
        <v>3317</v>
      </c>
      <c r="AE395" t="s">
        <v>23916</v>
      </c>
      <c r="AF395" t="s">
        <v>23915</v>
      </c>
      <c r="AH395" t="s">
        <v>964</v>
      </c>
      <c r="AI395" t="s">
        <v>127</v>
      </c>
      <c r="AJ395" s="8" t="str">
        <f>"75033"</f>
        <v>75033</v>
      </c>
      <c r="AK395" t="s">
        <v>118</v>
      </c>
      <c r="AM395" s="10">
        <v>15046547331</v>
      </c>
      <c r="AO395" t="s">
        <v>23917</v>
      </c>
      <c r="AP395" t="s">
        <v>121</v>
      </c>
      <c r="AQ395" t="s">
        <v>23918</v>
      </c>
      <c r="AR395" t="s">
        <v>5285</v>
      </c>
      <c r="AT395" t="s">
        <v>23919</v>
      </c>
      <c r="AV395" t="s">
        <v>2564</v>
      </c>
      <c r="AW395" t="s">
        <v>127</v>
      </c>
      <c r="AX395" s="8" t="str">
        <f>"77024"</f>
        <v>77024</v>
      </c>
      <c r="AY395" t="s">
        <v>118</v>
      </c>
      <c r="BA395" s="10">
        <v>17136843550</v>
      </c>
      <c r="BC395" t="s">
        <v>23920</v>
      </c>
      <c r="BD395" t="s">
        <v>23921</v>
      </c>
      <c r="BE395" t="s">
        <v>127</v>
      </c>
      <c r="BF395" t="s">
        <v>750</v>
      </c>
      <c r="BG395" t="s">
        <v>127</v>
      </c>
      <c r="BH395" s="1">
        <v>45174.833333333336</v>
      </c>
      <c r="BI395">
        <v>40</v>
      </c>
      <c r="BJ395">
        <v>0</v>
      </c>
      <c r="BK395">
        <v>8</v>
      </c>
      <c r="BL395">
        <v>8</v>
      </c>
      <c r="BM395">
        <v>8</v>
      </c>
      <c r="BN395">
        <v>8</v>
      </c>
      <c r="BO395">
        <v>8</v>
      </c>
      <c r="BP395">
        <v>0</v>
      </c>
      <c r="BQ395" t="str">
        <f>"8:00 AM"</f>
        <v>8:00 AM</v>
      </c>
      <c r="BR395" t="str">
        <f>"5:00 PM"</f>
        <v>5:00 PM</v>
      </c>
      <c r="BS395" t="s">
        <v>131</v>
      </c>
      <c r="BT395">
        <v>0</v>
      </c>
      <c r="BU395">
        <v>12</v>
      </c>
      <c r="BV395" t="s">
        <v>114</v>
      </c>
      <c r="BX395" s="2" t="s">
        <v>23922</v>
      </c>
      <c r="BY395" t="s">
        <v>23915</v>
      </c>
      <c r="CA395" t="s">
        <v>964</v>
      </c>
      <c r="CB395" t="s">
        <v>127</v>
      </c>
      <c r="CC395" s="8" t="str">
        <f>"75033"</f>
        <v>75033</v>
      </c>
      <c r="CD395" t="s">
        <v>3259</v>
      </c>
      <c r="CE395" t="s">
        <v>263</v>
      </c>
      <c r="CF395" s="12">
        <v>12.19</v>
      </c>
      <c r="CG395" s="12">
        <v>12.19</v>
      </c>
      <c r="CH395" s="12">
        <v>18.29</v>
      </c>
      <c r="CI395" s="12">
        <v>18.29</v>
      </c>
      <c r="CJ395" t="s">
        <v>135</v>
      </c>
      <c r="CL395" t="s">
        <v>23923</v>
      </c>
      <c r="CO395" t="s">
        <v>132</v>
      </c>
      <c r="CP395" t="s">
        <v>114</v>
      </c>
      <c r="CQ395" t="s">
        <v>114</v>
      </c>
      <c r="CR395" t="s">
        <v>136</v>
      </c>
      <c r="CS395" t="s">
        <v>114</v>
      </c>
      <c r="CT395" t="s">
        <v>136</v>
      </c>
      <c r="CU395" t="s">
        <v>136</v>
      </c>
      <c r="CV395" t="s">
        <v>23924</v>
      </c>
      <c r="CW395" s="10" t="str">
        <f>"+15046547331"</f>
        <v>+15046547331</v>
      </c>
      <c r="CX395" t="s">
        <v>23917</v>
      </c>
      <c r="CY395" t="s">
        <v>132</v>
      </c>
      <c r="CZ395" t="s">
        <v>137</v>
      </c>
      <c r="DA395" t="s">
        <v>114</v>
      </c>
      <c r="DB395" t="s">
        <v>114</v>
      </c>
      <c r="DC395" t="s">
        <v>136</v>
      </c>
      <c r="DD395" t="s">
        <v>114</v>
      </c>
    </row>
    <row r="396" spans="1:108" ht="15" customHeight="1" x14ac:dyDescent="0.25">
      <c r="A396" t="s">
        <v>13782</v>
      </c>
      <c r="B396" t="s">
        <v>152</v>
      </c>
      <c r="C396" s="1">
        <v>45127.494499305554</v>
      </c>
      <c r="D396" s="1">
        <v>45274</v>
      </c>
      <c r="E396" t="s">
        <v>114</v>
      </c>
      <c r="F396" t="s">
        <v>13783</v>
      </c>
      <c r="G396" t="str">
        <f>"47-2044.00"</f>
        <v>47-2044.00</v>
      </c>
      <c r="H396" t="s">
        <v>4794</v>
      </c>
      <c r="I396">
        <v>70</v>
      </c>
      <c r="J396">
        <v>70</v>
      </c>
      <c r="K396" s="1">
        <v>45216</v>
      </c>
      <c r="L396" s="1">
        <v>45473</v>
      </c>
      <c r="M396" s="1">
        <v>45216</v>
      </c>
      <c r="N396" s="1">
        <v>45473</v>
      </c>
      <c r="O396" t="s">
        <v>184</v>
      </c>
      <c r="P396" t="s">
        <v>13784</v>
      </c>
      <c r="R396" t="s">
        <v>13785</v>
      </c>
      <c r="S396" t="s">
        <v>13786</v>
      </c>
      <c r="T396" t="s">
        <v>13787</v>
      </c>
      <c r="U396" t="s">
        <v>1598</v>
      </c>
      <c r="V396" s="8" t="str">
        <f>"36542"</f>
        <v>36542</v>
      </c>
      <c r="W396" t="s">
        <v>118</v>
      </c>
      <c r="Y396" s="10">
        <v>16469828810</v>
      </c>
      <c r="AA396">
        <v>238340</v>
      </c>
      <c r="AB396" t="s">
        <v>7260</v>
      </c>
      <c r="AC396" t="s">
        <v>3730</v>
      </c>
      <c r="AE396" t="s">
        <v>794</v>
      </c>
      <c r="AF396" t="s">
        <v>13785</v>
      </c>
      <c r="AG396" t="s">
        <v>13786</v>
      </c>
      <c r="AH396" t="s">
        <v>7261</v>
      </c>
      <c r="AI396" t="s">
        <v>1598</v>
      </c>
      <c r="AJ396" s="8" t="str">
        <f>"36542"</f>
        <v>36542</v>
      </c>
      <c r="AK396" t="s">
        <v>118</v>
      </c>
      <c r="AM396" s="10">
        <v>16469828810</v>
      </c>
      <c r="AO396" t="s">
        <v>7262</v>
      </c>
      <c r="AP396" t="s">
        <v>248</v>
      </c>
      <c r="AQ396" t="s">
        <v>2000</v>
      </c>
      <c r="AR396" t="s">
        <v>2293</v>
      </c>
      <c r="AT396" t="s">
        <v>13788</v>
      </c>
      <c r="AU396" t="s">
        <v>7943</v>
      </c>
      <c r="AV396" t="s">
        <v>9330</v>
      </c>
      <c r="AW396" t="s">
        <v>375</v>
      </c>
      <c r="AX396" s="8" t="str">
        <f>"27560"</f>
        <v>27560</v>
      </c>
      <c r="AY396" t="s">
        <v>118</v>
      </c>
      <c r="BA396" s="10">
        <v>18622830808</v>
      </c>
      <c r="BC396" t="s">
        <v>13789</v>
      </c>
      <c r="BD396" t="s">
        <v>13790</v>
      </c>
      <c r="BG396" t="s">
        <v>1598</v>
      </c>
      <c r="BH396" s="1">
        <v>45126.833333333336</v>
      </c>
      <c r="BI396">
        <v>40</v>
      </c>
      <c r="BJ396">
        <v>0</v>
      </c>
      <c r="BK396">
        <v>8</v>
      </c>
      <c r="BL396">
        <v>8</v>
      </c>
      <c r="BM396">
        <v>8</v>
      </c>
      <c r="BN396">
        <v>8</v>
      </c>
      <c r="BO396">
        <v>8</v>
      </c>
      <c r="BP396">
        <v>0</v>
      </c>
      <c r="BQ396" t="str">
        <f>"7:00 AM"</f>
        <v>7:00 AM</v>
      </c>
      <c r="BR396" t="str">
        <f>"3:00 PM"</f>
        <v>3:00 PM</v>
      </c>
      <c r="BS396" t="s">
        <v>131</v>
      </c>
      <c r="BT396">
        <v>0</v>
      </c>
      <c r="BU396">
        <v>6</v>
      </c>
      <c r="BV396" t="s">
        <v>114</v>
      </c>
      <c r="BX396" t="s">
        <v>13791</v>
      </c>
      <c r="BY396" t="s">
        <v>13792</v>
      </c>
      <c r="CA396" t="s">
        <v>7261</v>
      </c>
      <c r="CB396" t="s">
        <v>1598</v>
      </c>
      <c r="CC396" s="8" t="str">
        <f>"36542"</f>
        <v>36542</v>
      </c>
      <c r="CD396" t="s">
        <v>5370</v>
      </c>
      <c r="CE396" t="s">
        <v>5371</v>
      </c>
      <c r="CF396" s="12">
        <v>17.100000000000001</v>
      </c>
      <c r="CG396" s="12">
        <v>17.100000000000001</v>
      </c>
      <c r="CH396" s="12">
        <v>25.65</v>
      </c>
      <c r="CI396" s="12">
        <v>25.65</v>
      </c>
      <c r="CJ396" t="s">
        <v>135</v>
      </c>
      <c r="CL396" t="s">
        <v>13793</v>
      </c>
      <c r="CO396" t="s">
        <v>132</v>
      </c>
      <c r="CP396" t="s">
        <v>114</v>
      </c>
      <c r="CQ396" t="s">
        <v>114</v>
      </c>
      <c r="CR396" t="s">
        <v>136</v>
      </c>
      <c r="CS396" t="s">
        <v>114</v>
      </c>
      <c r="CT396" t="s">
        <v>136</v>
      </c>
      <c r="CU396" t="s">
        <v>136</v>
      </c>
      <c r="CV396" s="2" t="s">
        <v>13794</v>
      </c>
      <c r="CW396" s="10" t="str">
        <f>"+18622830808"</f>
        <v>+18622830808</v>
      </c>
      <c r="CX396" t="s">
        <v>13789</v>
      </c>
      <c r="CY396" t="s">
        <v>132</v>
      </c>
      <c r="CZ396" t="s">
        <v>137</v>
      </c>
      <c r="DA396" t="s">
        <v>114</v>
      </c>
      <c r="DB396" t="s">
        <v>136</v>
      </c>
      <c r="DC396" t="s">
        <v>136</v>
      </c>
      <c r="DD396" t="s">
        <v>114</v>
      </c>
    </row>
    <row r="397" spans="1:108" ht="15" customHeight="1" x14ac:dyDescent="0.25">
      <c r="A397" t="s">
        <v>15028</v>
      </c>
      <c r="B397" t="s">
        <v>152</v>
      </c>
      <c r="C397" s="1">
        <v>45247.755890393521</v>
      </c>
      <c r="D397" s="1">
        <v>45273</v>
      </c>
      <c r="E397" t="s">
        <v>132</v>
      </c>
      <c r="F397" t="s">
        <v>429</v>
      </c>
      <c r="G397" t="str">
        <f>"37-3011.00"</f>
        <v>37-3011.00</v>
      </c>
      <c r="H397" t="s">
        <v>429</v>
      </c>
      <c r="I397">
        <v>15</v>
      </c>
      <c r="J397">
        <v>15</v>
      </c>
      <c r="K397" s="1">
        <v>45337</v>
      </c>
      <c r="L397" s="1">
        <v>45641</v>
      </c>
      <c r="M397" s="1">
        <v>45337</v>
      </c>
      <c r="N397" s="1">
        <v>45641</v>
      </c>
      <c r="O397" t="s">
        <v>116</v>
      </c>
      <c r="P397" t="s">
        <v>15029</v>
      </c>
      <c r="R397" t="s">
        <v>15030</v>
      </c>
      <c r="T397" t="s">
        <v>1814</v>
      </c>
      <c r="U397" t="s">
        <v>333</v>
      </c>
      <c r="V397" s="8" t="str">
        <f>"70817"</f>
        <v>70817</v>
      </c>
      <c r="W397" t="s">
        <v>118</v>
      </c>
      <c r="Y397" s="10">
        <v>12255722957</v>
      </c>
      <c r="AA397">
        <v>56173</v>
      </c>
      <c r="AB397" t="s">
        <v>15031</v>
      </c>
      <c r="AC397" t="s">
        <v>15032</v>
      </c>
      <c r="AE397" t="s">
        <v>561</v>
      </c>
      <c r="AF397" t="s">
        <v>15030</v>
      </c>
      <c r="AH397" t="s">
        <v>1814</v>
      </c>
      <c r="AI397" t="s">
        <v>333</v>
      </c>
      <c r="AJ397" s="8" t="str">
        <f>"70817"</f>
        <v>70817</v>
      </c>
      <c r="AK397" t="s">
        <v>118</v>
      </c>
      <c r="AM397" s="10">
        <v>12255722957</v>
      </c>
      <c r="AO397" t="s">
        <v>15033</v>
      </c>
      <c r="AP397" t="s">
        <v>248</v>
      </c>
      <c r="AQ397" t="s">
        <v>3290</v>
      </c>
      <c r="AR397" t="s">
        <v>2001</v>
      </c>
      <c r="AT397" t="s">
        <v>3291</v>
      </c>
      <c r="AV397" t="s">
        <v>3292</v>
      </c>
      <c r="AW397" t="s">
        <v>402</v>
      </c>
      <c r="AX397" s="8" t="str">
        <f>"93446"</f>
        <v>93446</v>
      </c>
      <c r="AY397" t="s">
        <v>118</v>
      </c>
      <c r="AZ397" t="s">
        <v>3293</v>
      </c>
      <c r="BA397" s="10">
        <v>13217042589</v>
      </c>
      <c r="BC397" t="s">
        <v>3294</v>
      </c>
      <c r="BD397" t="s">
        <v>3295</v>
      </c>
      <c r="BG397" t="s">
        <v>333</v>
      </c>
      <c r="BH397" s="1">
        <v>45232.833333333336</v>
      </c>
      <c r="BI397">
        <v>35</v>
      </c>
      <c r="BJ397">
        <v>0</v>
      </c>
      <c r="BK397">
        <v>7</v>
      </c>
      <c r="BL397">
        <v>7</v>
      </c>
      <c r="BM397">
        <v>7</v>
      </c>
      <c r="BN397">
        <v>7</v>
      </c>
      <c r="BO397">
        <v>7</v>
      </c>
      <c r="BP397">
        <v>0</v>
      </c>
      <c r="BQ397" t="str">
        <f>"7:00 AM"</f>
        <v>7:00 AM</v>
      </c>
      <c r="BR397" t="str">
        <f>"4:00 PM"</f>
        <v>4:00 PM</v>
      </c>
      <c r="BS397" t="s">
        <v>131</v>
      </c>
      <c r="BT397">
        <v>0</v>
      </c>
      <c r="BU397">
        <v>0</v>
      </c>
      <c r="BV397" t="s">
        <v>114</v>
      </c>
      <c r="BX397" s="2" t="s">
        <v>15034</v>
      </c>
      <c r="BY397" t="s">
        <v>15035</v>
      </c>
      <c r="CA397" t="s">
        <v>1814</v>
      </c>
      <c r="CB397" t="s">
        <v>333</v>
      </c>
      <c r="CC397" s="8" t="str">
        <f>"70817"</f>
        <v>70817</v>
      </c>
      <c r="CD397" t="s">
        <v>1929</v>
      </c>
      <c r="CE397" t="s">
        <v>1930</v>
      </c>
      <c r="CF397" s="12">
        <v>15.19</v>
      </c>
      <c r="CG397" s="12">
        <v>15.19</v>
      </c>
      <c r="CH397" s="12">
        <v>22.79</v>
      </c>
      <c r="CI397" s="12">
        <v>22.79</v>
      </c>
      <c r="CJ397" t="s">
        <v>135</v>
      </c>
      <c r="CK397" t="s">
        <v>3300</v>
      </c>
      <c r="CL397" t="s">
        <v>15036</v>
      </c>
      <c r="CO397" t="s">
        <v>132</v>
      </c>
      <c r="CP397" t="s">
        <v>136</v>
      </c>
      <c r="CQ397" t="s">
        <v>136</v>
      </c>
      <c r="CR397" t="s">
        <v>136</v>
      </c>
      <c r="CS397" t="s">
        <v>136</v>
      </c>
      <c r="CT397" t="s">
        <v>136</v>
      </c>
      <c r="CU397" t="s">
        <v>136</v>
      </c>
      <c r="CV397" t="s">
        <v>15037</v>
      </c>
      <c r="CW397" s="10" t="str">
        <f>"+12255722957"</f>
        <v>+12255722957</v>
      </c>
      <c r="CX397" t="s">
        <v>15033</v>
      </c>
      <c r="CY397" t="s">
        <v>132</v>
      </c>
      <c r="CZ397" t="s">
        <v>137</v>
      </c>
      <c r="DA397" t="s">
        <v>114</v>
      </c>
      <c r="DB397" t="s">
        <v>114</v>
      </c>
      <c r="DC397" t="s">
        <v>136</v>
      </c>
      <c r="DD397" t="s">
        <v>114</v>
      </c>
    </row>
    <row r="398" spans="1:108" ht="15" customHeight="1" x14ac:dyDescent="0.25">
      <c r="A398" t="s">
        <v>7905</v>
      </c>
      <c r="B398" t="s">
        <v>152</v>
      </c>
      <c r="C398" s="1">
        <v>45247.754234837965</v>
      </c>
      <c r="D398" s="1">
        <v>45273</v>
      </c>
      <c r="E398" t="s">
        <v>132</v>
      </c>
      <c r="F398" t="s">
        <v>5957</v>
      </c>
      <c r="G398" t="str">
        <f>"35-2014.00"</f>
        <v>35-2014.00</v>
      </c>
      <c r="H398" t="s">
        <v>154</v>
      </c>
      <c r="I398">
        <v>6</v>
      </c>
      <c r="J398">
        <v>6</v>
      </c>
      <c r="K398" s="1">
        <v>45337</v>
      </c>
      <c r="L398" s="1">
        <v>45641</v>
      </c>
      <c r="M398" s="1">
        <v>45337</v>
      </c>
      <c r="N398" s="1">
        <v>45641</v>
      </c>
      <c r="O398" t="s">
        <v>116</v>
      </c>
      <c r="P398" t="s">
        <v>7906</v>
      </c>
      <c r="Q398" t="s">
        <v>7907</v>
      </c>
      <c r="R398" t="s">
        <v>7908</v>
      </c>
      <c r="T398" t="s">
        <v>7909</v>
      </c>
      <c r="U398" t="s">
        <v>792</v>
      </c>
      <c r="V398" s="8" t="str">
        <f>"98250"</f>
        <v>98250</v>
      </c>
      <c r="W398" t="s">
        <v>118</v>
      </c>
      <c r="Y398" s="10">
        <v>13603178537</v>
      </c>
      <c r="AA398">
        <v>72251</v>
      </c>
      <c r="AB398" t="s">
        <v>1945</v>
      </c>
      <c r="AC398" t="s">
        <v>1713</v>
      </c>
      <c r="AE398" t="s">
        <v>561</v>
      </c>
      <c r="AF398" t="s">
        <v>7908</v>
      </c>
      <c r="AH398" t="s">
        <v>7909</v>
      </c>
      <c r="AI398" t="s">
        <v>792</v>
      </c>
      <c r="AJ398" s="8" t="str">
        <f>"98250"</f>
        <v>98250</v>
      </c>
      <c r="AK398" t="s">
        <v>118</v>
      </c>
      <c r="AM398" s="10">
        <v>13603178537</v>
      </c>
      <c r="AO398" t="s">
        <v>7910</v>
      </c>
      <c r="AP398" t="s">
        <v>248</v>
      </c>
      <c r="AQ398" t="s">
        <v>3290</v>
      </c>
      <c r="AR398" t="s">
        <v>2001</v>
      </c>
      <c r="AT398" t="s">
        <v>3291</v>
      </c>
      <c r="AV398" t="s">
        <v>3292</v>
      </c>
      <c r="AW398" t="s">
        <v>402</v>
      </c>
      <c r="AX398" s="8" t="str">
        <f>"93446"</f>
        <v>93446</v>
      </c>
      <c r="AY398" t="s">
        <v>118</v>
      </c>
      <c r="AZ398" t="s">
        <v>3293</v>
      </c>
      <c r="BA398" s="10">
        <v>13217042589</v>
      </c>
      <c r="BC398" t="s">
        <v>3294</v>
      </c>
      <c r="BD398" t="s">
        <v>3295</v>
      </c>
      <c r="BG398" t="s">
        <v>792</v>
      </c>
      <c r="BH398" s="1">
        <v>45244.791666666664</v>
      </c>
      <c r="BI398">
        <v>40</v>
      </c>
      <c r="BJ398">
        <v>0</v>
      </c>
      <c r="BK398">
        <v>8</v>
      </c>
      <c r="BL398">
        <v>8</v>
      </c>
      <c r="BM398">
        <v>8</v>
      </c>
      <c r="BN398">
        <v>8</v>
      </c>
      <c r="BO398">
        <v>8</v>
      </c>
      <c r="BP398">
        <v>0</v>
      </c>
      <c r="BQ398" t="str">
        <f>"7:00 AM"</f>
        <v>7:00 AM</v>
      </c>
      <c r="BR398" t="str">
        <f>"12:00 PM"</f>
        <v>12:00 PM</v>
      </c>
      <c r="BS398" t="s">
        <v>131</v>
      </c>
      <c r="BT398">
        <v>0</v>
      </c>
      <c r="BU398">
        <v>0</v>
      </c>
      <c r="BV398" t="s">
        <v>114</v>
      </c>
      <c r="BX398" s="2" t="s">
        <v>7911</v>
      </c>
      <c r="BY398" t="s">
        <v>7908</v>
      </c>
      <c r="CA398" t="s">
        <v>7909</v>
      </c>
      <c r="CB398" t="s">
        <v>792</v>
      </c>
      <c r="CC398" s="8" t="str">
        <f>"98250"</f>
        <v>98250</v>
      </c>
      <c r="CD398" t="s">
        <v>7912</v>
      </c>
      <c r="CE398" t="s">
        <v>5450</v>
      </c>
      <c r="CF398" s="12">
        <v>18.55</v>
      </c>
      <c r="CG398" s="12">
        <v>18.55</v>
      </c>
      <c r="CH398" s="12">
        <v>27.83</v>
      </c>
      <c r="CI398" s="12">
        <v>27.83</v>
      </c>
      <c r="CJ398" t="s">
        <v>135</v>
      </c>
      <c r="CK398" t="s">
        <v>3300</v>
      </c>
      <c r="CL398" t="s">
        <v>7913</v>
      </c>
      <c r="CO398" t="s">
        <v>132</v>
      </c>
      <c r="CP398" t="s">
        <v>136</v>
      </c>
      <c r="CQ398" t="s">
        <v>114</v>
      </c>
      <c r="CR398" t="s">
        <v>136</v>
      </c>
      <c r="CS398" t="s">
        <v>136</v>
      </c>
      <c r="CT398" t="s">
        <v>136</v>
      </c>
      <c r="CU398" t="s">
        <v>136</v>
      </c>
      <c r="CV398" t="s">
        <v>7914</v>
      </c>
      <c r="CW398" s="10" t="str">
        <f>"+13603178537"</f>
        <v>+13603178537</v>
      </c>
      <c r="CX398" t="s">
        <v>7910</v>
      </c>
      <c r="CY398" t="s">
        <v>132</v>
      </c>
      <c r="CZ398" t="s">
        <v>137</v>
      </c>
      <c r="DA398" t="s">
        <v>114</v>
      </c>
      <c r="DB398" t="s">
        <v>114</v>
      </c>
      <c r="DC398" t="s">
        <v>136</v>
      </c>
      <c r="DD398" t="s">
        <v>114</v>
      </c>
    </row>
    <row r="399" spans="1:108" ht="15" customHeight="1" x14ac:dyDescent="0.25">
      <c r="A399" t="s">
        <v>17759</v>
      </c>
      <c r="B399" t="s">
        <v>152</v>
      </c>
      <c r="C399" s="1">
        <v>45247.738413541665</v>
      </c>
      <c r="D399" s="1">
        <v>45273</v>
      </c>
      <c r="E399" t="s">
        <v>132</v>
      </c>
      <c r="F399" t="s">
        <v>17760</v>
      </c>
      <c r="G399" t="str">
        <f>"37-3011.00"</f>
        <v>37-3011.00</v>
      </c>
      <c r="H399" t="s">
        <v>429</v>
      </c>
      <c r="I399">
        <v>2</v>
      </c>
      <c r="J399">
        <v>2</v>
      </c>
      <c r="K399" s="1">
        <v>45337</v>
      </c>
      <c r="L399" s="1">
        <v>45611</v>
      </c>
      <c r="M399" s="1">
        <v>45337</v>
      </c>
      <c r="N399" s="1">
        <v>45611</v>
      </c>
      <c r="O399" t="s">
        <v>116</v>
      </c>
      <c r="P399" t="s">
        <v>17761</v>
      </c>
      <c r="Q399" t="s">
        <v>17762</v>
      </c>
      <c r="R399" t="s">
        <v>17763</v>
      </c>
      <c r="T399" t="s">
        <v>2327</v>
      </c>
      <c r="U399" t="s">
        <v>333</v>
      </c>
      <c r="V399" s="8" t="str">
        <f>"70435"</f>
        <v>70435</v>
      </c>
      <c r="W399" t="s">
        <v>118</v>
      </c>
      <c r="Y399" s="10">
        <v>19852904200</v>
      </c>
      <c r="AA399">
        <v>56173</v>
      </c>
      <c r="AB399" t="s">
        <v>17764</v>
      </c>
      <c r="AC399" t="s">
        <v>17765</v>
      </c>
      <c r="AE399" t="s">
        <v>561</v>
      </c>
      <c r="AF399" t="s">
        <v>17763</v>
      </c>
      <c r="AH399" t="s">
        <v>2327</v>
      </c>
      <c r="AI399" t="s">
        <v>333</v>
      </c>
      <c r="AJ399" s="8" t="str">
        <f>"70435"</f>
        <v>70435</v>
      </c>
      <c r="AK399" t="s">
        <v>118</v>
      </c>
      <c r="AM399" s="10">
        <v>19852904200</v>
      </c>
      <c r="AO399" t="s">
        <v>17766</v>
      </c>
      <c r="AP399" t="s">
        <v>248</v>
      </c>
      <c r="AQ399" t="s">
        <v>3290</v>
      </c>
      <c r="AR399" t="s">
        <v>2001</v>
      </c>
      <c r="AT399" t="s">
        <v>3291</v>
      </c>
      <c r="AV399" t="s">
        <v>3292</v>
      </c>
      <c r="AW399" t="s">
        <v>402</v>
      </c>
      <c r="AX399" s="8" t="str">
        <f>"93446"</f>
        <v>93446</v>
      </c>
      <c r="AY399" t="s">
        <v>118</v>
      </c>
      <c r="AZ399" t="s">
        <v>3293</v>
      </c>
      <c r="BA399" s="10">
        <v>13217042589</v>
      </c>
      <c r="BC399" t="s">
        <v>3294</v>
      </c>
      <c r="BD399" t="s">
        <v>3295</v>
      </c>
      <c r="BG399" t="s">
        <v>333</v>
      </c>
      <c r="BH399" s="1">
        <v>45244.791666666664</v>
      </c>
      <c r="BI399">
        <v>40</v>
      </c>
      <c r="BJ399">
        <v>0</v>
      </c>
      <c r="BK399">
        <v>8</v>
      </c>
      <c r="BL399">
        <v>8</v>
      </c>
      <c r="BM399">
        <v>8</v>
      </c>
      <c r="BN399">
        <v>8</v>
      </c>
      <c r="BO399">
        <v>8</v>
      </c>
      <c r="BP399">
        <v>0</v>
      </c>
      <c r="BQ399" t="str">
        <f>"7:00 AM"</f>
        <v>7:00 AM</v>
      </c>
      <c r="BR399" t="str">
        <f>"3:00 PM"</f>
        <v>3:00 PM</v>
      </c>
      <c r="BS399" t="s">
        <v>131</v>
      </c>
      <c r="BT399">
        <v>0</v>
      </c>
      <c r="BU399">
        <v>0</v>
      </c>
      <c r="BV399" t="s">
        <v>114</v>
      </c>
      <c r="BX399" s="2" t="s">
        <v>17767</v>
      </c>
      <c r="BY399" t="s">
        <v>17763</v>
      </c>
      <c r="CA399" t="s">
        <v>2327</v>
      </c>
      <c r="CB399" t="s">
        <v>333</v>
      </c>
      <c r="CC399" s="8" t="str">
        <f>"70435"</f>
        <v>70435</v>
      </c>
      <c r="CD399" t="s">
        <v>340</v>
      </c>
      <c r="CE399" t="s">
        <v>341</v>
      </c>
      <c r="CF399" s="12">
        <v>14.72</v>
      </c>
      <c r="CG399" s="12">
        <v>14.72</v>
      </c>
      <c r="CH399" s="12">
        <v>22.08</v>
      </c>
      <c r="CI399" s="12">
        <v>22.08</v>
      </c>
      <c r="CJ399" t="s">
        <v>135</v>
      </c>
      <c r="CK399" t="s">
        <v>3300</v>
      </c>
      <c r="CL399" t="s">
        <v>17768</v>
      </c>
      <c r="CO399" t="s">
        <v>132</v>
      </c>
      <c r="CP399" t="s">
        <v>136</v>
      </c>
      <c r="CQ399" t="s">
        <v>136</v>
      </c>
      <c r="CR399" t="s">
        <v>136</v>
      </c>
      <c r="CS399" t="s">
        <v>136</v>
      </c>
      <c r="CT399" t="s">
        <v>136</v>
      </c>
      <c r="CU399" t="s">
        <v>136</v>
      </c>
      <c r="CV399" t="s">
        <v>132</v>
      </c>
      <c r="CW399" s="10" t="str">
        <f>"+19854001648"</f>
        <v>+19854001648</v>
      </c>
      <c r="CX399" t="s">
        <v>17769</v>
      </c>
      <c r="CY399" t="s">
        <v>132</v>
      </c>
      <c r="CZ399" t="s">
        <v>137</v>
      </c>
      <c r="DA399" t="s">
        <v>114</v>
      </c>
      <c r="DB399" t="s">
        <v>114</v>
      </c>
      <c r="DC399" t="s">
        <v>136</v>
      </c>
      <c r="DD399" t="s">
        <v>114</v>
      </c>
    </row>
    <row r="400" spans="1:108" ht="15" customHeight="1" x14ac:dyDescent="0.25">
      <c r="A400" t="s">
        <v>21145</v>
      </c>
      <c r="B400" t="s">
        <v>152</v>
      </c>
      <c r="C400" s="1">
        <v>45247.720032870369</v>
      </c>
      <c r="D400" s="1">
        <v>45273</v>
      </c>
      <c r="E400" t="s">
        <v>132</v>
      </c>
      <c r="F400" t="s">
        <v>429</v>
      </c>
      <c r="G400" t="str">
        <f>"37-3011.00"</f>
        <v>37-3011.00</v>
      </c>
      <c r="H400" t="s">
        <v>429</v>
      </c>
      <c r="I400">
        <v>20</v>
      </c>
      <c r="J400">
        <v>20</v>
      </c>
      <c r="K400" s="1">
        <v>45337</v>
      </c>
      <c r="L400" s="1">
        <v>45627</v>
      </c>
      <c r="M400" s="1">
        <v>45337</v>
      </c>
      <c r="N400" s="1">
        <v>45627</v>
      </c>
      <c r="O400" t="s">
        <v>116</v>
      </c>
      <c r="P400" t="s">
        <v>21146</v>
      </c>
      <c r="R400" t="s">
        <v>21147</v>
      </c>
      <c r="T400" t="s">
        <v>2066</v>
      </c>
      <c r="U400" t="s">
        <v>333</v>
      </c>
      <c r="V400" s="8" t="str">
        <f>"70706"</f>
        <v>70706</v>
      </c>
      <c r="W400" t="s">
        <v>118</v>
      </c>
      <c r="Y400" s="10">
        <v>12254454870</v>
      </c>
      <c r="AA400">
        <v>561730</v>
      </c>
      <c r="AB400" t="s">
        <v>21148</v>
      </c>
      <c r="AC400" t="s">
        <v>7309</v>
      </c>
      <c r="AE400" t="s">
        <v>2928</v>
      </c>
      <c r="AF400" t="s">
        <v>21149</v>
      </c>
      <c r="AH400" t="s">
        <v>2066</v>
      </c>
      <c r="AI400" t="s">
        <v>333</v>
      </c>
      <c r="AJ400" s="8" t="str">
        <f>"70706"</f>
        <v>70706</v>
      </c>
      <c r="AK400" t="s">
        <v>118</v>
      </c>
      <c r="AM400" s="10">
        <v>12254454870</v>
      </c>
      <c r="AO400" t="s">
        <v>21150</v>
      </c>
      <c r="AP400" t="s">
        <v>248</v>
      </c>
      <c r="AQ400" t="s">
        <v>3290</v>
      </c>
      <c r="AR400" t="s">
        <v>2001</v>
      </c>
      <c r="AT400" t="s">
        <v>3291</v>
      </c>
      <c r="AV400" t="s">
        <v>3292</v>
      </c>
      <c r="AW400" t="s">
        <v>402</v>
      </c>
      <c r="AX400" s="8" t="str">
        <f>"93446"</f>
        <v>93446</v>
      </c>
      <c r="AY400" t="s">
        <v>118</v>
      </c>
      <c r="AZ400" t="s">
        <v>3293</v>
      </c>
      <c r="BA400" s="10">
        <v>13217042589</v>
      </c>
      <c r="BC400" t="s">
        <v>3294</v>
      </c>
      <c r="BD400" t="s">
        <v>3295</v>
      </c>
      <c r="BG400" t="s">
        <v>333</v>
      </c>
      <c r="BH400" s="1">
        <v>45230.833333333336</v>
      </c>
      <c r="BI400">
        <v>35</v>
      </c>
      <c r="BJ400">
        <v>0</v>
      </c>
      <c r="BK400">
        <v>7</v>
      </c>
      <c r="BL400">
        <v>7</v>
      </c>
      <c r="BM400">
        <v>7</v>
      </c>
      <c r="BN400">
        <v>7</v>
      </c>
      <c r="BO400">
        <v>7</v>
      </c>
      <c r="BP400">
        <v>0</v>
      </c>
      <c r="BQ400" t="str">
        <f>"6:30 AM"</f>
        <v>6:30 AM</v>
      </c>
      <c r="BR400" t="str">
        <f>"4:00 PM"</f>
        <v>4:00 PM</v>
      </c>
      <c r="BS400" t="s">
        <v>131</v>
      </c>
      <c r="BT400">
        <v>0</v>
      </c>
      <c r="BU400">
        <v>0</v>
      </c>
      <c r="BV400" t="s">
        <v>114</v>
      </c>
      <c r="BX400" s="2" t="s">
        <v>21151</v>
      </c>
      <c r="BY400" t="s">
        <v>21149</v>
      </c>
      <c r="CA400" t="s">
        <v>2066</v>
      </c>
      <c r="CB400" t="s">
        <v>333</v>
      </c>
      <c r="CC400" s="8" t="str">
        <f>"70726"</f>
        <v>70726</v>
      </c>
      <c r="CD400" t="s">
        <v>1929</v>
      </c>
      <c r="CE400" t="s">
        <v>1930</v>
      </c>
      <c r="CF400" s="12">
        <v>15.19</v>
      </c>
      <c r="CG400" s="12">
        <v>15.19</v>
      </c>
      <c r="CH400" s="12">
        <v>22.79</v>
      </c>
      <c r="CI400" s="12">
        <v>22.79</v>
      </c>
      <c r="CJ400" t="s">
        <v>135</v>
      </c>
      <c r="CK400" t="s">
        <v>5469</v>
      </c>
      <c r="CL400" t="s">
        <v>21152</v>
      </c>
      <c r="CO400" t="s">
        <v>132</v>
      </c>
      <c r="CP400" t="s">
        <v>136</v>
      </c>
      <c r="CQ400" t="s">
        <v>136</v>
      </c>
      <c r="CR400" t="s">
        <v>136</v>
      </c>
      <c r="CS400" t="s">
        <v>136</v>
      </c>
      <c r="CT400" t="s">
        <v>136</v>
      </c>
      <c r="CU400" t="s">
        <v>136</v>
      </c>
      <c r="CV400" t="s">
        <v>21153</v>
      </c>
      <c r="CW400" s="10" t="str">
        <f>"+12257525222"</f>
        <v>+12257525222</v>
      </c>
      <c r="CX400" t="s">
        <v>21154</v>
      </c>
      <c r="CY400" t="s">
        <v>132</v>
      </c>
      <c r="CZ400" t="s">
        <v>137</v>
      </c>
      <c r="DA400" t="s">
        <v>114</v>
      </c>
      <c r="DB400" t="s">
        <v>114</v>
      </c>
      <c r="DC400" t="s">
        <v>136</v>
      </c>
      <c r="DD400" t="s">
        <v>114</v>
      </c>
    </row>
    <row r="401" spans="1:113" ht="15" customHeight="1" x14ac:dyDescent="0.25">
      <c r="A401" t="s">
        <v>7878</v>
      </c>
      <c r="B401" t="s">
        <v>152</v>
      </c>
      <c r="C401" s="1">
        <v>45247.71116053241</v>
      </c>
      <c r="D401" s="1">
        <v>45273</v>
      </c>
      <c r="E401" t="s">
        <v>132</v>
      </c>
      <c r="F401" t="s">
        <v>7879</v>
      </c>
      <c r="G401" t="str">
        <f>"47-2061.00"</f>
        <v>47-2061.00</v>
      </c>
      <c r="H401" t="s">
        <v>570</v>
      </c>
      <c r="I401">
        <v>36</v>
      </c>
      <c r="J401">
        <v>36</v>
      </c>
      <c r="K401" s="1">
        <v>45337</v>
      </c>
      <c r="L401" s="1">
        <v>45626</v>
      </c>
      <c r="M401" s="1">
        <v>45337</v>
      </c>
      <c r="N401" s="1">
        <v>45626</v>
      </c>
      <c r="O401" t="s">
        <v>116</v>
      </c>
      <c r="P401" t="s">
        <v>7880</v>
      </c>
      <c r="R401" t="s">
        <v>7881</v>
      </c>
      <c r="T401" t="s">
        <v>5864</v>
      </c>
      <c r="U401" t="s">
        <v>1434</v>
      </c>
      <c r="V401" s="8" t="str">
        <f>"40356"</f>
        <v>40356</v>
      </c>
      <c r="W401" t="s">
        <v>118</v>
      </c>
      <c r="Y401" s="10">
        <v>18592542866</v>
      </c>
      <c r="AA401">
        <v>236220</v>
      </c>
      <c r="AB401" t="s">
        <v>7882</v>
      </c>
      <c r="AC401" t="s">
        <v>7883</v>
      </c>
      <c r="AD401" t="s">
        <v>2213</v>
      </c>
      <c r="AE401" t="s">
        <v>629</v>
      </c>
      <c r="AF401" t="s">
        <v>7881</v>
      </c>
      <c r="AH401" t="s">
        <v>5864</v>
      </c>
      <c r="AI401" t="s">
        <v>1434</v>
      </c>
      <c r="AJ401" s="8" t="str">
        <f>"40356"</f>
        <v>40356</v>
      </c>
      <c r="AK401" t="s">
        <v>118</v>
      </c>
      <c r="AM401" s="10">
        <v>18592542866</v>
      </c>
      <c r="AO401" t="s">
        <v>7884</v>
      </c>
      <c r="AP401" t="s">
        <v>248</v>
      </c>
      <c r="AQ401" t="s">
        <v>7885</v>
      </c>
      <c r="AR401" t="s">
        <v>2236</v>
      </c>
      <c r="AT401" t="s">
        <v>3291</v>
      </c>
      <c r="AV401" t="s">
        <v>3292</v>
      </c>
      <c r="AW401" t="s">
        <v>402</v>
      </c>
      <c r="AX401" s="8" t="str">
        <f>"93446"</f>
        <v>93446</v>
      </c>
      <c r="AY401" t="s">
        <v>118</v>
      </c>
      <c r="AZ401" t="s">
        <v>3293</v>
      </c>
      <c r="BA401" s="10">
        <v>13217042589</v>
      </c>
      <c r="BC401" t="s">
        <v>3294</v>
      </c>
      <c r="BD401" t="s">
        <v>3295</v>
      </c>
      <c r="BG401" t="s">
        <v>1434</v>
      </c>
      <c r="BH401" s="1">
        <v>45225.833333333336</v>
      </c>
      <c r="BI401">
        <v>40</v>
      </c>
      <c r="BJ401">
        <v>0</v>
      </c>
      <c r="BK401">
        <v>8</v>
      </c>
      <c r="BL401">
        <v>8</v>
      </c>
      <c r="BM401">
        <v>8</v>
      </c>
      <c r="BN401">
        <v>8</v>
      </c>
      <c r="BO401">
        <v>8</v>
      </c>
      <c r="BP401">
        <v>0</v>
      </c>
      <c r="BQ401" t="str">
        <f>"6:00 AM"</f>
        <v>6:00 AM</v>
      </c>
      <c r="BR401" t="str">
        <f>"3:00 PM"</f>
        <v>3:00 PM</v>
      </c>
      <c r="BS401" t="s">
        <v>131</v>
      </c>
      <c r="BT401">
        <v>0</v>
      </c>
      <c r="BU401">
        <v>0</v>
      </c>
      <c r="BV401" t="s">
        <v>114</v>
      </c>
      <c r="BX401" s="2" t="s">
        <v>7886</v>
      </c>
      <c r="BY401" t="s">
        <v>7881</v>
      </c>
      <c r="CA401" t="s">
        <v>5864</v>
      </c>
      <c r="CB401" t="s">
        <v>1434</v>
      </c>
      <c r="CC401" s="8" t="str">
        <f>"40356"</f>
        <v>40356</v>
      </c>
      <c r="CD401" t="s">
        <v>5866</v>
      </c>
      <c r="CE401" t="s">
        <v>4946</v>
      </c>
      <c r="CF401" s="12">
        <v>20.91</v>
      </c>
      <c r="CG401" s="12">
        <v>20.91</v>
      </c>
      <c r="CH401" s="12">
        <v>31.37</v>
      </c>
      <c r="CI401" s="12">
        <v>31.37</v>
      </c>
      <c r="CJ401" t="s">
        <v>135</v>
      </c>
      <c r="CK401" t="s">
        <v>5469</v>
      </c>
      <c r="CL401" t="s">
        <v>7887</v>
      </c>
      <c r="CO401" t="s">
        <v>132</v>
      </c>
      <c r="CP401" t="s">
        <v>136</v>
      </c>
      <c r="CQ401" t="s">
        <v>136</v>
      </c>
      <c r="CR401" t="s">
        <v>136</v>
      </c>
      <c r="CS401" t="s">
        <v>136</v>
      </c>
      <c r="CT401" t="s">
        <v>136</v>
      </c>
      <c r="CU401" t="s">
        <v>136</v>
      </c>
      <c r="CV401" t="s">
        <v>7888</v>
      </c>
      <c r="CW401" s="10" t="str">
        <f>"+18592542866"</f>
        <v>+18592542866</v>
      </c>
      <c r="CX401" t="s">
        <v>7889</v>
      </c>
      <c r="CY401" t="s">
        <v>132</v>
      </c>
      <c r="CZ401" t="s">
        <v>137</v>
      </c>
      <c r="DA401" t="s">
        <v>114</v>
      </c>
      <c r="DB401" t="s">
        <v>114</v>
      </c>
      <c r="DC401" t="s">
        <v>136</v>
      </c>
      <c r="DD401" t="s">
        <v>114</v>
      </c>
    </row>
    <row r="402" spans="1:113" ht="15" customHeight="1" x14ac:dyDescent="0.25">
      <c r="A402" t="s">
        <v>11022</v>
      </c>
      <c r="B402" t="s">
        <v>152</v>
      </c>
      <c r="C402" s="1">
        <v>45247.696559837961</v>
      </c>
      <c r="D402" s="1">
        <v>45273</v>
      </c>
      <c r="E402" t="s">
        <v>132</v>
      </c>
      <c r="F402" t="s">
        <v>11023</v>
      </c>
      <c r="G402" t="str">
        <f>"37-3011.00"</f>
        <v>37-3011.00</v>
      </c>
      <c r="H402" t="s">
        <v>429</v>
      </c>
      <c r="I402">
        <v>5</v>
      </c>
      <c r="J402">
        <v>5</v>
      </c>
      <c r="K402" s="1">
        <v>45337</v>
      </c>
      <c r="L402" s="1">
        <v>45603</v>
      </c>
      <c r="M402" s="1">
        <v>45337</v>
      </c>
      <c r="N402" s="1">
        <v>45603</v>
      </c>
      <c r="O402" t="s">
        <v>116</v>
      </c>
      <c r="P402" t="s">
        <v>11024</v>
      </c>
      <c r="R402" t="s">
        <v>11025</v>
      </c>
      <c r="T402" t="s">
        <v>2292</v>
      </c>
      <c r="U402" t="s">
        <v>333</v>
      </c>
      <c r="V402" s="8" t="str">
        <f>"70403"</f>
        <v>70403</v>
      </c>
      <c r="W402" t="s">
        <v>118</v>
      </c>
      <c r="Y402" s="10">
        <v>19856026870</v>
      </c>
      <c r="AA402">
        <v>56173</v>
      </c>
      <c r="AB402" t="s">
        <v>11026</v>
      </c>
      <c r="AC402" t="s">
        <v>2700</v>
      </c>
      <c r="AE402" t="s">
        <v>11027</v>
      </c>
      <c r="AF402" t="s">
        <v>11025</v>
      </c>
      <c r="AH402" t="s">
        <v>2292</v>
      </c>
      <c r="AI402" t="s">
        <v>333</v>
      </c>
      <c r="AJ402" s="8" t="str">
        <f>"70403"</f>
        <v>70403</v>
      </c>
      <c r="AK402" t="s">
        <v>118</v>
      </c>
      <c r="AM402" s="10">
        <v>19854017440</v>
      </c>
      <c r="AO402" t="s">
        <v>11028</v>
      </c>
      <c r="AP402" t="s">
        <v>248</v>
      </c>
      <c r="AQ402" t="s">
        <v>3290</v>
      </c>
      <c r="AR402" t="s">
        <v>2001</v>
      </c>
      <c r="AT402" t="s">
        <v>3291</v>
      </c>
      <c r="AV402" t="s">
        <v>3292</v>
      </c>
      <c r="AW402" t="s">
        <v>402</v>
      </c>
      <c r="AX402" s="8" t="str">
        <f>"93446"</f>
        <v>93446</v>
      </c>
      <c r="AY402" t="s">
        <v>118</v>
      </c>
      <c r="AZ402" t="s">
        <v>3293</v>
      </c>
      <c r="BA402" s="10">
        <v>13217042589</v>
      </c>
      <c r="BC402" t="s">
        <v>3294</v>
      </c>
      <c r="BD402" t="s">
        <v>3295</v>
      </c>
      <c r="BG402" t="s">
        <v>333</v>
      </c>
      <c r="BH402" s="1">
        <v>45231.833333333336</v>
      </c>
      <c r="BI402">
        <v>40</v>
      </c>
      <c r="BJ402">
        <v>6</v>
      </c>
      <c r="BK402">
        <v>6</v>
      </c>
      <c r="BL402">
        <v>6</v>
      </c>
      <c r="BM402">
        <v>6</v>
      </c>
      <c r="BN402">
        <v>6</v>
      </c>
      <c r="BO402">
        <v>5</v>
      </c>
      <c r="BP402">
        <v>5</v>
      </c>
      <c r="BQ402" t="str">
        <f>"5:30 AM"</f>
        <v>5:30 AM</v>
      </c>
      <c r="BR402" t="str">
        <f>"3:30 PM"</f>
        <v>3:30 PM</v>
      </c>
      <c r="BS402" t="s">
        <v>131</v>
      </c>
      <c r="BT402">
        <v>0</v>
      </c>
      <c r="BU402">
        <v>0</v>
      </c>
      <c r="BV402" t="s">
        <v>114</v>
      </c>
      <c r="BX402" s="2" t="s">
        <v>11029</v>
      </c>
      <c r="BY402" t="s">
        <v>11030</v>
      </c>
      <c r="CA402" t="s">
        <v>2292</v>
      </c>
      <c r="CB402" t="s">
        <v>333</v>
      </c>
      <c r="CC402" s="8" t="str">
        <f>"70403"</f>
        <v>70403</v>
      </c>
      <c r="CD402" t="s">
        <v>7860</v>
      </c>
      <c r="CE402" t="s">
        <v>7861</v>
      </c>
      <c r="CF402" s="12">
        <v>15.19</v>
      </c>
      <c r="CH402" s="12">
        <v>22.79</v>
      </c>
      <c r="CI402" s="12">
        <v>22.79</v>
      </c>
      <c r="CJ402" t="s">
        <v>135</v>
      </c>
      <c r="CK402" t="s">
        <v>5469</v>
      </c>
      <c r="CL402" t="s">
        <v>11031</v>
      </c>
      <c r="CO402" t="s">
        <v>132</v>
      </c>
      <c r="CP402" t="s">
        <v>136</v>
      </c>
      <c r="CQ402" t="s">
        <v>136</v>
      </c>
      <c r="CR402" t="s">
        <v>136</v>
      </c>
      <c r="CS402" t="s">
        <v>136</v>
      </c>
      <c r="CT402" t="s">
        <v>136</v>
      </c>
      <c r="CU402" t="s">
        <v>136</v>
      </c>
      <c r="CV402" s="2" t="s">
        <v>11032</v>
      </c>
      <c r="CW402" s="10" t="str">
        <f>"N/A"</f>
        <v>N/A</v>
      </c>
      <c r="CX402" t="s">
        <v>11028</v>
      </c>
      <c r="CY402" t="s">
        <v>11033</v>
      </c>
      <c r="CZ402" t="s">
        <v>137</v>
      </c>
      <c r="DA402" t="s">
        <v>114</v>
      </c>
      <c r="DB402" t="s">
        <v>114</v>
      </c>
      <c r="DC402" t="s">
        <v>136</v>
      </c>
      <c r="DD402" t="s">
        <v>114</v>
      </c>
    </row>
    <row r="403" spans="1:113" ht="15" customHeight="1" x14ac:dyDescent="0.25">
      <c r="A403" t="s">
        <v>10901</v>
      </c>
      <c r="B403" t="s">
        <v>152</v>
      </c>
      <c r="C403" s="1">
        <v>45247.556491203701</v>
      </c>
      <c r="D403" s="1">
        <v>45273</v>
      </c>
      <c r="E403" t="s">
        <v>132</v>
      </c>
      <c r="F403" t="s">
        <v>1595</v>
      </c>
      <c r="G403" t="str">
        <f>"37-3011.00"</f>
        <v>37-3011.00</v>
      </c>
      <c r="H403" t="s">
        <v>429</v>
      </c>
      <c r="I403">
        <v>24</v>
      </c>
      <c r="J403">
        <v>24</v>
      </c>
      <c r="K403" s="1">
        <v>45337</v>
      </c>
      <c r="L403" s="1">
        <v>45626</v>
      </c>
      <c r="M403" s="1">
        <v>45337</v>
      </c>
      <c r="N403" s="1">
        <v>45626</v>
      </c>
      <c r="O403" t="s">
        <v>238</v>
      </c>
      <c r="P403" t="s">
        <v>10902</v>
      </c>
      <c r="R403" t="s">
        <v>10903</v>
      </c>
      <c r="T403" t="s">
        <v>10904</v>
      </c>
      <c r="U403" t="s">
        <v>984</v>
      </c>
      <c r="V403" s="8" t="str">
        <f>"64015"</f>
        <v>64015</v>
      </c>
      <c r="W403" t="s">
        <v>118</v>
      </c>
      <c r="Y403" s="10">
        <v>18165258333</v>
      </c>
      <c r="AA403">
        <v>56173</v>
      </c>
      <c r="AB403" t="s">
        <v>10905</v>
      </c>
      <c r="AC403" t="s">
        <v>4919</v>
      </c>
      <c r="AE403" t="s">
        <v>1836</v>
      </c>
      <c r="AF403" t="s">
        <v>10903</v>
      </c>
      <c r="AH403" t="s">
        <v>10904</v>
      </c>
      <c r="AI403" t="s">
        <v>984</v>
      </c>
      <c r="AJ403" s="8" t="str">
        <f>"64015"</f>
        <v>64015</v>
      </c>
      <c r="AK403" t="s">
        <v>118</v>
      </c>
      <c r="AM403" s="10">
        <v>18165258333</v>
      </c>
      <c r="AO403" t="s">
        <v>10906</v>
      </c>
      <c r="AP403" t="s">
        <v>121</v>
      </c>
      <c r="AQ403" t="s">
        <v>2603</v>
      </c>
      <c r="AR403" t="s">
        <v>2604</v>
      </c>
      <c r="AS403" t="s">
        <v>931</v>
      </c>
      <c r="AT403" t="s">
        <v>2605</v>
      </c>
      <c r="AU403" t="s">
        <v>2606</v>
      </c>
      <c r="AV403" t="s">
        <v>2607</v>
      </c>
      <c r="AW403" t="s">
        <v>2608</v>
      </c>
      <c r="AX403" s="8" t="str">
        <f>"73069"</f>
        <v>73069</v>
      </c>
      <c r="AY403" t="s">
        <v>118</v>
      </c>
      <c r="BA403" s="10">
        <v>14053642525</v>
      </c>
      <c r="BC403" t="s">
        <v>2609</v>
      </c>
      <c r="BD403" t="s">
        <v>2610</v>
      </c>
      <c r="BE403" t="s">
        <v>2608</v>
      </c>
      <c r="BF403" t="s">
        <v>2611</v>
      </c>
      <c r="BG403" t="s">
        <v>984</v>
      </c>
      <c r="BH403" s="1">
        <v>45246.791666666664</v>
      </c>
      <c r="BI403">
        <v>40</v>
      </c>
      <c r="BJ403">
        <v>0</v>
      </c>
      <c r="BK403">
        <v>8</v>
      </c>
      <c r="BL403">
        <v>8</v>
      </c>
      <c r="BM403">
        <v>8</v>
      </c>
      <c r="BN403">
        <v>8</v>
      </c>
      <c r="BO403">
        <v>8</v>
      </c>
      <c r="BP403">
        <v>0</v>
      </c>
      <c r="BQ403" t="str">
        <f>"7:00 AM"</f>
        <v>7:00 AM</v>
      </c>
      <c r="BR403" t="str">
        <f>"5:00 PM"</f>
        <v>5:00 PM</v>
      </c>
      <c r="BS403" t="s">
        <v>131</v>
      </c>
      <c r="BT403">
        <v>0</v>
      </c>
      <c r="BU403">
        <v>0</v>
      </c>
      <c r="BV403" t="s">
        <v>114</v>
      </c>
      <c r="BX403" s="2" t="s">
        <v>3116</v>
      </c>
      <c r="BY403" t="s">
        <v>10907</v>
      </c>
      <c r="CA403" t="s">
        <v>10904</v>
      </c>
      <c r="CB403" t="s">
        <v>984</v>
      </c>
      <c r="CC403" s="8" t="str">
        <f>"64015"</f>
        <v>64015</v>
      </c>
      <c r="CD403" t="s">
        <v>859</v>
      </c>
      <c r="CE403" t="s">
        <v>2431</v>
      </c>
      <c r="CF403" s="12">
        <v>17.47</v>
      </c>
      <c r="CG403" s="12">
        <v>17.47</v>
      </c>
      <c r="CH403" s="12">
        <v>26.21</v>
      </c>
      <c r="CI403" s="12">
        <v>26.21</v>
      </c>
      <c r="CJ403" t="s">
        <v>135</v>
      </c>
      <c r="CK403" t="s">
        <v>131</v>
      </c>
      <c r="CL403" t="s">
        <v>10908</v>
      </c>
      <c r="CO403" t="s">
        <v>132</v>
      </c>
      <c r="CP403" t="s">
        <v>136</v>
      </c>
      <c r="CQ403" t="s">
        <v>136</v>
      </c>
      <c r="CR403" t="s">
        <v>136</v>
      </c>
      <c r="CS403" t="s">
        <v>114</v>
      </c>
      <c r="CT403" t="s">
        <v>136</v>
      </c>
      <c r="CU403" t="s">
        <v>114</v>
      </c>
      <c r="CV403" t="s">
        <v>2612</v>
      </c>
      <c r="CW403" s="10" t="str">
        <f>"+18163260907"</f>
        <v>+18163260907</v>
      </c>
      <c r="CX403" t="s">
        <v>10909</v>
      </c>
      <c r="CY403" t="s">
        <v>132</v>
      </c>
      <c r="CZ403" t="s">
        <v>137</v>
      </c>
      <c r="DA403" t="s">
        <v>114</v>
      </c>
      <c r="DB403" t="s">
        <v>114</v>
      </c>
      <c r="DC403" t="s">
        <v>136</v>
      </c>
      <c r="DD403" t="s">
        <v>114</v>
      </c>
    </row>
    <row r="404" spans="1:113" ht="15" customHeight="1" x14ac:dyDescent="0.25">
      <c r="A404" t="s">
        <v>22906</v>
      </c>
      <c r="B404" t="s">
        <v>152</v>
      </c>
      <c r="C404" s="1">
        <v>45247.471462731482</v>
      </c>
      <c r="D404" s="1">
        <v>45273</v>
      </c>
      <c r="E404" t="s">
        <v>132</v>
      </c>
      <c r="F404" t="s">
        <v>3098</v>
      </c>
      <c r="G404" t="str">
        <f>"39-3091.00"</f>
        <v>39-3091.00</v>
      </c>
      <c r="H404" t="s">
        <v>237</v>
      </c>
      <c r="I404">
        <v>35</v>
      </c>
      <c r="J404">
        <v>35</v>
      </c>
      <c r="K404" s="1">
        <v>45337</v>
      </c>
      <c r="L404" s="1">
        <v>45613</v>
      </c>
      <c r="M404" s="1">
        <v>45337</v>
      </c>
      <c r="N404" s="1">
        <v>45613</v>
      </c>
      <c r="O404" t="s">
        <v>238</v>
      </c>
      <c r="P404" t="s">
        <v>22907</v>
      </c>
      <c r="Q404" t="s">
        <v>22908</v>
      </c>
      <c r="R404" t="s">
        <v>22909</v>
      </c>
      <c r="S404" t="s">
        <v>22910</v>
      </c>
      <c r="T404" t="s">
        <v>4570</v>
      </c>
      <c r="U404" t="s">
        <v>550</v>
      </c>
      <c r="V404" s="8" t="str">
        <f>"30318"</f>
        <v>30318</v>
      </c>
      <c r="W404" t="s">
        <v>118</v>
      </c>
      <c r="Y404" s="10">
        <v>17722669884</v>
      </c>
      <c r="Z404" s="3" t="s">
        <v>256</v>
      </c>
      <c r="AA404">
        <v>711190</v>
      </c>
      <c r="AB404" t="s">
        <v>8681</v>
      </c>
      <c r="AC404" t="s">
        <v>3451</v>
      </c>
      <c r="AE404" t="s">
        <v>561</v>
      </c>
      <c r="AF404" t="s">
        <v>22909</v>
      </c>
      <c r="AG404" t="s">
        <v>22910</v>
      </c>
      <c r="AH404" t="s">
        <v>4570</v>
      </c>
      <c r="AI404" t="s">
        <v>550</v>
      </c>
      <c r="AJ404" s="8" t="str">
        <f>"30318"</f>
        <v>30318</v>
      </c>
      <c r="AK404" t="s">
        <v>118</v>
      </c>
      <c r="AM404" s="10">
        <v>17705602277</v>
      </c>
      <c r="AN404" s="3" t="s">
        <v>256</v>
      </c>
      <c r="AO404" t="s">
        <v>22911</v>
      </c>
      <c r="AP404" t="s">
        <v>248</v>
      </c>
      <c r="AQ404" t="s">
        <v>249</v>
      </c>
      <c r="AR404" t="s">
        <v>250</v>
      </c>
      <c r="AS404" t="s">
        <v>251</v>
      </c>
      <c r="AT404" t="s">
        <v>252</v>
      </c>
      <c r="AU404" t="s">
        <v>253</v>
      </c>
      <c r="AV404" t="s">
        <v>254</v>
      </c>
      <c r="AW404" t="s">
        <v>127</v>
      </c>
      <c r="AX404" s="8" t="str">
        <f>"78550"</f>
        <v>78550</v>
      </c>
      <c r="AY404" t="s">
        <v>118</v>
      </c>
      <c r="AZ404" t="s">
        <v>255</v>
      </c>
      <c r="BA404" s="10">
        <v>19564408720</v>
      </c>
      <c r="BB404" s="3" t="s">
        <v>256</v>
      </c>
      <c r="BC404" t="s">
        <v>338</v>
      </c>
      <c r="BD404" t="s">
        <v>258</v>
      </c>
      <c r="BG404" t="s">
        <v>550</v>
      </c>
      <c r="BH404" s="1">
        <v>45246.791666666664</v>
      </c>
      <c r="BI404">
        <v>40</v>
      </c>
      <c r="BJ404">
        <v>8</v>
      </c>
      <c r="BK404">
        <v>0</v>
      </c>
      <c r="BL404">
        <v>0</v>
      </c>
      <c r="BM404">
        <v>8</v>
      </c>
      <c r="BN404">
        <v>8</v>
      </c>
      <c r="BO404">
        <v>8</v>
      </c>
      <c r="BP404">
        <v>8</v>
      </c>
      <c r="BQ404" t="str">
        <f>"1:00 PM"</f>
        <v>1:00 PM</v>
      </c>
      <c r="BR404" t="str">
        <f>"10:00 PM"</f>
        <v>10:00 PM</v>
      </c>
      <c r="BS404" t="s">
        <v>131</v>
      </c>
      <c r="BT404">
        <v>0</v>
      </c>
      <c r="BU404">
        <v>0</v>
      </c>
      <c r="BV404" t="s">
        <v>114</v>
      </c>
      <c r="BX404" s="2" t="s">
        <v>2396</v>
      </c>
      <c r="BY404" t="s">
        <v>22912</v>
      </c>
      <c r="CA404" t="s">
        <v>573</v>
      </c>
      <c r="CB404" t="s">
        <v>550</v>
      </c>
      <c r="CC404" s="8" t="str">
        <f>"30318"</f>
        <v>30318</v>
      </c>
      <c r="CD404" t="s">
        <v>3096</v>
      </c>
      <c r="CE404" t="s">
        <v>552</v>
      </c>
      <c r="CF404" s="12">
        <v>9.98</v>
      </c>
      <c r="CG404" s="12">
        <v>11.35</v>
      </c>
      <c r="CJ404" t="s">
        <v>135</v>
      </c>
      <c r="CK404" t="s">
        <v>342</v>
      </c>
      <c r="CL404" t="s">
        <v>22913</v>
      </c>
      <c r="CO404" t="s">
        <v>132</v>
      </c>
      <c r="CP404" t="s">
        <v>136</v>
      </c>
      <c r="CQ404" t="s">
        <v>136</v>
      </c>
      <c r="CR404" t="s">
        <v>114</v>
      </c>
      <c r="CS404" t="s">
        <v>136</v>
      </c>
      <c r="CT404" t="s">
        <v>136</v>
      </c>
      <c r="CU404" t="s">
        <v>136</v>
      </c>
      <c r="CV404" t="s">
        <v>344</v>
      </c>
      <c r="CW404" s="10" t="str">
        <f>"+17722669884"</f>
        <v>+17722669884</v>
      </c>
      <c r="CX404" t="s">
        <v>22914</v>
      </c>
      <c r="CY404" t="s">
        <v>132</v>
      </c>
      <c r="CZ404" t="s">
        <v>137</v>
      </c>
      <c r="DA404" t="s">
        <v>114</v>
      </c>
      <c r="DB404" t="s">
        <v>136</v>
      </c>
      <c r="DC404" t="s">
        <v>136</v>
      </c>
      <c r="DD404" t="s">
        <v>114</v>
      </c>
    </row>
    <row r="405" spans="1:113" ht="15" customHeight="1" x14ac:dyDescent="0.25">
      <c r="A405" t="s">
        <v>22245</v>
      </c>
      <c r="B405" t="s">
        <v>152</v>
      </c>
      <c r="C405" s="1">
        <v>45247.460710995372</v>
      </c>
      <c r="D405" s="1">
        <v>45273</v>
      </c>
      <c r="E405" t="s">
        <v>132</v>
      </c>
      <c r="F405" t="s">
        <v>2020</v>
      </c>
      <c r="G405" t="str">
        <f>"37-3011.00"</f>
        <v>37-3011.00</v>
      </c>
      <c r="H405" t="s">
        <v>429</v>
      </c>
      <c r="I405">
        <v>16</v>
      </c>
      <c r="J405">
        <v>16</v>
      </c>
      <c r="K405" s="1">
        <v>45337</v>
      </c>
      <c r="L405" s="1">
        <v>45641</v>
      </c>
      <c r="M405" s="1">
        <v>45337</v>
      </c>
      <c r="N405" s="1">
        <v>45641</v>
      </c>
      <c r="O405" t="s">
        <v>238</v>
      </c>
      <c r="P405" t="s">
        <v>7363</v>
      </c>
      <c r="Q405" t="s">
        <v>7364</v>
      </c>
      <c r="R405" t="s">
        <v>7365</v>
      </c>
      <c r="T405" t="s">
        <v>7366</v>
      </c>
      <c r="U405" t="s">
        <v>543</v>
      </c>
      <c r="V405" s="8" t="str">
        <f>"45342"</f>
        <v>45342</v>
      </c>
      <c r="W405" t="s">
        <v>118</v>
      </c>
      <c r="Y405" s="10">
        <v>19378478000</v>
      </c>
      <c r="AA405">
        <v>56173</v>
      </c>
      <c r="AB405" t="s">
        <v>7367</v>
      </c>
      <c r="AC405" t="s">
        <v>7368</v>
      </c>
      <c r="AE405" t="s">
        <v>1959</v>
      </c>
      <c r="AF405" t="s">
        <v>7365</v>
      </c>
      <c r="AH405" t="s">
        <v>7366</v>
      </c>
      <c r="AI405" t="s">
        <v>543</v>
      </c>
      <c r="AJ405" s="8" t="str">
        <f>"45342"</f>
        <v>45342</v>
      </c>
      <c r="AK405" t="s">
        <v>118</v>
      </c>
      <c r="AM405" s="10">
        <v>19378478000</v>
      </c>
      <c r="AO405" t="s">
        <v>132</v>
      </c>
      <c r="AP405" t="s">
        <v>248</v>
      </c>
      <c r="AQ405" t="s">
        <v>2132</v>
      </c>
      <c r="AR405" t="s">
        <v>2133</v>
      </c>
      <c r="AT405" t="s">
        <v>579</v>
      </c>
      <c r="AV405" t="s">
        <v>580</v>
      </c>
      <c r="AW405" t="s">
        <v>581</v>
      </c>
      <c r="AX405" s="8" t="str">
        <f>"22903"</f>
        <v>22903</v>
      </c>
      <c r="AY405" t="s">
        <v>118</v>
      </c>
      <c r="BA405" s="10">
        <v>14342634300</v>
      </c>
      <c r="BC405" t="s">
        <v>2271</v>
      </c>
      <c r="BD405" t="s">
        <v>583</v>
      </c>
      <c r="BG405" t="s">
        <v>543</v>
      </c>
      <c r="BH405" s="1">
        <v>45246.791666666664</v>
      </c>
      <c r="BI405">
        <v>40</v>
      </c>
      <c r="BJ405">
        <v>0</v>
      </c>
      <c r="BK405">
        <v>8</v>
      </c>
      <c r="BL405">
        <v>8</v>
      </c>
      <c r="BM405">
        <v>8</v>
      </c>
      <c r="BN405">
        <v>8</v>
      </c>
      <c r="BO405">
        <v>8</v>
      </c>
      <c r="BP405">
        <v>0</v>
      </c>
      <c r="BQ405" t="str">
        <f>"7:00 AM"</f>
        <v>7:00 AM</v>
      </c>
      <c r="BR405" t="str">
        <f>"3:30 PM"</f>
        <v>3:30 PM</v>
      </c>
      <c r="BS405" t="s">
        <v>131</v>
      </c>
      <c r="BT405">
        <v>0</v>
      </c>
      <c r="BU405">
        <v>3</v>
      </c>
      <c r="BV405" t="s">
        <v>114</v>
      </c>
      <c r="BX405" s="2" t="s">
        <v>7369</v>
      </c>
      <c r="BY405" t="s">
        <v>7370</v>
      </c>
      <c r="CA405" t="s">
        <v>7366</v>
      </c>
      <c r="CB405" t="s">
        <v>543</v>
      </c>
      <c r="CC405" s="8" t="str">
        <f>"45342"</f>
        <v>45342</v>
      </c>
      <c r="CD405" t="s">
        <v>878</v>
      </c>
      <c r="CE405" t="s">
        <v>3593</v>
      </c>
      <c r="CF405" s="12">
        <v>17.14</v>
      </c>
      <c r="CG405" s="12">
        <v>17.14</v>
      </c>
      <c r="CH405" s="12">
        <v>25.71</v>
      </c>
      <c r="CI405" s="12">
        <v>25.71</v>
      </c>
      <c r="CJ405" t="s">
        <v>135</v>
      </c>
      <c r="CK405" t="s">
        <v>590</v>
      </c>
      <c r="CL405" t="s">
        <v>7371</v>
      </c>
      <c r="CO405" t="s">
        <v>132</v>
      </c>
      <c r="CP405" t="s">
        <v>136</v>
      </c>
      <c r="CQ405" t="s">
        <v>136</v>
      </c>
      <c r="CR405" t="s">
        <v>136</v>
      </c>
      <c r="CS405" t="s">
        <v>114</v>
      </c>
      <c r="CT405" t="s">
        <v>136</v>
      </c>
      <c r="CU405" t="s">
        <v>136</v>
      </c>
      <c r="CV405" t="s">
        <v>22246</v>
      </c>
      <c r="CW405" s="10" t="str">
        <f>"N/A"</f>
        <v>N/A</v>
      </c>
      <c r="CX405" t="s">
        <v>7372</v>
      </c>
      <c r="CY405" t="s">
        <v>2025</v>
      </c>
      <c r="CZ405" t="s">
        <v>137</v>
      </c>
      <c r="DA405" t="s">
        <v>114</v>
      </c>
      <c r="DB405" t="s">
        <v>136</v>
      </c>
      <c r="DC405" t="s">
        <v>136</v>
      </c>
      <c r="DD405" t="s">
        <v>114</v>
      </c>
      <c r="DE405" t="s">
        <v>2273</v>
      </c>
      <c r="DF405" t="s">
        <v>1069</v>
      </c>
      <c r="DH405" t="s">
        <v>583</v>
      </c>
      <c r="DI405" t="s">
        <v>2271</v>
      </c>
    </row>
    <row r="406" spans="1:113" ht="15" customHeight="1" x14ac:dyDescent="0.25">
      <c r="A406" t="s">
        <v>22231</v>
      </c>
      <c r="B406" t="s">
        <v>152</v>
      </c>
      <c r="C406" s="1">
        <v>45247.454259953702</v>
      </c>
      <c r="D406" s="1">
        <v>45273</v>
      </c>
      <c r="E406" t="s">
        <v>132</v>
      </c>
      <c r="F406" t="s">
        <v>2744</v>
      </c>
      <c r="G406" t="str">
        <f>"37-3011.00"</f>
        <v>37-3011.00</v>
      </c>
      <c r="H406" t="s">
        <v>429</v>
      </c>
      <c r="I406">
        <v>20</v>
      </c>
      <c r="J406">
        <v>20</v>
      </c>
      <c r="K406" s="1">
        <v>45337</v>
      </c>
      <c r="L406" s="1">
        <v>45627</v>
      </c>
      <c r="M406" s="1">
        <v>45337</v>
      </c>
      <c r="N406" s="1">
        <v>45627</v>
      </c>
      <c r="O406" t="s">
        <v>238</v>
      </c>
      <c r="P406" t="s">
        <v>22232</v>
      </c>
      <c r="Q406" t="s">
        <v>22233</v>
      </c>
      <c r="R406" t="s">
        <v>22234</v>
      </c>
      <c r="T406" t="s">
        <v>3909</v>
      </c>
      <c r="U406" t="s">
        <v>581</v>
      </c>
      <c r="V406" s="8" t="str">
        <f>"23704"</f>
        <v>23704</v>
      </c>
      <c r="W406" t="s">
        <v>118</v>
      </c>
      <c r="Y406" s="10">
        <v>17573993800</v>
      </c>
      <c r="AA406">
        <v>56173</v>
      </c>
      <c r="AB406" t="s">
        <v>22235</v>
      </c>
      <c r="AC406" t="s">
        <v>9273</v>
      </c>
      <c r="AD406" t="s">
        <v>475</v>
      </c>
      <c r="AE406" t="s">
        <v>438</v>
      </c>
      <c r="AF406" t="s">
        <v>22236</v>
      </c>
      <c r="AH406" t="s">
        <v>22237</v>
      </c>
      <c r="AI406" t="s">
        <v>581</v>
      </c>
      <c r="AJ406" s="8" t="str">
        <f>"23704"</f>
        <v>23704</v>
      </c>
      <c r="AK406" t="s">
        <v>118</v>
      </c>
      <c r="AM406" s="10">
        <v>17573993800</v>
      </c>
      <c r="AO406" t="s">
        <v>22238</v>
      </c>
      <c r="AP406" t="s">
        <v>248</v>
      </c>
      <c r="AQ406" t="s">
        <v>5168</v>
      </c>
      <c r="AR406" t="s">
        <v>2187</v>
      </c>
      <c r="AS406" t="s">
        <v>628</v>
      </c>
      <c r="AT406" t="s">
        <v>5169</v>
      </c>
      <c r="AV406" t="s">
        <v>5170</v>
      </c>
      <c r="AW406" t="s">
        <v>581</v>
      </c>
      <c r="AX406" s="8" t="str">
        <f>"23505"</f>
        <v>23505</v>
      </c>
      <c r="AY406" t="s">
        <v>118</v>
      </c>
      <c r="BA406" s="10">
        <v>18043019607</v>
      </c>
      <c r="BC406" t="s">
        <v>5171</v>
      </c>
      <c r="BD406" t="s">
        <v>5172</v>
      </c>
      <c r="BG406" t="s">
        <v>581</v>
      </c>
      <c r="BH406" s="1">
        <v>45243.791666666664</v>
      </c>
      <c r="BI406">
        <v>40</v>
      </c>
      <c r="BJ406">
        <v>0</v>
      </c>
      <c r="BK406">
        <v>8</v>
      </c>
      <c r="BL406">
        <v>8</v>
      </c>
      <c r="BM406">
        <v>8</v>
      </c>
      <c r="BN406">
        <v>8</v>
      </c>
      <c r="BO406">
        <v>8</v>
      </c>
      <c r="BP406">
        <v>0</v>
      </c>
      <c r="BQ406" t="str">
        <f>"7:00 AM"</f>
        <v>7:00 AM</v>
      </c>
      <c r="BR406" t="str">
        <f>"4:00 PM"</f>
        <v>4:00 PM</v>
      </c>
      <c r="BS406" t="s">
        <v>131</v>
      </c>
      <c r="BT406">
        <v>0</v>
      </c>
      <c r="BU406">
        <v>3</v>
      </c>
      <c r="BV406" t="s">
        <v>114</v>
      </c>
      <c r="BX406" s="2" t="s">
        <v>22239</v>
      </c>
      <c r="BY406" t="s">
        <v>22234</v>
      </c>
      <c r="CA406" t="s">
        <v>3909</v>
      </c>
      <c r="CB406" t="s">
        <v>581</v>
      </c>
      <c r="CC406" s="8" t="str">
        <f>"23704"</f>
        <v>23704</v>
      </c>
      <c r="CD406" t="s">
        <v>5348</v>
      </c>
      <c r="CE406" t="s">
        <v>2145</v>
      </c>
      <c r="CF406" s="12">
        <v>16.350000000000001</v>
      </c>
      <c r="CG406" s="12">
        <v>16.350000000000001</v>
      </c>
      <c r="CH406" s="12">
        <v>24.53</v>
      </c>
      <c r="CI406" s="12">
        <v>24.53</v>
      </c>
      <c r="CJ406" t="s">
        <v>135</v>
      </c>
      <c r="CK406" t="s">
        <v>22240</v>
      </c>
      <c r="CL406" t="s">
        <v>22241</v>
      </c>
      <c r="CO406" t="s">
        <v>132</v>
      </c>
      <c r="CP406" t="s">
        <v>114</v>
      </c>
      <c r="CQ406" t="s">
        <v>136</v>
      </c>
      <c r="CR406" t="s">
        <v>136</v>
      </c>
      <c r="CS406" t="s">
        <v>114</v>
      </c>
      <c r="CT406" t="s">
        <v>136</v>
      </c>
      <c r="CU406" t="s">
        <v>114</v>
      </c>
      <c r="CV406" t="s">
        <v>5173</v>
      </c>
      <c r="CW406" s="10" t="str">
        <f>"+17573993800"</f>
        <v>+17573993800</v>
      </c>
      <c r="CX406" t="s">
        <v>22242</v>
      </c>
      <c r="CY406" t="s">
        <v>132</v>
      </c>
      <c r="CZ406" t="s">
        <v>137</v>
      </c>
      <c r="DA406" t="s">
        <v>114</v>
      </c>
      <c r="DB406" t="s">
        <v>136</v>
      </c>
      <c r="DC406" t="s">
        <v>136</v>
      </c>
      <c r="DD406" t="s">
        <v>114</v>
      </c>
      <c r="DE406" t="s">
        <v>5168</v>
      </c>
      <c r="DF406" t="s">
        <v>2187</v>
      </c>
      <c r="DG406" t="s">
        <v>628</v>
      </c>
      <c r="DH406" t="s">
        <v>5172</v>
      </c>
      <c r="DI406" t="s">
        <v>5171</v>
      </c>
    </row>
    <row r="407" spans="1:113" ht="15" customHeight="1" x14ac:dyDescent="0.25">
      <c r="A407" t="s">
        <v>12188</v>
      </c>
      <c r="B407" t="s">
        <v>152</v>
      </c>
      <c r="C407" s="1">
        <v>45247.440807523148</v>
      </c>
      <c r="D407" s="1">
        <v>45273</v>
      </c>
      <c r="E407" t="s">
        <v>132</v>
      </c>
      <c r="F407" t="s">
        <v>12189</v>
      </c>
      <c r="G407" t="str">
        <f>"53-3031.00"</f>
        <v>53-3031.00</v>
      </c>
      <c r="H407" t="s">
        <v>3454</v>
      </c>
      <c r="I407">
        <v>24</v>
      </c>
      <c r="J407">
        <v>24</v>
      </c>
      <c r="K407" s="1">
        <v>45337</v>
      </c>
      <c r="L407" s="1">
        <v>45615</v>
      </c>
      <c r="M407" s="1">
        <v>45337</v>
      </c>
      <c r="N407" s="1">
        <v>45615</v>
      </c>
      <c r="O407" t="s">
        <v>238</v>
      </c>
      <c r="P407" t="s">
        <v>12190</v>
      </c>
      <c r="R407" t="s">
        <v>12191</v>
      </c>
      <c r="T407" t="s">
        <v>2920</v>
      </c>
      <c r="U407" t="s">
        <v>581</v>
      </c>
      <c r="V407" s="8" t="str">
        <f>"23836"</f>
        <v>23836</v>
      </c>
      <c r="W407" t="s">
        <v>118</v>
      </c>
      <c r="Y407" s="10">
        <v>18047989889</v>
      </c>
      <c r="AA407">
        <v>722330</v>
      </c>
      <c r="AB407" t="s">
        <v>12192</v>
      </c>
      <c r="AC407" t="s">
        <v>12193</v>
      </c>
      <c r="AD407" t="s">
        <v>475</v>
      </c>
      <c r="AE407" t="s">
        <v>438</v>
      </c>
      <c r="AF407" t="s">
        <v>12194</v>
      </c>
      <c r="AH407" t="s">
        <v>1781</v>
      </c>
      <c r="AI407" t="s">
        <v>581</v>
      </c>
      <c r="AJ407" s="8" t="str">
        <f>"23836"</f>
        <v>23836</v>
      </c>
      <c r="AK407" t="s">
        <v>118</v>
      </c>
      <c r="AM407" s="10">
        <v>18047989889</v>
      </c>
      <c r="AO407" t="s">
        <v>12195</v>
      </c>
      <c r="AP407" t="s">
        <v>248</v>
      </c>
      <c r="AQ407" t="s">
        <v>5168</v>
      </c>
      <c r="AR407" t="s">
        <v>2187</v>
      </c>
      <c r="AS407" t="s">
        <v>628</v>
      </c>
      <c r="AT407" t="s">
        <v>5169</v>
      </c>
      <c r="AV407" t="s">
        <v>5170</v>
      </c>
      <c r="AW407" t="s">
        <v>581</v>
      </c>
      <c r="AX407" s="8" t="str">
        <f>"23505"</f>
        <v>23505</v>
      </c>
      <c r="AY407" t="s">
        <v>118</v>
      </c>
      <c r="BA407" s="10">
        <v>18043019607</v>
      </c>
      <c r="BC407" t="s">
        <v>5171</v>
      </c>
      <c r="BD407" t="s">
        <v>5172</v>
      </c>
      <c r="BG407" t="s">
        <v>581</v>
      </c>
      <c r="BH407" s="1">
        <v>45243.791666666664</v>
      </c>
      <c r="BI407">
        <v>45</v>
      </c>
      <c r="BJ407">
        <v>0</v>
      </c>
      <c r="BK407">
        <v>8</v>
      </c>
      <c r="BL407">
        <v>8</v>
      </c>
      <c r="BM407">
        <v>8</v>
      </c>
      <c r="BN407">
        <v>8</v>
      </c>
      <c r="BO407">
        <v>8</v>
      </c>
      <c r="BP407">
        <v>5</v>
      </c>
      <c r="BQ407" t="str">
        <f>"12:00 PM"</f>
        <v>12:00 PM</v>
      </c>
      <c r="BR407" t="str">
        <f>"8:00 PM"</f>
        <v>8:00 PM</v>
      </c>
      <c r="BS407" t="s">
        <v>131</v>
      </c>
      <c r="BT407">
        <v>0</v>
      </c>
      <c r="BU407">
        <v>0</v>
      </c>
      <c r="BV407" t="s">
        <v>114</v>
      </c>
      <c r="BX407" s="2" t="s">
        <v>12196</v>
      </c>
      <c r="BY407" t="s">
        <v>12197</v>
      </c>
      <c r="CA407" t="s">
        <v>2920</v>
      </c>
      <c r="CB407" t="s">
        <v>581</v>
      </c>
      <c r="CC407" s="8" t="str">
        <f>"23836"</f>
        <v>23836</v>
      </c>
      <c r="CD407" t="s">
        <v>9390</v>
      </c>
      <c r="CE407" t="s">
        <v>1850</v>
      </c>
      <c r="CF407" s="12">
        <v>19.89</v>
      </c>
      <c r="CG407" s="12">
        <v>19.89</v>
      </c>
      <c r="CJ407" t="s">
        <v>135</v>
      </c>
      <c r="CK407" t="s">
        <v>12198</v>
      </c>
      <c r="CL407" t="s">
        <v>12199</v>
      </c>
      <c r="CO407" t="s">
        <v>132</v>
      </c>
      <c r="CP407" t="s">
        <v>114</v>
      </c>
      <c r="CQ407" t="s">
        <v>136</v>
      </c>
      <c r="CR407" t="s">
        <v>114</v>
      </c>
      <c r="CS407" t="s">
        <v>114</v>
      </c>
      <c r="CT407" t="s">
        <v>136</v>
      </c>
      <c r="CU407" t="s">
        <v>114</v>
      </c>
      <c r="CV407" t="s">
        <v>5173</v>
      </c>
      <c r="CW407" s="10" t="str">
        <f>"+18047989889"</f>
        <v>+18047989889</v>
      </c>
      <c r="CX407" t="s">
        <v>12200</v>
      </c>
      <c r="CY407" t="s">
        <v>132</v>
      </c>
      <c r="CZ407" t="s">
        <v>137</v>
      </c>
      <c r="DA407" t="s">
        <v>114</v>
      </c>
      <c r="DB407" t="s">
        <v>114</v>
      </c>
      <c r="DC407" t="s">
        <v>136</v>
      </c>
      <c r="DD407" t="s">
        <v>114</v>
      </c>
      <c r="DE407" t="s">
        <v>5168</v>
      </c>
      <c r="DF407" t="s">
        <v>2187</v>
      </c>
      <c r="DG407" t="s">
        <v>628</v>
      </c>
      <c r="DH407" t="s">
        <v>5172</v>
      </c>
      <c r="DI407" t="s">
        <v>5171</v>
      </c>
    </row>
    <row r="408" spans="1:113" ht="15" customHeight="1" x14ac:dyDescent="0.25">
      <c r="A408" t="s">
        <v>12325</v>
      </c>
      <c r="B408" t="s">
        <v>152</v>
      </c>
      <c r="C408" s="1">
        <v>45247.440490046298</v>
      </c>
      <c r="D408" s="1">
        <v>45273</v>
      </c>
      <c r="E408" t="s">
        <v>132</v>
      </c>
      <c r="F408" t="s">
        <v>12189</v>
      </c>
      <c r="G408" t="str">
        <f>"53-3031.00"</f>
        <v>53-3031.00</v>
      </c>
      <c r="H408" t="s">
        <v>3454</v>
      </c>
      <c r="I408">
        <v>24</v>
      </c>
      <c r="J408">
        <v>24</v>
      </c>
      <c r="K408" s="1">
        <v>45337</v>
      </c>
      <c r="L408" s="1">
        <v>45615</v>
      </c>
      <c r="M408" s="1">
        <v>45337</v>
      </c>
      <c r="N408" s="1">
        <v>45615</v>
      </c>
      <c r="O408" t="s">
        <v>238</v>
      </c>
      <c r="P408" t="s">
        <v>12326</v>
      </c>
      <c r="R408" t="s">
        <v>12327</v>
      </c>
      <c r="S408" t="s">
        <v>12328</v>
      </c>
      <c r="T408" t="s">
        <v>9901</v>
      </c>
      <c r="U408" t="s">
        <v>581</v>
      </c>
      <c r="V408" s="8" t="str">
        <f>"22405"</f>
        <v>22405</v>
      </c>
      <c r="W408" t="s">
        <v>118</v>
      </c>
      <c r="Y408" s="10">
        <v>18047989889</v>
      </c>
      <c r="AA408">
        <v>722330</v>
      </c>
      <c r="AB408" t="s">
        <v>12192</v>
      </c>
      <c r="AC408" t="s">
        <v>12193</v>
      </c>
      <c r="AD408" t="s">
        <v>475</v>
      </c>
      <c r="AE408" t="s">
        <v>438</v>
      </c>
      <c r="AF408" t="s">
        <v>12329</v>
      </c>
      <c r="AG408" t="s">
        <v>12330</v>
      </c>
      <c r="AH408" t="s">
        <v>12331</v>
      </c>
      <c r="AI408" t="s">
        <v>581</v>
      </c>
      <c r="AJ408" s="8" t="str">
        <f>"22405"</f>
        <v>22405</v>
      </c>
      <c r="AK408" t="s">
        <v>118</v>
      </c>
      <c r="AM408" s="10">
        <v>18047989889</v>
      </c>
      <c r="AO408" t="s">
        <v>12195</v>
      </c>
      <c r="AP408" t="s">
        <v>248</v>
      </c>
      <c r="AQ408" t="s">
        <v>5168</v>
      </c>
      <c r="AR408" t="s">
        <v>2187</v>
      </c>
      <c r="AS408" t="s">
        <v>628</v>
      </c>
      <c r="AT408" t="s">
        <v>5169</v>
      </c>
      <c r="AV408" t="s">
        <v>5170</v>
      </c>
      <c r="AW408" t="s">
        <v>581</v>
      </c>
      <c r="AX408" s="8" t="str">
        <f>"23505"</f>
        <v>23505</v>
      </c>
      <c r="AY408" t="s">
        <v>118</v>
      </c>
      <c r="BA408" s="10">
        <v>18043019607</v>
      </c>
      <c r="BC408" t="s">
        <v>5171</v>
      </c>
      <c r="BD408" t="s">
        <v>5172</v>
      </c>
      <c r="BG408" t="s">
        <v>581</v>
      </c>
      <c r="BH408" s="1">
        <v>45243.791666666664</v>
      </c>
      <c r="BI408">
        <v>45</v>
      </c>
      <c r="BJ408">
        <v>0</v>
      </c>
      <c r="BK408">
        <v>8</v>
      </c>
      <c r="BL408">
        <v>8</v>
      </c>
      <c r="BM408">
        <v>8</v>
      </c>
      <c r="BN408">
        <v>8</v>
      </c>
      <c r="BO408">
        <v>8</v>
      </c>
      <c r="BP408">
        <v>5</v>
      </c>
      <c r="BQ408" t="str">
        <f>"12:00 PM"</f>
        <v>12:00 PM</v>
      </c>
      <c r="BR408" t="str">
        <f>"8:00 PM"</f>
        <v>8:00 PM</v>
      </c>
      <c r="BS408" t="s">
        <v>131</v>
      </c>
      <c r="BT408">
        <v>0</v>
      </c>
      <c r="BU408">
        <v>0</v>
      </c>
      <c r="BV408" t="s">
        <v>114</v>
      </c>
      <c r="BX408" s="2" t="s">
        <v>12196</v>
      </c>
      <c r="BY408" t="s">
        <v>12332</v>
      </c>
      <c r="BZ408" t="s">
        <v>12333</v>
      </c>
      <c r="CA408" t="s">
        <v>9901</v>
      </c>
      <c r="CB408" t="s">
        <v>581</v>
      </c>
      <c r="CC408" s="8" t="str">
        <f>"22405"</f>
        <v>22405</v>
      </c>
      <c r="CD408" t="s">
        <v>12334</v>
      </c>
      <c r="CE408" t="s">
        <v>1794</v>
      </c>
      <c r="CF408" s="12">
        <v>17.059999999999999</v>
      </c>
      <c r="CG408" s="12">
        <v>17.059999999999999</v>
      </c>
      <c r="CJ408" t="s">
        <v>135</v>
      </c>
      <c r="CK408" t="s">
        <v>9476</v>
      </c>
      <c r="CL408" t="s">
        <v>12335</v>
      </c>
      <c r="CO408" t="s">
        <v>132</v>
      </c>
      <c r="CP408" t="s">
        <v>114</v>
      </c>
      <c r="CQ408" t="s">
        <v>136</v>
      </c>
      <c r="CR408" t="s">
        <v>114</v>
      </c>
      <c r="CS408" t="s">
        <v>114</v>
      </c>
      <c r="CT408" t="s">
        <v>136</v>
      </c>
      <c r="CU408" t="s">
        <v>114</v>
      </c>
      <c r="CV408" t="s">
        <v>5173</v>
      </c>
      <c r="CW408" s="10" t="str">
        <f>"+18047989889"</f>
        <v>+18047989889</v>
      </c>
      <c r="CX408" t="s">
        <v>12200</v>
      </c>
      <c r="CY408" t="s">
        <v>132</v>
      </c>
      <c r="CZ408" t="s">
        <v>137</v>
      </c>
      <c r="DA408" t="s">
        <v>114</v>
      </c>
      <c r="DB408" t="s">
        <v>114</v>
      </c>
      <c r="DC408" t="s">
        <v>136</v>
      </c>
      <c r="DD408" t="s">
        <v>114</v>
      </c>
      <c r="DE408" t="s">
        <v>5168</v>
      </c>
      <c r="DF408" t="s">
        <v>2187</v>
      </c>
      <c r="DG408" t="s">
        <v>628</v>
      </c>
      <c r="DH408" t="s">
        <v>5172</v>
      </c>
      <c r="DI408" t="s">
        <v>5171</v>
      </c>
    </row>
    <row r="409" spans="1:113" ht="15" customHeight="1" x14ac:dyDescent="0.25">
      <c r="A409" t="s">
        <v>23139</v>
      </c>
      <c r="B409" t="s">
        <v>152</v>
      </c>
      <c r="C409" s="1">
        <v>45247.440343865739</v>
      </c>
      <c r="D409" s="1">
        <v>45273</v>
      </c>
      <c r="E409" t="s">
        <v>132</v>
      </c>
      <c r="F409" t="s">
        <v>1961</v>
      </c>
      <c r="G409" t="str">
        <f>"37-3011.00"</f>
        <v>37-3011.00</v>
      </c>
      <c r="H409" t="s">
        <v>429</v>
      </c>
      <c r="I409">
        <v>55</v>
      </c>
      <c r="J409">
        <v>55</v>
      </c>
      <c r="K409" s="1">
        <v>45337</v>
      </c>
      <c r="L409" s="1">
        <v>45635</v>
      </c>
      <c r="M409" s="1">
        <v>45337</v>
      </c>
      <c r="N409" s="1">
        <v>45635</v>
      </c>
      <c r="O409" t="s">
        <v>116</v>
      </c>
      <c r="P409" t="s">
        <v>23140</v>
      </c>
      <c r="Q409" t="s">
        <v>23141</v>
      </c>
      <c r="R409" t="s">
        <v>23142</v>
      </c>
      <c r="T409" t="s">
        <v>7961</v>
      </c>
      <c r="U409" t="s">
        <v>984</v>
      </c>
      <c r="V409" s="8" t="str">
        <f>"63129"</f>
        <v>63129</v>
      </c>
      <c r="W409" t="s">
        <v>118</v>
      </c>
      <c r="Y409" s="10">
        <v>13148929500</v>
      </c>
      <c r="AA409">
        <v>56173</v>
      </c>
      <c r="AB409" t="s">
        <v>23143</v>
      </c>
      <c r="AC409" t="s">
        <v>23144</v>
      </c>
      <c r="AE409" t="s">
        <v>4796</v>
      </c>
      <c r="AF409" t="s">
        <v>23142</v>
      </c>
      <c r="AH409" t="s">
        <v>2851</v>
      </c>
      <c r="AI409" t="s">
        <v>984</v>
      </c>
      <c r="AJ409" s="8" t="str">
        <f>"63129"</f>
        <v>63129</v>
      </c>
      <c r="AK409" t="s">
        <v>118</v>
      </c>
      <c r="AM409" s="10">
        <v>13148929500</v>
      </c>
      <c r="AO409" t="s">
        <v>23145</v>
      </c>
      <c r="AP409" t="s">
        <v>248</v>
      </c>
      <c r="AQ409" t="s">
        <v>960</v>
      </c>
      <c r="AR409" t="s">
        <v>961</v>
      </c>
      <c r="AS409" t="s">
        <v>962</v>
      </c>
      <c r="AT409" t="s">
        <v>963</v>
      </c>
      <c r="AU409" t="s">
        <v>296</v>
      </c>
      <c r="AV409" t="s">
        <v>964</v>
      </c>
      <c r="AW409" t="s">
        <v>127</v>
      </c>
      <c r="AX409" s="8" t="str">
        <f>"75033"</f>
        <v>75033</v>
      </c>
      <c r="AY409" t="s">
        <v>118</v>
      </c>
      <c r="BA409" s="10">
        <v>19727789690</v>
      </c>
      <c r="BC409" t="s">
        <v>1919</v>
      </c>
      <c r="BD409" t="s">
        <v>966</v>
      </c>
      <c r="BG409" t="s">
        <v>984</v>
      </c>
      <c r="BH409" s="1">
        <v>45246.791666666664</v>
      </c>
      <c r="BI409">
        <v>36</v>
      </c>
      <c r="BJ409">
        <v>0</v>
      </c>
      <c r="BK409">
        <v>9</v>
      </c>
      <c r="BL409">
        <v>9</v>
      </c>
      <c r="BM409">
        <v>9</v>
      </c>
      <c r="BN409">
        <v>9</v>
      </c>
      <c r="BO409">
        <v>0</v>
      </c>
      <c r="BP409">
        <v>0</v>
      </c>
      <c r="BQ409" t="str">
        <f>"6:30 AM"</f>
        <v>6:30 AM</v>
      </c>
      <c r="BR409" t="str">
        <f>"4:30 PM"</f>
        <v>4:30 PM</v>
      </c>
      <c r="BS409" t="s">
        <v>131</v>
      </c>
      <c r="BT409">
        <v>0</v>
      </c>
      <c r="BU409">
        <v>0</v>
      </c>
      <c r="BV409" t="s">
        <v>114</v>
      </c>
      <c r="BX409" s="2" t="s">
        <v>23146</v>
      </c>
      <c r="BY409" t="s">
        <v>23142</v>
      </c>
      <c r="CA409" t="s">
        <v>7961</v>
      </c>
      <c r="CB409" t="s">
        <v>984</v>
      </c>
      <c r="CC409" s="8" t="str">
        <f>"63129"</f>
        <v>63129</v>
      </c>
      <c r="CD409" t="s">
        <v>2851</v>
      </c>
      <c r="CE409" t="s">
        <v>1856</v>
      </c>
      <c r="CF409" s="12">
        <v>17.579999999999998</v>
      </c>
      <c r="CH409" s="12">
        <v>26.37</v>
      </c>
      <c r="CJ409" t="s">
        <v>135</v>
      </c>
      <c r="CK409" t="s">
        <v>1942</v>
      </c>
      <c r="CL409" t="s">
        <v>23147</v>
      </c>
      <c r="CO409" t="s">
        <v>132</v>
      </c>
      <c r="CP409" t="s">
        <v>136</v>
      </c>
      <c r="CQ409" t="s">
        <v>114</v>
      </c>
      <c r="CR409" t="s">
        <v>136</v>
      </c>
      <c r="CS409" t="s">
        <v>136</v>
      </c>
      <c r="CT409" t="s">
        <v>136</v>
      </c>
      <c r="CU409" t="s">
        <v>136</v>
      </c>
      <c r="CV409" s="2" t="s">
        <v>23148</v>
      </c>
      <c r="CW409" s="10" t="str">
        <f>"+13148929500"</f>
        <v>+13148929500</v>
      </c>
      <c r="CX409" t="s">
        <v>132</v>
      </c>
      <c r="CY409" t="s">
        <v>5346</v>
      </c>
      <c r="CZ409" t="s">
        <v>137</v>
      </c>
      <c r="DA409" t="s">
        <v>114</v>
      </c>
      <c r="DB409" t="s">
        <v>114</v>
      </c>
      <c r="DC409" t="s">
        <v>136</v>
      </c>
      <c r="DD409" t="s">
        <v>114</v>
      </c>
    </row>
    <row r="410" spans="1:113" ht="15" customHeight="1" x14ac:dyDescent="0.25">
      <c r="A410" t="s">
        <v>18887</v>
      </c>
      <c r="B410" t="s">
        <v>152</v>
      </c>
      <c r="C410" s="1">
        <v>45247.410139814812</v>
      </c>
      <c r="D410" s="1">
        <v>45273</v>
      </c>
      <c r="E410" t="s">
        <v>132</v>
      </c>
      <c r="F410" t="s">
        <v>1595</v>
      </c>
      <c r="G410" t="str">
        <f>"37-3011.00"</f>
        <v>37-3011.00</v>
      </c>
      <c r="H410" t="s">
        <v>429</v>
      </c>
      <c r="I410">
        <v>9</v>
      </c>
      <c r="J410">
        <v>9</v>
      </c>
      <c r="K410" s="1">
        <v>45337</v>
      </c>
      <c r="L410" s="1">
        <v>45626</v>
      </c>
      <c r="M410" s="1">
        <v>45337</v>
      </c>
      <c r="N410" s="1">
        <v>45626</v>
      </c>
      <c r="O410" t="s">
        <v>238</v>
      </c>
      <c r="P410" t="s">
        <v>18888</v>
      </c>
      <c r="R410" t="s">
        <v>18889</v>
      </c>
      <c r="S410" t="s">
        <v>132</v>
      </c>
      <c r="T410" t="s">
        <v>18890</v>
      </c>
      <c r="U410" t="s">
        <v>1776</v>
      </c>
      <c r="V410" s="8" t="str">
        <f>"08340"</f>
        <v>08340</v>
      </c>
      <c r="W410" t="s">
        <v>118</v>
      </c>
      <c r="Y410" s="10">
        <v>16094764659</v>
      </c>
      <c r="AA410">
        <v>561730</v>
      </c>
      <c r="AB410" t="s">
        <v>7695</v>
      </c>
      <c r="AC410" t="s">
        <v>2167</v>
      </c>
      <c r="AE410" t="s">
        <v>2907</v>
      </c>
      <c r="AF410" t="s">
        <v>18889</v>
      </c>
      <c r="AG410" t="s">
        <v>132</v>
      </c>
      <c r="AH410" t="s">
        <v>18890</v>
      </c>
      <c r="AI410" t="s">
        <v>1776</v>
      </c>
      <c r="AJ410" s="8" t="str">
        <f>"08340"</f>
        <v>08340</v>
      </c>
      <c r="AK410" t="s">
        <v>118</v>
      </c>
      <c r="AM410" s="10">
        <v>16094764659</v>
      </c>
      <c r="AO410" t="s">
        <v>18891</v>
      </c>
      <c r="AP410" t="s">
        <v>248</v>
      </c>
      <c r="AQ410" t="s">
        <v>2166</v>
      </c>
      <c r="AR410" t="s">
        <v>2167</v>
      </c>
      <c r="AS410" t="s">
        <v>631</v>
      </c>
      <c r="AT410" t="s">
        <v>1584</v>
      </c>
      <c r="AU410" t="s">
        <v>132</v>
      </c>
      <c r="AV410" t="s">
        <v>1585</v>
      </c>
      <c r="AW410" t="s">
        <v>127</v>
      </c>
      <c r="AX410" s="8" t="str">
        <f>"77414"</f>
        <v>77414</v>
      </c>
      <c r="AY410" t="s">
        <v>118</v>
      </c>
      <c r="BA410" s="10">
        <v>19793187282</v>
      </c>
      <c r="BC410" t="s">
        <v>2168</v>
      </c>
      <c r="BD410" t="s">
        <v>1587</v>
      </c>
      <c r="BG410" t="s">
        <v>1776</v>
      </c>
      <c r="BH410" s="1">
        <v>45246.791666666664</v>
      </c>
      <c r="BI410">
        <v>40</v>
      </c>
      <c r="BJ410">
        <v>0</v>
      </c>
      <c r="BK410">
        <v>8</v>
      </c>
      <c r="BL410">
        <v>8</v>
      </c>
      <c r="BM410">
        <v>8</v>
      </c>
      <c r="BN410">
        <v>8</v>
      </c>
      <c r="BO410">
        <v>8</v>
      </c>
      <c r="BP410">
        <v>0</v>
      </c>
      <c r="BQ410" t="str">
        <f>"8:00 AM"</f>
        <v>8:00 AM</v>
      </c>
      <c r="BR410" t="str">
        <f>"4:00 PM"</f>
        <v>4:00 PM</v>
      </c>
      <c r="BS410" t="s">
        <v>131</v>
      </c>
      <c r="BT410">
        <v>0</v>
      </c>
      <c r="BU410">
        <v>0</v>
      </c>
      <c r="BV410" t="s">
        <v>114</v>
      </c>
      <c r="BX410" s="2" t="s">
        <v>18892</v>
      </c>
      <c r="BY410" t="s">
        <v>18893</v>
      </c>
      <c r="BZ410" t="s">
        <v>132</v>
      </c>
      <c r="CA410" t="s">
        <v>18890</v>
      </c>
      <c r="CB410" t="s">
        <v>1776</v>
      </c>
      <c r="CC410" s="8" t="str">
        <f>"08340"</f>
        <v>08340</v>
      </c>
      <c r="CD410" t="s">
        <v>8088</v>
      </c>
      <c r="CE410" t="s">
        <v>8089</v>
      </c>
      <c r="CF410" s="12">
        <v>18.79</v>
      </c>
      <c r="CG410" s="12">
        <v>20</v>
      </c>
      <c r="CH410" s="12">
        <v>28.19</v>
      </c>
      <c r="CI410" s="12">
        <v>30</v>
      </c>
      <c r="CJ410" t="s">
        <v>135</v>
      </c>
      <c r="CK410" t="s">
        <v>18894</v>
      </c>
      <c r="CL410" t="s">
        <v>18895</v>
      </c>
      <c r="CO410" t="s">
        <v>132</v>
      </c>
      <c r="CP410" t="s">
        <v>136</v>
      </c>
      <c r="CQ410" t="s">
        <v>136</v>
      </c>
      <c r="CR410" t="s">
        <v>136</v>
      </c>
      <c r="CS410" t="s">
        <v>136</v>
      </c>
      <c r="CT410" t="s">
        <v>136</v>
      </c>
      <c r="CU410" t="s">
        <v>136</v>
      </c>
      <c r="CV410" t="s">
        <v>3580</v>
      </c>
      <c r="CW410" s="10" t="str">
        <f>"+16094764659"</f>
        <v>+16094764659</v>
      </c>
      <c r="CX410" t="s">
        <v>18891</v>
      </c>
      <c r="CY410" t="s">
        <v>132</v>
      </c>
      <c r="CZ410" t="s">
        <v>137</v>
      </c>
      <c r="DA410" t="s">
        <v>114</v>
      </c>
      <c r="DB410" t="s">
        <v>114</v>
      </c>
      <c r="DC410" t="s">
        <v>136</v>
      </c>
      <c r="DD410" t="s">
        <v>114</v>
      </c>
    </row>
    <row r="411" spans="1:113" ht="15" customHeight="1" x14ac:dyDescent="0.25">
      <c r="A411" t="s">
        <v>7343</v>
      </c>
      <c r="B411" t="s">
        <v>152</v>
      </c>
      <c r="C411" s="1">
        <v>45247.362560300928</v>
      </c>
      <c r="D411" s="1">
        <v>45273</v>
      </c>
      <c r="E411" t="s">
        <v>132</v>
      </c>
      <c r="F411" t="s">
        <v>1595</v>
      </c>
      <c r="G411" t="str">
        <f>"37-3011.00"</f>
        <v>37-3011.00</v>
      </c>
      <c r="H411" t="s">
        <v>429</v>
      </c>
      <c r="I411">
        <v>4</v>
      </c>
      <c r="J411">
        <v>4</v>
      </c>
      <c r="K411" s="1">
        <v>45337</v>
      </c>
      <c r="L411" s="1">
        <v>45627</v>
      </c>
      <c r="M411" s="1">
        <v>45337</v>
      </c>
      <c r="N411" s="1">
        <v>45627</v>
      </c>
      <c r="O411" t="s">
        <v>238</v>
      </c>
      <c r="P411" t="s">
        <v>7344</v>
      </c>
      <c r="R411" t="s">
        <v>7345</v>
      </c>
      <c r="T411" t="s">
        <v>7346</v>
      </c>
      <c r="U411" t="s">
        <v>434</v>
      </c>
      <c r="V411" s="8" t="str">
        <f>"15001"</f>
        <v>15001</v>
      </c>
      <c r="W411" t="s">
        <v>118</v>
      </c>
      <c r="Y411" s="10">
        <v>17243168010</v>
      </c>
      <c r="AA411">
        <v>561730</v>
      </c>
      <c r="AB411" t="s">
        <v>7347</v>
      </c>
      <c r="AC411" t="s">
        <v>2795</v>
      </c>
      <c r="AE411" t="s">
        <v>561</v>
      </c>
      <c r="AF411" t="s">
        <v>7345</v>
      </c>
      <c r="AH411" t="s">
        <v>7346</v>
      </c>
      <c r="AI411" t="s">
        <v>434</v>
      </c>
      <c r="AJ411" s="8" t="str">
        <f>"15001"</f>
        <v>15001</v>
      </c>
      <c r="AK411" t="s">
        <v>118</v>
      </c>
      <c r="AM411" s="10">
        <v>17243168010</v>
      </c>
      <c r="AO411" t="s">
        <v>7348</v>
      </c>
      <c r="AP411" t="s">
        <v>248</v>
      </c>
      <c r="AQ411" t="s">
        <v>1860</v>
      </c>
      <c r="AR411" t="s">
        <v>1861</v>
      </c>
      <c r="AS411" t="s">
        <v>1862</v>
      </c>
      <c r="AT411" t="s">
        <v>1863</v>
      </c>
      <c r="AU411" t="s">
        <v>1864</v>
      </c>
      <c r="AV411" t="s">
        <v>1865</v>
      </c>
      <c r="AW411" t="s">
        <v>581</v>
      </c>
      <c r="AX411" s="8" t="str">
        <f>"24521"</f>
        <v>24521</v>
      </c>
      <c r="AY411" t="s">
        <v>118</v>
      </c>
      <c r="BA411" s="10">
        <v>14349460035</v>
      </c>
      <c r="BB411">
        <v>11</v>
      </c>
      <c r="BC411" t="s">
        <v>1866</v>
      </c>
      <c r="BD411" t="s">
        <v>1867</v>
      </c>
      <c r="BG411" t="s">
        <v>434</v>
      </c>
      <c r="BH411" s="1">
        <v>45246.791666666664</v>
      </c>
      <c r="BI411">
        <v>40</v>
      </c>
      <c r="BJ411">
        <v>0</v>
      </c>
      <c r="BK411">
        <v>8</v>
      </c>
      <c r="BL411">
        <v>8</v>
      </c>
      <c r="BM411">
        <v>8</v>
      </c>
      <c r="BN411">
        <v>8</v>
      </c>
      <c r="BO411">
        <v>8</v>
      </c>
      <c r="BP411">
        <v>0</v>
      </c>
      <c r="BQ411" t="str">
        <f>"8:00 AM"</f>
        <v>8:00 AM</v>
      </c>
      <c r="BR411" t="str">
        <f>"4:00 PM"</f>
        <v>4:00 PM</v>
      </c>
      <c r="BS411" t="s">
        <v>131</v>
      </c>
      <c r="BT411">
        <v>0</v>
      </c>
      <c r="BU411">
        <v>0</v>
      </c>
      <c r="BV411" t="s">
        <v>114</v>
      </c>
      <c r="BX411" s="2" t="s">
        <v>7349</v>
      </c>
      <c r="BY411" t="s">
        <v>7345</v>
      </c>
      <c r="CA411" t="s">
        <v>7346</v>
      </c>
      <c r="CB411" t="s">
        <v>434</v>
      </c>
      <c r="CC411" s="8" t="str">
        <f>"15001"</f>
        <v>15001</v>
      </c>
      <c r="CD411" t="s">
        <v>4852</v>
      </c>
      <c r="CE411" t="s">
        <v>1887</v>
      </c>
      <c r="CF411" s="12">
        <v>16.84</v>
      </c>
      <c r="CG411" s="12">
        <v>16.84</v>
      </c>
      <c r="CH411" s="12">
        <v>25.26</v>
      </c>
      <c r="CI411" s="12">
        <v>25.26</v>
      </c>
      <c r="CJ411" t="s">
        <v>135</v>
      </c>
      <c r="CK411" t="s">
        <v>7350</v>
      </c>
      <c r="CL411" t="s">
        <v>7351</v>
      </c>
      <c r="CO411" t="s">
        <v>132</v>
      </c>
      <c r="CP411" t="s">
        <v>136</v>
      </c>
      <c r="CQ411" t="s">
        <v>136</v>
      </c>
      <c r="CR411" t="s">
        <v>136</v>
      </c>
      <c r="CS411" t="s">
        <v>114</v>
      </c>
      <c r="CT411" t="s">
        <v>136</v>
      </c>
      <c r="CU411" t="s">
        <v>136</v>
      </c>
      <c r="CV411" t="s">
        <v>7352</v>
      </c>
      <c r="CW411" s="10" t="str">
        <f>"+17243168010"</f>
        <v>+17243168010</v>
      </c>
      <c r="CX411" t="s">
        <v>7348</v>
      </c>
      <c r="CY411" t="s">
        <v>132</v>
      </c>
      <c r="CZ411" t="s">
        <v>137</v>
      </c>
      <c r="DA411" t="s">
        <v>114</v>
      </c>
      <c r="DB411" t="s">
        <v>136</v>
      </c>
      <c r="DC411" t="s">
        <v>136</v>
      </c>
      <c r="DD411" t="s">
        <v>114</v>
      </c>
    </row>
    <row r="412" spans="1:113" ht="15" customHeight="1" x14ac:dyDescent="0.25">
      <c r="A412" t="s">
        <v>3383</v>
      </c>
      <c r="B412" t="s">
        <v>152</v>
      </c>
      <c r="C412" s="1">
        <v>45247.361464351852</v>
      </c>
      <c r="D412" s="1">
        <v>45273</v>
      </c>
      <c r="E412" t="s">
        <v>132</v>
      </c>
      <c r="F412" t="s">
        <v>3384</v>
      </c>
      <c r="G412" t="str">
        <f>"37-3011.00"</f>
        <v>37-3011.00</v>
      </c>
      <c r="H412" t="s">
        <v>429</v>
      </c>
      <c r="I412">
        <v>10</v>
      </c>
      <c r="J412">
        <v>10</v>
      </c>
      <c r="K412" s="1">
        <v>45337</v>
      </c>
      <c r="L412" s="1">
        <v>45641</v>
      </c>
      <c r="M412" s="1">
        <v>45337</v>
      </c>
      <c r="N412" s="1">
        <v>45641</v>
      </c>
      <c r="O412" t="s">
        <v>238</v>
      </c>
      <c r="P412" t="s">
        <v>3385</v>
      </c>
      <c r="R412" t="s">
        <v>3386</v>
      </c>
      <c r="S412" t="s">
        <v>3387</v>
      </c>
      <c r="T412" t="s">
        <v>3388</v>
      </c>
      <c r="U412" t="s">
        <v>375</v>
      </c>
      <c r="V412" s="8" t="str">
        <f>"28120"</f>
        <v>28120</v>
      </c>
      <c r="W412" t="s">
        <v>118</v>
      </c>
      <c r="Y412" s="10">
        <v>17048203022</v>
      </c>
      <c r="AA412">
        <v>56173</v>
      </c>
      <c r="AB412" t="s">
        <v>3389</v>
      </c>
      <c r="AC412" t="s">
        <v>931</v>
      </c>
      <c r="AD412" t="s">
        <v>2297</v>
      </c>
      <c r="AE412" t="s">
        <v>987</v>
      </c>
      <c r="AF412" t="s">
        <v>3386</v>
      </c>
      <c r="AG412" t="s">
        <v>3387</v>
      </c>
      <c r="AH412" t="s">
        <v>3388</v>
      </c>
      <c r="AI412" t="s">
        <v>375</v>
      </c>
      <c r="AJ412" s="8" t="str">
        <f>"28120"</f>
        <v>28120</v>
      </c>
      <c r="AK412" t="s">
        <v>118</v>
      </c>
      <c r="AM412" s="10">
        <v>17048203022</v>
      </c>
      <c r="AO412" t="s">
        <v>3390</v>
      </c>
      <c r="AP412" t="s">
        <v>248</v>
      </c>
      <c r="AQ412" t="s">
        <v>1860</v>
      </c>
      <c r="AR412" t="s">
        <v>1861</v>
      </c>
      <c r="AS412" t="s">
        <v>1862</v>
      </c>
      <c r="AT412" t="s">
        <v>1863</v>
      </c>
      <c r="AU412" t="s">
        <v>1864</v>
      </c>
      <c r="AV412" t="s">
        <v>1865</v>
      </c>
      <c r="AW412" t="s">
        <v>581</v>
      </c>
      <c r="AX412" s="8" t="str">
        <f>"24521"</f>
        <v>24521</v>
      </c>
      <c r="AY412" t="s">
        <v>118</v>
      </c>
      <c r="BA412" s="10">
        <v>14349460035</v>
      </c>
      <c r="BB412">
        <v>11</v>
      </c>
      <c r="BC412" t="s">
        <v>1866</v>
      </c>
      <c r="BD412" t="s">
        <v>1867</v>
      </c>
      <c r="BG412" t="s">
        <v>375</v>
      </c>
      <c r="BH412" s="1">
        <v>45246.791666666664</v>
      </c>
      <c r="BI412">
        <v>40</v>
      </c>
      <c r="BJ412">
        <v>0</v>
      </c>
      <c r="BK412">
        <v>8</v>
      </c>
      <c r="BL412">
        <v>8</v>
      </c>
      <c r="BM412">
        <v>8</v>
      </c>
      <c r="BN412">
        <v>8</v>
      </c>
      <c r="BO412">
        <v>8</v>
      </c>
      <c r="BP412">
        <v>0</v>
      </c>
      <c r="BQ412" t="str">
        <f>"6:30 AM"</f>
        <v>6:30 AM</v>
      </c>
      <c r="BR412" t="str">
        <f>"3:00 PM"</f>
        <v>3:00 PM</v>
      </c>
      <c r="BS412" t="s">
        <v>131</v>
      </c>
      <c r="BT412">
        <v>0</v>
      </c>
      <c r="BU412">
        <v>0</v>
      </c>
      <c r="BV412" t="s">
        <v>114</v>
      </c>
      <c r="BX412" s="2" t="s">
        <v>3391</v>
      </c>
      <c r="BY412" t="s">
        <v>3392</v>
      </c>
      <c r="CA412" t="s">
        <v>3388</v>
      </c>
      <c r="CB412" t="s">
        <v>375</v>
      </c>
      <c r="CC412" s="8" t="str">
        <f>"28120"</f>
        <v>28120</v>
      </c>
      <c r="CD412" t="s">
        <v>3393</v>
      </c>
      <c r="CE412" t="s">
        <v>2940</v>
      </c>
      <c r="CF412" s="12">
        <v>17.239999999999998</v>
      </c>
      <c r="CG412" s="12">
        <v>17.239999999999998</v>
      </c>
      <c r="CH412" s="12">
        <v>25.86</v>
      </c>
      <c r="CI412" s="12">
        <v>25.86</v>
      </c>
      <c r="CJ412" t="s">
        <v>135</v>
      </c>
      <c r="CK412" t="s">
        <v>3394</v>
      </c>
      <c r="CL412" t="s">
        <v>3395</v>
      </c>
      <c r="CO412" t="s">
        <v>132</v>
      </c>
      <c r="CP412" t="s">
        <v>136</v>
      </c>
      <c r="CQ412" t="s">
        <v>136</v>
      </c>
      <c r="CR412" t="s">
        <v>136</v>
      </c>
      <c r="CS412" t="s">
        <v>114</v>
      </c>
      <c r="CT412" t="s">
        <v>136</v>
      </c>
      <c r="CU412" t="s">
        <v>114</v>
      </c>
      <c r="CV412" t="s">
        <v>3396</v>
      </c>
      <c r="CW412" s="10" t="str">
        <f>"+19807223482"</f>
        <v>+19807223482</v>
      </c>
      <c r="CX412" t="s">
        <v>3390</v>
      </c>
      <c r="CY412" t="s">
        <v>132</v>
      </c>
      <c r="CZ412" t="s">
        <v>137</v>
      </c>
      <c r="DA412" t="s">
        <v>114</v>
      </c>
      <c r="DB412" t="s">
        <v>136</v>
      </c>
      <c r="DC412" t="s">
        <v>136</v>
      </c>
      <c r="DD412" t="s">
        <v>114</v>
      </c>
    </row>
    <row r="413" spans="1:113" ht="15" customHeight="1" x14ac:dyDescent="0.25">
      <c r="A413" t="s">
        <v>7244</v>
      </c>
      <c r="B413" t="s">
        <v>152</v>
      </c>
      <c r="C413" s="1">
        <v>45247.361031365741</v>
      </c>
      <c r="D413" s="1">
        <v>45273</v>
      </c>
      <c r="E413" t="s">
        <v>132</v>
      </c>
      <c r="F413" t="s">
        <v>7245</v>
      </c>
      <c r="G413" t="str">
        <f>"47-4051.00"</f>
        <v>47-4051.00</v>
      </c>
      <c r="H413" t="s">
        <v>5632</v>
      </c>
      <c r="I413">
        <v>50</v>
      </c>
      <c r="J413">
        <v>50</v>
      </c>
      <c r="K413" s="1">
        <v>45337</v>
      </c>
      <c r="L413" s="1">
        <v>45627</v>
      </c>
      <c r="M413" s="1">
        <v>45337</v>
      </c>
      <c r="N413" s="1">
        <v>45627</v>
      </c>
      <c r="O413" t="s">
        <v>116</v>
      </c>
      <c r="P413" t="s">
        <v>7246</v>
      </c>
      <c r="R413" t="s">
        <v>7247</v>
      </c>
      <c r="S413" t="s">
        <v>7248</v>
      </c>
      <c r="T413" t="s">
        <v>603</v>
      </c>
      <c r="U413" t="s">
        <v>127</v>
      </c>
      <c r="V413" s="8" t="str">
        <f>"78737"</f>
        <v>78737</v>
      </c>
      <c r="W413" t="s">
        <v>118</v>
      </c>
      <c r="Y413" s="10">
        <v>15122806666</v>
      </c>
      <c r="AA413">
        <v>237310</v>
      </c>
      <c r="AB413" t="s">
        <v>7249</v>
      </c>
      <c r="AC413" t="s">
        <v>7250</v>
      </c>
      <c r="AD413" t="s">
        <v>3749</v>
      </c>
      <c r="AE413" t="s">
        <v>629</v>
      </c>
      <c r="AF413" t="s">
        <v>7247</v>
      </c>
      <c r="AG413" t="s">
        <v>7251</v>
      </c>
      <c r="AH413" t="s">
        <v>603</v>
      </c>
      <c r="AI413" t="s">
        <v>127</v>
      </c>
      <c r="AJ413" s="8" t="str">
        <f>"78737"</f>
        <v>78737</v>
      </c>
      <c r="AK413" t="s">
        <v>118</v>
      </c>
      <c r="AM413" s="10">
        <v>15122806666</v>
      </c>
      <c r="AO413" t="s">
        <v>7252</v>
      </c>
      <c r="AP413" t="s">
        <v>248</v>
      </c>
      <c r="AQ413" t="s">
        <v>1860</v>
      </c>
      <c r="AR413" t="s">
        <v>1861</v>
      </c>
      <c r="AS413" t="s">
        <v>1862</v>
      </c>
      <c r="AT413" t="s">
        <v>1863</v>
      </c>
      <c r="AU413" t="s">
        <v>1864</v>
      </c>
      <c r="AV413" t="s">
        <v>1865</v>
      </c>
      <c r="AW413" t="s">
        <v>581</v>
      </c>
      <c r="AX413" s="8" t="str">
        <f>"24521"</f>
        <v>24521</v>
      </c>
      <c r="AY413" t="s">
        <v>118</v>
      </c>
      <c r="BA413" s="10">
        <v>14349460035</v>
      </c>
      <c r="BB413">
        <v>11</v>
      </c>
      <c r="BC413" t="s">
        <v>1866</v>
      </c>
      <c r="BD413" t="s">
        <v>1867</v>
      </c>
      <c r="BG413" t="s">
        <v>127</v>
      </c>
      <c r="BH413" s="1">
        <v>45612.791666666664</v>
      </c>
      <c r="BI413">
        <v>40</v>
      </c>
      <c r="BJ413">
        <v>0</v>
      </c>
      <c r="BK413">
        <v>8</v>
      </c>
      <c r="BL413">
        <v>8</v>
      </c>
      <c r="BM413">
        <v>8</v>
      </c>
      <c r="BN413">
        <v>8</v>
      </c>
      <c r="BO413">
        <v>8</v>
      </c>
      <c r="BP413">
        <v>0</v>
      </c>
      <c r="BQ413" t="str">
        <f>"7:00 AM"</f>
        <v>7:00 AM</v>
      </c>
      <c r="BR413" t="str">
        <f>"3:30 PM"</f>
        <v>3:30 PM</v>
      </c>
      <c r="BS413" t="s">
        <v>131</v>
      </c>
      <c r="BT413">
        <v>0</v>
      </c>
      <c r="BU413">
        <v>0</v>
      </c>
      <c r="BV413" t="s">
        <v>114</v>
      </c>
      <c r="BX413" s="2" t="s">
        <v>7253</v>
      </c>
      <c r="BY413" t="s">
        <v>7247</v>
      </c>
      <c r="CA413" t="s">
        <v>603</v>
      </c>
      <c r="CB413" t="s">
        <v>127</v>
      </c>
      <c r="CC413" s="8" t="str">
        <f>"78737"</f>
        <v>78737</v>
      </c>
      <c r="CD413" t="s">
        <v>5800</v>
      </c>
      <c r="CE413" t="s">
        <v>324</v>
      </c>
      <c r="CF413" s="12">
        <v>20.14</v>
      </c>
      <c r="CG413" s="12">
        <v>20.14</v>
      </c>
      <c r="CH413" s="12">
        <v>30.21</v>
      </c>
      <c r="CI413" s="12">
        <v>30.21</v>
      </c>
      <c r="CJ413" t="s">
        <v>135</v>
      </c>
      <c r="CK413" t="s">
        <v>7254</v>
      </c>
      <c r="CL413" t="s">
        <v>7255</v>
      </c>
      <c r="CO413" t="s">
        <v>132</v>
      </c>
      <c r="CP413" t="s">
        <v>136</v>
      </c>
      <c r="CQ413" t="s">
        <v>136</v>
      </c>
      <c r="CR413" t="s">
        <v>136</v>
      </c>
      <c r="CS413" t="s">
        <v>136</v>
      </c>
      <c r="CT413" t="s">
        <v>136</v>
      </c>
      <c r="CU413" t="s">
        <v>114</v>
      </c>
      <c r="CV413" t="s">
        <v>7256</v>
      </c>
      <c r="CW413" s="10" t="str">
        <f>"+15122806666"</f>
        <v>+15122806666</v>
      </c>
      <c r="CX413" t="s">
        <v>7252</v>
      </c>
      <c r="CY413" t="s">
        <v>132</v>
      </c>
      <c r="CZ413" t="s">
        <v>137</v>
      </c>
      <c r="DA413" t="s">
        <v>114</v>
      </c>
      <c r="DB413" t="s">
        <v>114</v>
      </c>
      <c r="DC413" t="s">
        <v>136</v>
      </c>
      <c r="DD413" t="s">
        <v>114</v>
      </c>
    </row>
    <row r="414" spans="1:113" ht="15" customHeight="1" x14ac:dyDescent="0.25">
      <c r="A414" t="s">
        <v>7743</v>
      </c>
      <c r="B414" t="s">
        <v>152</v>
      </c>
      <c r="C414" s="1">
        <v>45247.360718055555</v>
      </c>
      <c r="D414" s="1">
        <v>45273</v>
      </c>
      <c r="E414" t="s">
        <v>132</v>
      </c>
      <c r="F414" t="s">
        <v>2319</v>
      </c>
      <c r="G414" t="str">
        <f>"47-2061.00"</f>
        <v>47-2061.00</v>
      </c>
      <c r="H414" t="s">
        <v>570</v>
      </c>
      <c r="I414">
        <v>8</v>
      </c>
      <c r="J414">
        <v>8</v>
      </c>
      <c r="K414" s="1">
        <v>45337</v>
      </c>
      <c r="L414" s="1">
        <v>45641</v>
      </c>
      <c r="M414" s="1">
        <v>45337</v>
      </c>
      <c r="N414" s="1">
        <v>45641</v>
      </c>
      <c r="O414" t="s">
        <v>238</v>
      </c>
      <c r="P414" t="s">
        <v>7744</v>
      </c>
      <c r="R414" t="s">
        <v>7745</v>
      </c>
      <c r="S414" t="s">
        <v>7746</v>
      </c>
      <c r="T414" t="s">
        <v>7747</v>
      </c>
      <c r="U414" t="s">
        <v>581</v>
      </c>
      <c r="V414" s="8" t="str">
        <f>"23035"</f>
        <v>23035</v>
      </c>
      <c r="W414" t="s">
        <v>118</v>
      </c>
      <c r="Y414" s="10">
        <v>18047257516</v>
      </c>
      <c r="AA414">
        <v>23899</v>
      </c>
      <c r="AB414" t="s">
        <v>7748</v>
      </c>
      <c r="AC414" t="s">
        <v>2188</v>
      </c>
      <c r="AD414" t="s">
        <v>3052</v>
      </c>
      <c r="AE414" t="s">
        <v>2928</v>
      </c>
      <c r="AF414" t="s">
        <v>7745</v>
      </c>
      <c r="AG414" t="s">
        <v>7746</v>
      </c>
      <c r="AH414" t="s">
        <v>7747</v>
      </c>
      <c r="AI414" t="s">
        <v>581</v>
      </c>
      <c r="AJ414" s="8" t="str">
        <f>"23035"</f>
        <v>23035</v>
      </c>
      <c r="AK414" t="s">
        <v>118</v>
      </c>
      <c r="AM414" s="10">
        <v>18047257516</v>
      </c>
      <c r="AO414" t="s">
        <v>7749</v>
      </c>
      <c r="AP414" t="s">
        <v>248</v>
      </c>
      <c r="AQ414" t="s">
        <v>1860</v>
      </c>
      <c r="AR414" t="s">
        <v>1861</v>
      </c>
      <c r="AS414" t="s">
        <v>1862</v>
      </c>
      <c r="AT414" t="s">
        <v>1863</v>
      </c>
      <c r="AU414" t="s">
        <v>1864</v>
      </c>
      <c r="AV414" t="s">
        <v>1865</v>
      </c>
      <c r="AW414" t="s">
        <v>581</v>
      </c>
      <c r="AX414" s="8" t="str">
        <f>"24521"</f>
        <v>24521</v>
      </c>
      <c r="AY414" t="s">
        <v>118</v>
      </c>
      <c r="BA414" s="10">
        <v>14349460035</v>
      </c>
      <c r="BB414">
        <v>11</v>
      </c>
      <c r="BC414" t="s">
        <v>1866</v>
      </c>
      <c r="BD414" t="s">
        <v>1867</v>
      </c>
      <c r="BG414" t="s">
        <v>581</v>
      </c>
      <c r="BH414" s="1">
        <v>45246.791666666664</v>
      </c>
      <c r="BI414">
        <v>40</v>
      </c>
      <c r="BJ414">
        <v>0</v>
      </c>
      <c r="BK414">
        <v>8</v>
      </c>
      <c r="BL414">
        <v>8</v>
      </c>
      <c r="BM414">
        <v>8</v>
      </c>
      <c r="BN414">
        <v>8</v>
      </c>
      <c r="BO414">
        <v>8</v>
      </c>
      <c r="BP414">
        <v>0</v>
      </c>
      <c r="BQ414" t="str">
        <f>"8:00 AM"</f>
        <v>8:00 AM</v>
      </c>
      <c r="BR414" t="str">
        <f>"4:30 PM"</f>
        <v>4:30 PM</v>
      </c>
      <c r="BS414" t="s">
        <v>131</v>
      </c>
      <c r="BT414">
        <v>0</v>
      </c>
      <c r="BU414">
        <v>0</v>
      </c>
      <c r="BV414" t="s">
        <v>114</v>
      </c>
      <c r="BX414" t="s">
        <v>7750</v>
      </c>
      <c r="BY414" t="s">
        <v>7751</v>
      </c>
      <c r="CA414" t="s">
        <v>7747</v>
      </c>
      <c r="CB414" t="s">
        <v>581</v>
      </c>
      <c r="CC414" s="8" t="str">
        <f>"23035"</f>
        <v>23035</v>
      </c>
      <c r="CD414" t="s">
        <v>7752</v>
      </c>
      <c r="CE414" t="s">
        <v>2145</v>
      </c>
      <c r="CF414" s="12">
        <v>17.52</v>
      </c>
      <c r="CG414" s="12">
        <v>17.52</v>
      </c>
      <c r="CH414" s="12">
        <v>26.28</v>
      </c>
      <c r="CI414" s="12">
        <v>26.28</v>
      </c>
      <c r="CJ414" t="s">
        <v>135</v>
      </c>
      <c r="CK414" t="s">
        <v>7753</v>
      </c>
      <c r="CL414" t="s">
        <v>7754</v>
      </c>
      <c r="CO414" t="s">
        <v>132</v>
      </c>
      <c r="CP414" t="s">
        <v>136</v>
      </c>
      <c r="CQ414" t="s">
        <v>136</v>
      </c>
      <c r="CR414" t="s">
        <v>136</v>
      </c>
      <c r="CS414" t="s">
        <v>136</v>
      </c>
      <c r="CT414" t="s">
        <v>136</v>
      </c>
      <c r="CU414" t="s">
        <v>136</v>
      </c>
      <c r="CV414" t="s">
        <v>7755</v>
      </c>
      <c r="CW414" s="10" t="str">
        <f>"+18047257516"</f>
        <v>+18047257516</v>
      </c>
      <c r="CX414" t="s">
        <v>7749</v>
      </c>
      <c r="CY414" t="s">
        <v>132</v>
      </c>
      <c r="CZ414" t="s">
        <v>137</v>
      </c>
      <c r="DA414" t="s">
        <v>114</v>
      </c>
      <c r="DB414" t="s">
        <v>136</v>
      </c>
      <c r="DC414" t="s">
        <v>136</v>
      </c>
      <c r="DD414" t="s">
        <v>114</v>
      </c>
    </row>
    <row r="415" spans="1:113" ht="15" customHeight="1" x14ac:dyDescent="0.25">
      <c r="A415" t="s">
        <v>16331</v>
      </c>
      <c r="B415" t="s">
        <v>152</v>
      </c>
      <c r="C415" s="1">
        <v>45247.36040902778</v>
      </c>
      <c r="D415" s="1">
        <v>45273</v>
      </c>
      <c r="E415" t="s">
        <v>132</v>
      </c>
      <c r="F415" t="s">
        <v>16332</v>
      </c>
      <c r="G415" t="str">
        <f>"47-2061.00"</f>
        <v>47-2061.00</v>
      </c>
      <c r="H415" t="s">
        <v>570</v>
      </c>
      <c r="I415">
        <v>16</v>
      </c>
      <c r="J415">
        <v>16</v>
      </c>
      <c r="K415" s="1">
        <v>45337</v>
      </c>
      <c r="L415" s="1">
        <v>45646</v>
      </c>
      <c r="M415" s="1">
        <v>45337</v>
      </c>
      <c r="N415" s="1">
        <v>45646</v>
      </c>
      <c r="O415" t="s">
        <v>116</v>
      </c>
      <c r="P415" t="s">
        <v>16333</v>
      </c>
      <c r="R415" t="s">
        <v>16334</v>
      </c>
      <c r="S415" t="s">
        <v>16335</v>
      </c>
      <c r="T415" t="s">
        <v>7644</v>
      </c>
      <c r="U415" t="s">
        <v>1722</v>
      </c>
      <c r="V415" s="8" t="str">
        <f>"21214"</f>
        <v>21214</v>
      </c>
      <c r="W415" t="s">
        <v>118</v>
      </c>
      <c r="Y415" s="10">
        <v>14104263331</v>
      </c>
      <c r="AA415">
        <v>238190</v>
      </c>
      <c r="AB415" t="s">
        <v>16336</v>
      </c>
      <c r="AC415" t="s">
        <v>144</v>
      </c>
      <c r="AD415" t="s">
        <v>3749</v>
      </c>
      <c r="AE415" t="s">
        <v>629</v>
      </c>
      <c r="AF415" t="s">
        <v>16334</v>
      </c>
      <c r="AG415" t="s">
        <v>16335</v>
      </c>
      <c r="AH415" t="s">
        <v>7644</v>
      </c>
      <c r="AI415" t="s">
        <v>1722</v>
      </c>
      <c r="AJ415" s="8" t="str">
        <f>"21214"</f>
        <v>21214</v>
      </c>
      <c r="AK415" t="s">
        <v>118</v>
      </c>
      <c r="AM415" s="10">
        <v>14104263331</v>
      </c>
      <c r="AO415" t="s">
        <v>16337</v>
      </c>
      <c r="AP415" t="s">
        <v>248</v>
      </c>
      <c r="AQ415" t="s">
        <v>1860</v>
      </c>
      <c r="AR415" t="s">
        <v>1861</v>
      </c>
      <c r="AS415" t="s">
        <v>1862</v>
      </c>
      <c r="AT415" t="s">
        <v>1863</v>
      </c>
      <c r="AU415" t="s">
        <v>1864</v>
      </c>
      <c r="AV415" t="s">
        <v>1865</v>
      </c>
      <c r="AW415" t="s">
        <v>581</v>
      </c>
      <c r="AX415" s="8" t="str">
        <f>"24521"</f>
        <v>24521</v>
      </c>
      <c r="AY415" t="s">
        <v>118</v>
      </c>
      <c r="BA415" s="10">
        <v>14349460035</v>
      </c>
      <c r="BB415">
        <v>11</v>
      </c>
      <c r="BC415" t="s">
        <v>1866</v>
      </c>
      <c r="BD415" t="s">
        <v>1867</v>
      </c>
      <c r="BG415" t="s">
        <v>1722</v>
      </c>
      <c r="BH415" s="1">
        <v>45246.791666666664</v>
      </c>
      <c r="BI415">
        <v>40</v>
      </c>
      <c r="BJ415">
        <v>0</v>
      </c>
      <c r="BK415">
        <v>8</v>
      </c>
      <c r="BL415">
        <v>8</v>
      </c>
      <c r="BM415">
        <v>8</v>
      </c>
      <c r="BN415">
        <v>8</v>
      </c>
      <c r="BO415">
        <v>8</v>
      </c>
      <c r="BP415">
        <v>0</v>
      </c>
      <c r="BQ415" t="str">
        <f>"7:00 AM"</f>
        <v>7:00 AM</v>
      </c>
      <c r="BR415" t="str">
        <f>"3:30 PM"</f>
        <v>3:30 PM</v>
      </c>
      <c r="BS415" t="s">
        <v>131</v>
      </c>
      <c r="BT415">
        <v>0</v>
      </c>
      <c r="BU415">
        <v>1</v>
      </c>
      <c r="BV415" t="s">
        <v>114</v>
      </c>
      <c r="BX415" s="2" t="s">
        <v>16338</v>
      </c>
      <c r="BY415" t="s">
        <v>16334</v>
      </c>
      <c r="CA415" t="s">
        <v>7644</v>
      </c>
      <c r="CB415" t="s">
        <v>1722</v>
      </c>
      <c r="CC415" s="8" t="str">
        <f>"21214"</f>
        <v>21214</v>
      </c>
      <c r="CD415" t="s">
        <v>2013</v>
      </c>
      <c r="CE415" t="s">
        <v>1992</v>
      </c>
      <c r="CF415" s="12">
        <v>20.100000000000001</v>
      </c>
      <c r="CG415" s="12">
        <v>20.100000000000001</v>
      </c>
      <c r="CH415" s="12">
        <v>30.15</v>
      </c>
      <c r="CI415" s="12">
        <v>30.15</v>
      </c>
      <c r="CJ415" t="s">
        <v>135</v>
      </c>
      <c r="CK415" t="s">
        <v>9753</v>
      </c>
      <c r="CL415" t="s">
        <v>16339</v>
      </c>
      <c r="CO415" t="s">
        <v>132</v>
      </c>
      <c r="CP415" t="s">
        <v>136</v>
      </c>
      <c r="CQ415" t="s">
        <v>136</v>
      </c>
      <c r="CR415" t="s">
        <v>136</v>
      </c>
      <c r="CS415" t="s">
        <v>114</v>
      </c>
      <c r="CT415" t="s">
        <v>136</v>
      </c>
      <c r="CU415" t="s">
        <v>136</v>
      </c>
      <c r="CV415" s="2" t="s">
        <v>16340</v>
      </c>
      <c r="CW415" s="10" t="str">
        <f>"+14104263331"</f>
        <v>+14104263331</v>
      </c>
      <c r="CX415" t="s">
        <v>16337</v>
      </c>
      <c r="CY415" t="s">
        <v>132</v>
      </c>
      <c r="CZ415" t="s">
        <v>137</v>
      </c>
      <c r="DA415" t="s">
        <v>114</v>
      </c>
      <c r="DB415" t="s">
        <v>136</v>
      </c>
      <c r="DC415" t="s">
        <v>136</v>
      </c>
      <c r="DD415" t="s">
        <v>114</v>
      </c>
    </row>
    <row r="416" spans="1:113" ht="15" customHeight="1" x14ac:dyDescent="0.25">
      <c r="A416" t="s">
        <v>7529</v>
      </c>
      <c r="B416" t="s">
        <v>152</v>
      </c>
      <c r="C416" s="1">
        <v>45247.360054050929</v>
      </c>
      <c r="D416" s="1">
        <v>45273</v>
      </c>
      <c r="E416" t="s">
        <v>132</v>
      </c>
      <c r="F416" t="s">
        <v>7530</v>
      </c>
      <c r="G416" t="str">
        <f>"37-3011.00"</f>
        <v>37-3011.00</v>
      </c>
      <c r="H416" t="s">
        <v>429</v>
      </c>
      <c r="I416">
        <v>10</v>
      </c>
      <c r="J416">
        <v>10</v>
      </c>
      <c r="K416" s="1">
        <v>45337</v>
      </c>
      <c r="L416" s="1">
        <v>45611</v>
      </c>
      <c r="M416" s="1">
        <v>45337</v>
      </c>
      <c r="N416" s="1">
        <v>45611</v>
      </c>
      <c r="O416" t="s">
        <v>238</v>
      </c>
      <c r="P416" t="s">
        <v>7531</v>
      </c>
      <c r="R416" t="s">
        <v>7532</v>
      </c>
      <c r="S416" t="s">
        <v>7533</v>
      </c>
      <c r="T416" t="s">
        <v>2996</v>
      </c>
      <c r="U416" t="s">
        <v>375</v>
      </c>
      <c r="V416" s="8" t="str">
        <f>"27939"</f>
        <v>27939</v>
      </c>
      <c r="W416" t="s">
        <v>118</v>
      </c>
      <c r="Y416" s="10">
        <v>12524532658</v>
      </c>
      <c r="AA416">
        <v>44523</v>
      </c>
      <c r="AB416" t="s">
        <v>2996</v>
      </c>
      <c r="AC416" t="s">
        <v>7534</v>
      </c>
      <c r="AD416" t="s">
        <v>4795</v>
      </c>
      <c r="AE416" t="s">
        <v>561</v>
      </c>
      <c r="AF416" t="s">
        <v>7532</v>
      </c>
      <c r="AG416" t="s">
        <v>7535</v>
      </c>
      <c r="AH416" t="s">
        <v>2996</v>
      </c>
      <c r="AI416" t="s">
        <v>375</v>
      </c>
      <c r="AJ416" s="8" t="str">
        <f>"27939"</f>
        <v>27939</v>
      </c>
      <c r="AK416" t="s">
        <v>118</v>
      </c>
      <c r="AM416" s="10">
        <v>12524532658</v>
      </c>
      <c r="AO416" t="s">
        <v>132</v>
      </c>
      <c r="AP416" t="s">
        <v>248</v>
      </c>
      <c r="AQ416" t="s">
        <v>1860</v>
      </c>
      <c r="AR416" t="s">
        <v>1861</v>
      </c>
      <c r="AS416" t="s">
        <v>1862</v>
      </c>
      <c r="AT416" t="s">
        <v>1863</v>
      </c>
      <c r="AU416" t="s">
        <v>1864</v>
      </c>
      <c r="AV416" t="s">
        <v>1865</v>
      </c>
      <c r="AW416" t="s">
        <v>581</v>
      </c>
      <c r="AX416" s="8" t="str">
        <f>"24521"</f>
        <v>24521</v>
      </c>
      <c r="AY416" t="s">
        <v>118</v>
      </c>
      <c r="BA416" s="10">
        <v>14349460035</v>
      </c>
      <c r="BB416">
        <v>11</v>
      </c>
      <c r="BC416" t="s">
        <v>1866</v>
      </c>
      <c r="BD416" t="s">
        <v>1867</v>
      </c>
      <c r="BG416" t="s">
        <v>375</v>
      </c>
      <c r="BH416" s="1">
        <v>45246.791666666664</v>
      </c>
      <c r="BI416">
        <v>48</v>
      </c>
      <c r="BJ416">
        <v>8</v>
      </c>
      <c r="BK416">
        <v>0</v>
      </c>
      <c r="BL416">
        <v>0</v>
      </c>
      <c r="BM416">
        <v>8</v>
      </c>
      <c r="BN416">
        <v>8</v>
      </c>
      <c r="BO416">
        <v>12</v>
      </c>
      <c r="BP416">
        <v>12</v>
      </c>
      <c r="BQ416" t="str">
        <f>"5:00 AM"</f>
        <v>5:00 AM</v>
      </c>
      <c r="BR416" t="str">
        <f>"9:00 PM"</f>
        <v>9:00 PM</v>
      </c>
      <c r="BS416" t="s">
        <v>131</v>
      </c>
      <c r="BT416">
        <v>0</v>
      </c>
      <c r="BU416">
        <v>3</v>
      </c>
      <c r="BV416" t="s">
        <v>114</v>
      </c>
      <c r="BX416" s="2" t="s">
        <v>7536</v>
      </c>
      <c r="BY416" t="s">
        <v>7532</v>
      </c>
      <c r="CA416" t="s">
        <v>2996</v>
      </c>
      <c r="CB416" t="s">
        <v>375</v>
      </c>
      <c r="CC416" s="8" t="str">
        <f>"27939"</f>
        <v>27939</v>
      </c>
      <c r="CD416" t="s">
        <v>2997</v>
      </c>
      <c r="CE416" t="s">
        <v>2145</v>
      </c>
      <c r="CF416" s="12">
        <v>16.350000000000001</v>
      </c>
      <c r="CG416" s="12">
        <v>16.350000000000001</v>
      </c>
      <c r="CH416" s="12">
        <v>24.53</v>
      </c>
      <c r="CI416" s="12">
        <v>24.53</v>
      </c>
      <c r="CJ416" t="s">
        <v>135</v>
      </c>
      <c r="CK416" t="s">
        <v>7537</v>
      </c>
      <c r="CL416" t="s">
        <v>7538</v>
      </c>
      <c r="CO416" t="s">
        <v>132</v>
      </c>
      <c r="CP416" t="s">
        <v>136</v>
      </c>
      <c r="CQ416" t="s">
        <v>136</v>
      </c>
      <c r="CR416" t="s">
        <v>136</v>
      </c>
      <c r="CS416" t="s">
        <v>114</v>
      </c>
      <c r="CT416" t="s">
        <v>136</v>
      </c>
      <c r="CU416" t="s">
        <v>136</v>
      </c>
      <c r="CV416" s="2" t="s">
        <v>7539</v>
      </c>
      <c r="CW416" s="10" t="str">
        <f>"+12524532658"</f>
        <v>+12524532658</v>
      </c>
      <c r="CX416" t="s">
        <v>7540</v>
      </c>
      <c r="CY416" t="s">
        <v>132</v>
      </c>
      <c r="CZ416" t="s">
        <v>137</v>
      </c>
      <c r="DA416" t="s">
        <v>114</v>
      </c>
      <c r="DB416" t="s">
        <v>136</v>
      </c>
      <c r="DC416" t="s">
        <v>136</v>
      </c>
      <c r="DD416" t="s">
        <v>114</v>
      </c>
    </row>
    <row r="417" spans="1:113" ht="15" customHeight="1" x14ac:dyDescent="0.25">
      <c r="A417" t="s">
        <v>5636</v>
      </c>
      <c r="B417" t="s">
        <v>152</v>
      </c>
      <c r="C417" s="1">
        <v>45247.359100462963</v>
      </c>
      <c r="D417" s="1">
        <v>45273</v>
      </c>
      <c r="E417" t="s">
        <v>132</v>
      </c>
      <c r="F417" t="s">
        <v>1595</v>
      </c>
      <c r="G417" t="str">
        <f>"37-3011.00"</f>
        <v>37-3011.00</v>
      </c>
      <c r="H417" t="s">
        <v>429</v>
      </c>
      <c r="I417">
        <v>6</v>
      </c>
      <c r="J417">
        <v>6</v>
      </c>
      <c r="K417" s="1">
        <v>45337</v>
      </c>
      <c r="L417" s="1">
        <v>45626</v>
      </c>
      <c r="M417" s="1">
        <v>45337</v>
      </c>
      <c r="N417" s="1">
        <v>45626</v>
      </c>
      <c r="O417" t="s">
        <v>116</v>
      </c>
      <c r="P417" t="s">
        <v>5637</v>
      </c>
      <c r="R417" t="s">
        <v>5638</v>
      </c>
      <c r="T417" t="s">
        <v>2531</v>
      </c>
      <c r="U417" t="s">
        <v>543</v>
      </c>
      <c r="V417" s="8" t="str">
        <f>"44023"</f>
        <v>44023</v>
      </c>
      <c r="W417" t="s">
        <v>118</v>
      </c>
      <c r="Y417" s="10">
        <v>14403430214</v>
      </c>
      <c r="AA417">
        <v>56173</v>
      </c>
      <c r="AB417" t="s">
        <v>5639</v>
      </c>
      <c r="AC417" t="s">
        <v>5640</v>
      </c>
      <c r="AE417" t="s">
        <v>629</v>
      </c>
      <c r="AF417" t="s">
        <v>5638</v>
      </c>
      <c r="AH417" t="s">
        <v>2531</v>
      </c>
      <c r="AI417" t="s">
        <v>543</v>
      </c>
      <c r="AJ417" s="8" t="str">
        <f>"44023"</f>
        <v>44023</v>
      </c>
      <c r="AK417" t="s">
        <v>118</v>
      </c>
      <c r="AM417" s="10">
        <v>14403430214</v>
      </c>
      <c r="AO417" t="s">
        <v>5641</v>
      </c>
      <c r="AP417" t="s">
        <v>248</v>
      </c>
      <c r="AQ417" t="s">
        <v>1860</v>
      </c>
      <c r="AR417" t="s">
        <v>1861</v>
      </c>
      <c r="AS417" t="s">
        <v>1862</v>
      </c>
      <c r="AT417" t="s">
        <v>1863</v>
      </c>
      <c r="AU417" t="s">
        <v>1864</v>
      </c>
      <c r="AV417" t="s">
        <v>1865</v>
      </c>
      <c r="AW417" t="s">
        <v>581</v>
      </c>
      <c r="AX417" s="8" t="str">
        <f>"24521"</f>
        <v>24521</v>
      </c>
      <c r="AY417" t="s">
        <v>118</v>
      </c>
      <c r="BA417" s="10">
        <v>14349460035</v>
      </c>
      <c r="BB417">
        <v>11</v>
      </c>
      <c r="BC417" t="s">
        <v>1866</v>
      </c>
      <c r="BD417" t="s">
        <v>1867</v>
      </c>
      <c r="BG417" t="s">
        <v>543</v>
      </c>
      <c r="BH417" s="1">
        <v>45246.791666666664</v>
      </c>
      <c r="BI417">
        <v>40</v>
      </c>
      <c r="BJ417">
        <v>0</v>
      </c>
      <c r="BK417">
        <v>8</v>
      </c>
      <c r="BL417">
        <v>8</v>
      </c>
      <c r="BM417">
        <v>8</v>
      </c>
      <c r="BN417">
        <v>8</v>
      </c>
      <c r="BO417">
        <v>8</v>
      </c>
      <c r="BP417">
        <v>0</v>
      </c>
      <c r="BQ417" t="str">
        <f>"8:00 AM"</f>
        <v>8:00 AM</v>
      </c>
      <c r="BR417" t="str">
        <f>"5:00 PM"</f>
        <v>5:00 PM</v>
      </c>
      <c r="BS417" t="s">
        <v>131</v>
      </c>
      <c r="BT417">
        <v>0</v>
      </c>
      <c r="BU417">
        <v>0</v>
      </c>
      <c r="BV417" t="s">
        <v>114</v>
      </c>
      <c r="BX417" s="2" t="s">
        <v>5642</v>
      </c>
      <c r="BY417" t="s">
        <v>5643</v>
      </c>
      <c r="CA417" t="s">
        <v>2531</v>
      </c>
      <c r="CB417" t="s">
        <v>543</v>
      </c>
      <c r="CC417" s="8" t="str">
        <f>"44023"</f>
        <v>44023</v>
      </c>
      <c r="CD417" t="s">
        <v>2533</v>
      </c>
      <c r="CE417" t="s">
        <v>1839</v>
      </c>
      <c r="CF417" s="12">
        <v>17.23</v>
      </c>
      <c r="CG417" s="12">
        <v>17.23</v>
      </c>
      <c r="CH417" s="12">
        <v>25.85</v>
      </c>
      <c r="CI417" s="12">
        <v>25.85</v>
      </c>
      <c r="CJ417" t="s">
        <v>135</v>
      </c>
      <c r="CK417" t="s">
        <v>5644</v>
      </c>
      <c r="CL417" t="s">
        <v>5645</v>
      </c>
      <c r="CO417" t="s">
        <v>132</v>
      </c>
      <c r="CP417" t="s">
        <v>136</v>
      </c>
      <c r="CQ417" t="s">
        <v>136</v>
      </c>
      <c r="CR417" t="s">
        <v>136</v>
      </c>
      <c r="CS417" t="s">
        <v>114</v>
      </c>
      <c r="CT417" t="s">
        <v>136</v>
      </c>
      <c r="CU417" t="s">
        <v>114</v>
      </c>
      <c r="CV417" t="s">
        <v>3396</v>
      </c>
      <c r="CW417" s="10" t="str">
        <f>"+14403430214"</f>
        <v>+14403430214</v>
      </c>
      <c r="CX417" t="s">
        <v>5641</v>
      </c>
      <c r="CY417" t="s">
        <v>132</v>
      </c>
      <c r="CZ417" t="s">
        <v>137</v>
      </c>
      <c r="DA417" t="s">
        <v>114</v>
      </c>
      <c r="DB417" t="s">
        <v>136</v>
      </c>
      <c r="DC417" t="s">
        <v>136</v>
      </c>
      <c r="DD417" t="s">
        <v>114</v>
      </c>
    </row>
    <row r="418" spans="1:113" ht="15" customHeight="1" x14ac:dyDescent="0.25">
      <c r="A418" t="s">
        <v>16085</v>
      </c>
      <c r="B418" t="s">
        <v>152</v>
      </c>
      <c r="C418" s="1">
        <v>45247.319463078704</v>
      </c>
      <c r="D418" s="1">
        <v>45273</v>
      </c>
      <c r="E418" t="s">
        <v>132</v>
      </c>
      <c r="F418" t="s">
        <v>1595</v>
      </c>
      <c r="G418" t="str">
        <f>"37-3011.00"</f>
        <v>37-3011.00</v>
      </c>
      <c r="H418" t="s">
        <v>429</v>
      </c>
      <c r="I418">
        <v>35</v>
      </c>
      <c r="J418">
        <v>35</v>
      </c>
      <c r="K418" s="1">
        <v>45337</v>
      </c>
      <c r="L418" s="1">
        <v>45623</v>
      </c>
      <c r="M418" s="1">
        <v>45337</v>
      </c>
      <c r="N418" s="1">
        <v>45623</v>
      </c>
      <c r="O418" t="s">
        <v>116</v>
      </c>
      <c r="P418" t="s">
        <v>16086</v>
      </c>
      <c r="R418" t="s">
        <v>16087</v>
      </c>
      <c r="S418" t="s">
        <v>16088</v>
      </c>
      <c r="T418" t="s">
        <v>12510</v>
      </c>
      <c r="U418" t="s">
        <v>581</v>
      </c>
      <c r="V418" s="8" t="str">
        <f>"22003"</f>
        <v>22003</v>
      </c>
      <c r="W418" t="s">
        <v>118</v>
      </c>
      <c r="X418" t="s">
        <v>132</v>
      </c>
      <c r="Y418" s="10">
        <v>17038523429</v>
      </c>
      <c r="AA418">
        <v>561730</v>
      </c>
      <c r="AB418" t="s">
        <v>893</v>
      </c>
      <c r="AC418" t="s">
        <v>12512</v>
      </c>
      <c r="AD418" t="s">
        <v>1829</v>
      </c>
      <c r="AE418" t="s">
        <v>537</v>
      </c>
      <c r="AF418" t="s">
        <v>16087</v>
      </c>
      <c r="AG418" t="s">
        <v>12509</v>
      </c>
      <c r="AH418" t="s">
        <v>12510</v>
      </c>
      <c r="AI418" t="s">
        <v>581</v>
      </c>
      <c r="AJ418" s="8" t="str">
        <f>"22003"</f>
        <v>22003</v>
      </c>
      <c r="AK418" t="s">
        <v>118</v>
      </c>
      <c r="AM418" s="10">
        <v>17038523429</v>
      </c>
      <c r="AO418" t="s">
        <v>12513</v>
      </c>
      <c r="AP418" t="s">
        <v>248</v>
      </c>
      <c r="AQ418" t="s">
        <v>5000</v>
      </c>
      <c r="AR418" t="s">
        <v>4889</v>
      </c>
      <c r="AS418" t="s">
        <v>2998</v>
      </c>
      <c r="AT418" t="s">
        <v>1584</v>
      </c>
      <c r="AU418" t="s">
        <v>132</v>
      </c>
      <c r="AV418" t="s">
        <v>1585</v>
      </c>
      <c r="AW418" t="s">
        <v>127</v>
      </c>
      <c r="AX418" s="8" t="str">
        <f>"77414"</f>
        <v>77414</v>
      </c>
      <c r="AY418" t="s">
        <v>118</v>
      </c>
      <c r="BA418" s="10">
        <v>19793187277</v>
      </c>
      <c r="BC418" t="s">
        <v>5001</v>
      </c>
      <c r="BD418" t="s">
        <v>1587</v>
      </c>
      <c r="BG418" t="s">
        <v>581</v>
      </c>
      <c r="BH418" s="1">
        <v>45246.791666666664</v>
      </c>
      <c r="BI418">
        <v>40</v>
      </c>
      <c r="BJ418">
        <v>0</v>
      </c>
      <c r="BK418">
        <v>8</v>
      </c>
      <c r="BL418">
        <v>8</v>
      </c>
      <c r="BM418">
        <v>8</v>
      </c>
      <c r="BN418">
        <v>8</v>
      </c>
      <c r="BO418">
        <v>8</v>
      </c>
      <c r="BP418">
        <v>0</v>
      </c>
      <c r="BQ418" t="str">
        <f>"7:00 AM"</f>
        <v>7:00 AM</v>
      </c>
      <c r="BR418" t="str">
        <f>"4:00 PM"</f>
        <v>4:00 PM</v>
      </c>
      <c r="BS418" t="s">
        <v>131</v>
      </c>
      <c r="BT418">
        <v>0</v>
      </c>
      <c r="BU418">
        <v>0</v>
      </c>
      <c r="BV418" t="s">
        <v>114</v>
      </c>
      <c r="BX418" s="2" t="s">
        <v>16089</v>
      </c>
      <c r="BY418" t="s">
        <v>16090</v>
      </c>
      <c r="BZ418" t="s">
        <v>132</v>
      </c>
      <c r="CA418" t="s">
        <v>4731</v>
      </c>
      <c r="CB418" t="s">
        <v>581</v>
      </c>
      <c r="CC418" s="8" t="str">
        <f>"22079"</f>
        <v>22079</v>
      </c>
      <c r="CD418" t="s">
        <v>2457</v>
      </c>
      <c r="CE418" t="s">
        <v>1794</v>
      </c>
      <c r="CF418" s="12">
        <v>19.670000000000002</v>
      </c>
      <c r="CH418" s="12">
        <v>29.51</v>
      </c>
      <c r="CJ418" t="s">
        <v>135</v>
      </c>
      <c r="CK418" t="s">
        <v>2642</v>
      </c>
      <c r="CL418" t="s">
        <v>16091</v>
      </c>
      <c r="CO418" t="s">
        <v>132</v>
      </c>
      <c r="CP418" t="s">
        <v>136</v>
      </c>
      <c r="CQ418" t="s">
        <v>136</v>
      </c>
      <c r="CR418" t="s">
        <v>136</v>
      </c>
      <c r="CS418" t="s">
        <v>136</v>
      </c>
      <c r="CT418" t="s">
        <v>136</v>
      </c>
      <c r="CU418" t="s">
        <v>136</v>
      </c>
      <c r="CV418" t="s">
        <v>12518</v>
      </c>
      <c r="CW418" s="10" t="str">
        <f>"+17034703999"</f>
        <v>+17034703999</v>
      </c>
      <c r="CX418" t="s">
        <v>16092</v>
      </c>
      <c r="CY418" t="s">
        <v>132</v>
      </c>
      <c r="CZ418" t="s">
        <v>137</v>
      </c>
      <c r="DA418" t="s">
        <v>114</v>
      </c>
      <c r="DB418" t="s">
        <v>136</v>
      </c>
      <c r="DC418" t="s">
        <v>136</v>
      </c>
      <c r="DD418" t="s">
        <v>114</v>
      </c>
    </row>
    <row r="419" spans="1:113" ht="15" customHeight="1" x14ac:dyDescent="0.25">
      <c r="A419" t="s">
        <v>17398</v>
      </c>
      <c r="B419" t="s">
        <v>152</v>
      </c>
      <c r="C419" s="1">
        <v>45247.315232291665</v>
      </c>
      <c r="D419" s="1">
        <v>45273</v>
      </c>
      <c r="E419" t="s">
        <v>132</v>
      </c>
      <c r="F419" t="s">
        <v>1595</v>
      </c>
      <c r="G419" t="str">
        <f>"37-3011.00"</f>
        <v>37-3011.00</v>
      </c>
      <c r="H419" t="s">
        <v>429</v>
      </c>
      <c r="I419">
        <v>50</v>
      </c>
      <c r="J419">
        <v>50</v>
      </c>
      <c r="K419" s="1">
        <v>45337</v>
      </c>
      <c r="L419" s="1">
        <v>45623</v>
      </c>
      <c r="M419" s="1">
        <v>45337</v>
      </c>
      <c r="N419" s="1">
        <v>45623</v>
      </c>
      <c r="O419" t="s">
        <v>116</v>
      </c>
      <c r="P419" t="s">
        <v>16086</v>
      </c>
      <c r="R419" t="s">
        <v>16087</v>
      </c>
      <c r="S419" t="s">
        <v>16088</v>
      </c>
      <c r="T419" t="s">
        <v>12510</v>
      </c>
      <c r="U419" t="s">
        <v>581</v>
      </c>
      <c r="V419" s="8" t="str">
        <f>"22003"</f>
        <v>22003</v>
      </c>
      <c r="W419" t="s">
        <v>118</v>
      </c>
      <c r="X419" t="s">
        <v>132</v>
      </c>
      <c r="Y419" s="10">
        <v>17038523429</v>
      </c>
      <c r="AA419">
        <v>561730</v>
      </c>
      <c r="AB419" t="s">
        <v>893</v>
      </c>
      <c r="AC419" t="s">
        <v>12512</v>
      </c>
      <c r="AD419" t="s">
        <v>1829</v>
      </c>
      <c r="AE419" t="s">
        <v>537</v>
      </c>
      <c r="AF419" t="s">
        <v>16087</v>
      </c>
      <c r="AG419" t="s">
        <v>12509</v>
      </c>
      <c r="AH419" t="s">
        <v>12510</v>
      </c>
      <c r="AI419" t="s">
        <v>581</v>
      </c>
      <c r="AJ419" s="8" t="str">
        <f>"22003"</f>
        <v>22003</v>
      </c>
      <c r="AK419" t="s">
        <v>118</v>
      </c>
      <c r="AM419" s="10">
        <v>17038523429</v>
      </c>
      <c r="AO419" t="s">
        <v>12513</v>
      </c>
      <c r="AP419" t="s">
        <v>248</v>
      </c>
      <c r="AQ419" t="s">
        <v>5000</v>
      </c>
      <c r="AR419" t="s">
        <v>4889</v>
      </c>
      <c r="AS419" t="s">
        <v>2998</v>
      </c>
      <c r="AT419" t="s">
        <v>1584</v>
      </c>
      <c r="AU419" t="s">
        <v>132</v>
      </c>
      <c r="AV419" t="s">
        <v>1585</v>
      </c>
      <c r="AW419" t="s">
        <v>127</v>
      </c>
      <c r="AX419" s="8" t="str">
        <f>"77414"</f>
        <v>77414</v>
      </c>
      <c r="AY419" t="s">
        <v>118</v>
      </c>
      <c r="BA419" s="10">
        <v>19793187277</v>
      </c>
      <c r="BC419" t="s">
        <v>5001</v>
      </c>
      <c r="BD419" t="s">
        <v>1587</v>
      </c>
      <c r="BG419" t="s">
        <v>1722</v>
      </c>
      <c r="BH419" s="1">
        <v>45246.791666666664</v>
      </c>
      <c r="BI419">
        <v>40</v>
      </c>
      <c r="BJ419">
        <v>0</v>
      </c>
      <c r="BK419">
        <v>8</v>
      </c>
      <c r="BL419">
        <v>8</v>
      </c>
      <c r="BM419">
        <v>8</v>
      </c>
      <c r="BN419">
        <v>8</v>
      </c>
      <c r="BO419">
        <v>8</v>
      </c>
      <c r="BP419">
        <v>0</v>
      </c>
      <c r="BQ419" t="str">
        <f>"7:00 AM"</f>
        <v>7:00 AM</v>
      </c>
      <c r="BR419" t="str">
        <f>"4:00 PM"</f>
        <v>4:00 PM</v>
      </c>
      <c r="BS419" t="s">
        <v>131</v>
      </c>
      <c r="BT419">
        <v>0</v>
      </c>
      <c r="BU419">
        <v>0</v>
      </c>
      <c r="BV419" t="s">
        <v>114</v>
      </c>
      <c r="BX419" s="2" t="s">
        <v>16089</v>
      </c>
      <c r="BY419" t="s">
        <v>17399</v>
      </c>
      <c r="BZ419" t="s">
        <v>132</v>
      </c>
      <c r="CA419" t="s">
        <v>17400</v>
      </c>
      <c r="CB419" t="s">
        <v>1722</v>
      </c>
      <c r="CC419" s="8" t="str">
        <f>"20854"</f>
        <v>20854</v>
      </c>
      <c r="CD419" t="s">
        <v>878</v>
      </c>
      <c r="CE419" t="s">
        <v>1794</v>
      </c>
      <c r="CF419" s="12">
        <v>19.670000000000002</v>
      </c>
      <c r="CH419" s="12">
        <v>29.51</v>
      </c>
      <c r="CJ419" t="s">
        <v>135</v>
      </c>
      <c r="CK419" t="s">
        <v>2642</v>
      </c>
      <c r="CL419" t="s">
        <v>17401</v>
      </c>
      <c r="CO419" t="s">
        <v>132</v>
      </c>
      <c r="CP419" t="s">
        <v>136</v>
      </c>
      <c r="CQ419" t="s">
        <v>136</v>
      </c>
      <c r="CR419" t="s">
        <v>136</v>
      </c>
      <c r="CS419" t="s">
        <v>136</v>
      </c>
      <c r="CT419" t="s">
        <v>136</v>
      </c>
      <c r="CU419" t="s">
        <v>136</v>
      </c>
      <c r="CV419" t="s">
        <v>12518</v>
      </c>
      <c r="CW419" s="10" t="str">
        <f>"+13016065256"</f>
        <v>+13016065256</v>
      </c>
      <c r="CX419" t="s">
        <v>17402</v>
      </c>
      <c r="CY419" t="s">
        <v>132</v>
      </c>
      <c r="CZ419" t="s">
        <v>137</v>
      </c>
      <c r="DA419" t="s">
        <v>114</v>
      </c>
      <c r="DB419" t="s">
        <v>136</v>
      </c>
      <c r="DC419" t="s">
        <v>136</v>
      </c>
      <c r="DD419" t="s">
        <v>114</v>
      </c>
    </row>
    <row r="420" spans="1:113" ht="15" customHeight="1" x14ac:dyDescent="0.25">
      <c r="A420" t="s">
        <v>16137</v>
      </c>
      <c r="B420" t="s">
        <v>152</v>
      </c>
      <c r="C420" s="1">
        <v>45247.305835185187</v>
      </c>
      <c r="D420" s="1">
        <v>45273</v>
      </c>
      <c r="E420" t="s">
        <v>132</v>
      </c>
      <c r="F420" t="s">
        <v>1961</v>
      </c>
      <c r="G420" t="str">
        <f>"37-3011.00"</f>
        <v>37-3011.00</v>
      </c>
      <c r="H420" t="s">
        <v>429</v>
      </c>
      <c r="I420">
        <v>25</v>
      </c>
      <c r="J420">
        <v>25</v>
      </c>
      <c r="K420" s="1">
        <v>45337</v>
      </c>
      <c r="L420" s="1">
        <v>45640</v>
      </c>
      <c r="M420" s="1">
        <v>45337</v>
      </c>
      <c r="N420" s="1">
        <v>45640</v>
      </c>
      <c r="O420" t="s">
        <v>116</v>
      </c>
      <c r="P420" t="s">
        <v>16138</v>
      </c>
      <c r="R420" t="s">
        <v>16139</v>
      </c>
      <c r="S420" t="s">
        <v>132</v>
      </c>
      <c r="T420" t="s">
        <v>16140</v>
      </c>
      <c r="U420" t="s">
        <v>127</v>
      </c>
      <c r="V420" s="8" t="str">
        <f>"77573"</f>
        <v>77573</v>
      </c>
      <c r="W420" t="s">
        <v>118</v>
      </c>
      <c r="X420" t="s">
        <v>132</v>
      </c>
      <c r="Y420" s="10">
        <v>12813090500</v>
      </c>
      <c r="AA420">
        <v>561730</v>
      </c>
      <c r="AB420" t="s">
        <v>16141</v>
      </c>
      <c r="AC420" t="s">
        <v>16142</v>
      </c>
      <c r="AD420" t="s">
        <v>5973</v>
      </c>
      <c r="AE420" t="s">
        <v>438</v>
      </c>
      <c r="AF420" t="s">
        <v>16139</v>
      </c>
      <c r="AG420" t="s">
        <v>132</v>
      </c>
      <c r="AH420" t="s">
        <v>16140</v>
      </c>
      <c r="AI420" t="s">
        <v>127</v>
      </c>
      <c r="AJ420" s="8" t="str">
        <f>"77573"</f>
        <v>77573</v>
      </c>
      <c r="AK420" t="s">
        <v>118</v>
      </c>
      <c r="AM420" s="10">
        <v>12813090500</v>
      </c>
      <c r="AO420" t="s">
        <v>16143</v>
      </c>
      <c r="AP420" t="s">
        <v>248</v>
      </c>
      <c r="AQ420" t="s">
        <v>4798</v>
      </c>
      <c r="AR420" t="s">
        <v>4799</v>
      </c>
      <c r="AS420" t="s">
        <v>2998</v>
      </c>
      <c r="AT420" t="s">
        <v>4800</v>
      </c>
      <c r="AU420" t="s">
        <v>132</v>
      </c>
      <c r="AV420" t="s">
        <v>4801</v>
      </c>
      <c r="AW420" t="s">
        <v>127</v>
      </c>
      <c r="AX420" s="8" t="str">
        <f>"77414"</f>
        <v>77414</v>
      </c>
      <c r="AY420" t="s">
        <v>118</v>
      </c>
      <c r="BA420" s="10">
        <v>19793187277</v>
      </c>
      <c r="BC420" t="s">
        <v>4802</v>
      </c>
      <c r="BD420" t="s">
        <v>16144</v>
      </c>
      <c r="BG420" t="s">
        <v>127</v>
      </c>
      <c r="BH420" s="1">
        <v>45246.791666666664</v>
      </c>
      <c r="BI420">
        <v>40</v>
      </c>
      <c r="BJ420">
        <v>0</v>
      </c>
      <c r="BK420">
        <v>8</v>
      </c>
      <c r="BL420">
        <v>8</v>
      </c>
      <c r="BM420">
        <v>8</v>
      </c>
      <c r="BN420">
        <v>8</v>
      </c>
      <c r="BO420">
        <v>8</v>
      </c>
      <c r="BP420">
        <v>0</v>
      </c>
      <c r="BQ420" t="str">
        <f>"7:00 PM"</f>
        <v>7:00 PM</v>
      </c>
      <c r="BR420" t="str">
        <f>"4:00 PM"</f>
        <v>4:00 PM</v>
      </c>
      <c r="BS420" t="s">
        <v>131</v>
      </c>
      <c r="BT420">
        <v>0</v>
      </c>
      <c r="BU420">
        <v>0</v>
      </c>
      <c r="BV420" t="s">
        <v>114</v>
      </c>
      <c r="BX420" s="2" t="s">
        <v>16145</v>
      </c>
      <c r="BY420" t="s">
        <v>16146</v>
      </c>
      <c r="BZ420" t="s">
        <v>132</v>
      </c>
      <c r="CA420" t="s">
        <v>16140</v>
      </c>
      <c r="CB420" t="s">
        <v>127</v>
      </c>
      <c r="CC420" s="8" t="str">
        <f>"77573"</f>
        <v>77573</v>
      </c>
      <c r="CD420" t="s">
        <v>3280</v>
      </c>
      <c r="CE420" t="s">
        <v>879</v>
      </c>
      <c r="CF420" s="12">
        <v>16.29</v>
      </c>
      <c r="CG420" s="12">
        <v>18.5</v>
      </c>
      <c r="CH420" s="12">
        <v>24.44</v>
      </c>
      <c r="CI420" s="12">
        <v>27.75</v>
      </c>
      <c r="CJ420" t="s">
        <v>135</v>
      </c>
      <c r="CK420" t="s">
        <v>16147</v>
      </c>
      <c r="CL420" t="s">
        <v>16148</v>
      </c>
      <c r="CO420" t="s">
        <v>132</v>
      </c>
      <c r="CP420" t="s">
        <v>136</v>
      </c>
      <c r="CQ420" t="s">
        <v>136</v>
      </c>
      <c r="CR420" t="s">
        <v>136</v>
      </c>
      <c r="CS420" t="s">
        <v>136</v>
      </c>
      <c r="CT420" t="s">
        <v>136</v>
      </c>
      <c r="CU420" t="s">
        <v>136</v>
      </c>
      <c r="CV420" t="s">
        <v>16149</v>
      </c>
      <c r="CW420" s="10" t="str">
        <f>"+12813090500"</f>
        <v>+12813090500</v>
      </c>
      <c r="CX420" t="s">
        <v>16150</v>
      </c>
      <c r="CY420" t="s">
        <v>132</v>
      </c>
      <c r="CZ420" t="s">
        <v>137</v>
      </c>
      <c r="DA420" t="s">
        <v>114</v>
      </c>
      <c r="DB420" t="s">
        <v>114</v>
      </c>
      <c r="DC420" t="s">
        <v>136</v>
      </c>
      <c r="DD420" t="s">
        <v>114</v>
      </c>
    </row>
    <row r="421" spans="1:113" ht="15" customHeight="1" x14ac:dyDescent="0.25">
      <c r="A421" t="s">
        <v>24162</v>
      </c>
      <c r="B421" t="s">
        <v>152</v>
      </c>
      <c r="C421" s="1">
        <v>45247.292862268521</v>
      </c>
      <c r="D421" s="1">
        <v>45273</v>
      </c>
      <c r="E421" t="s">
        <v>132</v>
      </c>
      <c r="F421" t="s">
        <v>11292</v>
      </c>
      <c r="G421" t="str">
        <f>"35-3023.00"</f>
        <v>35-3023.00</v>
      </c>
      <c r="H421" t="s">
        <v>1365</v>
      </c>
      <c r="I421">
        <v>7</v>
      </c>
      <c r="J421">
        <v>7</v>
      </c>
      <c r="K421" s="1">
        <v>45337</v>
      </c>
      <c r="L421" s="1">
        <v>45640</v>
      </c>
      <c r="M421" s="1">
        <v>45337</v>
      </c>
      <c r="N421" s="1">
        <v>45640</v>
      </c>
      <c r="O421" t="s">
        <v>238</v>
      </c>
      <c r="P421" t="s">
        <v>24163</v>
      </c>
      <c r="R421" t="s">
        <v>24164</v>
      </c>
      <c r="T421" t="s">
        <v>16320</v>
      </c>
      <c r="U421" t="s">
        <v>140</v>
      </c>
      <c r="V421" s="8" t="str">
        <f>"33567"</f>
        <v>33567</v>
      </c>
      <c r="W421" t="s">
        <v>118</v>
      </c>
      <c r="Y421" s="10">
        <v>19418097039</v>
      </c>
      <c r="AA421">
        <v>71399</v>
      </c>
      <c r="AB421" t="s">
        <v>1860</v>
      </c>
      <c r="AC421" t="s">
        <v>2188</v>
      </c>
      <c r="AE421" t="s">
        <v>629</v>
      </c>
      <c r="AF421" t="s">
        <v>24164</v>
      </c>
      <c r="AH421" t="s">
        <v>16320</v>
      </c>
      <c r="AI421" t="s">
        <v>140</v>
      </c>
      <c r="AJ421" s="8" t="str">
        <f>"33567"</f>
        <v>33567</v>
      </c>
      <c r="AK421" t="s">
        <v>118</v>
      </c>
      <c r="AM421" s="10">
        <v>19418097039</v>
      </c>
      <c r="AO421" t="s">
        <v>24165</v>
      </c>
      <c r="AP421" t="s">
        <v>248</v>
      </c>
      <c r="AQ421" t="s">
        <v>249</v>
      </c>
      <c r="AR421" t="s">
        <v>250</v>
      </c>
      <c r="AS421" t="s">
        <v>251</v>
      </c>
      <c r="AT421" t="s">
        <v>252</v>
      </c>
      <c r="AU421" t="s">
        <v>253</v>
      </c>
      <c r="AV421" t="s">
        <v>254</v>
      </c>
      <c r="AW421" t="s">
        <v>127</v>
      </c>
      <c r="AX421" s="8" t="str">
        <f>"78550"</f>
        <v>78550</v>
      </c>
      <c r="AY421" t="s">
        <v>118</v>
      </c>
      <c r="BA421" s="10">
        <v>19564408720</v>
      </c>
      <c r="BB421" s="3" t="s">
        <v>256</v>
      </c>
      <c r="BC421" t="s">
        <v>257</v>
      </c>
      <c r="BD421" t="s">
        <v>258</v>
      </c>
      <c r="BG421" t="s">
        <v>140</v>
      </c>
      <c r="BH421" s="1">
        <v>45246.791666666664</v>
      </c>
      <c r="BI421">
        <v>40</v>
      </c>
      <c r="BJ421">
        <v>8</v>
      </c>
      <c r="BK421">
        <v>0</v>
      </c>
      <c r="BL421">
        <v>0</v>
      </c>
      <c r="BM421">
        <v>8</v>
      </c>
      <c r="BN421">
        <v>8</v>
      </c>
      <c r="BO421">
        <v>8</v>
      </c>
      <c r="BP421">
        <v>8</v>
      </c>
      <c r="BQ421" t="str">
        <f>"1:00 PM"</f>
        <v>1:00 PM</v>
      </c>
      <c r="BR421" t="str">
        <f>"10:00 PM"</f>
        <v>10:00 PM</v>
      </c>
      <c r="BS421" t="s">
        <v>131</v>
      </c>
      <c r="BT421">
        <v>0</v>
      </c>
      <c r="BU421">
        <v>0</v>
      </c>
      <c r="BV421" t="s">
        <v>114</v>
      </c>
      <c r="BX421" s="2" t="s">
        <v>2255</v>
      </c>
      <c r="BY421" t="s">
        <v>24164</v>
      </c>
      <c r="CA421" t="s">
        <v>16320</v>
      </c>
      <c r="CB421" t="s">
        <v>140</v>
      </c>
      <c r="CC421" s="8" t="str">
        <f>"33567"</f>
        <v>33567</v>
      </c>
      <c r="CD421" t="s">
        <v>781</v>
      </c>
      <c r="CE421" t="s">
        <v>467</v>
      </c>
      <c r="CF421" s="12">
        <v>10.98</v>
      </c>
      <c r="CG421" s="12">
        <v>16.22</v>
      </c>
      <c r="CJ421" t="s">
        <v>135</v>
      </c>
      <c r="CK421" t="s">
        <v>264</v>
      </c>
      <c r="CL421" t="s">
        <v>24166</v>
      </c>
      <c r="CO421" t="s">
        <v>132</v>
      </c>
      <c r="CP421" t="s">
        <v>136</v>
      </c>
      <c r="CQ421" t="s">
        <v>136</v>
      </c>
      <c r="CR421" t="s">
        <v>114</v>
      </c>
      <c r="CS421" t="s">
        <v>136</v>
      </c>
      <c r="CT421" t="s">
        <v>136</v>
      </c>
      <c r="CU421" t="s">
        <v>136</v>
      </c>
      <c r="CV421" t="s">
        <v>24167</v>
      </c>
      <c r="CW421" s="10" t="str">
        <f>"+19418097039"</f>
        <v>+19418097039</v>
      </c>
      <c r="CX421" t="s">
        <v>24165</v>
      </c>
      <c r="CY421" t="s">
        <v>132</v>
      </c>
      <c r="CZ421" t="s">
        <v>137</v>
      </c>
      <c r="DA421" t="s">
        <v>114</v>
      </c>
      <c r="DB421" t="s">
        <v>136</v>
      </c>
      <c r="DC421" t="s">
        <v>136</v>
      </c>
      <c r="DD421" t="s">
        <v>114</v>
      </c>
    </row>
    <row r="422" spans="1:113" ht="15" customHeight="1" x14ac:dyDescent="0.25">
      <c r="A422" t="s">
        <v>20995</v>
      </c>
      <c r="B422" t="s">
        <v>152</v>
      </c>
      <c r="C422" s="1">
        <v>45247.00227824074</v>
      </c>
      <c r="D422" s="1">
        <v>45273</v>
      </c>
      <c r="E422" t="s">
        <v>132</v>
      </c>
      <c r="F422" t="s">
        <v>2230</v>
      </c>
      <c r="G422" t="str">
        <f>"37-3011.00"</f>
        <v>37-3011.00</v>
      </c>
      <c r="H422" t="s">
        <v>429</v>
      </c>
      <c r="I422">
        <v>33</v>
      </c>
      <c r="J422">
        <v>33</v>
      </c>
      <c r="K422" s="1">
        <v>45337</v>
      </c>
      <c r="L422" s="1">
        <v>45641</v>
      </c>
      <c r="M422" s="1">
        <v>45337</v>
      </c>
      <c r="N422" s="1">
        <v>45641</v>
      </c>
      <c r="O422" t="s">
        <v>116</v>
      </c>
      <c r="P422" t="s">
        <v>20996</v>
      </c>
      <c r="R422" t="s">
        <v>20603</v>
      </c>
      <c r="T422" t="s">
        <v>5170</v>
      </c>
      <c r="U422" t="s">
        <v>581</v>
      </c>
      <c r="V422" s="8" t="str">
        <f>"23504"</f>
        <v>23504</v>
      </c>
      <c r="W422" t="s">
        <v>118</v>
      </c>
      <c r="Y422" s="10">
        <v>17578574277</v>
      </c>
      <c r="AA422">
        <v>56173</v>
      </c>
      <c r="AB422" t="s">
        <v>20604</v>
      </c>
      <c r="AC422" t="s">
        <v>1555</v>
      </c>
      <c r="AD422" t="s">
        <v>1217</v>
      </c>
      <c r="AE422" t="s">
        <v>629</v>
      </c>
      <c r="AF422" t="s">
        <v>20603</v>
      </c>
      <c r="AH422" t="s">
        <v>5170</v>
      </c>
      <c r="AI422" t="s">
        <v>581</v>
      </c>
      <c r="AJ422" s="8" t="str">
        <f>"23504"</f>
        <v>23504</v>
      </c>
      <c r="AK422" t="s">
        <v>118</v>
      </c>
      <c r="AM422" s="10">
        <v>17578574277</v>
      </c>
      <c r="AO422" t="s">
        <v>20605</v>
      </c>
      <c r="AP422" t="s">
        <v>248</v>
      </c>
      <c r="AQ422" t="s">
        <v>1860</v>
      </c>
      <c r="AR422" t="s">
        <v>1861</v>
      </c>
      <c r="AS422" t="s">
        <v>1862</v>
      </c>
      <c r="AT422" t="s">
        <v>1863</v>
      </c>
      <c r="AU422" t="s">
        <v>1864</v>
      </c>
      <c r="AV422" t="s">
        <v>1865</v>
      </c>
      <c r="AW422" t="s">
        <v>581</v>
      </c>
      <c r="AX422" s="8" t="str">
        <f>"24521"</f>
        <v>24521</v>
      </c>
      <c r="AY422" t="s">
        <v>118</v>
      </c>
      <c r="BA422" s="10">
        <v>14349460035</v>
      </c>
      <c r="BB422">
        <v>11</v>
      </c>
      <c r="BC422" t="s">
        <v>1866</v>
      </c>
      <c r="BD422" t="s">
        <v>1867</v>
      </c>
      <c r="BG422" t="s">
        <v>581</v>
      </c>
      <c r="BH422" s="1">
        <v>45246.791666666664</v>
      </c>
      <c r="BI422">
        <v>40</v>
      </c>
      <c r="BJ422">
        <v>0</v>
      </c>
      <c r="BK422">
        <v>8</v>
      </c>
      <c r="BL422">
        <v>8</v>
      </c>
      <c r="BM422">
        <v>8</v>
      </c>
      <c r="BN422">
        <v>8</v>
      </c>
      <c r="BO422">
        <v>8</v>
      </c>
      <c r="BP422">
        <v>0</v>
      </c>
      <c r="BQ422" t="str">
        <f>"7:00 AM"</f>
        <v>7:00 AM</v>
      </c>
      <c r="BR422" t="str">
        <f>"4:00 PM"</f>
        <v>4:00 PM</v>
      </c>
      <c r="BS422" t="s">
        <v>131</v>
      </c>
      <c r="BT422">
        <v>0</v>
      </c>
      <c r="BU422">
        <v>3</v>
      </c>
      <c r="BV422" t="s">
        <v>114</v>
      </c>
      <c r="BX422" s="2" t="s">
        <v>20997</v>
      </c>
      <c r="BY422" t="s">
        <v>20603</v>
      </c>
      <c r="CA422" t="s">
        <v>5170</v>
      </c>
      <c r="CB422" t="s">
        <v>581</v>
      </c>
      <c r="CC422" s="8" t="str">
        <f>"23504"</f>
        <v>23504</v>
      </c>
      <c r="CD422" t="s">
        <v>6136</v>
      </c>
      <c r="CE422" t="s">
        <v>2145</v>
      </c>
      <c r="CF422" s="12">
        <v>16.350000000000001</v>
      </c>
      <c r="CG422" s="12">
        <v>16.350000000000001</v>
      </c>
      <c r="CH422" s="12">
        <v>24.53</v>
      </c>
      <c r="CI422" s="12">
        <v>24.53</v>
      </c>
      <c r="CJ422" t="s">
        <v>135</v>
      </c>
      <c r="CK422" t="s">
        <v>1870</v>
      </c>
      <c r="CL422" t="s">
        <v>20607</v>
      </c>
      <c r="CO422" t="s">
        <v>132</v>
      </c>
      <c r="CP422" t="s">
        <v>136</v>
      </c>
      <c r="CQ422" t="s">
        <v>136</v>
      </c>
      <c r="CR422" t="s">
        <v>136</v>
      </c>
      <c r="CS422" t="s">
        <v>114</v>
      </c>
      <c r="CT422" t="s">
        <v>136</v>
      </c>
      <c r="CU422" t="s">
        <v>136</v>
      </c>
      <c r="CV422" s="2" t="s">
        <v>20998</v>
      </c>
      <c r="CW422" s="10" t="str">
        <f>"+17578574277"</f>
        <v>+17578574277</v>
      </c>
      <c r="CX422" t="s">
        <v>20999</v>
      </c>
      <c r="CY422" t="s">
        <v>2762</v>
      </c>
      <c r="CZ422" t="s">
        <v>137</v>
      </c>
      <c r="DA422" t="s">
        <v>114</v>
      </c>
      <c r="DB422" t="s">
        <v>136</v>
      </c>
      <c r="DC422" t="s">
        <v>136</v>
      </c>
      <c r="DD422" t="s">
        <v>114</v>
      </c>
    </row>
    <row r="423" spans="1:113" ht="15" customHeight="1" x14ac:dyDescent="0.25">
      <c r="A423" t="s">
        <v>17891</v>
      </c>
      <c r="B423" t="s">
        <v>152</v>
      </c>
      <c r="C423" s="1">
        <v>45247.001047337966</v>
      </c>
      <c r="D423" s="1">
        <v>45273</v>
      </c>
      <c r="E423" t="s">
        <v>132</v>
      </c>
      <c r="F423" t="s">
        <v>1595</v>
      </c>
      <c r="G423" t="str">
        <f>"37-3011.00"</f>
        <v>37-3011.00</v>
      </c>
      <c r="H423" t="s">
        <v>429</v>
      </c>
      <c r="I423">
        <v>8</v>
      </c>
      <c r="J423">
        <v>8</v>
      </c>
      <c r="K423" s="1">
        <v>45337</v>
      </c>
      <c r="L423" s="1">
        <v>45626</v>
      </c>
      <c r="M423" s="1">
        <v>45337</v>
      </c>
      <c r="N423" s="1">
        <v>45626</v>
      </c>
      <c r="O423" t="s">
        <v>238</v>
      </c>
      <c r="P423" t="s">
        <v>17892</v>
      </c>
      <c r="R423" t="s">
        <v>17893</v>
      </c>
      <c r="S423" t="s">
        <v>17894</v>
      </c>
      <c r="T423" t="s">
        <v>16233</v>
      </c>
      <c r="U423" t="s">
        <v>543</v>
      </c>
      <c r="V423" s="8" t="str">
        <f>"44139"</f>
        <v>44139</v>
      </c>
      <c r="W423" t="s">
        <v>118</v>
      </c>
      <c r="Y423" s="10">
        <v>12168316522</v>
      </c>
      <c r="AA423">
        <v>561730</v>
      </c>
      <c r="AB423" t="s">
        <v>17895</v>
      </c>
      <c r="AC423" t="s">
        <v>9418</v>
      </c>
      <c r="AD423" t="s">
        <v>1798</v>
      </c>
      <c r="AE423" t="s">
        <v>629</v>
      </c>
      <c r="AF423" t="s">
        <v>17896</v>
      </c>
      <c r="AG423" t="s">
        <v>17894</v>
      </c>
      <c r="AH423" t="s">
        <v>16233</v>
      </c>
      <c r="AI423" t="s">
        <v>543</v>
      </c>
      <c r="AJ423" s="8" t="str">
        <f>"44139"</f>
        <v>44139</v>
      </c>
      <c r="AK423" t="s">
        <v>118</v>
      </c>
      <c r="AM423" s="10">
        <v>12168316522</v>
      </c>
      <c r="AO423" t="s">
        <v>17897</v>
      </c>
      <c r="AP423" t="s">
        <v>248</v>
      </c>
      <c r="AQ423" t="s">
        <v>1860</v>
      </c>
      <c r="AR423" t="s">
        <v>1861</v>
      </c>
      <c r="AS423" t="s">
        <v>1862</v>
      </c>
      <c r="AT423" t="s">
        <v>1863</v>
      </c>
      <c r="AU423" t="s">
        <v>1864</v>
      </c>
      <c r="AV423" t="s">
        <v>1865</v>
      </c>
      <c r="AW423" t="s">
        <v>581</v>
      </c>
      <c r="AX423" s="8" t="str">
        <f>"24521"</f>
        <v>24521</v>
      </c>
      <c r="AY423" t="s">
        <v>118</v>
      </c>
      <c r="BA423" s="10">
        <v>14349460035</v>
      </c>
      <c r="BB423">
        <v>11</v>
      </c>
      <c r="BC423" t="s">
        <v>1866</v>
      </c>
      <c r="BD423" t="s">
        <v>1867</v>
      </c>
      <c r="BG423" t="s">
        <v>543</v>
      </c>
      <c r="BH423" s="1">
        <v>45246.791666666664</v>
      </c>
      <c r="BI423">
        <v>40</v>
      </c>
      <c r="BJ423">
        <v>0</v>
      </c>
      <c r="BK423">
        <v>8</v>
      </c>
      <c r="BL423">
        <v>8</v>
      </c>
      <c r="BM423">
        <v>8</v>
      </c>
      <c r="BN423">
        <v>8</v>
      </c>
      <c r="BO423">
        <v>8</v>
      </c>
      <c r="BP423">
        <v>0</v>
      </c>
      <c r="BQ423" t="str">
        <f>"8:00 AM"</f>
        <v>8:00 AM</v>
      </c>
      <c r="BR423" t="str">
        <f>"4:30 PM"</f>
        <v>4:30 PM</v>
      </c>
      <c r="BS423" t="s">
        <v>131</v>
      </c>
      <c r="BT423">
        <v>0</v>
      </c>
      <c r="BU423">
        <v>0</v>
      </c>
      <c r="BV423" t="s">
        <v>114</v>
      </c>
      <c r="BX423" s="2" t="s">
        <v>17898</v>
      </c>
      <c r="BY423" t="s">
        <v>17893</v>
      </c>
      <c r="CA423" t="s">
        <v>16233</v>
      </c>
      <c r="CB423" t="s">
        <v>543</v>
      </c>
      <c r="CC423" s="8" t="str">
        <f>"44139"</f>
        <v>44139</v>
      </c>
      <c r="CD423" t="s">
        <v>1838</v>
      </c>
      <c r="CE423" t="s">
        <v>1839</v>
      </c>
      <c r="CF423" s="12">
        <v>17.100000000000001</v>
      </c>
      <c r="CG423" s="12">
        <v>17.100000000000001</v>
      </c>
      <c r="CH423" s="12">
        <v>25.65</v>
      </c>
      <c r="CI423" s="12">
        <v>25.65</v>
      </c>
      <c r="CJ423" t="s">
        <v>135</v>
      </c>
      <c r="CK423" t="s">
        <v>17899</v>
      </c>
      <c r="CL423" t="s">
        <v>17900</v>
      </c>
      <c r="CO423" t="s">
        <v>132</v>
      </c>
      <c r="CP423" t="s">
        <v>136</v>
      </c>
      <c r="CQ423" t="s">
        <v>136</v>
      </c>
      <c r="CR423" t="s">
        <v>136</v>
      </c>
      <c r="CS423" t="s">
        <v>136</v>
      </c>
      <c r="CT423" t="s">
        <v>136</v>
      </c>
      <c r="CU423" t="s">
        <v>136</v>
      </c>
      <c r="CV423" s="2" t="s">
        <v>7292</v>
      </c>
      <c r="CW423" s="10" t="str">
        <f>"+12168316522"</f>
        <v>+12168316522</v>
      </c>
      <c r="CX423" t="s">
        <v>17897</v>
      </c>
      <c r="CY423" t="s">
        <v>132</v>
      </c>
      <c r="CZ423" t="s">
        <v>137</v>
      </c>
      <c r="DA423" t="s">
        <v>114</v>
      </c>
      <c r="DB423" t="s">
        <v>136</v>
      </c>
      <c r="DC423" t="s">
        <v>136</v>
      </c>
      <c r="DD423" t="s">
        <v>114</v>
      </c>
    </row>
    <row r="424" spans="1:113" ht="15" customHeight="1" x14ac:dyDescent="0.25">
      <c r="A424" t="s">
        <v>16353</v>
      </c>
      <c r="B424" t="s">
        <v>152</v>
      </c>
      <c r="C424" s="1">
        <v>45244.948325347221</v>
      </c>
      <c r="D424" s="1">
        <v>45273</v>
      </c>
      <c r="E424" t="s">
        <v>132</v>
      </c>
      <c r="F424" t="s">
        <v>1595</v>
      </c>
      <c r="G424" t="str">
        <f>"37-3011.00"</f>
        <v>37-3011.00</v>
      </c>
      <c r="H424" t="s">
        <v>429</v>
      </c>
      <c r="I424">
        <v>60</v>
      </c>
      <c r="J424">
        <v>60</v>
      </c>
      <c r="K424" s="1">
        <v>45334</v>
      </c>
      <c r="L424" s="1">
        <v>45611</v>
      </c>
      <c r="M424" s="1">
        <v>45334</v>
      </c>
      <c r="N424" s="1">
        <v>45611</v>
      </c>
      <c r="O424" t="s">
        <v>116</v>
      </c>
      <c r="P424" t="s">
        <v>16354</v>
      </c>
      <c r="R424" t="s">
        <v>16355</v>
      </c>
      <c r="T424" t="s">
        <v>927</v>
      </c>
      <c r="U424" t="s">
        <v>127</v>
      </c>
      <c r="V424" s="8" t="str">
        <f>"77803"</f>
        <v>77803</v>
      </c>
      <c r="W424" t="s">
        <v>118</v>
      </c>
      <c r="Y424" s="10">
        <v>19798237551</v>
      </c>
      <c r="AA424">
        <v>56173</v>
      </c>
      <c r="AB424" t="s">
        <v>7502</v>
      </c>
      <c r="AC424" t="s">
        <v>15594</v>
      </c>
      <c r="AE424" t="s">
        <v>1799</v>
      </c>
      <c r="AF424" t="s">
        <v>16355</v>
      </c>
      <c r="AH424" t="s">
        <v>927</v>
      </c>
      <c r="AI424" t="s">
        <v>127</v>
      </c>
      <c r="AJ424" s="8" t="str">
        <f>"77803"</f>
        <v>77803</v>
      </c>
      <c r="AK424" t="s">
        <v>118</v>
      </c>
      <c r="AM424" s="10">
        <v>19798237551</v>
      </c>
      <c r="AO424" t="s">
        <v>132</v>
      </c>
      <c r="AP424" t="s">
        <v>248</v>
      </c>
      <c r="AQ424" t="s">
        <v>2132</v>
      </c>
      <c r="AR424" t="s">
        <v>2133</v>
      </c>
      <c r="AT424" t="s">
        <v>579</v>
      </c>
      <c r="AV424" t="s">
        <v>580</v>
      </c>
      <c r="AW424" t="s">
        <v>581</v>
      </c>
      <c r="AX424" s="8" t="str">
        <f>"22903"</f>
        <v>22903</v>
      </c>
      <c r="AY424" t="s">
        <v>118</v>
      </c>
      <c r="BA424" s="10">
        <v>14342634300</v>
      </c>
      <c r="BC424" t="s">
        <v>2271</v>
      </c>
      <c r="BD424" t="s">
        <v>583</v>
      </c>
      <c r="BG424" t="s">
        <v>127</v>
      </c>
      <c r="BH424" s="1">
        <v>45243.791666666664</v>
      </c>
      <c r="BI424">
        <v>40</v>
      </c>
      <c r="BJ424">
        <v>0</v>
      </c>
      <c r="BK424">
        <v>8</v>
      </c>
      <c r="BL424">
        <v>8</v>
      </c>
      <c r="BM424">
        <v>8</v>
      </c>
      <c r="BN424">
        <v>8</v>
      </c>
      <c r="BO424">
        <v>8</v>
      </c>
      <c r="BP424">
        <v>0</v>
      </c>
      <c r="BQ424" t="str">
        <f>"7:00 AM"</f>
        <v>7:00 AM</v>
      </c>
      <c r="BR424" t="str">
        <f>"3:30 PM"</f>
        <v>3:30 PM</v>
      </c>
      <c r="BS424" t="s">
        <v>131</v>
      </c>
      <c r="BT424">
        <v>0</v>
      </c>
      <c r="BU424">
        <v>0</v>
      </c>
      <c r="BV424" t="s">
        <v>114</v>
      </c>
      <c r="BX424" s="2" t="s">
        <v>16356</v>
      </c>
      <c r="BY424" t="s">
        <v>16355</v>
      </c>
      <c r="CA424" t="s">
        <v>927</v>
      </c>
      <c r="CB424" t="s">
        <v>127</v>
      </c>
      <c r="CC424" s="8" t="str">
        <f>"77803"</f>
        <v>77803</v>
      </c>
      <c r="CD424" t="s">
        <v>3636</v>
      </c>
      <c r="CE424" t="s">
        <v>3637</v>
      </c>
      <c r="CF424" s="12">
        <v>16.29</v>
      </c>
      <c r="CG424" s="12">
        <v>16.29</v>
      </c>
      <c r="CH424" s="12">
        <v>24.44</v>
      </c>
      <c r="CI424" s="12">
        <v>24.44</v>
      </c>
      <c r="CJ424" t="s">
        <v>135</v>
      </c>
      <c r="CK424" t="s">
        <v>590</v>
      </c>
      <c r="CL424" t="s">
        <v>16357</v>
      </c>
      <c r="CO424" t="s">
        <v>132</v>
      </c>
      <c r="CP424" t="s">
        <v>136</v>
      </c>
      <c r="CQ424" t="s">
        <v>114</v>
      </c>
      <c r="CR424" t="s">
        <v>136</v>
      </c>
      <c r="CS424" t="s">
        <v>136</v>
      </c>
      <c r="CT424" t="s">
        <v>136</v>
      </c>
      <c r="CU424" t="s">
        <v>136</v>
      </c>
      <c r="CV424" t="s">
        <v>16358</v>
      </c>
      <c r="CW424" s="10" t="str">
        <f>"N/A"</f>
        <v>N/A</v>
      </c>
      <c r="CX424" t="s">
        <v>16359</v>
      </c>
      <c r="CY424" t="s">
        <v>1853</v>
      </c>
      <c r="CZ424" t="s">
        <v>137</v>
      </c>
      <c r="DA424" t="s">
        <v>114</v>
      </c>
      <c r="DB424" t="s">
        <v>136</v>
      </c>
      <c r="DC424" t="s">
        <v>136</v>
      </c>
      <c r="DD424" t="s">
        <v>114</v>
      </c>
      <c r="DE424" t="s">
        <v>2273</v>
      </c>
      <c r="DF424" t="s">
        <v>1069</v>
      </c>
      <c r="DH424" t="s">
        <v>583</v>
      </c>
      <c r="DI424" t="s">
        <v>2271</v>
      </c>
    </row>
    <row r="425" spans="1:113" ht="15" customHeight="1" x14ac:dyDescent="0.25">
      <c r="A425" t="s">
        <v>9888</v>
      </c>
      <c r="B425" t="s">
        <v>152</v>
      </c>
      <c r="C425" s="1">
        <v>45236.580434374999</v>
      </c>
      <c r="D425" s="1">
        <v>45273</v>
      </c>
      <c r="E425" t="s">
        <v>132</v>
      </c>
      <c r="F425" t="s">
        <v>3098</v>
      </c>
      <c r="G425" t="str">
        <f>"35-3023.00"</f>
        <v>35-3023.00</v>
      </c>
      <c r="H425" t="s">
        <v>1365</v>
      </c>
      <c r="I425">
        <v>25</v>
      </c>
      <c r="J425">
        <v>25</v>
      </c>
      <c r="K425" s="1">
        <v>45323</v>
      </c>
      <c r="L425" s="1">
        <v>45596</v>
      </c>
      <c r="M425" s="1">
        <v>45323</v>
      </c>
      <c r="N425" s="1">
        <v>45596</v>
      </c>
      <c r="O425" t="s">
        <v>238</v>
      </c>
      <c r="P425" t="s">
        <v>9889</v>
      </c>
      <c r="R425" t="s">
        <v>9890</v>
      </c>
      <c r="S425" t="s">
        <v>9891</v>
      </c>
      <c r="T425" t="s">
        <v>9892</v>
      </c>
      <c r="U425" t="s">
        <v>984</v>
      </c>
      <c r="V425" s="8" t="str">
        <f>"63939"</f>
        <v>63939</v>
      </c>
      <c r="W425" t="s">
        <v>118</v>
      </c>
      <c r="Y425" s="10">
        <v>13143787057</v>
      </c>
      <c r="Z425" s="3" t="s">
        <v>256</v>
      </c>
      <c r="AA425">
        <v>71119</v>
      </c>
      <c r="AB425" t="s">
        <v>9893</v>
      </c>
      <c r="AC425" t="s">
        <v>3128</v>
      </c>
      <c r="AE425" t="s">
        <v>561</v>
      </c>
      <c r="AF425" t="s">
        <v>9890</v>
      </c>
      <c r="AG425" t="s">
        <v>9891</v>
      </c>
      <c r="AH425" t="s">
        <v>9892</v>
      </c>
      <c r="AI425" t="s">
        <v>984</v>
      </c>
      <c r="AJ425" s="8" t="str">
        <f>"63939"</f>
        <v>63939</v>
      </c>
      <c r="AK425" t="s">
        <v>118</v>
      </c>
      <c r="AM425" s="10">
        <v>13143787057</v>
      </c>
      <c r="AN425" s="3" t="s">
        <v>256</v>
      </c>
      <c r="AO425" t="s">
        <v>9894</v>
      </c>
      <c r="AP425" t="s">
        <v>248</v>
      </c>
      <c r="AQ425" t="s">
        <v>249</v>
      </c>
      <c r="AR425" t="s">
        <v>250</v>
      </c>
      <c r="AS425" t="s">
        <v>251</v>
      </c>
      <c r="AT425" t="s">
        <v>252</v>
      </c>
      <c r="AU425" t="s">
        <v>253</v>
      </c>
      <c r="AV425" t="s">
        <v>254</v>
      </c>
      <c r="AW425" t="s">
        <v>127</v>
      </c>
      <c r="AX425" s="8" t="str">
        <f>"78550"</f>
        <v>78550</v>
      </c>
      <c r="AY425" t="s">
        <v>118</v>
      </c>
      <c r="AZ425" t="s">
        <v>692</v>
      </c>
      <c r="BA425" s="10">
        <v>19564408720</v>
      </c>
      <c r="BB425" s="3" t="s">
        <v>256</v>
      </c>
      <c r="BC425" t="s">
        <v>338</v>
      </c>
      <c r="BD425" t="s">
        <v>258</v>
      </c>
      <c r="BG425" t="s">
        <v>984</v>
      </c>
      <c r="BH425" s="1">
        <v>45235.791666666664</v>
      </c>
      <c r="BI425">
        <v>40</v>
      </c>
      <c r="BJ425">
        <v>8</v>
      </c>
      <c r="BK425">
        <v>0</v>
      </c>
      <c r="BL425">
        <v>0</v>
      </c>
      <c r="BM425">
        <v>8</v>
      </c>
      <c r="BN425">
        <v>8</v>
      </c>
      <c r="BO425">
        <v>8</v>
      </c>
      <c r="BP425">
        <v>8</v>
      </c>
      <c r="BQ425" t="str">
        <f>"1:00 PM"</f>
        <v>1:00 PM</v>
      </c>
      <c r="BR425" t="str">
        <f>"10:00 PM"</f>
        <v>10:00 PM</v>
      </c>
      <c r="BS425" t="s">
        <v>131</v>
      </c>
      <c r="BT425">
        <v>0</v>
      </c>
      <c r="BU425">
        <v>0</v>
      </c>
      <c r="BV425" t="s">
        <v>114</v>
      </c>
      <c r="BX425" s="2" t="s">
        <v>2396</v>
      </c>
      <c r="BY425" t="s">
        <v>9890</v>
      </c>
      <c r="CA425" t="s">
        <v>9892</v>
      </c>
      <c r="CB425" t="s">
        <v>984</v>
      </c>
      <c r="CC425" s="8" t="str">
        <f>"63939"</f>
        <v>63939</v>
      </c>
      <c r="CD425" t="s">
        <v>9895</v>
      </c>
      <c r="CE425" t="s">
        <v>9896</v>
      </c>
      <c r="CF425" s="12">
        <v>10.38</v>
      </c>
      <c r="CG425" s="12">
        <v>14.4</v>
      </c>
      <c r="CJ425" t="s">
        <v>135</v>
      </c>
      <c r="CK425" t="s">
        <v>342</v>
      </c>
      <c r="CL425" t="s">
        <v>9897</v>
      </c>
      <c r="CO425" t="s">
        <v>132</v>
      </c>
      <c r="CP425" t="s">
        <v>136</v>
      </c>
      <c r="CQ425" t="s">
        <v>136</v>
      </c>
      <c r="CR425" t="s">
        <v>114</v>
      </c>
      <c r="CS425" t="s">
        <v>136</v>
      </c>
      <c r="CT425" t="s">
        <v>136</v>
      </c>
      <c r="CU425" t="s">
        <v>136</v>
      </c>
      <c r="CV425" t="s">
        <v>4357</v>
      </c>
      <c r="CW425" s="10" t="str">
        <f>"+13143787057"</f>
        <v>+13143787057</v>
      </c>
      <c r="CX425" t="s">
        <v>9898</v>
      </c>
      <c r="CY425" t="s">
        <v>132</v>
      </c>
      <c r="CZ425" t="s">
        <v>137</v>
      </c>
      <c r="DA425" t="s">
        <v>114</v>
      </c>
      <c r="DB425" t="s">
        <v>136</v>
      </c>
      <c r="DC425" t="s">
        <v>136</v>
      </c>
      <c r="DD425" t="s">
        <v>114</v>
      </c>
    </row>
    <row r="426" spans="1:113" ht="15" customHeight="1" x14ac:dyDescent="0.25">
      <c r="A426" t="s">
        <v>10975</v>
      </c>
      <c r="B426" t="s">
        <v>152</v>
      </c>
      <c r="C426" s="1">
        <v>45233.003944444441</v>
      </c>
      <c r="D426" s="1">
        <v>45273</v>
      </c>
      <c r="E426" t="s">
        <v>132</v>
      </c>
      <c r="F426" t="s">
        <v>1595</v>
      </c>
      <c r="G426" t="str">
        <f>"37-3011.00"</f>
        <v>37-3011.00</v>
      </c>
      <c r="H426" t="s">
        <v>429</v>
      </c>
      <c r="I426">
        <v>6</v>
      </c>
      <c r="J426">
        <v>6</v>
      </c>
      <c r="K426" s="1">
        <v>45323</v>
      </c>
      <c r="L426" s="1">
        <v>45626</v>
      </c>
      <c r="M426" s="1">
        <v>45323</v>
      </c>
      <c r="N426" s="1">
        <v>45626</v>
      </c>
      <c r="O426" t="s">
        <v>116</v>
      </c>
      <c r="P426" t="s">
        <v>10976</v>
      </c>
      <c r="R426" t="s">
        <v>10977</v>
      </c>
      <c r="T426" t="s">
        <v>2327</v>
      </c>
      <c r="U426" t="s">
        <v>333</v>
      </c>
      <c r="V426" s="8" t="str">
        <f>"70433"</f>
        <v>70433</v>
      </c>
      <c r="W426" t="s">
        <v>118</v>
      </c>
      <c r="Y426" s="10">
        <v>19858925050</v>
      </c>
      <c r="AA426">
        <v>81222</v>
      </c>
      <c r="AB426" t="s">
        <v>10978</v>
      </c>
      <c r="AC426" t="s">
        <v>1852</v>
      </c>
      <c r="AE426" t="s">
        <v>629</v>
      </c>
      <c r="AF426" t="s">
        <v>10977</v>
      </c>
      <c r="AH426" t="s">
        <v>2327</v>
      </c>
      <c r="AI426" t="s">
        <v>333</v>
      </c>
      <c r="AJ426" s="8" t="str">
        <f>"70433"</f>
        <v>70433</v>
      </c>
      <c r="AK426" t="s">
        <v>118</v>
      </c>
      <c r="AM426" s="10">
        <v>19858925050</v>
      </c>
      <c r="AO426" t="s">
        <v>10979</v>
      </c>
      <c r="AP426" t="s">
        <v>248</v>
      </c>
      <c r="AQ426" t="s">
        <v>2732</v>
      </c>
      <c r="AR426" t="s">
        <v>2733</v>
      </c>
      <c r="AT426" t="s">
        <v>1253</v>
      </c>
      <c r="AU426" t="s">
        <v>852</v>
      </c>
      <c r="AV426" t="s">
        <v>853</v>
      </c>
      <c r="AW426" t="s">
        <v>854</v>
      </c>
      <c r="AX426" s="8" t="str">
        <f>"83814"</f>
        <v>83814</v>
      </c>
      <c r="AY426" t="s">
        <v>118</v>
      </c>
      <c r="BA426" s="10">
        <v>12087772654</v>
      </c>
      <c r="BC426" t="s">
        <v>2734</v>
      </c>
      <c r="BD426" t="s">
        <v>856</v>
      </c>
      <c r="BG426" t="s">
        <v>333</v>
      </c>
      <c r="BH426" s="1">
        <v>45231.833333333336</v>
      </c>
      <c r="BI426">
        <v>40</v>
      </c>
      <c r="BJ426">
        <v>0</v>
      </c>
      <c r="BK426">
        <v>8</v>
      </c>
      <c r="BL426">
        <v>8</v>
      </c>
      <c r="BM426">
        <v>8</v>
      </c>
      <c r="BN426">
        <v>8</v>
      </c>
      <c r="BO426">
        <v>8</v>
      </c>
      <c r="BP426">
        <v>0</v>
      </c>
      <c r="BQ426" t="str">
        <f>"6:30 AM"</f>
        <v>6:30 AM</v>
      </c>
      <c r="BR426" t="str">
        <f>"5:00 PM"</f>
        <v>5:00 PM</v>
      </c>
      <c r="BS426" t="s">
        <v>131</v>
      </c>
      <c r="BT426">
        <v>0</v>
      </c>
      <c r="BU426">
        <v>0</v>
      </c>
      <c r="BV426" t="s">
        <v>114</v>
      </c>
      <c r="BX426" t="s">
        <v>2088</v>
      </c>
      <c r="BY426" t="s">
        <v>10980</v>
      </c>
      <c r="CA426" t="s">
        <v>2327</v>
      </c>
      <c r="CB426" t="s">
        <v>333</v>
      </c>
      <c r="CC426" s="8" t="str">
        <f>"70433"</f>
        <v>70433</v>
      </c>
      <c r="CD426" t="s">
        <v>340</v>
      </c>
      <c r="CE426" t="s">
        <v>341</v>
      </c>
      <c r="CF426" s="12">
        <v>14.72</v>
      </c>
      <c r="CG426" s="12">
        <v>17.760000000000002</v>
      </c>
      <c r="CH426" s="12">
        <v>22.08</v>
      </c>
      <c r="CI426" s="12">
        <v>26.64</v>
      </c>
      <c r="CJ426" t="s">
        <v>135</v>
      </c>
      <c r="CK426" t="s">
        <v>1899</v>
      </c>
      <c r="CL426" t="s">
        <v>10981</v>
      </c>
      <c r="CO426" t="s">
        <v>132</v>
      </c>
      <c r="CP426" t="s">
        <v>136</v>
      </c>
      <c r="CQ426" t="s">
        <v>136</v>
      </c>
      <c r="CR426" t="s">
        <v>136</v>
      </c>
      <c r="CS426" t="s">
        <v>136</v>
      </c>
      <c r="CT426" t="s">
        <v>136</v>
      </c>
      <c r="CU426" t="s">
        <v>114</v>
      </c>
      <c r="CV426" t="s">
        <v>1040</v>
      </c>
      <c r="CW426" s="10" t="str">
        <f>"+19858925050"</f>
        <v>+19858925050</v>
      </c>
      <c r="CX426" t="s">
        <v>10979</v>
      </c>
      <c r="CY426" t="s">
        <v>132</v>
      </c>
      <c r="CZ426" t="s">
        <v>137</v>
      </c>
      <c r="DA426" t="s">
        <v>114</v>
      </c>
      <c r="DB426" t="s">
        <v>136</v>
      </c>
      <c r="DC426" t="s">
        <v>136</v>
      </c>
      <c r="DD426" t="s">
        <v>114</v>
      </c>
    </row>
    <row r="427" spans="1:113" ht="15" customHeight="1" x14ac:dyDescent="0.25">
      <c r="A427" t="s">
        <v>1706</v>
      </c>
      <c r="B427" t="s">
        <v>152</v>
      </c>
      <c r="C427" s="1">
        <v>45224.605818171294</v>
      </c>
      <c r="D427" s="1">
        <v>45273</v>
      </c>
      <c r="E427" t="s">
        <v>132</v>
      </c>
      <c r="F427" t="s">
        <v>1707</v>
      </c>
      <c r="G427" t="str">
        <f>"39-3091.00"</f>
        <v>39-3091.00</v>
      </c>
      <c r="H427" t="s">
        <v>237</v>
      </c>
      <c r="I427">
        <v>50</v>
      </c>
      <c r="J427">
        <v>50</v>
      </c>
      <c r="K427" s="1">
        <v>45313</v>
      </c>
      <c r="L427" s="1">
        <v>45613</v>
      </c>
      <c r="M427" s="1">
        <v>45313</v>
      </c>
      <c r="N427" s="1">
        <v>45613</v>
      </c>
      <c r="O427" t="s">
        <v>238</v>
      </c>
      <c r="P427" t="s">
        <v>1708</v>
      </c>
      <c r="R427" t="s">
        <v>1709</v>
      </c>
      <c r="S427" t="s">
        <v>1710</v>
      </c>
      <c r="T427" t="s">
        <v>1711</v>
      </c>
      <c r="U427" t="s">
        <v>140</v>
      </c>
      <c r="V427" s="8" t="str">
        <f>"32750"</f>
        <v>32750</v>
      </c>
      <c r="W427" t="s">
        <v>118</v>
      </c>
      <c r="Y427" s="10">
        <v>17067419845</v>
      </c>
      <c r="AA427">
        <v>71399</v>
      </c>
      <c r="AB427" t="s">
        <v>1712</v>
      </c>
      <c r="AC427" t="s">
        <v>1713</v>
      </c>
      <c r="AD427" t="s">
        <v>1714</v>
      </c>
      <c r="AE427" t="s">
        <v>629</v>
      </c>
      <c r="AF427" t="s">
        <v>1715</v>
      </c>
      <c r="AH427" t="s">
        <v>1716</v>
      </c>
      <c r="AI427" t="s">
        <v>140</v>
      </c>
      <c r="AJ427" s="8" t="str">
        <f>"32728"</f>
        <v>32728</v>
      </c>
      <c r="AK427" t="s">
        <v>118</v>
      </c>
      <c r="AM427" s="10">
        <v>14073991831</v>
      </c>
      <c r="AO427" t="s">
        <v>1717</v>
      </c>
      <c r="AP427" t="s">
        <v>121</v>
      </c>
      <c r="AQ427" t="s">
        <v>1718</v>
      </c>
      <c r="AR427" t="s">
        <v>708</v>
      </c>
      <c r="AS427" t="s">
        <v>1719</v>
      </c>
      <c r="AT427" t="s">
        <v>1720</v>
      </c>
      <c r="AU427" t="s">
        <v>799</v>
      </c>
      <c r="AV427" t="s">
        <v>1721</v>
      </c>
      <c r="AW427" t="s">
        <v>1722</v>
      </c>
      <c r="AX427" s="8" t="str">
        <f>"21401"</f>
        <v>21401</v>
      </c>
      <c r="AY427" t="s">
        <v>118</v>
      </c>
      <c r="BA427" s="10">
        <v>14105739955</v>
      </c>
      <c r="BB427">
        <v>0</v>
      </c>
      <c r="BC427" t="s">
        <v>1723</v>
      </c>
      <c r="BD427" t="s">
        <v>1724</v>
      </c>
      <c r="BE427" t="s">
        <v>1722</v>
      </c>
      <c r="BF427" t="s">
        <v>1725</v>
      </c>
      <c r="BG427" t="s">
        <v>140</v>
      </c>
      <c r="BH427" s="1">
        <v>45218.833333333336</v>
      </c>
      <c r="BI427">
        <v>42</v>
      </c>
      <c r="BJ427">
        <v>6</v>
      </c>
      <c r="BK427">
        <v>6</v>
      </c>
      <c r="BL427">
        <v>6</v>
      </c>
      <c r="BM427">
        <v>6</v>
      </c>
      <c r="BN427">
        <v>6</v>
      </c>
      <c r="BO427">
        <v>6</v>
      </c>
      <c r="BP427">
        <v>6</v>
      </c>
      <c r="BQ427" t="str">
        <f>"4:00 PM"</f>
        <v>4:00 PM</v>
      </c>
      <c r="BR427" t="str">
        <f>"11:00 PM"</f>
        <v>11:00 PM</v>
      </c>
      <c r="BS427" t="s">
        <v>131</v>
      </c>
      <c r="BT427">
        <v>0</v>
      </c>
      <c r="BU427">
        <v>0</v>
      </c>
      <c r="BV427" t="s">
        <v>114</v>
      </c>
      <c r="BX427" s="2" t="s">
        <v>1726</v>
      </c>
      <c r="BY427" t="s">
        <v>1727</v>
      </c>
      <c r="CA427" t="s">
        <v>1728</v>
      </c>
      <c r="CB427" t="s">
        <v>140</v>
      </c>
      <c r="CC427" s="8" t="str">
        <f>"34221"</f>
        <v>34221</v>
      </c>
      <c r="CD427" t="s">
        <v>1729</v>
      </c>
      <c r="CE427" t="s">
        <v>1730</v>
      </c>
      <c r="CF427" s="12">
        <v>10.09</v>
      </c>
      <c r="CG427" s="12">
        <v>14.08</v>
      </c>
      <c r="CH427" s="12">
        <v>15.14</v>
      </c>
      <c r="CI427" s="12">
        <v>21.12</v>
      </c>
      <c r="CJ427" t="s">
        <v>135</v>
      </c>
      <c r="CK427" t="s">
        <v>1731</v>
      </c>
      <c r="CL427" t="s">
        <v>1732</v>
      </c>
      <c r="CO427" t="s">
        <v>132</v>
      </c>
      <c r="CP427" t="s">
        <v>136</v>
      </c>
      <c r="CQ427" t="s">
        <v>114</v>
      </c>
      <c r="CR427" t="s">
        <v>136</v>
      </c>
      <c r="CS427" t="s">
        <v>136</v>
      </c>
      <c r="CT427" t="s">
        <v>136</v>
      </c>
      <c r="CU427" t="s">
        <v>136</v>
      </c>
      <c r="CV427" t="s">
        <v>1733</v>
      </c>
      <c r="CW427" s="10" t="str">
        <f>"+17067419845"</f>
        <v>+17067419845</v>
      </c>
      <c r="CX427" t="s">
        <v>1717</v>
      </c>
      <c r="CY427" t="s">
        <v>132</v>
      </c>
      <c r="CZ427" t="s">
        <v>137</v>
      </c>
      <c r="DA427" t="s">
        <v>114</v>
      </c>
      <c r="DB427" t="s">
        <v>136</v>
      </c>
      <c r="DC427" t="s">
        <v>136</v>
      </c>
      <c r="DD427" t="s">
        <v>114</v>
      </c>
    </row>
    <row r="428" spans="1:113" ht="15" customHeight="1" x14ac:dyDescent="0.25">
      <c r="A428" t="s">
        <v>22261</v>
      </c>
      <c r="B428" t="s">
        <v>152</v>
      </c>
      <c r="C428" s="1">
        <v>45246.879471527776</v>
      </c>
      <c r="D428" s="1">
        <v>45272</v>
      </c>
      <c r="E428" t="s">
        <v>132</v>
      </c>
      <c r="F428" t="s">
        <v>5842</v>
      </c>
      <c r="G428" t="str">
        <f>"35-3031.00"</f>
        <v>35-3031.00</v>
      </c>
      <c r="H428" t="s">
        <v>347</v>
      </c>
      <c r="I428">
        <v>15</v>
      </c>
      <c r="J428">
        <v>15</v>
      </c>
      <c r="K428" s="1">
        <v>45321</v>
      </c>
      <c r="L428" s="1">
        <v>45532</v>
      </c>
      <c r="M428" s="1">
        <v>45321</v>
      </c>
      <c r="N428" s="1">
        <v>45532</v>
      </c>
      <c r="O428" t="s">
        <v>116</v>
      </c>
      <c r="P428" t="s">
        <v>8396</v>
      </c>
      <c r="R428" t="s">
        <v>8397</v>
      </c>
      <c r="T428" t="s">
        <v>8398</v>
      </c>
      <c r="U428" t="s">
        <v>1642</v>
      </c>
      <c r="V428" s="8" t="str">
        <f>"26003"</f>
        <v>26003</v>
      </c>
      <c r="W428" t="s">
        <v>118</v>
      </c>
      <c r="Y428" s="10">
        <v>13042434032</v>
      </c>
      <c r="AA428">
        <v>713110</v>
      </c>
      <c r="AB428" t="s">
        <v>22262</v>
      </c>
      <c r="AC428" t="s">
        <v>22263</v>
      </c>
      <c r="AE428" t="s">
        <v>438</v>
      </c>
      <c r="AF428" t="s">
        <v>8397</v>
      </c>
      <c r="AH428" t="s">
        <v>8398</v>
      </c>
      <c r="AI428" t="s">
        <v>1642</v>
      </c>
      <c r="AJ428" s="8" t="str">
        <f>"26003"</f>
        <v>26003</v>
      </c>
      <c r="AK428" t="s">
        <v>118</v>
      </c>
      <c r="AM428" s="10">
        <v>13042434032</v>
      </c>
      <c r="AO428" t="s">
        <v>132</v>
      </c>
      <c r="AP428" t="s">
        <v>248</v>
      </c>
      <c r="AQ428" t="s">
        <v>354</v>
      </c>
      <c r="AR428" t="s">
        <v>355</v>
      </c>
      <c r="AT428" t="s">
        <v>356</v>
      </c>
      <c r="AV428" t="s">
        <v>357</v>
      </c>
      <c r="AW428" t="s">
        <v>358</v>
      </c>
      <c r="AX428" s="8" t="str">
        <f>"11590"</f>
        <v>11590</v>
      </c>
      <c r="AY428" t="s">
        <v>118</v>
      </c>
      <c r="BA428" s="10">
        <v>15163307168</v>
      </c>
      <c r="BC428" t="s">
        <v>359</v>
      </c>
      <c r="BD428" t="s">
        <v>360</v>
      </c>
      <c r="BG428" t="s">
        <v>1642</v>
      </c>
      <c r="BH428" s="1">
        <v>45245.791666666664</v>
      </c>
      <c r="BI428">
        <v>35</v>
      </c>
      <c r="BJ428">
        <v>7</v>
      </c>
      <c r="BK428">
        <v>0</v>
      </c>
      <c r="BL428">
        <v>7</v>
      </c>
      <c r="BM428">
        <v>0</v>
      </c>
      <c r="BN428">
        <v>7</v>
      </c>
      <c r="BO428">
        <v>7</v>
      </c>
      <c r="BP428">
        <v>7</v>
      </c>
      <c r="BQ428" t="str">
        <f>"7:00 AM"</f>
        <v>7:00 AM</v>
      </c>
      <c r="BR428" t="str">
        <f>"11:00 PM"</f>
        <v>11:00 PM</v>
      </c>
      <c r="BS428" t="s">
        <v>131</v>
      </c>
      <c r="BT428">
        <v>0</v>
      </c>
      <c r="BU428">
        <v>0</v>
      </c>
      <c r="BV428" t="s">
        <v>114</v>
      </c>
      <c r="BX428" t="s">
        <v>1789</v>
      </c>
      <c r="BY428" t="s">
        <v>8397</v>
      </c>
      <c r="CA428" t="s">
        <v>8398</v>
      </c>
      <c r="CB428" t="s">
        <v>1642</v>
      </c>
      <c r="CC428" s="8" t="str">
        <f>"26003"</f>
        <v>26003</v>
      </c>
      <c r="CD428" t="s">
        <v>8400</v>
      </c>
      <c r="CE428" t="s">
        <v>2478</v>
      </c>
      <c r="CF428" s="12">
        <v>14.06</v>
      </c>
      <c r="CG428" s="12">
        <v>14.06</v>
      </c>
      <c r="CH428" s="12">
        <v>21.09</v>
      </c>
      <c r="CI428" s="12">
        <v>21.09</v>
      </c>
      <c r="CJ428" t="s">
        <v>135</v>
      </c>
      <c r="CK428" t="s">
        <v>22264</v>
      </c>
      <c r="CL428" t="s">
        <v>22265</v>
      </c>
      <c r="CO428" t="s">
        <v>132</v>
      </c>
      <c r="CP428" t="s">
        <v>114</v>
      </c>
      <c r="CQ428" t="s">
        <v>114</v>
      </c>
      <c r="CR428" t="s">
        <v>136</v>
      </c>
      <c r="CS428" t="s">
        <v>114</v>
      </c>
      <c r="CT428" t="s">
        <v>136</v>
      </c>
      <c r="CU428" t="s">
        <v>136</v>
      </c>
      <c r="CV428" t="s">
        <v>22266</v>
      </c>
      <c r="CW428" s="10" t="str">
        <f>"+13042434032"</f>
        <v>+13042434032</v>
      </c>
      <c r="CX428" t="s">
        <v>8403</v>
      </c>
      <c r="CY428" t="s">
        <v>132</v>
      </c>
      <c r="CZ428" t="s">
        <v>137</v>
      </c>
      <c r="DA428" t="s">
        <v>114</v>
      </c>
      <c r="DB428" t="s">
        <v>114</v>
      </c>
      <c r="DC428" t="s">
        <v>136</v>
      </c>
      <c r="DD428" t="s">
        <v>114</v>
      </c>
    </row>
    <row r="429" spans="1:113" ht="15" customHeight="1" x14ac:dyDescent="0.25">
      <c r="A429" t="s">
        <v>16466</v>
      </c>
      <c r="B429" t="s">
        <v>152</v>
      </c>
      <c r="C429" s="1">
        <v>45246.784848726849</v>
      </c>
      <c r="D429" s="1">
        <v>45272</v>
      </c>
      <c r="E429" t="s">
        <v>132</v>
      </c>
      <c r="F429" t="s">
        <v>2020</v>
      </c>
      <c r="G429" t="str">
        <f>"37-3011.00"</f>
        <v>37-3011.00</v>
      </c>
      <c r="H429" t="s">
        <v>429</v>
      </c>
      <c r="I429">
        <v>18</v>
      </c>
      <c r="J429">
        <v>18</v>
      </c>
      <c r="K429" s="1">
        <v>45336</v>
      </c>
      <c r="L429" s="1">
        <v>45616</v>
      </c>
      <c r="M429" s="1">
        <v>45336</v>
      </c>
      <c r="N429" s="1">
        <v>45616</v>
      </c>
      <c r="O429" t="s">
        <v>116</v>
      </c>
      <c r="P429" t="s">
        <v>16467</v>
      </c>
      <c r="Q429" t="s">
        <v>5116</v>
      </c>
      <c r="R429" t="s">
        <v>5117</v>
      </c>
      <c r="T429" t="s">
        <v>5118</v>
      </c>
      <c r="U429" t="s">
        <v>117</v>
      </c>
      <c r="V429" s="8" t="str">
        <f>"62232"</f>
        <v>62232</v>
      </c>
      <c r="W429" t="s">
        <v>118</v>
      </c>
      <c r="Y429" s="10">
        <v>16187810139</v>
      </c>
      <c r="AA429">
        <v>56173</v>
      </c>
      <c r="AB429" t="s">
        <v>5119</v>
      </c>
      <c r="AC429" t="s">
        <v>5120</v>
      </c>
      <c r="AE429" t="s">
        <v>5121</v>
      </c>
      <c r="AF429" t="s">
        <v>5117</v>
      </c>
      <c r="AH429" t="s">
        <v>5118</v>
      </c>
      <c r="AI429" t="s">
        <v>117</v>
      </c>
      <c r="AJ429" s="8" t="str">
        <f>"62232"</f>
        <v>62232</v>
      </c>
      <c r="AK429" t="s">
        <v>118</v>
      </c>
      <c r="AM429" s="10">
        <v>16187810139</v>
      </c>
      <c r="AO429" t="s">
        <v>132</v>
      </c>
      <c r="AP429" t="s">
        <v>248</v>
      </c>
      <c r="AQ429" t="s">
        <v>2873</v>
      </c>
      <c r="AR429" t="s">
        <v>2874</v>
      </c>
      <c r="AT429" t="s">
        <v>1350</v>
      </c>
      <c r="AU429" t="s">
        <v>1351</v>
      </c>
      <c r="AV429" t="s">
        <v>1352</v>
      </c>
      <c r="AW429" t="s">
        <v>581</v>
      </c>
      <c r="AX429" s="8" t="str">
        <f>"22949"</f>
        <v>22949</v>
      </c>
      <c r="AY429" t="s">
        <v>118</v>
      </c>
      <c r="BA429" s="10">
        <v>14342634300</v>
      </c>
      <c r="BC429" t="s">
        <v>2875</v>
      </c>
      <c r="BD429" t="s">
        <v>583</v>
      </c>
      <c r="BG429" t="s">
        <v>140</v>
      </c>
      <c r="BH429" s="1">
        <v>45245.791666666664</v>
      </c>
      <c r="BI429">
        <v>40</v>
      </c>
      <c r="BJ429">
        <v>0</v>
      </c>
      <c r="BK429">
        <v>8</v>
      </c>
      <c r="BL429">
        <v>8</v>
      </c>
      <c r="BM429">
        <v>8</v>
      </c>
      <c r="BN429">
        <v>8</v>
      </c>
      <c r="BO429">
        <v>8</v>
      </c>
      <c r="BP429">
        <v>0</v>
      </c>
      <c r="BQ429" t="str">
        <f>"7:00 AM"</f>
        <v>7:00 AM</v>
      </c>
      <c r="BR429" t="str">
        <f>"4:00 PM"</f>
        <v>4:00 PM</v>
      </c>
      <c r="BS429" t="s">
        <v>131</v>
      </c>
      <c r="BT429">
        <v>0</v>
      </c>
      <c r="BU429">
        <v>3</v>
      </c>
      <c r="BV429" t="s">
        <v>114</v>
      </c>
      <c r="BX429" s="2" t="s">
        <v>5122</v>
      </c>
      <c r="BY429" t="s">
        <v>16468</v>
      </c>
      <c r="CA429" t="s">
        <v>16469</v>
      </c>
      <c r="CB429" t="s">
        <v>140</v>
      </c>
      <c r="CC429" s="8" t="str">
        <f>"32542"</f>
        <v>32542</v>
      </c>
      <c r="CD429" t="s">
        <v>5061</v>
      </c>
      <c r="CE429" t="s">
        <v>3314</v>
      </c>
      <c r="CF429" s="12">
        <v>16.25</v>
      </c>
      <c r="CG429" s="12">
        <v>16.25</v>
      </c>
      <c r="CH429" s="12">
        <v>24.38</v>
      </c>
      <c r="CI429" s="12">
        <v>24.38</v>
      </c>
      <c r="CJ429" t="s">
        <v>135</v>
      </c>
      <c r="CK429" t="s">
        <v>590</v>
      </c>
      <c r="CL429" t="s">
        <v>16470</v>
      </c>
      <c r="CO429" t="s">
        <v>132</v>
      </c>
      <c r="CP429" t="s">
        <v>136</v>
      </c>
      <c r="CQ429" t="s">
        <v>136</v>
      </c>
      <c r="CR429" t="s">
        <v>136</v>
      </c>
      <c r="CS429" t="s">
        <v>114</v>
      </c>
      <c r="CT429" t="s">
        <v>136</v>
      </c>
      <c r="CU429" t="s">
        <v>136</v>
      </c>
      <c r="CV429" t="s">
        <v>5124</v>
      </c>
      <c r="CW429" s="10" t="str">
        <f>"N/A"</f>
        <v>N/A</v>
      </c>
      <c r="CX429" t="s">
        <v>5125</v>
      </c>
      <c r="CY429" t="s">
        <v>1876</v>
      </c>
      <c r="CZ429" t="s">
        <v>137</v>
      </c>
      <c r="DA429" t="s">
        <v>114</v>
      </c>
      <c r="DB429" t="s">
        <v>136</v>
      </c>
      <c r="DC429" t="s">
        <v>136</v>
      </c>
      <c r="DD429" t="s">
        <v>114</v>
      </c>
      <c r="DE429" t="s">
        <v>2873</v>
      </c>
      <c r="DF429" t="s">
        <v>2874</v>
      </c>
      <c r="DH429" t="s">
        <v>583</v>
      </c>
      <c r="DI429" t="s">
        <v>2875</v>
      </c>
    </row>
    <row r="430" spans="1:113" ht="15" customHeight="1" x14ac:dyDescent="0.25">
      <c r="A430" t="s">
        <v>5571</v>
      </c>
      <c r="B430" t="s">
        <v>152</v>
      </c>
      <c r="C430" s="1">
        <v>45246.518292824076</v>
      </c>
      <c r="D430" s="1">
        <v>45272</v>
      </c>
      <c r="E430" t="s">
        <v>132</v>
      </c>
      <c r="F430" t="s">
        <v>429</v>
      </c>
      <c r="G430" t="str">
        <f>"37-3011.00"</f>
        <v>37-3011.00</v>
      </c>
      <c r="H430" t="s">
        <v>429</v>
      </c>
      <c r="I430">
        <v>12</v>
      </c>
      <c r="J430">
        <v>12</v>
      </c>
      <c r="K430" s="1">
        <v>45335</v>
      </c>
      <c r="L430" s="1">
        <v>45611</v>
      </c>
      <c r="M430" s="1">
        <v>45335</v>
      </c>
      <c r="N430" s="1">
        <v>45611</v>
      </c>
      <c r="O430" t="s">
        <v>238</v>
      </c>
      <c r="P430" t="s">
        <v>5572</v>
      </c>
      <c r="R430" t="s">
        <v>5573</v>
      </c>
      <c r="T430" t="s">
        <v>3059</v>
      </c>
      <c r="U430" t="s">
        <v>2608</v>
      </c>
      <c r="V430" s="8" t="str">
        <f>"74074"</f>
        <v>74074</v>
      </c>
      <c r="W430" t="s">
        <v>118</v>
      </c>
      <c r="Y430" s="10">
        <v>14053728733</v>
      </c>
      <c r="Z430" s="3" t="s">
        <v>256</v>
      </c>
      <c r="AA430">
        <v>56173</v>
      </c>
      <c r="AB430" t="s">
        <v>5574</v>
      </c>
      <c r="AC430" t="s">
        <v>3145</v>
      </c>
      <c r="AE430" t="s">
        <v>561</v>
      </c>
      <c r="AF430" t="s">
        <v>5573</v>
      </c>
      <c r="AH430" t="s">
        <v>3059</v>
      </c>
      <c r="AI430" t="s">
        <v>2608</v>
      </c>
      <c r="AJ430" s="8" t="str">
        <f>"74074"</f>
        <v>74074</v>
      </c>
      <c r="AK430" t="s">
        <v>118</v>
      </c>
      <c r="AM430" s="10">
        <v>14052698734</v>
      </c>
      <c r="AN430" s="3" t="s">
        <v>256</v>
      </c>
      <c r="AO430" t="s">
        <v>5575</v>
      </c>
      <c r="AP430" t="s">
        <v>248</v>
      </c>
      <c r="AQ430" t="s">
        <v>249</v>
      </c>
      <c r="AR430" t="s">
        <v>250</v>
      </c>
      <c r="AS430" t="s">
        <v>251</v>
      </c>
      <c r="AT430" t="s">
        <v>252</v>
      </c>
      <c r="AU430" t="s">
        <v>253</v>
      </c>
      <c r="AV430" t="s">
        <v>254</v>
      </c>
      <c r="AW430" t="s">
        <v>127</v>
      </c>
      <c r="AX430" s="8" t="str">
        <f>"78550"</f>
        <v>78550</v>
      </c>
      <c r="AY430" t="s">
        <v>118</v>
      </c>
      <c r="AZ430" t="s">
        <v>5576</v>
      </c>
      <c r="BA430" s="10">
        <v>19564408720</v>
      </c>
      <c r="BB430" s="3" t="s">
        <v>256</v>
      </c>
      <c r="BC430" t="s">
        <v>338</v>
      </c>
      <c r="BD430" t="s">
        <v>258</v>
      </c>
      <c r="BG430" t="s">
        <v>2608</v>
      </c>
      <c r="BH430" s="1">
        <v>45245.791666666664</v>
      </c>
      <c r="BI430">
        <v>40</v>
      </c>
      <c r="BJ430">
        <v>0</v>
      </c>
      <c r="BK430">
        <v>8</v>
      </c>
      <c r="BL430">
        <v>8</v>
      </c>
      <c r="BM430">
        <v>8</v>
      </c>
      <c r="BN430">
        <v>8</v>
      </c>
      <c r="BO430">
        <v>8</v>
      </c>
      <c r="BP430">
        <v>0</v>
      </c>
      <c r="BQ430" t="str">
        <f>"7:00 AM"</f>
        <v>7:00 AM</v>
      </c>
      <c r="BR430" t="str">
        <f>"5:00 PM"</f>
        <v>5:00 PM</v>
      </c>
      <c r="BS430" t="s">
        <v>131</v>
      </c>
      <c r="BT430">
        <v>0</v>
      </c>
      <c r="BU430">
        <v>0</v>
      </c>
      <c r="BV430" t="s">
        <v>114</v>
      </c>
      <c r="BX430" s="2" t="s">
        <v>5577</v>
      </c>
      <c r="BY430" t="s">
        <v>5578</v>
      </c>
      <c r="CA430" t="s">
        <v>3059</v>
      </c>
      <c r="CB430" t="s">
        <v>2608</v>
      </c>
      <c r="CC430" s="8" t="str">
        <f>"74074"</f>
        <v>74074</v>
      </c>
      <c r="CD430" t="s">
        <v>5579</v>
      </c>
      <c r="CE430" t="s">
        <v>5580</v>
      </c>
      <c r="CF430" s="12">
        <v>16.149999999999999</v>
      </c>
      <c r="CG430" s="12">
        <v>16.149999999999999</v>
      </c>
      <c r="CH430" s="12">
        <v>24.23</v>
      </c>
      <c r="CI430" s="12">
        <v>24.23</v>
      </c>
      <c r="CJ430" t="s">
        <v>135</v>
      </c>
      <c r="CK430" t="s">
        <v>1635</v>
      </c>
      <c r="CL430" t="s">
        <v>5581</v>
      </c>
      <c r="CO430" t="s">
        <v>132</v>
      </c>
      <c r="CP430" t="s">
        <v>136</v>
      </c>
      <c r="CQ430" t="s">
        <v>136</v>
      </c>
      <c r="CR430" t="s">
        <v>136</v>
      </c>
      <c r="CS430" t="s">
        <v>136</v>
      </c>
      <c r="CT430" t="s">
        <v>136</v>
      </c>
      <c r="CU430" t="s">
        <v>136</v>
      </c>
      <c r="CV430" t="s">
        <v>5582</v>
      </c>
      <c r="CW430" s="10" t="str">
        <f>"+14053728733"</f>
        <v>+14053728733</v>
      </c>
      <c r="CX430" t="s">
        <v>5583</v>
      </c>
      <c r="CY430" t="s">
        <v>132</v>
      </c>
      <c r="CZ430" t="s">
        <v>137</v>
      </c>
      <c r="DA430" t="s">
        <v>114</v>
      </c>
      <c r="DB430" t="s">
        <v>136</v>
      </c>
      <c r="DC430" t="s">
        <v>136</v>
      </c>
      <c r="DD430" t="s">
        <v>114</v>
      </c>
    </row>
    <row r="431" spans="1:113" ht="15" customHeight="1" x14ac:dyDescent="0.25">
      <c r="A431" t="s">
        <v>2930</v>
      </c>
      <c r="B431" t="s">
        <v>152</v>
      </c>
      <c r="C431" s="1">
        <v>45246.494386805556</v>
      </c>
      <c r="D431" s="1">
        <v>45272</v>
      </c>
      <c r="E431" t="s">
        <v>132</v>
      </c>
      <c r="F431" t="s">
        <v>1595</v>
      </c>
      <c r="G431" t="str">
        <f>"37-3011.00"</f>
        <v>37-3011.00</v>
      </c>
      <c r="H431" t="s">
        <v>429</v>
      </c>
      <c r="I431">
        <v>20</v>
      </c>
      <c r="J431">
        <v>20</v>
      </c>
      <c r="K431" s="1">
        <v>45336</v>
      </c>
      <c r="L431" s="1">
        <v>45625</v>
      </c>
      <c r="M431" s="1">
        <v>45336</v>
      </c>
      <c r="N431" s="1">
        <v>45625</v>
      </c>
      <c r="O431" t="s">
        <v>116</v>
      </c>
      <c r="P431" t="s">
        <v>2931</v>
      </c>
      <c r="Q431" t="s">
        <v>2932</v>
      </c>
      <c r="R431" t="s">
        <v>2933</v>
      </c>
      <c r="S431" t="s">
        <v>2934</v>
      </c>
      <c r="T431" t="s">
        <v>2935</v>
      </c>
      <c r="U431" t="s">
        <v>375</v>
      </c>
      <c r="V431" s="8" t="str">
        <f>"28027"</f>
        <v>28027</v>
      </c>
      <c r="W431" t="s">
        <v>118</v>
      </c>
      <c r="Y431" s="10">
        <v>17047953167</v>
      </c>
      <c r="AA431">
        <v>56173</v>
      </c>
      <c r="AB431" t="s">
        <v>2936</v>
      </c>
      <c r="AC431" t="s">
        <v>2937</v>
      </c>
      <c r="AE431" t="s">
        <v>561</v>
      </c>
      <c r="AF431" t="s">
        <v>2933</v>
      </c>
      <c r="AG431" t="s">
        <v>2934</v>
      </c>
      <c r="AH431" t="s">
        <v>2935</v>
      </c>
      <c r="AI431" t="s">
        <v>375</v>
      </c>
      <c r="AJ431" s="8" t="str">
        <f>"28027"</f>
        <v>28027</v>
      </c>
      <c r="AK431" t="s">
        <v>118</v>
      </c>
      <c r="AM431" s="10">
        <v>17047953167</v>
      </c>
      <c r="AO431" t="s">
        <v>132</v>
      </c>
      <c r="AP431" t="s">
        <v>248</v>
      </c>
      <c r="AQ431" t="s">
        <v>2132</v>
      </c>
      <c r="AR431" t="s">
        <v>2133</v>
      </c>
      <c r="AT431" t="s">
        <v>1350</v>
      </c>
      <c r="AU431" t="s">
        <v>1351</v>
      </c>
      <c r="AV431" t="s">
        <v>1352</v>
      </c>
      <c r="AW431" t="s">
        <v>581</v>
      </c>
      <c r="AX431" s="8" t="str">
        <f>"22949"</f>
        <v>22949</v>
      </c>
      <c r="AY431" t="s">
        <v>118</v>
      </c>
      <c r="BA431" s="10">
        <v>14342634300</v>
      </c>
      <c r="BC431" t="s">
        <v>1353</v>
      </c>
      <c r="BD431" t="s">
        <v>583</v>
      </c>
      <c r="BG431" t="s">
        <v>375</v>
      </c>
      <c r="BH431" s="1">
        <v>45245.791666666664</v>
      </c>
      <c r="BI431">
        <v>40</v>
      </c>
      <c r="BJ431">
        <v>0</v>
      </c>
      <c r="BK431">
        <v>8</v>
      </c>
      <c r="BL431">
        <v>8</v>
      </c>
      <c r="BM431">
        <v>8</v>
      </c>
      <c r="BN431">
        <v>8</v>
      </c>
      <c r="BO431">
        <v>8</v>
      </c>
      <c r="BP431">
        <v>0</v>
      </c>
      <c r="BQ431" t="str">
        <f>"7:00 AM"</f>
        <v>7:00 AM</v>
      </c>
      <c r="BR431" t="str">
        <f>"3:30 PM"</f>
        <v>3:30 PM</v>
      </c>
      <c r="BS431" t="s">
        <v>131</v>
      </c>
      <c r="BT431">
        <v>0</v>
      </c>
      <c r="BU431">
        <v>2</v>
      </c>
      <c r="BV431" t="s">
        <v>114</v>
      </c>
      <c r="BX431" s="2" t="s">
        <v>2938</v>
      </c>
      <c r="BY431" t="s">
        <v>2933</v>
      </c>
      <c r="CA431" t="s">
        <v>2935</v>
      </c>
      <c r="CB431" t="s">
        <v>375</v>
      </c>
      <c r="CC431" s="8" t="str">
        <f>"28027"</f>
        <v>28027</v>
      </c>
      <c r="CD431" t="s">
        <v>2939</v>
      </c>
      <c r="CE431" t="s">
        <v>2940</v>
      </c>
      <c r="CF431" s="12">
        <v>17.239999999999998</v>
      </c>
      <c r="CG431" s="12">
        <v>17.239999999999998</v>
      </c>
      <c r="CH431" s="12">
        <v>25.86</v>
      </c>
      <c r="CI431" s="12">
        <v>25.86</v>
      </c>
      <c r="CJ431" t="s">
        <v>135</v>
      </c>
      <c r="CK431" t="s">
        <v>590</v>
      </c>
      <c r="CL431" t="s">
        <v>2941</v>
      </c>
      <c r="CO431" t="s">
        <v>132</v>
      </c>
      <c r="CP431" t="s">
        <v>136</v>
      </c>
      <c r="CQ431" t="s">
        <v>136</v>
      </c>
      <c r="CR431" t="s">
        <v>136</v>
      </c>
      <c r="CS431" t="s">
        <v>114</v>
      </c>
      <c r="CT431" t="s">
        <v>136</v>
      </c>
      <c r="CU431" t="s">
        <v>136</v>
      </c>
      <c r="CV431" t="s">
        <v>2942</v>
      </c>
      <c r="CW431" s="10" t="str">
        <f>"N/A"</f>
        <v>N/A</v>
      </c>
      <c r="CX431" t="s">
        <v>2943</v>
      </c>
      <c r="CY431" t="s">
        <v>1954</v>
      </c>
      <c r="CZ431" t="s">
        <v>137</v>
      </c>
      <c r="DA431" t="s">
        <v>114</v>
      </c>
      <c r="DB431" t="s">
        <v>136</v>
      </c>
      <c r="DC431" t="s">
        <v>136</v>
      </c>
      <c r="DD431" t="s">
        <v>114</v>
      </c>
      <c r="DE431" t="s">
        <v>1361</v>
      </c>
      <c r="DF431" t="s">
        <v>1362</v>
      </c>
      <c r="DH431" t="s">
        <v>583</v>
      </c>
      <c r="DI431" t="s">
        <v>1353</v>
      </c>
    </row>
    <row r="432" spans="1:113" ht="15" customHeight="1" x14ac:dyDescent="0.25">
      <c r="A432" t="s">
        <v>19045</v>
      </c>
      <c r="B432" t="s">
        <v>152</v>
      </c>
      <c r="C432" s="1">
        <v>45245.676068055553</v>
      </c>
      <c r="D432" s="1">
        <v>45272</v>
      </c>
      <c r="E432" t="s">
        <v>132</v>
      </c>
      <c r="F432" t="s">
        <v>429</v>
      </c>
      <c r="G432" t="str">
        <f>"37-3011.00"</f>
        <v>37-3011.00</v>
      </c>
      <c r="H432" t="s">
        <v>429</v>
      </c>
      <c r="I432">
        <v>10</v>
      </c>
      <c r="J432">
        <v>10</v>
      </c>
      <c r="K432" s="1">
        <v>45320</v>
      </c>
      <c r="L432" s="1">
        <v>45383</v>
      </c>
      <c r="M432" s="1">
        <v>45320</v>
      </c>
      <c r="N432" s="1">
        <v>45383</v>
      </c>
      <c r="O432" t="s">
        <v>238</v>
      </c>
      <c r="P432" t="s">
        <v>19046</v>
      </c>
      <c r="R432" t="s">
        <v>19047</v>
      </c>
      <c r="T432" t="s">
        <v>9220</v>
      </c>
      <c r="U432" t="s">
        <v>543</v>
      </c>
      <c r="V432" s="8" t="str">
        <f>"45044"</f>
        <v>45044</v>
      </c>
      <c r="W432" t="s">
        <v>118</v>
      </c>
      <c r="Y432" s="10">
        <v>15138141955</v>
      </c>
      <c r="Z432" s="3" t="s">
        <v>256</v>
      </c>
      <c r="AA432">
        <v>56173</v>
      </c>
      <c r="AB432" t="s">
        <v>19048</v>
      </c>
      <c r="AC432" t="s">
        <v>3677</v>
      </c>
      <c r="AE432" t="s">
        <v>1799</v>
      </c>
      <c r="AF432" t="s">
        <v>19047</v>
      </c>
      <c r="AH432" t="s">
        <v>9220</v>
      </c>
      <c r="AI432" t="s">
        <v>543</v>
      </c>
      <c r="AJ432" s="8" t="str">
        <f>"45044"</f>
        <v>45044</v>
      </c>
      <c r="AK432" t="s">
        <v>118</v>
      </c>
      <c r="AM432" s="10">
        <v>15132540329</v>
      </c>
      <c r="AN432" s="3" t="s">
        <v>256</v>
      </c>
      <c r="AO432" t="s">
        <v>19049</v>
      </c>
      <c r="AP432" t="s">
        <v>248</v>
      </c>
      <c r="AQ432" t="s">
        <v>249</v>
      </c>
      <c r="AR432" t="s">
        <v>250</v>
      </c>
      <c r="AS432" t="s">
        <v>251</v>
      </c>
      <c r="AT432" t="s">
        <v>252</v>
      </c>
      <c r="AU432" t="s">
        <v>253</v>
      </c>
      <c r="AV432" t="s">
        <v>254</v>
      </c>
      <c r="AW432" t="s">
        <v>127</v>
      </c>
      <c r="AX432" s="8" t="str">
        <f>"78550"</f>
        <v>78550</v>
      </c>
      <c r="AY432" t="s">
        <v>118</v>
      </c>
      <c r="AZ432" t="s">
        <v>255</v>
      </c>
      <c r="BA432" s="10">
        <v>19564408720</v>
      </c>
      <c r="BB432" s="3" t="s">
        <v>256</v>
      </c>
      <c r="BC432" t="s">
        <v>338</v>
      </c>
      <c r="BD432" t="s">
        <v>258</v>
      </c>
      <c r="BG432" t="s">
        <v>543</v>
      </c>
      <c r="BH432" s="1">
        <v>45244.791666666664</v>
      </c>
      <c r="BI432">
        <v>40</v>
      </c>
      <c r="BJ432">
        <v>8</v>
      </c>
      <c r="BK432">
        <v>0</v>
      </c>
      <c r="BL432">
        <v>0</v>
      </c>
      <c r="BM432">
        <v>8</v>
      </c>
      <c r="BN432">
        <v>8</v>
      </c>
      <c r="BO432">
        <v>8</v>
      </c>
      <c r="BP432">
        <v>8</v>
      </c>
      <c r="BQ432" t="str">
        <f>"1:00 PM"</f>
        <v>1:00 PM</v>
      </c>
      <c r="BR432" t="str">
        <f>"10:00 PM"</f>
        <v>10:00 PM</v>
      </c>
      <c r="BS432" t="s">
        <v>131</v>
      </c>
      <c r="BT432">
        <v>0</v>
      </c>
      <c r="BU432">
        <v>0</v>
      </c>
      <c r="BV432" t="s">
        <v>114</v>
      </c>
      <c r="BX432" s="2" t="s">
        <v>19050</v>
      </c>
      <c r="BY432" t="s">
        <v>19047</v>
      </c>
      <c r="CA432" t="s">
        <v>9220</v>
      </c>
      <c r="CB432" t="s">
        <v>543</v>
      </c>
      <c r="CC432" s="8" t="str">
        <f>"45044"</f>
        <v>45044</v>
      </c>
      <c r="CD432" t="s">
        <v>4888</v>
      </c>
      <c r="CE432" t="s">
        <v>3443</v>
      </c>
      <c r="CF432" s="12">
        <v>16.690000000000001</v>
      </c>
      <c r="CG432" s="12">
        <v>16.690000000000001</v>
      </c>
      <c r="CH432" s="12">
        <v>22.26</v>
      </c>
      <c r="CI432" s="12">
        <v>22.26</v>
      </c>
      <c r="CJ432" t="s">
        <v>135</v>
      </c>
      <c r="CK432" t="s">
        <v>1635</v>
      </c>
      <c r="CL432" t="s">
        <v>19051</v>
      </c>
      <c r="CO432" t="s">
        <v>132</v>
      </c>
      <c r="CP432" t="s">
        <v>136</v>
      </c>
      <c r="CQ432" t="s">
        <v>136</v>
      </c>
      <c r="CR432" t="s">
        <v>136</v>
      </c>
      <c r="CS432" t="s">
        <v>136</v>
      </c>
      <c r="CT432" t="s">
        <v>136</v>
      </c>
      <c r="CU432" t="s">
        <v>136</v>
      </c>
      <c r="CV432" t="s">
        <v>19052</v>
      </c>
      <c r="CW432" s="10" t="str">
        <f>"+15138141955"</f>
        <v>+15138141955</v>
      </c>
      <c r="CX432" t="s">
        <v>19049</v>
      </c>
      <c r="CY432" t="s">
        <v>132</v>
      </c>
      <c r="CZ432" t="s">
        <v>137</v>
      </c>
      <c r="DA432" t="s">
        <v>114</v>
      </c>
      <c r="DB432" t="s">
        <v>136</v>
      </c>
      <c r="DC432" t="s">
        <v>136</v>
      </c>
      <c r="DD432" t="s">
        <v>114</v>
      </c>
    </row>
    <row r="433" spans="1:113" ht="15" customHeight="1" x14ac:dyDescent="0.25">
      <c r="A433" t="s">
        <v>13906</v>
      </c>
      <c r="B433" t="s">
        <v>152</v>
      </c>
      <c r="C433" s="1">
        <v>45244.904229745371</v>
      </c>
      <c r="D433" s="1">
        <v>45272</v>
      </c>
      <c r="E433" t="s">
        <v>132</v>
      </c>
      <c r="F433" t="s">
        <v>13907</v>
      </c>
      <c r="G433" t="str">
        <f>"37-2012.00"</f>
        <v>37-2012.00</v>
      </c>
      <c r="H433" t="s">
        <v>205</v>
      </c>
      <c r="I433">
        <v>5</v>
      </c>
      <c r="J433">
        <v>5</v>
      </c>
      <c r="K433" s="1">
        <v>45334</v>
      </c>
      <c r="L433" s="1">
        <v>45596</v>
      </c>
      <c r="M433" s="1">
        <v>45334</v>
      </c>
      <c r="N433" s="1">
        <v>45596</v>
      </c>
      <c r="O433" t="s">
        <v>116</v>
      </c>
      <c r="P433" t="s">
        <v>13908</v>
      </c>
      <c r="Q433" t="s">
        <v>13909</v>
      </c>
      <c r="R433" t="s">
        <v>13910</v>
      </c>
      <c r="T433" t="s">
        <v>6061</v>
      </c>
      <c r="U433" t="s">
        <v>1154</v>
      </c>
      <c r="V433" s="8" t="str">
        <f>"39180"</f>
        <v>39180</v>
      </c>
      <c r="W433" t="s">
        <v>118</v>
      </c>
      <c r="Y433" s="10">
        <v>16016365700</v>
      </c>
      <c r="AA433">
        <v>721120</v>
      </c>
      <c r="AB433" t="s">
        <v>3124</v>
      </c>
      <c r="AC433" t="s">
        <v>13911</v>
      </c>
      <c r="AE433" t="s">
        <v>161</v>
      </c>
      <c r="AF433" t="s">
        <v>13910</v>
      </c>
      <c r="AG433" t="s">
        <v>13912</v>
      </c>
      <c r="AH433" t="s">
        <v>6061</v>
      </c>
      <c r="AI433" t="s">
        <v>1154</v>
      </c>
      <c r="AJ433" s="8" t="str">
        <f>"39180"</f>
        <v>39180</v>
      </c>
      <c r="AK433" t="s">
        <v>118</v>
      </c>
      <c r="AM433" s="10">
        <v>16016304480</v>
      </c>
      <c r="AO433" t="s">
        <v>13913</v>
      </c>
      <c r="AP433" t="s">
        <v>248</v>
      </c>
      <c r="AQ433" t="s">
        <v>960</v>
      </c>
      <c r="AR433" t="s">
        <v>961</v>
      </c>
      <c r="AS433" t="s">
        <v>962</v>
      </c>
      <c r="AT433" t="s">
        <v>963</v>
      </c>
      <c r="AU433" t="s">
        <v>296</v>
      </c>
      <c r="AV433" t="s">
        <v>964</v>
      </c>
      <c r="AW433" t="s">
        <v>127</v>
      </c>
      <c r="AX433" s="8" t="str">
        <f>"75033"</f>
        <v>75033</v>
      </c>
      <c r="AY433" t="s">
        <v>118</v>
      </c>
      <c r="BA433" s="10">
        <v>19727789690</v>
      </c>
      <c r="BC433" t="s">
        <v>13914</v>
      </c>
      <c r="BD433" t="s">
        <v>966</v>
      </c>
      <c r="BG433" t="s">
        <v>1154</v>
      </c>
      <c r="BH433" s="1">
        <v>45243.791666666664</v>
      </c>
      <c r="BI433">
        <v>40</v>
      </c>
      <c r="BJ433">
        <v>8</v>
      </c>
      <c r="BK433">
        <v>8</v>
      </c>
      <c r="BL433">
        <v>0</v>
      </c>
      <c r="BM433">
        <v>0</v>
      </c>
      <c r="BN433">
        <v>8</v>
      </c>
      <c r="BO433">
        <v>8</v>
      </c>
      <c r="BP433">
        <v>8</v>
      </c>
      <c r="BQ433" t="str">
        <f>"7:00 AM"</f>
        <v>7:00 AM</v>
      </c>
      <c r="BR433" t="str">
        <f>"3:00 PM"</f>
        <v>3:00 PM</v>
      </c>
      <c r="BS433" t="s">
        <v>131</v>
      </c>
      <c r="BT433">
        <v>0</v>
      </c>
      <c r="BU433">
        <v>0</v>
      </c>
      <c r="BV433" t="s">
        <v>114</v>
      </c>
      <c r="BX433" s="2" t="s">
        <v>13915</v>
      </c>
      <c r="BY433" t="s">
        <v>13916</v>
      </c>
      <c r="CA433" t="s">
        <v>6061</v>
      </c>
      <c r="CB433" t="s">
        <v>1154</v>
      </c>
      <c r="CC433" s="8" t="str">
        <f>"39180"</f>
        <v>39180</v>
      </c>
      <c r="CD433" t="s">
        <v>1017</v>
      </c>
      <c r="CE433" t="s">
        <v>3192</v>
      </c>
      <c r="CF433" s="12">
        <v>10.029999999999999</v>
      </c>
      <c r="CH433" s="12">
        <v>15.05</v>
      </c>
      <c r="CJ433" t="s">
        <v>135</v>
      </c>
      <c r="CK433" t="s">
        <v>2018</v>
      </c>
      <c r="CL433" t="s">
        <v>13917</v>
      </c>
      <c r="CO433" t="s">
        <v>132</v>
      </c>
      <c r="CP433" t="s">
        <v>114</v>
      </c>
      <c r="CQ433" t="s">
        <v>136</v>
      </c>
      <c r="CR433" t="s">
        <v>136</v>
      </c>
      <c r="CS433" t="s">
        <v>136</v>
      </c>
      <c r="CT433" t="s">
        <v>136</v>
      </c>
      <c r="CU433" t="s">
        <v>136</v>
      </c>
      <c r="CV433" t="s">
        <v>13918</v>
      </c>
      <c r="CW433" s="10" t="str">
        <f>"+16016365700"</f>
        <v>+16016365700</v>
      </c>
      <c r="CX433" t="s">
        <v>132</v>
      </c>
      <c r="CY433" t="s">
        <v>9420</v>
      </c>
      <c r="CZ433" t="s">
        <v>137</v>
      </c>
      <c r="DA433" t="s">
        <v>114</v>
      </c>
      <c r="DB433" t="s">
        <v>114</v>
      </c>
      <c r="DC433" t="s">
        <v>136</v>
      </c>
      <c r="DD433" t="s">
        <v>114</v>
      </c>
    </row>
    <row r="434" spans="1:113" ht="15" customHeight="1" x14ac:dyDescent="0.25">
      <c r="A434" t="s">
        <v>17952</v>
      </c>
      <c r="B434" t="s">
        <v>152</v>
      </c>
      <c r="C434" s="1">
        <v>45244.900448379631</v>
      </c>
      <c r="D434" s="1">
        <v>45272</v>
      </c>
      <c r="E434" t="s">
        <v>132</v>
      </c>
      <c r="F434" t="s">
        <v>1059</v>
      </c>
      <c r="G434" t="str">
        <f>"35-2014.00"</f>
        <v>35-2014.00</v>
      </c>
      <c r="H434" t="s">
        <v>154</v>
      </c>
      <c r="I434">
        <v>4</v>
      </c>
      <c r="J434">
        <v>4</v>
      </c>
      <c r="K434" s="1">
        <v>45334</v>
      </c>
      <c r="L434" s="1">
        <v>45596</v>
      </c>
      <c r="M434" s="1">
        <v>45334</v>
      </c>
      <c r="N434" s="1">
        <v>45596</v>
      </c>
      <c r="O434" t="s">
        <v>116</v>
      </c>
      <c r="P434" t="s">
        <v>13908</v>
      </c>
      <c r="Q434" t="s">
        <v>13909</v>
      </c>
      <c r="R434" t="s">
        <v>13910</v>
      </c>
      <c r="T434" t="s">
        <v>6061</v>
      </c>
      <c r="U434" t="s">
        <v>1154</v>
      </c>
      <c r="V434" s="8" t="str">
        <f>"39180"</f>
        <v>39180</v>
      </c>
      <c r="W434" t="s">
        <v>118</v>
      </c>
      <c r="Y434" s="10">
        <v>16016365700</v>
      </c>
      <c r="AA434">
        <v>721120</v>
      </c>
      <c r="AB434" t="s">
        <v>3124</v>
      </c>
      <c r="AC434" t="s">
        <v>13911</v>
      </c>
      <c r="AE434" t="s">
        <v>161</v>
      </c>
      <c r="AF434" t="s">
        <v>13910</v>
      </c>
      <c r="AG434" t="s">
        <v>17953</v>
      </c>
      <c r="AH434" t="s">
        <v>6061</v>
      </c>
      <c r="AI434" t="s">
        <v>1154</v>
      </c>
      <c r="AJ434" s="8" t="str">
        <f>"39180"</f>
        <v>39180</v>
      </c>
      <c r="AK434" t="s">
        <v>118</v>
      </c>
      <c r="AM434" s="10">
        <v>16016304480</v>
      </c>
      <c r="AO434" t="s">
        <v>13913</v>
      </c>
      <c r="AP434" t="s">
        <v>248</v>
      </c>
      <c r="AQ434" t="s">
        <v>960</v>
      </c>
      <c r="AR434" t="s">
        <v>961</v>
      </c>
      <c r="AS434" t="s">
        <v>962</v>
      </c>
      <c r="AT434" t="s">
        <v>963</v>
      </c>
      <c r="AU434" t="s">
        <v>296</v>
      </c>
      <c r="AV434" t="s">
        <v>964</v>
      </c>
      <c r="AW434" t="s">
        <v>127</v>
      </c>
      <c r="AX434" s="8" t="str">
        <f>"75033"</f>
        <v>75033</v>
      </c>
      <c r="AY434" t="s">
        <v>118</v>
      </c>
      <c r="BA434" s="10">
        <v>19727789690</v>
      </c>
      <c r="BC434" t="s">
        <v>13914</v>
      </c>
      <c r="BD434" t="s">
        <v>966</v>
      </c>
      <c r="BG434" t="s">
        <v>1154</v>
      </c>
      <c r="BH434" s="1">
        <v>45243.791666666664</v>
      </c>
      <c r="BI434">
        <v>40</v>
      </c>
      <c r="BJ434">
        <v>8</v>
      </c>
      <c r="BK434">
        <v>8</v>
      </c>
      <c r="BL434">
        <v>0</v>
      </c>
      <c r="BM434">
        <v>0</v>
      </c>
      <c r="BN434">
        <v>8</v>
      </c>
      <c r="BO434">
        <v>8</v>
      </c>
      <c r="BP434">
        <v>8</v>
      </c>
      <c r="BQ434" t="str">
        <f>"7:00 AM"</f>
        <v>7:00 AM</v>
      </c>
      <c r="BR434" t="str">
        <f>"3:00 PM"</f>
        <v>3:00 PM</v>
      </c>
      <c r="BS434" t="s">
        <v>131</v>
      </c>
      <c r="BT434">
        <v>0</v>
      </c>
      <c r="BU434">
        <v>0</v>
      </c>
      <c r="BV434" t="s">
        <v>114</v>
      </c>
      <c r="BX434" s="2" t="s">
        <v>17954</v>
      </c>
      <c r="BY434" t="s">
        <v>13916</v>
      </c>
      <c r="CA434" t="s">
        <v>6061</v>
      </c>
      <c r="CB434" t="s">
        <v>1154</v>
      </c>
      <c r="CC434" s="8" t="str">
        <f>"39180"</f>
        <v>39180</v>
      </c>
      <c r="CD434" t="s">
        <v>1017</v>
      </c>
      <c r="CE434" t="s">
        <v>3192</v>
      </c>
      <c r="CF434" s="12">
        <v>12.02</v>
      </c>
      <c r="CH434" s="12">
        <v>18.03</v>
      </c>
      <c r="CJ434" t="s">
        <v>135</v>
      </c>
      <c r="CK434" t="s">
        <v>17955</v>
      </c>
      <c r="CL434" t="s">
        <v>17956</v>
      </c>
      <c r="CO434" t="s">
        <v>132</v>
      </c>
      <c r="CP434" t="s">
        <v>114</v>
      </c>
      <c r="CQ434" t="s">
        <v>136</v>
      </c>
      <c r="CR434" t="s">
        <v>136</v>
      </c>
      <c r="CS434" t="s">
        <v>136</v>
      </c>
      <c r="CT434" t="s">
        <v>136</v>
      </c>
      <c r="CU434" t="s">
        <v>136</v>
      </c>
      <c r="CV434" s="2" t="s">
        <v>17957</v>
      </c>
      <c r="CW434" s="10" t="str">
        <f>"+16016365700"</f>
        <v>+16016365700</v>
      </c>
      <c r="CX434" t="s">
        <v>132</v>
      </c>
      <c r="CY434" t="s">
        <v>9420</v>
      </c>
      <c r="CZ434" t="s">
        <v>137</v>
      </c>
      <c r="DA434" t="s">
        <v>114</v>
      </c>
      <c r="DB434" t="s">
        <v>114</v>
      </c>
      <c r="DC434" t="s">
        <v>136</v>
      </c>
      <c r="DD434" t="s">
        <v>114</v>
      </c>
    </row>
    <row r="435" spans="1:113" ht="15" customHeight="1" x14ac:dyDescent="0.25">
      <c r="A435" t="s">
        <v>5253</v>
      </c>
      <c r="B435" t="s">
        <v>152</v>
      </c>
      <c r="C435" s="1">
        <v>45244.441752777777</v>
      </c>
      <c r="D435" s="1">
        <v>45272</v>
      </c>
      <c r="E435" t="s">
        <v>132</v>
      </c>
      <c r="F435" t="s">
        <v>1595</v>
      </c>
      <c r="G435" t="str">
        <f>"37-3011.00"</f>
        <v>37-3011.00</v>
      </c>
      <c r="H435" t="s">
        <v>429</v>
      </c>
      <c r="I435">
        <v>32</v>
      </c>
      <c r="J435">
        <v>32</v>
      </c>
      <c r="K435" s="1">
        <v>45332</v>
      </c>
      <c r="L435" s="1">
        <v>45606</v>
      </c>
      <c r="M435" s="1">
        <v>45332</v>
      </c>
      <c r="N435" s="1">
        <v>45606</v>
      </c>
      <c r="O435" t="s">
        <v>116</v>
      </c>
      <c r="P435" t="s">
        <v>5254</v>
      </c>
      <c r="R435" t="s">
        <v>5255</v>
      </c>
      <c r="T435" t="s">
        <v>2821</v>
      </c>
      <c r="U435" t="s">
        <v>1734</v>
      </c>
      <c r="V435" s="8" t="str">
        <f>"66111"</f>
        <v>66111</v>
      </c>
      <c r="W435" t="s">
        <v>118</v>
      </c>
      <c r="Y435" s="10">
        <v>16183989000</v>
      </c>
      <c r="AA435">
        <v>56173</v>
      </c>
      <c r="AB435" t="s">
        <v>5119</v>
      </c>
      <c r="AC435" t="s">
        <v>1555</v>
      </c>
      <c r="AE435" t="s">
        <v>629</v>
      </c>
      <c r="AF435" t="s">
        <v>5255</v>
      </c>
      <c r="AH435" t="s">
        <v>2821</v>
      </c>
      <c r="AI435" t="s">
        <v>1734</v>
      </c>
      <c r="AJ435" s="8" t="str">
        <f>"66111"</f>
        <v>66111</v>
      </c>
      <c r="AK435" t="s">
        <v>118</v>
      </c>
      <c r="AM435" s="10">
        <v>16183989000</v>
      </c>
      <c r="AO435" t="s">
        <v>5256</v>
      </c>
      <c r="AP435" t="s">
        <v>248</v>
      </c>
      <c r="AQ435" t="s">
        <v>3017</v>
      </c>
      <c r="AR435" t="s">
        <v>3018</v>
      </c>
      <c r="AT435" t="s">
        <v>3371</v>
      </c>
      <c r="AV435" t="s">
        <v>1168</v>
      </c>
      <c r="AW435" t="s">
        <v>127</v>
      </c>
      <c r="AX435" s="8" t="str">
        <f>"75098"</f>
        <v>75098</v>
      </c>
      <c r="AY435" t="s">
        <v>118</v>
      </c>
      <c r="BA435" s="10">
        <v>19724424244</v>
      </c>
      <c r="BC435" t="s">
        <v>3372</v>
      </c>
      <c r="BD435" t="s">
        <v>3021</v>
      </c>
      <c r="BG435" t="s">
        <v>1734</v>
      </c>
      <c r="BH435" s="1">
        <v>45243.791666666664</v>
      </c>
      <c r="BI435">
        <v>40</v>
      </c>
      <c r="BJ435">
        <v>0</v>
      </c>
      <c r="BK435">
        <v>8</v>
      </c>
      <c r="BL435">
        <v>8</v>
      </c>
      <c r="BM435">
        <v>8</v>
      </c>
      <c r="BN435">
        <v>8</v>
      </c>
      <c r="BO435">
        <v>8</v>
      </c>
      <c r="BP435">
        <v>0</v>
      </c>
      <c r="BQ435" t="str">
        <f>"6:30 AM"</f>
        <v>6:30 AM</v>
      </c>
      <c r="BR435" t="str">
        <f>"12:26 PM"</f>
        <v>12:26 PM</v>
      </c>
      <c r="BS435" t="s">
        <v>131</v>
      </c>
      <c r="BT435">
        <v>0</v>
      </c>
      <c r="BU435">
        <v>0</v>
      </c>
      <c r="BV435" t="s">
        <v>114</v>
      </c>
      <c r="BX435" t="s">
        <v>1480</v>
      </c>
      <c r="BY435" t="s">
        <v>5255</v>
      </c>
      <c r="CA435" t="s">
        <v>2821</v>
      </c>
      <c r="CB435" t="s">
        <v>1734</v>
      </c>
      <c r="CC435" s="8" t="str">
        <f>"66111"</f>
        <v>66111</v>
      </c>
      <c r="CD435" t="s">
        <v>5257</v>
      </c>
      <c r="CE435" t="s">
        <v>2431</v>
      </c>
      <c r="CF435" s="12">
        <v>17.47</v>
      </c>
      <c r="CG435" s="12">
        <v>19.47</v>
      </c>
      <c r="CH435" s="12">
        <v>26.21</v>
      </c>
      <c r="CI435" s="12">
        <v>29.21</v>
      </c>
      <c r="CJ435" t="s">
        <v>135</v>
      </c>
      <c r="CL435" t="s">
        <v>5258</v>
      </c>
      <c r="CO435" t="s">
        <v>132</v>
      </c>
      <c r="CP435" t="s">
        <v>136</v>
      </c>
      <c r="CQ435" t="s">
        <v>136</v>
      </c>
      <c r="CR435" t="s">
        <v>136</v>
      </c>
      <c r="CS435" t="s">
        <v>136</v>
      </c>
      <c r="CT435" t="s">
        <v>136</v>
      </c>
      <c r="CU435" t="s">
        <v>136</v>
      </c>
      <c r="CV435" t="s">
        <v>5259</v>
      </c>
      <c r="CW435" s="10" t="str">
        <f>"+16183989000"</f>
        <v>+16183989000</v>
      </c>
      <c r="CX435" t="s">
        <v>132</v>
      </c>
      <c r="CY435" t="s">
        <v>5260</v>
      </c>
      <c r="CZ435" t="s">
        <v>137</v>
      </c>
      <c r="DA435" t="s">
        <v>114</v>
      </c>
      <c r="DB435" t="s">
        <v>114</v>
      </c>
      <c r="DC435" t="s">
        <v>136</v>
      </c>
      <c r="DD435" t="s">
        <v>114</v>
      </c>
    </row>
    <row r="436" spans="1:113" ht="15" customHeight="1" x14ac:dyDescent="0.25">
      <c r="A436" t="s">
        <v>13628</v>
      </c>
      <c r="B436" t="s">
        <v>152</v>
      </c>
      <c r="C436" s="1">
        <v>45244.440678009261</v>
      </c>
      <c r="D436" s="1">
        <v>45272</v>
      </c>
      <c r="E436" t="s">
        <v>132</v>
      </c>
      <c r="F436" t="s">
        <v>1595</v>
      </c>
      <c r="G436" t="str">
        <f>"37-3011.00"</f>
        <v>37-3011.00</v>
      </c>
      <c r="H436" t="s">
        <v>429</v>
      </c>
      <c r="I436">
        <v>15</v>
      </c>
      <c r="J436">
        <v>15</v>
      </c>
      <c r="K436" s="1">
        <v>45332</v>
      </c>
      <c r="L436" s="1">
        <v>45606</v>
      </c>
      <c r="M436" s="1">
        <v>45332</v>
      </c>
      <c r="N436" s="1">
        <v>45606</v>
      </c>
      <c r="O436" t="s">
        <v>116</v>
      </c>
      <c r="P436" t="s">
        <v>13629</v>
      </c>
      <c r="R436" t="s">
        <v>13630</v>
      </c>
      <c r="T436" t="s">
        <v>5118</v>
      </c>
      <c r="U436" t="s">
        <v>117</v>
      </c>
      <c r="V436" s="8" t="str">
        <f>"62232"</f>
        <v>62232</v>
      </c>
      <c r="W436" t="s">
        <v>118</v>
      </c>
      <c r="Y436" s="10">
        <v>16183989000</v>
      </c>
      <c r="AA436">
        <v>56173</v>
      </c>
      <c r="AB436" t="s">
        <v>5119</v>
      </c>
      <c r="AC436" t="s">
        <v>5904</v>
      </c>
      <c r="AE436" t="s">
        <v>629</v>
      </c>
      <c r="AF436" t="s">
        <v>13630</v>
      </c>
      <c r="AH436" t="s">
        <v>5118</v>
      </c>
      <c r="AI436" t="s">
        <v>117</v>
      </c>
      <c r="AJ436" s="8" t="str">
        <f>"62232"</f>
        <v>62232</v>
      </c>
      <c r="AK436" t="s">
        <v>118</v>
      </c>
      <c r="AM436" s="10">
        <v>16183989000</v>
      </c>
      <c r="AO436" t="s">
        <v>5256</v>
      </c>
      <c r="AP436" t="s">
        <v>248</v>
      </c>
      <c r="AQ436" t="s">
        <v>3017</v>
      </c>
      <c r="AR436" t="s">
        <v>3018</v>
      </c>
      <c r="AS436" t="s">
        <v>631</v>
      </c>
      <c r="AT436" t="s">
        <v>3371</v>
      </c>
      <c r="AV436" t="s">
        <v>1168</v>
      </c>
      <c r="AW436" t="s">
        <v>127</v>
      </c>
      <c r="AX436" s="8" t="str">
        <f>"75098"</f>
        <v>75098</v>
      </c>
      <c r="AY436" t="s">
        <v>118</v>
      </c>
      <c r="BA436" s="10">
        <v>19724424244</v>
      </c>
      <c r="BC436" t="s">
        <v>3372</v>
      </c>
      <c r="BD436" t="s">
        <v>3021</v>
      </c>
      <c r="BG436" t="s">
        <v>984</v>
      </c>
      <c r="BH436" s="1">
        <v>45243.791666666664</v>
      </c>
      <c r="BI436">
        <v>40</v>
      </c>
      <c r="BJ436">
        <v>0</v>
      </c>
      <c r="BK436">
        <v>8</v>
      </c>
      <c r="BL436">
        <v>8</v>
      </c>
      <c r="BM436">
        <v>8</v>
      </c>
      <c r="BN436">
        <v>8</v>
      </c>
      <c r="BO436">
        <v>8</v>
      </c>
      <c r="BP436">
        <v>0</v>
      </c>
      <c r="BQ436" t="str">
        <f>"6:30 AM"</f>
        <v>6:30 AM</v>
      </c>
      <c r="BR436" t="str">
        <f>"3:30 PM"</f>
        <v>3:30 PM</v>
      </c>
      <c r="BS436" t="s">
        <v>131</v>
      </c>
      <c r="BT436">
        <v>0</v>
      </c>
      <c r="BU436">
        <v>0</v>
      </c>
      <c r="BV436" t="s">
        <v>114</v>
      </c>
      <c r="BX436" t="s">
        <v>1480</v>
      </c>
      <c r="BY436" t="s">
        <v>13631</v>
      </c>
      <c r="CA436" t="s">
        <v>2447</v>
      </c>
      <c r="CB436" t="s">
        <v>984</v>
      </c>
      <c r="CC436" s="8" t="str">
        <f>"65808"</f>
        <v>65808</v>
      </c>
      <c r="CD436" t="s">
        <v>4156</v>
      </c>
      <c r="CE436" t="s">
        <v>2157</v>
      </c>
      <c r="CF436" s="12">
        <v>15.83</v>
      </c>
      <c r="CG436" s="12">
        <v>17.829999999999998</v>
      </c>
      <c r="CH436" s="12">
        <v>23.75</v>
      </c>
      <c r="CI436" s="12">
        <v>26.75</v>
      </c>
      <c r="CJ436" t="s">
        <v>135</v>
      </c>
      <c r="CL436" t="s">
        <v>13632</v>
      </c>
      <c r="CO436" t="s">
        <v>132</v>
      </c>
      <c r="CP436" t="s">
        <v>136</v>
      </c>
      <c r="CQ436" t="s">
        <v>136</v>
      </c>
      <c r="CR436" t="s">
        <v>136</v>
      </c>
      <c r="CS436" t="s">
        <v>136</v>
      </c>
      <c r="CT436" t="s">
        <v>136</v>
      </c>
      <c r="CU436" t="s">
        <v>136</v>
      </c>
      <c r="CV436" t="s">
        <v>5259</v>
      </c>
      <c r="CW436" s="10" t="str">
        <f>"+16183989000"</f>
        <v>+16183989000</v>
      </c>
      <c r="CX436" t="s">
        <v>132</v>
      </c>
      <c r="CY436" t="s">
        <v>1857</v>
      </c>
      <c r="CZ436" t="s">
        <v>137</v>
      </c>
      <c r="DA436" t="s">
        <v>114</v>
      </c>
      <c r="DB436" t="s">
        <v>114</v>
      </c>
      <c r="DC436" t="s">
        <v>136</v>
      </c>
      <c r="DD436" t="s">
        <v>114</v>
      </c>
    </row>
    <row r="437" spans="1:113" ht="15" customHeight="1" x14ac:dyDescent="0.25">
      <c r="A437" t="s">
        <v>17733</v>
      </c>
      <c r="B437" t="s">
        <v>152</v>
      </c>
      <c r="C437" s="1">
        <v>45244.439521412038</v>
      </c>
      <c r="D437" s="1">
        <v>45272</v>
      </c>
      <c r="E437" t="s">
        <v>132</v>
      </c>
      <c r="F437" t="s">
        <v>1595</v>
      </c>
      <c r="G437" t="str">
        <f>"37-3011.00"</f>
        <v>37-3011.00</v>
      </c>
      <c r="H437" t="s">
        <v>429</v>
      </c>
      <c r="I437">
        <v>47</v>
      </c>
      <c r="J437">
        <v>47</v>
      </c>
      <c r="K437" s="1">
        <v>45332</v>
      </c>
      <c r="L437" s="1">
        <v>45606</v>
      </c>
      <c r="M437" s="1">
        <v>45332</v>
      </c>
      <c r="N437" s="1">
        <v>45606</v>
      </c>
      <c r="O437" t="s">
        <v>116</v>
      </c>
      <c r="P437" t="s">
        <v>17734</v>
      </c>
      <c r="R437" t="s">
        <v>13630</v>
      </c>
      <c r="T437" t="s">
        <v>5118</v>
      </c>
      <c r="U437" t="s">
        <v>117</v>
      </c>
      <c r="V437" s="8" t="str">
        <f>"62232"</f>
        <v>62232</v>
      </c>
      <c r="W437" t="s">
        <v>118</v>
      </c>
      <c r="Y437" s="10">
        <v>16183989000</v>
      </c>
      <c r="AA437">
        <v>56173</v>
      </c>
      <c r="AB437" t="s">
        <v>5119</v>
      </c>
      <c r="AC437" t="s">
        <v>1555</v>
      </c>
      <c r="AE437" t="s">
        <v>629</v>
      </c>
      <c r="AF437" t="s">
        <v>13630</v>
      </c>
      <c r="AH437" t="s">
        <v>5118</v>
      </c>
      <c r="AI437" t="s">
        <v>117</v>
      </c>
      <c r="AJ437" s="8" t="str">
        <f>"62232"</f>
        <v>62232</v>
      </c>
      <c r="AK437" t="s">
        <v>118</v>
      </c>
      <c r="AM437" s="10">
        <v>16183989000</v>
      </c>
      <c r="AO437" t="s">
        <v>5256</v>
      </c>
      <c r="AP437" t="s">
        <v>248</v>
      </c>
      <c r="AQ437" t="s">
        <v>3017</v>
      </c>
      <c r="AR437" t="s">
        <v>3018</v>
      </c>
      <c r="AT437" t="s">
        <v>3371</v>
      </c>
      <c r="AV437" t="s">
        <v>1168</v>
      </c>
      <c r="AW437" t="s">
        <v>117</v>
      </c>
      <c r="AX437" s="8" t="str">
        <f>"75098"</f>
        <v>75098</v>
      </c>
      <c r="AY437" t="s">
        <v>118</v>
      </c>
      <c r="BA437" s="10">
        <v>19724424244</v>
      </c>
      <c r="BC437" t="s">
        <v>3372</v>
      </c>
      <c r="BD437" t="s">
        <v>3021</v>
      </c>
      <c r="BG437" t="s">
        <v>984</v>
      </c>
      <c r="BH437" s="1">
        <v>45243.791666666664</v>
      </c>
      <c r="BI437">
        <v>40</v>
      </c>
      <c r="BJ437">
        <v>0</v>
      </c>
      <c r="BK437">
        <v>8</v>
      </c>
      <c r="BL437">
        <v>8</v>
      </c>
      <c r="BM437">
        <v>8</v>
      </c>
      <c r="BN437">
        <v>8</v>
      </c>
      <c r="BO437">
        <v>8</v>
      </c>
      <c r="BP437">
        <v>0</v>
      </c>
      <c r="BQ437" t="str">
        <f>"6:30 AM"</f>
        <v>6:30 AM</v>
      </c>
      <c r="BR437" t="str">
        <f>"3:30 PM"</f>
        <v>3:30 PM</v>
      </c>
      <c r="BS437" t="s">
        <v>131</v>
      </c>
      <c r="BT437">
        <v>0</v>
      </c>
      <c r="BU437">
        <v>0</v>
      </c>
      <c r="BV437" t="s">
        <v>114</v>
      </c>
      <c r="BX437" t="s">
        <v>1480</v>
      </c>
      <c r="BY437" t="s">
        <v>17735</v>
      </c>
      <c r="CA437" t="s">
        <v>17736</v>
      </c>
      <c r="CB437" t="s">
        <v>984</v>
      </c>
      <c r="CC437" s="8" t="str">
        <f>"63042"</f>
        <v>63042</v>
      </c>
      <c r="CD437" t="s">
        <v>2851</v>
      </c>
      <c r="CE437" t="s">
        <v>1856</v>
      </c>
      <c r="CF437" s="12">
        <v>17.579999999999998</v>
      </c>
      <c r="CG437" s="12">
        <v>19.579999999999998</v>
      </c>
      <c r="CH437" s="12">
        <v>26.37</v>
      </c>
      <c r="CI437" s="12">
        <v>29.37</v>
      </c>
      <c r="CJ437" t="s">
        <v>135</v>
      </c>
      <c r="CL437" t="s">
        <v>17737</v>
      </c>
      <c r="CO437" t="s">
        <v>132</v>
      </c>
      <c r="CP437" t="s">
        <v>136</v>
      </c>
      <c r="CQ437" t="s">
        <v>136</v>
      </c>
      <c r="CR437" t="s">
        <v>136</v>
      </c>
      <c r="CS437" t="s">
        <v>136</v>
      </c>
      <c r="CT437" t="s">
        <v>136</v>
      </c>
      <c r="CU437" t="s">
        <v>136</v>
      </c>
      <c r="CV437" t="s">
        <v>17738</v>
      </c>
      <c r="CW437" s="10" t="str">
        <f>"+16183989000"</f>
        <v>+16183989000</v>
      </c>
      <c r="CX437" t="s">
        <v>132</v>
      </c>
      <c r="CY437" t="s">
        <v>1857</v>
      </c>
      <c r="CZ437" t="s">
        <v>137</v>
      </c>
      <c r="DA437" t="s">
        <v>114</v>
      </c>
      <c r="DB437" t="s">
        <v>114</v>
      </c>
      <c r="DC437" t="s">
        <v>136</v>
      </c>
      <c r="DD437" t="s">
        <v>114</v>
      </c>
    </row>
    <row r="438" spans="1:113" ht="15" customHeight="1" x14ac:dyDescent="0.25">
      <c r="A438" t="s">
        <v>21007</v>
      </c>
      <c r="B438" t="s">
        <v>152</v>
      </c>
      <c r="C438" s="1">
        <v>45244.438253472224</v>
      </c>
      <c r="D438" s="1">
        <v>45272</v>
      </c>
      <c r="E438" t="s">
        <v>132</v>
      </c>
      <c r="F438" t="s">
        <v>1595</v>
      </c>
      <c r="G438" t="str">
        <f>"37-3011.00"</f>
        <v>37-3011.00</v>
      </c>
      <c r="H438" t="s">
        <v>429</v>
      </c>
      <c r="I438">
        <v>44</v>
      </c>
      <c r="J438">
        <v>44</v>
      </c>
      <c r="K438" s="1">
        <v>45332</v>
      </c>
      <c r="L438" s="1">
        <v>45606</v>
      </c>
      <c r="M438" s="1">
        <v>45332</v>
      </c>
      <c r="N438" s="1">
        <v>45606</v>
      </c>
      <c r="O438" t="s">
        <v>116</v>
      </c>
      <c r="P438" t="s">
        <v>17734</v>
      </c>
      <c r="R438" t="s">
        <v>13630</v>
      </c>
      <c r="T438" t="s">
        <v>5118</v>
      </c>
      <c r="U438" t="s">
        <v>117</v>
      </c>
      <c r="V438" s="8" t="str">
        <f>"62232"</f>
        <v>62232</v>
      </c>
      <c r="W438" t="s">
        <v>118</v>
      </c>
      <c r="Y438" s="10">
        <v>16183989000</v>
      </c>
      <c r="AA438">
        <v>56173</v>
      </c>
      <c r="AB438" t="s">
        <v>5119</v>
      </c>
      <c r="AC438" t="s">
        <v>1555</v>
      </c>
      <c r="AE438" t="s">
        <v>629</v>
      </c>
      <c r="AF438" t="s">
        <v>13630</v>
      </c>
      <c r="AH438" t="s">
        <v>5118</v>
      </c>
      <c r="AI438" t="s">
        <v>117</v>
      </c>
      <c r="AJ438" s="8" t="str">
        <f>"62232"</f>
        <v>62232</v>
      </c>
      <c r="AK438" t="s">
        <v>118</v>
      </c>
      <c r="AM438" s="10">
        <v>16183989000</v>
      </c>
      <c r="AO438" t="s">
        <v>5256</v>
      </c>
      <c r="AP438" t="s">
        <v>248</v>
      </c>
      <c r="AQ438" t="s">
        <v>3017</v>
      </c>
      <c r="AR438" t="s">
        <v>3018</v>
      </c>
      <c r="AS438" t="s">
        <v>631</v>
      </c>
      <c r="AT438" t="s">
        <v>3371</v>
      </c>
      <c r="AV438" t="s">
        <v>1168</v>
      </c>
      <c r="AW438" t="s">
        <v>127</v>
      </c>
      <c r="AX438" s="8" t="str">
        <f>"75098"</f>
        <v>75098</v>
      </c>
      <c r="AY438" t="s">
        <v>118</v>
      </c>
      <c r="BA438" s="10">
        <v>19724424244</v>
      </c>
      <c r="BC438" t="s">
        <v>3372</v>
      </c>
      <c r="BD438" t="s">
        <v>3021</v>
      </c>
      <c r="BG438" t="s">
        <v>117</v>
      </c>
      <c r="BH438" s="1">
        <v>45243.791666666664</v>
      </c>
      <c r="BI438">
        <v>40</v>
      </c>
      <c r="BJ438">
        <v>0</v>
      </c>
      <c r="BK438">
        <v>8</v>
      </c>
      <c r="BL438">
        <v>8</v>
      </c>
      <c r="BM438">
        <v>8</v>
      </c>
      <c r="BN438">
        <v>8</v>
      </c>
      <c r="BO438">
        <v>8</v>
      </c>
      <c r="BP438">
        <v>0</v>
      </c>
      <c r="BQ438" t="str">
        <f>"6:30 AM"</f>
        <v>6:30 AM</v>
      </c>
      <c r="BR438" t="str">
        <f>"3:30 PM"</f>
        <v>3:30 PM</v>
      </c>
      <c r="BS438" t="s">
        <v>131</v>
      </c>
      <c r="BT438">
        <v>0</v>
      </c>
      <c r="BU438">
        <v>0</v>
      </c>
      <c r="BV438" t="s">
        <v>114</v>
      </c>
      <c r="BX438" t="s">
        <v>1480</v>
      </c>
      <c r="BY438" t="s">
        <v>13630</v>
      </c>
      <c r="CA438" t="s">
        <v>5118</v>
      </c>
      <c r="CB438" t="s">
        <v>117</v>
      </c>
      <c r="CC438" s="8" t="str">
        <f>"62232"</f>
        <v>62232</v>
      </c>
      <c r="CD438" t="s">
        <v>3271</v>
      </c>
      <c r="CE438" t="s">
        <v>1856</v>
      </c>
      <c r="CF438" s="12">
        <v>17.579999999999998</v>
      </c>
      <c r="CG438" s="12">
        <v>19.579999999999998</v>
      </c>
      <c r="CH438" s="12">
        <v>26.37</v>
      </c>
      <c r="CI438" s="12">
        <v>29.37</v>
      </c>
      <c r="CJ438" t="s">
        <v>135</v>
      </c>
      <c r="CL438" t="s">
        <v>21008</v>
      </c>
      <c r="CO438" t="s">
        <v>132</v>
      </c>
      <c r="CP438" t="s">
        <v>136</v>
      </c>
      <c r="CQ438" t="s">
        <v>136</v>
      </c>
      <c r="CR438" t="s">
        <v>136</v>
      </c>
      <c r="CS438" t="s">
        <v>136</v>
      </c>
      <c r="CT438" t="s">
        <v>136</v>
      </c>
      <c r="CU438" t="s">
        <v>136</v>
      </c>
      <c r="CV438" t="s">
        <v>17738</v>
      </c>
      <c r="CW438" s="10" t="str">
        <f>"+16183989000"</f>
        <v>+16183989000</v>
      </c>
      <c r="CX438" t="s">
        <v>132</v>
      </c>
      <c r="CY438" t="s">
        <v>21009</v>
      </c>
      <c r="CZ438" t="s">
        <v>137</v>
      </c>
      <c r="DA438" t="s">
        <v>114</v>
      </c>
      <c r="DB438" t="s">
        <v>114</v>
      </c>
      <c r="DC438" t="s">
        <v>136</v>
      </c>
      <c r="DD438" t="s">
        <v>114</v>
      </c>
    </row>
    <row r="439" spans="1:113" ht="15" customHeight="1" x14ac:dyDescent="0.25">
      <c r="A439" t="s">
        <v>20076</v>
      </c>
      <c r="B439" t="s">
        <v>152</v>
      </c>
      <c r="C439" s="1">
        <v>45243.416503703702</v>
      </c>
      <c r="D439" s="1">
        <v>45272</v>
      </c>
      <c r="E439" t="s">
        <v>132</v>
      </c>
      <c r="F439" t="s">
        <v>4986</v>
      </c>
      <c r="G439" t="str">
        <f>"37-3011.00"</f>
        <v>37-3011.00</v>
      </c>
      <c r="H439" t="s">
        <v>429</v>
      </c>
      <c r="I439">
        <v>23</v>
      </c>
      <c r="J439">
        <v>23</v>
      </c>
      <c r="K439" s="1">
        <v>45333</v>
      </c>
      <c r="L439" s="1">
        <v>45637</v>
      </c>
      <c r="M439" s="1">
        <v>45333</v>
      </c>
      <c r="N439" s="1">
        <v>45637</v>
      </c>
      <c r="O439" t="s">
        <v>116</v>
      </c>
      <c r="P439" t="s">
        <v>20077</v>
      </c>
      <c r="R439" t="s">
        <v>20078</v>
      </c>
      <c r="T439" t="s">
        <v>7277</v>
      </c>
      <c r="U439" t="s">
        <v>1734</v>
      </c>
      <c r="V439" s="8" t="str">
        <f>"66062"</f>
        <v>66062</v>
      </c>
      <c r="W439" t="s">
        <v>118</v>
      </c>
      <c r="Y439" s="10">
        <v>19138298181</v>
      </c>
      <c r="AA439">
        <v>56173</v>
      </c>
      <c r="AB439" t="s">
        <v>16224</v>
      </c>
      <c r="AC439" t="s">
        <v>145</v>
      </c>
      <c r="AE439" t="s">
        <v>405</v>
      </c>
      <c r="AF439" t="s">
        <v>20078</v>
      </c>
      <c r="AH439" t="s">
        <v>7277</v>
      </c>
      <c r="AI439" t="s">
        <v>1734</v>
      </c>
      <c r="AJ439" s="8" t="str">
        <f>"66062"</f>
        <v>66062</v>
      </c>
      <c r="AK439" t="s">
        <v>118</v>
      </c>
      <c r="AM439" s="10">
        <v>19138298181</v>
      </c>
      <c r="AO439" t="s">
        <v>132</v>
      </c>
      <c r="AP439" t="s">
        <v>248</v>
      </c>
      <c r="AQ439" t="s">
        <v>673</v>
      </c>
      <c r="AR439" t="s">
        <v>674</v>
      </c>
      <c r="AT439" t="s">
        <v>579</v>
      </c>
      <c r="AV439" t="s">
        <v>580</v>
      </c>
      <c r="AW439" t="s">
        <v>581</v>
      </c>
      <c r="AX439" s="8" t="str">
        <f>"22903"</f>
        <v>22903</v>
      </c>
      <c r="AY439" t="s">
        <v>118</v>
      </c>
      <c r="BA439" s="10">
        <v>14342634300</v>
      </c>
      <c r="BC439" t="s">
        <v>675</v>
      </c>
      <c r="BD439" t="s">
        <v>583</v>
      </c>
      <c r="BG439" t="s">
        <v>1734</v>
      </c>
      <c r="BH439" s="1">
        <v>45242.791666666664</v>
      </c>
      <c r="BI439">
        <v>40</v>
      </c>
      <c r="BJ439">
        <v>0</v>
      </c>
      <c r="BK439">
        <v>8</v>
      </c>
      <c r="BL439">
        <v>8</v>
      </c>
      <c r="BM439">
        <v>8</v>
      </c>
      <c r="BN439">
        <v>8</v>
      </c>
      <c r="BO439">
        <v>8</v>
      </c>
      <c r="BP439">
        <v>0</v>
      </c>
      <c r="BQ439" t="str">
        <f>"8:00 AM"</f>
        <v>8:00 AM</v>
      </c>
      <c r="BR439" t="str">
        <f>"5:00 PM"</f>
        <v>5:00 PM</v>
      </c>
      <c r="BS439" t="s">
        <v>131</v>
      </c>
      <c r="BT439">
        <v>0</v>
      </c>
      <c r="BU439">
        <v>3</v>
      </c>
      <c r="BV439" t="s">
        <v>114</v>
      </c>
      <c r="BX439" s="2" t="s">
        <v>20079</v>
      </c>
      <c r="BY439" t="s">
        <v>20080</v>
      </c>
      <c r="CA439" t="s">
        <v>7277</v>
      </c>
      <c r="CB439" t="s">
        <v>1734</v>
      </c>
      <c r="CC439" s="8" t="str">
        <f>"66062"</f>
        <v>66062</v>
      </c>
      <c r="CD439" t="s">
        <v>1969</v>
      </c>
      <c r="CE439" t="s">
        <v>2431</v>
      </c>
      <c r="CF439" s="12">
        <v>17.97</v>
      </c>
      <c r="CG439" s="12">
        <v>17.97</v>
      </c>
      <c r="CH439" s="12">
        <v>26.96</v>
      </c>
      <c r="CI439" s="12">
        <v>26.96</v>
      </c>
      <c r="CJ439" t="s">
        <v>135</v>
      </c>
      <c r="CK439" t="s">
        <v>590</v>
      </c>
      <c r="CL439" t="s">
        <v>20081</v>
      </c>
      <c r="CO439" t="s">
        <v>132</v>
      </c>
      <c r="CP439" t="s">
        <v>136</v>
      </c>
      <c r="CQ439" t="s">
        <v>114</v>
      </c>
      <c r="CR439" t="s">
        <v>136</v>
      </c>
      <c r="CS439" t="s">
        <v>114</v>
      </c>
      <c r="CT439" t="s">
        <v>136</v>
      </c>
      <c r="CU439" t="s">
        <v>136</v>
      </c>
      <c r="CV439" t="s">
        <v>20082</v>
      </c>
      <c r="CW439" s="10" t="str">
        <f>"N/A"</f>
        <v>N/A</v>
      </c>
      <c r="CX439" t="s">
        <v>20083</v>
      </c>
      <c r="CY439" t="s">
        <v>5126</v>
      </c>
      <c r="CZ439" t="s">
        <v>137</v>
      </c>
      <c r="DA439" t="s">
        <v>114</v>
      </c>
      <c r="DB439" t="s">
        <v>114</v>
      </c>
      <c r="DC439" t="s">
        <v>136</v>
      </c>
      <c r="DD439" t="s">
        <v>114</v>
      </c>
      <c r="DE439" t="s">
        <v>673</v>
      </c>
      <c r="DF439" t="s">
        <v>674</v>
      </c>
      <c r="DH439" t="s">
        <v>583</v>
      </c>
      <c r="DI439" t="s">
        <v>675</v>
      </c>
    </row>
    <row r="440" spans="1:113" ht="15" customHeight="1" x14ac:dyDescent="0.25">
      <c r="A440" t="s">
        <v>13748</v>
      </c>
      <c r="B440" t="s">
        <v>152</v>
      </c>
      <c r="C440" s="1">
        <v>45236.628468171293</v>
      </c>
      <c r="D440" s="1">
        <v>45272</v>
      </c>
      <c r="E440" t="s">
        <v>132</v>
      </c>
      <c r="F440" t="s">
        <v>1689</v>
      </c>
      <c r="G440" t="str">
        <f>"37-2012.00"</f>
        <v>37-2012.00</v>
      </c>
      <c r="H440" t="s">
        <v>205</v>
      </c>
      <c r="I440">
        <v>290</v>
      </c>
      <c r="J440">
        <v>290</v>
      </c>
      <c r="K440" s="1">
        <v>45323</v>
      </c>
      <c r="L440" s="1">
        <v>45626</v>
      </c>
      <c r="M440" s="1">
        <v>45323</v>
      </c>
      <c r="N440" s="1">
        <v>45626</v>
      </c>
      <c r="O440" t="s">
        <v>116</v>
      </c>
      <c r="P440" t="s">
        <v>13749</v>
      </c>
      <c r="R440" t="s">
        <v>5513</v>
      </c>
      <c r="T440" t="s">
        <v>5514</v>
      </c>
      <c r="U440" t="s">
        <v>333</v>
      </c>
      <c r="V440" s="8" t="str">
        <f>"70461"</f>
        <v>70461</v>
      </c>
      <c r="W440" t="s">
        <v>118</v>
      </c>
      <c r="Y440" s="10">
        <v>19852646243</v>
      </c>
      <c r="AA440">
        <v>561720</v>
      </c>
      <c r="AB440" t="s">
        <v>380</v>
      </c>
      <c r="AC440" t="s">
        <v>2919</v>
      </c>
      <c r="AE440" t="s">
        <v>3588</v>
      </c>
      <c r="AF440" t="s">
        <v>5515</v>
      </c>
      <c r="AH440" t="s">
        <v>5514</v>
      </c>
      <c r="AI440" t="s">
        <v>333</v>
      </c>
      <c r="AJ440" s="8" t="str">
        <f>"70461"</f>
        <v>70461</v>
      </c>
      <c r="AK440" t="s">
        <v>118</v>
      </c>
      <c r="AM440" s="10">
        <v>19852646243</v>
      </c>
      <c r="AO440" t="s">
        <v>5516</v>
      </c>
      <c r="AP440" t="s">
        <v>121</v>
      </c>
      <c r="AQ440" t="s">
        <v>2603</v>
      </c>
      <c r="AR440" t="s">
        <v>2604</v>
      </c>
      <c r="AS440" t="s">
        <v>931</v>
      </c>
      <c r="AT440" t="s">
        <v>2605</v>
      </c>
      <c r="AU440" t="s">
        <v>2606</v>
      </c>
      <c r="AV440" t="s">
        <v>2607</v>
      </c>
      <c r="AW440" t="s">
        <v>2608</v>
      </c>
      <c r="AX440" s="8" t="str">
        <f>"73069"</f>
        <v>73069</v>
      </c>
      <c r="AY440" t="s">
        <v>118</v>
      </c>
      <c r="BA440" s="10">
        <v>14053642525</v>
      </c>
      <c r="BC440" t="s">
        <v>2609</v>
      </c>
      <c r="BD440" t="s">
        <v>2610</v>
      </c>
      <c r="BE440" t="s">
        <v>2608</v>
      </c>
      <c r="BF440" t="s">
        <v>2611</v>
      </c>
      <c r="BG440" t="s">
        <v>386</v>
      </c>
      <c r="BH440" s="1">
        <v>45232.833333333336</v>
      </c>
      <c r="BI440">
        <v>56</v>
      </c>
      <c r="BJ440">
        <v>8</v>
      </c>
      <c r="BK440">
        <v>8</v>
      </c>
      <c r="BL440">
        <v>8</v>
      </c>
      <c r="BM440">
        <v>8</v>
      </c>
      <c r="BN440">
        <v>8</v>
      </c>
      <c r="BO440">
        <v>8</v>
      </c>
      <c r="BP440">
        <v>8</v>
      </c>
      <c r="BQ440" t="str">
        <f>"8:00 AM"</f>
        <v>8:00 AM</v>
      </c>
      <c r="BR440" t="str">
        <f>"10:00 PM"</f>
        <v>10:00 PM</v>
      </c>
      <c r="BS440" t="s">
        <v>131</v>
      </c>
      <c r="BT440">
        <v>0</v>
      </c>
      <c r="BU440">
        <v>0</v>
      </c>
      <c r="BV440" t="s">
        <v>114</v>
      </c>
      <c r="BX440" s="2" t="s">
        <v>5517</v>
      </c>
      <c r="BY440" t="s">
        <v>13750</v>
      </c>
      <c r="BZ440" t="s">
        <v>13751</v>
      </c>
      <c r="CA440" t="s">
        <v>5615</v>
      </c>
      <c r="CB440" t="s">
        <v>386</v>
      </c>
      <c r="CC440" s="8" t="str">
        <f>"37203"</f>
        <v>37203</v>
      </c>
      <c r="CD440" t="s">
        <v>4507</v>
      </c>
      <c r="CE440" t="s">
        <v>3752</v>
      </c>
      <c r="CF440" s="12">
        <v>13.44</v>
      </c>
      <c r="CG440" s="12">
        <v>13.44</v>
      </c>
      <c r="CH440" s="12">
        <v>20.16</v>
      </c>
      <c r="CI440" s="12">
        <v>20.16</v>
      </c>
      <c r="CJ440" t="s">
        <v>135</v>
      </c>
      <c r="CL440" t="s">
        <v>13752</v>
      </c>
      <c r="CO440" t="s">
        <v>132</v>
      </c>
      <c r="CP440" t="s">
        <v>136</v>
      </c>
      <c r="CQ440" t="s">
        <v>114</v>
      </c>
      <c r="CR440" t="s">
        <v>136</v>
      </c>
      <c r="CS440" t="s">
        <v>114</v>
      </c>
      <c r="CT440" t="s">
        <v>136</v>
      </c>
      <c r="CU440" t="s">
        <v>136</v>
      </c>
      <c r="CV440" s="2" t="s">
        <v>13753</v>
      </c>
      <c r="CW440" s="10" t="str">
        <f>"+16152538920"</f>
        <v>+16152538920</v>
      </c>
      <c r="CX440" t="s">
        <v>5516</v>
      </c>
      <c r="CY440" t="s">
        <v>132</v>
      </c>
      <c r="CZ440" t="s">
        <v>137</v>
      </c>
      <c r="DA440" t="s">
        <v>114</v>
      </c>
      <c r="DB440" t="s">
        <v>114</v>
      </c>
      <c r="DC440" t="s">
        <v>136</v>
      </c>
      <c r="DD440" t="s">
        <v>114</v>
      </c>
    </row>
    <row r="441" spans="1:113" ht="15" customHeight="1" x14ac:dyDescent="0.25">
      <c r="A441" t="s">
        <v>2229</v>
      </c>
      <c r="B441" t="s">
        <v>152</v>
      </c>
      <c r="C441" s="1">
        <v>45236.533517129632</v>
      </c>
      <c r="D441" s="1">
        <v>45272</v>
      </c>
      <c r="E441" t="s">
        <v>132</v>
      </c>
      <c r="F441" t="s">
        <v>2230</v>
      </c>
      <c r="G441" t="str">
        <f>"37-3011.00"</f>
        <v>37-3011.00</v>
      </c>
      <c r="H441" t="s">
        <v>429</v>
      </c>
      <c r="I441">
        <v>10</v>
      </c>
      <c r="J441">
        <v>10</v>
      </c>
      <c r="K441" s="1">
        <v>45323</v>
      </c>
      <c r="L441" s="1">
        <v>45626</v>
      </c>
      <c r="M441" s="1">
        <v>45323</v>
      </c>
      <c r="N441" s="1">
        <v>45626</v>
      </c>
      <c r="O441" t="s">
        <v>116</v>
      </c>
      <c r="P441" t="s">
        <v>2231</v>
      </c>
      <c r="R441" t="s">
        <v>2232</v>
      </c>
      <c r="T441" t="s">
        <v>2233</v>
      </c>
      <c r="U441" t="s">
        <v>1776</v>
      </c>
      <c r="V441" s="8" t="str">
        <f>"08062"</f>
        <v>08062</v>
      </c>
      <c r="W441" t="s">
        <v>118</v>
      </c>
      <c r="Y441" s="10">
        <v>18564675500</v>
      </c>
      <c r="AA441">
        <v>56173</v>
      </c>
      <c r="AB441" t="s">
        <v>2234</v>
      </c>
      <c r="AC441" t="s">
        <v>1328</v>
      </c>
      <c r="AE441" t="s">
        <v>120</v>
      </c>
      <c r="AF441" t="s">
        <v>2232</v>
      </c>
      <c r="AH441" t="s">
        <v>2233</v>
      </c>
      <c r="AI441" t="s">
        <v>1776</v>
      </c>
      <c r="AJ441" s="8" t="str">
        <f>"08062"</f>
        <v>08062</v>
      </c>
      <c r="AK441" t="s">
        <v>118</v>
      </c>
      <c r="AM441" s="10">
        <v>18564675500</v>
      </c>
      <c r="AO441" t="s">
        <v>2235</v>
      </c>
      <c r="AP441" t="s">
        <v>121</v>
      </c>
      <c r="AQ441" t="s">
        <v>2236</v>
      </c>
      <c r="AR441" t="s">
        <v>2237</v>
      </c>
      <c r="AS441" t="s">
        <v>2238</v>
      </c>
      <c r="AT441" t="s">
        <v>2239</v>
      </c>
      <c r="AV441" t="s">
        <v>1426</v>
      </c>
      <c r="AW441" t="s">
        <v>1427</v>
      </c>
      <c r="AX441" s="8" t="str">
        <f>"19901"</f>
        <v>19901</v>
      </c>
      <c r="AY441" t="s">
        <v>118</v>
      </c>
      <c r="BA441" s="10">
        <v>16103485354</v>
      </c>
      <c r="BC441" t="s">
        <v>2240</v>
      </c>
      <c r="BD441" t="s">
        <v>2241</v>
      </c>
      <c r="BE441" t="s">
        <v>434</v>
      </c>
      <c r="BF441" t="s">
        <v>2242</v>
      </c>
      <c r="BG441" t="s">
        <v>1776</v>
      </c>
      <c r="BH441" s="1">
        <v>45235.791666666664</v>
      </c>
      <c r="BI441">
        <v>50</v>
      </c>
      <c r="BJ441">
        <v>0</v>
      </c>
      <c r="BK441">
        <v>8</v>
      </c>
      <c r="BL441">
        <v>8</v>
      </c>
      <c r="BM441">
        <v>8</v>
      </c>
      <c r="BN441">
        <v>8</v>
      </c>
      <c r="BO441">
        <v>8</v>
      </c>
      <c r="BP441">
        <v>10</v>
      </c>
      <c r="BQ441" t="str">
        <f>"6:00 AM"</f>
        <v>6:00 AM</v>
      </c>
      <c r="BR441" t="str">
        <f>"3:00 PM"</f>
        <v>3:00 PM</v>
      </c>
      <c r="BS441" t="s">
        <v>131</v>
      </c>
      <c r="BT441">
        <v>0</v>
      </c>
      <c r="BU441">
        <v>0</v>
      </c>
      <c r="BV441" t="s">
        <v>114</v>
      </c>
      <c r="BX441" s="2" t="s">
        <v>2243</v>
      </c>
      <c r="BY441" t="s">
        <v>2232</v>
      </c>
      <c r="CA441" t="s">
        <v>2233</v>
      </c>
      <c r="CB441" t="s">
        <v>1776</v>
      </c>
      <c r="CC441" s="8" t="str">
        <f>"08062"</f>
        <v>08062</v>
      </c>
      <c r="CD441" t="s">
        <v>2244</v>
      </c>
      <c r="CE441" t="s">
        <v>443</v>
      </c>
      <c r="CF441" s="12">
        <v>18.79</v>
      </c>
      <c r="CG441" s="12">
        <v>18.79</v>
      </c>
      <c r="CH441" s="12">
        <v>28.19</v>
      </c>
      <c r="CI441" s="12">
        <v>28.19</v>
      </c>
      <c r="CJ441" t="s">
        <v>135</v>
      </c>
      <c r="CL441" t="s">
        <v>2245</v>
      </c>
      <c r="CO441" t="s">
        <v>132</v>
      </c>
      <c r="CP441" t="s">
        <v>136</v>
      </c>
      <c r="CQ441" t="s">
        <v>136</v>
      </c>
      <c r="CR441" t="s">
        <v>136</v>
      </c>
      <c r="CS441" t="s">
        <v>136</v>
      </c>
      <c r="CT441" t="s">
        <v>136</v>
      </c>
      <c r="CU441" t="s">
        <v>114</v>
      </c>
      <c r="CV441" t="s">
        <v>2246</v>
      </c>
      <c r="CW441" s="10" t="str">
        <f>"+18564675500"</f>
        <v>+18564675500</v>
      </c>
      <c r="CX441" t="s">
        <v>2235</v>
      </c>
      <c r="CY441" t="s">
        <v>132</v>
      </c>
      <c r="CZ441" t="s">
        <v>137</v>
      </c>
      <c r="DA441" t="s">
        <v>114</v>
      </c>
      <c r="DB441" t="s">
        <v>114</v>
      </c>
      <c r="DC441" t="s">
        <v>136</v>
      </c>
      <c r="DD441" t="s">
        <v>114</v>
      </c>
    </row>
    <row r="442" spans="1:113" ht="15" customHeight="1" x14ac:dyDescent="0.25">
      <c r="A442" t="s">
        <v>22850</v>
      </c>
      <c r="B442" t="s">
        <v>152</v>
      </c>
      <c r="C442" s="1">
        <v>45226.613841087965</v>
      </c>
      <c r="D442" s="1">
        <v>45272</v>
      </c>
      <c r="E442" t="s">
        <v>132</v>
      </c>
      <c r="F442" t="s">
        <v>5756</v>
      </c>
      <c r="G442" t="str">
        <f>"35-2014.00"</f>
        <v>35-2014.00</v>
      </c>
      <c r="H442" t="s">
        <v>154</v>
      </c>
      <c r="I442">
        <v>10</v>
      </c>
      <c r="J442">
        <v>10</v>
      </c>
      <c r="K442" s="1">
        <v>45301</v>
      </c>
      <c r="L442" s="1">
        <v>45432</v>
      </c>
      <c r="M442" s="1">
        <v>45301</v>
      </c>
      <c r="N442" s="1">
        <v>45432</v>
      </c>
      <c r="O442" t="s">
        <v>116</v>
      </c>
      <c r="P442" t="s">
        <v>3334</v>
      </c>
      <c r="Q442" t="s">
        <v>3335</v>
      </c>
      <c r="R442" t="s">
        <v>3336</v>
      </c>
      <c r="T442" t="s">
        <v>1209</v>
      </c>
      <c r="U442" t="s">
        <v>140</v>
      </c>
      <c r="V442" s="8" t="str">
        <f>"33480"</f>
        <v>33480</v>
      </c>
      <c r="W442" t="s">
        <v>118</v>
      </c>
      <c r="Y442" s="10">
        <v>15615406700</v>
      </c>
      <c r="AA442">
        <v>72111</v>
      </c>
      <c r="AB442" t="s">
        <v>3337</v>
      </c>
      <c r="AC442" t="s">
        <v>3338</v>
      </c>
      <c r="AE442" t="s">
        <v>3339</v>
      </c>
      <c r="AF442" t="s">
        <v>3336</v>
      </c>
      <c r="AH442" t="s">
        <v>1209</v>
      </c>
      <c r="AI442" t="s">
        <v>140</v>
      </c>
      <c r="AJ442" s="8" t="str">
        <f>"33480"</f>
        <v>33480</v>
      </c>
      <c r="AK442" t="s">
        <v>118</v>
      </c>
      <c r="AM442" s="10">
        <v>15615406700</v>
      </c>
      <c r="AO442" t="s">
        <v>132</v>
      </c>
      <c r="AP442" t="s">
        <v>121</v>
      </c>
      <c r="AQ442" t="s">
        <v>1215</v>
      </c>
      <c r="AR442" t="s">
        <v>1216</v>
      </c>
      <c r="AS442" t="s">
        <v>1217</v>
      </c>
      <c r="AT442" t="s">
        <v>1433</v>
      </c>
      <c r="AU442" t="s">
        <v>1219</v>
      </c>
      <c r="AV442" t="s">
        <v>1220</v>
      </c>
      <c r="AW442" t="s">
        <v>358</v>
      </c>
      <c r="AX442" s="8" t="str">
        <f>"10036"</f>
        <v>10036</v>
      </c>
      <c r="AY442" t="s">
        <v>118</v>
      </c>
      <c r="BA442" s="10">
        <v>12123247280</v>
      </c>
      <c r="BC442" t="s">
        <v>1221</v>
      </c>
      <c r="BD442" t="s">
        <v>1222</v>
      </c>
      <c r="BE442" t="s">
        <v>375</v>
      </c>
      <c r="BF442" t="s">
        <v>1223</v>
      </c>
      <c r="BG442" t="s">
        <v>140</v>
      </c>
      <c r="BH442" s="1">
        <v>45222.833333333336</v>
      </c>
      <c r="BI442">
        <v>35</v>
      </c>
      <c r="BJ442">
        <v>5</v>
      </c>
      <c r="BK442">
        <v>5</v>
      </c>
      <c r="BL442">
        <v>5</v>
      </c>
      <c r="BM442">
        <v>5</v>
      </c>
      <c r="BN442">
        <v>5</v>
      </c>
      <c r="BO442">
        <v>5</v>
      </c>
      <c r="BP442">
        <v>5</v>
      </c>
      <c r="BQ442" t="str">
        <f>"6:00 AM"</f>
        <v>6:00 AM</v>
      </c>
      <c r="BR442" t="str">
        <f>"10:00 PM"</f>
        <v>10:00 PM</v>
      </c>
      <c r="BS442" t="s">
        <v>131</v>
      </c>
      <c r="BT442">
        <v>0</v>
      </c>
      <c r="BU442">
        <v>6</v>
      </c>
      <c r="BV442" t="s">
        <v>114</v>
      </c>
      <c r="BX442" s="2" t="s">
        <v>22851</v>
      </c>
      <c r="BY442" t="s">
        <v>3336</v>
      </c>
      <c r="CA442" t="s">
        <v>1209</v>
      </c>
      <c r="CB442" t="s">
        <v>140</v>
      </c>
      <c r="CC442" s="8" t="str">
        <f>"33480"</f>
        <v>33480</v>
      </c>
      <c r="CD442" t="s">
        <v>767</v>
      </c>
      <c r="CE442" t="s">
        <v>149</v>
      </c>
      <c r="CF442" s="12">
        <v>16.91</v>
      </c>
      <c r="CH442" s="12">
        <v>25.37</v>
      </c>
      <c r="CJ442" t="s">
        <v>6130</v>
      </c>
      <c r="CK442" t="s">
        <v>3341</v>
      </c>
      <c r="CL442" t="s">
        <v>22852</v>
      </c>
      <c r="CM442" t="s">
        <v>22853</v>
      </c>
      <c r="CO442" t="s">
        <v>136</v>
      </c>
      <c r="CP442" t="s">
        <v>114</v>
      </c>
      <c r="CQ442" t="s">
        <v>136</v>
      </c>
      <c r="CR442" t="s">
        <v>136</v>
      </c>
      <c r="CS442" t="s">
        <v>136</v>
      </c>
      <c r="CT442" t="s">
        <v>136</v>
      </c>
      <c r="CU442" t="s">
        <v>136</v>
      </c>
      <c r="CV442" t="s">
        <v>3343</v>
      </c>
      <c r="CW442" s="10" t="str">
        <f>"+15616592233"</f>
        <v>+15616592233</v>
      </c>
      <c r="CX442" t="s">
        <v>1228</v>
      </c>
      <c r="CY442" t="s">
        <v>132</v>
      </c>
      <c r="CZ442" t="s">
        <v>137</v>
      </c>
      <c r="DA442" t="s">
        <v>114</v>
      </c>
      <c r="DB442" t="s">
        <v>136</v>
      </c>
      <c r="DC442" t="s">
        <v>136</v>
      </c>
      <c r="DD442" t="s">
        <v>114</v>
      </c>
    </row>
    <row r="443" spans="1:113" ht="15" customHeight="1" x14ac:dyDescent="0.25">
      <c r="A443" t="s">
        <v>3331</v>
      </c>
      <c r="B443" t="s">
        <v>152</v>
      </c>
      <c r="C443" s="1">
        <v>45226.594109490739</v>
      </c>
      <c r="D443" s="1">
        <v>45272</v>
      </c>
      <c r="E443" t="s">
        <v>132</v>
      </c>
      <c r="F443" t="s">
        <v>3332</v>
      </c>
      <c r="G443" t="str">
        <f>"39-6011.00"</f>
        <v>39-6011.00</v>
      </c>
      <c r="H443" t="s">
        <v>3333</v>
      </c>
      <c r="I443">
        <v>10</v>
      </c>
      <c r="J443">
        <v>10</v>
      </c>
      <c r="K443" s="1">
        <v>45301</v>
      </c>
      <c r="L443" s="1">
        <v>45432</v>
      </c>
      <c r="M443" s="1">
        <v>45301</v>
      </c>
      <c r="N443" s="1">
        <v>45432</v>
      </c>
      <c r="O443" t="s">
        <v>116</v>
      </c>
      <c r="P443" t="s">
        <v>3334</v>
      </c>
      <c r="Q443" t="s">
        <v>3335</v>
      </c>
      <c r="R443" t="s">
        <v>3336</v>
      </c>
      <c r="T443" t="s">
        <v>1209</v>
      </c>
      <c r="U443" t="s">
        <v>140</v>
      </c>
      <c r="V443" s="8" t="str">
        <f>"33480"</f>
        <v>33480</v>
      </c>
      <c r="W443" t="s">
        <v>118</v>
      </c>
      <c r="Y443" s="10">
        <v>15615406700</v>
      </c>
      <c r="AA443">
        <v>72111</v>
      </c>
      <c r="AB443" t="s">
        <v>3337</v>
      </c>
      <c r="AC443" t="s">
        <v>3338</v>
      </c>
      <c r="AE443" t="s">
        <v>3339</v>
      </c>
      <c r="AF443" t="s">
        <v>3336</v>
      </c>
      <c r="AH443" t="s">
        <v>1209</v>
      </c>
      <c r="AI443" t="s">
        <v>140</v>
      </c>
      <c r="AJ443" s="8" t="str">
        <f>"33480"</f>
        <v>33480</v>
      </c>
      <c r="AK443" t="s">
        <v>118</v>
      </c>
      <c r="AM443" s="10">
        <v>15615406700</v>
      </c>
      <c r="AO443" t="s">
        <v>132</v>
      </c>
      <c r="AP443" t="s">
        <v>121</v>
      </c>
      <c r="AQ443" t="s">
        <v>1215</v>
      </c>
      <c r="AR443" t="s">
        <v>1216</v>
      </c>
      <c r="AS443" t="s">
        <v>1217</v>
      </c>
      <c r="AT443" t="s">
        <v>1433</v>
      </c>
      <c r="AU443" t="s">
        <v>1219</v>
      </c>
      <c r="AV443" t="s">
        <v>1220</v>
      </c>
      <c r="AW443" t="s">
        <v>358</v>
      </c>
      <c r="AX443" s="8" t="str">
        <f>"10036"</f>
        <v>10036</v>
      </c>
      <c r="AY443" t="s">
        <v>118</v>
      </c>
      <c r="BA443" s="10">
        <v>12123247280</v>
      </c>
      <c r="BC443" t="s">
        <v>1221</v>
      </c>
      <c r="BD443" t="s">
        <v>1222</v>
      </c>
      <c r="BE443" t="s">
        <v>375</v>
      </c>
      <c r="BF443" t="s">
        <v>1223</v>
      </c>
      <c r="BG443" t="s">
        <v>140</v>
      </c>
      <c r="BH443" s="1">
        <v>45222.833333333336</v>
      </c>
      <c r="BI443">
        <v>35</v>
      </c>
      <c r="BJ443">
        <v>5</v>
      </c>
      <c r="BK443">
        <v>5</v>
      </c>
      <c r="BL443">
        <v>5</v>
      </c>
      <c r="BM443">
        <v>5</v>
      </c>
      <c r="BN443">
        <v>5</v>
      </c>
      <c r="BO443">
        <v>5</v>
      </c>
      <c r="BP443">
        <v>5</v>
      </c>
      <c r="BQ443" t="str">
        <f>"6:00 AM"</f>
        <v>6:00 AM</v>
      </c>
      <c r="BR443" t="str">
        <f>"10:00 PM"</f>
        <v>10:00 PM</v>
      </c>
      <c r="BS443" t="s">
        <v>131</v>
      </c>
      <c r="BT443">
        <v>0</v>
      </c>
      <c r="BU443">
        <v>2</v>
      </c>
      <c r="BV443" t="s">
        <v>114</v>
      </c>
      <c r="BX443" s="2" t="s">
        <v>3340</v>
      </c>
      <c r="BY443" t="s">
        <v>3336</v>
      </c>
      <c r="CA443" t="s">
        <v>1209</v>
      </c>
      <c r="CB443" t="s">
        <v>140</v>
      </c>
      <c r="CC443" s="8" t="str">
        <f>"33480"</f>
        <v>33480</v>
      </c>
      <c r="CD443" t="s">
        <v>767</v>
      </c>
      <c r="CE443" t="s">
        <v>149</v>
      </c>
      <c r="CF443" s="12">
        <v>14.58</v>
      </c>
      <c r="CH443" s="12">
        <v>21.87</v>
      </c>
      <c r="CJ443" t="s">
        <v>135</v>
      </c>
      <c r="CK443" t="s">
        <v>3341</v>
      </c>
      <c r="CL443" t="s">
        <v>3342</v>
      </c>
      <c r="CO443" t="s">
        <v>136</v>
      </c>
      <c r="CP443" t="s">
        <v>114</v>
      </c>
      <c r="CQ443" t="s">
        <v>136</v>
      </c>
      <c r="CR443" t="s">
        <v>136</v>
      </c>
      <c r="CS443" t="s">
        <v>136</v>
      </c>
      <c r="CT443" t="s">
        <v>136</v>
      </c>
      <c r="CU443" t="s">
        <v>136</v>
      </c>
      <c r="CV443" t="s">
        <v>3343</v>
      </c>
      <c r="CW443" s="10" t="str">
        <f>"+15616592233"</f>
        <v>+15616592233</v>
      </c>
      <c r="CX443" t="s">
        <v>1228</v>
      </c>
      <c r="CY443" t="s">
        <v>132</v>
      </c>
      <c r="CZ443" t="s">
        <v>137</v>
      </c>
      <c r="DA443" t="s">
        <v>114</v>
      </c>
      <c r="DB443" t="s">
        <v>136</v>
      </c>
      <c r="DC443" t="s">
        <v>136</v>
      </c>
      <c r="DD443" t="s">
        <v>114</v>
      </c>
    </row>
    <row r="444" spans="1:113" ht="15" customHeight="1" x14ac:dyDescent="0.25">
      <c r="A444" t="s">
        <v>23990</v>
      </c>
      <c r="B444" t="s">
        <v>152</v>
      </c>
      <c r="C444" s="1">
        <v>45217.566620717589</v>
      </c>
      <c r="D444" s="1">
        <v>45272</v>
      </c>
      <c r="E444" t="s">
        <v>132</v>
      </c>
      <c r="F444" t="s">
        <v>4528</v>
      </c>
      <c r="G444" t="str">
        <f>"37-2011.00"</f>
        <v>37-2011.00</v>
      </c>
      <c r="H444" t="s">
        <v>1089</v>
      </c>
      <c r="I444">
        <v>6</v>
      </c>
      <c r="J444">
        <v>6</v>
      </c>
      <c r="K444" s="1">
        <v>45292</v>
      </c>
      <c r="L444" s="1">
        <v>45382</v>
      </c>
      <c r="M444" s="1">
        <v>45292</v>
      </c>
      <c r="N444" s="1">
        <v>45382</v>
      </c>
      <c r="O444" t="s">
        <v>238</v>
      </c>
      <c r="P444" t="s">
        <v>23991</v>
      </c>
      <c r="Q444" t="s">
        <v>23992</v>
      </c>
      <c r="R444" t="s">
        <v>23993</v>
      </c>
      <c r="S444" t="s">
        <v>23994</v>
      </c>
      <c r="T444" t="s">
        <v>3582</v>
      </c>
      <c r="U444" t="s">
        <v>158</v>
      </c>
      <c r="V444" s="8" t="str">
        <f>"48035"</f>
        <v>48035</v>
      </c>
      <c r="W444" t="s">
        <v>118</v>
      </c>
      <c r="Y444" s="10">
        <v>15866845900</v>
      </c>
      <c r="AA444">
        <v>56173</v>
      </c>
      <c r="AB444" t="s">
        <v>23995</v>
      </c>
      <c r="AC444" t="s">
        <v>3485</v>
      </c>
      <c r="AD444" t="s">
        <v>2709</v>
      </c>
      <c r="AE444" t="s">
        <v>561</v>
      </c>
      <c r="AF444" t="s">
        <v>23993</v>
      </c>
      <c r="AG444" t="s">
        <v>23994</v>
      </c>
      <c r="AH444" t="s">
        <v>3582</v>
      </c>
      <c r="AI444" t="s">
        <v>158</v>
      </c>
      <c r="AJ444" s="8" t="str">
        <f>"48035"</f>
        <v>48035</v>
      </c>
      <c r="AK444" t="s">
        <v>118</v>
      </c>
      <c r="AM444" s="10">
        <v>15866845900</v>
      </c>
      <c r="AO444" t="s">
        <v>23996</v>
      </c>
      <c r="AP444" t="s">
        <v>121</v>
      </c>
      <c r="AQ444" t="s">
        <v>23997</v>
      </c>
      <c r="AR444" t="s">
        <v>23998</v>
      </c>
      <c r="AT444" t="s">
        <v>23999</v>
      </c>
      <c r="AV444" t="s">
        <v>2126</v>
      </c>
      <c r="AW444" t="s">
        <v>158</v>
      </c>
      <c r="AX444" s="8" t="str">
        <f>"48084"</f>
        <v>48084</v>
      </c>
      <c r="AY444" t="s">
        <v>118</v>
      </c>
      <c r="BA444" s="10">
        <v>12487922590</v>
      </c>
      <c r="BC444" t="s">
        <v>24000</v>
      </c>
      <c r="BD444" t="s">
        <v>24001</v>
      </c>
      <c r="BE444" t="s">
        <v>158</v>
      </c>
      <c r="BF444" t="s">
        <v>2364</v>
      </c>
      <c r="BG444" t="s">
        <v>158</v>
      </c>
      <c r="BH444" s="1">
        <v>45216.833333333336</v>
      </c>
      <c r="BI444">
        <v>35</v>
      </c>
      <c r="BJ444">
        <v>0</v>
      </c>
      <c r="BK444">
        <v>7</v>
      </c>
      <c r="BL444">
        <v>7</v>
      </c>
      <c r="BM444">
        <v>7</v>
      </c>
      <c r="BN444">
        <v>7</v>
      </c>
      <c r="BO444">
        <v>7</v>
      </c>
      <c r="BP444">
        <v>0</v>
      </c>
      <c r="BQ444" t="str">
        <f>"7:00 AM"</f>
        <v>7:00 AM</v>
      </c>
      <c r="BR444" t="str">
        <f>"3:00 PM"</f>
        <v>3:00 PM</v>
      </c>
      <c r="BS444" t="s">
        <v>131</v>
      </c>
      <c r="BT444">
        <v>0</v>
      </c>
      <c r="BU444">
        <v>0</v>
      </c>
      <c r="BV444" t="s">
        <v>114</v>
      </c>
      <c r="BX444" s="2" t="s">
        <v>24002</v>
      </c>
      <c r="BY444" t="s">
        <v>23993</v>
      </c>
      <c r="BZ444" t="s">
        <v>23994</v>
      </c>
      <c r="CA444" t="s">
        <v>3582</v>
      </c>
      <c r="CB444" t="s">
        <v>158</v>
      </c>
      <c r="CC444" s="8" t="str">
        <f>"48035"</f>
        <v>48035</v>
      </c>
      <c r="CD444" t="s">
        <v>3452</v>
      </c>
      <c r="CE444" t="s">
        <v>2228</v>
      </c>
      <c r="CF444" s="12">
        <v>17.5</v>
      </c>
      <c r="CG444" s="12">
        <v>17.5</v>
      </c>
      <c r="CH444" s="12">
        <v>26.25</v>
      </c>
      <c r="CI444" s="12">
        <v>26.25</v>
      </c>
      <c r="CJ444" t="s">
        <v>135</v>
      </c>
      <c r="CL444" t="s">
        <v>24003</v>
      </c>
      <c r="CO444" t="s">
        <v>132</v>
      </c>
      <c r="CP444" t="s">
        <v>136</v>
      </c>
      <c r="CQ444" t="s">
        <v>136</v>
      </c>
      <c r="CR444" t="s">
        <v>136</v>
      </c>
      <c r="CS444" t="s">
        <v>136</v>
      </c>
      <c r="CT444" t="s">
        <v>136</v>
      </c>
      <c r="CU444" t="s">
        <v>114</v>
      </c>
      <c r="CV444" t="s">
        <v>24004</v>
      </c>
      <c r="CW444" s="10" t="str">
        <f>"+15866845900"</f>
        <v>+15866845900</v>
      </c>
      <c r="CX444" t="s">
        <v>24005</v>
      </c>
      <c r="CY444" t="s">
        <v>132</v>
      </c>
      <c r="CZ444" t="s">
        <v>137</v>
      </c>
      <c r="DA444" t="s">
        <v>114</v>
      </c>
      <c r="DB444" t="s">
        <v>114</v>
      </c>
      <c r="DC444" t="s">
        <v>136</v>
      </c>
      <c r="DD444" t="s">
        <v>114</v>
      </c>
    </row>
    <row r="445" spans="1:113" ht="15" customHeight="1" x14ac:dyDescent="0.25">
      <c r="A445" t="s">
        <v>10966</v>
      </c>
      <c r="B445" t="s">
        <v>152</v>
      </c>
      <c r="C445" s="1">
        <v>45245.727729282407</v>
      </c>
      <c r="D445" s="1">
        <v>45271</v>
      </c>
      <c r="E445" t="s">
        <v>132</v>
      </c>
      <c r="F445" t="s">
        <v>2715</v>
      </c>
      <c r="G445" t="str">
        <f>"39-3091.00"</f>
        <v>39-3091.00</v>
      </c>
      <c r="H445" t="s">
        <v>237</v>
      </c>
      <c r="I445">
        <v>6</v>
      </c>
      <c r="J445">
        <v>6</v>
      </c>
      <c r="K445" s="1">
        <v>45335</v>
      </c>
      <c r="L445" s="1">
        <v>45603</v>
      </c>
      <c r="M445" s="1">
        <v>45335</v>
      </c>
      <c r="N445" s="1">
        <v>45603</v>
      </c>
      <c r="O445" t="s">
        <v>238</v>
      </c>
      <c r="P445" t="s">
        <v>10967</v>
      </c>
      <c r="R445" t="s">
        <v>10968</v>
      </c>
      <c r="S445" t="s">
        <v>10969</v>
      </c>
      <c r="T445" t="s">
        <v>7451</v>
      </c>
      <c r="U445" t="s">
        <v>127</v>
      </c>
      <c r="V445" s="8" t="str">
        <f>"75656"</f>
        <v>75656</v>
      </c>
      <c r="W445" t="s">
        <v>118</v>
      </c>
      <c r="Y445" s="10">
        <v>19034524230</v>
      </c>
      <c r="AA445">
        <v>71399</v>
      </c>
      <c r="AB445" t="s">
        <v>3189</v>
      </c>
      <c r="AC445" t="s">
        <v>2914</v>
      </c>
      <c r="AE445" t="s">
        <v>561</v>
      </c>
      <c r="AF445" t="s">
        <v>10968</v>
      </c>
      <c r="AG445" t="s">
        <v>10969</v>
      </c>
      <c r="AH445" t="s">
        <v>6687</v>
      </c>
      <c r="AI445" t="s">
        <v>127</v>
      </c>
      <c r="AJ445" s="8" t="str">
        <f>"75656"</f>
        <v>75656</v>
      </c>
      <c r="AK445" t="s">
        <v>118</v>
      </c>
      <c r="AM445" s="10">
        <v>19034524230</v>
      </c>
      <c r="AO445" t="s">
        <v>10970</v>
      </c>
      <c r="AP445" t="s">
        <v>248</v>
      </c>
      <c r="AQ445" t="s">
        <v>960</v>
      </c>
      <c r="AR445" t="s">
        <v>961</v>
      </c>
      <c r="AS445" t="s">
        <v>962</v>
      </c>
      <c r="AT445" t="s">
        <v>963</v>
      </c>
      <c r="AU445" t="s">
        <v>296</v>
      </c>
      <c r="AV445" t="s">
        <v>964</v>
      </c>
      <c r="AW445" t="s">
        <v>127</v>
      </c>
      <c r="AX445" s="8" t="str">
        <f>"75033"</f>
        <v>75033</v>
      </c>
      <c r="AY445" t="s">
        <v>118</v>
      </c>
      <c r="BA445" s="10">
        <v>19727789690</v>
      </c>
      <c r="BC445" t="s">
        <v>1388</v>
      </c>
      <c r="BD445" t="s">
        <v>966</v>
      </c>
      <c r="BG445" t="s">
        <v>127</v>
      </c>
      <c r="BH445" s="1">
        <v>45244.791666666664</v>
      </c>
      <c r="BI445">
        <v>40</v>
      </c>
      <c r="BJ445">
        <v>8</v>
      </c>
      <c r="BK445">
        <v>8</v>
      </c>
      <c r="BL445">
        <v>8</v>
      </c>
      <c r="BM445">
        <v>0</v>
      </c>
      <c r="BN445">
        <v>0</v>
      </c>
      <c r="BO445">
        <v>8</v>
      </c>
      <c r="BP445">
        <v>8</v>
      </c>
      <c r="BQ445" t="str">
        <f>"10:00 AM"</f>
        <v>10:00 AM</v>
      </c>
      <c r="BR445" t="str">
        <f>"7:00 PM"</f>
        <v>7:00 PM</v>
      </c>
      <c r="BS445" t="s">
        <v>131</v>
      </c>
      <c r="BT445">
        <v>0</v>
      </c>
      <c r="BU445">
        <v>0</v>
      </c>
      <c r="BV445" t="s">
        <v>114</v>
      </c>
      <c r="BX445" t="s">
        <v>10971</v>
      </c>
      <c r="BY445" t="s">
        <v>10968</v>
      </c>
      <c r="CA445" t="s">
        <v>8105</v>
      </c>
      <c r="CB445" t="s">
        <v>127</v>
      </c>
      <c r="CC445" s="8" t="str">
        <f>"75656"</f>
        <v>75656</v>
      </c>
      <c r="CD445" t="s">
        <v>2776</v>
      </c>
      <c r="CE445" t="s">
        <v>2876</v>
      </c>
      <c r="CF445" s="12">
        <v>10.41</v>
      </c>
      <c r="CG445" s="12">
        <v>15.1</v>
      </c>
      <c r="CH445" s="12">
        <v>20.67</v>
      </c>
      <c r="CI445" s="12">
        <v>22.65</v>
      </c>
      <c r="CJ445" t="s">
        <v>135</v>
      </c>
      <c r="CK445" t="s">
        <v>3772</v>
      </c>
      <c r="CL445" t="s">
        <v>10972</v>
      </c>
      <c r="CM445" t="s">
        <v>10973</v>
      </c>
      <c r="CO445" t="s">
        <v>132</v>
      </c>
      <c r="CP445" t="s">
        <v>136</v>
      </c>
      <c r="CQ445" t="s">
        <v>136</v>
      </c>
      <c r="CR445" t="s">
        <v>136</v>
      </c>
      <c r="CS445" t="s">
        <v>136</v>
      </c>
      <c r="CT445" t="s">
        <v>136</v>
      </c>
      <c r="CU445" t="s">
        <v>136</v>
      </c>
      <c r="CV445" t="s">
        <v>10974</v>
      </c>
      <c r="CW445" s="10" t="str">
        <f>"+19034524230"</f>
        <v>+19034524230</v>
      </c>
      <c r="CX445" t="s">
        <v>132</v>
      </c>
      <c r="CY445" t="s">
        <v>1853</v>
      </c>
      <c r="CZ445" t="s">
        <v>137</v>
      </c>
      <c r="DA445" t="s">
        <v>114</v>
      </c>
      <c r="DB445" t="s">
        <v>136</v>
      </c>
      <c r="DC445" t="s">
        <v>136</v>
      </c>
      <c r="DD445" t="s">
        <v>114</v>
      </c>
    </row>
    <row r="446" spans="1:113" ht="15" customHeight="1" x14ac:dyDescent="0.25">
      <c r="A446" t="s">
        <v>18757</v>
      </c>
      <c r="B446" t="s">
        <v>152</v>
      </c>
      <c r="C446" s="1">
        <v>45244.941937847223</v>
      </c>
      <c r="D446" s="1">
        <v>45271</v>
      </c>
      <c r="E446" t="s">
        <v>132</v>
      </c>
      <c r="F446" t="s">
        <v>293</v>
      </c>
      <c r="G446" t="str">
        <f>"37-2012.00"</f>
        <v>37-2012.00</v>
      </c>
      <c r="H446" t="s">
        <v>205</v>
      </c>
      <c r="I446">
        <v>15</v>
      </c>
      <c r="J446">
        <v>15</v>
      </c>
      <c r="K446" s="1">
        <v>45334</v>
      </c>
      <c r="L446" s="1">
        <v>45596</v>
      </c>
      <c r="M446" s="1">
        <v>45334</v>
      </c>
      <c r="N446" s="1">
        <v>45596</v>
      </c>
      <c r="O446" t="s">
        <v>116</v>
      </c>
      <c r="P446" t="s">
        <v>18758</v>
      </c>
      <c r="Q446" t="s">
        <v>18759</v>
      </c>
      <c r="R446" t="s">
        <v>18760</v>
      </c>
      <c r="T446" t="s">
        <v>18761</v>
      </c>
      <c r="U446" t="s">
        <v>1154</v>
      </c>
      <c r="V446" s="8" t="str">
        <f>"38664"</f>
        <v>38664</v>
      </c>
      <c r="W446" t="s">
        <v>118</v>
      </c>
      <c r="Y446" s="10">
        <v>16623635825</v>
      </c>
      <c r="AA446">
        <v>72112</v>
      </c>
      <c r="AB446" t="s">
        <v>3124</v>
      </c>
      <c r="AC446" t="s">
        <v>18762</v>
      </c>
      <c r="AE446" t="s">
        <v>18763</v>
      </c>
      <c r="AF446" t="s">
        <v>18760</v>
      </c>
      <c r="AH446" t="s">
        <v>18761</v>
      </c>
      <c r="AI446" t="s">
        <v>1154</v>
      </c>
      <c r="AJ446" s="8" t="str">
        <f>"38664"</f>
        <v>38664</v>
      </c>
      <c r="AK446" t="s">
        <v>118</v>
      </c>
      <c r="AM446" s="10">
        <v>16623635825</v>
      </c>
      <c r="AO446" t="s">
        <v>18764</v>
      </c>
      <c r="AP446" t="s">
        <v>248</v>
      </c>
      <c r="AQ446" t="s">
        <v>960</v>
      </c>
      <c r="AR446" t="s">
        <v>961</v>
      </c>
      <c r="AS446" t="s">
        <v>962</v>
      </c>
      <c r="AT446" t="s">
        <v>963</v>
      </c>
      <c r="AU446" t="s">
        <v>296</v>
      </c>
      <c r="AV446" t="s">
        <v>964</v>
      </c>
      <c r="AW446" t="s">
        <v>127</v>
      </c>
      <c r="AX446" s="8" t="str">
        <f>"75033"</f>
        <v>75033</v>
      </c>
      <c r="AY446" t="s">
        <v>118</v>
      </c>
      <c r="BA446" s="10">
        <v>19727789690</v>
      </c>
      <c r="BC446" t="s">
        <v>13914</v>
      </c>
      <c r="BD446" t="s">
        <v>966</v>
      </c>
      <c r="BG446" t="s">
        <v>1154</v>
      </c>
      <c r="BH446" s="1">
        <v>45243.791666666664</v>
      </c>
      <c r="BI446">
        <v>35</v>
      </c>
      <c r="BJ446">
        <v>7</v>
      </c>
      <c r="BK446">
        <v>0</v>
      </c>
      <c r="BL446">
        <v>0</v>
      </c>
      <c r="BM446">
        <v>7</v>
      </c>
      <c r="BN446">
        <v>7</v>
      </c>
      <c r="BO446">
        <v>7</v>
      </c>
      <c r="BP446">
        <v>7</v>
      </c>
      <c r="BQ446" t="str">
        <f>"9:00 AM"</f>
        <v>9:00 AM</v>
      </c>
      <c r="BR446" t="str">
        <f>"5:00 PM"</f>
        <v>5:00 PM</v>
      </c>
      <c r="BS446" t="s">
        <v>131</v>
      </c>
      <c r="BT446">
        <v>0</v>
      </c>
      <c r="BU446">
        <v>0</v>
      </c>
      <c r="BV446" t="s">
        <v>114</v>
      </c>
      <c r="BX446" s="2" t="s">
        <v>18765</v>
      </c>
      <c r="BY446" t="s">
        <v>18760</v>
      </c>
      <c r="CA446" t="s">
        <v>18761</v>
      </c>
      <c r="CB446" t="s">
        <v>1154</v>
      </c>
      <c r="CC446" s="8" t="str">
        <f>"38664"</f>
        <v>38664</v>
      </c>
      <c r="CD446" t="s">
        <v>18766</v>
      </c>
      <c r="CE446" t="s">
        <v>1055</v>
      </c>
      <c r="CF446" s="12">
        <v>13.05</v>
      </c>
      <c r="CH446" s="12">
        <v>19.579999999999998</v>
      </c>
      <c r="CJ446" t="s">
        <v>135</v>
      </c>
      <c r="CK446" t="s">
        <v>2018</v>
      </c>
      <c r="CL446" t="s">
        <v>18767</v>
      </c>
      <c r="CO446" t="s">
        <v>132</v>
      </c>
      <c r="CP446" t="s">
        <v>114</v>
      </c>
      <c r="CQ446" t="s">
        <v>136</v>
      </c>
      <c r="CR446" t="s">
        <v>136</v>
      </c>
      <c r="CS446" t="s">
        <v>136</v>
      </c>
      <c r="CT446" t="s">
        <v>136</v>
      </c>
      <c r="CU446" t="s">
        <v>136</v>
      </c>
      <c r="CV446" t="s">
        <v>9419</v>
      </c>
      <c r="CW446" s="10" t="str">
        <f>"+16623635825"</f>
        <v>+16623635825</v>
      </c>
      <c r="CX446" t="s">
        <v>132</v>
      </c>
      <c r="CY446" t="s">
        <v>18768</v>
      </c>
      <c r="CZ446" t="s">
        <v>137</v>
      </c>
      <c r="DA446" t="s">
        <v>114</v>
      </c>
      <c r="DB446" t="s">
        <v>114</v>
      </c>
      <c r="DC446" t="s">
        <v>136</v>
      </c>
      <c r="DD446" t="s">
        <v>114</v>
      </c>
    </row>
    <row r="447" spans="1:113" ht="15" customHeight="1" x14ac:dyDescent="0.25">
      <c r="A447" t="s">
        <v>12399</v>
      </c>
      <c r="B447" t="s">
        <v>152</v>
      </c>
      <c r="C447" s="1">
        <v>45244.435854513889</v>
      </c>
      <c r="D447" s="1">
        <v>45271</v>
      </c>
      <c r="E447" t="s">
        <v>132</v>
      </c>
      <c r="F447" t="s">
        <v>1595</v>
      </c>
      <c r="G447" t="str">
        <f>"37-3011.00"</f>
        <v>37-3011.00</v>
      </c>
      <c r="H447" t="s">
        <v>429</v>
      </c>
      <c r="I447">
        <v>5</v>
      </c>
      <c r="J447">
        <v>5</v>
      </c>
      <c r="K447" s="1">
        <v>45323</v>
      </c>
      <c r="L447" s="1">
        <v>45565</v>
      </c>
      <c r="M447" s="1">
        <v>45323</v>
      </c>
      <c r="N447" s="1">
        <v>45565</v>
      </c>
      <c r="O447" t="s">
        <v>116</v>
      </c>
      <c r="P447" t="s">
        <v>12400</v>
      </c>
      <c r="Q447" t="s">
        <v>12401</v>
      </c>
      <c r="R447" t="s">
        <v>12402</v>
      </c>
      <c r="S447" t="s">
        <v>12403</v>
      </c>
      <c r="T447" t="s">
        <v>587</v>
      </c>
      <c r="U447" t="s">
        <v>584</v>
      </c>
      <c r="V447" s="8" t="str">
        <f>"83001"</f>
        <v>83001</v>
      </c>
      <c r="W447" t="s">
        <v>118</v>
      </c>
      <c r="Y447" s="10">
        <v>13076908718</v>
      </c>
      <c r="AA447">
        <v>56173</v>
      </c>
      <c r="AB447" t="s">
        <v>12404</v>
      </c>
      <c r="AC447" t="s">
        <v>3198</v>
      </c>
      <c r="AE447" t="s">
        <v>629</v>
      </c>
      <c r="AF447" t="s">
        <v>12402</v>
      </c>
      <c r="AG447" t="s">
        <v>12403</v>
      </c>
      <c r="AH447" t="s">
        <v>587</v>
      </c>
      <c r="AI447" t="s">
        <v>584</v>
      </c>
      <c r="AJ447" s="8" t="str">
        <f>"83001"</f>
        <v>83001</v>
      </c>
      <c r="AK447" t="s">
        <v>118</v>
      </c>
      <c r="AM447" s="10">
        <v>13076908718</v>
      </c>
      <c r="AO447" t="s">
        <v>12405</v>
      </c>
      <c r="AP447" t="s">
        <v>248</v>
      </c>
      <c r="AQ447" t="s">
        <v>3017</v>
      </c>
      <c r="AR447" t="s">
        <v>3018</v>
      </c>
      <c r="AT447" t="s">
        <v>3371</v>
      </c>
      <c r="AV447" t="s">
        <v>1168</v>
      </c>
      <c r="AW447" t="s">
        <v>127</v>
      </c>
      <c r="AX447" s="8" t="str">
        <f>"75098"</f>
        <v>75098</v>
      </c>
      <c r="AY447" t="s">
        <v>118</v>
      </c>
      <c r="BA447" s="10">
        <v>19724424244</v>
      </c>
      <c r="BC447" t="s">
        <v>3372</v>
      </c>
      <c r="BD447" t="s">
        <v>3021</v>
      </c>
      <c r="BG447" t="s">
        <v>584</v>
      </c>
      <c r="BH447" s="1">
        <v>45243.791666666664</v>
      </c>
      <c r="BI447">
        <v>40</v>
      </c>
      <c r="BJ447">
        <v>0</v>
      </c>
      <c r="BK447">
        <v>8</v>
      </c>
      <c r="BL447">
        <v>8</v>
      </c>
      <c r="BM447">
        <v>8</v>
      </c>
      <c r="BN447">
        <v>8</v>
      </c>
      <c r="BO447">
        <v>8</v>
      </c>
      <c r="BP447">
        <v>0</v>
      </c>
      <c r="BQ447" t="str">
        <f>"5:00 AM"</f>
        <v>5:00 AM</v>
      </c>
      <c r="BR447" t="str">
        <f>"5:00 PM"</f>
        <v>5:00 PM</v>
      </c>
      <c r="BS447" t="s">
        <v>131</v>
      </c>
      <c r="BT447">
        <v>0</v>
      </c>
      <c r="BU447">
        <v>0</v>
      </c>
      <c r="BV447" t="s">
        <v>114</v>
      </c>
      <c r="BX447" t="s">
        <v>1480</v>
      </c>
      <c r="BY447" t="s">
        <v>12402</v>
      </c>
      <c r="CA447" t="s">
        <v>587</v>
      </c>
      <c r="CB447" t="s">
        <v>584</v>
      </c>
      <c r="CC447" s="8" t="str">
        <f>"83001"</f>
        <v>83001</v>
      </c>
      <c r="CD447" t="s">
        <v>588</v>
      </c>
      <c r="CE447" t="s">
        <v>589</v>
      </c>
      <c r="CF447" s="12">
        <v>18.86</v>
      </c>
      <c r="CG447" s="12">
        <v>27</v>
      </c>
      <c r="CH447" s="12">
        <v>28.29</v>
      </c>
      <c r="CI447" s="12">
        <v>40.5</v>
      </c>
      <c r="CJ447" t="s">
        <v>135</v>
      </c>
      <c r="CL447" t="s">
        <v>12406</v>
      </c>
      <c r="CO447" t="s">
        <v>132</v>
      </c>
      <c r="CP447" t="s">
        <v>136</v>
      </c>
      <c r="CQ447" t="s">
        <v>136</v>
      </c>
      <c r="CR447" t="s">
        <v>136</v>
      </c>
      <c r="CS447" t="s">
        <v>136</v>
      </c>
      <c r="CT447" t="s">
        <v>136</v>
      </c>
      <c r="CU447" t="s">
        <v>136</v>
      </c>
      <c r="CV447" t="s">
        <v>12407</v>
      </c>
      <c r="CW447" s="10" t="str">
        <f>"+13076908718"</f>
        <v>+13076908718</v>
      </c>
      <c r="CX447" t="s">
        <v>132</v>
      </c>
      <c r="CY447" t="s">
        <v>12408</v>
      </c>
      <c r="CZ447" t="s">
        <v>137</v>
      </c>
      <c r="DA447" t="s">
        <v>114</v>
      </c>
      <c r="DB447" t="s">
        <v>114</v>
      </c>
      <c r="DC447" t="s">
        <v>136</v>
      </c>
      <c r="DD447" t="s">
        <v>114</v>
      </c>
    </row>
    <row r="448" spans="1:113" ht="15" customHeight="1" x14ac:dyDescent="0.25">
      <c r="A448" t="s">
        <v>4907</v>
      </c>
      <c r="B448" t="s">
        <v>152</v>
      </c>
      <c r="C448" s="1">
        <v>45244.389074652776</v>
      </c>
      <c r="D448" s="1">
        <v>45271</v>
      </c>
      <c r="E448" t="s">
        <v>132</v>
      </c>
      <c r="F448" t="s">
        <v>1595</v>
      </c>
      <c r="G448" t="str">
        <f>"37-3011.00"</f>
        <v>37-3011.00</v>
      </c>
      <c r="H448" t="s">
        <v>429</v>
      </c>
      <c r="I448">
        <v>15</v>
      </c>
      <c r="J448">
        <v>15</v>
      </c>
      <c r="K448" s="1">
        <v>45334</v>
      </c>
      <c r="L448" s="1">
        <v>45637</v>
      </c>
      <c r="M448" s="1">
        <v>45334</v>
      </c>
      <c r="N448" s="1">
        <v>45637</v>
      </c>
      <c r="O448" t="s">
        <v>116</v>
      </c>
      <c r="P448" t="s">
        <v>4908</v>
      </c>
      <c r="R448" t="s">
        <v>4909</v>
      </c>
      <c r="T448" t="s">
        <v>4910</v>
      </c>
      <c r="U448" t="s">
        <v>127</v>
      </c>
      <c r="V448" s="8" t="str">
        <f>"76248"</f>
        <v>76248</v>
      </c>
      <c r="W448" t="s">
        <v>118</v>
      </c>
      <c r="Y448" s="10">
        <v>18173290528</v>
      </c>
      <c r="AA448">
        <v>561730</v>
      </c>
      <c r="AB448" t="s">
        <v>250</v>
      </c>
      <c r="AC448" t="s">
        <v>4911</v>
      </c>
      <c r="AD448" t="s">
        <v>4912</v>
      </c>
      <c r="AE448" t="s">
        <v>629</v>
      </c>
      <c r="AF448" t="s">
        <v>4909</v>
      </c>
      <c r="AH448" t="s">
        <v>4910</v>
      </c>
      <c r="AI448" t="s">
        <v>127</v>
      </c>
      <c r="AJ448" s="8" t="str">
        <f>"76248"</f>
        <v>76248</v>
      </c>
      <c r="AK448" t="s">
        <v>118</v>
      </c>
      <c r="AM448" s="10">
        <v>18173290528</v>
      </c>
      <c r="AO448" t="s">
        <v>4913</v>
      </c>
      <c r="AP448" t="s">
        <v>248</v>
      </c>
      <c r="AQ448" t="s">
        <v>2452</v>
      </c>
      <c r="AR448" t="s">
        <v>2453</v>
      </c>
      <c r="AS448" t="s">
        <v>515</v>
      </c>
      <c r="AT448" t="s">
        <v>2454</v>
      </c>
      <c r="AU448" t="s">
        <v>132</v>
      </c>
      <c r="AV448" t="s">
        <v>1585</v>
      </c>
      <c r="AW448" t="s">
        <v>127</v>
      </c>
      <c r="AX448" s="8" t="str">
        <f>"77414"</f>
        <v>77414</v>
      </c>
      <c r="AY448" t="s">
        <v>118</v>
      </c>
      <c r="BA448" s="10">
        <v>19793187278</v>
      </c>
      <c r="BC448" t="s">
        <v>2455</v>
      </c>
      <c r="BD448" t="s">
        <v>1587</v>
      </c>
      <c r="BG448" t="s">
        <v>127</v>
      </c>
      <c r="BH448" s="1">
        <v>45243.791666666664</v>
      </c>
      <c r="BI448">
        <v>40</v>
      </c>
      <c r="BJ448">
        <v>0</v>
      </c>
      <c r="BK448">
        <v>10</v>
      </c>
      <c r="BL448">
        <v>10</v>
      </c>
      <c r="BM448">
        <v>10</v>
      </c>
      <c r="BN448">
        <v>10</v>
      </c>
      <c r="BO448">
        <v>0</v>
      </c>
      <c r="BP448">
        <v>0</v>
      </c>
      <c r="BQ448" t="str">
        <f>"7:15 AM"</f>
        <v>7:15 AM</v>
      </c>
      <c r="BR448" t="str">
        <f>"5:45 PM"</f>
        <v>5:45 PM</v>
      </c>
      <c r="BS448" t="s">
        <v>131</v>
      </c>
      <c r="BT448">
        <v>0</v>
      </c>
      <c r="BU448">
        <v>0</v>
      </c>
      <c r="BV448" t="s">
        <v>114</v>
      </c>
      <c r="BX448" s="2" t="s">
        <v>4914</v>
      </c>
      <c r="BY448" t="s">
        <v>4909</v>
      </c>
      <c r="BZ448" t="s">
        <v>132</v>
      </c>
      <c r="CA448" t="s">
        <v>4910</v>
      </c>
      <c r="CB448" t="s">
        <v>127</v>
      </c>
      <c r="CC448" s="8" t="str">
        <f>"76248"</f>
        <v>76248</v>
      </c>
      <c r="CD448" t="s">
        <v>262</v>
      </c>
      <c r="CE448" t="s">
        <v>263</v>
      </c>
      <c r="CF448" s="12">
        <v>16.86</v>
      </c>
      <c r="CG448" s="12">
        <v>28</v>
      </c>
      <c r="CH448" s="12">
        <v>25.29</v>
      </c>
      <c r="CI448" s="12">
        <v>42</v>
      </c>
      <c r="CJ448" t="s">
        <v>135</v>
      </c>
      <c r="CK448" t="s">
        <v>4915</v>
      </c>
      <c r="CL448" t="s">
        <v>4916</v>
      </c>
      <c r="CO448" t="s">
        <v>132</v>
      </c>
      <c r="CP448" t="s">
        <v>136</v>
      </c>
      <c r="CQ448" t="s">
        <v>136</v>
      </c>
      <c r="CR448" t="s">
        <v>136</v>
      </c>
      <c r="CS448" t="s">
        <v>136</v>
      </c>
      <c r="CT448" t="s">
        <v>136</v>
      </c>
      <c r="CU448" t="s">
        <v>114</v>
      </c>
      <c r="CV448" t="s">
        <v>2225</v>
      </c>
      <c r="CW448" s="10" t="str">
        <f>"+18173290528"</f>
        <v>+18173290528</v>
      </c>
      <c r="CX448" t="s">
        <v>4913</v>
      </c>
      <c r="CY448" t="s">
        <v>132</v>
      </c>
      <c r="CZ448" t="s">
        <v>137</v>
      </c>
      <c r="DA448" t="s">
        <v>114</v>
      </c>
      <c r="DB448" t="s">
        <v>114</v>
      </c>
      <c r="DC448" t="s">
        <v>136</v>
      </c>
      <c r="DD448" t="s">
        <v>114</v>
      </c>
    </row>
    <row r="449" spans="1:113" ht="15" customHeight="1" x14ac:dyDescent="0.25">
      <c r="A449" t="s">
        <v>7304</v>
      </c>
      <c r="B449" t="s">
        <v>152</v>
      </c>
      <c r="C449" s="1">
        <v>45244.383071296295</v>
      </c>
      <c r="D449" s="1">
        <v>45271</v>
      </c>
      <c r="E449" t="s">
        <v>132</v>
      </c>
      <c r="F449" t="s">
        <v>1595</v>
      </c>
      <c r="G449" t="str">
        <f>"37-3011.00"</f>
        <v>37-3011.00</v>
      </c>
      <c r="H449" t="s">
        <v>429</v>
      </c>
      <c r="I449">
        <v>12</v>
      </c>
      <c r="J449">
        <v>12</v>
      </c>
      <c r="K449" s="1">
        <v>45334</v>
      </c>
      <c r="L449" s="1">
        <v>45637</v>
      </c>
      <c r="M449" s="1">
        <v>45334</v>
      </c>
      <c r="N449" s="1">
        <v>45637</v>
      </c>
      <c r="O449" t="s">
        <v>238</v>
      </c>
      <c r="P449" t="s">
        <v>7305</v>
      </c>
      <c r="R449" t="s">
        <v>7306</v>
      </c>
      <c r="T449" t="s">
        <v>7307</v>
      </c>
      <c r="U449" t="s">
        <v>127</v>
      </c>
      <c r="V449" s="8" t="str">
        <f>"76571"</f>
        <v>76571</v>
      </c>
      <c r="W449" t="s">
        <v>118</v>
      </c>
      <c r="Y449" s="10">
        <v>12544109921</v>
      </c>
      <c r="AA449">
        <v>561730</v>
      </c>
      <c r="AB449" t="s">
        <v>7308</v>
      </c>
      <c r="AC449" t="s">
        <v>7309</v>
      </c>
      <c r="AE449" t="s">
        <v>561</v>
      </c>
      <c r="AF449" t="s">
        <v>7306</v>
      </c>
      <c r="AH449" t="s">
        <v>7307</v>
      </c>
      <c r="AI449" t="s">
        <v>127</v>
      </c>
      <c r="AJ449" s="8" t="str">
        <f>"76571"</f>
        <v>76571</v>
      </c>
      <c r="AK449" t="s">
        <v>118</v>
      </c>
      <c r="AM449" s="10">
        <v>12544109921</v>
      </c>
      <c r="AO449" t="s">
        <v>7310</v>
      </c>
      <c r="AP449" t="s">
        <v>248</v>
      </c>
      <c r="AQ449" t="s">
        <v>3539</v>
      </c>
      <c r="AR449" t="s">
        <v>3540</v>
      </c>
      <c r="AT449" t="s">
        <v>1584</v>
      </c>
      <c r="AV449" t="s">
        <v>1585</v>
      </c>
      <c r="AW449" t="s">
        <v>127</v>
      </c>
      <c r="AX449" s="8" t="str">
        <f>"77414"</f>
        <v>77414</v>
      </c>
      <c r="AY449" t="s">
        <v>118</v>
      </c>
      <c r="BA449" s="10">
        <v>19793187290</v>
      </c>
      <c r="BC449" t="s">
        <v>3541</v>
      </c>
      <c r="BD449" t="s">
        <v>1587</v>
      </c>
      <c r="BG449" t="s">
        <v>127</v>
      </c>
      <c r="BH449" s="1">
        <v>45243.791666666664</v>
      </c>
      <c r="BI449">
        <v>40</v>
      </c>
      <c r="BJ449">
        <v>0</v>
      </c>
      <c r="BK449">
        <v>8</v>
      </c>
      <c r="BL449">
        <v>8</v>
      </c>
      <c r="BM449">
        <v>8</v>
      </c>
      <c r="BN449">
        <v>8</v>
      </c>
      <c r="BO449">
        <v>8</v>
      </c>
      <c r="BP449">
        <v>0</v>
      </c>
      <c r="BQ449" t="str">
        <f>"7:00 AM"</f>
        <v>7:00 AM</v>
      </c>
      <c r="BR449" t="str">
        <f>"4:00 PM"</f>
        <v>4:00 PM</v>
      </c>
      <c r="BS449" t="s">
        <v>131</v>
      </c>
      <c r="BT449">
        <v>0</v>
      </c>
      <c r="BU449">
        <v>0</v>
      </c>
      <c r="BV449" t="s">
        <v>114</v>
      </c>
      <c r="BX449" s="2" t="s">
        <v>7311</v>
      </c>
      <c r="BY449" t="s">
        <v>7306</v>
      </c>
      <c r="CA449" t="s">
        <v>7307</v>
      </c>
      <c r="CB449" t="s">
        <v>127</v>
      </c>
      <c r="CC449" s="8" t="str">
        <f>"76571"</f>
        <v>76571</v>
      </c>
      <c r="CD449" t="s">
        <v>3250</v>
      </c>
      <c r="CE449" t="s">
        <v>3251</v>
      </c>
      <c r="CF449" s="12">
        <v>15.32</v>
      </c>
      <c r="CG449" s="12">
        <v>20</v>
      </c>
      <c r="CH449" s="12">
        <v>22.98</v>
      </c>
      <c r="CI449" s="12">
        <v>30</v>
      </c>
      <c r="CJ449" t="s">
        <v>135</v>
      </c>
      <c r="CK449" t="s">
        <v>3584</v>
      </c>
      <c r="CL449" t="s">
        <v>7312</v>
      </c>
      <c r="CO449" t="s">
        <v>132</v>
      </c>
      <c r="CP449" t="s">
        <v>136</v>
      </c>
      <c r="CQ449" t="s">
        <v>136</v>
      </c>
      <c r="CR449" t="s">
        <v>136</v>
      </c>
      <c r="CS449" t="s">
        <v>136</v>
      </c>
      <c r="CT449" t="s">
        <v>136</v>
      </c>
      <c r="CU449" t="s">
        <v>136</v>
      </c>
      <c r="CV449" t="s">
        <v>7313</v>
      </c>
      <c r="CW449" s="10" t="str">
        <f>"+12544109921"</f>
        <v>+12544109921</v>
      </c>
      <c r="CX449" t="s">
        <v>7314</v>
      </c>
      <c r="CY449" t="s">
        <v>132</v>
      </c>
      <c r="CZ449" t="s">
        <v>137</v>
      </c>
      <c r="DA449" t="s">
        <v>114</v>
      </c>
      <c r="DB449" t="s">
        <v>114</v>
      </c>
      <c r="DC449" t="s">
        <v>136</v>
      </c>
      <c r="DD449" t="s">
        <v>114</v>
      </c>
    </row>
    <row r="450" spans="1:113" ht="15" customHeight="1" x14ac:dyDescent="0.25">
      <c r="A450" t="s">
        <v>14778</v>
      </c>
      <c r="B450" t="s">
        <v>152</v>
      </c>
      <c r="C450" s="1">
        <v>45243.531035185188</v>
      </c>
      <c r="D450" s="1">
        <v>45271</v>
      </c>
      <c r="E450" t="s">
        <v>132</v>
      </c>
      <c r="F450" t="s">
        <v>14779</v>
      </c>
      <c r="G450" t="str">
        <f>"39-3091.00"</f>
        <v>39-3091.00</v>
      </c>
      <c r="H450" t="s">
        <v>237</v>
      </c>
      <c r="I450">
        <v>4</v>
      </c>
      <c r="J450">
        <v>4</v>
      </c>
      <c r="K450" s="1">
        <v>45333</v>
      </c>
      <c r="L450" s="1">
        <v>45505</v>
      </c>
      <c r="M450" s="1">
        <v>45333</v>
      </c>
      <c r="N450" s="1">
        <v>45505</v>
      </c>
      <c r="O450" t="s">
        <v>116</v>
      </c>
      <c r="P450" t="s">
        <v>5868</v>
      </c>
      <c r="Q450" t="s">
        <v>5869</v>
      </c>
      <c r="R450" t="s">
        <v>5870</v>
      </c>
      <c r="T450" t="s">
        <v>5871</v>
      </c>
      <c r="U450" t="s">
        <v>402</v>
      </c>
      <c r="V450" s="8" t="str">
        <f>"92270"</f>
        <v>92270</v>
      </c>
      <c r="W450" t="s">
        <v>118</v>
      </c>
      <c r="Y450" s="10">
        <v>17605682727</v>
      </c>
      <c r="AA450">
        <v>72111</v>
      </c>
      <c r="AB450" t="s">
        <v>5872</v>
      </c>
      <c r="AC450" t="s">
        <v>5873</v>
      </c>
      <c r="AE450" t="s">
        <v>2999</v>
      </c>
      <c r="AF450" t="s">
        <v>5870</v>
      </c>
      <c r="AH450" t="s">
        <v>5871</v>
      </c>
      <c r="AI450" t="s">
        <v>402</v>
      </c>
      <c r="AJ450" s="8" t="str">
        <f>"92270"</f>
        <v>92270</v>
      </c>
      <c r="AK450" t="s">
        <v>118</v>
      </c>
      <c r="AM450" s="10">
        <v>17605682727</v>
      </c>
      <c r="AO450" t="s">
        <v>5874</v>
      </c>
      <c r="AP450" t="s">
        <v>248</v>
      </c>
      <c r="AQ450" t="s">
        <v>960</v>
      </c>
      <c r="AR450" t="s">
        <v>961</v>
      </c>
      <c r="AS450" t="s">
        <v>962</v>
      </c>
      <c r="AT450" t="s">
        <v>963</v>
      </c>
      <c r="AU450" t="s">
        <v>296</v>
      </c>
      <c r="AV450" t="s">
        <v>964</v>
      </c>
      <c r="AW450" t="s">
        <v>127</v>
      </c>
      <c r="AX450" s="8" t="str">
        <f>"75033"</f>
        <v>75033</v>
      </c>
      <c r="AY450" t="s">
        <v>118</v>
      </c>
      <c r="BA450" s="10">
        <v>19727789690</v>
      </c>
      <c r="BC450" t="s">
        <v>1919</v>
      </c>
      <c r="BD450" t="s">
        <v>966</v>
      </c>
      <c r="BG450" t="s">
        <v>402</v>
      </c>
      <c r="BH450" s="1">
        <v>45242.791666666664</v>
      </c>
      <c r="BI450">
        <v>40</v>
      </c>
      <c r="BJ450">
        <v>8</v>
      </c>
      <c r="BK450">
        <v>0</v>
      </c>
      <c r="BL450">
        <v>0</v>
      </c>
      <c r="BM450">
        <v>8</v>
      </c>
      <c r="BN450">
        <v>8</v>
      </c>
      <c r="BO450">
        <v>8</v>
      </c>
      <c r="BP450">
        <v>8</v>
      </c>
      <c r="BQ450" t="str">
        <f>"2:00 PM"</f>
        <v>2:00 PM</v>
      </c>
      <c r="BR450" t="str">
        <f>"10:30 PM"</f>
        <v>10:30 PM</v>
      </c>
      <c r="BS450" t="s">
        <v>131</v>
      </c>
      <c r="BT450">
        <v>0</v>
      </c>
      <c r="BU450">
        <v>0</v>
      </c>
      <c r="BV450" t="s">
        <v>114</v>
      </c>
      <c r="BX450" s="2" t="s">
        <v>14780</v>
      </c>
      <c r="BY450" t="s">
        <v>5870</v>
      </c>
      <c r="CA450" t="s">
        <v>5871</v>
      </c>
      <c r="CB450" t="s">
        <v>402</v>
      </c>
      <c r="CC450" s="8" t="str">
        <f>"92270"</f>
        <v>92270</v>
      </c>
      <c r="CD450" t="s">
        <v>5876</v>
      </c>
      <c r="CE450" t="s">
        <v>4484</v>
      </c>
      <c r="CF450" s="12">
        <v>15.62</v>
      </c>
      <c r="CH450" s="12">
        <v>23.43</v>
      </c>
      <c r="CJ450" t="s">
        <v>135</v>
      </c>
      <c r="CK450" t="s">
        <v>1840</v>
      </c>
      <c r="CL450" t="s">
        <v>14781</v>
      </c>
      <c r="CO450" t="s">
        <v>132</v>
      </c>
      <c r="CP450" t="s">
        <v>114</v>
      </c>
      <c r="CQ450" t="s">
        <v>114</v>
      </c>
      <c r="CR450" t="s">
        <v>136</v>
      </c>
      <c r="CS450" t="s">
        <v>136</v>
      </c>
      <c r="CT450" t="s">
        <v>136</v>
      </c>
      <c r="CU450" t="s">
        <v>136</v>
      </c>
      <c r="CV450" s="2" t="s">
        <v>5879</v>
      </c>
      <c r="CW450" s="10" t="str">
        <f>"+17605682727"</f>
        <v>+17605682727</v>
      </c>
      <c r="CX450" t="s">
        <v>132</v>
      </c>
      <c r="CY450" t="s">
        <v>5880</v>
      </c>
      <c r="CZ450" t="s">
        <v>137</v>
      </c>
      <c r="DA450" t="s">
        <v>114</v>
      </c>
      <c r="DB450" t="s">
        <v>114</v>
      </c>
      <c r="DC450" t="s">
        <v>136</v>
      </c>
      <c r="DD450" t="s">
        <v>114</v>
      </c>
    </row>
    <row r="451" spans="1:113" ht="15" customHeight="1" x14ac:dyDescent="0.25">
      <c r="A451" t="s">
        <v>5867</v>
      </c>
      <c r="B451" t="s">
        <v>152</v>
      </c>
      <c r="C451" s="1">
        <v>45243.52772766204</v>
      </c>
      <c r="D451" s="1">
        <v>45271</v>
      </c>
      <c r="E451" t="s">
        <v>132</v>
      </c>
      <c r="F451" t="s">
        <v>5756</v>
      </c>
      <c r="G451" t="str">
        <f>"35-2014.00"</f>
        <v>35-2014.00</v>
      </c>
      <c r="H451" t="s">
        <v>154</v>
      </c>
      <c r="I451">
        <v>2</v>
      </c>
      <c r="J451">
        <v>2</v>
      </c>
      <c r="K451" s="1">
        <v>45333</v>
      </c>
      <c r="L451" s="1">
        <v>45505</v>
      </c>
      <c r="M451" s="1">
        <v>45333</v>
      </c>
      <c r="N451" s="1">
        <v>45505</v>
      </c>
      <c r="O451" t="s">
        <v>116</v>
      </c>
      <c r="P451" t="s">
        <v>5868</v>
      </c>
      <c r="Q451" t="s">
        <v>5869</v>
      </c>
      <c r="R451" t="s">
        <v>5870</v>
      </c>
      <c r="T451" t="s">
        <v>5871</v>
      </c>
      <c r="U451" t="s">
        <v>402</v>
      </c>
      <c r="V451" s="8" t="str">
        <f>"92270"</f>
        <v>92270</v>
      </c>
      <c r="W451" t="s">
        <v>118</v>
      </c>
      <c r="Y451" s="10">
        <v>17605682727</v>
      </c>
      <c r="AA451">
        <v>72111</v>
      </c>
      <c r="AB451" t="s">
        <v>5872</v>
      </c>
      <c r="AC451" t="s">
        <v>5873</v>
      </c>
      <c r="AE451" t="s">
        <v>2999</v>
      </c>
      <c r="AF451" t="s">
        <v>5870</v>
      </c>
      <c r="AH451" t="s">
        <v>5871</v>
      </c>
      <c r="AI451" t="s">
        <v>402</v>
      </c>
      <c r="AJ451" s="8" t="str">
        <f>"92270"</f>
        <v>92270</v>
      </c>
      <c r="AK451" t="s">
        <v>118</v>
      </c>
      <c r="AM451" s="10">
        <v>17605682727</v>
      </c>
      <c r="AO451" t="s">
        <v>5874</v>
      </c>
      <c r="AP451" t="s">
        <v>248</v>
      </c>
      <c r="AQ451" t="s">
        <v>960</v>
      </c>
      <c r="AR451" t="s">
        <v>961</v>
      </c>
      <c r="AS451" t="s">
        <v>962</v>
      </c>
      <c r="AT451" t="s">
        <v>963</v>
      </c>
      <c r="AU451" t="s">
        <v>296</v>
      </c>
      <c r="AV451" t="s">
        <v>964</v>
      </c>
      <c r="AW451" t="s">
        <v>127</v>
      </c>
      <c r="AX451" s="8" t="str">
        <f>"75033"</f>
        <v>75033</v>
      </c>
      <c r="AY451" t="s">
        <v>118</v>
      </c>
      <c r="BA451" s="10">
        <v>19727789690</v>
      </c>
      <c r="BC451" t="s">
        <v>1919</v>
      </c>
      <c r="BD451" t="s">
        <v>966</v>
      </c>
      <c r="BG451" t="s">
        <v>402</v>
      </c>
      <c r="BH451" s="1">
        <v>45242.791666666664</v>
      </c>
      <c r="BI451">
        <v>40</v>
      </c>
      <c r="BJ451">
        <v>8</v>
      </c>
      <c r="BK451">
        <v>0</v>
      </c>
      <c r="BL451">
        <v>0</v>
      </c>
      <c r="BM451">
        <v>8</v>
      </c>
      <c r="BN451">
        <v>8</v>
      </c>
      <c r="BO451">
        <v>8</v>
      </c>
      <c r="BP451">
        <v>8</v>
      </c>
      <c r="BQ451" t="str">
        <f>"6:00 AM"</f>
        <v>6:00 AM</v>
      </c>
      <c r="BR451" t="str">
        <f>"2:30 PM"</f>
        <v>2:30 PM</v>
      </c>
      <c r="BS451" t="s">
        <v>131</v>
      </c>
      <c r="BT451">
        <v>0</v>
      </c>
      <c r="BU451">
        <v>0</v>
      </c>
      <c r="BV451" t="s">
        <v>114</v>
      </c>
      <c r="BX451" s="2" t="s">
        <v>5875</v>
      </c>
      <c r="BY451" t="s">
        <v>5870</v>
      </c>
      <c r="CA451" t="s">
        <v>5871</v>
      </c>
      <c r="CB451" t="s">
        <v>402</v>
      </c>
      <c r="CC451" s="8" t="str">
        <f>"92270"</f>
        <v>92270</v>
      </c>
      <c r="CD451" t="s">
        <v>5876</v>
      </c>
      <c r="CE451" t="s">
        <v>4484</v>
      </c>
      <c r="CF451" s="12">
        <v>18</v>
      </c>
      <c r="CH451" s="12">
        <v>27</v>
      </c>
      <c r="CJ451" t="s">
        <v>135</v>
      </c>
      <c r="CK451" t="s">
        <v>5877</v>
      </c>
      <c r="CL451" t="s">
        <v>5878</v>
      </c>
      <c r="CO451" t="s">
        <v>132</v>
      </c>
      <c r="CP451" t="s">
        <v>114</v>
      </c>
      <c r="CQ451" t="s">
        <v>114</v>
      </c>
      <c r="CR451" t="s">
        <v>136</v>
      </c>
      <c r="CS451" t="s">
        <v>136</v>
      </c>
      <c r="CT451" t="s">
        <v>136</v>
      </c>
      <c r="CU451" t="s">
        <v>136</v>
      </c>
      <c r="CV451" s="2" t="s">
        <v>5879</v>
      </c>
      <c r="CW451" s="10" t="str">
        <f>"+17605682727"</f>
        <v>+17605682727</v>
      </c>
      <c r="CX451" t="s">
        <v>132</v>
      </c>
      <c r="CY451" t="s">
        <v>5880</v>
      </c>
      <c r="CZ451" t="s">
        <v>137</v>
      </c>
      <c r="DA451" t="s">
        <v>114</v>
      </c>
      <c r="DB451" t="s">
        <v>114</v>
      </c>
      <c r="DC451" t="s">
        <v>136</v>
      </c>
      <c r="DD451" t="s">
        <v>114</v>
      </c>
    </row>
    <row r="452" spans="1:113" ht="15" customHeight="1" x14ac:dyDescent="0.25">
      <c r="A452" t="s">
        <v>12441</v>
      </c>
      <c r="B452" t="s">
        <v>152</v>
      </c>
      <c r="C452" s="1">
        <v>45243.427976157407</v>
      </c>
      <c r="D452" s="1">
        <v>45271</v>
      </c>
      <c r="E452" t="s">
        <v>132</v>
      </c>
      <c r="F452" t="s">
        <v>1595</v>
      </c>
      <c r="G452" t="str">
        <f>"37-3011.00"</f>
        <v>37-3011.00</v>
      </c>
      <c r="H452" t="s">
        <v>429</v>
      </c>
      <c r="I452">
        <v>22</v>
      </c>
      <c r="J452">
        <v>22</v>
      </c>
      <c r="K452" s="1">
        <v>45331</v>
      </c>
      <c r="L452" s="1">
        <v>45604</v>
      </c>
      <c r="M452" s="1">
        <v>45331</v>
      </c>
      <c r="N452" s="1">
        <v>45604</v>
      </c>
      <c r="O452" t="s">
        <v>116</v>
      </c>
      <c r="P452" t="s">
        <v>12442</v>
      </c>
      <c r="R452" t="s">
        <v>12443</v>
      </c>
      <c r="S452" t="s">
        <v>12444</v>
      </c>
      <c r="T452" t="s">
        <v>12445</v>
      </c>
      <c r="U452" t="s">
        <v>127</v>
      </c>
      <c r="V452" s="8" t="str">
        <f>"75098"</f>
        <v>75098</v>
      </c>
      <c r="W452" t="s">
        <v>118</v>
      </c>
      <c r="Y452" s="10">
        <v>19725175296</v>
      </c>
      <c r="AA452">
        <v>56173</v>
      </c>
      <c r="AB452" t="s">
        <v>12446</v>
      </c>
      <c r="AC452" t="s">
        <v>1826</v>
      </c>
      <c r="AD452" t="s">
        <v>1829</v>
      </c>
      <c r="AE452" t="s">
        <v>561</v>
      </c>
      <c r="AF452" t="s">
        <v>12443</v>
      </c>
      <c r="AG452" t="s">
        <v>12444</v>
      </c>
      <c r="AH452" t="s">
        <v>1168</v>
      </c>
      <c r="AI452" t="s">
        <v>127</v>
      </c>
      <c r="AJ452" s="8" t="str">
        <f>"75098"</f>
        <v>75098</v>
      </c>
      <c r="AK452" t="s">
        <v>118</v>
      </c>
      <c r="AM452" s="10">
        <v>19725175296</v>
      </c>
      <c r="AO452" t="s">
        <v>12447</v>
      </c>
      <c r="AP452" t="s">
        <v>248</v>
      </c>
      <c r="AQ452" t="s">
        <v>3017</v>
      </c>
      <c r="AR452" t="s">
        <v>3018</v>
      </c>
      <c r="AS452" t="s">
        <v>631</v>
      </c>
      <c r="AT452" t="s">
        <v>3371</v>
      </c>
      <c r="AV452" t="s">
        <v>1168</v>
      </c>
      <c r="AW452" t="s">
        <v>127</v>
      </c>
      <c r="AX452" s="8" t="str">
        <f>"75098"</f>
        <v>75098</v>
      </c>
      <c r="AY452" t="s">
        <v>118</v>
      </c>
      <c r="BA452" s="10">
        <v>19724424244</v>
      </c>
      <c r="BC452" t="s">
        <v>3372</v>
      </c>
      <c r="BD452" t="s">
        <v>3021</v>
      </c>
      <c r="BG452" t="s">
        <v>127</v>
      </c>
      <c r="BH452" s="1">
        <v>45242.791666666664</v>
      </c>
      <c r="BI452">
        <v>40</v>
      </c>
      <c r="BJ452">
        <v>0</v>
      </c>
      <c r="BK452">
        <v>8</v>
      </c>
      <c r="BL452">
        <v>8</v>
      </c>
      <c r="BM452">
        <v>8</v>
      </c>
      <c r="BN452">
        <v>8</v>
      </c>
      <c r="BO452">
        <v>8</v>
      </c>
      <c r="BP452">
        <v>0</v>
      </c>
      <c r="BQ452" t="str">
        <f>"8:00 AM"</f>
        <v>8:00 AM</v>
      </c>
      <c r="BR452" t="str">
        <f>"5:00 PM"</f>
        <v>5:00 PM</v>
      </c>
      <c r="BS452" t="s">
        <v>131</v>
      </c>
      <c r="BT452">
        <v>0</v>
      </c>
      <c r="BU452">
        <v>0</v>
      </c>
      <c r="BV452" t="s">
        <v>114</v>
      </c>
      <c r="BX452" t="s">
        <v>1480</v>
      </c>
      <c r="BY452" t="s">
        <v>12443</v>
      </c>
      <c r="CA452" t="s">
        <v>1168</v>
      </c>
      <c r="CB452" t="s">
        <v>127</v>
      </c>
      <c r="CC452" s="8" t="str">
        <f>"75098"</f>
        <v>75098</v>
      </c>
      <c r="CD452" t="s">
        <v>1177</v>
      </c>
      <c r="CE452" t="s">
        <v>263</v>
      </c>
      <c r="CF452" s="12">
        <v>16.86</v>
      </c>
      <c r="CG452" s="12">
        <v>18.86</v>
      </c>
      <c r="CH452" s="12">
        <v>25.29</v>
      </c>
      <c r="CI452" s="12">
        <v>28.29</v>
      </c>
      <c r="CJ452" t="s">
        <v>135</v>
      </c>
      <c r="CL452" t="s">
        <v>12448</v>
      </c>
      <c r="CO452" t="s">
        <v>132</v>
      </c>
      <c r="CP452" t="s">
        <v>136</v>
      </c>
      <c r="CQ452" t="s">
        <v>136</v>
      </c>
      <c r="CR452" t="s">
        <v>136</v>
      </c>
      <c r="CS452" t="s">
        <v>136</v>
      </c>
      <c r="CT452" t="s">
        <v>136</v>
      </c>
      <c r="CU452" t="s">
        <v>136</v>
      </c>
      <c r="CV452" t="s">
        <v>12449</v>
      </c>
      <c r="CW452" s="10" t="str">
        <f>"+19725175296"</f>
        <v>+19725175296</v>
      </c>
      <c r="CX452" t="s">
        <v>132</v>
      </c>
      <c r="CY452" t="s">
        <v>3190</v>
      </c>
      <c r="CZ452" t="s">
        <v>137</v>
      </c>
      <c r="DA452" t="s">
        <v>114</v>
      </c>
      <c r="DB452" t="s">
        <v>114</v>
      </c>
      <c r="DC452" t="s">
        <v>136</v>
      </c>
      <c r="DD452" t="s">
        <v>114</v>
      </c>
    </row>
    <row r="453" spans="1:113" ht="15" customHeight="1" x14ac:dyDescent="0.25">
      <c r="A453" t="s">
        <v>11256</v>
      </c>
      <c r="B453" t="s">
        <v>152</v>
      </c>
      <c r="C453" s="1">
        <v>45239.050510300927</v>
      </c>
      <c r="D453" s="1">
        <v>45271</v>
      </c>
      <c r="E453" t="s">
        <v>132</v>
      </c>
      <c r="F453" t="s">
        <v>11257</v>
      </c>
      <c r="G453" t="str">
        <f>"53-6021.00"</f>
        <v>53-6021.00</v>
      </c>
      <c r="H453" t="s">
        <v>5958</v>
      </c>
      <c r="I453">
        <v>9</v>
      </c>
      <c r="J453">
        <v>9</v>
      </c>
      <c r="K453" s="1">
        <v>45329</v>
      </c>
      <c r="L453" s="1">
        <v>45626</v>
      </c>
      <c r="M453" s="1">
        <v>45329</v>
      </c>
      <c r="N453" s="1">
        <v>45626</v>
      </c>
      <c r="O453" t="s">
        <v>116</v>
      </c>
      <c r="P453" t="s">
        <v>8178</v>
      </c>
      <c r="Q453" t="s">
        <v>8179</v>
      </c>
      <c r="R453" t="s">
        <v>8180</v>
      </c>
      <c r="T453" t="s">
        <v>8181</v>
      </c>
      <c r="U453" t="s">
        <v>1691</v>
      </c>
      <c r="V453" s="8" t="str">
        <f>"29455"</f>
        <v>29455</v>
      </c>
      <c r="W453" t="s">
        <v>118</v>
      </c>
      <c r="Y453" s="10">
        <v>18437682700</v>
      </c>
      <c r="AA453">
        <v>72111</v>
      </c>
      <c r="AB453" t="s">
        <v>8182</v>
      </c>
      <c r="AC453" t="s">
        <v>5962</v>
      </c>
      <c r="AE453" t="s">
        <v>1189</v>
      </c>
      <c r="AF453" t="s">
        <v>8183</v>
      </c>
      <c r="AH453" t="s">
        <v>8181</v>
      </c>
      <c r="AI453" t="s">
        <v>1691</v>
      </c>
      <c r="AJ453" s="8" t="str">
        <f>"29455"</f>
        <v>29455</v>
      </c>
      <c r="AK453" t="s">
        <v>118</v>
      </c>
      <c r="AM453" s="10">
        <v>18437682700</v>
      </c>
      <c r="AO453" t="s">
        <v>8184</v>
      </c>
      <c r="AP453" t="s">
        <v>248</v>
      </c>
      <c r="AQ453" t="s">
        <v>960</v>
      </c>
      <c r="AR453" t="s">
        <v>961</v>
      </c>
      <c r="AS453" t="s">
        <v>962</v>
      </c>
      <c r="AT453" t="s">
        <v>963</v>
      </c>
      <c r="AU453" t="s">
        <v>296</v>
      </c>
      <c r="AV453" t="s">
        <v>964</v>
      </c>
      <c r="AW453" t="s">
        <v>127</v>
      </c>
      <c r="AX453" s="8" t="str">
        <f>"75033"</f>
        <v>75033</v>
      </c>
      <c r="AY453" t="s">
        <v>118</v>
      </c>
      <c r="BA453" s="10">
        <v>19727789690</v>
      </c>
      <c r="BC453" t="s">
        <v>1951</v>
      </c>
      <c r="BD453" t="s">
        <v>966</v>
      </c>
      <c r="BG453" t="s">
        <v>1691</v>
      </c>
      <c r="BH453" s="1">
        <v>45238.791666666664</v>
      </c>
      <c r="BI453">
        <v>40</v>
      </c>
      <c r="BJ453">
        <v>8</v>
      </c>
      <c r="BK453">
        <v>8</v>
      </c>
      <c r="BL453">
        <v>0</v>
      </c>
      <c r="BM453">
        <v>8</v>
      </c>
      <c r="BN453">
        <v>0</v>
      </c>
      <c r="BO453">
        <v>8</v>
      </c>
      <c r="BP453">
        <v>8</v>
      </c>
      <c r="BQ453" t="str">
        <f>"7:00 AM"</f>
        <v>7:00 AM</v>
      </c>
      <c r="BR453" t="str">
        <f>"3:00 PM"</f>
        <v>3:00 PM</v>
      </c>
      <c r="BS453" t="s">
        <v>131</v>
      </c>
      <c r="BT453">
        <v>0</v>
      </c>
      <c r="BU453">
        <v>0</v>
      </c>
      <c r="BV453" t="s">
        <v>114</v>
      </c>
      <c r="BX453" s="2" t="s">
        <v>11258</v>
      </c>
      <c r="BY453" t="s">
        <v>8186</v>
      </c>
      <c r="CA453" t="s">
        <v>8187</v>
      </c>
      <c r="CB453" t="s">
        <v>1691</v>
      </c>
      <c r="CC453" s="8" t="str">
        <f>"29455"</f>
        <v>29455</v>
      </c>
      <c r="CD453" t="s">
        <v>1868</v>
      </c>
      <c r="CE453" t="s">
        <v>1869</v>
      </c>
      <c r="CF453" s="12">
        <v>12.91</v>
      </c>
      <c r="CG453" s="12">
        <v>18</v>
      </c>
      <c r="CH453" s="12">
        <v>19.37</v>
      </c>
      <c r="CI453" s="12">
        <v>27</v>
      </c>
      <c r="CJ453" t="s">
        <v>135</v>
      </c>
      <c r="CK453" t="s">
        <v>973</v>
      </c>
      <c r="CL453" t="s">
        <v>11259</v>
      </c>
      <c r="CO453" t="s">
        <v>132</v>
      </c>
      <c r="CP453" t="s">
        <v>114</v>
      </c>
      <c r="CQ453" t="s">
        <v>136</v>
      </c>
      <c r="CR453" t="s">
        <v>136</v>
      </c>
      <c r="CS453" t="s">
        <v>136</v>
      </c>
      <c r="CT453" t="s">
        <v>136</v>
      </c>
      <c r="CU453" t="s">
        <v>136</v>
      </c>
      <c r="CV453" s="2" t="s">
        <v>11260</v>
      </c>
      <c r="CW453" s="10" t="str">
        <f>"+18437682700"</f>
        <v>+18437682700</v>
      </c>
      <c r="CX453" t="s">
        <v>132</v>
      </c>
      <c r="CY453" t="s">
        <v>8190</v>
      </c>
      <c r="CZ453" t="s">
        <v>137</v>
      </c>
      <c r="DA453" t="s">
        <v>114</v>
      </c>
      <c r="DB453" t="s">
        <v>136</v>
      </c>
      <c r="DC453" t="s">
        <v>136</v>
      </c>
      <c r="DD453" t="s">
        <v>114</v>
      </c>
    </row>
    <row r="454" spans="1:113" ht="15" customHeight="1" x14ac:dyDescent="0.25">
      <c r="A454" t="s">
        <v>12564</v>
      </c>
      <c r="B454" t="s">
        <v>152</v>
      </c>
      <c r="C454" s="1">
        <v>45234.999842476849</v>
      </c>
      <c r="D454" s="1">
        <v>45271</v>
      </c>
      <c r="E454" t="s">
        <v>132</v>
      </c>
      <c r="F454" t="s">
        <v>2230</v>
      </c>
      <c r="G454" t="str">
        <f>"37-3011.00"</f>
        <v>37-3011.00</v>
      </c>
      <c r="H454" t="s">
        <v>429</v>
      </c>
      <c r="I454">
        <v>12</v>
      </c>
      <c r="J454">
        <v>12</v>
      </c>
      <c r="K454" s="1">
        <v>45323</v>
      </c>
      <c r="L454" s="1">
        <v>45626</v>
      </c>
      <c r="M454" s="1">
        <v>45323</v>
      </c>
      <c r="N454" s="1">
        <v>45626</v>
      </c>
      <c r="O454" t="s">
        <v>238</v>
      </c>
      <c r="P454" t="s">
        <v>12565</v>
      </c>
      <c r="R454" t="s">
        <v>12566</v>
      </c>
      <c r="T454" t="s">
        <v>1948</v>
      </c>
      <c r="U454" t="s">
        <v>1427</v>
      </c>
      <c r="V454" s="8" t="str">
        <f>"19804"</f>
        <v>19804</v>
      </c>
      <c r="W454" t="s">
        <v>118</v>
      </c>
      <c r="Y454" s="10">
        <v>13026331160</v>
      </c>
      <c r="AA454">
        <v>56173</v>
      </c>
      <c r="AB454" t="s">
        <v>12567</v>
      </c>
      <c r="AC454" t="s">
        <v>2770</v>
      </c>
      <c r="AE454" t="s">
        <v>629</v>
      </c>
      <c r="AF454" t="s">
        <v>12566</v>
      </c>
      <c r="AH454" t="s">
        <v>1948</v>
      </c>
      <c r="AI454" t="s">
        <v>1427</v>
      </c>
      <c r="AJ454" s="8" t="str">
        <f>"19804"</f>
        <v>19804</v>
      </c>
      <c r="AK454" t="s">
        <v>118</v>
      </c>
      <c r="AM454" s="10">
        <v>13026331160</v>
      </c>
      <c r="AO454" t="s">
        <v>12568</v>
      </c>
      <c r="AP454" t="s">
        <v>121</v>
      </c>
      <c r="AQ454" t="s">
        <v>2236</v>
      </c>
      <c r="AR454" t="s">
        <v>2237</v>
      </c>
      <c r="AS454" t="s">
        <v>2238</v>
      </c>
      <c r="AT454" t="s">
        <v>3668</v>
      </c>
      <c r="AV454" t="s">
        <v>3669</v>
      </c>
      <c r="AW454" t="s">
        <v>1427</v>
      </c>
      <c r="AX454" s="8" t="str">
        <f>"19934"</f>
        <v>19934</v>
      </c>
      <c r="AY454" t="s">
        <v>118</v>
      </c>
      <c r="BA454" s="10">
        <v>16103485354</v>
      </c>
      <c r="BC454" t="s">
        <v>2240</v>
      </c>
      <c r="BD454" t="s">
        <v>2241</v>
      </c>
      <c r="BE454" t="s">
        <v>434</v>
      </c>
      <c r="BF454" t="s">
        <v>2242</v>
      </c>
      <c r="BG454" t="s">
        <v>1427</v>
      </c>
      <c r="BH454" s="1">
        <v>45233.833333333336</v>
      </c>
      <c r="BI454">
        <v>50</v>
      </c>
      <c r="BJ454">
        <v>0</v>
      </c>
      <c r="BK454">
        <v>8</v>
      </c>
      <c r="BL454">
        <v>8</v>
      </c>
      <c r="BM454">
        <v>8</v>
      </c>
      <c r="BN454">
        <v>8</v>
      </c>
      <c r="BO454">
        <v>8</v>
      </c>
      <c r="BP454">
        <v>10</v>
      </c>
      <c r="BQ454" t="str">
        <f>"6:30 AM"</f>
        <v>6:30 AM</v>
      </c>
      <c r="BR454" t="str">
        <f>"3:30 PM"</f>
        <v>3:30 PM</v>
      </c>
      <c r="BS454" t="s">
        <v>131</v>
      </c>
      <c r="BT454">
        <v>0</v>
      </c>
      <c r="BU454">
        <v>0</v>
      </c>
      <c r="BV454" t="s">
        <v>114</v>
      </c>
      <c r="BX454" s="2" t="s">
        <v>2243</v>
      </c>
      <c r="BY454" t="s">
        <v>12566</v>
      </c>
      <c r="CA454" t="s">
        <v>1948</v>
      </c>
      <c r="CB454" t="s">
        <v>1427</v>
      </c>
      <c r="CC454" s="8" t="str">
        <f>"19804"</f>
        <v>19804</v>
      </c>
      <c r="CD454" t="s">
        <v>3479</v>
      </c>
      <c r="CE454" t="s">
        <v>443</v>
      </c>
      <c r="CF454" s="12">
        <v>18.71</v>
      </c>
      <c r="CG454" s="12">
        <v>18.71</v>
      </c>
      <c r="CH454" s="12">
        <v>28.07</v>
      </c>
      <c r="CI454" s="12">
        <v>28.07</v>
      </c>
      <c r="CJ454" t="s">
        <v>135</v>
      </c>
      <c r="CL454" t="s">
        <v>12569</v>
      </c>
      <c r="CO454" t="s">
        <v>132</v>
      </c>
      <c r="CP454" t="s">
        <v>136</v>
      </c>
      <c r="CQ454" t="s">
        <v>136</v>
      </c>
      <c r="CR454" t="s">
        <v>136</v>
      </c>
      <c r="CS454" t="s">
        <v>136</v>
      </c>
      <c r="CT454" t="s">
        <v>136</v>
      </c>
      <c r="CU454" t="s">
        <v>114</v>
      </c>
      <c r="CV454" t="s">
        <v>2246</v>
      </c>
      <c r="CW454" s="10" t="str">
        <f>"+13026331160"</f>
        <v>+13026331160</v>
      </c>
      <c r="CX454" t="s">
        <v>12568</v>
      </c>
      <c r="CY454" t="s">
        <v>132</v>
      </c>
      <c r="CZ454" t="s">
        <v>137</v>
      </c>
      <c r="DA454" t="s">
        <v>114</v>
      </c>
      <c r="DB454" t="s">
        <v>114</v>
      </c>
      <c r="DC454" t="s">
        <v>136</v>
      </c>
      <c r="DD454" t="s">
        <v>114</v>
      </c>
    </row>
    <row r="455" spans="1:113" ht="15" customHeight="1" x14ac:dyDescent="0.25">
      <c r="A455" t="s">
        <v>19749</v>
      </c>
      <c r="B455" t="s">
        <v>152</v>
      </c>
      <c r="C455" s="1">
        <v>45233.960171180559</v>
      </c>
      <c r="D455" s="1">
        <v>45271</v>
      </c>
      <c r="E455" t="s">
        <v>132</v>
      </c>
      <c r="F455" t="s">
        <v>2230</v>
      </c>
      <c r="G455" t="str">
        <f>"37-3011.00"</f>
        <v>37-3011.00</v>
      </c>
      <c r="H455" t="s">
        <v>429</v>
      </c>
      <c r="I455">
        <v>16</v>
      </c>
      <c r="J455">
        <v>16</v>
      </c>
      <c r="K455" s="1">
        <v>45323</v>
      </c>
      <c r="L455" s="1">
        <v>45626</v>
      </c>
      <c r="M455" s="1">
        <v>45323</v>
      </c>
      <c r="N455" s="1">
        <v>45626</v>
      </c>
      <c r="O455" t="s">
        <v>238</v>
      </c>
      <c r="P455" t="s">
        <v>19750</v>
      </c>
      <c r="R455" t="s">
        <v>19751</v>
      </c>
      <c r="T455" t="s">
        <v>10764</v>
      </c>
      <c r="U455" t="s">
        <v>434</v>
      </c>
      <c r="V455" s="8" t="str">
        <f>"19320"</f>
        <v>19320</v>
      </c>
      <c r="W455" t="s">
        <v>118</v>
      </c>
      <c r="Y455" s="10">
        <v>14848805838</v>
      </c>
      <c r="AA455">
        <v>56173</v>
      </c>
      <c r="AB455" t="s">
        <v>19752</v>
      </c>
      <c r="AC455" t="s">
        <v>16691</v>
      </c>
      <c r="AE455" t="s">
        <v>629</v>
      </c>
      <c r="AF455" t="s">
        <v>19751</v>
      </c>
      <c r="AH455" t="s">
        <v>10764</v>
      </c>
      <c r="AI455" t="s">
        <v>434</v>
      </c>
      <c r="AJ455" s="8" t="str">
        <f>"19320"</f>
        <v>19320</v>
      </c>
      <c r="AK455" t="s">
        <v>118</v>
      </c>
      <c r="AM455" s="10">
        <v>14848805838</v>
      </c>
      <c r="AO455" t="s">
        <v>19753</v>
      </c>
      <c r="AP455" t="s">
        <v>121</v>
      </c>
      <c r="AQ455" t="s">
        <v>2236</v>
      </c>
      <c r="AR455" t="s">
        <v>2237</v>
      </c>
      <c r="AS455" t="s">
        <v>2238</v>
      </c>
      <c r="AT455" t="s">
        <v>3668</v>
      </c>
      <c r="AV455" t="s">
        <v>3669</v>
      </c>
      <c r="AW455" t="s">
        <v>1427</v>
      </c>
      <c r="AX455" s="8" t="str">
        <f>"19934"</f>
        <v>19934</v>
      </c>
      <c r="AY455" t="s">
        <v>118</v>
      </c>
      <c r="BA455" s="10">
        <v>16103485354</v>
      </c>
      <c r="BC455" t="s">
        <v>2240</v>
      </c>
      <c r="BD455" t="s">
        <v>2241</v>
      </c>
      <c r="BE455" t="s">
        <v>434</v>
      </c>
      <c r="BF455" t="s">
        <v>2242</v>
      </c>
      <c r="BG455" t="s">
        <v>434</v>
      </c>
      <c r="BH455" s="1">
        <v>45232.833333333336</v>
      </c>
      <c r="BI455">
        <v>50</v>
      </c>
      <c r="BJ455">
        <v>0</v>
      </c>
      <c r="BK455">
        <v>8</v>
      </c>
      <c r="BL455">
        <v>8</v>
      </c>
      <c r="BM455">
        <v>8</v>
      </c>
      <c r="BN455">
        <v>8</v>
      </c>
      <c r="BO455">
        <v>8</v>
      </c>
      <c r="BP455">
        <v>10</v>
      </c>
      <c r="BQ455" t="str">
        <f>"7:00 AM"</f>
        <v>7:00 AM</v>
      </c>
      <c r="BR455" t="str">
        <f>"4:00 PM"</f>
        <v>4:00 PM</v>
      </c>
      <c r="BS455" t="s">
        <v>131</v>
      </c>
      <c r="BT455">
        <v>0</v>
      </c>
      <c r="BU455">
        <v>0</v>
      </c>
      <c r="BV455" t="s">
        <v>114</v>
      </c>
      <c r="BX455" s="2" t="s">
        <v>2243</v>
      </c>
      <c r="BY455" t="s">
        <v>19751</v>
      </c>
      <c r="CA455" t="s">
        <v>10764</v>
      </c>
      <c r="CB455" t="s">
        <v>434</v>
      </c>
      <c r="CC455" s="8" t="str">
        <f>"19320"</f>
        <v>19320</v>
      </c>
      <c r="CD455" t="s">
        <v>1781</v>
      </c>
      <c r="CE455" t="s">
        <v>443</v>
      </c>
      <c r="CF455" s="12">
        <v>18.71</v>
      </c>
      <c r="CG455" s="12">
        <v>18.71</v>
      </c>
      <c r="CH455" s="12">
        <v>28.07</v>
      </c>
      <c r="CI455" s="12">
        <v>28.07</v>
      </c>
      <c r="CJ455" t="s">
        <v>135</v>
      </c>
      <c r="CL455" t="s">
        <v>19754</v>
      </c>
      <c r="CO455" t="s">
        <v>132</v>
      </c>
      <c r="CP455" t="s">
        <v>136</v>
      </c>
      <c r="CQ455" t="s">
        <v>136</v>
      </c>
      <c r="CR455" t="s">
        <v>136</v>
      </c>
      <c r="CS455" t="s">
        <v>136</v>
      </c>
      <c r="CT455" t="s">
        <v>136</v>
      </c>
      <c r="CU455" t="s">
        <v>114</v>
      </c>
      <c r="CV455" t="s">
        <v>2246</v>
      </c>
      <c r="CW455" s="10" t="str">
        <f>"+14848805838"</f>
        <v>+14848805838</v>
      </c>
      <c r="CX455" t="s">
        <v>19753</v>
      </c>
      <c r="CY455" t="s">
        <v>132</v>
      </c>
      <c r="CZ455" t="s">
        <v>137</v>
      </c>
      <c r="DA455" t="s">
        <v>114</v>
      </c>
      <c r="DB455" t="s">
        <v>114</v>
      </c>
      <c r="DC455" t="s">
        <v>136</v>
      </c>
      <c r="DD455" t="s">
        <v>114</v>
      </c>
    </row>
    <row r="456" spans="1:113" ht="15" customHeight="1" x14ac:dyDescent="0.25">
      <c r="A456" t="s">
        <v>3662</v>
      </c>
      <c r="B456" t="s">
        <v>152</v>
      </c>
      <c r="C456" s="1">
        <v>45233.576942476851</v>
      </c>
      <c r="D456" s="1">
        <v>45271</v>
      </c>
      <c r="E456" t="s">
        <v>132</v>
      </c>
      <c r="F456" t="s">
        <v>2230</v>
      </c>
      <c r="G456" t="str">
        <f>"37-3011.00"</f>
        <v>37-3011.00</v>
      </c>
      <c r="H456" t="s">
        <v>429</v>
      </c>
      <c r="I456">
        <v>7</v>
      </c>
      <c r="J456">
        <v>7</v>
      </c>
      <c r="K456" s="1">
        <v>45323</v>
      </c>
      <c r="L456" s="1">
        <v>45626</v>
      </c>
      <c r="M456" s="1">
        <v>45323</v>
      </c>
      <c r="N456" s="1">
        <v>45626</v>
      </c>
      <c r="O456" t="s">
        <v>238</v>
      </c>
      <c r="P456" t="s">
        <v>3663</v>
      </c>
      <c r="R456" t="s">
        <v>3664</v>
      </c>
      <c r="T456" t="s">
        <v>3665</v>
      </c>
      <c r="U456" t="s">
        <v>434</v>
      </c>
      <c r="V456" s="8" t="str">
        <f>"19061"</f>
        <v>19061</v>
      </c>
      <c r="W456" t="s">
        <v>118</v>
      </c>
      <c r="Y456" s="10">
        <v>14848805721</v>
      </c>
      <c r="AA456">
        <v>56173</v>
      </c>
      <c r="AB456" t="s">
        <v>3666</v>
      </c>
      <c r="AC456" t="s">
        <v>2210</v>
      </c>
      <c r="AD456" t="s">
        <v>250</v>
      </c>
      <c r="AE456" t="s">
        <v>629</v>
      </c>
      <c r="AF456" t="s">
        <v>3664</v>
      </c>
      <c r="AH456" t="s">
        <v>3665</v>
      </c>
      <c r="AI456" t="s">
        <v>434</v>
      </c>
      <c r="AJ456" s="8" t="str">
        <f>"19061"</f>
        <v>19061</v>
      </c>
      <c r="AK456" t="s">
        <v>118</v>
      </c>
      <c r="AM456" s="10">
        <v>14848805721</v>
      </c>
      <c r="AO456" t="s">
        <v>3667</v>
      </c>
      <c r="AP456" t="s">
        <v>121</v>
      </c>
      <c r="AQ456" t="s">
        <v>2236</v>
      </c>
      <c r="AR456" t="s">
        <v>2237</v>
      </c>
      <c r="AS456" t="s">
        <v>2238</v>
      </c>
      <c r="AT456" t="s">
        <v>3668</v>
      </c>
      <c r="AV456" t="s">
        <v>3669</v>
      </c>
      <c r="AW456" t="s">
        <v>1427</v>
      </c>
      <c r="AX456" s="8" t="str">
        <f>"19934"</f>
        <v>19934</v>
      </c>
      <c r="AY456" t="s">
        <v>118</v>
      </c>
      <c r="BA456" s="10">
        <v>16103485354</v>
      </c>
      <c r="BC456" t="s">
        <v>2240</v>
      </c>
      <c r="BD456" t="s">
        <v>2241</v>
      </c>
      <c r="BE456" t="s">
        <v>434</v>
      </c>
      <c r="BF456" t="s">
        <v>2242</v>
      </c>
      <c r="BG456" t="s">
        <v>434</v>
      </c>
      <c r="BH456" s="1">
        <v>45232.833333333336</v>
      </c>
      <c r="BI456">
        <v>50</v>
      </c>
      <c r="BJ456">
        <v>0</v>
      </c>
      <c r="BK456">
        <v>8</v>
      </c>
      <c r="BL456">
        <v>8</v>
      </c>
      <c r="BM456">
        <v>8</v>
      </c>
      <c r="BN456">
        <v>8</v>
      </c>
      <c r="BO456">
        <v>8</v>
      </c>
      <c r="BP456">
        <v>10</v>
      </c>
      <c r="BQ456" t="str">
        <f>"7:00 AM"</f>
        <v>7:00 AM</v>
      </c>
      <c r="BR456" t="str">
        <f>"4:00 PM"</f>
        <v>4:00 PM</v>
      </c>
      <c r="BS456" t="s">
        <v>131</v>
      </c>
      <c r="BT456">
        <v>0</v>
      </c>
      <c r="BU456">
        <v>0</v>
      </c>
      <c r="BV456" t="s">
        <v>114</v>
      </c>
      <c r="BX456" s="2" t="s">
        <v>2243</v>
      </c>
      <c r="BY456" t="s">
        <v>3670</v>
      </c>
      <c r="CA456" t="s">
        <v>3671</v>
      </c>
      <c r="CB456" t="s">
        <v>434</v>
      </c>
      <c r="CC456" s="8" t="str">
        <f>"19014"</f>
        <v>19014</v>
      </c>
      <c r="CD456" t="s">
        <v>442</v>
      </c>
      <c r="CE456" t="s">
        <v>443</v>
      </c>
      <c r="CF456" s="12">
        <v>18.71</v>
      </c>
      <c r="CG456" s="12">
        <v>18.71</v>
      </c>
      <c r="CH456" s="12">
        <v>28.07</v>
      </c>
      <c r="CI456" s="12">
        <v>28.07</v>
      </c>
      <c r="CJ456" t="s">
        <v>135</v>
      </c>
      <c r="CL456" t="s">
        <v>3672</v>
      </c>
      <c r="CO456" t="s">
        <v>132</v>
      </c>
      <c r="CP456" t="s">
        <v>136</v>
      </c>
      <c r="CQ456" t="s">
        <v>136</v>
      </c>
      <c r="CR456" t="s">
        <v>136</v>
      </c>
      <c r="CS456" t="s">
        <v>136</v>
      </c>
      <c r="CT456" t="s">
        <v>136</v>
      </c>
      <c r="CU456" t="s">
        <v>114</v>
      </c>
      <c r="CV456" t="s">
        <v>2246</v>
      </c>
      <c r="CW456" s="10" t="str">
        <f>"+14848805721"</f>
        <v>+14848805721</v>
      </c>
      <c r="CX456" t="s">
        <v>3667</v>
      </c>
      <c r="CY456" t="s">
        <v>132</v>
      </c>
      <c r="CZ456" t="s">
        <v>137</v>
      </c>
      <c r="DA456" t="s">
        <v>114</v>
      </c>
      <c r="DB456" t="s">
        <v>114</v>
      </c>
      <c r="DC456" t="s">
        <v>136</v>
      </c>
      <c r="DD456" t="s">
        <v>114</v>
      </c>
    </row>
    <row r="457" spans="1:113" ht="15" customHeight="1" x14ac:dyDescent="0.25">
      <c r="A457" t="s">
        <v>11402</v>
      </c>
      <c r="B457" t="s">
        <v>152</v>
      </c>
      <c r="C457" s="1">
        <v>45233.423027314813</v>
      </c>
      <c r="D457" s="1">
        <v>45271</v>
      </c>
      <c r="E457" t="s">
        <v>132</v>
      </c>
      <c r="F457" t="s">
        <v>700</v>
      </c>
      <c r="G457" t="str">
        <f>"37-3011.00"</f>
        <v>37-3011.00</v>
      </c>
      <c r="H457" t="s">
        <v>429</v>
      </c>
      <c r="I457">
        <v>18</v>
      </c>
      <c r="J457">
        <v>18</v>
      </c>
      <c r="K457" s="1">
        <v>45323</v>
      </c>
      <c r="L457" s="1">
        <v>45625</v>
      </c>
      <c r="M457" s="1">
        <v>45323</v>
      </c>
      <c r="N457" s="1">
        <v>45625</v>
      </c>
      <c r="O457" t="s">
        <v>116</v>
      </c>
      <c r="P457" t="s">
        <v>11403</v>
      </c>
      <c r="R457" t="s">
        <v>11404</v>
      </c>
      <c r="S457" t="s">
        <v>11405</v>
      </c>
      <c r="T457" t="s">
        <v>4992</v>
      </c>
      <c r="U457" t="s">
        <v>127</v>
      </c>
      <c r="V457" s="8" t="str">
        <f>"76502"</f>
        <v>76502</v>
      </c>
      <c r="W457" t="s">
        <v>118</v>
      </c>
      <c r="Y457" s="10">
        <v>12549477147</v>
      </c>
      <c r="AA457">
        <v>561730</v>
      </c>
      <c r="AB457" t="s">
        <v>3124</v>
      </c>
      <c r="AC457" t="s">
        <v>5455</v>
      </c>
      <c r="AD457" t="s">
        <v>132</v>
      </c>
      <c r="AE457" t="s">
        <v>378</v>
      </c>
      <c r="AF457" t="s">
        <v>11404</v>
      </c>
      <c r="AG457" t="s">
        <v>11405</v>
      </c>
      <c r="AH457" t="s">
        <v>4992</v>
      </c>
      <c r="AI457" t="s">
        <v>127</v>
      </c>
      <c r="AJ457" s="8" t="str">
        <f>"76502"</f>
        <v>76502</v>
      </c>
      <c r="AK457" t="s">
        <v>118</v>
      </c>
      <c r="AM457" s="10">
        <v>12549477147</v>
      </c>
      <c r="AO457" t="s">
        <v>11406</v>
      </c>
      <c r="AP457" t="s">
        <v>248</v>
      </c>
      <c r="AQ457" t="s">
        <v>1820</v>
      </c>
      <c r="AR457" t="s">
        <v>1828</v>
      </c>
      <c r="AS457" t="s">
        <v>132</v>
      </c>
      <c r="AT457" t="s">
        <v>1584</v>
      </c>
      <c r="AU457" t="s">
        <v>132</v>
      </c>
      <c r="AV457" t="s">
        <v>1585</v>
      </c>
      <c r="AW457" t="s">
        <v>127</v>
      </c>
      <c r="AX457" s="8" t="str">
        <f>"77414"</f>
        <v>77414</v>
      </c>
      <c r="AY457" t="s">
        <v>118</v>
      </c>
      <c r="BA457" s="10">
        <v>19793187285</v>
      </c>
      <c r="BC457" t="s">
        <v>2430</v>
      </c>
      <c r="BD457" t="s">
        <v>1587</v>
      </c>
      <c r="BG457" t="s">
        <v>127</v>
      </c>
      <c r="BH457" s="1">
        <v>45232.833333333336</v>
      </c>
      <c r="BI457">
        <v>40</v>
      </c>
      <c r="BJ457">
        <v>0</v>
      </c>
      <c r="BK457">
        <v>8</v>
      </c>
      <c r="BL457">
        <v>8</v>
      </c>
      <c r="BM457">
        <v>8</v>
      </c>
      <c r="BN457">
        <v>8</v>
      </c>
      <c r="BO457">
        <v>8</v>
      </c>
      <c r="BP457">
        <v>0</v>
      </c>
      <c r="BQ457" t="str">
        <f>"7:30 AM"</f>
        <v>7:30 AM</v>
      </c>
      <c r="BR457" t="str">
        <f>"5:00 PM"</f>
        <v>5:00 PM</v>
      </c>
      <c r="BS457" t="s">
        <v>131</v>
      </c>
      <c r="BT457">
        <v>0</v>
      </c>
      <c r="BU457">
        <v>0</v>
      </c>
      <c r="BV457" t="s">
        <v>114</v>
      </c>
      <c r="BX457" t="s">
        <v>11407</v>
      </c>
      <c r="BY457" t="s">
        <v>11404</v>
      </c>
      <c r="BZ457" t="s">
        <v>132</v>
      </c>
      <c r="CA457" t="s">
        <v>4992</v>
      </c>
      <c r="CB457" t="s">
        <v>127</v>
      </c>
      <c r="CC457" s="8" t="str">
        <f>"76502"</f>
        <v>76502</v>
      </c>
      <c r="CD457" t="s">
        <v>3250</v>
      </c>
      <c r="CE457" t="s">
        <v>3251</v>
      </c>
      <c r="CF457" s="12">
        <v>15.22</v>
      </c>
      <c r="CH457" s="12">
        <v>22.83</v>
      </c>
      <c r="CJ457" t="s">
        <v>135</v>
      </c>
      <c r="CK457" t="s">
        <v>11408</v>
      </c>
      <c r="CL457" t="s">
        <v>11409</v>
      </c>
      <c r="CO457" t="s">
        <v>132</v>
      </c>
      <c r="CP457" t="s">
        <v>136</v>
      </c>
      <c r="CQ457" t="s">
        <v>136</v>
      </c>
      <c r="CR457" t="s">
        <v>136</v>
      </c>
      <c r="CS457" t="s">
        <v>136</v>
      </c>
      <c r="CT457" t="s">
        <v>136</v>
      </c>
      <c r="CU457" t="s">
        <v>114</v>
      </c>
      <c r="CV457" t="s">
        <v>2171</v>
      </c>
      <c r="CW457" s="10" t="str">
        <f>"+12549477147"</f>
        <v>+12549477147</v>
      </c>
      <c r="CX457" t="s">
        <v>11406</v>
      </c>
      <c r="CY457" t="s">
        <v>132</v>
      </c>
      <c r="CZ457" t="s">
        <v>137</v>
      </c>
      <c r="DA457" t="s">
        <v>114</v>
      </c>
      <c r="DB457" t="s">
        <v>114</v>
      </c>
      <c r="DC457" t="s">
        <v>136</v>
      </c>
      <c r="DD457" t="s">
        <v>114</v>
      </c>
    </row>
    <row r="458" spans="1:113" ht="15" customHeight="1" x14ac:dyDescent="0.25">
      <c r="A458" t="s">
        <v>17464</v>
      </c>
      <c r="B458" t="s">
        <v>152</v>
      </c>
      <c r="C458" s="1">
        <v>45233.021430092595</v>
      </c>
      <c r="D458" s="1">
        <v>45271</v>
      </c>
      <c r="E458" t="s">
        <v>132</v>
      </c>
      <c r="F458" t="s">
        <v>4327</v>
      </c>
      <c r="G458" t="str">
        <f>"45-2092.00"</f>
        <v>45-2092.00</v>
      </c>
      <c r="H458" t="s">
        <v>2007</v>
      </c>
      <c r="I458">
        <v>12</v>
      </c>
      <c r="J458">
        <v>12</v>
      </c>
      <c r="K458" s="1">
        <v>45323</v>
      </c>
      <c r="L458" s="1">
        <v>45611</v>
      </c>
      <c r="M458" s="1">
        <v>45323</v>
      </c>
      <c r="N458" s="1">
        <v>45611</v>
      </c>
      <c r="O458" t="s">
        <v>116</v>
      </c>
      <c r="P458" t="s">
        <v>17465</v>
      </c>
      <c r="Q458" t="s">
        <v>17466</v>
      </c>
      <c r="R458" t="s">
        <v>17467</v>
      </c>
      <c r="T458" t="s">
        <v>4917</v>
      </c>
      <c r="U458" t="s">
        <v>127</v>
      </c>
      <c r="V458" s="8" t="str">
        <f>"75006"</f>
        <v>75006</v>
      </c>
      <c r="W458" t="s">
        <v>118</v>
      </c>
      <c r="Y458" s="10">
        <v>19722454557</v>
      </c>
      <c r="AA458">
        <v>11142</v>
      </c>
      <c r="AB458" t="s">
        <v>17468</v>
      </c>
      <c r="AC458" t="s">
        <v>3097</v>
      </c>
      <c r="AD458" t="s">
        <v>1798</v>
      </c>
      <c r="AE458" t="s">
        <v>120</v>
      </c>
      <c r="AF458" t="s">
        <v>17467</v>
      </c>
      <c r="AH458" t="s">
        <v>4917</v>
      </c>
      <c r="AI458" t="s">
        <v>127</v>
      </c>
      <c r="AJ458" s="8" t="str">
        <f>"75006"</f>
        <v>75006</v>
      </c>
      <c r="AK458" t="s">
        <v>118</v>
      </c>
      <c r="AM458" s="10">
        <v>19722454557</v>
      </c>
      <c r="AO458" t="s">
        <v>17469</v>
      </c>
      <c r="AP458" t="s">
        <v>248</v>
      </c>
      <c r="AQ458" t="s">
        <v>3017</v>
      </c>
      <c r="AR458" t="s">
        <v>3018</v>
      </c>
      <c r="AT458" t="s">
        <v>3019</v>
      </c>
      <c r="AV458" t="s">
        <v>1168</v>
      </c>
      <c r="AW458" t="s">
        <v>127</v>
      </c>
      <c r="AX458" s="8" t="str">
        <f>"75098"</f>
        <v>75098</v>
      </c>
      <c r="AY458" t="s">
        <v>118</v>
      </c>
      <c r="BA458" s="10">
        <v>19724424244</v>
      </c>
      <c r="BC458" t="s">
        <v>3020</v>
      </c>
      <c r="BD458" t="s">
        <v>3021</v>
      </c>
      <c r="BG458" t="s">
        <v>127</v>
      </c>
      <c r="BH458" s="1">
        <v>45232.833333333336</v>
      </c>
      <c r="BI458">
        <v>40</v>
      </c>
      <c r="BJ458">
        <v>0</v>
      </c>
      <c r="BK458">
        <v>8</v>
      </c>
      <c r="BL458">
        <v>8</v>
      </c>
      <c r="BM458">
        <v>8</v>
      </c>
      <c r="BN458">
        <v>8</v>
      </c>
      <c r="BO458">
        <v>8</v>
      </c>
      <c r="BP458">
        <v>0</v>
      </c>
      <c r="BQ458" t="str">
        <f>"7:30 AM"</f>
        <v>7:30 AM</v>
      </c>
      <c r="BR458" t="str">
        <f>"4:30 PM"</f>
        <v>4:30 PM</v>
      </c>
      <c r="BS458" t="s">
        <v>131</v>
      </c>
      <c r="BT458">
        <v>0</v>
      </c>
      <c r="BU458">
        <v>0</v>
      </c>
      <c r="BV458" t="s">
        <v>114</v>
      </c>
      <c r="BX458" t="s">
        <v>131</v>
      </c>
      <c r="BY458" t="s">
        <v>17467</v>
      </c>
      <c r="CA458" t="s">
        <v>4917</v>
      </c>
      <c r="CB458" t="s">
        <v>127</v>
      </c>
      <c r="CC458" s="8" t="str">
        <f>"75006"</f>
        <v>75006</v>
      </c>
      <c r="CD458" t="s">
        <v>2301</v>
      </c>
      <c r="CE458" t="s">
        <v>263</v>
      </c>
      <c r="CF458" s="12">
        <v>15.59</v>
      </c>
      <c r="CG458" s="12">
        <v>18</v>
      </c>
      <c r="CH458" s="12">
        <v>23.39</v>
      </c>
      <c r="CI458" s="12">
        <v>27</v>
      </c>
      <c r="CJ458" t="s">
        <v>135</v>
      </c>
      <c r="CK458" t="s">
        <v>132</v>
      </c>
      <c r="CL458" t="s">
        <v>17470</v>
      </c>
      <c r="CO458" t="s">
        <v>132</v>
      </c>
      <c r="CP458" t="s">
        <v>114</v>
      </c>
      <c r="CQ458" t="s">
        <v>114</v>
      </c>
      <c r="CR458" t="s">
        <v>136</v>
      </c>
      <c r="CS458" t="s">
        <v>136</v>
      </c>
      <c r="CT458" t="s">
        <v>136</v>
      </c>
      <c r="CU458" t="s">
        <v>136</v>
      </c>
      <c r="CV458" t="s">
        <v>5345</v>
      </c>
      <c r="CW458" s="10" t="str">
        <f>"+19722454557"</f>
        <v>+19722454557</v>
      </c>
      <c r="CX458" t="s">
        <v>132</v>
      </c>
      <c r="CY458" t="s">
        <v>3190</v>
      </c>
      <c r="CZ458" t="s">
        <v>137</v>
      </c>
      <c r="DA458" t="s">
        <v>114</v>
      </c>
      <c r="DB458" t="s">
        <v>114</v>
      </c>
      <c r="DC458" t="s">
        <v>136</v>
      </c>
      <c r="DD458" t="s">
        <v>114</v>
      </c>
    </row>
    <row r="459" spans="1:113" ht="15" customHeight="1" x14ac:dyDescent="0.25">
      <c r="A459" t="s">
        <v>21170</v>
      </c>
      <c r="B459" t="s">
        <v>152</v>
      </c>
      <c r="C459" s="1">
        <v>45233.003664236108</v>
      </c>
      <c r="D459" s="1">
        <v>45271</v>
      </c>
      <c r="E459" t="s">
        <v>132</v>
      </c>
      <c r="F459" t="s">
        <v>1595</v>
      </c>
      <c r="G459" t="str">
        <f>"37-3011.00"</f>
        <v>37-3011.00</v>
      </c>
      <c r="H459" t="s">
        <v>429</v>
      </c>
      <c r="I459">
        <v>15</v>
      </c>
      <c r="J459">
        <v>15</v>
      </c>
      <c r="K459" s="1">
        <v>45323</v>
      </c>
      <c r="L459" s="1">
        <v>45626</v>
      </c>
      <c r="M459" s="1">
        <v>45323</v>
      </c>
      <c r="N459" s="1">
        <v>45626</v>
      </c>
      <c r="O459" t="s">
        <v>116</v>
      </c>
      <c r="P459" t="s">
        <v>21171</v>
      </c>
      <c r="R459" t="s">
        <v>21172</v>
      </c>
      <c r="T459" t="s">
        <v>1814</v>
      </c>
      <c r="U459" t="s">
        <v>333</v>
      </c>
      <c r="V459" s="8" t="str">
        <f>"70816"</f>
        <v>70816</v>
      </c>
      <c r="W459" t="s">
        <v>118</v>
      </c>
      <c r="Y459" s="10">
        <v>12252468230</v>
      </c>
      <c r="AA459">
        <v>56173</v>
      </c>
      <c r="AB459" t="s">
        <v>21173</v>
      </c>
      <c r="AC459" t="s">
        <v>21174</v>
      </c>
      <c r="AE459" t="s">
        <v>336</v>
      </c>
      <c r="AF459" t="s">
        <v>21172</v>
      </c>
      <c r="AH459" t="s">
        <v>1814</v>
      </c>
      <c r="AI459" t="s">
        <v>333</v>
      </c>
      <c r="AJ459" s="8" t="str">
        <f>"70816"</f>
        <v>70816</v>
      </c>
      <c r="AK459" t="s">
        <v>118</v>
      </c>
      <c r="AM459" s="10">
        <v>12252468230</v>
      </c>
      <c r="AO459" t="s">
        <v>5430</v>
      </c>
      <c r="AP459" t="s">
        <v>248</v>
      </c>
      <c r="AQ459" t="s">
        <v>2699</v>
      </c>
      <c r="AR459" t="s">
        <v>2700</v>
      </c>
      <c r="AT459" t="s">
        <v>1253</v>
      </c>
      <c r="AU459" t="s">
        <v>852</v>
      </c>
      <c r="AV459" t="s">
        <v>853</v>
      </c>
      <c r="AW459" t="s">
        <v>854</v>
      </c>
      <c r="AX459" s="8" t="str">
        <f>"83814"</f>
        <v>83814</v>
      </c>
      <c r="AY459" t="s">
        <v>118</v>
      </c>
      <c r="BA459" s="10">
        <v>12087772654</v>
      </c>
      <c r="BC459" t="s">
        <v>2701</v>
      </c>
      <c r="BD459" t="s">
        <v>856</v>
      </c>
      <c r="BG459" t="s">
        <v>333</v>
      </c>
      <c r="BH459" s="1">
        <v>45231.833333333336</v>
      </c>
      <c r="BI459">
        <v>40</v>
      </c>
      <c r="BJ459">
        <v>0</v>
      </c>
      <c r="BK459">
        <v>8</v>
      </c>
      <c r="BL459">
        <v>8</v>
      </c>
      <c r="BM459">
        <v>8</v>
      </c>
      <c r="BN459">
        <v>8</v>
      </c>
      <c r="BO459">
        <v>8</v>
      </c>
      <c r="BP459">
        <v>0</v>
      </c>
      <c r="BQ459" t="str">
        <f>"6:00 AM"</f>
        <v>6:00 AM</v>
      </c>
      <c r="BR459" t="str">
        <f>"5:00 PM"</f>
        <v>5:00 PM</v>
      </c>
      <c r="BS459" t="s">
        <v>131</v>
      </c>
      <c r="BT459">
        <v>0</v>
      </c>
      <c r="BU459">
        <v>0</v>
      </c>
      <c r="BV459" t="s">
        <v>114</v>
      </c>
      <c r="BX459" t="s">
        <v>3491</v>
      </c>
      <c r="BY459" t="s">
        <v>21175</v>
      </c>
      <c r="CA459" t="s">
        <v>7840</v>
      </c>
      <c r="CB459" t="s">
        <v>333</v>
      </c>
      <c r="CC459" s="8" t="str">
        <f>"70555"</f>
        <v>70555</v>
      </c>
      <c r="CD459" t="s">
        <v>1817</v>
      </c>
      <c r="CE459" t="s">
        <v>1818</v>
      </c>
      <c r="CF459" s="12">
        <v>14.42</v>
      </c>
      <c r="CG459" s="12">
        <v>16.5</v>
      </c>
      <c r="CH459" s="12">
        <v>21.63</v>
      </c>
      <c r="CI459" s="12">
        <v>24.75</v>
      </c>
      <c r="CJ459" t="s">
        <v>135</v>
      </c>
      <c r="CK459" t="s">
        <v>1899</v>
      </c>
      <c r="CL459" t="s">
        <v>21176</v>
      </c>
      <c r="CO459" t="s">
        <v>132</v>
      </c>
      <c r="CP459" t="s">
        <v>136</v>
      </c>
      <c r="CQ459" t="s">
        <v>136</v>
      </c>
      <c r="CR459" t="s">
        <v>136</v>
      </c>
      <c r="CS459" t="s">
        <v>136</v>
      </c>
      <c r="CT459" t="s">
        <v>136</v>
      </c>
      <c r="CU459" t="s">
        <v>136</v>
      </c>
      <c r="CV459" t="s">
        <v>132</v>
      </c>
      <c r="CW459" s="10" t="str">
        <f>"+12252468230"</f>
        <v>+12252468230</v>
      </c>
      <c r="CX459" t="s">
        <v>5430</v>
      </c>
      <c r="CY459" t="s">
        <v>132</v>
      </c>
      <c r="CZ459" t="s">
        <v>137</v>
      </c>
      <c r="DA459" t="s">
        <v>114</v>
      </c>
      <c r="DB459" t="s">
        <v>136</v>
      </c>
      <c r="DC459" t="s">
        <v>136</v>
      </c>
      <c r="DD459" t="s">
        <v>114</v>
      </c>
    </row>
    <row r="460" spans="1:113" ht="15" customHeight="1" x14ac:dyDescent="0.25">
      <c r="A460" t="s">
        <v>21974</v>
      </c>
      <c r="B460" t="s">
        <v>152</v>
      </c>
      <c r="C460" s="1">
        <v>45166.604660532408</v>
      </c>
      <c r="D460" s="1">
        <v>45271</v>
      </c>
      <c r="E460" t="s">
        <v>114</v>
      </c>
      <c r="F460" t="s">
        <v>21975</v>
      </c>
      <c r="G460" t="str">
        <f>"45-3031.00"</f>
        <v>45-3031.00</v>
      </c>
      <c r="H460" t="s">
        <v>3729</v>
      </c>
      <c r="I460">
        <v>5</v>
      </c>
      <c r="J460">
        <v>5</v>
      </c>
      <c r="K460" s="1">
        <v>45241</v>
      </c>
      <c r="L460" s="1">
        <v>45515</v>
      </c>
      <c r="M460" s="1">
        <v>45241</v>
      </c>
      <c r="N460" s="1">
        <v>45515</v>
      </c>
      <c r="O460" t="s">
        <v>238</v>
      </c>
      <c r="P460" t="s">
        <v>21976</v>
      </c>
      <c r="Q460" t="s">
        <v>132</v>
      </c>
      <c r="R460" t="s">
        <v>21977</v>
      </c>
      <c r="S460" t="s">
        <v>132</v>
      </c>
      <c r="T460" t="s">
        <v>21978</v>
      </c>
      <c r="U460" t="s">
        <v>333</v>
      </c>
      <c r="V460" s="8" t="str">
        <f>"71270"</f>
        <v>71270</v>
      </c>
      <c r="W460" t="s">
        <v>118</v>
      </c>
      <c r="X460" t="s">
        <v>132</v>
      </c>
      <c r="Y460" s="10">
        <v>13182457326</v>
      </c>
      <c r="AA460">
        <v>11411</v>
      </c>
      <c r="AB460" t="s">
        <v>21979</v>
      </c>
      <c r="AC460" t="s">
        <v>2716</v>
      </c>
      <c r="AD460" t="s">
        <v>4919</v>
      </c>
      <c r="AE460" t="s">
        <v>629</v>
      </c>
      <c r="AF460" t="s">
        <v>21977</v>
      </c>
      <c r="AH460" t="s">
        <v>21980</v>
      </c>
      <c r="AI460" t="s">
        <v>333</v>
      </c>
      <c r="AJ460" s="8" t="str">
        <f>"71270-6982"</f>
        <v>71270-6982</v>
      </c>
      <c r="AK460" t="s">
        <v>118</v>
      </c>
      <c r="AM460" s="10">
        <v>13182457326</v>
      </c>
      <c r="AO460" t="s">
        <v>21981</v>
      </c>
      <c r="AP460" t="s">
        <v>248</v>
      </c>
      <c r="AQ460" t="s">
        <v>21982</v>
      </c>
      <c r="AR460" t="s">
        <v>21983</v>
      </c>
      <c r="AS460" t="s">
        <v>8064</v>
      </c>
      <c r="AT460" t="s">
        <v>21984</v>
      </c>
      <c r="AU460" t="s">
        <v>132</v>
      </c>
      <c r="AV460" t="s">
        <v>21985</v>
      </c>
      <c r="AW460" t="s">
        <v>375</v>
      </c>
      <c r="AX460" s="8" t="str">
        <f>"28516"</f>
        <v>28516</v>
      </c>
      <c r="AY460" t="s">
        <v>118</v>
      </c>
      <c r="BA460" s="10">
        <v>19167438062</v>
      </c>
      <c r="BC460" t="s">
        <v>21986</v>
      </c>
      <c r="BD460" t="s">
        <v>21987</v>
      </c>
      <c r="BG460" t="s">
        <v>333</v>
      </c>
      <c r="BH460" s="1">
        <v>45165.833333333336</v>
      </c>
      <c r="BI460">
        <v>35</v>
      </c>
      <c r="BJ460">
        <v>5</v>
      </c>
      <c r="BK460">
        <v>5</v>
      </c>
      <c r="BL460">
        <v>5</v>
      </c>
      <c r="BM460">
        <v>5</v>
      </c>
      <c r="BN460">
        <v>5</v>
      </c>
      <c r="BO460">
        <v>5</v>
      </c>
      <c r="BP460">
        <v>0</v>
      </c>
      <c r="BQ460" t="str">
        <f>"6:00 PM"</f>
        <v>6:00 PM</v>
      </c>
      <c r="BR460" t="str">
        <f>"6:00 AM"</f>
        <v>6:00 AM</v>
      </c>
      <c r="BS460" t="s">
        <v>131</v>
      </c>
      <c r="BT460">
        <v>0</v>
      </c>
      <c r="BU460">
        <v>1</v>
      </c>
      <c r="BV460" t="s">
        <v>114</v>
      </c>
      <c r="BX460" s="2" t="s">
        <v>21988</v>
      </c>
      <c r="BY460" t="s">
        <v>21989</v>
      </c>
      <c r="CA460" t="s">
        <v>21990</v>
      </c>
      <c r="CB460" t="s">
        <v>333</v>
      </c>
      <c r="CC460" s="8" t="str">
        <f>"70353"</f>
        <v>70353</v>
      </c>
      <c r="CD460" t="s">
        <v>6546</v>
      </c>
      <c r="CE460" t="s">
        <v>6547</v>
      </c>
      <c r="CF460" s="12">
        <v>19.190000000000001</v>
      </c>
      <c r="CG460" s="12">
        <v>19.190000000000001</v>
      </c>
      <c r="CH460" s="12">
        <v>28.79</v>
      </c>
      <c r="CI460" s="12">
        <v>28.79</v>
      </c>
      <c r="CJ460" t="s">
        <v>135</v>
      </c>
      <c r="CK460" t="s">
        <v>21991</v>
      </c>
      <c r="CL460" t="s">
        <v>21992</v>
      </c>
      <c r="CO460" t="s">
        <v>132</v>
      </c>
      <c r="CP460" t="s">
        <v>114</v>
      </c>
      <c r="CQ460" t="s">
        <v>114</v>
      </c>
      <c r="CR460" t="s">
        <v>136</v>
      </c>
      <c r="CS460" t="s">
        <v>114</v>
      </c>
      <c r="CT460" t="s">
        <v>136</v>
      </c>
      <c r="CU460" t="s">
        <v>136</v>
      </c>
      <c r="CV460" s="2" t="s">
        <v>21993</v>
      </c>
      <c r="CW460" s="10" t="str">
        <f>"+13182457326"</f>
        <v>+13182457326</v>
      </c>
      <c r="CX460" t="s">
        <v>21981</v>
      </c>
      <c r="CY460" t="s">
        <v>132</v>
      </c>
      <c r="CZ460" t="s">
        <v>137</v>
      </c>
      <c r="DA460" t="s">
        <v>114</v>
      </c>
      <c r="DB460" t="s">
        <v>114</v>
      </c>
      <c r="DC460" t="s">
        <v>136</v>
      </c>
      <c r="DD460" t="s">
        <v>114</v>
      </c>
    </row>
    <row r="461" spans="1:113" ht="15" customHeight="1" x14ac:dyDescent="0.25">
      <c r="A461" t="s">
        <v>9320</v>
      </c>
      <c r="B461" t="s">
        <v>152</v>
      </c>
      <c r="C461" s="1">
        <v>45244.629131828704</v>
      </c>
      <c r="D461" s="1">
        <v>45268</v>
      </c>
      <c r="E461" t="s">
        <v>132</v>
      </c>
      <c r="F461" t="s">
        <v>1595</v>
      </c>
      <c r="G461" t="str">
        <f>"37-3011.00"</f>
        <v>37-3011.00</v>
      </c>
      <c r="H461" t="s">
        <v>429</v>
      </c>
      <c r="I461">
        <v>10</v>
      </c>
      <c r="J461">
        <v>10</v>
      </c>
      <c r="K461" s="1">
        <v>45334</v>
      </c>
      <c r="L461" s="1">
        <v>45641</v>
      </c>
      <c r="M461" s="1">
        <v>45334</v>
      </c>
      <c r="N461" s="1">
        <v>45641</v>
      </c>
      <c r="O461" t="s">
        <v>238</v>
      </c>
      <c r="P461" t="s">
        <v>9321</v>
      </c>
      <c r="R461" t="s">
        <v>9322</v>
      </c>
      <c r="T461" t="s">
        <v>9323</v>
      </c>
      <c r="U461" t="s">
        <v>1642</v>
      </c>
      <c r="V461" s="8" t="str">
        <f>"25168"</f>
        <v>25168</v>
      </c>
      <c r="W461" t="s">
        <v>118</v>
      </c>
      <c r="Y461" s="10">
        <v>13045526900</v>
      </c>
      <c r="AA461">
        <v>56173</v>
      </c>
      <c r="AB461" t="s">
        <v>9324</v>
      </c>
      <c r="AC461" t="s">
        <v>2316</v>
      </c>
      <c r="AE461" t="s">
        <v>561</v>
      </c>
      <c r="AF461" t="s">
        <v>9322</v>
      </c>
      <c r="AH461" t="s">
        <v>9323</v>
      </c>
      <c r="AI461" t="s">
        <v>1642</v>
      </c>
      <c r="AJ461" s="8" t="str">
        <f>"25168"</f>
        <v>25168</v>
      </c>
      <c r="AK461" t="s">
        <v>118</v>
      </c>
      <c r="AM461" s="10">
        <v>13045526900</v>
      </c>
      <c r="AO461" t="s">
        <v>9325</v>
      </c>
      <c r="AP461" t="s">
        <v>248</v>
      </c>
      <c r="AQ461" t="s">
        <v>849</v>
      </c>
      <c r="AR461" t="s">
        <v>850</v>
      </c>
      <c r="AS461" t="s">
        <v>132</v>
      </c>
      <c r="AT461" t="s">
        <v>851</v>
      </c>
      <c r="AU461" t="s">
        <v>852</v>
      </c>
      <c r="AV461" t="s">
        <v>853</v>
      </c>
      <c r="AW461" t="s">
        <v>854</v>
      </c>
      <c r="AX461" s="8" t="str">
        <f>"83814"</f>
        <v>83814</v>
      </c>
      <c r="AY461" t="s">
        <v>118</v>
      </c>
      <c r="BA461" s="10">
        <v>12087772654</v>
      </c>
      <c r="BC461" t="s">
        <v>855</v>
      </c>
      <c r="BD461" t="s">
        <v>856</v>
      </c>
      <c r="BG461" t="s">
        <v>1642</v>
      </c>
      <c r="BH461" s="1">
        <v>45243.791666666664</v>
      </c>
      <c r="BI461">
        <v>35</v>
      </c>
      <c r="BJ461">
        <v>0</v>
      </c>
      <c r="BK461">
        <v>7</v>
      </c>
      <c r="BL461">
        <v>7</v>
      </c>
      <c r="BM461">
        <v>7</v>
      </c>
      <c r="BN461">
        <v>7</v>
      </c>
      <c r="BO461">
        <v>7</v>
      </c>
      <c r="BP461">
        <v>0</v>
      </c>
      <c r="BQ461" t="str">
        <f>"8:00 AM"</f>
        <v>8:00 AM</v>
      </c>
      <c r="BR461" t="str">
        <f>"4:30 PM"</f>
        <v>4:30 PM</v>
      </c>
      <c r="BS461" t="s">
        <v>131</v>
      </c>
      <c r="BT461">
        <v>0</v>
      </c>
      <c r="BU461">
        <v>0</v>
      </c>
      <c r="BV461" t="s">
        <v>114</v>
      </c>
      <c r="BX461" s="2" t="s">
        <v>7200</v>
      </c>
      <c r="BY461" t="s">
        <v>9326</v>
      </c>
      <c r="CA461" t="s">
        <v>9327</v>
      </c>
      <c r="CB461" t="s">
        <v>1642</v>
      </c>
      <c r="CC461" s="8" t="str">
        <f>"25560"</f>
        <v>25560</v>
      </c>
      <c r="CD461" t="s">
        <v>6036</v>
      </c>
      <c r="CE461" t="s">
        <v>5487</v>
      </c>
      <c r="CF461" s="12">
        <v>13.64</v>
      </c>
      <c r="CG461" s="12">
        <v>18</v>
      </c>
      <c r="CH461" s="12">
        <v>20.46</v>
      </c>
      <c r="CI461" s="12">
        <v>27</v>
      </c>
      <c r="CJ461" t="s">
        <v>135</v>
      </c>
      <c r="CK461" t="s">
        <v>1899</v>
      </c>
      <c r="CL461" t="s">
        <v>9328</v>
      </c>
      <c r="CO461" t="s">
        <v>132</v>
      </c>
      <c r="CP461" t="s">
        <v>136</v>
      </c>
      <c r="CQ461" t="s">
        <v>136</v>
      </c>
      <c r="CR461" t="s">
        <v>136</v>
      </c>
      <c r="CS461" t="s">
        <v>136</v>
      </c>
      <c r="CT461" t="s">
        <v>136</v>
      </c>
      <c r="CU461" t="s">
        <v>136</v>
      </c>
      <c r="CV461" t="s">
        <v>9329</v>
      </c>
      <c r="CW461" s="10" t="str">
        <f>"+13045526900"</f>
        <v>+13045526900</v>
      </c>
      <c r="CX461" t="s">
        <v>9325</v>
      </c>
      <c r="CY461" t="s">
        <v>132</v>
      </c>
      <c r="CZ461" t="s">
        <v>137</v>
      </c>
      <c r="DA461" t="s">
        <v>114</v>
      </c>
      <c r="DB461" t="s">
        <v>136</v>
      </c>
      <c r="DC461" t="s">
        <v>136</v>
      </c>
      <c r="DD461" t="s">
        <v>114</v>
      </c>
    </row>
    <row r="462" spans="1:113" ht="15" customHeight="1" x14ac:dyDescent="0.25">
      <c r="A462" t="s">
        <v>20037</v>
      </c>
      <c r="B462" t="s">
        <v>152</v>
      </c>
      <c r="C462" s="1">
        <v>45244.397237962963</v>
      </c>
      <c r="D462" s="1">
        <v>45268</v>
      </c>
      <c r="E462" t="s">
        <v>132</v>
      </c>
      <c r="F462" t="s">
        <v>1595</v>
      </c>
      <c r="G462" t="str">
        <f>"37-3011.00"</f>
        <v>37-3011.00</v>
      </c>
      <c r="H462" t="s">
        <v>429</v>
      </c>
      <c r="I462">
        <v>45</v>
      </c>
      <c r="J462">
        <v>45</v>
      </c>
      <c r="K462" s="1">
        <v>45334</v>
      </c>
      <c r="L462" s="1">
        <v>45637</v>
      </c>
      <c r="M462" s="1">
        <v>45334</v>
      </c>
      <c r="N462" s="1">
        <v>45637</v>
      </c>
      <c r="O462" t="s">
        <v>116</v>
      </c>
      <c r="P462" t="s">
        <v>20038</v>
      </c>
      <c r="R462" t="s">
        <v>20039</v>
      </c>
      <c r="T462" t="s">
        <v>20040</v>
      </c>
      <c r="U462" t="s">
        <v>543</v>
      </c>
      <c r="V462" s="8" t="str">
        <f>"44224"</f>
        <v>44224</v>
      </c>
      <c r="W462" t="s">
        <v>118</v>
      </c>
      <c r="Y462" s="10">
        <v>13306860901</v>
      </c>
      <c r="AA462">
        <v>561730</v>
      </c>
      <c r="AB462" t="s">
        <v>20041</v>
      </c>
      <c r="AC462" t="s">
        <v>2238</v>
      </c>
      <c r="AE462" t="s">
        <v>561</v>
      </c>
      <c r="AF462" t="s">
        <v>20039</v>
      </c>
      <c r="AH462" t="s">
        <v>20040</v>
      </c>
      <c r="AI462" t="s">
        <v>543</v>
      </c>
      <c r="AJ462" s="8" t="str">
        <f>"44224"</f>
        <v>44224</v>
      </c>
      <c r="AK462" t="s">
        <v>118</v>
      </c>
      <c r="AM462" s="10">
        <v>13306860901</v>
      </c>
      <c r="AO462" t="s">
        <v>20042</v>
      </c>
      <c r="AP462" t="s">
        <v>248</v>
      </c>
      <c r="AQ462" t="s">
        <v>3539</v>
      </c>
      <c r="AR462" t="s">
        <v>3540</v>
      </c>
      <c r="AT462" t="s">
        <v>1584</v>
      </c>
      <c r="AV462" t="s">
        <v>1585</v>
      </c>
      <c r="AW462" t="s">
        <v>127</v>
      </c>
      <c r="AX462" s="8" t="str">
        <f>"77414"</f>
        <v>77414</v>
      </c>
      <c r="AY462" t="s">
        <v>118</v>
      </c>
      <c r="BA462" s="10">
        <v>19793187290</v>
      </c>
      <c r="BC462" t="s">
        <v>3541</v>
      </c>
      <c r="BD462" t="s">
        <v>1587</v>
      </c>
      <c r="BG462" t="s">
        <v>543</v>
      </c>
      <c r="BH462" s="1">
        <v>45243.791666666664</v>
      </c>
      <c r="BI462">
        <v>40</v>
      </c>
      <c r="BJ462">
        <v>0</v>
      </c>
      <c r="BK462">
        <v>8</v>
      </c>
      <c r="BL462">
        <v>8</v>
      </c>
      <c r="BM462">
        <v>8</v>
      </c>
      <c r="BN462">
        <v>8</v>
      </c>
      <c r="BO462">
        <v>8</v>
      </c>
      <c r="BP462">
        <v>0</v>
      </c>
      <c r="BQ462" t="str">
        <f>"7:00 AM"</f>
        <v>7:00 AM</v>
      </c>
      <c r="BR462" t="str">
        <f>"4:00 PM"</f>
        <v>4:00 PM</v>
      </c>
      <c r="BS462" t="s">
        <v>131</v>
      </c>
      <c r="BT462">
        <v>0</v>
      </c>
      <c r="BU462">
        <v>0</v>
      </c>
      <c r="BV462" t="s">
        <v>114</v>
      </c>
      <c r="BX462" s="2" t="s">
        <v>20043</v>
      </c>
      <c r="BY462" t="s">
        <v>20044</v>
      </c>
      <c r="CA462" t="s">
        <v>20040</v>
      </c>
      <c r="CB462" t="s">
        <v>543</v>
      </c>
      <c r="CC462" s="8" t="str">
        <f>"44224"</f>
        <v>44224</v>
      </c>
      <c r="CD462" t="s">
        <v>228</v>
      </c>
      <c r="CE462" t="s">
        <v>4849</v>
      </c>
      <c r="CF462" s="12">
        <v>16.489999999999998</v>
      </c>
      <c r="CG462" s="12">
        <v>20</v>
      </c>
      <c r="CH462" s="12">
        <v>24.74</v>
      </c>
      <c r="CI462" s="12">
        <v>30</v>
      </c>
      <c r="CJ462" t="s">
        <v>135</v>
      </c>
      <c r="CK462" t="s">
        <v>11294</v>
      </c>
      <c r="CL462" t="s">
        <v>20045</v>
      </c>
      <c r="CO462" t="s">
        <v>132</v>
      </c>
      <c r="CP462" t="s">
        <v>136</v>
      </c>
      <c r="CQ462" t="s">
        <v>136</v>
      </c>
      <c r="CR462" t="s">
        <v>136</v>
      </c>
      <c r="CS462" t="s">
        <v>136</v>
      </c>
      <c r="CT462" t="s">
        <v>136</v>
      </c>
      <c r="CU462" t="s">
        <v>136</v>
      </c>
      <c r="CV462" s="2" t="s">
        <v>20046</v>
      </c>
      <c r="CW462" s="10" t="str">
        <f>"+13306860901"</f>
        <v>+13306860901</v>
      </c>
      <c r="CX462" t="s">
        <v>20047</v>
      </c>
      <c r="CY462" t="s">
        <v>132</v>
      </c>
      <c r="CZ462" t="s">
        <v>137</v>
      </c>
      <c r="DA462" t="s">
        <v>114</v>
      </c>
      <c r="DB462" t="s">
        <v>114</v>
      </c>
      <c r="DC462" t="s">
        <v>136</v>
      </c>
      <c r="DD462" t="s">
        <v>114</v>
      </c>
    </row>
    <row r="463" spans="1:113" ht="15" customHeight="1" x14ac:dyDescent="0.25">
      <c r="A463" t="s">
        <v>11104</v>
      </c>
      <c r="B463" t="s">
        <v>152</v>
      </c>
      <c r="C463" s="1">
        <v>45244.392585300928</v>
      </c>
      <c r="D463" s="1">
        <v>45268</v>
      </c>
      <c r="E463" t="s">
        <v>132</v>
      </c>
      <c r="F463" t="s">
        <v>1595</v>
      </c>
      <c r="G463" t="str">
        <f>"37-3011.00"</f>
        <v>37-3011.00</v>
      </c>
      <c r="H463" t="s">
        <v>429</v>
      </c>
      <c r="I463">
        <v>7</v>
      </c>
      <c r="J463">
        <v>7</v>
      </c>
      <c r="K463" s="1">
        <v>45334</v>
      </c>
      <c r="L463" s="1">
        <v>45639</v>
      </c>
      <c r="M463" s="1">
        <v>45334</v>
      </c>
      <c r="N463" s="1">
        <v>45639</v>
      </c>
      <c r="O463" t="s">
        <v>116</v>
      </c>
      <c r="P463" t="s">
        <v>11105</v>
      </c>
      <c r="R463" t="s">
        <v>11106</v>
      </c>
      <c r="S463" t="s">
        <v>11107</v>
      </c>
      <c r="T463" t="s">
        <v>3153</v>
      </c>
      <c r="U463" t="s">
        <v>1734</v>
      </c>
      <c r="V463" s="8" t="str">
        <f>"66030"</f>
        <v>66030</v>
      </c>
      <c r="W463" t="s">
        <v>118</v>
      </c>
      <c r="X463" t="s">
        <v>132</v>
      </c>
      <c r="Y463" s="10">
        <v>19137646159</v>
      </c>
      <c r="AA463">
        <v>56173</v>
      </c>
      <c r="AB463" t="s">
        <v>8105</v>
      </c>
      <c r="AC463" t="s">
        <v>4795</v>
      </c>
      <c r="AD463" t="s">
        <v>11108</v>
      </c>
      <c r="AE463" t="s">
        <v>987</v>
      </c>
      <c r="AF463" t="s">
        <v>11106</v>
      </c>
      <c r="AG463" t="s">
        <v>11107</v>
      </c>
      <c r="AH463" t="s">
        <v>3153</v>
      </c>
      <c r="AI463" t="s">
        <v>1734</v>
      </c>
      <c r="AJ463" s="8" t="str">
        <f>"66030"</f>
        <v>66030</v>
      </c>
      <c r="AK463" t="s">
        <v>118</v>
      </c>
      <c r="AM463" s="10">
        <v>19137646159</v>
      </c>
      <c r="AO463" t="s">
        <v>11109</v>
      </c>
      <c r="AP463" t="s">
        <v>248</v>
      </c>
      <c r="AQ463" t="s">
        <v>1860</v>
      </c>
      <c r="AR463" t="s">
        <v>1861</v>
      </c>
      <c r="AS463" t="s">
        <v>1862</v>
      </c>
      <c r="AT463" t="s">
        <v>1863</v>
      </c>
      <c r="AU463" t="s">
        <v>1864</v>
      </c>
      <c r="AV463" t="s">
        <v>1865</v>
      </c>
      <c r="AW463" t="s">
        <v>581</v>
      </c>
      <c r="AX463" s="8" t="str">
        <f>"24521"</f>
        <v>24521</v>
      </c>
      <c r="AY463" t="s">
        <v>118</v>
      </c>
      <c r="BA463" s="10">
        <v>14349460035</v>
      </c>
      <c r="BB463">
        <v>11</v>
      </c>
      <c r="BC463" t="s">
        <v>1866</v>
      </c>
      <c r="BD463" t="s">
        <v>1867</v>
      </c>
      <c r="BG463" t="s">
        <v>1734</v>
      </c>
      <c r="BH463" s="1">
        <v>45243.791666666664</v>
      </c>
      <c r="BI463">
        <v>40</v>
      </c>
      <c r="BJ463">
        <v>0</v>
      </c>
      <c r="BK463">
        <v>8</v>
      </c>
      <c r="BL463">
        <v>8</v>
      </c>
      <c r="BM463">
        <v>8</v>
      </c>
      <c r="BN463">
        <v>8</v>
      </c>
      <c r="BO463">
        <v>8</v>
      </c>
      <c r="BP463">
        <v>0</v>
      </c>
      <c r="BQ463" t="str">
        <f>"8:00 AM"</f>
        <v>8:00 AM</v>
      </c>
      <c r="BR463" t="str">
        <f>"4:30 PM"</f>
        <v>4:30 PM</v>
      </c>
      <c r="BS463" t="s">
        <v>131</v>
      </c>
      <c r="BT463">
        <v>0</v>
      </c>
      <c r="BU463">
        <v>3</v>
      </c>
      <c r="BV463" t="s">
        <v>114</v>
      </c>
      <c r="BX463" s="2" t="s">
        <v>11110</v>
      </c>
      <c r="BY463" t="s">
        <v>11111</v>
      </c>
      <c r="CA463" t="s">
        <v>3153</v>
      </c>
      <c r="CB463" t="s">
        <v>1734</v>
      </c>
      <c r="CC463" s="8" t="str">
        <f>"66030"</f>
        <v>66030</v>
      </c>
      <c r="CD463" t="s">
        <v>1969</v>
      </c>
      <c r="CE463" t="s">
        <v>2431</v>
      </c>
      <c r="CF463" s="12">
        <v>17.47</v>
      </c>
      <c r="CG463" s="12">
        <v>17.47</v>
      </c>
      <c r="CH463" s="12">
        <v>26.21</v>
      </c>
      <c r="CI463" s="12">
        <v>26.21</v>
      </c>
      <c r="CJ463" t="s">
        <v>135</v>
      </c>
      <c r="CK463" t="s">
        <v>2929</v>
      </c>
      <c r="CL463" t="s">
        <v>11112</v>
      </c>
      <c r="CO463" t="s">
        <v>132</v>
      </c>
      <c r="CP463" t="s">
        <v>136</v>
      </c>
      <c r="CQ463" t="s">
        <v>136</v>
      </c>
      <c r="CR463" t="s">
        <v>136</v>
      </c>
      <c r="CS463" t="s">
        <v>114</v>
      </c>
      <c r="CT463" t="s">
        <v>136</v>
      </c>
      <c r="CU463" t="s">
        <v>136</v>
      </c>
      <c r="CV463" s="2" t="s">
        <v>11113</v>
      </c>
      <c r="CW463" s="10" t="str">
        <f>"+19137646159"</f>
        <v>+19137646159</v>
      </c>
      <c r="CX463" t="s">
        <v>11109</v>
      </c>
      <c r="CY463" t="s">
        <v>132</v>
      </c>
      <c r="CZ463" t="s">
        <v>137</v>
      </c>
      <c r="DA463" t="s">
        <v>114</v>
      </c>
      <c r="DB463" t="s">
        <v>136</v>
      </c>
      <c r="DC463" t="s">
        <v>136</v>
      </c>
      <c r="DD463" t="s">
        <v>114</v>
      </c>
    </row>
    <row r="464" spans="1:113" ht="15" customHeight="1" x14ac:dyDescent="0.25">
      <c r="A464" t="s">
        <v>16516</v>
      </c>
      <c r="B464" t="s">
        <v>152</v>
      </c>
      <c r="C464" s="1">
        <v>45244.274982060182</v>
      </c>
      <c r="D464" s="1">
        <v>45268</v>
      </c>
      <c r="E464" t="s">
        <v>132</v>
      </c>
      <c r="F464" t="s">
        <v>16517</v>
      </c>
      <c r="G464" t="str">
        <f>"37-3011.00"</f>
        <v>37-3011.00</v>
      </c>
      <c r="H464" t="s">
        <v>429</v>
      </c>
      <c r="I464">
        <v>5</v>
      </c>
      <c r="J464">
        <v>5</v>
      </c>
      <c r="K464" s="1">
        <v>45334</v>
      </c>
      <c r="L464" s="1">
        <v>45626</v>
      </c>
      <c r="M464" s="1">
        <v>45334</v>
      </c>
      <c r="N464" s="1">
        <v>45626</v>
      </c>
      <c r="O464" t="s">
        <v>116</v>
      </c>
      <c r="P464" t="s">
        <v>16518</v>
      </c>
      <c r="R464" t="s">
        <v>16519</v>
      </c>
      <c r="T464" t="s">
        <v>9277</v>
      </c>
      <c r="U464" t="s">
        <v>140</v>
      </c>
      <c r="V464" s="8" t="str">
        <f>"32439"</f>
        <v>32439</v>
      </c>
      <c r="W464" t="s">
        <v>118</v>
      </c>
      <c r="Y464" s="10">
        <v>18508351847</v>
      </c>
      <c r="AA464">
        <v>56173</v>
      </c>
      <c r="AB464" t="s">
        <v>16520</v>
      </c>
      <c r="AC464" t="s">
        <v>2947</v>
      </c>
      <c r="AE464" t="s">
        <v>9003</v>
      </c>
      <c r="AF464" t="s">
        <v>16519</v>
      </c>
      <c r="AH464" t="s">
        <v>9277</v>
      </c>
      <c r="AI464" t="s">
        <v>140</v>
      </c>
      <c r="AJ464" s="8" t="str">
        <f>"32439"</f>
        <v>32439</v>
      </c>
      <c r="AK464" t="s">
        <v>118</v>
      </c>
      <c r="AM464" s="10">
        <v>18508351847</v>
      </c>
      <c r="AO464" t="s">
        <v>132</v>
      </c>
      <c r="AP464" t="s">
        <v>248</v>
      </c>
      <c r="AQ464" t="s">
        <v>673</v>
      </c>
      <c r="AR464" t="s">
        <v>674</v>
      </c>
      <c r="AT464" t="s">
        <v>579</v>
      </c>
      <c r="AV464" t="s">
        <v>580</v>
      </c>
      <c r="AW464" t="s">
        <v>581</v>
      </c>
      <c r="AX464" s="8" t="str">
        <f>"22903"</f>
        <v>22903</v>
      </c>
      <c r="AY464" t="s">
        <v>118</v>
      </c>
      <c r="BA464" s="10">
        <v>14342634300</v>
      </c>
      <c r="BC464" t="s">
        <v>675</v>
      </c>
      <c r="BD464" t="s">
        <v>583</v>
      </c>
      <c r="BG464" t="s">
        <v>140</v>
      </c>
      <c r="BH464" s="1">
        <v>45243.791666666664</v>
      </c>
      <c r="BI464">
        <v>40</v>
      </c>
      <c r="BJ464">
        <v>0</v>
      </c>
      <c r="BK464">
        <v>8</v>
      </c>
      <c r="BL464">
        <v>8</v>
      </c>
      <c r="BM464">
        <v>8</v>
      </c>
      <c r="BN464">
        <v>8</v>
      </c>
      <c r="BO464">
        <v>8</v>
      </c>
      <c r="BP464">
        <v>0</v>
      </c>
      <c r="BQ464" t="str">
        <f>"6:00 AM"</f>
        <v>6:00 AM</v>
      </c>
      <c r="BR464" t="str">
        <f>"2:30 PM"</f>
        <v>2:30 PM</v>
      </c>
      <c r="BS464" t="s">
        <v>131</v>
      </c>
      <c r="BT464">
        <v>0</v>
      </c>
      <c r="BU464">
        <v>0</v>
      </c>
      <c r="BV464" t="s">
        <v>114</v>
      </c>
      <c r="BX464" s="2" t="s">
        <v>2416</v>
      </c>
      <c r="BY464" t="s">
        <v>16521</v>
      </c>
      <c r="CA464" t="s">
        <v>9277</v>
      </c>
      <c r="CB464" t="s">
        <v>140</v>
      </c>
      <c r="CC464" s="8" t="str">
        <f>"32439"</f>
        <v>32439</v>
      </c>
      <c r="CD464" t="s">
        <v>3313</v>
      </c>
      <c r="CE464" t="s">
        <v>3314</v>
      </c>
      <c r="CF464" s="12">
        <v>16.25</v>
      </c>
      <c r="CG464" s="12">
        <v>16.25</v>
      </c>
      <c r="CH464" s="12">
        <v>24.38</v>
      </c>
      <c r="CI464" s="12">
        <v>24.38</v>
      </c>
      <c r="CJ464" t="s">
        <v>135</v>
      </c>
      <c r="CK464" t="s">
        <v>590</v>
      </c>
      <c r="CL464" t="s">
        <v>16522</v>
      </c>
      <c r="CO464" t="s">
        <v>132</v>
      </c>
      <c r="CP464" t="s">
        <v>136</v>
      </c>
      <c r="CQ464" t="s">
        <v>114</v>
      </c>
      <c r="CR464" t="s">
        <v>136</v>
      </c>
      <c r="CS464" t="s">
        <v>136</v>
      </c>
      <c r="CT464" t="s">
        <v>136</v>
      </c>
      <c r="CU464" t="s">
        <v>136</v>
      </c>
      <c r="CV464" t="s">
        <v>2136</v>
      </c>
      <c r="CW464" s="10" t="str">
        <f>"N/A"</f>
        <v>N/A</v>
      </c>
      <c r="CX464" t="s">
        <v>16523</v>
      </c>
      <c r="CY464" t="s">
        <v>1876</v>
      </c>
      <c r="CZ464" t="s">
        <v>137</v>
      </c>
      <c r="DA464" t="s">
        <v>114</v>
      </c>
      <c r="DB464" t="s">
        <v>136</v>
      </c>
      <c r="DC464" t="s">
        <v>136</v>
      </c>
      <c r="DD464" t="s">
        <v>114</v>
      </c>
      <c r="DE464" t="s">
        <v>673</v>
      </c>
      <c r="DF464" t="s">
        <v>674</v>
      </c>
      <c r="DH464" t="s">
        <v>583</v>
      </c>
      <c r="DI464" t="s">
        <v>675</v>
      </c>
    </row>
    <row r="465" spans="1:113" ht="15" customHeight="1" x14ac:dyDescent="0.25">
      <c r="A465" t="s">
        <v>7806</v>
      </c>
      <c r="B465" t="s">
        <v>152</v>
      </c>
      <c r="C465" s="1">
        <v>45243.531913541665</v>
      </c>
      <c r="D465" s="1">
        <v>45268</v>
      </c>
      <c r="E465" t="s">
        <v>132</v>
      </c>
      <c r="F465" t="s">
        <v>2491</v>
      </c>
      <c r="G465" t="str">
        <f>"35-9021.00"</f>
        <v>35-9021.00</v>
      </c>
      <c r="H465" t="s">
        <v>501</v>
      </c>
      <c r="I465">
        <v>2</v>
      </c>
      <c r="J465">
        <v>2</v>
      </c>
      <c r="K465" s="1">
        <v>45333</v>
      </c>
      <c r="L465" s="1">
        <v>45505</v>
      </c>
      <c r="M465" s="1">
        <v>45333</v>
      </c>
      <c r="N465" s="1">
        <v>45505</v>
      </c>
      <c r="O465" t="s">
        <v>116</v>
      </c>
      <c r="P465" t="s">
        <v>5868</v>
      </c>
      <c r="Q465" t="s">
        <v>5869</v>
      </c>
      <c r="R465" t="s">
        <v>5870</v>
      </c>
      <c r="T465" t="s">
        <v>5871</v>
      </c>
      <c r="U465" t="s">
        <v>402</v>
      </c>
      <c r="V465" s="8" t="str">
        <f>"92270"</f>
        <v>92270</v>
      </c>
      <c r="W465" t="s">
        <v>118</v>
      </c>
      <c r="Y465" s="10">
        <v>17605682727</v>
      </c>
      <c r="AA465">
        <v>72111</v>
      </c>
      <c r="AB465" t="s">
        <v>5872</v>
      </c>
      <c r="AC465" t="s">
        <v>5873</v>
      </c>
      <c r="AE465" t="s">
        <v>2999</v>
      </c>
      <c r="AF465" t="s">
        <v>5870</v>
      </c>
      <c r="AH465" t="s">
        <v>5871</v>
      </c>
      <c r="AI465" t="s">
        <v>402</v>
      </c>
      <c r="AJ465" s="8" t="str">
        <f>"92270"</f>
        <v>92270</v>
      </c>
      <c r="AK465" t="s">
        <v>118</v>
      </c>
      <c r="AM465" s="10">
        <v>17605682727</v>
      </c>
      <c r="AO465" t="s">
        <v>5874</v>
      </c>
      <c r="AP465" t="s">
        <v>248</v>
      </c>
      <c r="AQ465" t="s">
        <v>960</v>
      </c>
      <c r="AR465" t="s">
        <v>961</v>
      </c>
      <c r="AS465" t="s">
        <v>962</v>
      </c>
      <c r="AT465" t="s">
        <v>963</v>
      </c>
      <c r="AU465" t="s">
        <v>296</v>
      </c>
      <c r="AV465" t="s">
        <v>964</v>
      </c>
      <c r="AW465" t="s">
        <v>127</v>
      </c>
      <c r="AX465" s="8" t="str">
        <f>"75033"</f>
        <v>75033</v>
      </c>
      <c r="AY465" t="s">
        <v>118</v>
      </c>
      <c r="BA465" s="10">
        <v>19727789690</v>
      </c>
      <c r="BC465" t="s">
        <v>1919</v>
      </c>
      <c r="BD465" t="s">
        <v>966</v>
      </c>
      <c r="BG465" t="s">
        <v>402</v>
      </c>
      <c r="BH465" s="1">
        <v>45242.791666666664</v>
      </c>
      <c r="BI465">
        <v>40</v>
      </c>
      <c r="BJ465">
        <v>8</v>
      </c>
      <c r="BK465">
        <v>0</v>
      </c>
      <c r="BL465">
        <v>0</v>
      </c>
      <c r="BM465">
        <v>8</v>
      </c>
      <c r="BN465">
        <v>8</v>
      </c>
      <c r="BO465">
        <v>8</v>
      </c>
      <c r="BP465">
        <v>8</v>
      </c>
      <c r="BQ465" t="str">
        <f>"7:30 AM"</f>
        <v>7:30 AM</v>
      </c>
      <c r="BR465" t="str">
        <f>"4:00 PM"</f>
        <v>4:00 PM</v>
      </c>
      <c r="BS465" t="s">
        <v>131</v>
      </c>
      <c r="BT465">
        <v>0</v>
      </c>
      <c r="BU465">
        <v>0</v>
      </c>
      <c r="BV465" t="s">
        <v>114</v>
      </c>
      <c r="BX465" s="2" t="s">
        <v>7807</v>
      </c>
      <c r="BY465" t="s">
        <v>5870</v>
      </c>
      <c r="CA465" t="s">
        <v>5871</v>
      </c>
      <c r="CB465" t="s">
        <v>402</v>
      </c>
      <c r="CC465" s="8" t="str">
        <f>"92270"</f>
        <v>92270</v>
      </c>
      <c r="CD465" t="s">
        <v>5876</v>
      </c>
      <c r="CE465" t="s">
        <v>4484</v>
      </c>
      <c r="CF465" s="12">
        <v>15.67</v>
      </c>
      <c r="CH465" s="12">
        <v>23.51</v>
      </c>
      <c r="CJ465" t="s">
        <v>135</v>
      </c>
      <c r="CK465" t="s">
        <v>1840</v>
      </c>
      <c r="CL465" t="s">
        <v>7808</v>
      </c>
      <c r="CO465" t="s">
        <v>132</v>
      </c>
      <c r="CP465" t="s">
        <v>114</v>
      </c>
      <c r="CQ465" t="s">
        <v>114</v>
      </c>
      <c r="CR465" t="s">
        <v>136</v>
      </c>
      <c r="CS465" t="s">
        <v>136</v>
      </c>
      <c r="CT465" t="s">
        <v>136</v>
      </c>
      <c r="CU465" t="s">
        <v>136</v>
      </c>
      <c r="CV465" s="2" t="s">
        <v>5879</v>
      </c>
      <c r="CW465" s="10" t="str">
        <f>"+17605682727"</f>
        <v>+17605682727</v>
      </c>
      <c r="CX465" t="s">
        <v>132</v>
      </c>
      <c r="CY465" t="s">
        <v>5880</v>
      </c>
      <c r="CZ465" t="s">
        <v>137</v>
      </c>
      <c r="DA465" t="s">
        <v>114</v>
      </c>
      <c r="DB465" t="s">
        <v>114</v>
      </c>
      <c r="DC465" t="s">
        <v>136</v>
      </c>
      <c r="DD465" t="s">
        <v>114</v>
      </c>
    </row>
    <row r="466" spans="1:113" ht="15" customHeight="1" x14ac:dyDescent="0.25">
      <c r="A466" t="s">
        <v>18065</v>
      </c>
      <c r="B466" t="s">
        <v>152</v>
      </c>
      <c r="C466" s="1">
        <v>45243.529874074076</v>
      </c>
      <c r="D466" s="1">
        <v>45268</v>
      </c>
      <c r="E466" t="s">
        <v>132</v>
      </c>
      <c r="F466" t="s">
        <v>18066</v>
      </c>
      <c r="G466" t="str">
        <f>"33-9092.00"</f>
        <v>33-9092.00</v>
      </c>
      <c r="H466" t="s">
        <v>5975</v>
      </c>
      <c r="I466">
        <v>12</v>
      </c>
      <c r="J466">
        <v>12</v>
      </c>
      <c r="K466" s="1">
        <v>45333</v>
      </c>
      <c r="L466" s="1">
        <v>45505</v>
      </c>
      <c r="M466" s="1">
        <v>45333</v>
      </c>
      <c r="N466" s="1">
        <v>45505</v>
      </c>
      <c r="O466" t="s">
        <v>116</v>
      </c>
      <c r="P466" t="s">
        <v>5868</v>
      </c>
      <c r="Q466" t="s">
        <v>5869</v>
      </c>
      <c r="R466" t="s">
        <v>5870</v>
      </c>
      <c r="T466" t="s">
        <v>5871</v>
      </c>
      <c r="U466" t="s">
        <v>402</v>
      </c>
      <c r="V466" s="8" t="str">
        <f>"92270"</f>
        <v>92270</v>
      </c>
      <c r="W466" t="s">
        <v>118</v>
      </c>
      <c r="Y466" s="10">
        <v>17605682727</v>
      </c>
      <c r="AA466">
        <v>72111</v>
      </c>
      <c r="AB466" t="s">
        <v>5872</v>
      </c>
      <c r="AC466" t="s">
        <v>5873</v>
      </c>
      <c r="AE466" t="s">
        <v>2999</v>
      </c>
      <c r="AF466" t="s">
        <v>5870</v>
      </c>
      <c r="AH466" t="s">
        <v>5871</v>
      </c>
      <c r="AI466" t="s">
        <v>402</v>
      </c>
      <c r="AJ466" s="8" t="str">
        <f>"92270"</f>
        <v>92270</v>
      </c>
      <c r="AK466" t="s">
        <v>118</v>
      </c>
      <c r="AM466" s="10">
        <v>17605682727</v>
      </c>
      <c r="AO466" t="s">
        <v>5874</v>
      </c>
      <c r="AP466" t="s">
        <v>248</v>
      </c>
      <c r="AQ466" t="s">
        <v>960</v>
      </c>
      <c r="AR466" t="s">
        <v>961</v>
      </c>
      <c r="AS466" t="s">
        <v>962</v>
      </c>
      <c r="AT466" t="s">
        <v>963</v>
      </c>
      <c r="AU466" t="s">
        <v>296</v>
      </c>
      <c r="AV466" t="s">
        <v>964</v>
      </c>
      <c r="AW466" t="s">
        <v>127</v>
      </c>
      <c r="AX466" s="8" t="str">
        <f>"75033"</f>
        <v>75033</v>
      </c>
      <c r="AY466" t="s">
        <v>118</v>
      </c>
      <c r="BA466" s="10">
        <v>19727789690</v>
      </c>
      <c r="BC466" t="s">
        <v>1919</v>
      </c>
      <c r="BD466" t="s">
        <v>966</v>
      </c>
      <c r="BG466" t="s">
        <v>402</v>
      </c>
      <c r="BH466" s="1">
        <v>45242.791666666664</v>
      </c>
      <c r="BI466">
        <v>40</v>
      </c>
      <c r="BJ466">
        <v>8</v>
      </c>
      <c r="BK466">
        <v>0</v>
      </c>
      <c r="BL466">
        <v>0</v>
      </c>
      <c r="BM466">
        <v>8</v>
      </c>
      <c r="BN466">
        <v>8</v>
      </c>
      <c r="BO466">
        <v>8</v>
      </c>
      <c r="BP466">
        <v>8</v>
      </c>
      <c r="BQ466" t="str">
        <f>"8:45 AM"</f>
        <v>8:45 AM</v>
      </c>
      <c r="BR466" t="str">
        <f>"6:15 PM"</f>
        <v>6:15 PM</v>
      </c>
      <c r="BS466" t="s">
        <v>131</v>
      </c>
      <c r="BT466">
        <v>0</v>
      </c>
      <c r="BU466">
        <v>0</v>
      </c>
      <c r="BV466" t="s">
        <v>114</v>
      </c>
      <c r="BX466" s="2" t="s">
        <v>18067</v>
      </c>
      <c r="BY466" t="s">
        <v>5870</v>
      </c>
      <c r="CA466" t="s">
        <v>5871</v>
      </c>
      <c r="CB466" t="s">
        <v>402</v>
      </c>
      <c r="CC466" s="8" t="str">
        <f>"92270"</f>
        <v>92270</v>
      </c>
      <c r="CD466" t="s">
        <v>5876</v>
      </c>
      <c r="CE466" t="s">
        <v>4484</v>
      </c>
      <c r="CF466" s="12">
        <v>17.5</v>
      </c>
      <c r="CH466" s="12">
        <v>26.25</v>
      </c>
      <c r="CJ466" t="s">
        <v>135</v>
      </c>
      <c r="CK466" t="s">
        <v>18068</v>
      </c>
      <c r="CL466" t="s">
        <v>18069</v>
      </c>
      <c r="CO466" t="s">
        <v>132</v>
      </c>
      <c r="CP466" t="s">
        <v>114</v>
      </c>
      <c r="CQ466" t="s">
        <v>114</v>
      </c>
      <c r="CR466" t="s">
        <v>136</v>
      </c>
      <c r="CS466" t="s">
        <v>136</v>
      </c>
      <c r="CT466" t="s">
        <v>136</v>
      </c>
      <c r="CU466" t="s">
        <v>136</v>
      </c>
      <c r="CV466" s="2" t="s">
        <v>5879</v>
      </c>
      <c r="CW466" s="10" t="str">
        <f>"+17605682727"</f>
        <v>+17605682727</v>
      </c>
      <c r="CX466" t="s">
        <v>132</v>
      </c>
      <c r="CY466" t="s">
        <v>5880</v>
      </c>
      <c r="CZ466" t="s">
        <v>137</v>
      </c>
      <c r="DA466" t="s">
        <v>114</v>
      </c>
      <c r="DB466" t="s">
        <v>114</v>
      </c>
      <c r="DC466" t="s">
        <v>136</v>
      </c>
      <c r="DD466" t="s">
        <v>114</v>
      </c>
    </row>
    <row r="467" spans="1:113" ht="15" customHeight="1" x14ac:dyDescent="0.25">
      <c r="A467" t="s">
        <v>21081</v>
      </c>
      <c r="B467" t="s">
        <v>152</v>
      </c>
      <c r="C467" s="1">
        <v>45243.528489699071</v>
      </c>
      <c r="D467" s="1">
        <v>45268</v>
      </c>
      <c r="E467" t="s">
        <v>132</v>
      </c>
      <c r="F467" t="s">
        <v>449</v>
      </c>
      <c r="G467" t="str">
        <f>"37-2012.00"</f>
        <v>37-2012.00</v>
      </c>
      <c r="H467" t="s">
        <v>205</v>
      </c>
      <c r="I467">
        <v>22</v>
      </c>
      <c r="J467">
        <v>22</v>
      </c>
      <c r="K467" s="1">
        <v>45333</v>
      </c>
      <c r="L467" s="1">
        <v>45505</v>
      </c>
      <c r="M467" s="1">
        <v>45333</v>
      </c>
      <c r="N467" s="1">
        <v>45505</v>
      </c>
      <c r="O467" t="s">
        <v>116</v>
      </c>
      <c r="P467" t="s">
        <v>5868</v>
      </c>
      <c r="Q467" t="s">
        <v>5869</v>
      </c>
      <c r="R467" t="s">
        <v>5870</v>
      </c>
      <c r="T467" t="s">
        <v>5871</v>
      </c>
      <c r="U467" t="s">
        <v>402</v>
      </c>
      <c r="V467" s="8" t="str">
        <f>"92270"</f>
        <v>92270</v>
      </c>
      <c r="W467" t="s">
        <v>118</v>
      </c>
      <c r="Y467" s="10">
        <v>17605682727</v>
      </c>
      <c r="AA467">
        <v>72111</v>
      </c>
      <c r="AB467" t="s">
        <v>5872</v>
      </c>
      <c r="AC467" t="s">
        <v>5873</v>
      </c>
      <c r="AE467" t="s">
        <v>2999</v>
      </c>
      <c r="AF467" t="s">
        <v>5870</v>
      </c>
      <c r="AH467" t="s">
        <v>5871</v>
      </c>
      <c r="AI467" t="s">
        <v>402</v>
      </c>
      <c r="AJ467" s="8" t="str">
        <f>"92270"</f>
        <v>92270</v>
      </c>
      <c r="AK467" t="s">
        <v>118</v>
      </c>
      <c r="AM467" s="10">
        <v>17605682727</v>
      </c>
      <c r="AO467" t="s">
        <v>5874</v>
      </c>
      <c r="AP467" t="s">
        <v>248</v>
      </c>
      <c r="AQ467" t="s">
        <v>960</v>
      </c>
      <c r="AR467" t="s">
        <v>961</v>
      </c>
      <c r="AS467" t="s">
        <v>962</v>
      </c>
      <c r="AT467" t="s">
        <v>963</v>
      </c>
      <c r="AU467" t="s">
        <v>296</v>
      </c>
      <c r="AV467" t="s">
        <v>964</v>
      </c>
      <c r="AW467" t="s">
        <v>127</v>
      </c>
      <c r="AX467" s="8" t="str">
        <f>"75033"</f>
        <v>75033</v>
      </c>
      <c r="AY467" t="s">
        <v>118</v>
      </c>
      <c r="BA467" s="10">
        <v>19727789690</v>
      </c>
      <c r="BC467" t="s">
        <v>1919</v>
      </c>
      <c r="BD467" t="s">
        <v>966</v>
      </c>
      <c r="BG467" t="s">
        <v>402</v>
      </c>
      <c r="BH467" s="1">
        <v>45242.791666666664</v>
      </c>
      <c r="BI467">
        <v>40</v>
      </c>
      <c r="BJ467">
        <v>8</v>
      </c>
      <c r="BK467">
        <v>0</v>
      </c>
      <c r="BL467">
        <v>0</v>
      </c>
      <c r="BM467">
        <v>8</v>
      </c>
      <c r="BN467">
        <v>8</v>
      </c>
      <c r="BO467">
        <v>8</v>
      </c>
      <c r="BP467">
        <v>8</v>
      </c>
      <c r="BQ467" t="str">
        <f>"8:00 AM"</f>
        <v>8:00 AM</v>
      </c>
      <c r="BR467" t="str">
        <f>"4:30 PM"</f>
        <v>4:30 PM</v>
      </c>
      <c r="BS467" t="s">
        <v>131</v>
      </c>
      <c r="BT467">
        <v>0</v>
      </c>
      <c r="BU467">
        <v>0</v>
      </c>
      <c r="BV467" t="s">
        <v>114</v>
      </c>
      <c r="BX467" s="2" t="s">
        <v>21082</v>
      </c>
      <c r="BY467" t="s">
        <v>5870</v>
      </c>
      <c r="CA467" t="s">
        <v>5871</v>
      </c>
      <c r="CB467" t="s">
        <v>402</v>
      </c>
      <c r="CC467" s="8" t="str">
        <f>"92270"</f>
        <v>92270</v>
      </c>
      <c r="CD467" t="s">
        <v>5876</v>
      </c>
      <c r="CE467" t="s">
        <v>4484</v>
      </c>
      <c r="CF467" s="12">
        <v>17.62</v>
      </c>
      <c r="CH467" s="12">
        <v>26.43</v>
      </c>
      <c r="CJ467" t="s">
        <v>135</v>
      </c>
      <c r="CK467" t="s">
        <v>5877</v>
      </c>
      <c r="CL467" t="s">
        <v>21083</v>
      </c>
      <c r="CO467" t="s">
        <v>132</v>
      </c>
      <c r="CP467" t="s">
        <v>114</v>
      </c>
      <c r="CQ467" t="s">
        <v>114</v>
      </c>
      <c r="CR467" t="s">
        <v>136</v>
      </c>
      <c r="CS467" t="s">
        <v>136</v>
      </c>
      <c r="CT467" t="s">
        <v>136</v>
      </c>
      <c r="CU467" t="s">
        <v>136</v>
      </c>
      <c r="CV467" s="2" t="s">
        <v>5879</v>
      </c>
      <c r="CW467" s="10" t="str">
        <f>"+17605682727"</f>
        <v>+17605682727</v>
      </c>
      <c r="CX467" t="s">
        <v>132</v>
      </c>
      <c r="CY467" t="s">
        <v>5880</v>
      </c>
      <c r="CZ467" t="s">
        <v>137</v>
      </c>
      <c r="DA467" t="s">
        <v>114</v>
      </c>
      <c r="DB467" t="s">
        <v>114</v>
      </c>
      <c r="DC467" t="s">
        <v>136</v>
      </c>
      <c r="DD467" t="s">
        <v>114</v>
      </c>
    </row>
    <row r="468" spans="1:113" ht="15" customHeight="1" x14ac:dyDescent="0.25">
      <c r="A468" t="s">
        <v>22071</v>
      </c>
      <c r="B468" t="s">
        <v>152</v>
      </c>
      <c r="C468" s="1">
        <v>45239.054710416669</v>
      </c>
      <c r="D468" s="1">
        <v>45268</v>
      </c>
      <c r="E468" t="s">
        <v>132</v>
      </c>
      <c r="F468" t="s">
        <v>5534</v>
      </c>
      <c r="G468" t="str">
        <f>"35-3011.00"</f>
        <v>35-3011.00</v>
      </c>
      <c r="H468" t="s">
        <v>2902</v>
      </c>
      <c r="I468">
        <v>2</v>
      </c>
      <c r="J468">
        <v>2</v>
      </c>
      <c r="K468" s="1">
        <v>45329</v>
      </c>
      <c r="L468" s="1">
        <v>45626</v>
      </c>
      <c r="M468" s="1">
        <v>45329</v>
      </c>
      <c r="N468" s="1">
        <v>45626</v>
      </c>
      <c r="O468" t="s">
        <v>116</v>
      </c>
      <c r="P468" t="s">
        <v>8178</v>
      </c>
      <c r="Q468" t="s">
        <v>8179</v>
      </c>
      <c r="R468" t="s">
        <v>8180</v>
      </c>
      <c r="T468" t="s">
        <v>8181</v>
      </c>
      <c r="U468" t="s">
        <v>1691</v>
      </c>
      <c r="V468" s="8" t="str">
        <f>"29455"</f>
        <v>29455</v>
      </c>
      <c r="W468" t="s">
        <v>118</v>
      </c>
      <c r="Y468" s="10">
        <v>18437682700</v>
      </c>
      <c r="AA468">
        <v>72111</v>
      </c>
      <c r="AB468" t="s">
        <v>8182</v>
      </c>
      <c r="AC468" t="s">
        <v>5962</v>
      </c>
      <c r="AE468" t="s">
        <v>1189</v>
      </c>
      <c r="AF468" t="s">
        <v>8183</v>
      </c>
      <c r="AH468" t="s">
        <v>8181</v>
      </c>
      <c r="AI468" t="s">
        <v>1691</v>
      </c>
      <c r="AJ468" s="8" t="str">
        <f>"29455"</f>
        <v>29455</v>
      </c>
      <c r="AK468" t="s">
        <v>118</v>
      </c>
      <c r="AM468" s="10">
        <v>18437682700</v>
      </c>
      <c r="AO468" t="s">
        <v>8184</v>
      </c>
      <c r="AP468" t="s">
        <v>248</v>
      </c>
      <c r="AQ468" t="s">
        <v>960</v>
      </c>
      <c r="AR468" t="s">
        <v>961</v>
      </c>
      <c r="AS468" t="s">
        <v>962</v>
      </c>
      <c r="AT468" t="s">
        <v>963</v>
      </c>
      <c r="AU468" t="s">
        <v>296</v>
      </c>
      <c r="AV468" t="s">
        <v>964</v>
      </c>
      <c r="AW468" t="s">
        <v>127</v>
      </c>
      <c r="AX468" s="8" t="str">
        <f>"75033"</f>
        <v>75033</v>
      </c>
      <c r="AY468" t="s">
        <v>118</v>
      </c>
      <c r="BA468" s="10">
        <v>19727789690</v>
      </c>
      <c r="BC468" t="s">
        <v>1951</v>
      </c>
      <c r="BD468" t="s">
        <v>966</v>
      </c>
      <c r="BG468" t="s">
        <v>1691</v>
      </c>
      <c r="BH468" s="1">
        <v>45238.791666666664</v>
      </c>
      <c r="BI468">
        <v>40</v>
      </c>
      <c r="BJ468">
        <v>8</v>
      </c>
      <c r="BK468">
        <v>8</v>
      </c>
      <c r="BL468">
        <v>0</v>
      </c>
      <c r="BM468">
        <v>8</v>
      </c>
      <c r="BN468">
        <v>0</v>
      </c>
      <c r="BO468">
        <v>8</v>
      </c>
      <c r="BP468">
        <v>8</v>
      </c>
      <c r="BQ468" t="str">
        <f>"5:00 AM"</f>
        <v>5:00 AM</v>
      </c>
      <c r="BR468" t="str">
        <f>"1:00 PM"</f>
        <v>1:00 PM</v>
      </c>
      <c r="BS468" t="s">
        <v>131</v>
      </c>
      <c r="BT468">
        <v>0</v>
      </c>
      <c r="BU468">
        <v>6</v>
      </c>
      <c r="BV468" t="s">
        <v>114</v>
      </c>
      <c r="BX468" s="2" t="s">
        <v>9356</v>
      </c>
      <c r="BY468" t="s">
        <v>8186</v>
      </c>
      <c r="CA468" t="s">
        <v>8187</v>
      </c>
      <c r="CB468" t="s">
        <v>1691</v>
      </c>
      <c r="CC468" s="8" t="str">
        <f>"29455"</f>
        <v>29455</v>
      </c>
      <c r="CD468" t="s">
        <v>1868</v>
      </c>
      <c r="CE468" t="s">
        <v>1869</v>
      </c>
      <c r="CF468" s="12">
        <v>12.27</v>
      </c>
      <c r="CG468" s="12">
        <v>12.27</v>
      </c>
      <c r="CH468" s="12">
        <v>18.41</v>
      </c>
      <c r="CI468" s="12">
        <v>18.41</v>
      </c>
      <c r="CJ468" t="s">
        <v>135</v>
      </c>
      <c r="CK468" t="s">
        <v>973</v>
      </c>
      <c r="CL468" t="s">
        <v>22072</v>
      </c>
      <c r="CO468" t="s">
        <v>132</v>
      </c>
      <c r="CP468" t="s">
        <v>114</v>
      </c>
      <c r="CQ468" t="s">
        <v>136</v>
      </c>
      <c r="CR468" t="s">
        <v>136</v>
      </c>
      <c r="CS468" t="s">
        <v>136</v>
      </c>
      <c r="CT468" t="s">
        <v>136</v>
      </c>
      <c r="CU468" t="s">
        <v>136</v>
      </c>
      <c r="CV468" s="2" t="s">
        <v>11260</v>
      </c>
      <c r="CW468" s="10" t="str">
        <f>"+18437682700"</f>
        <v>+18437682700</v>
      </c>
      <c r="CX468" t="s">
        <v>132</v>
      </c>
      <c r="CY468" t="s">
        <v>8190</v>
      </c>
      <c r="CZ468" t="s">
        <v>137</v>
      </c>
      <c r="DA468" t="s">
        <v>114</v>
      </c>
      <c r="DB468" t="s">
        <v>136</v>
      </c>
      <c r="DC468" t="s">
        <v>136</v>
      </c>
      <c r="DD468" t="s">
        <v>114</v>
      </c>
    </row>
    <row r="469" spans="1:113" ht="15" customHeight="1" x14ac:dyDescent="0.25">
      <c r="A469" t="s">
        <v>18802</v>
      </c>
      <c r="B469" t="s">
        <v>152</v>
      </c>
      <c r="C469" s="1">
        <v>45239.035866550927</v>
      </c>
      <c r="D469" s="1">
        <v>45268</v>
      </c>
      <c r="E469" t="s">
        <v>132</v>
      </c>
      <c r="F469" t="s">
        <v>9507</v>
      </c>
      <c r="G469" t="str">
        <f>"35-9031.00"</f>
        <v>35-9031.00</v>
      </c>
      <c r="H469" t="s">
        <v>916</v>
      </c>
      <c r="I469">
        <v>8</v>
      </c>
      <c r="J469">
        <v>8</v>
      </c>
      <c r="K469" s="1">
        <v>45329</v>
      </c>
      <c r="L469" s="1">
        <v>45626</v>
      </c>
      <c r="M469" s="1">
        <v>45329</v>
      </c>
      <c r="N469" s="1">
        <v>45626</v>
      </c>
      <c r="O469" t="s">
        <v>116</v>
      </c>
      <c r="P469" t="s">
        <v>8178</v>
      </c>
      <c r="Q469" t="s">
        <v>8179</v>
      </c>
      <c r="R469" t="s">
        <v>8180</v>
      </c>
      <c r="T469" t="s">
        <v>8181</v>
      </c>
      <c r="U469" t="s">
        <v>1691</v>
      </c>
      <c r="V469" s="8" t="str">
        <f>"29455"</f>
        <v>29455</v>
      </c>
      <c r="W469" t="s">
        <v>118</v>
      </c>
      <c r="Y469" s="10">
        <v>18437682700</v>
      </c>
      <c r="AA469">
        <v>72111</v>
      </c>
      <c r="AB469" t="s">
        <v>8182</v>
      </c>
      <c r="AC469" t="s">
        <v>5962</v>
      </c>
      <c r="AE469" t="s">
        <v>1189</v>
      </c>
      <c r="AF469" t="s">
        <v>8183</v>
      </c>
      <c r="AH469" t="s">
        <v>8181</v>
      </c>
      <c r="AI469" t="s">
        <v>1691</v>
      </c>
      <c r="AJ469" s="8" t="str">
        <f>"29455"</f>
        <v>29455</v>
      </c>
      <c r="AK469" t="s">
        <v>118</v>
      </c>
      <c r="AM469" s="10">
        <v>18437682700</v>
      </c>
      <c r="AO469" t="s">
        <v>8184</v>
      </c>
      <c r="AP469" t="s">
        <v>248</v>
      </c>
      <c r="AQ469" t="s">
        <v>960</v>
      </c>
      <c r="AR469" t="s">
        <v>961</v>
      </c>
      <c r="AS469" t="s">
        <v>962</v>
      </c>
      <c r="AT469" t="s">
        <v>963</v>
      </c>
      <c r="AU469" t="s">
        <v>296</v>
      </c>
      <c r="AV469" t="s">
        <v>964</v>
      </c>
      <c r="AW469" t="s">
        <v>127</v>
      </c>
      <c r="AX469" s="8" t="str">
        <f>"75033"</f>
        <v>75033</v>
      </c>
      <c r="AY469" t="s">
        <v>118</v>
      </c>
      <c r="BA469" s="10">
        <v>19727789690</v>
      </c>
      <c r="BC469" t="s">
        <v>1951</v>
      </c>
      <c r="BD469" t="s">
        <v>966</v>
      </c>
      <c r="BG469" t="s">
        <v>1691</v>
      </c>
      <c r="BH469" s="1">
        <v>45238.791666666664</v>
      </c>
      <c r="BI469">
        <v>40</v>
      </c>
      <c r="BJ469">
        <v>8</v>
      </c>
      <c r="BK469">
        <v>8</v>
      </c>
      <c r="BL469">
        <v>0</v>
      </c>
      <c r="BM469">
        <v>8</v>
      </c>
      <c r="BN469">
        <v>0</v>
      </c>
      <c r="BO469">
        <v>8</v>
      </c>
      <c r="BP469">
        <v>8</v>
      </c>
      <c r="BQ469" t="str">
        <f>"5:00 AM"</f>
        <v>5:00 AM</v>
      </c>
      <c r="BR469" t="str">
        <f>"1:00 PM"</f>
        <v>1:00 PM</v>
      </c>
      <c r="BS469" t="s">
        <v>131</v>
      </c>
      <c r="BT469">
        <v>0</v>
      </c>
      <c r="BU469">
        <v>0</v>
      </c>
      <c r="BV469" t="s">
        <v>114</v>
      </c>
      <c r="BX469" s="2" t="s">
        <v>9356</v>
      </c>
      <c r="BY469" t="s">
        <v>8186</v>
      </c>
      <c r="CA469" t="s">
        <v>8187</v>
      </c>
      <c r="CB469" t="s">
        <v>1691</v>
      </c>
      <c r="CC469" s="8" t="str">
        <f>"29455"</f>
        <v>29455</v>
      </c>
      <c r="CD469" t="s">
        <v>1868</v>
      </c>
      <c r="CE469" t="s">
        <v>1869</v>
      </c>
      <c r="CF469" s="12">
        <v>15</v>
      </c>
      <c r="CG469" s="12">
        <v>18</v>
      </c>
      <c r="CH469" s="12">
        <v>22.5</v>
      </c>
      <c r="CI469" s="12">
        <v>27</v>
      </c>
      <c r="CJ469" t="s">
        <v>135</v>
      </c>
      <c r="CK469" t="s">
        <v>973</v>
      </c>
      <c r="CL469" t="s">
        <v>18803</v>
      </c>
      <c r="CO469" t="s">
        <v>132</v>
      </c>
      <c r="CP469" t="s">
        <v>114</v>
      </c>
      <c r="CQ469" t="s">
        <v>136</v>
      </c>
      <c r="CR469" t="s">
        <v>136</v>
      </c>
      <c r="CS469" t="s">
        <v>136</v>
      </c>
      <c r="CT469" t="s">
        <v>136</v>
      </c>
      <c r="CU469" t="s">
        <v>136</v>
      </c>
      <c r="CV469" s="2" t="s">
        <v>8189</v>
      </c>
      <c r="CW469" s="10" t="str">
        <f>"+18437682700"</f>
        <v>+18437682700</v>
      </c>
      <c r="CX469" t="s">
        <v>132</v>
      </c>
      <c r="CY469" t="s">
        <v>8190</v>
      </c>
      <c r="CZ469" t="s">
        <v>137</v>
      </c>
      <c r="DA469" t="s">
        <v>114</v>
      </c>
      <c r="DB469" t="s">
        <v>136</v>
      </c>
      <c r="DC469" t="s">
        <v>136</v>
      </c>
      <c r="DD469" t="s">
        <v>114</v>
      </c>
    </row>
    <row r="470" spans="1:113" ht="15" customHeight="1" x14ac:dyDescent="0.25">
      <c r="A470" t="s">
        <v>11036</v>
      </c>
      <c r="B470" t="s">
        <v>152</v>
      </c>
      <c r="C470" s="1">
        <v>45239.014685995367</v>
      </c>
      <c r="D470" s="1">
        <v>45268</v>
      </c>
      <c r="E470" t="s">
        <v>132</v>
      </c>
      <c r="F470" t="s">
        <v>2512</v>
      </c>
      <c r="G470" t="str">
        <f>"35-3031.00"</f>
        <v>35-3031.00</v>
      </c>
      <c r="H470" t="s">
        <v>347</v>
      </c>
      <c r="I470">
        <v>75</v>
      </c>
      <c r="J470">
        <v>75</v>
      </c>
      <c r="K470" s="1">
        <v>45329</v>
      </c>
      <c r="L470" s="1">
        <v>45626</v>
      </c>
      <c r="M470" s="1">
        <v>45329</v>
      </c>
      <c r="N470" s="1">
        <v>45626</v>
      </c>
      <c r="O470" t="s">
        <v>116</v>
      </c>
      <c r="P470" t="s">
        <v>8178</v>
      </c>
      <c r="Q470" t="s">
        <v>8179</v>
      </c>
      <c r="R470" t="s">
        <v>8180</v>
      </c>
      <c r="T470" t="s">
        <v>8181</v>
      </c>
      <c r="U470" t="s">
        <v>1691</v>
      </c>
      <c r="V470" s="8" t="str">
        <f>"29455"</f>
        <v>29455</v>
      </c>
      <c r="W470" t="s">
        <v>118</v>
      </c>
      <c r="Y470" s="10">
        <v>18437682700</v>
      </c>
      <c r="AA470">
        <v>72111</v>
      </c>
      <c r="AB470" t="s">
        <v>8182</v>
      </c>
      <c r="AC470" t="s">
        <v>5962</v>
      </c>
      <c r="AE470" t="s">
        <v>1189</v>
      </c>
      <c r="AF470" t="s">
        <v>8183</v>
      </c>
      <c r="AH470" t="s">
        <v>8181</v>
      </c>
      <c r="AI470" t="s">
        <v>1691</v>
      </c>
      <c r="AJ470" s="8" t="str">
        <f>"29455"</f>
        <v>29455</v>
      </c>
      <c r="AK470" t="s">
        <v>118</v>
      </c>
      <c r="AM470" s="10">
        <v>18437682700</v>
      </c>
      <c r="AO470" t="s">
        <v>8184</v>
      </c>
      <c r="AP470" t="s">
        <v>248</v>
      </c>
      <c r="AQ470" t="s">
        <v>960</v>
      </c>
      <c r="AR470" t="s">
        <v>961</v>
      </c>
      <c r="AS470" t="s">
        <v>962</v>
      </c>
      <c r="AT470" t="s">
        <v>963</v>
      </c>
      <c r="AU470" t="s">
        <v>296</v>
      </c>
      <c r="AV470" t="s">
        <v>964</v>
      </c>
      <c r="AW470" t="s">
        <v>127</v>
      </c>
      <c r="AX470" s="8" t="str">
        <f>"75033"</f>
        <v>75033</v>
      </c>
      <c r="AY470" t="s">
        <v>118</v>
      </c>
      <c r="BA470" s="10">
        <v>19727789690</v>
      </c>
      <c r="BC470" t="s">
        <v>1951</v>
      </c>
      <c r="BD470" t="s">
        <v>966</v>
      </c>
      <c r="BG470" t="s">
        <v>1691</v>
      </c>
      <c r="BH470" s="1">
        <v>45238.791666666664</v>
      </c>
      <c r="BI470">
        <v>40</v>
      </c>
      <c r="BJ470">
        <v>8</v>
      </c>
      <c r="BK470">
        <v>8</v>
      </c>
      <c r="BL470">
        <v>0</v>
      </c>
      <c r="BM470">
        <v>8</v>
      </c>
      <c r="BN470">
        <v>0</v>
      </c>
      <c r="BO470">
        <v>8</v>
      </c>
      <c r="BP470">
        <v>8</v>
      </c>
      <c r="BQ470" t="str">
        <f>"5:00 AM"</f>
        <v>5:00 AM</v>
      </c>
      <c r="BR470" t="str">
        <f>"1:00 PM"</f>
        <v>1:00 PM</v>
      </c>
      <c r="BS470" t="s">
        <v>131</v>
      </c>
      <c r="BT470">
        <v>0</v>
      </c>
      <c r="BU470">
        <v>0</v>
      </c>
      <c r="BV470" t="s">
        <v>114</v>
      </c>
      <c r="BX470" s="2" t="s">
        <v>9356</v>
      </c>
      <c r="BY470" t="s">
        <v>8186</v>
      </c>
      <c r="CA470" t="s">
        <v>8187</v>
      </c>
      <c r="CB470" t="s">
        <v>1691</v>
      </c>
      <c r="CC470" s="8" t="str">
        <f>"29455"</f>
        <v>29455</v>
      </c>
      <c r="CD470" t="s">
        <v>1868</v>
      </c>
      <c r="CE470" t="s">
        <v>1869</v>
      </c>
      <c r="CF470" s="12">
        <v>11.64</v>
      </c>
      <c r="CG470" s="12">
        <v>11.64</v>
      </c>
      <c r="CH470" s="12">
        <v>17.46</v>
      </c>
      <c r="CI470" s="12">
        <v>17.46</v>
      </c>
      <c r="CJ470" t="s">
        <v>135</v>
      </c>
      <c r="CK470" t="s">
        <v>973</v>
      </c>
      <c r="CL470" t="s">
        <v>11037</v>
      </c>
      <c r="CO470" t="s">
        <v>132</v>
      </c>
      <c r="CP470" t="s">
        <v>114</v>
      </c>
      <c r="CQ470" t="s">
        <v>136</v>
      </c>
      <c r="CR470" t="s">
        <v>136</v>
      </c>
      <c r="CS470" t="s">
        <v>136</v>
      </c>
      <c r="CT470" t="s">
        <v>136</v>
      </c>
      <c r="CU470" t="s">
        <v>136</v>
      </c>
      <c r="CV470" s="2" t="s">
        <v>8189</v>
      </c>
      <c r="CW470" s="10" t="str">
        <f>"+18437682700"</f>
        <v>+18437682700</v>
      </c>
      <c r="CX470" t="s">
        <v>132</v>
      </c>
      <c r="CY470" t="s">
        <v>8190</v>
      </c>
      <c r="CZ470" t="s">
        <v>137</v>
      </c>
      <c r="DA470" t="s">
        <v>114</v>
      </c>
      <c r="DB470" t="s">
        <v>136</v>
      </c>
      <c r="DC470" t="s">
        <v>136</v>
      </c>
      <c r="DD470" t="s">
        <v>114</v>
      </c>
    </row>
    <row r="471" spans="1:113" ht="15" customHeight="1" x14ac:dyDescent="0.25">
      <c r="A471" t="s">
        <v>9354</v>
      </c>
      <c r="B471" t="s">
        <v>152</v>
      </c>
      <c r="C471" s="1">
        <v>45239.012667939816</v>
      </c>
      <c r="D471" s="1">
        <v>45268</v>
      </c>
      <c r="E471" t="s">
        <v>132</v>
      </c>
      <c r="F471" t="s">
        <v>9355</v>
      </c>
      <c r="G471" t="str">
        <f>"35-2021.00"</f>
        <v>35-2021.00</v>
      </c>
      <c r="H471" t="s">
        <v>2303</v>
      </c>
      <c r="I471">
        <v>23</v>
      </c>
      <c r="J471">
        <v>23</v>
      </c>
      <c r="K471" s="1">
        <v>45329</v>
      </c>
      <c r="L471" s="1">
        <v>45626</v>
      </c>
      <c r="M471" s="1">
        <v>45329</v>
      </c>
      <c r="N471" s="1">
        <v>45626</v>
      </c>
      <c r="O471" t="s">
        <v>116</v>
      </c>
      <c r="P471" t="s">
        <v>8178</v>
      </c>
      <c r="Q471" t="s">
        <v>8179</v>
      </c>
      <c r="R471" t="s">
        <v>8180</v>
      </c>
      <c r="T471" t="s">
        <v>8181</v>
      </c>
      <c r="U471" t="s">
        <v>1691</v>
      </c>
      <c r="V471" s="8" t="str">
        <f>"29455"</f>
        <v>29455</v>
      </c>
      <c r="W471" t="s">
        <v>118</v>
      </c>
      <c r="Y471" s="10">
        <v>18437682700</v>
      </c>
      <c r="AA471">
        <v>72111</v>
      </c>
      <c r="AB471" t="s">
        <v>8182</v>
      </c>
      <c r="AC471" t="s">
        <v>5962</v>
      </c>
      <c r="AE471" t="s">
        <v>1189</v>
      </c>
      <c r="AF471" t="s">
        <v>8183</v>
      </c>
      <c r="AH471" t="s">
        <v>8181</v>
      </c>
      <c r="AI471" t="s">
        <v>1691</v>
      </c>
      <c r="AJ471" s="8" t="str">
        <f>"29455"</f>
        <v>29455</v>
      </c>
      <c r="AK471" t="s">
        <v>118</v>
      </c>
      <c r="AM471" s="10">
        <v>18437682700</v>
      </c>
      <c r="AO471" t="s">
        <v>8184</v>
      </c>
      <c r="AP471" t="s">
        <v>248</v>
      </c>
      <c r="AQ471" t="s">
        <v>960</v>
      </c>
      <c r="AR471" t="s">
        <v>961</v>
      </c>
      <c r="AS471" t="s">
        <v>962</v>
      </c>
      <c r="AT471" t="s">
        <v>963</v>
      </c>
      <c r="AU471" t="s">
        <v>296</v>
      </c>
      <c r="AV471" t="s">
        <v>964</v>
      </c>
      <c r="AW471" t="s">
        <v>127</v>
      </c>
      <c r="AX471" s="8" t="str">
        <f>"75033"</f>
        <v>75033</v>
      </c>
      <c r="AY471" t="s">
        <v>118</v>
      </c>
      <c r="BA471" s="10">
        <v>19727789690</v>
      </c>
      <c r="BC471" t="s">
        <v>1951</v>
      </c>
      <c r="BD471" t="s">
        <v>966</v>
      </c>
      <c r="BG471" t="s">
        <v>1691</v>
      </c>
      <c r="BH471" s="1">
        <v>45238.791666666664</v>
      </c>
      <c r="BI471">
        <v>40</v>
      </c>
      <c r="BJ471">
        <v>8</v>
      </c>
      <c r="BK471">
        <v>8</v>
      </c>
      <c r="BL471">
        <v>0</v>
      </c>
      <c r="BM471">
        <v>8</v>
      </c>
      <c r="BN471">
        <v>0</v>
      </c>
      <c r="BO471">
        <v>8</v>
      </c>
      <c r="BP471">
        <v>8</v>
      </c>
      <c r="BQ471" t="str">
        <f>"5:00 AM"</f>
        <v>5:00 AM</v>
      </c>
      <c r="BR471" t="str">
        <f>"1:00 PM"</f>
        <v>1:00 PM</v>
      </c>
      <c r="BS471" t="s">
        <v>131</v>
      </c>
      <c r="BT471">
        <v>0</v>
      </c>
      <c r="BU471">
        <v>0</v>
      </c>
      <c r="BV471" t="s">
        <v>114</v>
      </c>
      <c r="BX471" s="2" t="s">
        <v>9356</v>
      </c>
      <c r="BY471" t="s">
        <v>8186</v>
      </c>
      <c r="CA471" t="s">
        <v>8187</v>
      </c>
      <c r="CB471" t="s">
        <v>1691</v>
      </c>
      <c r="CC471" s="8" t="str">
        <f>"29455"</f>
        <v>29455</v>
      </c>
      <c r="CD471" t="s">
        <v>1868</v>
      </c>
      <c r="CE471" t="s">
        <v>1869</v>
      </c>
      <c r="CF471" s="12">
        <v>15</v>
      </c>
      <c r="CG471" s="12">
        <v>15</v>
      </c>
      <c r="CH471" s="12">
        <v>22.5</v>
      </c>
      <c r="CI471" s="12">
        <v>22.5</v>
      </c>
      <c r="CJ471" t="s">
        <v>135</v>
      </c>
      <c r="CK471" t="s">
        <v>973</v>
      </c>
      <c r="CL471" t="s">
        <v>9357</v>
      </c>
      <c r="CO471" t="s">
        <v>132</v>
      </c>
      <c r="CP471" t="s">
        <v>114</v>
      </c>
      <c r="CQ471" t="s">
        <v>136</v>
      </c>
      <c r="CR471" t="s">
        <v>136</v>
      </c>
      <c r="CS471" t="s">
        <v>136</v>
      </c>
      <c r="CT471" t="s">
        <v>136</v>
      </c>
      <c r="CU471" t="s">
        <v>136</v>
      </c>
      <c r="CV471" s="2" t="s">
        <v>8189</v>
      </c>
      <c r="CW471" s="10" t="str">
        <f>"+18437682700"</f>
        <v>+18437682700</v>
      </c>
      <c r="CX471" t="s">
        <v>132</v>
      </c>
      <c r="CY471" t="s">
        <v>8190</v>
      </c>
      <c r="CZ471" t="s">
        <v>137</v>
      </c>
      <c r="DA471" t="s">
        <v>114</v>
      </c>
      <c r="DB471" t="s">
        <v>136</v>
      </c>
      <c r="DC471" t="s">
        <v>136</v>
      </c>
      <c r="DD471" t="s">
        <v>114</v>
      </c>
    </row>
    <row r="472" spans="1:113" ht="15" customHeight="1" x14ac:dyDescent="0.25">
      <c r="A472" t="s">
        <v>18966</v>
      </c>
      <c r="B472" t="s">
        <v>152</v>
      </c>
      <c r="C472" s="1">
        <v>45239.003402314818</v>
      </c>
      <c r="D472" s="1">
        <v>45268</v>
      </c>
      <c r="E472" t="s">
        <v>132</v>
      </c>
      <c r="F472" t="s">
        <v>18967</v>
      </c>
      <c r="G472" t="str">
        <f>"35-1012.00"</f>
        <v>35-1012.00</v>
      </c>
      <c r="H472" t="s">
        <v>2122</v>
      </c>
      <c r="I472">
        <v>4</v>
      </c>
      <c r="J472">
        <v>4</v>
      </c>
      <c r="K472" s="1">
        <v>45329</v>
      </c>
      <c r="L472" s="1">
        <v>45626</v>
      </c>
      <c r="M472" s="1">
        <v>45329</v>
      </c>
      <c r="N472" s="1">
        <v>45626</v>
      </c>
      <c r="O472" t="s">
        <v>116</v>
      </c>
      <c r="P472" t="s">
        <v>8178</v>
      </c>
      <c r="Q472" t="s">
        <v>8179</v>
      </c>
      <c r="R472" t="s">
        <v>8180</v>
      </c>
      <c r="T472" t="s">
        <v>8181</v>
      </c>
      <c r="U472" t="s">
        <v>1691</v>
      </c>
      <c r="V472" s="8" t="str">
        <f>"29455"</f>
        <v>29455</v>
      </c>
      <c r="W472" t="s">
        <v>118</v>
      </c>
      <c r="Y472" s="10">
        <v>18437682700</v>
      </c>
      <c r="AA472">
        <v>72111</v>
      </c>
      <c r="AB472" t="s">
        <v>8182</v>
      </c>
      <c r="AC472" t="s">
        <v>5962</v>
      </c>
      <c r="AE472" t="s">
        <v>1189</v>
      </c>
      <c r="AF472" t="s">
        <v>8183</v>
      </c>
      <c r="AH472" t="s">
        <v>8181</v>
      </c>
      <c r="AI472" t="s">
        <v>1691</v>
      </c>
      <c r="AJ472" s="8" t="str">
        <f>"29455"</f>
        <v>29455</v>
      </c>
      <c r="AK472" t="s">
        <v>118</v>
      </c>
      <c r="AM472" s="10">
        <v>18437682700</v>
      </c>
      <c r="AO472" t="s">
        <v>8184</v>
      </c>
      <c r="AP472" t="s">
        <v>248</v>
      </c>
      <c r="AQ472" t="s">
        <v>960</v>
      </c>
      <c r="AR472" t="s">
        <v>961</v>
      </c>
      <c r="AS472" t="s">
        <v>962</v>
      </c>
      <c r="AT472" t="s">
        <v>963</v>
      </c>
      <c r="AU472" t="s">
        <v>296</v>
      </c>
      <c r="AV472" t="s">
        <v>964</v>
      </c>
      <c r="AW472" t="s">
        <v>127</v>
      </c>
      <c r="AX472" s="8" t="str">
        <f>"75033"</f>
        <v>75033</v>
      </c>
      <c r="AY472" t="s">
        <v>118</v>
      </c>
      <c r="BA472" s="10">
        <v>19727789690</v>
      </c>
      <c r="BC472" t="s">
        <v>1951</v>
      </c>
      <c r="BD472" t="s">
        <v>966</v>
      </c>
      <c r="BG472" t="s">
        <v>1691</v>
      </c>
      <c r="BH472" s="1">
        <v>45238.791666666664</v>
      </c>
      <c r="BI472">
        <v>40</v>
      </c>
      <c r="BJ472">
        <v>8</v>
      </c>
      <c r="BK472">
        <v>8</v>
      </c>
      <c r="BL472">
        <v>0</v>
      </c>
      <c r="BM472">
        <v>8</v>
      </c>
      <c r="BN472">
        <v>0</v>
      </c>
      <c r="BO472">
        <v>8</v>
      </c>
      <c r="BP472">
        <v>8</v>
      </c>
      <c r="BQ472" t="str">
        <f>"5:00 AM"</f>
        <v>5:00 AM</v>
      </c>
      <c r="BR472" t="str">
        <f>"1:00 PM"</f>
        <v>1:00 PM</v>
      </c>
      <c r="BS472" t="s">
        <v>131</v>
      </c>
      <c r="BT472">
        <v>0</v>
      </c>
      <c r="BU472">
        <v>3</v>
      </c>
      <c r="BV472" t="s">
        <v>136</v>
      </c>
      <c r="BW472">
        <v>15</v>
      </c>
      <c r="BX472" s="2" t="s">
        <v>18968</v>
      </c>
      <c r="BY472" t="s">
        <v>8186</v>
      </c>
      <c r="CA472" t="s">
        <v>8187</v>
      </c>
      <c r="CB472" t="s">
        <v>1691</v>
      </c>
      <c r="CC472" s="8" t="str">
        <f>"29455"</f>
        <v>29455</v>
      </c>
      <c r="CD472" t="s">
        <v>1868</v>
      </c>
      <c r="CE472" t="s">
        <v>1869</v>
      </c>
      <c r="CF472" s="12">
        <v>20.45</v>
      </c>
      <c r="CG472" s="12">
        <v>20.45</v>
      </c>
      <c r="CH472" s="12">
        <v>30.68</v>
      </c>
      <c r="CI472" s="12">
        <v>30.68</v>
      </c>
      <c r="CJ472" t="s">
        <v>135</v>
      </c>
      <c r="CK472" t="s">
        <v>973</v>
      </c>
      <c r="CL472" t="s">
        <v>18969</v>
      </c>
      <c r="CO472" t="s">
        <v>132</v>
      </c>
      <c r="CP472" t="s">
        <v>114</v>
      </c>
      <c r="CQ472" t="s">
        <v>136</v>
      </c>
      <c r="CR472" t="s">
        <v>136</v>
      </c>
      <c r="CS472" t="s">
        <v>136</v>
      </c>
      <c r="CT472" t="s">
        <v>136</v>
      </c>
      <c r="CU472" t="s">
        <v>136</v>
      </c>
      <c r="CV472" s="2" t="s">
        <v>8189</v>
      </c>
      <c r="CW472" s="10" t="str">
        <f>"+18437682700"</f>
        <v>+18437682700</v>
      </c>
      <c r="CX472" t="s">
        <v>132</v>
      </c>
      <c r="CY472" t="s">
        <v>8190</v>
      </c>
      <c r="CZ472" t="s">
        <v>137</v>
      </c>
      <c r="DA472" t="s">
        <v>114</v>
      </c>
      <c r="DB472" t="s">
        <v>136</v>
      </c>
      <c r="DC472" t="s">
        <v>136</v>
      </c>
      <c r="DD472" t="s">
        <v>114</v>
      </c>
    </row>
    <row r="473" spans="1:113" ht="15" customHeight="1" x14ac:dyDescent="0.25">
      <c r="A473" t="s">
        <v>3397</v>
      </c>
      <c r="B473" t="s">
        <v>152</v>
      </c>
      <c r="C473" s="1">
        <v>45233.421694328703</v>
      </c>
      <c r="D473" s="1">
        <v>45268</v>
      </c>
      <c r="E473" t="s">
        <v>132</v>
      </c>
      <c r="F473" t="s">
        <v>1595</v>
      </c>
      <c r="G473" t="str">
        <f>"37-3011.00"</f>
        <v>37-3011.00</v>
      </c>
      <c r="H473" t="s">
        <v>429</v>
      </c>
      <c r="I473">
        <v>10</v>
      </c>
      <c r="J473">
        <v>10</v>
      </c>
      <c r="K473" s="1">
        <v>45323</v>
      </c>
      <c r="L473" s="1">
        <v>45597</v>
      </c>
      <c r="M473" s="1">
        <v>45323</v>
      </c>
      <c r="N473" s="1">
        <v>45597</v>
      </c>
      <c r="O473" t="s">
        <v>116</v>
      </c>
      <c r="P473" t="s">
        <v>3398</v>
      </c>
      <c r="R473" t="s">
        <v>3399</v>
      </c>
      <c r="S473" t="s">
        <v>132</v>
      </c>
      <c r="T473" t="s">
        <v>3400</v>
      </c>
      <c r="U473" t="s">
        <v>127</v>
      </c>
      <c r="V473" s="8" t="str">
        <f>"78666"</f>
        <v>78666</v>
      </c>
      <c r="W473" t="s">
        <v>118</v>
      </c>
      <c r="Y473" s="10">
        <v>15123923808</v>
      </c>
      <c r="AA473">
        <v>561730</v>
      </c>
      <c r="AB473" t="s">
        <v>3401</v>
      </c>
      <c r="AC473" t="s">
        <v>2188</v>
      </c>
      <c r="AD473" t="s">
        <v>3402</v>
      </c>
      <c r="AE473" t="s">
        <v>629</v>
      </c>
      <c r="AF473" t="s">
        <v>3399</v>
      </c>
      <c r="AG473" t="s">
        <v>132</v>
      </c>
      <c r="AH473" t="s">
        <v>3400</v>
      </c>
      <c r="AI473" t="s">
        <v>127</v>
      </c>
      <c r="AJ473" s="8" t="str">
        <f>"78666"</f>
        <v>78666</v>
      </c>
      <c r="AK473" t="s">
        <v>118</v>
      </c>
      <c r="AM473" s="10">
        <v>15123923808</v>
      </c>
      <c r="AO473" t="s">
        <v>3403</v>
      </c>
      <c r="AP473" t="s">
        <v>248</v>
      </c>
      <c r="AQ473" t="s">
        <v>1820</v>
      </c>
      <c r="AR473" t="s">
        <v>1828</v>
      </c>
      <c r="AS473" t="s">
        <v>132</v>
      </c>
      <c r="AT473" t="s">
        <v>3404</v>
      </c>
      <c r="AU473" t="s">
        <v>132</v>
      </c>
      <c r="AV473" t="s">
        <v>1585</v>
      </c>
      <c r="AW473" t="s">
        <v>127</v>
      </c>
      <c r="AX473" s="8" t="str">
        <f>"77414"</f>
        <v>77414</v>
      </c>
      <c r="AY473" t="s">
        <v>118</v>
      </c>
      <c r="BA473" s="10">
        <v>19793187285</v>
      </c>
      <c r="BC473" t="s">
        <v>2430</v>
      </c>
      <c r="BD473" t="s">
        <v>1587</v>
      </c>
      <c r="BG473" t="s">
        <v>127</v>
      </c>
      <c r="BH473" s="1">
        <v>45232.833333333336</v>
      </c>
      <c r="BI473">
        <v>40</v>
      </c>
      <c r="BJ473">
        <v>0</v>
      </c>
      <c r="BK473">
        <v>8</v>
      </c>
      <c r="BL473">
        <v>8</v>
      </c>
      <c r="BM473">
        <v>8</v>
      </c>
      <c r="BN473">
        <v>8</v>
      </c>
      <c r="BO473">
        <v>8</v>
      </c>
      <c r="BP473">
        <v>0</v>
      </c>
      <c r="BQ473" t="str">
        <f>"7:00 AM"</f>
        <v>7:00 AM</v>
      </c>
      <c r="BR473" t="str">
        <f>"5:00 PM"</f>
        <v>5:00 PM</v>
      </c>
      <c r="BS473" t="s">
        <v>131</v>
      </c>
      <c r="BT473">
        <v>0</v>
      </c>
      <c r="BU473">
        <v>0</v>
      </c>
      <c r="BV473" t="s">
        <v>114</v>
      </c>
      <c r="BX473" s="2" t="s">
        <v>3405</v>
      </c>
      <c r="BY473" t="s">
        <v>3406</v>
      </c>
      <c r="BZ473" t="s">
        <v>132</v>
      </c>
      <c r="CA473" t="s">
        <v>3400</v>
      </c>
      <c r="CB473" t="s">
        <v>127</v>
      </c>
      <c r="CC473" s="8" t="str">
        <f>"78666"</f>
        <v>78666</v>
      </c>
      <c r="CD473" t="s">
        <v>3407</v>
      </c>
      <c r="CE473" t="s">
        <v>1287</v>
      </c>
      <c r="CF473" s="12">
        <v>16.91</v>
      </c>
      <c r="CG473" s="12">
        <v>18</v>
      </c>
      <c r="CH473" s="12">
        <v>25.37</v>
      </c>
      <c r="CI473" s="12">
        <v>27</v>
      </c>
      <c r="CJ473" t="s">
        <v>135</v>
      </c>
      <c r="CK473" t="s">
        <v>3408</v>
      </c>
      <c r="CL473" t="s">
        <v>3409</v>
      </c>
      <c r="CO473" t="s">
        <v>132</v>
      </c>
      <c r="CP473" t="s">
        <v>136</v>
      </c>
      <c r="CQ473" t="s">
        <v>136</v>
      </c>
      <c r="CR473" t="s">
        <v>136</v>
      </c>
      <c r="CS473" t="s">
        <v>136</v>
      </c>
      <c r="CT473" t="s">
        <v>136</v>
      </c>
      <c r="CU473" t="s">
        <v>114</v>
      </c>
      <c r="CV473" t="s">
        <v>2171</v>
      </c>
      <c r="CW473" s="10" t="str">
        <f>"+15123923808"</f>
        <v>+15123923808</v>
      </c>
      <c r="CX473" t="s">
        <v>3403</v>
      </c>
      <c r="CY473" t="s">
        <v>132</v>
      </c>
      <c r="CZ473" t="s">
        <v>137</v>
      </c>
      <c r="DA473" t="s">
        <v>114</v>
      </c>
      <c r="DB473" t="s">
        <v>114</v>
      </c>
      <c r="DC473" t="s">
        <v>136</v>
      </c>
      <c r="DD473" t="s">
        <v>114</v>
      </c>
    </row>
    <row r="474" spans="1:113" ht="15" customHeight="1" x14ac:dyDescent="0.25">
      <c r="A474" t="s">
        <v>5548</v>
      </c>
      <c r="B474" t="s">
        <v>152</v>
      </c>
      <c r="C474" s="1">
        <v>45244.274646296297</v>
      </c>
      <c r="D474" s="1">
        <v>45267</v>
      </c>
      <c r="E474" t="s">
        <v>132</v>
      </c>
      <c r="F474" t="s">
        <v>2020</v>
      </c>
      <c r="G474" t="str">
        <f>"37-3011.00"</f>
        <v>37-3011.00</v>
      </c>
      <c r="H474" t="s">
        <v>429</v>
      </c>
      <c r="I474">
        <v>24</v>
      </c>
      <c r="J474">
        <v>24</v>
      </c>
      <c r="K474" s="1">
        <v>45334</v>
      </c>
      <c r="L474" s="1">
        <v>45626</v>
      </c>
      <c r="M474" s="1">
        <v>45334</v>
      </c>
      <c r="N474" s="1">
        <v>45626</v>
      </c>
      <c r="O474" t="s">
        <v>238</v>
      </c>
      <c r="P474" t="s">
        <v>5549</v>
      </c>
      <c r="R474" t="s">
        <v>5550</v>
      </c>
      <c r="S474" t="s">
        <v>5551</v>
      </c>
      <c r="T474" t="s">
        <v>5552</v>
      </c>
      <c r="U474" t="s">
        <v>819</v>
      </c>
      <c r="V474" s="8" t="str">
        <f>"46184"</f>
        <v>46184</v>
      </c>
      <c r="W474" t="s">
        <v>118</v>
      </c>
      <c r="Y474" s="10">
        <v>13174398712</v>
      </c>
      <c r="AA474">
        <v>56173</v>
      </c>
      <c r="AB474" t="s">
        <v>5553</v>
      </c>
      <c r="AC474" t="s">
        <v>986</v>
      </c>
      <c r="AD474" t="s">
        <v>1829</v>
      </c>
      <c r="AE474" t="s">
        <v>561</v>
      </c>
      <c r="AF474" t="s">
        <v>5550</v>
      </c>
      <c r="AG474" t="s">
        <v>5551</v>
      </c>
      <c r="AH474" t="s">
        <v>5552</v>
      </c>
      <c r="AI474" t="s">
        <v>819</v>
      </c>
      <c r="AJ474" s="8" t="str">
        <f>"46184"</f>
        <v>46184</v>
      </c>
      <c r="AK474" t="s">
        <v>118</v>
      </c>
      <c r="AM474" s="10">
        <v>13174398712</v>
      </c>
      <c r="AO474" t="s">
        <v>132</v>
      </c>
      <c r="AP474" t="s">
        <v>248</v>
      </c>
      <c r="AQ474" t="s">
        <v>673</v>
      </c>
      <c r="AR474" t="s">
        <v>674</v>
      </c>
      <c r="AT474" t="s">
        <v>579</v>
      </c>
      <c r="AV474" t="s">
        <v>580</v>
      </c>
      <c r="AW474" t="s">
        <v>581</v>
      </c>
      <c r="AX474" s="8" t="str">
        <f>"22903"</f>
        <v>22903</v>
      </c>
      <c r="AY474" t="s">
        <v>118</v>
      </c>
      <c r="BA474" s="10">
        <v>14342634300</v>
      </c>
      <c r="BC474" t="s">
        <v>675</v>
      </c>
      <c r="BD474" t="s">
        <v>583</v>
      </c>
      <c r="BG474" t="s">
        <v>819</v>
      </c>
      <c r="BH474" s="1">
        <v>45243.791666666664</v>
      </c>
      <c r="BI474">
        <v>40</v>
      </c>
      <c r="BJ474">
        <v>0</v>
      </c>
      <c r="BK474">
        <v>8</v>
      </c>
      <c r="BL474">
        <v>8</v>
      </c>
      <c r="BM474">
        <v>8</v>
      </c>
      <c r="BN474">
        <v>8</v>
      </c>
      <c r="BO474">
        <v>8</v>
      </c>
      <c r="BP474">
        <v>0</v>
      </c>
      <c r="BQ474" t="str">
        <f>"7:30 AM"</f>
        <v>7:30 AM</v>
      </c>
      <c r="BR474" t="str">
        <f>"4:00 PM"</f>
        <v>4:00 PM</v>
      </c>
      <c r="BS474" t="s">
        <v>131</v>
      </c>
      <c r="BT474">
        <v>0</v>
      </c>
      <c r="BU474">
        <v>3</v>
      </c>
      <c r="BV474" t="s">
        <v>114</v>
      </c>
      <c r="BX474" s="2" t="s">
        <v>5554</v>
      </c>
      <c r="BY474" t="s">
        <v>5550</v>
      </c>
      <c r="CA474" t="s">
        <v>5552</v>
      </c>
      <c r="CB474" t="s">
        <v>819</v>
      </c>
      <c r="CC474" s="8" t="str">
        <f>"46184"</f>
        <v>46184</v>
      </c>
      <c r="CD474" t="s">
        <v>1969</v>
      </c>
      <c r="CE474" t="s">
        <v>2111</v>
      </c>
      <c r="CF474" s="12">
        <v>17.190000000000001</v>
      </c>
      <c r="CG474" s="12">
        <v>17.190000000000001</v>
      </c>
      <c r="CH474" s="12">
        <v>25.79</v>
      </c>
      <c r="CI474" s="12">
        <v>25.79</v>
      </c>
      <c r="CJ474" t="s">
        <v>135</v>
      </c>
      <c r="CK474" t="s">
        <v>590</v>
      </c>
      <c r="CL474" t="s">
        <v>5555</v>
      </c>
      <c r="CO474" t="s">
        <v>132</v>
      </c>
      <c r="CP474" t="s">
        <v>136</v>
      </c>
      <c r="CQ474" t="s">
        <v>114</v>
      </c>
      <c r="CR474" t="s">
        <v>136</v>
      </c>
      <c r="CS474" t="s">
        <v>114</v>
      </c>
      <c r="CT474" t="s">
        <v>136</v>
      </c>
      <c r="CU474" t="s">
        <v>136</v>
      </c>
      <c r="CV474" t="s">
        <v>5556</v>
      </c>
      <c r="CW474" s="10" t="str">
        <f>"+13176772547"</f>
        <v>+13176772547</v>
      </c>
      <c r="CX474" t="s">
        <v>132</v>
      </c>
      <c r="CY474" t="s">
        <v>2680</v>
      </c>
      <c r="CZ474" t="s">
        <v>137</v>
      </c>
      <c r="DA474" t="s">
        <v>114</v>
      </c>
      <c r="DB474" t="s">
        <v>136</v>
      </c>
      <c r="DC474" t="s">
        <v>136</v>
      </c>
      <c r="DD474" t="s">
        <v>114</v>
      </c>
      <c r="DE474" t="s">
        <v>673</v>
      </c>
      <c r="DF474" t="s">
        <v>674</v>
      </c>
      <c r="DH474" t="s">
        <v>583</v>
      </c>
      <c r="DI474" t="s">
        <v>675</v>
      </c>
    </row>
    <row r="475" spans="1:113" ht="15" customHeight="1" x14ac:dyDescent="0.25">
      <c r="A475" t="s">
        <v>23844</v>
      </c>
      <c r="B475" t="s">
        <v>152</v>
      </c>
      <c r="C475" s="1">
        <v>45244.274280555554</v>
      </c>
      <c r="D475" s="1">
        <v>45267</v>
      </c>
      <c r="E475" t="s">
        <v>132</v>
      </c>
      <c r="F475" t="s">
        <v>570</v>
      </c>
      <c r="G475" t="str">
        <f>"47-2061.00"</f>
        <v>47-2061.00</v>
      </c>
      <c r="H475" t="s">
        <v>570</v>
      </c>
      <c r="I475">
        <v>12</v>
      </c>
      <c r="J475">
        <v>12</v>
      </c>
      <c r="K475" s="1">
        <v>45334</v>
      </c>
      <c r="L475" s="1">
        <v>45638</v>
      </c>
      <c r="M475" s="1">
        <v>45334</v>
      </c>
      <c r="N475" s="1">
        <v>45638</v>
      </c>
      <c r="O475" t="s">
        <v>116</v>
      </c>
      <c r="P475" t="s">
        <v>23845</v>
      </c>
      <c r="R475" t="s">
        <v>23846</v>
      </c>
      <c r="T475" t="s">
        <v>3107</v>
      </c>
      <c r="U475" t="s">
        <v>434</v>
      </c>
      <c r="V475" s="8" t="str">
        <f>"15236"</f>
        <v>15236</v>
      </c>
      <c r="W475" t="s">
        <v>118</v>
      </c>
      <c r="Y475" s="10">
        <v>14122924660</v>
      </c>
      <c r="AA475">
        <v>23811</v>
      </c>
      <c r="AB475" t="s">
        <v>23847</v>
      </c>
      <c r="AC475" t="s">
        <v>1945</v>
      </c>
      <c r="AD475" t="s">
        <v>3052</v>
      </c>
      <c r="AE475" t="s">
        <v>629</v>
      </c>
      <c r="AF475" t="s">
        <v>23846</v>
      </c>
      <c r="AH475" t="s">
        <v>3107</v>
      </c>
      <c r="AI475" t="s">
        <v>434</v>
      </c>
      <c r="AJ475" s="8" t="str">
        <f>"15236"</f>
        <v>15236</v>
      </c>
      <c r="AK475" t="s">
        <v>118</v>
      </c>
      <c r="AM475" s="10">
        <v>14122924660</v>
      </c>
      <c r="AO475" t="s">
        <v>132</v>
      </c>
      <c r="AP475" t="s">
        <v>248</v>
      </c>
      <c r="AQ475" t="s">
        <v>673</v>
      </c>
      <c r="AR475" t="s">
        <v>674</v>
      </c>
      <c r="AT475" t="s">
        <v>579</v>
      </c>
      <c r="AV475" t="s">
        <v>580</v>
      </c>
      <c r="AW475" t="s">
        <v>581</v>
      </c>
      <c r="AX475" s="8" t="str">
        <f>"22903"</f>
        <v>22903</v>
      </c>
      <c r="AY475" t="s">
        <v>118</v>
      </c>
      <c r="BA475" s="10">
        <v>14342634300</v>
      </c>
      <c r="BC475" t="s">
        <v>675</v>
      </c>
      <c r="BD475" t="s">
        <v>583</v>
      </c>
      <c r="BG475" t="s">
        <v>434</v>
      </c>
      <c r="BH475" s="1">
        <v>45243.791666666664</v>
      </c>
      <c r="BI475">
        <v>40</v>
      </c>
      <c r="BJ475">
        <v>0</v>
      </c>
      <c r="BK475">
        <v>8</v>
      </c>
      <c r="BL475">
        <v>8</v>
      </c>
      <c r="BM475">
        <v>8</v>
      </c>
      <c r="BN475">
        <v>8</v>
      </c>
      <c r="BO475">
        <v>8</v>
      </c>
      <c r="BP475">
        <v>0</v>
      </c>
      <c r="BQ475" t="str">
        <f>"7:30 AM"</f>
        <v>7:30 AM</v>
      </c>
      <c r="BR475" t="str">
        <f>"4:00 PM"</f>
        <v>4:00 PM</v>
      </c>
      <c r="BS475" t="s">
        <v>131</v>
      </c>
      <c r="BT475">
        <v>0</v>
      </c>
      <c r="BU475">
        <v>12</v>
      </c>
      <c r="BV475" t="s">
        <v>114</v>
      </c>
      <c r="BX475" s="2" t="s">
        <v>23848</v>
      </c>
      <c r="BY475" t="s">
        <v>23849</v>
      </c>
      <c r="CA475" t="s">
        <v>3107</v>
      </c>
      <c r="CB475" t="s">
        <v>434</v>
      </c>
      <c r="CC475" s="8" t="str">
        <f>"15210"</f>
        <v>15210</v>
      </c>
      <c r="CD475" t="s">
        <v>1886</v>
      </c>
      <c r="CE475" t="s">
        <v>1887</v>
      </c>
      <c r="CF475" s="12">
        <v>24.33</v>
      </c>
      <c r="CG475" s="12">
        <v>24.33</v>
      </c>
      <c r="CH475" s="12">
        <v>36.5</v>
      </c>
      <c r="CI475" s="12">
        <v>36.5</v>
      </c>
      <c r="CJ475" t="s">
        <v>135</v>
      </c>
      <c r="CK475" t="s">
        <v>590</v>
      </c>
      <c r="CL475" t="s">
        <v>23850</v>
      </c>
      <c r="CO475" t="s">
        <v>132</v>
      </c>
      <c r="CP475" t="s">
        <v>136</v>
      </c>
      <c r="CQ475" t="s">
        <v>136</v>
      </c>
      <c r="CR475" t="s">
        <v>136</v>
      </c>
      <c r="CS475" t="s">
        <v>114</v>
      </c>
      <c r="CT475" t="s">
        <v>136</v>
      </c>
      <c r="CU475" t="s">
        <v>136</v>
      </c>
      <c r="CV475" t="s">
        <v>1875</v>
      </c>
      <c r="CW475" s="10" t="str">
        <f>"+14122924660"</f>
        <v>+14122924660</v>
      </c>
      <c r="CX475" t="s">
        <v>132</v>
      </c>
      <c r="CY475" t="s">
        <v>1997</v>
      </c>
      <c r="CZ475" t="s">
        <v>137</v>
      </c>
      <c r="DA475" t="s">
        <v>114</v>
      </c>
      <c r="DB475" t="s">
        <v>136</v>
      </c>
      <c r="DC475" t="s">
        <v>136</v>
      </c>
      <c r="DD475" t="s">
        <v>114</v>
      </c>
      <c r="DE475" t="s">
        <v>673</v>
      </c>
      <c r="DF475" t="s">
        <v>674</v>
      </c>
      <c r="DH475" t="s">
        <v>583</v>
      </c>
      <c r="DI475" t="s">
        <v>675</v>
      </c>
    </row>
    <row r="476" spans="1:113" ht="15" customHeight="1" x14ac:dyDescent="0.25">
      <c r="A476" t="s">
        <v>16539</v>
      </c>
      <c r="B476" t="s">
        <v>152</v>
      </c>
      <c r="C476" s="1">
        <v>45244.273870370373</v>
      </c>
      <c r="D476" s="1">
        <v>45267</v>
      </c>
      <c r="E476" t="s">
        <v>132</v>
      </c>
      <c r="F476" t="s">
        <v>2020</v>
      </c>
      <c r="G476" t="str">
        <f>"37-3011.00"</f>
        <v>37-3011.00</v>
      </c>
      <c r="H476" t="s">
        <v>429</v>
      </c>
      <c r="I476">
        <v>51</v>
      </c>
      <c r="J476">
        <v>51</v>
      </c>
      <c r="K476" s="1">
        <v>45334</v>
      </c>
      <c r="L476" s="1">
        <v>45626</v>
      </c>
      <c r="M476" s="1">
        <v>45334</v>
      </c>
      <c r="N476" s="1">
        <v>45626</v>
      </c>
      <c r="O476" t="s">
        <v>116</v>
      </c>
      <c r="P476" t="s">
        <v>16540</v>
      </c>
      <c r="R476" t="s">
        <v>16541</v>
      </c>
      <c r="T476" t="s">
        <v>2298</v>
      </c>
      <c r="U476" t="s">
        <v>543</v>
      </c>
      <c r="V476" s="8" t="str">
        <f>"45011"</f>
        <v>45011</v>
      </c>
      <c r="W476" t="s">
        <v>118</v>
      </c>
      <c r="Y476" s="10">
        <v>18332421700</v>
      </c>
      <c r="AA476">
        <v>56173</v>
      </c>
      <c r="AB476" t="s">
        <v>3124</v>
      </c>
      <c r="AC476" t="s">
        <v>2022</v>
      </c>
      <c r="AD476" t="s">
        <v>3976</v>
      </c>
      <c r="AE476" t="s">
        <v>629</v>
      </c>
      <c r="AF476" t="s">
        <v>16541</v>
      </c>
      <c r="AH476" t="s">
        <v>2298</v>
      </c>
      <c r="AI476" t="s">
        <v>543</v>
      </c>
      <c r="AJ476" s="8" t="str">
        <f>"45011"</f>
        <v>45011</v>
      </c>
      <c r="AK476" t="s">
        <v>118</v>
      </c>
      <c r="AM476" s="10">
        <v>18332421700</v>
      </c>
      <c r="AO476" t="s">
        <v>132</v>
      </c>
      <c r="AP476" t="s">
        <v>248</v>
      </c>
      <c r="AQ476" t="s">
        <v>673</v>
      </c>
      <c r="AR476" t="s">
        <v>674</v>
      </c>
      <c r="AT476" t="s">
        <v>579</v>
      </c>
      <c r="AV476" t="s">
        <v>580</v>
      </c>
      <c r="AW476" t="s">
        <v>581</v>
      </c>
      <c r="AX476" s="8" t="str">
        <f>"22903"</f>
        <v>22903</v>
      </c>
      <c r="AY476" t="s">
        <v>118</v>
      </c>
      <c r="BA476" s="10">
        <v>14342634300</v>
      </c>
      <c r="BC476" t="s">
        <v>675</v>
      </c>
      <c r="BD476" t="s">
        <v>583</v>
      </c>
      <c r="BG476" t="s">
        <v>543</v>
      </c>
      <c r="BH476" s="1">
        <v>45243.791666666664</v>
      </c>
      <c r="BI476">
        <v>40</v>
      </c>
      <c r="BJ476">
        <v>0</v>
      </c>
      <c r="BK476">
        <v>8</v>
      </c>
      <c r="BL476">
        <v>8</v>
      </c>
      <c r="BM476">
        <v>8</v>
      </c>
      <c r="BN476">
        <v>8</v>
      </c>
      <c r="BO476">
        <v>8</v>
      </c>
      <c r="BP476">
        <v>0</v>
      </c>
      <c r="BQ476" t="str">
        <f>"7:00 AM"</f>
        <v>7:00 AM</v>
      </c>
      <c r="BR476" t="str">
        <f>"3:30 PM"</f>
        <v>3:30 PM</v>
      </c>
      <c r="BS476" t="s">
        <v>131</v>
      </c>
      <c r="BT476">
        <v>0</v>
      </c>
      <c r="BU476">
        <v>0</v>
      </c>
      <c r="BV476" t="s">
        <v>114</v>
      </c>
      <c r="BX476" s="2" t="s">
        <v>16542</v>
      </c>
      <c r="BY476" t="s">
        <v>16543</v>
      </c>
      <c r="CA476" t="s">
        <v>2298</v>
      </c>
      <c r="CB476" t="s">
        <v>543</v>
      </c>
      <c r="CC476" s="8" t="str">
        <f>"45011"</f>
        <v>45011</v>
      </c>
      <c r="CD476" t="s">
        <v>4888</v>
      </c>
      <c r="CE476" t="s">
        <v>3443</v>
      </c>
      <c r="CF476" s="12">
        <v>16.690000000000001</v>
      </c>
      <c r="CG476" s="12">
        <v>16.690000000000001</v>
      </c>
      <c r="CH476" s="12">
        <v>25.04</v>
      </c>
      <c r="CI476" s="12">
        <v>25.04</v>
      </c>
      <c r="CJ476" t="s">
        <v>135</v>
      </c>
      <c r="CK476" t="s">
        <v>590</v>
      </c>
      <c r="CL476" t="s">
        <v>16544</v>
      </c>
      <c r="CO476" t="s">
        <v>132</v>
      </c>
      <c r="CP476" t="s">
        <v>136</v>
      </c>
      <c r="CQ476" t="s">
        <v>136</v>
      </c>
      <c r="CR476" t="s">
        <v>136</v>
      </c>
      <c r="CS476" t="s">
        <v>136</v>
      </c>
      <c r="CT476" t="s">
        <v>136</v>
      </c>
      <c r="CU476" t="s">
        <v>136</v>
      </c>
      <c r="CV476" t="s">
        <v>16545</v>
      </c>
      <c r="CW476" s="10" t="str">
        <f>"N/A"</f>
        <v>N/A</v>
      </c>
      <c r="CX476" t="s">
        <v>16546</v>
      </c>
      <c r="CY476" t="s">
        <v>2025</v>
      </c>
      <c r="CZ476" t="s">
        <v>137</v>
      </c>
      <c r="DA476" t="s">
        <v>114</v>
      </c>
      <c r="DB476" t="s">
        <v>136</v>
      </c>
      <c r="DC476" t="s">
        <v>136</v>
      </c>
      <c r="DD476" t="s">
        <v>114</v>
      </c>
      <c r="DE476" t="s">
        <v>673</v>
      </c>
      <c r="DF476" t="s">
        <v>674</v>
      </c>
      <c r="DH476" t="s">
        <v>583</v>
      </c>
      <c r="DI476" t="s">
        <v>675</v>
      </c>
    </row>
    <row r="477" spans="1:113" ht="15" customHeight="1" x14ac:dyDescent="0.25">
      <c r="A477" t="s">
        <v>22252</v>
      </c>
      <c r="B477" t="s">
        <v>152</v>
      </c>
      <c r="C477" s="1">
        <v>45244.273500347219</v>
      </c>
      <c r="D477" s="1">
        <v>45267</v>
      </c>
      <c r="E477" t="s">
        <v>132</v>
      </c>
      <c r="F477" t="s">
        <v>2020</v>
      </c>
      <c r="G477" t="str">
        <f>"37-3011.00"</f>
        <v>37-3011.00</v>
      </c>
      <c r="H477" t="s">
        <v>429</v>
      </c>
      <c r="I477">
        <v>12</v>
      </c>
      <c r="J477">
        <v>12</v>
      </c>
      <c r="K477" s="1">
        <v>45334</v>
      </c>
      <c r="L477" s="1">
        <v>45626</v>
      </c>
      <c r="M477" s="1">
        <v>45334</v>
      </c>
      <c r="N477" s="1">
        <v>45626</v>
      </c>
      <c r="O477" t="s">
        <v>116</v>
      </c>
      <c r="P477" t="s">
        <v>22253</v>
      </c>
      <c r="R477" t="s">
        <v>16541</v>
      </c>
      <c r="T477" t="s">
        <v>2298</v>
      </c>
      <c r="U477" t="s">
        <v>543</v>
      </c>
      <c r="V477" s="8" t="str">
        <f>"45011"</f>
        <v>45011</v>
      </c>
      <c r="W477" t="s">
        <v>118</v>
      </c>
      <c r="Y477" s="10">
        <v>18332421700</v>
      </c>
      <c r="AA477">
        <v>56173</v>
      </c>
      <c r="AB477" t="s">
        <v>3124</v>
      </c>
      <c r="AC477" t="s">
        <v>2022</v>
      </c>
      <c r="AD477" t="s">
        <v>3976</v>
      </c>
      <c r="AE477" t="s">
        <v>629</v>
      </c>
      <c r="AF477" t="s">
        <v>16541</v>
      </c>
      <c r="AH477" t="s">
        <v>2298</v>
      </c>
      <c r="AI477" t="s">
        <v>543</v>
      </c>
      <c r="AJ477" s="8" t="str">
        <f>"45011"</f>
        <v>45011</v>
      </c>
      <c r="AK477" t="s">
        <v>118</v>
      </c>
      <c r="AM477" s="10">
        <v>18332421700</v>
      </c>
      <c r="AO477" t="s">
        <v>132</v>
      </c>
      <c r="AP477" t="s">
        <v>248</v>
      </c>
      <c r="AQ477" t="s">
        <v>673</v>
      </c>
      <c r="AR477" t="s">
        <v>674</v>
      </c>
      <c r="AT477" t="s">
        <v>579</v>
      </c>
      <c r="AV477" t="s">
        <v>580</v>
      </c>
      <c r="AW477" t="s">
        <v>581</v>
      </c>
      <c r="AX477" s="8" t="str">
        <f>"22903"</f>
        <v>22903</v>
      </c>
      <c r="AY477" t="s">
        <v>118</v>
      </c>
      <c r="BA477" s="10">
        <v>14342634300</v>
      </c>
      <c r="BC477" t="s">
        <v>675</v>
      </c>
      <c r="BD477" t="s">
        <v>583</v>
      </c>
      <c r="BG477" t="s">
        <v>543</v>
      </c>
      <c r="BH477" s="1">
        <v>45243.791666666664</v>
      </c>
      <c r="BI477">
        <v>40</v>
      </c>
      <c r="BJ477">
        <v>0</v>
      </c>
      <c r="BK477">
        <v>8</v>
      </c>
      <c r="BL477">
        <v>8</v>
      </c>
      <c r="BM477">
        <v>8</v>
      </c>
      <c r="BN477">
        <v>8</v>
      </c>
      <c r="BO477">
        <v>8</v>
      </c>
      <c r="BP477">
        <v>0</v>
      </c>
      <c r="BQ477" t="str">
        <f>"7:00 AM"</f>
        <v>7:00 AM</v>
      </c>
      <c r="BR477" t="str">
        <f>"3:30 PM"</f>
        <v>3:30 PM</v>
      </c>
      <c r="BS477" t="s">
        <v>131</v>
      </c>
      <c r="BT477">
        <v>0</v>
      </c>
      <c r="BU477">
        <v>0</v>
      </c>
      <c r="BV477" t="s">
        <v>114</v>
      </c>
      <c r="BX477" s="2" t="s">
        <v>16542</v>
      </c>
      <c r="BY477" t="s">
        <v>22254</v>
      </c>
      <c r="CA477" t="s">
        <v>22255</v>
      </c>
      <c r="CB477" t="s">
        <v>543</v>
      </c>
      <c r="CC477" s="8" t="str">
        <f>"45371"</f>
        <v>45371</v>
      </c>
      <c r="CD477" t="s">
        <v>139</v>
      </c>
      <c r="CE477" t="s">
        <v>3593</v>
      </c>
      <c r="CF477" s="12">
        <v>17.14</v>
      </c>
      <c r="CG477" s="12">
        <v>17.14</v>
      </c>
      <c r="CH477" s="12">
        <v>25.71</v>
      </c>
      <c r="CI477" s="12">
        <v>25.71</v>
      </c>
      <c r="CJ477" t="s">
        <v>135</v>
      </c>
      <c r="CK477" t="s">
        <v>590</v>
      </c>
      <c r="CL477" t="s">
        <v>22256</v>
      </c>
      <c r="CO477" t="s">
        <v>132</v>
      </c>
      <c r="CP477" t="s">
        <v>136</v>
      </c>
      <c r="CQ477" t="s">
        <v>136</v>
      </c>
      <c r="CR477" t="s">
        <v>136</v>
      </c>
      <c r="CS477" t="s">
        <v>136</v>
      </c>
      <c r="CT477" t="s">
        <v>136</v>
      </c>
      <c r="CU477" t="s">
        <v>136</v>
      </c>
      <c r="CV477" t="s">
        <v>22257</v>
      </c>
      <c r="CW477" s="10" t="str">
        <f>"N/A"</f>
        <v>N/A</v>
      </c>
      <c r="CX477" t="s">
        <v>16546</v>
      </c>
      <c r="CY477" t="s">
        <v>2025</v>
      </c>
      <c r="CZ477" t="s">
        <v>137</v>
      </c>
      <c r="DA477" t="s">
        <v>114</v>
      </c>
      <c r="DB477" t="s">
        <v>136</v>
      </c>
      <c r="DC477" t="s">
        <v>136</v>
      </c>
      <c r="DD477" t="s">
        <v>114</v>
      </c>
      <c r="DE477" t="s">
        <v>673</v>
      </c>
      <c r="DF477" t="s">
        <v>674</v>
      </c>
      <c r="DH477" t="s">
        <v>583</v>
      </c>
      <c r="DI477" t="s">
        <v>675</v>
      </c>
    </row>
    <row r="478" spans="1:113" ht="15" customHeight="1" x14ac:dyDescent="0.25">
      <c r="A478" t="s">
        <v>20178</v>
      </c>
      <c r="B478" t="s">
        <v>152</v>
      </c>
      <c r="C478" s="1">
        <v>45244.273147453707</v>
      </c>
      <c r="D478" s="1">
        <v>45267</v>
      </c>
      <c r="E478" t="s">
        <v>132</v>
      </c>
      <c r="F478" t="s">
        <v>2020</v>
      </c>
      <c r="G478" t="str">
        <f>"37-3011.00"</f>
        <v>37-3011.00</v>
      </c>
      <c r="H478" t="s">
        <v>429</v>
      </c>
      <c r="I478">
        <v>27</v>
      </c>
      <c r="J478">
        <v>27</v>
      </c>
      <c r="K478" s="1">
        <v>45334</v>
      </c>
      <c r="L478" s="1">
        <v>45626</v>
      </c>
      <c r="M478" s="1">
        <v>45334</v>
      </c>
      <c r="N478" s="1">
        <v>45626</v>
      </c>
      <c r="O478" t="s">
        <v>116</v>
      </c>
      <c r="P478" t="s">
        <v>20179</v>
      </c>
      <c r="R478" t="s">
        <v>16541</v>
      </c>
      <c r="T478" t="s">
        <v>2298</v>
      </c>
      <c r="U478" t="s">
        <v>543</v>
      </c>
      <c r="V478" s="8" t="str">
        <f>"45011"</f>
        <v>45011</v>
      </c>
      <c r="W478" t="s">
        <v>118</v>
      </c>
      <c r="Y478" s="10">
        <v>18332421700</v>
      </c>
      <c r="AA478">
        <v>56173</v>
      </c>
      <c r="AB478" t="s">
        <v>3124</v>
      </c>
      <c r="AC478" t="s">
        <v>2022</v>
      </c>
      <c r="AD478" t="s">
        <v>3976</v>
      </c>
      <c r="AE478" t="s">
        <v>629</v>
      </c>
      <c r="AF478" t="s">
        <v>16541</v>
      </c>
      <c r="AH478" t="s">
        <v>2298</v>
      </c>
      <c r="AI478" t="s">
        <v>543</v>
      </c>
      <c r="AJ478" s="8" t="str">
        <f>"45011"</f>
        <v>45011</v>
      </c>
      <c r="AK478" t="s">
        <v>118</v>
      </c>
      <c r="AM478" s="10">
        <v>18332421700</v>
      </c>
      <c r="AO478" t="s">
        <v>132</v>
      </c>
      <c r="AP478" t="s">
        <v>248</v>
      </c>
      <c r="AQ478" t="s">
        <v>673</v>
      </c>
      <c r="AR478" t="s">
        <v>674</v>
      </c>
      <c r="AT478" t="s">
        <v>579</v>
      </c>
      <c r="AV478" t="s">
        <v>580</v>
      </c>
      <c r="AW478" t="s">
        <v>581</v>
      </c>
      <c r="AX478" s="8" t="str">
        <f>"22903"</f>
        <v>22903</v>
      </c>
      <c r="AY478" t="s">
        <v>118</v>
      </c>
      <c r="BA478" s="10">
        <v>14342634300</v>
      </c>
      <c r="BC478" t="s">
        <v>675</v>
      </c>
      <c r="BD478" t="s">
        <v>583</v>
      </c>
      <c r="BG478" t="s">
        <v>819</v>
      </c>
      <c r="BH478" s="1">
        <v>45243.791666666664</v>
      </c>
      <c r="BI478">
        <v>40</v>
      </c>
      <c r="BJ478">
        <v>0</v>
      </c>
      <c r="BK478">
        <v>8</v>
      </c>
      <c r="BL478">
        <v>8</v>
      </c>
      <c r="BM478">
        <v>8</v>
      </c>
      <c r="BN478">
        <v>8</v>
      </c>
      <c r="BO478">
        <v>8</v>
      </c>
      <c r="BP478">
        <v>0</v>
      </c>
      <c r="BQ478" t="str">
        <f>"7:00 AM"</f>
        <v>7:00 AM</v>
      </c>
      <c r="BR478" t="str">
        <f>"3:30 PM"</f>
        <v>3:30 PM</v>
      </c>
      <c r="BS478" t="s">
        <v>131</v>
      </c>
      <c r="BT478">
        <v>0</v>
      </c>
      <c r="BU478">
        <v>0</v>
      </c>
      <c r="BV478" t="s">
        <v>114</v>
      </c>
      <c r="BX478" s="2" t="s">
        <v>16542</v>
      </c>
      <c r="BY478" t="s">
        <v>20180</v>
      </c>
      <c r="CA478" t="s">
        <v>5557</v>
      </c>
      <c r="CB478" t="s">
        <v>819</v>
      </c>
      <c r="CC478" s="8" t="str">
        <f>"46254"</f>
        <v>46254</v>
      </c>
      <c r="CD478" t="s">
        <v>1257</v>
      </c>
      <c r="CE478" t="s">
        <v>2111</v>
      </c>
      <c r="CF478" s="12">
        <v>17.190000000000001</v>
      </c>
      <c r="CG478" s="12">
        <v>17.190000000000001</v>
      </c>
      <c r="CH478" s="12">
        <v>25.79</v>
      </c>
      <c r="CI478" s="12">
        <v>25.79</v>
      </c>
      <c r="CJ478" t="s">
        <v>135</v>
      </c>
      <c r="CK478" t="s">
        <v>590</v>
      </c>
      <c r="CL478" t="s">
        <v>20181</v>
      </c>
      <c r="CO478" t="s">
        <v>132</v>
      </c>
      <c r="CP478" t="s">
        <v>136</v>
      </c>
      <c r="CQ478" t="s">
        <v>136</v>
      </c>
      <c r="CR478" t="s">
        <v>136</v>
      </c>
      <c r="CS478" t="s">
        <v>136</v>
      </c>
      <c r="CT478" t="s">
        <v>136</v>
      </c>
      <c r="CU478" t="s">
        <v>136</v>
      </c>
      <c r="CV478" t="s">
        <v>20182</v>
      </c>
      <c r="CW478" s="10" t="str">
        <f>"N/A"</f>
        <v>N/A</v>
      </c>
      <c r="CX478" t="s">
        <v>16546</v>
      </c>
      <c r="CY478" t="s">
        <v>10236</v>
      </c>
      <c r="CZ478" t="s">
        <v>137</v>
      </c>
      <c r="DA478" t="s">
        <v>114</v>
      </c>
      <c r="DB478" t="s">
        <v>136</v>
      </c>
      <c r="DC478" t="s">
        <v>136</v>
      </c>
      <c r="DD478" t="s">
        <v>114</v>
      </c>
      <c r="DE478" t="s">
        <v>673</v>
      </c>
      <c r="DF478" t="s">
        <v>674</v>
      </c>
      <c r="DH478" t="s">
        <v>583</v>
      </c>
      <c r="DI478" t="s">
        <v>675</v>
      </c>
    </row>
    <row r="479" spans="1:113" ht="15" customHeight="1" x14ac:dyDescent="0.25">
      <c r="A479" t="s">
        <v>12576</v>
      </c>
      <c r="B479" t="s">
        <v>152</v>
      </c>
      <c r="C479" s="1">
        <v>45242.43105324074</v>
      </c>
      <c r="D479" s="1">
        <v>45267</v>
      </c>
      <c r="E479" t="s">
        <v>132</v>
      </c>
      <c r="F479" t="s">
        <v>2020</v>
      </c>
      <c r="G479" t="str">
        <f>"37-3011.00"</f>
        <v>37-3011.00</v>
      </c>
      <c r="H479" t="s">
        <v>429</v>
      </c>
      <c r="I479">
        <v>30</v>
      </c>
      <c r="J479">
        <v>30</v>
      </c>
      <c r="K479" s="1">
        <v>45332</v>
      </c>
      <c r="L479" s="1">
        <v>45636</v>
      </c>
      <c r="M479" s="1">
        <v>45332</v>
      </c>
      <c r="N479" s="1">
        <v>45636</v>
      </c>
      <c r="O479" t="s">
        <v>238</v>
      </c>
      <c r="P479" t="s">
        <v>3025</v>
      </c>
      <c r="R479" t="s">
        <v>3026</v>
      </c>
      <c r="T479" t="s">
        <v>3027</v>
      </c>
      <c r="U479" t="s">
        <v>434</v>
      </c>
      <c r="V479" s="8" t="str">
        <f>"19520"</f>
        <v>19520</v>
      </c>
      <c r="W479" t="s">
        <v>118</v>
      </c>
      <c r="Y479" s="10">
        <v>16109422000</v>
      </c>
      <c r="AA479">
        <v>56173</v>
      </c>
      <c r="AB479" t="s">
        <v>3028</v>
      </c>
      <c r="AC479" t="s">
        <v>1945</v>
      </c>
      <c r="AD479" t="s">
        <v>3029</v>
      </c>
      <c r="AE479" t="s">
        <v>629</v>
      </c>
      <c r="AF479" t="s">
        <v>3026</v>
      </c>
      <c r="AH479" t="s">
        <v>3027</v>
      </c>
      <c r="AI479" t="s">
        <v>434</v>
      </c>
      <c r="AJ479" s="8" t="str">
        <f>"19520"</f>
        <v>19520</v>
      </c>
      <c r="AK479" t="s">
        <v>118</v>
      </c>
      <c r="AM479" s="10">
        <v>16109422000</v>
      </c>
      <c r="AO479" t="s">
        <v>132</v>
      </c>
      <c r="AP479" t="s">
        <v>248</v>
      </c>
      <c r="AQ479" t="s">
        <v>673</v>
      </c>
      <c r="AR479" t="s">
        <v>674</v>
      </c>
      <c r="AT479" t="s">
        <v>579</v>
      </c>
      <c r="AV479" t="s">
        <v>580</v>
      </c>
      <c r="AW479" t="s">
        <v>581</v>
      </c>
      <c r="AX479" s="8" t="str">
        <f>"22903"</f>
        <v>22903</v>
      </c>
      <c r="AY479" t="s">
        <v>118</v>
      </c>
      <c r="BA479" s="10">
        <v>14342634300</v>
      </c>
      <c r="BC479" t="s">
        <v>675</v>
      </c>
      <c r="BD479" t="s">
        <v>583</v>
      </c>
      <c r="BG479" t="s">
        <v>434</v>
      </c>
      <c r="BH479" s="1">
        <v>45241.791666666664</v>
      </c>
      <c r="BI479">
        <v>40</v>
      </c>
      <c r="BJ479">
        <v>0</v>
      </c>
      <c r="BK479">
        <v>8</v>
      </c>
      <c r="BL479">
        <v>8</v>
      </c>
      <c r="BM479">
        <v>8</v>
      </c>
      <c r="BN479">
        <v>8</v>
      </c>
      <c r="BO479">
        <v>8</v>
      </c>
      <c r="BP479">
        <v>0</v>
      </c>
      <c r="BQ479" t="str">
        <f>"6:00 AM"</f>
        <v>6:00 AM</v>
      </c>
      <c r="BR479" t="str">
        <f>"2:30 PM"</f>
        <v>2:30 PM</v>
      </c>
      <c r="BS479" t="s">
        <v>131</v>
      </c>
      <c r="BT479">
        <v>0</v>
      </c>
      <c r="BU479">
        <v>0</v>
      </c>
      <c r="BV479" t="s">
        <v>114</v>
      </c>
      <c r="BX479" s="2" t="s">
        <v>12577</v>
      </c>
      <c r="BY479" t="s">
        <v>3030</v>
      </c>
      <c r="CA479" t="s">
        <v>3027</v>
      </c>
      <c r="CB479" t="s">
        <v>434</v>
      </c>
      <c r="CC479" s="8" t="str">
        <f>"19520"</f>
        <v>19520</v>
      </c>
      <c r="CD479" t="s">
        <v>1781</v>
      </c>
      <c r="CE479" t="s">
        <v>443</v>
      </c>
      <c r="CF479" s="12">
        <v>18.71</v>
      </c>
      <c r="CH479" s="12">
        <v>28.07</v>
      </c>
      <c r="CJ479" t="s">
        <v>135</v>
      </c>
      <c r="CK479" t="s">
        <v>590</v>
      </c>
      <c r="CL479" t="s">
        <v>3031</v>
      </c>
      <c r="CO479" t="s">
        <v>132</v>
      </c>
      <c r="CP479" t="s">
        <v>136</v>
      </c>
      <c r="CQ479" t="s">
        <v>136</v>
      </c>
      <c r="CR479" t="s">
        <v>136</v>
      </c>
      <c r="CS479" t="s">
        <v>136</v>
      </c>
      <c r="CT479" t="s">
        <v>136</v>
      </c>
      <c r="CU479" t="s">
        <v>114</v>
      </c>
      <c r="CV479" t="s">
        <v>3032</v>
      </c>
      <c r="CW479" s="10" t="str">
        <f>"+16109422000"</f>
        <v>+16109422000</v>
      </c>
      <c r="CX479" t="s">
        <v>132</v>
      </c>
      <c r="CY479" t="s">
        <v>1997</v>
      </c>
      <c r="CZ479" t="s">
        <v>137</v>
      </c>
      <c r="DA479" t="s">
        <v>114</v>
      </c>
      <c r="DB479" t="s">
        <v>136</v>
      </c>
      <c r="DC479" t="s">
        <v>136</v>
      </c>
      <c r="DD479" t="s">
        <v>114</v>
      </c>
      <c r="DE479" t="s">
        <v>673</v>
      </c>
      <c r="DF479" t="s">
        <v>674</v>
      </c>
      <c r="DH479" t="s">
        <v>583</v>
      </c>
      <c r="DI479" t="s">
        <v>675</v>
      </c>
    </row>
    <row r="480" spans="1:113" ht="15" customHeight="1" x14ac:dyDescent="0.25">
      <c r="A480" t="s">
        <v>19814</v>
      </c>
      <c r="B480" t="s">
        <v>152</v>
      </c>
      <c r="C480" s="1">
        <v>45242.336146875001</v>
      </c>
      <c r="D480" s="1">
        <v>45267</v>
      </c>
      <c r="E480" t="s">
        <v>132</v>
      </c>
      <c r="F480" t="s">
        <v>12631</v>
      </c>
      <c r="G480" t="str">
        <f>"35-3023.00"</f>
        <v>35-3023.00</v>
      </c>
      <c r="H480" t="s">
        <v>1365</v>
      </c>
      <c r="I480">
        <v>8</v>
      </c>
      <c r="J480">
        <v>8</v>
      </c>
      <c r="K480" s="1">
        <v>45332</v>
      </c>
      <c r="L480" s="1">
        <v>45583</v>
      </c>
      <c r="M480" s="1">
        <v>45332</v>
      </c>
      <c r="N480" s="1">
        <v>45583</v>
      </c>
      <c r="O480" t="s">
        <v>238</v>
      </c>
      <c r="P480" t="s">
        <v>19815</v>
      </c>
      <c r="Q480" t="s">
        <v>19816</v>
      </c>
      <c r="R480" t="s">
        <v>19817</v>
      </c>
      <c r="T480" t="s">
        <v>19818</v>
      </c>
      <c r="U480" t="s">
        <v>402</v>
      </c>
      <c r="V480" s="8" t="str">
        <f>"93644"</f>
        <v>93644</v>
      </c>
      <c r="W480" t="s">
        <v>118</v>
      </c>
      <c r="Y480" s="10">
        <v>15597606230</v>
      </c>
      <c r="AA480">
        <v>71399</v>
      </c>
      <c r="AB480" t="s">
        <v>4020</v>
      </c>
      <c r="AC480" t="s">
        <v>19819</v>
      </c>
      <c r="AE480" t="s">
        <v>561</v>
      </c>
      <c r="AF480" t="s">
        <v>19817</v>
      </c>
      <c r="AH480" t="s">
        <v>19820</v>
      </c>
      <c r="AI480" t="s">
        <v>402</v>
      </c>
      <c r="AJ480" s="8" t="str">
        <f>"93644"</f>
        <v>93644</v>
      </c>
      <c r="AK480" t="s">
        <v>118</v>
      </c>
      <c r="AM480" s="10">
        <v>15597606230</v>
      </c>
      <c r="AO480" t="s">
        <v>19821</v>
      </c>
      <c r="AP480" t="s">
        <v>248</v>
      </c>
      <c r="AQ480" t="s">
        <v>249</v>
      </c>
      <c r="AR480" t="s">
        <v>250</v>
      </c>
      <c r="AS480" t="s">
        <v>251</v>
      </c>
      <c r="AT480" t="s">
        <v>252</v>
      </c>
      <c r="AU480" t="s">
        <v>253</v>
      </c>
      <c r="AV480" t="s">
        <v>254</v>
      </c>
      <c r="AW480" t="s">
        <v>127</v>
      </c>
      <c r="AX480" s="8" t="str">
        <f>"78550"</f>
        <v>78550</v>
      </c>
      <c r="AY480" t="s">
        <v>118</v>
      </c>
      <c r="BA480" s="10">
        <v>19564408720</v>
      </c>
      <c r="BB480" s="3" t="s">
        <v>256</v>
      </c>
      <c r="BC480" t="s">
        <v>257</v>
      </c>
      <c r="BD480" t="s">
        <v>258</v>
      </c>
      <c r="BG480" t="s">
        <v>402</v>
      </c>
      <c r="BH480" s="1">
        <v>45241.791666666664</v>
      </c>
      <c r="BI480">
        <v>40</v>
      </c>
      <c r="BJ480">
        <v>8</v>
      </c>
      <c r="BK480">
        <v>0</v>
      </c>
      <c r="BL480">
        <v>0</v>
      </c>
      <c r="BM480">
        <v>8</v>
      </c>
      <c r="BN480">
        <v>8</v>
      </c>
      <c r="BO480">
        <v>8</v>
      </c>
      <c r="BP480">
        <v>8</v>
      </c>
      <c r="BQ480" t="str">
        <f>"1:00 PM"</f>
        <v>1:00 PM</v>
      </c>
      <c r="BR480" t="str">
        <f>"10:00 PM"</f>
        <v>10:00 PM</v>
      </c>
      <c r="BS480" t="s">
        <v>131</v>
      </c>
      <c r="BT480">
        <v>0</v>
      </c>
      <c r="BU480">
        <v>0</v>
      </c>
      <c r="BV480" t="s">
        <v>114</v>
      </c>
      <c r="BX480" s="2" t="s">
        <v>2255</v>
      </c>
      <c r="BY480" t="s">
        <v>19817</v>
      </c>
      <c r="CA480" t="s">
        <v>19818</v>
      </c>
      <c r="CB480" t="s">
        <v>402</v>
      </c>
      <c r="CC480" s="8" t="str">
        <f>"93644"</f>
        <v>93644</v>
      </c>
      <c r="CD480" t="s">
        <v>4890</v>
      </c>
      <c r="CE480" t="s">
        <v>4891</v>
      </c>
      <c r="CF480" s="12">
        <v>15.5</v>
      </c>
      <c r="CG480" s="12">
        <v>16.43</v>
      </c>
      <c r="CJ480" t="s">
        <v>135</v>
      </c>
      <c r="CK480" t="s">
        <v>264</v>
      </c>
      <c r="CL480" t="s">
        <v>19822</v>
      </c>
      <c r="CO480" t="s">
        <v>132</v>
      </c>
      <c r="CP480" t="s">
        <v>136</v>
      </c>
      <c r="CQ480" t="s">
        <v>136</v>
      </c>
      <c r="CR480" t="s">
        <v>114</v>
      </c>
      <c r="CS480" t="s">
        <v>136</v>
      </c>
      <c r="CT480" t="s">
        <v>136</v>
      </c>
      <c r="CU480" t="s">
        <v>136</v>
      </c>
      <c r="CV480" t="s">
        <v>2258</v>
      </c>
      <c r="CW480" s="10" t="str">
        <f>"+15597606230"</f>
        <v>+15597606230</v>
      </c>
      <c r="CX480" t="s">
        <v>19821</v>
      </c>
      <c r="CY480" t="s">
        <v>132</v>
      </c>
      <c r="CZ480" t="s">
        <v>137</v>
      </c>
      <c r="DA480" t="s">
        <v>114</v>
      </c>
      <c r="DB480" t="s">
        <v>114</v>
      </c>
      <c r="DC480" t="s">
        <v>136</v>
      </c>
      <c r="DD480" t="s">
        <v>114</v>
      </c>
    </row>
    <row r="481" spans="1:113" ht="15" customHeight="1" x14ac:dyDescent="0.25">
      <c r="A481" t="s">
        <v>16553</v>
      </c>
      <c r="B481" t="s">
        <v>152</v>
      </c>
      <c r="C481" s="1">
        <v>45239.383561921299</v>
      </c>
      <c r="D481" s="1">
        <v>45267</v>
      </c>
      <c r="E481" t="s">
        <v>132</v>
      </c>
      <c r="F481" t="s">
        <v>16554</v>
      </c>
      <c r="G481" t="str">
        <f>"37-3011.00"</f>
        <v>37-3011.00</v>
      </c>
      <c r="H481" t="s">
        <v>429</v>
      </c>
      <c r="I481">
        <v>5</v>
      </c>
      <c r="J481">
        <v>5</v>
      </c>
      <c r="K481" s="1">
        <v>45329</v>
      </c>
      <c r="L481" s="1">
        <v>45623</v>
      </c>
      <c r="M481" s="1">
        <v>45329</v>
      </c>
      <c r="N481" s="1">
        <v>45623</v>
      </c>
      <c r="O481" t="s">
        <v>116</v>
      </c>
      <c r="P481" t="s">
        <v>16555</v>
      </c>
      <c r="Q481" t="s">
        <v>16556</v>
      </c>
      <c r="R481" t="s">
        <v>16557</v>
      </c>
      <c r="S481" t="s">
        <v>16558</v>
      </c>
      <c r="T481" t="s">
        <v>2920</v>
      </c>
      <c r="U481" t="s">
        <v>1776</v>
      </c>
      <c r="V481" s="8" t="str">
        <f>"07930"</f>
        <v>07930</v>
      </c>
      <c r="W481" t="s">
        <v>118</v>
      </c>
      <c r="Y481" s="10">
        <v>19088797189</v>
      </c>
      <c r="AA481">
        <v>11133</v>
      </c>
      <c r="AB481" t="s">
        <v>16559</v>
      </c>
      <c r="AC481" t="s">
        <v>8106</v>
      </c>
      <c r="AD481" t="s">
        <v>4795</v>
      </c>
      <c r="AE481" t="s">
        <v>1349</v>
      </c>
      <c r="AF481" t="s">
        <v>16557</v>
      </c>
      <c r="AG481" t="s">
        <v>16558</v>
      </c>
      <c r="AH481" t="s">
        <v>2920</v>
      </c>
      <c r="AI481" t="s">
        <v>1776</v>
      </c>
      <c r="AJ481" s="8" t="str">
        <f>"07930"</f>
        <v>07930</v>
      </c>
      <c r="AK481" t="s">
        <v>118</v>
      </c>
      <c r="AM481" s="10">
        <v>19088797189</v>
      </c>
      <c r="AO481" t="s">
        <v>16560</v>
      </c>
      <c r="AP481" t="s">
        <v>248</v>
      </c>
      <c r="AQ481" t="s">
        <v>2452</v>
      </c>
      <c r="AR481" t="s">
        <v>2453</v>
      </c>
      <c r="AS481" t="s">
        <v>515</v>
      </c>
      <c r="AT481" t="s">
        <v>2454</v>
      </c>
      <c r="AU481" t="s">
        <v>132</v>
      </c>
      <c r="AV481" t="s">
        <v>1585</v>
      </c>
      <c r="AW481" t="s">
        <v>127</v>
      </c>
      <c r="AX481" s="8" t="str">
        <f>"77414"</f>
        <v>77414</v>
      </c>
      <c r="AY481" t="s">
        <v>118</v>
      </c>
      <c r="BA481" s="10">
        <v>19793187278</v>
      </c>
      <c r="BC481" t="s">
        <v>2455</v>
      </c>
      <c r="BD481" t="s">
        <v>1587</v>
      </c>
      <c r="BG481" t="s">
        <v>1776</v>
      </c>
      <c r="BH481" s="1">
        <v>45238.791666666664</v>
      </c>
      <c r="BI481">
        <v>56</v>
      </c>
      <c r="BJ481">
        <v>8</v>
      </c>
      <c r="BK481">
        <v>8</v>
      </c>
      <c r="BL481">
        <v>8</v>
      </c>
      <c r="BM481">
        <v>8</v>
      </c>
      <c r="BN481">
        <v>8</v>
      </c>
      <c r="BO481">
        <v>8</v>
      </c>
      <c r="BP481">
        <v>8</v>
      </c>
      <c r="BQ481" t="str">
        <f>"7:00 AM"</f>
        <v>7:00 AM</v>
      </c>
      <c r="BR481" t="str">
        <f>"7:00 PM"</f>
        <v>7:00 PM</v>
      </c>
      <c r="BS481" t="s">
        <v>131</v>
      </c>
      <c r="BT481">
        <v>0</v>
      </c>
      <c r="BU481">
        <v>0</v>
      </c>
      <c r="BV481" t="s">
        <v>114</v>
      </c>
      <c r="BX481" t="s">
        <v>16561</v>
      </c>
      <c r="BY481" t="s">
        <v>16557</v>
      </c>
      <c r="BZ481" t="s">
        <v>132</v>
      </c>
      <c r="CA481" t="s">
        <v>2920</v>
      </c>
      <c r="CB481" t="s">
        <v>1776</v>
      </c>
      <c r="CC481" s="8" t="str">
        <f>"07930"</f>
        <v>07930</v>
      </c>
      <c r="CD481" t="s">
        <v>3534</v>
      </c>
      <c r="CE481" t="s">
        <v>1418</v>
      </c>
      <c r="CF481" s="12">
        <v>20.81</v>
      </c>
      <c r="CH481" s="12">
        <v>31.22</v>
      </c>
      <c r="CJ481" t="s">
        <v>135</v>
      </c>
      <c r="CK481" t="s">
        <v>3584</v>
      </c>
      <c r="CL481" t="s">
        <v>16562</v>
      </c>
      <c r="CO481" t="s">
        <v>132</v>
      </c>
      <c r="CP481" t="s">
        <v>136</v>
      </c>
      <c r="CQ481" t="s">
        <v>136</v>
      </c>
      <c r="CR481" t="s">
        <v>136</v>
      </c>
      <c r="CS481" t="s">
        <v>136</v>
      </c>
      <c r="CT481" t="s">
        <v>136</v>
      </c>
      <c r="CU481" t="s">
        <v>136</v>
      </c>
      <c r="CV481" t="s">
        <v>16563</v>
      </c>
      <c r="CW481" s="10" t="str">
        <f>"+19088797189"</f>
        <v>+19088797189</v>
      </c>
      <c r="CX481" t="s">
        <v>16564</v>
      </c>
      <c r="CY481" t="s">
        <v>132</v>
      </c>
      <c r="CZ481" t="s">
        <v>137</v>
      </c>
      <c r="DA481" t="s">
        <v>114</v>
      </c>
      <c r="DB481" t="s">
        <v>114</v>
      </c>
      <c r="DC481" t="s">
        <v>136</v>
      </c>
      <c r="DD481" t="s">
        <v>114</v>
      </c>
    </row>
    <row r="482" spans="1:113" ht="15" customHeight="1" x14ac:dyDescent="0.25">
      <c r="A482" t="s">
        <v>15023</v>
      </c>
      <c r="B482" t="s">
        <v>152</v>
      </c>
      <c r="C482" s="1">
        <v>45239.047284722219</v>
      </c>
      <c r="D482" s="1">
        <v>45267</v>
      </c>
      <c r="E482" t="s">
        <v>132</v>
      </c>
      <c r="F482" t="s">
        <v>1059</v>
      </c>
      <c r="G482" t="str">
        <f>"35-2014.00"</f>
        <v>35-2014.00</v>
      </c>
      <c r="H482" t="s">
        <v>154</v>
      </c>
      <c r="I482">
        <v>38</v>
      </c>
      <c r="J482">
        <v>38</v>
      </c>
      <c r="K482" s="1">
        <v>45329</v>
      </c>
      <c r="L482" s="1">
        <v>45626</v>
      </c>
      <c r="M482" s="1">
        <v>45329</v>
      </c>
      <c r="N482" s="1">
        <v>45626</v>
      </c>
      <c r="O482" t="s">
        <v>116</v>
      </c>
      <c r="P482" t="s">
        <v>8178</v>
      </c>
      <c r="Q482" t="s">
        <v>8179</v>
      </c>
      <c r="R482" t="s">
        <v>8180</v>
      </c>
      <c r="T482" t="s">
        <v>8181</v>
      </c>
      <c r="U482" t="s">
        <v>1691</v>
      </c>
      <c r="V482" s="8" t="str">
        <f>"29455"</f>
        <v>29455</v>
      </c>
      <c r="W482" t="s">
        <v>118</v>
      </c>
      <c r="Y482" s="10">
        <v>18437682700</v>
      </c>
      <c r="AA482">
        <v>72111</v>
      </c>
      <c r="AB482" t="s">
        <v>8182</v>
      </c>
      <c r="AC482" t="s">
        <v>5962</v>
      </c>
      <c r="AE482" t="s">
        <v>1189</v>
      </c>
      <c r="AF482" t="s">
        <v>8183</v>
      </c>
      <c r="AH482" t="s">
        <v>8181</v>
      </c>
      <c r="AI482" t="s">
        <v>1691</v>
      </c>
      <c r="AJ482" s="8" t="str">
        <f>"29455"</f>
        <v>29455</v>
      </c>
      <c r="AK482" t="s">
        <v>118</v>
      </c>
      <c r="AM482" s="10">
        <v>18437682700</v>
      </c>
      <c r="AO482" t="s">
        <v>8184</v>
      </c>
      <c r="AP482" t="s">
        <v>248</v>
      </c>
      <c r="AQ482" t="s">
        <v>960</v>
      </c>
      <c r="AR482" t="s">
        <v>961</v>
      </c>
      <c r="AS482" t="s">
        <v>962</v>
      </c>
      <c r="AT482" t="s">
        <v>963</v>
      </c>
      <c r="AU482" t="s">
        <v>296</v>
      </c>
      <c r="AV482" t="s">
        <v>964</v>
      </c>
      <c r="AW482" t="s">
        <v>127</v>
      </c>
      <c r="AX482" s="8" t="str">
        <f>"75033"</f>
        <v>75033</v>
      </c>
      <c r="AY482" t="s">
        <v>118</v>
      </c>
      <c r="BA482" s="10">
        <v>19727789690</v>
      </c>
      <c r="BC482" t="s">
        <v>1951</v>
      </c>
      <c r="BD482" t="s">
        <v>966</v>
      </c>
      <c r="BG482" t="s">
        <v>1691</v>
      </c>
      <c r="BH482" s="1">
        <v>45238.791666666664</v>
      </c>
      <c r="BI482">
        <v>40</v>
      </c>
      <c r="BJ482">
        <v>8</v>
      </c>
      <c r="BK482">
        <v>8</v>
      </c>
      <c r="BL482">
        <v>0</v>
      </c>
      <c r="BM482">
        <v>8</v>
      </c>
      <c r="BN482">
        <v>0</v>
      </c>
      <c r="BO482">
        <v>8</v>
      </c>
      <c r="BP482">
        <v>8</v>
      </c>
      <c r="BQ482" t="str">
        <f>"5:00 AM"</f>
        <v>5:00 AM</v>
      </c>
      <c r="BR482" t="str">
        <f>"1:00 PM"</f>
        <v>1:00 PM</v>
      </c>
      <c r="BS482" t="s">
        <v>131</v>
      </c>
      <c r="BT482">
        <v>0</v>
      </c>
      <c r="BU482">
        <v>0</v>
      </c>
      <c r="BV482" t="s">
        <v>114</v>
      </c>
      <c r="BX482" s="2" t="s">
        <v>9356</v>
      </c>
      <c r="BY482" t="s">
        <v>8186</v>
      </c>
      <c r="CA482" t="s">
        <v>8187</v>
      </c>
      <c r="CB482" t="s">
        <v>1691</v>
      </c>
      <c r="CC482" s="8" t="str">
        <f>"29455"</f>
        <v>29455</v>
      </c>
      <c r="CD482" t="s">
        <v>1868</v>
      </c>
      <c r="CE482" t="s">
        <v>1869</v>
      </c>
      <c r="CF482" s="12">
        <v>17</v>
      </c>
      <c r="CG482" s="12">
        <v>17</v>
      </c>
      <c r="CH482" s="12">
        <v>25.5</v>
      </c>
      <c r="CI482" s="12">
        <v>25.5</v>
      </c>
      <c r="CJ482" t="s">
        <v>135</v>
      </c>
      <c r="CK482" t="s">
        <v>973</v>
      </c>
      <c r="CL482" t="s">
        <v>15024</v>
      </c>
      <c r="CO482" t="s">
        <v>132</v>
      </c>
      <c r="CP482" t="s">
        <v>114</v>
      </c>
      <c r="CQ482" t="s">
        <v>136</v>
      </c>
      <c r="CR482" t="s">
        <v>136</v>
      </c>
      <c r="CS482" t="s">
        <v>136</v>
      </c>
      <c r="CT482" t="s">
        <v>136</v>
      </c>
      <c r="CU482" t="s">
        <v>136</v>
      </c>
      <c r="CV482" s="2" t="s">
        <v>8189</v>
      </c>
      <c r="CW482" s="10" t="str">
        <f>"+18437682700"</f>
        <v>+18437682700</v>
      </c>
      <c r="CX482" t="s">
        <v>132</v>
      </c>
      <c r="CY482" t="s">
        <v>8190</v>
      </c>
      <c r="CZ482" t="s">
        <v>137</v>
      </c>
      <c r="DA482" t="s">
        <v>114</v>
      </c>
      <c r="DB482" t="s">
        <v>136</v>
      </c>
      <c r="DC482" t="s">
        <v>136</v>
      </c>
      <c r="DD482" t="s">
        <v>114</v>
      </c>
    </row>
    <row r="483" spans="1:113" ht="15" customHeight="1" x14ac:dyDescent="0.25">
      <c r="A483" t="s">
        <v>8176</v>
      </c>
      <c r="B483" t="s">
        <v>152</v>
      </c>
      <c r="C483" s="1">
        <v>45239.030377314812</v>
      </c>
      <c r="D483" s="1">
        <v>45267</v>
      </c>
      <c r="E483" t="s">
        <v>132</v>
      </c>
      <c r="F483" t="s">
        <v>8177</v>
      </c>
      <c r="G483" t="str">
        <f>"37-3011.00"</f>
        <v>37-3011.00</v>
      </c>
      <c r="H483" t="s">
        <v>429</v>
      </c>
      <c r="I483">
        <v>4</v>
      </c>
      <c r="J483">
        <v>4</v>
      </c>
      <c r="K483" s="1">
        <v>45329</v>
      </c>
      <c r="L483" s="1">
        <v>45626</v>
      </c>
      <c r="M483" s="1">
        <v>45329</v>
      </c>
      <c r="N483" s="1">
        <v>45626</v>
      </c>
      <c r="O483" t="s">
        <v>116</v>
      </c>
      <c r="P483" t="s">
        <v>8178</v>
      </c>
      <c r="Q483" t="s">
        <v>8179</v>
      </c>
      <c r="R483" t="s">
        <v>8180</v>
      </c>
      <c r="T483" t="s">
        <v>8181</v>
      </c>
      <c r="U483" t="s">
        <v>1691</v>
      </c>
      <c r="V483" s="8" t="str">
        <f>"29455"</f>
        <v>29455</v>
      </c>
      <c r="W483" t="s">
        <v>118</v>
      </c>
      <c r="Y483" s="10">
        <v>18437682700</v>
      </c>
      <c r="AA483">
        <v>72111</v>
      </c>
      <c r="AB483" t="s">
        <v>8182</v>
      </c>
      <c r="AC483" t="s">
        <v>5962</v>
      </c>
      <c r="AE483" t="s">
        <v>1189</v>
      </c>
      <c r="AF483" t="s">
        <v>8183</v>
      </c>
      <c r="AH483" t="s">
        <v>8181</v>
      </c>
      <c r="AI483" t="s">
        <v>1691</v>
      </c>
      <c r="AJ483" s="8" t="str">
        <f>"29455"</f>
        <v>29455</v>
      </c>
      <c r="AK483" t="s">
        <v>118</v>
      </c>
      <c r="AM483" s="10">
        <v>18437682700</v>
      </c>
      <c r="AO483" t="s">
        <v>8184</v>
      </c>
      <c r="AP483" t="s">
        <v>248</v>
      </c>
      <c r="AQ483" t="s">
        <v>960</v>
      </c>
      <c r="AR483" t="s">
        <v>961</v>
      </c>
      <c r="AS483" t="s">
        <v>962</v>
      </c>
      <c r="AT483" t="s">
        <v>963</v>
      </c>
      <c r="AU483" t="s">
        <v>296</v>
      </c>
      <c r="AV483" t="s">
        <v>964</v>
      </c>
      <c r="AW483" t="s">
        <v>127</v>
      </c>
      <c r="AX483" s="8" t="str">
        <f>"75033"</f>
        <v>75033</v>
      </c>
      <c r="AY483" t="s">
        <v>118</v>
      </c>
      <c r="BA483" s="10">
        <v>19727789690</v>
      </c>
      <c r="BC483" t="s">
        <v>1951</v>
      </c>
      <c r="BD483" t="s">
        <v>966</v>
      </c>
      <c r="BG483" t="s">
        <v>1691</v>
      </c>
      <c r="BH483" s="1">
        <v>45238.791666666664</v>
      </c>
      <c r="BI483">
        <v>40</v>
      </c>
      <c r="BJ483">
        <v>8</v>
      </c>
      <c r="BK483">
        <v>8</v>
      </c>
      <c r="BL483">
        <v>0</v>
      </c>
      <c r="BM483">
        <v>8</v>
      </c>
      <c r="BN483">
        <v>0</v>
      </c>
      <c r="BO483">
        <v>8</v>
      </c>
      <c r="BP483">
        <v>8</v>
      </c>
      <c r="BQ483" t="str">
        <f>"6:30 AM"</f>
        <v>6:30 AM</v>
      </c>
      <c r="BR483" t="str">
        <f>"2:30 PM"</f>
        <v>2:30 PM</v>
      </c>
      <c r="BS483" t="s">
        <v>131</v>
      </c>
      <c r="BT483">
        <v>0</v>
      </c>
      <c r="BU483">
        <v>2</v>
      </c>
      <c r="BV483" t="s">
        <v>114</v>
      </c>
      <c r="BX483" t="s">
        <v>8185</v>
      </c>
      <c r="BY483" t="s">
        <v>8186</v>
      </c>
      <c r="CA483" t="s">
        <v>8187</v>
      </c>
      <c r="CB483" t="s">
        <v>1691</v>
      </c>
      <c r="CC483" s="8" t="str">
        <f>"29455"</f>
        <v>29455</v>
      </c>
      <c r="CD483" t="s">
        <v>1868</v>
      </c>
      <c r="CE483" t="s">
        <v>1869</v>
      </c>
      <c r="CF483" s="12">
        <v>17</v>
      </c>
      <c r="CG483" s="12">
        <v>17</v>
      </c>
      <c r="CH483" s="12">
        <v>25.5</v>
      </c>
      <c r="CI483" s="12">
        <v>25.5</v>
      </c>
      <c r="CJ483" t="s">
        <v>135</v>
      </c>
      <c r="CK483" t="s">
        <v>973</v>
      </c>
      <c r="CL483" t="s">
        <v>8188</v>
      </c>
      <c r="CO483" t="s">
        <v>132</v>
      </c>
      <c r="CP483" t="s">
        <v>114</v>
      </c>
      <c r="CQ483" t="s">
        <v>136</v>
      </c>
      <c r="CR483" t="s">
        <v>136</v>
      </c>
      <c r="CS483" t="s">
        <v>136</v>
      </c>
      <c r="CT483" t="s">
        <v>136</v>
      </c>
      <c r="CU483" t="s">
        <v>136</v>
      </c>
      <c r="CV483" s="2" t="s">
        <v>8189</v>
      </c>
      <c r="CW483" s="10" t="str">
        <f>"+18437682700"</f>
        <v>+18437682700</v>
      </c>
      <c r="CX483" t="s">
        <v>132</v>
      </c>
      <c r="CY483" t="s">
        <v>8190</v>
      </c>
      <c r="CZ483" t="s">
        <v>137</v>
      </c>
      <c r="DA483" t="s">
        <v>114</v>
      </c>
      <c r="DB483" t="s">
        <v>136</v>
      </c>
      <c r="DC483" t="s">
        <v>136</v>
      </c>
      <c r="DD483" t="s">
        <v>114</v>
      </c>
    </row>
    <row r="484" spans="1:113" ht="15" customHeight="1" x14ac:dyDescent="0.25">
      <c r="A484" t="s">
        <v>22067</v>
      </c>
      <c r="B484" t="s">
        <v>152</v>
      </c>
      <c r="C484" s="1">
        <v>45239.028496180559</v>
      </c>
      <c r="D484" s="1">
        <v>45267</v>
      </c>
      <c r="E484" t="s">
        <v>132</v>
      </c>
      <c r="F484" t="s">
        <v>6045</v>
      </c>
      <c r="G484" t="str">
        <f>"37-2012.00"</f>
        <v>37-2012.00</v>
      </c>
      <c r="H484" t="s">
        <v>205</v>
      </c>
      <c r="I484">
        <v>98</v>
      </c>
      <c r="J484">
        <v>98</v>
      </c>
      <c r="K484" s="1">
        <v>45329</v>
      </c>
      <c r="L484" s="1">
        <v>45626</v>
      </c>
      <c r="M484" s="1">
        <v>45329</v>
      </c>
      <c r="N484" s="1">
        <v>45626</v>
      </c>
      <c r="O484" t="s">
        <v>116</v>
      </c>
      <c r="P484" t="s">
        <v>8178</v>
      </c>
      <c r="Q484" t="s">
        <v>8179</v>
      </c>
      <c r="R484" t="s">
        <v>8180</v>
      </c>
      <c r="T484" t="s">
        <v>8181</v>
      </c>
      <c r="U484" t="s">
        <v>1691</v>
      </c>
      <c r="V484" s="8" t="str">
        <f>"29455"</f>
        <v>29455</v>
      </c>
      <c r="W484" t="s">
        <v>118</v>
      </c>
      <c r="Y484" s="10">
        <v>18437682700</v>
      </c>
      <c r="AA484">
        <v>72111</v>
      </c>
      <c r="AB484" t="s">
        <v>8182</v>
      </c>
      <c r="AC484" t="s">
        <v>5962</v>
      </c>
      <c r="AE484" t="s">
        <v>1189</v>
      </c>
      <c r="AF484" t="s">
        <v>8183</v>
      </c>
      <c r="AH484" t="s">
        <v>8181</v>
      </c>
      <c r="AI484" t="s">
        <v>1691</v>
      </c>
      <c r="AJ484" s="8" t="str">
        <f>"29455"</f>
        <v>29455</v>
      </c>
      <c r="AK484" t="s">
        <v>118</v>
      </c>
      <c r="AM484" s="10">
        <v>18437682700</v>
      </c>
      <c r="AO484" t="s">
        <v>8184</v>
      </c>
      <c r="AP484" t="s">
        <v>248</v>
      </c>
      <c r="AQ484" t="s">
        <v>960</v>
      </c>
      <c r="AR484" t="s">
        <v>961</v>
      </c>
      <c r="AS484" t="s">
        <v>962</v>
      </c>
      <c r="AT484" t="s">
        <v>963</v>
      </c>
      <c r="AU484" t="s">
        <v>296</v>
      </c>
      <c r="AV484" t="s">
        <v>964</v>
      </c>
      <c r="AW484" t="s">
        <v>127</v>
      </c>
      <c r="AX484" s="8" t="str">
        <f>"75033"</f>
        <v>75033</v>
      </c>
      <c r="AY484" t="s">
        <v>118</v>
      </c>
      <c r="BA484" s="10">
        <v>19727789690</v>
      </c>
      <c r="BC484" t="s">
        <v>1951</v>
      </c>
      <c r="BD484" t="s">
        <v>966</v>
      </c>
      <c r="BG484" t="s">
        <v>1691</v>
      </c>
      <c r="BH484" s="1">
        <v>45238.791666666664</v>
      </c>
      <c r="BI484">
        <v>40</v>
      </c>
      <c r="BJ484">
        <v>8</v>
      </c>
      <c r="BK484">
        <v>8</v>
      </c>
      <c r="BL484">
        <v>0</v>
      </c>
      <c r="BM484">
        <v>8</v>
      </c>
      <c r="BN484">
        <v>0</v>
      </c>
      <c r="BO484">
        <v>8</v>
      </c>
      <c r="BP484">
        <v>8</v>
      </c>
      <c r="BQ484" t="str">
        <f>"7:00 AM"</f>
        <v>7:00 AM</v>
      </c>
      <c r="BR484" t="str">
        <f>"3:00 PM"</f>
        <v>3:00 PM</v>
      </c>
      <c r="BS484" t="s">
        <v>131</v>
      </c>
      <c r="BT484">
        <v>0</v>
      </c>
      <c r="BU484">
        <v>0</v>
      </c>
      <c r="BV484" t="s">
        <v>114</v>
      </c>
      <c r="BX484" s="2" t="s">
        <v>9356</v>
      </c>
      <c r="BY484" t="s">
        <v>8186</v>
      </c>
      <c r="CA484" t="s">
        <v>8187</v>
      </c>
      <c r="CB484" t="s">
        <v>1691</v>
      </c>
      <c r="CC484" s="8" t="str">
        <f>"29455"</f>
        <v>29455</v>
      </c>
      <c r="CD484" t="s">
        <v>1868</v>
      </c>
      <c r="CE484" t="s">
        <v>1869</v>
      </c>
      <c r="CF484" s="12">
        <v>16</v>
      </c>
      <c r="CG484" s="12">
        <v>18</v>
      </c>
      <c r="CH484" s="12">
        <v>24</v>
      </c>
      <c r="CI484" s="12">
        <v>27</v>
      </c>
      <c r="CJ484" t="s">
        <v>135</v>
      </c>
      <c r="CK484" t="s">
        <v>973</v>
      </c>
      <c r="CL484" t="s">
        <v>22068</v>
      </c>
      <c r="CO484" t="s">
        <v>132</v>
      </c>
      <c r="CP484" t="s">
        <v>114</v>
      </c>
      <c r="CQ484" t="s">
        <v>136</v>
      </c>
      <c r="CR484" t="s">
        <v>136</v>
      </c>
      <c r="CS484" t="s">
        <v>136</v>
      </c>
      <c r="CT484" t="s">
        <v>136</v>
      </c>
      <c r="CU484" t="s">
        <v>136</v>
      </c>
      <c r="CV484" s="2" t="s">
        <v>22069</v>
      </c>
      <c r="CW484" s="10" t="str">
        <f>"+18437682700"</f>
        <v>+18437682700</v>
      </c>
      <c r="CX484" t="s">
        <v>132</v>
      </c>
      <c r="CY484" t="s">
        <v>8190</v>
      </c>
      <c r="CZ484" t="s">
        <v>137</v>
      </c>
      <c r="DA484" t="s">
        <v>114</v>
      </c>
      <c r="DB484" t="s">
        <v>136</v>
      </c>
      <c r="DC484" t="s">
        <v>136</v>
      </c>
      <c r="DD484" t="s">
        <v>114</v>
      </c>
    </row>
    <row r="485" spans="1:113" ht="15" customHeight="1" x14ac:dyDescent="0.25">
      <c r="A485" t="s">
        <v>16221</v>
      </c>
      <c r="B485" t="s">
        <v>152</v>
      </c>
      <c r="C485" s="1">
        <v>45239.025331249999</v>
      </c>
      <c r="D485" s="1">
        <v>45267</v>
      </c>
      <c r="E485" t="s">
        <v>132</v>
      </c>
      <c r="F485" t="s">
        <v>9024</v>
      </c>
      <c r="G485" t="str">
        <f>"49-9098.00"</f>
        <v>49-9098.00</v>
      </c>
      <c r="H485" t="s">
        <v>945</v>
      </c>
      <c r="I485">
        <v>2</v>
      </c>
      <c r="J485">
        <v>2</v>
      </c>
      <c r="K485" s="1">
        <v>45329</v>
      </c>
      <c r="L485" s="1">
        <v>45626</v>
      </c>
      <c r="M485" s="1">
        <v>45329</v>
      </c>
      <c r="N485" s="1">
        <v>45626</v>
      </c>
      <c r="O485" t="s">
        <v>116</v>
      </c>
      <c r="P485" t="s">
        <v>8178</v>
      </c>
      <c r="Q485" t="s">
        <v>8179</v>
      </c>
      <c r="R485" t="s">
        <v>8180</v>
      </c>
      <c r="T485" t="s">
        <v>8181</v>
      </c>
      <c r="U485" t="s">
        <v>1691</v>
      </c>
      <c r="V485" s="8" t="str">
        <f>"29455"</f>
        <v>29455</v>
      </c>
      <c r="W485" t="s">
        <v>118</v>
      </c>
      <c r="Y485" s="10">
        <v>18437682700</v>
      </c>
      <c r="AA485">
        <v>72111</v>
      </c>
      <c r="AB485" t="s">
        <v>8182</v>
      </c>
      <c r="AC485" t="s">
        <v>5962</v>
      </c>
      <c r="AE485" t="s">
        <v>1189</v>
      </c>
      <c r="AF485" t="s">
        <v>8183</v>
      </c>
      <c r="AH485" t="s">
        <v>8181</v>
      </c>
      <c r="AI485" t="s">
        <v>1691</v>
      </c>
      <c r="AJ485" s="8" t="str">
        <f>"29455"</f>
        <v>29455</v>
      </c>
      <c r="AK485" t="s">
        <v>118</v>
      </c>
      <c r="AM485" s="10">
        <v>18437682700</v>
      </c>
      <c r="AO485" t="s">
        <v>8184</v>
      </c>
      <c r="AP485" t="s">
        <v>248</v>
      </c>
      <c r="AQ485" t="s">
        <v>960</v>
      </c>
      <c r="AR485" t="s">
        <v>961</v>
      </c>
      <c r="AS485" t="s">
        <v>962</v>
      </c>
      <c r="AT485" t="s">
        <v>963</v>
      </c>
      <c r="AU485" t="s">
        <v>296</v>
      </c>
      <c r="AV485" t="s">
        <v>964</v>
      </c>
      <c r="AW485" t="s">
        <v>127</v>
      </c>
      <c r="AX485" s="8" t="str">
        <f>"75033"</f>
        <v>75033</v>
      </c>
      <c r="AY485" t="s">
        <v>118</v>
      </c>
      <c r="BA485" s="10">
        <v>19727789690</v>
      </c>
      <c r="BC485" t="s">
        <v>1951</v>
      </c>
      <c r="BD485" t="s">
        <v>966</v>
      </c>
      <c r="BG485" t="s">
        <v>1691</v>
      </c>
      <c r="BH485" s="1">
        <v>45238.791666666664</v>
      </c>
      <c r="BI485">
        <v>40</v>
      </c>
      <c r="BJ485">
        <v>8</v>
      </c>
      <c r="BK485">
        <v>8</v>
      </c>
      <c r="BL485">
        <v>0</v>
      </c>
      <c r="BM485">
        <v>8</v>
      </c>
      <c r="BN485">
        <v>0</v>
      </c>
      <c r="BO485">
        <v>8</v>
      </c>
      <c r="BP485">
        <v>8</v>
      </c>
      <c r="BQ485" t="str">
        <f>"10:00 AM"</f>
        <v>10:00 AM</v>
      </c>
      <c r="BR485" t="str">
        <f>"6:00 PM"</f>
        <v>6:00 PM</v>
      </c>
      <c r="BS485" t="s">
        <v>131</v>
      </c>
      <c r="BT485">
        <v>0</v>
      </c>
      <c r="BU485">
        <v>0</v>
      </c>
      <c r="BV485" t="s">
        <v>114</v>
      </c>
      <c r="BX485" s="2" t="s">
        <v>9356</v>
      </c>
      <c r="BY485" t="s">
        <v>8186</v>
      </c>
      <c r="CA485" t="s">
        <v>8187</v>
      </c>
      <c r="CB485" t="s">
        <v>1691</v>
      </c>
      <c r="CC485" s="8" t="str">
        <f>"29455"</f>
        <v>29455</v>
      </c>
      <c r="CD485" t="s">
        <v>1868</v>
      </c>
      <c r="CE485" t="s">
        <v>1869</v>
      </c>
      <c r="CF485" s="12">
        <v>20</v>
      </c>
      <c r="CG485" s="12">
        <v>20</v>
      </c>
      <c r="CH485" s="12">
        <v>30</v>
      </c>
      <c r="CI485" s="12">
        <v>30</v>
      </c>
      <c r="CJ485" t="s">
        <v>135</v>
      </c>
      <c r="CK485" t="s">
        <v>973</v>
      </c>
      <c r="CL485" t="s">
        <v>16222</v>
      </c>
      <c r="CO485" t="s">
        <v>132</v>
      </c>
      <c r="CP485" t="s">
        <v>114</v>
      </c>
      <c r="CQ485" t="s">
        <v>136</v>
      </c>
      <c r="CR485" t="s">
        <v>136</v>
      </c>
      <c r="CS485" t="s">
        <v>136</v>
      </c>
      <c r="CT485" t="s">
        <v>136</v>
      </c>
      <c r="CU485" t="s">
        <v>136</v>
      </c>
      <c r="CV485" s="2" t="s">
        <v>8189</v>
      </c>
      <c r="CW485" s="10" t="str">
        <f>"+18437682700"</f>
        <v>+18437682700</v>
      </c>
      <c r="CX485" t="s">
        <v>132</v>
      </c>
      <c r="CY485" t="s">
        <v>8190</v>
      </c>
      <c r="CZ485" t="s">
        <v>137</v>
      </c>
      <c r="DA485" t="s">
        <v>114</v>
      </c>
      <c r="DB485" t="s">
        <v>136</v>
      </c>
      <c r="DC485" t="s">
        <v>136</v>
      </c>
      <c r="DD485" t="s">
        <v>114</v>
      </c>
    </row>
    <row r="486" spans="1:113" ht="15" customHeight="1" x14ac:dyDescent="0.25">
      <c r="A486" t="s">
        <v>18858</v>
      </c>
      <c r="B486" t="s">
        <v>152</v>
      </c>
      <c r="C486" s="1">
        <v>45238.877728703701</v>
      </c>
      <c r="D486" s="1">
        <v>45267</v>
      </c>
      <c r="E486" t="s">
        <v>132</v>
      </c>
      <c r="F486" t="s">
        <v>1595</v>
      </c>
      <c r="G486" t="str">
        <f>"37-3011.00"</f>
        <v>37-3011.00</v>
      </c>
      <c r="H486" t="s">
        <v>429</v>
      </c>
      <c r="I486">
        <v>15</v>
      </c>
      <c r="J486">
        <v>15</v>
      </c>
      <c r="K486" s="1">
        <v>45328</v>
      </c>
      <c r="L486" s="1">
        <v>45641</v>
      </c>
      <c r="M486" s="1">
        <v>45328</v>
      </c>
      <c r="N486" s="1">
        <v>45641</v>
      </c>
      <c r="O486" t="s">
        <v>238</v>
      </c>
      <c r="P486" t="s">
        <v>18859</v>
      </c>
      <c r="R486" t="s">
        <v>18860</v>
      </c>
      <c r="T486" t="s">
        <v>10392</v>
      </c>
      <c r="U486" t="s">
        <v>1722</v>
      </c>
      <c r="V486" s="8" t="str">
        <f>"20850"</f>
        <v>20850</v>
      </c>
      <c r="W486" t="s">
        <v>118</v>
      </c>
      <c r="Y486" s="10">
        <v>13013402665</v>
      </c>
      <c r="AA486">
        <v>56173</v>
      </c>
      <c r="AB486" t="s">
        <v>18861</v>
      </c>
      <c r="AC486" t="s">
        <v>12247</v>
      </c>
      <c r="AD486" t="s">
        <v>4795</v>
      </c>
      <c r="AE486" t="s">
        <v>629</v>
      </c>
      <c r="AF486" t="s">
        <v>18860</v>
      </c>
      <c r="AH486" t="s">
        <v>10392</v>
      </c>
      <c r="AI486" t="s">
        <v>1722</v>
      </c>
      <c r="AJ486" s="8" t="str">
        <f>"20850"</f>
        <v>20850</v>
      </c>
      <c r="AK486" t="s">
        <v>118</v>
      </c>
      <c r="AM486" s="10">
        <v>13013402665</v>
      </c>
      <c r="AO486" t="s">
        <v>132</v>
      </c>
      <c r="AP486" t="s">
        <v>248</v>
      </c>
      <c r="AQ486" t="s">
        <v>2132</v>
      </c>
      <c r="AR486" t="s">
        <v>2133</v>
      </c>
      <c r="AT486" t="s">
        <v>1350</v>
      </c>
      <c r="AU486" t="s">
        <v>1351</v>
      </c>
      <c r="AV486" t="s">
        <v>1352</v>
      </c>
      <c r="AW486" t="s">
        <v>581</v>
      </c>
      <c r="AX486" s="8" t="str">
        <f>"22949"</f>
        <v>22949</v>
      </c>
      <c r="AY486" t="s">
        <v>118</v>
      </c>
      <c r="BA486" s="10">
        <v>14342634300</v>
      </c>
      <c r="BC486" t="s">
        <v>2160</v>
      </c>
      <c r="BD486" t="s">
        <v>583</v>
      </c>
      <c r="BG486" t="s">
        <v>1722</v>
      </c>
      <c r="BH486" s="1">
        <v>45237.791666666664</v>
      </c>
      <c r="BI486">
        <v>40</v>
      </c>
      <c r="BJ486">
        <v>0</v>
      </c>
      <c r="BK486">
        <v>8</v>
      </c>
      <c r="BL486">
        <v>8</v>
      </c>
      <c r="BM486">
        <v>8</v>
      </c>
      <c r="BN486">
        <v>8</v>
      </c>
      <c r="BO486">
        <v>8</v>
      </c>
      <c r="BP486">
        <v>0</v>
      </c>
      <c r="BQ486" t="str">
        <f>"7:00 AM"</f>
        <v>7:00 AM</v>
      </c>
      <c r="BR486" t="str">
        <f>"3:30 PM"</f>
        <v>3:30 PM</v>
      </c>
      <c r="BS486" t="s">
        <v>131</v>
      </c>
      <c r="BT486">
        <v>0</v>
      </c>
      <c r="BU486">
        <v>0</v>
      </c>
      <c r="BV486" t="s">
        <v>114</v>
      </c>
      <c r="BX486" s="2" t="s">
        <v>18862</v>
      </c>
      <c r="BY486" t="s">
        <v>18860</v>
      </c>
      <c r="CA486" t="s">
        <v>10392</v>
      </c>
      <c r="CB486" t="s">
        <v>1722</v>
      </c>
      <c r="CC486" s="8" t="str">
        <f>"20850"</f>
        <v>20850</v>
      </c>
      <c r="CD486" t="s">
        <v>878</v>
      </c>
      <c r="CE486" t="s">
        <v>1794</v>
      </c>
      <c r="CF486" s="12">
        <v>19.670000000000002</v>
      </c>
      <c r="CG486" s="12">
        <v>19.670000000000002</v>
      </c>
      <c r="CH486" s="12">
        <v>29.51</v>
      </c>
      <c r="CI486" s="12">
        <v>29.51</v>
      </c>
      <c r="CJ486" t="s">
        <v>135</v>
      </c>
      <c r="CK486" t="s">
        <v>590</v>
      </c>
      <c r="CL486" t="s">
        <v>18863</v>
      </c>
      <c r="CO486" t="s">
        <v>132</v>
      </c>
      <c r="CP486" t="s">
        <v>136</v>
      </c>
      <c r="CQ486" t="s">
        <v>114</v>
      </c>
      <c r="CR486" t="s">
        <v>136</v>
      </c>
      <c r="CS486" t="s">
        <v>136</v>
      </c>
      <c r="CT486" t="s">
        <v>136</v>
      </c>
      <c r="CU486" t="s">
        <v>114</v>
      </c>
      <c r="CV486" t="s">
        <v>11101</v>
      </c>
      <c r="CW486" s="10" t="str">
        <f>"N/A"</f>
        <v>N/A</v>
      </c>
      <c r="CX486" t="s">
        <v>18864</v>
      </c>
      <c r="CY486" t="s">
        <v>2598</v>
      </c>
      <c r="CZ486" t="s">
        <v>137</v>
      </c>
      <c r="DA486" t="s">
        <v>114</v>
      </c>
      <c r="DB486" t="s">
        <v>136</v>
      </c>
      <c r="DC486" t="s">
        <v>136</v>
      </c>
      <c r="DD486" t="s">
        <v>114</v>
      </c>
      <c r="DE486" t="s">
        <v>2164</v>
      </c>
      <c r="DF486" t="s">
        <v>2165</v>
      </c>
      <c r="DH486" t="s">
        <v>583</v>
      </c>
      <c r="DI486" t="s">
        <v>2160</v>
      </c>
    </row>
    <row r="487" spans="1:113" ht="15" customHeight="1" x14ac:dyDescent="0.25">
      <c r="A487" t="s">
        <v>16160</v>
      </c>
      <c r="B487" t="s">
        <v>152</v>
      </c>
      <c r="C487" s="1">
        <v>45234.988636226852</v>
      </c>
      <c r="D487" s="1">
        <v>45267</v>
      </c>
      <c r="E487" t="s">
        <v>132</v>
      </c>
      <c r="F487" t="s">
        <v>2230</v>
      </c>
      <c r="G487" t="str">
        <f>"37-3011.00"</f>
        <v>37-3011.00</v>
      </c>
      <c r="H487" t="s">
        <v>429</v>
      </c>
      <c r="I487">
        <v>14</v>
      </c>
      <c r="J487">
        <v>14</v>
      </c>
      <c r="K487" s="1">
        <v>45323</v>
      </c>
      <c r="L487" s="1">
        <v>45626</v>
      </c>
      <c r="M487" s="1">
        <v>45323</v>
      </c>
      <c r="N487" s="1">
        <v>45626</v>
      </c>
      <c r="O487" t="s">
        <v>238</v>
      </c>
      <c r="P487" t="s">
        <v>16161</v>
      </c>
      <c r="R487" t="s">
        <v>16162</v>
      </c>
      <c r="T487" t="s">
        <v>16163</v>
      </c>
      <c r="U487" t="s">
        <v>1427</v>
      </c>
      <c r="V487" s="8" t="str">
        <f>"19736"</f>
        <v>19736</v>
      </c>
      <c r="W487" t="s">
        <v>118</v>
      </c>
      <c r="Y487" s="10">
        <v>13027221127</v>
      </c>
      <c r="AA487">
        <v>56173</v>
      </c>
      <c r="AB487" t="s">
        <v>7874</v>
      </c>
      <c r="AC487" t="s">
        <v>1826</v>
      </c>
      <c r="AE487" t="s">
        <v>629</v>
      </c>
      <c r="AF487" t="s">
        <v>16162</v>
      </c>
      <c r="AH487" t="s">
        <v>16163</v>
      </c>
      <c r="AI487" t="s">
        <v>1427</v>
      </c>
      <c r="AJ487" s="8" t="str">
        <f>"19736"</f>
        <v>19736</v>
      </c>
      <c r="AK487" t="s">
        <v>118</v>
      </c>
      <c r="AM487" s="10">
        <v>13027221127</v>
      </c>
      <c r="AO487" t="s">
        <v>16164</v>
      </c>
      <c r="AP487" t="s">
        <v>121</v>
      </c>
      <c r="AQ487" t="s">
        <v>2236</v>
      </c>
      <c r="AR487" t="s">
        <v>2237</v>
      </c>
      <c r="AS487" t="s">
        <v>2238</v>
      </c>
      <c r="AT487" t="s">
        <v>3668</v>
      </c>
      <c r="AV487" t="s">
        <v>3669</v>
      </c>
      <c r="AW487" t="s">
        <v>1427</v>
      </c>
      <c r="AX487" s="8" t="str">
        <f>"19934"</f>
        <v>19934</v>
      </c>
      <c r="AY487" t="s">
        <v>118</v>
      </c>
      <c r="BA487" s="10">
        <v>16103485354</v>
      </c>
      <c r="BC487" t="s">
        <v>2240</v>
      </c>
      <c r="BD487" t="s">
        <v>2241</v>
      </c>
      <c r="BE487" t="s">
        <v>434</v>
      </c>
      <c r="BF487" t="s">
        <v>2242</v>
      </c>
      <c r="BG487" t="s">
        <v>1427</v>
      </c>
      <c r="BH487" s="1">
        <v>45233.833333333336</v>
      </c>
      <c r="BI487">
        <v>50</v>
      </c>
      <c r="BJ487">
        <v>0</v>
      </c>
      <c r="BK487">
        <v>8</v>
      </c>
      <c r="BL487">
        <v>8</v>
      </c>
      <c r="BM487">
        <v>8</v>
      </c>
      <c r="BN487">
        <v>8</v>
      </c>
      <c r="BO487">
        <v>8</v>
      </c>
      <c r="BP487">
        <v>10</v>
      </c>
      <c r="BQ487" t="str">
        <f>"8:00 AM"</f>
        <v>8:00 AM</v>
      </c>
      <c r="BR487" t="str">
        <f>"4:30 PM"</f>
        <v>4:30 PM</v>
      </c>
      <c r="BS487" t="s">
        <v>131</v>
      </c>
      <c r="BT487">
        <v>0</v>
      </c>
      <c r="BU487">
        <v>0</v>
      </c>
      <c r="BV487" t="s">
        <v>114</v>
      </c>
      <c r="BX487" s="2" t="s">
        <v>2243</v>
      </c>
      <c r="BY487" t="s">
        <v>16165</v>
      </c>
      <c r="CA487" t="s">
        <v>13968</v>
      </c>
      <c r="CB487" t="s">
        <v>1427</v>
      </c>
      <c r="CC487" s="8" t="str">
        <f>"19701"</f>
        <v>19701</v>
      </c>
      <c r="CD487" t="s">
        <v>3479</v>
      </c>
      <c r="CE487" t="s">
        <v>443</v>
      </c>
      <c r="CF487" s="12">
        <v>18.71</v>
      </c>
      <c r="CG487" s="12">
        <v>18.71</v>
      </c>
      <c r="CH487" s="12">
        <v>28.07</v>
      </c>
      <c r="CI487" s="12">
        <v>28.07</v>
      </c>
      <c r="CJ487" t="s">
        <v>135</v>
      </c>
      <c r="CL487" t="s">
        <v>16166</v>
      </c>
      <c r="CO487" t="s">
        <v>132</v>
      </c>
      <c r="CP487" t="s">
        <v>136</v>
      </c>
      <c r="CQ487" t="s">
        <v>136</v>
      </c>
      <c r="CR487" t="s">
        <v>136</v>
      </c>
      <c r="CS487" t="s">
        <v>136</v>
      </c>
      <c r="CT487" t="s">
        <v>136</v>
      </c>
      <c r="CU487" t="s">
        <v>114</v>
      </c>
      <c r="CV487" t="s">
        <v>2246</v>
      </c>
      <c r="CW487" s="10" t="str">
        <f>"+13022392180"</f>
        <v>+13022392180</v>
      </c>
      <c r="CX487" t="s">
        <v>16164</v>
      </c>
      <c r="CY487" t="s">
        <v>132</v>
      </c>
      <c r="CZ487" t="s">
        <v>137</v>
      </c>
      <c r="DA487" t="s">
        <v>114</v>
      </c>
      <c r="DB487" t="s">
        <v>114</v>
      </c>
      <c r="DC487" t="s">
        <v>136</v>
      </c>
      <c r="DD487" t="s">
        <v>114</v>
      </c>
    </row>
    <row r="488" spans="1:113" ht="15" customHeight="1" x14ac:dyDescent="0.25">
      <c r="A488" t="s">
        <v>7756</v>
      </c>
      <c r="B488" t="s">
        <v>152</v>
      </c>
      <c r="C488" s="1">
        <v>45233.779803356483</v>
      </c>
      <c r="D488" s="1">
        <v>45267</v>
      </c>
      <c r="E488" t="s">
        <v>132</v>
      </c>
      <c r="F488" t="s">
        <v>1743</v>
      </c>
      <c r="G488" t="str">
        <f>"37-3011.00"</f>
        <v>37-3011.00</v>
      </c>
      <c r="H488" t="s">
        <v>429</v>
      </c>
      <c r="I488">
        <v>65</v>
      </c>
      <c r="J488">
        <v>65</v>
      </c>
      <c r="K488" s="1">
        <v>45323</v>
      </c>
      <c r="L488" s="1">
        <v>45596</v>
      </c>
      <c r="M488" s="1">
        <v>45323</v>
      </c>
      <c r="N488" s="1">
        <v>45596</v>
      </c>
      <c r="O488" t="s">
        <v>116</v>
      </c>
      <c r="P488" t="s">
        <v>7757</v>
      </c>
      <c r="R488" t="s">
        <v>7758</v>
      </c>
      <c r="S488" t="s">
        <v>132</v>
      </c>
      <c r="T488" t="s">
        <v>3585</v>
      </c>
      <c r="U488" t="s">
        <v>127</v>
      </c>
      <c r="V488" s="8" t="str">
        <f>"78641"</f>
        <v>78641</v>
      </c>
      <c r="W488" t="s">
        <v>118</v>
      </c>
      <c r="X488" t="s">
        <v>132</v>
      </c>
      <c r="Y488" s="10">
        <v>15127971640</v>
      </c>
      <c r="AA488">
        <v>561730</v>
      </c>
      <c r="AB488" t="s">
        <v>7759</v>
      </c>
      <c r="AC488" t="s">
        <v>7760</v>
      </c>
      <c r="AE488" t="s">
        <v>561</v>
      </c>
      <c r="AF488" t="s">
        <v>7758</v>
      </c>
      <c r="AH488" t="s">
        <v>3585</v>
      </c>
      <c r="AI488" t="s">
        <v>127</v>
      </c>
      <c r="AJ488" s="8" t="str">
        <f>"78641"</f>
        <v>78641</v>
      </c>
      <c r="AK488" t="s">
        <v>118</v>
      </c>
      <c r="AM488" s="10">
        <v>15127971640</v>
      </c>
      <c r="AO488" t="s">
        <v>7761</v>
      </c>
      <c r="AP488" t="s">
        <v>121</v>
      </c>
      <c r="AQ488" t="s">
        <v>5240</v>
      </c>
      <c r="AR488" t="s">
        <v>7232</v>
      </c>
      <c r="AT488" t="s">
        <v>2558</v>
      </c>
      <c r="AU488" t="s">
        <v>2559</v>
      </c>
      <c r="AV488" t="s">
        <v>603</v>
      </c>
      <c r="AW488" t="s">
        <v>127</v>
      </c>
      <c r="AX488" s="8" t="str">
        <f>"78735"</f>
        <v>78735</v>
      </c>
      <c r="AY488" t="s">
        <v>118</v>
      </c>
      <c r="BA488" s="10">
        <v>15128942128</v>
      </c>
      <c r="BC488" t="s">
        <v>748</v>
      </c>
      <c r="BD488" t="s">
        <v>749</v>
      </c>
      <c r="BE488" t="s">
        <v>127</v>
      </c>
      <c r="BF488" t="s">
        <v>750</v>
      </c>
      <c r="BG488" t="s">
        <v>127</v>
      </c>
      <c r="BH488" s="1">
        <v>45236.791666666664</v>
      </c>
      <c r="BI488">
        <v>35</v>
      </c>
      <c r="BJ488">
        <v>0</v>
      </c>
      <c r="BK488">
        <v>7</v>
      </c>
      <c r="BL488">
        <v>7</v>
      </c>
      <c r="BM488">
        <v>7</v>
      </c>
      <c r="BN488">
        <v>7</v>
      </c>
      <c r="BO488">
        <v>7</v>
      </c>
      <c r="BP488">
        <v>0</v>
      </c>
      <c r="BQ488" t="str">
        <f>"8:00 AM"</f>
        <v>8:00 AM</v>
      </c>
      <c r="BR488" t="str">
        <f>"5:00 PM"</f>
        <v>5:00 PM</v>
      </c>
      <c r="BS488" t="s">
        <v>131</v>
      </c>
      <c r="BT488">
        <v>0</v>
      </c>
      <c r="BU488">
        <v>3</v>
      </c>
      <c r="BV488" t="s">
        <v>114</v>
      </c>
      <c r="BX488" s="2" t="s">
        <v>7762</v>
      </c>
      <c r="BY488" t="s">
        <v>7758</v>
      </c>
      <c r="CA488" t="s">
        <v>3585</v>
      </c>
      <c r="CB488" t="s">
        <v>127</v>
      </c>
      <c r="CC488" s="8" t="str">
        <f>"78641"</f>
        <v>78641</v>
      </c>
      <c r="CD488" t="s">
        <v>323</v>
      </c>
      <c r="CE488" t="s">
        <v>324</v>
      </c>
      <c r="CF488" s="12">
        <v>16.91</v>
      </c>
      <c r="CG488" s="12">
        <v>16.91</v>
      </c>
      <c r="CH488" s="12">
        <v>25.37</v>
      </c>
      <c r="CI488" s="12">
        <v>25.37</v>
      </c>
      <c r="CJ488" t="s">
        <v>135</v>
      </c>
      <c r="CL488" t="s">
        <v>7763</v>
      </c>
      <c r="CO488" t="s">
        <v>132</v>
      </c>
      <c r="CP488" t="s">
        <v>136</v>
      </c>
      <c r="CQ488" t="s">
        <v>136</v>
      </c>
      <c r="CR488" t="s">
        <v>136</v>
      </c>
      <c r="CS488" t="s">
        <v>136</v>
      </c>
      <c r="CT488" t="s">
        <v>136</v>
      </c>
      <c r="CU488" t="s">
        <v>114</v>
      </c>
      <c r="CV488" t="s">
        <v>4797</v>
      </c>
      <c r="CW488" s="10" t="str">
        <f>"+15127971640"</f>
        <v>+15127971640</v>
      </c>
      <c r="CX488" t="s">
        <v>7761</v>
      </c>
      <c r="CY488" t="s">
        <v>132</v>
      </c>
      <c r="CZ488" t="s">
        <v>137</v>
      </c>
      <c r="DA488" t="s">
        <v>114</v>
      </c>
      <c r="DB488" t="s">
        <v>114</v>
      </c>
      <c r="DC488" t="s">
        <v>136</v>
      </c>
      <c r="DD488" t="s">
        <v>114</v>
      </c>
    </row>
    <row r="489" spans="1:113" ht="15" customHeight="1" x14ac:dyDescent="0.25">
      <c r="A489" t="s">
        <v>16299</v>
      </c>
      <c r="B489" t="s">
        <v>152</v>
      </c>
      <c r="C489" s="1">
        <v>45233.771659259262</v>
      </c>
      <c r="D489" s="1">
        <v>45267</v>
      </c>
      <c r="E489" t="s">
        <v>132</v>
      </c>
      <c r="F489" t="s">
        <v>1743</v>
      </c>
      <c r="G489" t="str">
        <f>"37-3011.00"</f>
        <v>37-3011.00</v>
      </c>
      <c r="H489" t="s">
        <v>429</v>
      </c>
      <c r="I489">
        <v>65</v>
      </c>
      <c r="J489">
        <v>65</v>
      </c>
      <c r="K489" s="1">
        <v>45323</v>
      </c>
      <c r="L489" s="1">
        <v>45596</v>
      </c>
      <c r="M489" s="1">
        <v>45323</v>
      </c>
      <c r="N489" s="1">
        <v>45596</v>
      </c>
      <c r="O489" t="s">
        <v>116</v>
      </c>
      <c r="P489" t="s">
        <v>7757</v>
      </c>
      <c r="R489" t="s">
        <v>7758</v>
      </c>
      <c r="T489" t="s">
        <v>3585</v>
      </c>
      <c r="U489" t="s">
        <v>127</v>
      </c>
      <c r="V489" s="8" t="str">
        <f>"78641"</f>
        <v>78641</v>
      </c>
      <c r="W489" t="s">
        <v>118</v>
      </c>
      <c r="Y489" s="10">
        <v>15127971640</v>
      </c>
      <c r="AA489">
        <v>561730</v>
      </c>
      <c r="AB489" t="s">
        <v>7759</v>
      </c>
      <c r="AC489" t="s">
        <v>7760</v>
      </c>
      <c r="AE489" t="s">
        <v>561</v>
      </c>
      <c r="AF489" t="s">
        <v>7758</v>
      </c>
      <c r="AH489" t="s">
        <v>3585</v>
      </c>
      <c r="AI489" t="s">
        <v>127</v>
      </c>
      <c r="AJ489" s="8" t="str">
        <f>"78641"</f>
        <v>78641</v>
      </c>
      <c r="AK489" t="s">
        <v>118</v>
      </c>
      <c r="AM489" s="10">
        <v>15127971640</v>
      </c>
      <c r="AO489" t="s">
        <v>7761</v>
      </c>
      <c r="AP489" t="s">
        <v>121</v>
      </c>
      <c r="AQ489" t="s">
        <v>5240</v>
      </c>
      <c r="AR489" t="s">
        <v>7232</v>
      </c>
      <c r="AT489" t="s">
        <v>2558</v>
      </c>
      <c r="AU489" t="s">
        <v>2559</v>
      </c>
      <c r="AV489" t="s">
        <v>603</v>
      </c>
      <c r="AW489" t="s">
        <v>127</v>
      </c>
      <c r="AX489" s="8" t="str">
        <f>"78735"</f>
        <v>78735</v>
      </c>
      <c r="AY489" t="s">
        <v>118</v>
      </c>
      <c r="BA489" s="10">
        <v>15128942128</v>
      </c>
      <c r="BC489" t="s">
        <v>748</v>
      </c>
      <c r="BD489" t="s">
        <v>749</v>
      </c>
      <c r="BE489" t="s">
        <v>127</v>
      </c>
      <c r="BF489" t="s">
        <v>750</v>
      </c>
      <c r="BG489" t="s">
        <v>127</v>
      </c>
      <c r="BH489" s="1">
        <v>45236.791666666664</v>
      </c>
      <c r="BI489">
        <v>35</v>
      </c>
      <c r="BJ489">
        <v>0</v>
      </c>
      <c r="BK489">
        <v>7</v>
      </c>
      <c r="BL489">
        <v>7</v>
      </c>
      <c r="BM489">
        <v>7</v>
      </c>
      <c r="BN489">
        <v>7</v>
      </c>
      <c r="BO489">
        <v>7</v>
      </c>
      <c r="BP489">
        <v>0</v>
      </c>
      <c r="BQ489" t="str">
        <f>"8:00 AM"</f>
        <v>8:00 AM</v>
      </c>
      <c r="BR489" t="str">
        <f>"5:00 PM"</f>
        <v>5:00 PM</v>
      </c>
      <c r="BS489" t="s">
        <v>131</v>
      </c>
      <c r="BT489">
        <v>0</v>
      </c>
      <c r="BU489">
        <v>3</v>
      </c>
      <c r="BV489" t="s">
        <v>114</v>
      </c>
      <c r="BX489" t="s">
        <v>16300</v>
      </c>
      <c r="BY489" t="s">
        <v>16301</v>
      </c>
      <c r="CA489" t="s">
        <v>16302</v>
      </c>
      <c r="CB489" t="s">
        <v>127</v>
      </c>
      <c r="CC489" s="8" t="str">
        <f>"78657"</f>
        <v>78657</v>
      </c>
      <c r="CD489" t="s">
        <v>16303</v>
      </c>
      <c r="CE489" t="s">
        <v>619</v>
      </c>
      <c r="CF489" s="12">
        <v>14.62</v>
      </c>
      <c r="CG489" s="12">
        <v>14.62</v>
      </c>
      <c r="CH489" s="12">
        <v>21.93</v>
      </c>
      <c r="CI489" s="12">
        <v>21.93</v>
      </c>
      <c r="CJ489" t="s">
        <v>135</v>
      </c>
      <c r="CL489" t="s">
        <v>16304</v>
      </c>
      <c r="CO489" t="s">
        <v>132</v>
      </c>
      <c r="CP489" t="s">
        <v>136</v>
      </c>
      <c r="CQ489" t="s">
        <v>136</v>
      </c>
      <c r="CR489" t="s">
        <v>136</v>
      </c>
      <c r="CS489" t="s">
        <v>136</v>
      </c>
      <c r="CT489" t="s">
        <v>136</v>
      </c>
      <c r="CU489" t="s">
        <v>114</v>
      </c>
      <c r="CV489" t="s">
        <v>5906</v>
      </c>
      <c r="CW489" s="10" t="str">
        <f>"+15127971640"</f>
        <v>+15127971640</v>
      </c>
      <c r="CX489" t="s">
        <v>7761</v>
      </c>
      <c r="CY489" t="s">
        <v>132</v>
      </c>
      <c r="CZ489" t="s">
        <v>137</v>
      </c>
      <c r="DA489" t="s">
        <v>114</v>
      </c>
      <c r="DB489" t="s">
        <v>114</v>
      </c>
      <c r="DC489" t="s">
        <v>136</v>
      </c>
      <c r="DD489" t="s">
        <v>114</v>
      </c>
    </row>
    <row r="490" spans="1:113" ht="15" customHeight="1" x14ac:dyDescent="0.25">
      <c r="A490" t="s">
        <v>9396</v>
      </c>
      <c r="B490" t="s">
        <v>152</v>
      </c>
      <c r="C490" s="1">
        <v>45233.423261458331</v>
      </c>
      <c r="D490" s="1">
        <v>45267</v>
      </c>
      <c r="E490" t="s">
        <v>132</v>
      </c>
      <c r="F490" t="s">
        <v>3750</v>
      </c>
      <c r="G490" t="str">
        <f>"47-2061.00"</f>
        <v>47-2061.00</v>
      </c>
      <c r="H490" t="s">
        <v>570</v>
      </c>
      <c r="I490">
        <v>8</v>
      </c>
      <c r="J490">
        <v>8</v>
      </c>
      <c r="K490" s="1">
        <v>45323</v>
      </c>
      <c r="L490" s="1">
        <v>45625</v>
      </c>
      <c r="M490" s="1">
        <v>45323</v>
      </c>
      <c r="N490" s="1">
        <v>45625</v>
      </c>
      <c r="O490" t="s">
        <v>116</v>
      </c>
      <c r="P490" t="s">
        <v>9397</v>
      </c>
      <c r="R490" t="s">
        <v>9398</v>
      </c>
      <c r="S490" t="s">
        <v>132</v>
      </c>
      <c r="T490" t="s">
        <v>4992</v>
      </c>
      <c r="U490" t="s">
        <v>127</v>
      </c>
      <c r="V490" s="8" t="str">
        <f>"76501"</f>
        <v>76501</v>
      </c>
      <c r="W490" t="s">
        <v>118</v>
      </c>
      <c r="Y490" s="10">
        <v>12543001994</v>
      </c>
      <c r="AA490">
        <v>238990</v>
      </c>
      <c r="AB490" t="s">
        <v>9399</v>
      </c>
      <c r="AC490" t="s">
        <v>9400</v>
      </c>
      <c r="AD490" t="s">
        <v>132</v>
      </c>
      <c r="AE490" t="s">
        <v>561</v>
      </c>
      <c r="AF490" t="s">
        <v>9398</v>
      </c>
      <c r="AG490" t="s">
        <v>132</v>
      </c>
      <c r="AH490" t="s">
        <v>4992</v>
      </c>
      <c r="AI490" t="s">
        <v>127</v>
      </c>
      <c r="AJ490" s="8" t="str">
        <f>"76501"</f>
        <v>76501</v>
      </c>
      <c r="AK490" t="s">
        <v>118</v>
      </c>
      <c r="AM490" s="10">
        <v>12543001994</v>
      </c>
      <c r="AO490" t="s">
        <v>9401</v>
      </c>
      <c r="AP490" t="s">
        <v>248</v>
      </c>
      <c r="AQ490" t="s">
        <v>1820</v>
      </c>
      <c r="AR490" t="s">
        <v>1828</v>
      </c>
      <c r="AS490" t="s">
        <v>132</v>
      </c>
      <c r="AT490" t="s">
        <v>1584</v>
      </c>
      <c r="AU490" t="s">
        <v>132</v>
      </c>
      <c r="AV490" t="s">
        <v>1585</v>
      </c>
      <c r="AW490" t="s">
        <v>127</v>
      </c>
      <c r="AX490" s="8" t="str">
        <f>"77414"</f>
        <v>77414</v>
      </c>
      <c r="AY490" t="s">
        <v>118</v>
      </c>
      <c r="BA490" s="10">
        <v>19793187285</v>
      </c>
      <c r="BC490" t="s">
        <v>2430</v>
      </c>
      <c r="BD490" t="s">
        <v>1587</v>
      </c>
      <c r="BG490" t="s">
        <v>127</v>
      </c>
      <c r="BH490" s="1">
        <v>45232.833333333336</v>
      </c>
      <c r="BI490">
        <v>45</v>
      </c>
      <c r="BJ490">
        <v>0</v>
      </c>
      <c r="BK490">
        <v>9</v>
      </c>
      <c r="BL490">
        <v>9</v>
      </c>
      <c r="BM490">
        <v>9</v>
      </c>
      <c r="BN490">
        <v>9</v>
      </c>
      <c r="BO490">
        <v>9</v>
      </c>
      <c r="BP490">
        <v>0</v>
      </c>
      <c r="BQ490" t="str">
        <f>"7:00 AM"</f>
        <v>7:00 AM</v>
      </c>
      <c r="BR490" t="str">
        <f>"5:00 PM"</f>
        <v>5:00 PM</v>
      </c>
      <c r="BS490" t="s">
        <v>131</v>
      </c>
      <c r="BT490">
        <v>0</v>
      </c>
      <c r="BU490">
        <v>0</v>
      </c>
      <c r="BV490" t="s">
        <v>114</v>
      </c>
      <c r="BX490" t="s">
        <v>9402</v>
      </c>
      <c r="BY490" t="s">
        <v>9398</v>
      </c>
      <c r="BZ490" t="s">
        <v>132</v>
      </c>
      <c r="CA490" t="s">
        <v>4992</v>
      </c>
      <c r="CB490" t="s">
        <v>127</v>
      </c>
      <c r="CC490" s="8" t="str">
        <f>"76501"</f>
        <v>76501</v>
      </c>
      <c r="CD490" t="s">
        <v>3250</v>
      </c>
      <c r="CE490" t="s">
        <v>3251</v>
      </c>
      <c r="CF490" s="12">
        <v>19.04</v>
      </c>
      <c r="CH490" s="12">
        <v>28.56</v>
      </c>
      <c r="CJ490" t="s">
        <v>135</v>
      </c>
      <c r="CK490" t="s">
        <v>9403</v>
      </c>
      <c r="CL490" t="s">
        <v>9404</v>
      </c>
      <c r="CO490" t="s">
        <v>132</v>
      </c>
      <c r="CP490" t="s">
        <v>136</v>
      </c>
      <c r="CQ490" t="s">
        <v>136</v>
      </c>
      <c r="CR490" t="s">
        <v>136</v>
      </c>
      <c r="CS490" t="s">
        <v>136</v>
      </c>
      <c r="CT490" t="s">
        <v>136</v>
      </c>
      <c r="CU490" t="s">
        <v>136</v>
      </c>
      <c r="CV490" t="s">
        <v>9405</v>
      </c>
      <c r="CW490" s="10" t="str">
        <f>"+12543001994"</f>
        <v>+12543001994</v>
      </c>
      <c r="CX490" t="s">
        <v>9406</v>
      </c>
      <c r="CY490" t="s">
        <v>132</v>
      </c>
      <c r="CZ490" t="s">
        <v>137</v>
      </c>
      <c r="DA490" t="s">
        <v>114</v>
      </c>
      <c r="DB490" t="s">
        <v>114</v>
      </c>
      <c r="DC490" t="s">
        <v>136</v>
      </c>
      <c r="DD490" t="s">
        <v>114</v>
      </c>
    </row>
    <row r="491" spans="1:113" ht="15" customHeight="1" x14ac:dyDescent="0.25">
      <c r="A491" t="s">
        <v>20033</v>
      </c>
      <c r="B491" t="s">
        <v>152</v>
      </c>
      <c r="C491" s="1">
        <v>45233.003573148148</v>
      </c>
      <c r="D491" s="1">
        <v>45267</v>
      </c>
      <c r="E491" t="s">
        <v>132</v>
      </c>
      <c r="F491" t="s">
        <v>1595</v>
      </c>
      <c r="G491" t="str">
        <f>"37-3011.00"</f>
        <v>37-3011.00</v>
      </c>
      <c r="H491" t="s">
        <v>429</v>
      </c>
      <c r="I491">
        <v>5</v>
      </c>
      <c r="J491">
        <v>5</v>
      </c>
      <c r="K491" s="1">
        <v>45323</v>
      </c>
      <c r="L491" s="1">
        <v>45626</v>
      </c>
      <c r="M491" s="1">
        <v>45323</v>
      </c>
      <c r="N491" s="1">
        <v>45626</v>
      </c>
      <c r="O491" t="s">
        <v>238</v>
      </c>
      <c r="P491" t="s">
        <v>8100</v>
      </c>
      <c r="R491" t="s">
        <v>8101</v>
      </c>
      <c r="T491" t="s">
        <v>2663</v>
      </c>
      <c r="U491" t="s">
        <v>984</v>
      </c>
      <c r="V491" s="8" t="str">
        <f>"65203"</f>
        <v>65203</v>
      </c>
      <c r="W491" t="s">
        <v>118</v>
      </c>
      <c r="Y491" s="10">
        <v>15734458100</v>
      </c>
      <c r="AA491">
        <v>56173</v>
      </c>
      <c r="AB491" t="s">
        <v>8102</v>
      </c>
      <c r="AC491" t="s">
        <v>2158</v>
      </c>
      <c r="AE491" t="s">
        <v>629</v>
      </c>
      <c r="AF491" t="s">
        <v>8101</v>
      </c>
      <c r="AH491" t="s">
        <v>2663</v>
      </c>
      <c r="AI491" t="s">
        <v>984</v>
      </c>
      <c r="AJ491" s="8" t="str">
        <f>"65203"</f>
        <v>65203</v>
      </c>
      <c r="AK491" t="s">
        <v>118</v>
      </c>
      <c r="AM491" s="10">
        <v>15734458100</v>
      </c>
      <c r="AO491" t="s">
        <v>8103</v>
      </c>
      <c r="AP491" t="s">
        <v>248</v>
      </c>
      <c r="AQ491" t="s">
        <v>2667</v>
      </c>
      <c r="AR491" t="s">
        <v>2668</v>
      </c>
      <c r="AT491" t="s">
        <v>1253</v>
      </c>
      <c r="AU491" t="s">
        <v>852</v>
      </c>
      <c r="AV491" t="s">
        <v>853</v>
      </c>
      <c r="AW491" t="s">
        <v>854</v>
      </c>
      <c r="AX491" s="8" t="str">
        <f>"83814"</f>
        <v>83814</v>
      </c>
      <c r="AY491" t="s">
        <v>118</v>
      </c>
      <c r="BA491" s="10">
        <v>12087772654</v>
      </c>
      <c r="BC491" t="s">
        <v>2669</v>
      </c>
      <c r="BD491" t="s">
        <v>856</v>
      </c>
      <c r="BG491" t="s">
        <v>984</v>
      </c>
      <c r="BH491" s="1">
        <v>45231.833333333336</v>
      </c>
      <c r="BI491">
        <v>40</v>
      </c>
      <c r="BJ491">
        <v>0</v>
      </c>
      <c r="BK491">
        <v>8</v>
      </c>
      <c r="BL491">
        <v>8</v>
      </c>
      <c r="BM491">
        <v>8</v>
      </c>
      <c r="BN491">
        <v>8</v>
      </c>
      <c r="BO491">
        <v>8</v>
      </c>
      <c r="BP491">
        <v>0</v>
      </c>
      <c r="BQ491" t="str">
        <f>"7:00 AM"</f>
        <v>7:00 AM</v>
      </c>
      <c r="BR491" t="str">
        <f>"4:00 PM"</f>
        <v>4:00 PM</v>
      </c>
      <c r="BS491" t="s">
        <v>131</v>
      </c>
      <c r="BT491">
        <v>0</v>
      </c>
      <c r="BU491">
        <v>0</v>
      </c>
      <c r="BV491" t="s">
        <v>114</v>
      </c>
      <c r="BX491" t="s">
        <v>19806</v>
      </c>
      <c r="BY491" t="s">
        <v>8101</v>
      </c>
      <c r="CA491" t="s">
        <v>2663</v>
      </c>
      <c r="CB491" t="s">
        <v>984</v>
      </c>
      <c r="CC491" s="8" t="str">
        <f>"65203"</f>
        <v>65203</v>
      </c>
      <c r="CD491" t="s">
        <v>2672</v>
      </c>
      <c r="CE491" t="s">
        <v>2673</v>
      </c>
      <c r="CF491" s="12">
        <v>15.24</v>
      </c>
      <c r="CG491" s="12">
        <v>18</v>
      </c>
      <c r="CH491" s="12">
        <v>22.86</v>
      </c>
      <c r="CI491" s="12">
        <v>27</v>
      </c>
      <c r="CJ491" t="s">
        <v>135</v>
      </c>
      <c r="CK491" t="s">
        <v>1244</v>
      </c>
      <c r="CL491" t="s">
        <v>20034</v>
      </c>
      <c r="CO491" t="s">
        <v>132</v>
      </c>
      <c r="CP491" t="s">
        <v>114</v>
      </c>
      <c r="CQ491" t="s">
        <v>114</v>
      </c>
      <c r="CR491" t="s">
        <v>136</v>
      </c>
      <c r="CS491" t="s">
        <v>136</v>
      </c>
      <c r="CT491" t="s">
        <v>136</v>
      </c>
      <c r="CU491" t="s">
        <v>136</v>
      </c>
      <c r="CV491" t="s">
        <v>1040</v>
      </c>
      <c r="CW491" s="10" t="str">
        <f>"+15734458100"</f>
        <v>+15734458100</v>
      </c>
      <c r="CX491" t="s">
        <v>8103</v>
      </c>
      <c r="CY491" t="s">
        <v>132</v>
      </c>
      <c r="CZ491" t="s">
        <v>137</v>
      </c>
      <c r="DA491" t="s">
        <v>114</v>
      </c>
      <c r="DB491" t="s">
        <v>136</v>
      </c>
      <c r="DC491" t="s">
        <v>136</v>
      </c>
      <c r="DD491" t="s">
        <v>114</v>
      </c>
    </row>
    <row r="492" spans="1:113" ht="15" customHeight="1" x14ac:dyDescent="0.25">
      <c r="A492" t="s">
        <v>24095</v>
      </c>
      <c r="B492" t="s">
        <v>152</v>
      </c>
      <c r="C492" s="1">
        <v>45223.670096643516</v>
      </c>
      <c r="D492" s="1">
        <v>45267</v>
      </c>
      <c r="E492" t="s">
        <v>132</v>
      </c>
      <c r="F492" t="s">
        <v>24096</v>
      </c>
      <c r="G492" t="str">
        <f>"37-3011.00"</f>
        <v>37-3011.00</v>
      </c>
      <c r="H492" t="s">
        <v>429</v>
      </c>
      <c r="I492">
        <v>5</v>
      </c>
      <c r="J492">
        <v>5</v>
      </c>
      <c r="K492" s="1">
        <v>45298</v>
      </c>
      <c r="L492" s="1">
        <v>45412</v>
      </c>
      <c r="M492" s="1">
        <v>45298</v>
      </c>
      <c r="N492" s="1">
        <v>45412</v>
      </c>
      <c r="O492" t="s">
        <v>238</v>
      </c>
      <c r="P492" t="s">
        <v>22020</v>
      </c>
      <c r="R492" t="s">
        <v>10913</v>
      </c>
      <c r="T492" t="s">
        <v>10915</v>
      </c>
      <c r="U492" t="s">
        <v>740</v>
      </c>
      <c r="V492" s="8" t="str">
        <f>"50548"</f>
        <v>50548</v>
      </c>
      <c r="W492" t="s">
        <v>118</v>
      </c>
      <c r="Y492" s="10">
        <v>15158900355</v>
      </c>
      <c r="AA492">
        <v>532412</v>
      </c>
      <c r="AB492" t="s">
        <v>10916</v>
      </c>
      <c r="AC492" t="s">
        <v>1555</v>
      </c>
      <c r="AE492" t="s">
        <v>561</v>
      </c>
      <c r="AF492" t="s">
        <v>21253</v>
      </c>
      <c r="AH492" t="s">
        <v>10915</v>
      </c>
      <c r="AI492" t="s">
        <v>740</v>
      </c>
      <c r="AJ492" s="8" t="str">
        <f>"50548"</f>
        <v>50548</v>
      </c>
      <c r="AK492" t="s">
        <v>118</v>
      </c>
      <c r="AM492" s="10">
        <v>15158900355</v>
      </c>
      <c r="AO492" t="s">
        <v>22021</v>
      </c>
      <c r="AP492" t="s">
        <v>121</v>
      </c>
      <c r="AQ492" t="s">
        <v>929</v>
      </c>
      <c r="AR492" t="s">
        <v>930</v>
      </c>
      <c r="AS492" t="s">
        <v>931</v>
      </c>
      <c r="AT492" t="s">
        <v>932</v>
      </c>
      <c r="AU492" t="s">
        <v>132</v>
      </c>
      <c r="AV492" t="s">
        <v>933</v>
      </c>
      <c r="AW492" t="s">
        <v>740</v>
      </c>
      <c r="AX492" s="8" t="str">
        <f>"50010"</f>
        <v>50010</v>
      </c>
      <c r="AY492" t="s">
        <v>118</v>
      </c>
      <c r="BA492" s="10">
        <v>15152324444</v>
      </c>
      <c r="BB492">
        <v>0</v>
      </c>
      <c r="BC492" t="s">
        <v>934</v>
      </c>
      <c r="BD492" t="s">
        <v>935</v>
      </c>
      <c r="BE492" t="s">
        <v>740</v>
      </c>
      <c r="BF492" t="s">
        <v>172</v>
      </c>
      <c r="BG492" t="s">
        <v>740</v>
      </c>
      <c r="BH492" s="1">
        <v>45222.833333333336</v>
      </c>
      <c r="BI492">
        <v>40</v>
      </c>
      <c r="BJ492">
        <v>0</v>
      </c>
      <c r="BK492">
        <v>8</v>
      </c>
      <c r="BL492">
        <v>8</v>
      </c>
      <c r="BM492">
        <v>8</v>
      </c>
      <c r="BN492">
        <v>8</v>
      </c>
      <c r="BO492">
        <v>8</v>
      </c>
      <c r="BP492">
        <v>0</v>
      </c>
      <c r="BQ492" t="str">
        <f>"9:00 AM"</f>
        <v>9:00 AM</v>
      </c>
      <c r="BR492" t="str">
        <f>"5:00 PM"</f>
        <v>5:00 PM</v>
      </c>
      <c r="BS492" t="s">
        <v>131</v>
      </c>
      <c r="BT492">
        <v>0</v>
      </c>
      <c r="BU492">
        <v>0</v>
      </c>
      <c r="BV492" t="s">
        <v>114</v>
      </c>
      <c r="BX492" s="2" t="s">
        <v>24097</v>
      </c>
      <c r="BY492" t="s">
        <v>24098</v>
      </c>
      <c r="CA492" t="s">
        <v>10915</v>
      </c>
      <c r="CB492" t="s">
        <v>740</v>
      </c>
      <c r="CC492" s="8" t="str">
        <f>"50548"</f>
        <v>50548</v>
      </c>
      <c r="CD492" t="s">
        <v>3448</v>
      </c>
      <c r="CE492" t="s">
        <v>2289</v>
      </c>
      <c r="CF492" s="12">
        <v>15.04</v>
      </c>
      <c r="CG492" s="12">
        <v>15.04</v>
      </c>
      <c r="CJ492" t="s">
        <v>135</v>
      </c>
      <c r="CK492" t="s">
        <v>20559</v>
      </c>
      <c r="CL492" t="s">
        <v>24099</v>
      </c>
      <c r="CO492" t="s">
        <v>132</v>
      </c>
      <c r="CP492" t="s">
        <v>136</v>
      </c>
      <c r="CQ492" t="s">
        <v>136</v>
      </c>
      <c r="CR492" t="s">
        <v>114</v>
      </c>
      <c r="CS492" t="s">
        <v>136</v>
      </c>
      <c r="CT492" t="s">
        <v>136</v>
      </c>
      <c r="CU492" t="s">
        <v>136</v>
      </c>
      <c r="CV492" s="2" t="s">
        <v>24100</v>
      </c>
      <c r="CW492" s="10" t="str">
        <f>"+15158900355"</f>
        <v>+15158900355</v>
      </c>
      <c r="CX492" t="s">
        <v>22021</v>
      </c>
      <c r="CY492" t="s">
        <v>132</v>
      </c>
      <c r="CZ492" t="s">
        <v>137</v>
      </c>
      <c r="DA492" t="s">
        <v>114</v>
      </c>
      <c r="DB492" t="s">
        <v>136</v>
      </c>
      <c r="DC492" t="s">
        <v>136</v>
      </c>
      <c r="DD492" t="s">
        <v>114</v>
      </c>
    </row>
    <row r="493" spans="1:113" ht="15" customHeight="1" x14ac:dyDescent="0.25">
      <c r="A493" t="s">
        <v>5098</v>
      </c>
      <c r="B493" t="s">
        <v>152</v>
      </c>
      <c r="C493" s="1">
        <v>45219.52659872685</v>
      </c>
      <c r="D493" s="1">
        <v>45267</v>
      </c>
      <c r="E493" t="s">
        <v>132</v>
      </c>
      <c r="F493" t="s">
        <v>2014</v>
      </c>
      <c r="G493" t="str">
        <f>"51-6011.00"</f>
        <v>51-6011.00</v>
      </c>
      <c r="H493" t="s">
        <v>2015</v>
      </c>
      <c r="I493">
        <v>5</v>
      </c>
      <c r="J493">
        <v>5</v>
      </c>
      <c r="K493" s="1">
        <v>45294</v>
      </c>
      <c r="L493" s="1">
        <v>45473</v>
      </c>
      <c r="M493" s="1">
        <v>45294</v>
      </c>
      <c r="N493" s="1">
        <v>45473</v>
      </c>
      <c r="O493" t="s">
        <v>116</v>
      </c>
      <c r="P493" t="s">
        <v>5099</v>
      </c>
      <c r="Q493" t="s">
        <v>5100</v>
      </c>
      <c r="R493" t="s">
        <v>5101</v>
      </c>
      <c r="T493" t="s">
        <v>5102</v>
      </c>
      <c r="U493" t="s">
        <v>333</v>
      </c>
      <c r="V493" s="8" t="str">
        <f>"70130"</f>
        <v>70130</v>
      </c>
      <c r="W493" t="s">
        <v>118</v>
      </c>
      <c r="Y493" s="10">
        <v>15045256000</v>
      </c>
      <c r="AA493">
        <v>721110</v>
      </c>
      <c r="AB493" t="s">
        <v>2823</v>
      </c>
      <c r="AC493" t="s">
        <v>5103</v>
      </c>
      <c r="AE493" t="s">
        <v>161</v>
      </c>
      <c r="AF493" t="s">
        <v>5101</v>
      </c>
      <c r="AH493" t="s">
        <v>5102</v>
      </c>
      <c r="AI493" t="s">
        <v>333</v>
      </c>
      <c r="AJ493" s="8" t="str">
        <f>"70130"</f>
        <v>70130</v>
      </c>
      <c r="AK493" t="s">
        <v>118</v>
      </c>
      <c r="AM493" s="10">
        <v>15047171201</v>
      </c>
      <c r="AO493" t="s">
        <v>5104</v>
      </c>
      <c r="AP493" t="s">
        <v>121</v>
      </c>
      <c r="AQ493" t="s">
        <v>4300</v>
      </c>
      <c r="AR493" t="s">
        <v>5105</v>
      </c>
      <c r="AS493" t="s">
        <v>5106</v>
      </c>
      <c r="AT493" t="s">
        <v>5107</v>
      </c>
      <c r="AU493" t="s">
        <v>5108</v>
      </c>
      <c r="AV493" t="s">
        <v>5109</v>
      </c>
      <c r="AW493" t="s">
        <v>333</v>
      </c>
      <c r="AX493" s="8" t="str">
        <f>"70130"</f>
        <v>70130</v>
      </c>
      <c r="AY493" t="s">
        <v>118</v>
      </c>
      <c r="AZ493" t="s">
        <v>5110</v>
      </c>
      <c r="BA493" s="10">
        <v>15045849312</v>
      </c>
      <c r="BC493" t="s">
        <v>5111</v>
      </c>
      <c r="BD493" t="s">
        <v>5112</v>
      </c>
      <c r="BE493" t="s">
        <v>333</v>
      </c>
      <c r="BF493" t="s">
        <v>2190</v>
      </c>
      <c r="BG493" t="s">
        <v>333</v>
      </c>
      <c r="BH493" s="1">
        <v>45218.833333333336</v>
      </c>
      <c r="BI493">
        <v>40</v>
      </c>
      <c r="BJ493">
        <v>0</v>
      </c>
      <c r="BK493">
        <v>8</v>
      </c>
      <c r="BL493">
        <v>8</v>
      </c>
      <c r="BM493">
        <v>8</v>
      </c>
      <c r="BN493">
        <v>8</v>
      </c>
      <c r="BO493">
        <v>8</v>
      </c>
      <c r="BP493">
        <v>0</v>
      </c>
      <c r="BQ493" t="str">
        <f>"9:00 AM"</f>
        <v>9:00 AM</v>
      </c>
      <c r="BR493" t="str">
        <f>"5:00 PM"</f>
        <v>5:00 PM</v>
      </c>
      <c r="BS493" t="s">
        <v>131</v>
      </c>
      <c r="BT493">
        <v>0</v>
      </c>
      <c r="BU493">
        <v>3</v>
      </c>
      <c r="BV493" t="s">
        <v>114</v>
      </c>
      <c r="BX493" t="s">
        <v>1570</v>
      </c>
      <c r="BY493" t="s">
        <v>5101</v>
      </c>
      <c r="CA493" t="s">
        <v>5102</v>
      </c>
      <c r="CB493" t="s">
        <v>333</v>
      </c>
      <c r="CC493" s="8" t="str">
        <f>"70130"</f>
        <v>70130</v>
      </c>
      <c r="CD493" t="s">
        <v>679</v>
      </c>
      <c r="CE493" t="s">
        <v>341</v>
      </c>
      <c r="CF493" s="12">
        <v>14</v>
      </c>
      <c r="CG493" s="12">
        <v>14</v>
      </c>
      <c r="CH493" s="12">
        <v>21</v>
      </c>
      <c r="CI493" s="12">
        <v>21</v>
      </c>
      <c r="CJ493" t="s">
        <v>135</v>
      </c>
      <c r="CL493" t="s">
        <v>5113</v>
      </c>
      <c r="CO493" t="s">
        <v>132</v>
      </c>
      <c r="CP493" t="s">
        <v>114</v>
      </c>
      <c r="CQ493" t="s">
        <v>114</v>
      </c>
      <c r="CR493" t="s">
        <v>136</v>
      </c>
      <c r="CS493" t="s">
        <v>136</v>
      </c>
      <c r="CT493" t="s">
        <v>136</v>
      </c>
      <c r="CU493" t="s">
        <v>136</v>
      </c>
      <c r="CV493" s="2" t="s">
        <v>5114</v>
      </c>
      <c r="CW493" s="10" t="str">
        <f>"+15045964761"</f>
        <v>+15045964761</v>
      </c>
      <c r="CX493" t="s">
        <v>5115</v>
      </c>
      <c r="CY493" t="s">
        <v>132</v>
      </c>
      <c r="CZ493" t="s">
        <v>137</v>
      </c>
      <c r="DA493" t="s">
        <v>114</v>
      </c>
      <c r="DB493" t="s">
        <v>136</v>
      </c>
      <c r="DC493" t="s">
        <v>136</v>
      </c>
      <c r="DD493" t="s">
        <v>114</v>
      </c>
    </row>
    <row r="494" spans="1:113" ht="15" customHeight="1" x14ac:dyDescent="0.25">
      <c r="A494" t="s">
        <v>15071</v>
      </c>
      <c r="B494" t="s">
        <v>152</v>
      </c>
      <c r="C494" s="1">
        <v>45217.987637152779</v>
      </c>
      <c r="D494" s="1">
        <v>45267</v>
      </c>
      <c r="E494" t="s">
        <v>132</v>
      </c>
      <c r="F494" t="s">
        <v>15072</v>
      </c>
      <c r="G494" t="str">
        <f>"37-2011.00"</f>
        <v>37-2011.00</v>
      </c>
      <c r="H494" t="s">
        <v>1089</v>
      </c>
      <c r="I494">
        <v>4</v>
      </c>
      <c r="J494">
        <v>4</v>
      </c>
      <c r="K494" s="1">
        <v>45292</v>
      </c>
      <c r="L494" s="1">
        <v>45397</v>
      </c>
      <c r="M494" s="1">
        <v>45292</v>
      </c>
      <c r="N494" s="1">
        <v>45397</v>
      </c>
      <c r="O494" t="s">
        <v>238</v>
      </c>
      <c r="P494" t="s">
        <v>15073</v>
      </c>
      <c r="R494" t="s">
        <v>15074</v>
      </c>
      <c r="T494" t="s">
        <v>3107</v>
      </c>
      <c r="U494" t="s">
        <v>434</v>
      </c>
      <c r="V494" s="8" t="str">
        <f>"15212"</f>
        <v>15212</v>
      </c>
      <c r="W494" t="s">
        <v>118</v>
      </c>
      <c r="Y494" s="10">
        <v>18573528307</v>
      </c>
      <c r="AA494">
        <v>5311</v>
      </c>
      <c r="AB494" t="s">
        <v>15075</v>
      </c>
      <c r="AC494" t="s">
        <v>15076</v>
      </c>
      <c r="AE494" t="s">
        <v>561</v>
      </c>
      <c r="AF494" t="s">
        <v>15077</v>
      </c>
      <c r="AH494" t="s">
        <v>3107</v>
      </c>
      <c r="AI494" t="s">
        <v>434</v>
      </c>
      <c r="AJ494" s="8" t="str">
        <f>"15212"</f>
        <v>15212</v>
      </c>
      <c r="AK494" t="s">
        <v>118</v>
      </c>
      <c r="AM494" s="10">
        <v>18573528307</v>
      </c>
      <c r="AO494" t="s">
        <v>15078</v>
      </c>
      <c r="AX494" s="8" t="str">
        <f>""</f>
        <v/>
      </c>
      <c r="BG494" t="s">
        <v>434</v>
      </c>
      <c r="BH494" s="1">
        <v>45216.833333333336</v>
      </c>
      <c r="BI494">
        <v>40</v>
      </c>
      <c r="BJ494">
        <v>0</v>
      </c>
      <c r="BK494">
        <v>8</v>
      </c>
      <c r="BL494">
        <v>8</v>
      </c>
      <c r="BM494">
        <v>8</v>
      </c>
      <c r="BN494">
        <v>8</v>
      </c>
      <c r="BO494">
        <v>8</v>
      </c>
      <c r="BP494">
        <v>0</v>
      </c>
      <c r="BQ494" t="str">
        <f>"8:00 AM"</f>
        <v>8:00 AM</v>
      </c>
      <c r="BR494" t="str">
        <f>"4:00 PM"</f>
        <v>4:00 PM</v>
      </c>
      <c r="BS494" t="s">
        <v>131</v>
      </c>
      <c r="BT494">
        <v>0</v>
      </c>
      <c r="BU494">
        <v>0</v>
      </c>
      <c r="BV494" t="s">
        <v>114</v>
      </c>
      <c r="BX494" t="s">
        <v>1570</v>
      </c>
      <c r="BY494" t="s">
        <v>15074</v>
      </c>
      <c r="CA494" t="s">
        <v>3107</v>
      </c>
      <c r="CB494" t="s">
        <v>434</v>
      </c>
      <c r="CC494" s="8" t="str">
        <f>"15212"</f>
        <v>15212</v>
      </c>
      <c r="CD494" t="s">
        <v>1886</v>
      </c>
      <c r="CE494" t="s">
        <v>1887</v>
      </c>
      <c r="CF494" s="12">
        <v>16.22</v>
      </c>
      <c r="CG494" s="12">
        <v>18</v>
      </c>
      <c r="CJ494" t="s">
        <v>135</v>
      </c>
      <c r="CL494" t="s">
        <v>15079</v>
      </c>
      <c r="CO494" t="s">
        <v>132</v>
      </c>
      <c r="CP494" t="s">
        <v>114</v>
      </c>
      <c r="CQ494" t="s">
        <v>136</v>
      </c>
      <c r="CR494" t="s">
        <v>114</v>
      </c>
      <c r="CS494" t="s">
        <v>136</v>
      </c>
      <c r="CT494" t="s">
        <v>136</v>
      </c>
      <c r="CU494" t="s">
        <v>136</v>
      </c>
      <c r="CV494" s="2" t="s">
        <v>15080</v>
      </c>
      <c r="CW494" s="10" t="str">
        <f>"+18573528307"</f>
        <v>+18573528307</v>
      </c>
      <c r="CX494" t="s">
        <v>15078</v>
      </c>
      <c r="CY494" t="s">
        <v>15081</v>
      </c>
      <c r="CZ494" t="s">
        <v>137</v>
      </c>
      <c r="DA494" t="s">
        <v>114</v>
      </c>
      <c r="DB494" t="s">
        <v>114</v>
      </c>
      <c r="DC494" t="s">
        <v>136</v>
      </c>
      <c r="DD494" t="s">
        <v>114</v>
      </c>
    </row>
    <row r="495" spans="1:113" ht="15" customHeight="1" x14ac:dyDescent="0.25">
      <c r="A495" t="s">
        <v>7876</v>
      </c>
      <c r="B495" t="s">
        <v>152</v>
      </c>
      <c r="C495" s="1">
        <v>45202.036083217594</v>
      </c>
      <c r="D495" s="1">
        <v>45267</v>
      </c>
      <c r="E495" t="s">
        <v>132</v>
      </c>
      <c r="F495" t="s">
        <v>5413</v>
      </c>
      <c r="G495" t="str">
        <f>"53-3033.00"</f>
        <v>53-3033.00</v>
      </c>
      <c r="H495" t="s">
        <v>2973</v>
      </c>
      <c r="I495">
        <v>10</v>
      </c>
      <c r="J495">
        <v>10</v>
      </c>
      <c r="K495" s="1">
        <v>45278</v>
      </c>
      <c r="L495" s="1">
        <v>45643</v>
      </c>
      <c r="M495" s="1">
        <v>45278</v>
      </c>
      <c r="N495" s="1">
        <v>45643</v>
      </c>
      <c r="O495" t="s">
        <v>184</v>
      </c>
      <c r="P495" t="s">
        <v>5761</v>
      </c>
      <c r="R495" t="s">
        <v>5762</v>
      </c>
      <c r="S495" t="s">
        <v>5763</v>
      </c>
      <c r="T495" t="s">
        <v>5764</v>
      </c>
      <c r="U495" t="s">
        <v>5765</v>
      </c>
      <c r="V495" s="8" t="str">
        <f>"96921"</f>
        <v>96921</v>
      </c>
      <c r="W495" t="s">
        <v>118</v>
      </c>
      <c r="Y495" s="10">
        <v>16716464861</v>
      </c>
      <c r="AA495">
        <v>236220</v>
      </c>
      <c r="AB495" t="s">
        <v>5766</v>
      </c>
      <c r="AC495" t="s">
        <v>1783</v>
      </c>
      <c r="AD495" t="s">
        <v>150</v>
      </c>
      <c r="AE495" t="s">
        <v>5767</v>
      </c>
      <c r="AF495" t="s">
        <v>5762</v>
      </c>
      <c r="AG495" t="s">
        <v>5763</v>
      </c>
      <c r="AH495" t="s">
        <v>5764</v>
      </c>
      <c r="AI495" t="s">
        <v>5765</v>
      </c>
      <c r="AJ495" s="8" t="str">
        <f>"96921"</f>
        <v>96921</v>
      </c>
      <c r="AK495" t="s">
        <v>118</v>
      </c>
      <c r="AM495" s="10">
        <v>16716464861</v>
      </c>
      <c r="AO495" t="s">
        <v>5768</v>
      </c>
      <c r="AP495" t="s">
        <v>121</v>
      </c>
      <c r="AQ495" t="s">
        <v>5769</v>
      </c>
      <c r="AR495" t="s">
        <v>5770</v>
      </c>
      <c r="AS495" t="s">
        <v>150</v>
      </c>
      <c r="AT495" t="s">
        <v>5771</v>
      </c>
      <c r="AU495" t="s">
        <v>5772</v>
      </c>
      <c r="AV495" t="s">
        <v>5773</v>
      </c>
      <c r="AW495" t="s">
        <v>5765</v>
      </c>
      <c r="AX495" s="8" t="str">
        <f>"96910"</f>
        <v>96910</v>
      </c>
      <c r="AY495" t="s">
        <v>118</v>
      </c>
      <c r="BA495" s="10">
        <v>16714779084</v>
      </c>
      <c r="BC495" t="s">
        <v>5774</v>
      </c>
      <c r="BD495" t="s">
        <v>5775</v>
      </c>
      <c r="BE495" t="s">
        <v>5765</v>
      </c>
      <c r="BF495" t="s">
        <v>5776</v>
      </c>
      <c r="BG495" t="s">
        <v>5777</v>
      </c>
      <c r="BH495" s="1">
        <v>45197.833333333336</v>
      </c>
      <c r="BI495">
        <v>40</v>
      </c>
      <c r="BJ495">
        <v>0</v>
      </c>
      <c r="BK495">
        <v>8</v>
      </c>
      <c r="BL495">
        <v>8</v>
      </c>
      <c r="BM495">
        <v>8</v>
      </c>
      <c r="BN495">
        <v>8</v>
      </c>
      <c r="BO495">
        <v>8</v>
      </c>
      <c r="BP495">
        <v>0</v>
      </c>
      <c r="BQ495" t="str">
        <f>"8:00 AM"</f>
        <v>8:00 AM</v>
      </c>
      <c r="BR495" t="str">
        <f>"4:00 PM"</f>
        <v>4:00 PM</v>
      </c>
      <c r="BS495" t="s">
        <v>131</v>
      </c>
      <c r="BT495">
        <v>0</v>
      </c>
      <c r="BU495">
        <v>12</v>
      </c>
      <c r="BV495" t="s">
        <v>114</v>
      </c>
      <c r="BX495" t="s">
        <v>5778</v>
      </c>
      <c r="BY495" t="s">
        <v>5779</v>
      </c>
      <c r="CA495" t="s">
        <v>5780</v>
      </c>
      <c r="CB495" t="s">
        <v>5777</v>
      </c>
      <c r="CC495" s="8" t="str">
        <f>"96952"</f>
        <v>96952</v>
      </c>
      <c r="CD495" t="s">
        <v>5781</v>
      </c>
      <c r="CE495" t="s">
        <v>5782</v>
      </c>
      <c r="CF495" s="12">
        <v>8.9499999999999993</v>
      </c>
      <c r="CG495" s="12">
        <v>8.9499999999999993</v>
      </c>
      <c r="CH495" s="12">
        <v>13.43</v>
      </c>
      <c r="CI495" s="12">
        <v>13.43</v>
      </c>
      <c r="CJ495" t="s">
        <v>135</v>
      </c>
      <c r="CL495" t="s">
        <v>7877</v>
      </c>
      <c r="CO495" t="s">
        <v>136</v>
      </c>
      <c r="CP495" t="s">
        <v>114</v>
      </c>
      <c r="CQ495" t="s">
        <v>136</v>
      </c>
      <c r="CR495" t="s">
        <v>136</v>
      </c>
      <c r="CS495" t="s">
        <v>114</v>
      </c>
      <c r="CT495" t="s">
        <v>136</v>
      </c>
      <c r="CU495" t="s">
        <v>136</v>
      </c>
      <c r="CV495" t="s">
        <v>5784</v>
      </c>
      <c r="CW495" s="10" t="str">
        <f>"+16706643190"</f>
        <v>+16706643190</v>
      </c>
      <c r="CX495" t="s">
        <v>132</v>
      </c>
      <c r="CY495" t="s">
        <v>5785</v>
      </c>
      <c r="CZ495" t="s">
        <v>137</v>
      </c>
      <c r="DA495" t="s">
        <v>114</v>
      </c>
      <c r="DB495" t="s">
        <v>136</v>
      </c>
      <c r="DC495" t="s">
        <v>136</v>
      </c>
      <c r="DD495" t="s">
        <v>114</v>
      </c>
      <c r="DE495" t="s">
        <v>5769</v>
      </c>
      <c r="DF495" t="s">
        <v>5770</v>
      </c>
      <c r="DG495" t="s">
        <v>150</v>
      </c>
      <c r="DH495" t="s">
        <v>5786</v>
      </c>
      <c r="DI495" t="s">
        <v>5787</v>
      </c>
    </row>
    <row r="496" spans="1:113" ht="15" customHeight="1" x14ac:dyDescent="0.25">
      <c r="A496" t="s">
        <v>14936</v>
      </c>
      <c r="B496" t="s">
        <v>152</v>
      </c>
      <c r="C496" s="1">
        <v>45202.025857986111</v>
      </c>
      <c r="D496" s="1">
        <v>45267</v>
      </c>
      <c r="E496" t="s">
        <v>132</v>
      </c>
      <c r="F496" t="s">
        <v>14937</v>
      </c>
      <c r="G496" t="str">
        <f>"47-2171.00"</f>
        <v>47-2171.00</v>
      </c>
      <c r="H496" t="s">
        <v>13824</v>
      </c>
      <c r="I496">
        <v>15</v>
      </c>
      <c r="J496">
        <v>15</v>
      </c>
      <c r="K496" s="1">
        <v>45278</v>
      </c>
      <c r="L496" s="1">
        <v>45643</v>
      </c>
      <c r="M496" s="1">
        <v>45278</v>
      </c>
      <c r="N496" s="1">
        <v>45643</v>
      </c>
      <c r="O496" t="s">
        <v>184</v>
      </c>
      <c r="P496" t="s">
        <v>5761</v>
      </c>
      <c r="R496" t="s">
        <v>5762</v>
      </c>
      <c r="S496" t="s">
        <v>5763</v>
      </c>
      <c r="T496" t="s">
        <v>5764</v>
      </c>
      <c r="U496" t="s">
        <v>5765</v>
      </c>
      <c r="V496" s="8" t="str">
        <f>"96921"</f>
        <v>96921</v>
      </c>
      <c r="W496" t="s">
        <v>118</v>
      </c>
      <c r="Y496" s="10">
        <v>16716464861</v>
      </c>
      <c r="AA496">
        <v>236220</v>
      </c>
      <c r="AB496" t="s">
        <v>5766</v>
      </c>
      <c r="AC496" t="s">
        <v>1783</v>
      </c>
      <c r="AD496" t="s">
        <v>150</v>
      </c>
      <c r="AE496" t="s">
        <v>5767</v>
      </c>
      <c r="AF496" t="s">
        <v>5762</v>
      </c>
      <c r="AG496" t="s">
        <v>5763</v>
      </c>
      <c r="AH496" t="s">
        <v>5764</v>
      </c>
      <c r="AI496" t="s">
        <v>5765</v>
      </c>
      <c r="AJ496" s="8" t="str">
        <f>"96921"</f>
        <v>96921</v>
      </c>
      <c r="AK496" t="s">
        <v>118</v>
      </c>
      <c r="AM496" s="10">
        <v>16716464861</v>
      </c>
      <c r="AO496" t="s">
        <v>5768</v>
      </c>
      <c r="AP496" t="s">
        <v>121</v>
      </c>
      <c r="AQ496" t="s">
        <v>5769</v>
      </c>
      <c r="AR496" t="s">
        <v>5770</v>
      </c>
      <c r="AS496" t="s">
        <v>150</v>
      </c>
      <c r="AT496" t="s">
        <v>5771</v>
      </c>
      <c r="AU496" t="s">
        <v>5772</v>
      </c>
      <c r="AV496" t="s">
        <v>5773</v>
      </c>
      <c r="AW496" t="s">
        <v>5765</v>
      </c>
      <c r="AX496" s="8" t="str">
        <f>"96910"</f>
        <v>96910</v>
      </c>
      <c r="AY496" t="s">
        <v>118</v>
      </c>
      <c r="BA496" s="10">
        <v>16714779084</v>
      </c>
      <c r="BC496" t="s">
        <v>5774</v>
      </c>
      <c r="BD496" t="s">
        <v>5775</v>
      </c>
      <c r="BE496" t="s">
        <v>5765</v>
      </c>
      <c r="BF496" t="s">
        <v>5776</v>
      </c>
      <c r="BG496" t="s">
        <v>5777</v>
      </c>
      <c r="BH496" s="1">
        <v>45197.833333333336</v>
      </c>
      <c r="BI496">
        <v>40</v>
      </c>
      <c r="BJ496">
        <v>0</v>
      </c>
      <c r="BK496">
        <v>8</v>
      </c>
      <c r="BL496">
        <v>8</v>
      </c>
      <c r="BM496">
        <v>8</v>
      </c>
      <c r="BN496">
        <v>8</v>
      </c>
      <c r="BO496">
        <v>8</v>
      </c>
      <c r="BP496">
        <v>0</v>
      </c>
      <c r="BQ496" t="str">
        <f>"8:00 AM"</f>
        <v>8:00 AM</v>
      </c>
      <c r="BR496" t="str">
        <f>"4:00 PM"</f>
        <v>4:00 PM</v>
      </c>
      <c r="BS496" t="s">
        <v>131</v>
      </c>
      <c r="BT496">
        <v>0</v>
      </c>
      <c r="BU496">
        <v>12</v>
      </c>
      <c r="BV496" t="s">
        <v>114</v>
      </c>
      <c r="BX496" t="s">
        <v>5778</v>
      </c>
      <c r="BY496" t="s">
        <v>5779</v>
      </c>
      <c r="CA496" t="s">
        <v>5780</v>
      </c>
      <c r="CB496" t="s">
        <v>5777</v>
      </c>
      <c r="CC496" s="8" t="str">
        <f>"96952"</f>
        <v>96952</v>
      </c>
      <c r="CD496" t="s">
        <v>5781</v>
      </c>
      <c r="CE496" t="s">
        <v>5782</v>
      </c>
      <c r="CF496" s="12">
        <v>10.87</v>
      </c>
      <c r="CG496" s="12">
        <v>10.87</v>
      </c>
      <c r="CH496" s="12">
        <v>16.309999999999999</v>
      </c>
      <c r="CI496" s="12">
        <v>16.309999999999999</v>
      </c>
      <c r="CJ496" t="s">
        <v>135</v>
      </c>
      <c r="CL496" t="s">
        <v>14938</v>
      </c>
      <c r="CO496" t="s">
        <v>136</v>
      </c>
      <c r="CP496" t="s">
        <v>114</v>
      </c>
      <c r="CQ496" t="s">
        <v>136</v>
      </c>
      <c r="CR496" t="s">
        <v>136</v>
      </c>
      <c r="CS496" t="s">
        <v>114</v>
      </c>
      <c r="CT496" t="s">
        <v>136</v>
      </c>
      <c r="CU496" t="s">
        <v>136</v>
      </c>
      <c r="CV496" t="s">
        <v>5784</v>
      </c>
      <c r="CW496" s="10" t="str">
        <f>"+16706643190"</f>
        <v>+16706643190</v>
      </c>
      <c r="CX496" t="s">
        <v>132</v>
      </c>
      <c r="CY496" t="s">
        <v>5785</v>
      </c>
      <c r="CZ496" t="s">
        <v>137</v>
      </c>
      <c r="DA496" t="s">
        <v>114</v>
      </c>
      <c r="DB496" t="s">
        <v>136</v>
      </c>
      <c r="DC496" t="s">
        <v>136</v>
      </c>
      <c r="DD496" t="s">
        <v>114</v>
      </c>
      <c r="DE496" t="s">
        <v>5769</v>
      </c>
      <c r="DF496" t="s">
        <v>5770</v>
      </c>
      <c r="DG496" t="s">
        <v>150</v>
      </c>
      <c r="DH496" t="s">
        <v>5786</v>
      </c>
      <c r="DI496" t="s">
        <v>5787</v>
      </c>
    </row>
    <row r="497" spans="1:113" ht="15" customHeight="1" x14ac:dyDescent="0.25">
      <c r="A497" t="s">
        <v>11261</v>
      </c>
      <c r="B497" t="s">
        <v>152</v>
      </c>
      <c r="C497" s="1">
        <v>45202.013732870371</v>
      </c>
      <c r="D497" s="1">
        <v>45267</v>
      </c>
      <c r="E497" t="s">
        <v>132</v>
      </c>
      <c r="F497" t="s">
        <v>11262</v>
      </c>
      <c r="G497" t="str">
        <f>"47-2152.00"</f>
        <v>47-2152.00</v>
      </c>
      <c r="H497" t="s">
        <v>532</v>
      </c>
      <c r="I497">
        <v>6</v>
      </c>
      <c r="J497">
        <v>6</v>
      </c>
      <c r="K497" s="1">
        <v>45278</v>
      </c>
      <c r="L497" s="1">
        <v>45643</v>
      </c>
      <c r="M497" s="1">
        <v>45278</v>
      </c>
      <c r="N497" s="1">
        <v>45643</v>
      </c>
      <c r="O497" t="s">
        <v>184</v>
      </c>
      <c r="P497" t="s">
        <v>5761</v>
      </c>
      <c r="R497" t="s">
        <v>5762</v>
      </c>
      <c r="S497" t="s">
        <v>5763</v>
      </c>
      <c r="T497" t="s">
        <v>5764</v>
      </c>
      <c r="U497" t="s">
        <v>5765</v>
      </c>
      <c r="V497" s="8" t="str">
        <f>"96921"</f>
        <v>96921</v>
      </c>
      <c r="W497" t="s">
        <v>118</v>
      </c>
      <c r="Y497" s="10">
        <v>16716464861</v>
      </c>
      <c r="AA497">
        <v>236220</v>
      </c>
      <c r="AB497" t="s">
        <v>5766</v>
      </c>
      <c r="AC497" t="s">
        <v>1783</v>
      </c>
      <c r="AD497" t="s">
        <v>150</v>
      </c>
      <c r="AE497" t="s">
        <v>5767</v>
      </c>
      <c r="AF497" t="s">
        <v>5762</v>
      </c>
      <c r="AG497" t="s">
        <v>5763</v>
      </c>
      <c r="AH497" t="s">
        <v>5764</v>
      </c>
      <c r="AI497" t="s">
        <v>5765</v>
      </c>
      <c r="AJ497" s="8" t="str">
        <f>"96921"</f>
        <v>96921</v>
      </c>
      <c r="AK497" t="s">
        <v>118</v>
      </c>
      <c r="AM497" s="10">
        <v>16716464861</v>
      </c>
      <c r="AO497" t="s">
        <v>5768</v>
      </c>
      <c r="AP497" t="s">
        <v>121</v>
      </c>
      <c r="AQ497" t="s">
        <v>5769</v>
      </c>
      <c r="AR497" t="s">
        <v>5770</v>
      </c>
      <c r="AS497" t="s">
        <v>150</v>
      </c>
      <c r="AT497" t="s">
        <v>5771</v>
      </c>
      <c r="AU497" t="s">
        <v>5772</v>
      </c>
      <c r="AV497" t="s">
        <v>5773</v>
      </c>
      <c r="AW497" t="s">
        <v>5765</v>
      </c>
      <c r="AX497" s="8" t="str">
        <f>"96910"</f>
        <v>96910</v>
      </c>
      <c r="AY497" t="s">
        <v>118</v>
      </c>
      <c r="BA497" s="10">
        <v>16714779084</v>
      </c>
      <c r="BC497" t="s">
        <v>5774</v>
      </c>
      <c r="BD497" t="s">
        <v>5775</v>
      </c>
      <c r="BE497" t="s">
        <v>5765</v>
      </c>
      <c r="BF497" t="s">
        <v>5776</v>
      </c>
      <c r="BG497" t="s">
        <v>5777</v>
      </c>
      <c r="BH497" s="1">
        <v>45197.833333333336</v>
      </c>
      <c r="BI497">
        <v>40</v>
      </c>
      <c r="BJ497">
        <v>0</v>
      </c>
      <c r="BK497">
        <v>8</v>
      </c>
      <c r="BL497">
        <v>8</v>
      </c>
      <c r="BM497">
        <v>8</v>
      </c>
      <c r="BN497">
        <v>8</v>
      </c>
      <c r="BO497">
        <v>8</v>
      </c>
      <c r="BP497">
        <v>0</v>
      </c>
      <c r="BQ497" t="str">
        <f>"8:00 AM"</f>
        <v>8:00 AM</v>
      </c>
      <c r="BR497" t="str">
        <f>"4:00 PM"</f>
        <v>4:00 PM</v>
      </c>
      <c r="BS497" t="s">
        <v>131</v>
      </c>
      <c r="BT497">
        <v>0</v>
      </c>
      <c r="BU497">
        <v>24</v>
      </c>
      <c r="BV497" t="s">
        <v>114</v>
      </c>
      <c r="BX497" t="s">
        <v>5778</v>
      </c>
      <c r="BY497" t="s">
        <v>5779</v>
      </c>
      <c r="CA497" t="s">
        <v>5780</v>
      </c>
      <c r="CB497" t="s">
        <v>5777</v>
      </c>
      <c r="CC497" s="8" t="str">
        <f>"96952"</f>
        <v>96952</v>
      </c>
      <c r="CD497" t="s">
        <v>5781</v>
      </c>
      <c r="CE497" t="s">
        <v>5782</v>
      </c>
      <c r="CF497" s="12">
        <v>10.87</v>
      </c>
      <c r="CG497" s="12">
        <v>10.87</v>
      </c>
      <c r="CH497" s="12">
        <v>16.309999999999999</v>
      </c>
      <c r="CI497" s="12">
        <v>16.309999999999999</v>
      </c>
      <c r="CJ497" t="s">
        <v>135</v>
      </c>
      <c r="CL497" t="s">
        <v>11263</v>
      </c>
      <c r="CO497" t="s">
        <v>136</v>
      </c>
      <c r="CP497" t="s">
        <v>114</v>
      </c>
      <c r="CQ497" t="s">
        <v>136</v>
      </c>
      <c r="CR497" t="s">
        <v>136</v>
      </c>
      <c r="CS497" t="s">
        <v>114</v>
      </c>
      <c r="CT497" t="s">
        <v>136</v>
      </c>
      <c r="CU497" t="s">
        <v>136</v>
      </c>
      <c r="CV497" t="s">
        <v>5784</v>
      </c>
      <c r="CW497" s="10" t="str">
        <f>"+16706443190"</f>
        <v>+16706443190</v>
      </c>
      <c r="CX497" t="s">
        <v>132</v>
      </c>
      <c r="CY497" t="s">
        <v>5785</v>
      </c>
      <c r="CZ497" t="s">
        <v>137</v>
      </c>
      <c r="DA497" t="s">
        <v>114</v>
      </c>
      <c r="DB497" t="s">
        <v>136</v>
      </c>
      <c r="DC497" t="s">
        <v>136</v>
      </c>
      <c r="DD497" t="s">
        <v>114</v>
      </c>
      <c r="DE497" t="s">
        <v>5769</v>
      </c>
      <c r="DF497" t="s">
        <v>5770</v>
      </c>
      <c r="DG497" t="s">
        <v>150</v>
      </c>
      <c r="DH497" t="s">
        <v>5786</v>
      </c>
      <c r="DI497" t="s">
        <v>5787</v>
      </c>
    </row>
    <row r="498" spans="1:113" ht="15" customHeight="1" x14ac:dyDescent="0.25">
      <c r="A498" t="s">
        <v>16524</v>
      </c>
      <c r="B498" t="s">
        <v>152</v>
      </c>
      <c r="C498" s="1">
        <v>45201.995051504629</v>
      </c>
      <c r="D498" s="1">
        <v>45267</v>
      </c>
      <c r="E498" t="s">
        <v>132</v>
      </c>
      <c r="F498" t="s">
        <v>12954</v>
      </c>
      <c r="G498" t="str">
        <f>"47-2141.00"</f>
        <v>47-2141.00</v>
      </c>
      <c r="H498" t="s">
        <v>5569</v>
      </c>
      <c r="I498">
        <v>10</v>
      </c>
      <c r="J498">
        <v>10</v>
      </c>
      <c r="K498" s="1">
        <v>45278</v>
      </c>
      <c r="L498" s="1">
        <v>45643</v>
      </c>
      <c r="M498" s="1">
        <v>45278</v>
      </c>
      <c r="N498" s="1">
        <v>45643</v>
      </c>
      <c r="O498" t="s">
        <v>184</v>
      </c>
      <c r="P498" t="s">
        <v>5761</v>
      </c>
      <c r="R498" t="s">
        <v>5762</v>
      </c>
      <c r="S498" t="s">
        <v>5763</v>
      </c>
      <c r="T498" t="s">
        <v>5764</v>
      </c>
      <c r="U498" t="s">
        <v>5765</v>
      </c>
      <c r="V498" s="8" t="str">
        <f>"96921"</f>
        <v>96921</v>
      </c>
      <c r="W498" t="s">
        <v>118</v>
      </c>
      <c r="Y498" s="10">
        <v>16716464861</v>
      </c>
      <c r="AA498">
        <v>236220</v>
      </c>
      <c r="AB498" t="s">
        <v>5766</v>
      </c>
      <c r="AC498" t="s">
        <v>1783</v>
      </c>
      <c r="AD498" t="s">
        <v>150</v>
      </c>
      <c r="AE498" t="s">
        <v>5767</v>
      </c>
      <c r="AF498" t="s">
        <v>5762</v>
      </c>
      <c r="AG498" t="s">
        <v>5763</v>
      </c>
      <c r="AH498" t="s">
        <v>5764</v>
      </c>
      <c r="AI498" t="s">
        <v>5765</v>
      </c>
      <c r="AJ498" s="8" t="str">
        <f>"96921"</f>
        <v>96921</v>
      </c>
      <c r="AK498" t="s">
        <v>118</v>
      </c>
      <c r="AM498" s="10">
        <v>16716464861</v>
      </c>
      <c r="AO498" t="s">
        <v>5768</v>
      </c>
      <c r="AP498" t="s">
        <v>121</v>
      </c>
      <c r="AQ498" t="s">
        <v>5769</v>
      </c>
      <c r="AR498" t="s">
        <v>5770</v>
      </c>
      <c r="AS498" t="s">
        <v>150</v>
      </c>
      <c r="AT498" t="s">
        <v>5771</v>
      </c>
      <c r="AU498" t="s">
        <v>5772</v>
      </c>
      <c r="AV498" t="s">
        <v>5773</v>
      </c>
      <c r="AW498" t="s">
        <v>5765</v>
      </c>
      <c r="AX498" s="8" t="str">
        <f>"96910"</f>
        <v>96910</v>
      </c>
      <c r="AY498" t="s">
        <v>118</v>
      </c>
      <c r="BA498" s="10">
        <v>16714779084</v>
      </c>
      <c r="BC498" t="s">
        <v>5774</v>
      </c>
      <c r="BD498" t="s">
        <v>5775</v>
      </c>
      <c r="BE498" t="s">
        <v>5765</v>
      </c>
      <c r="BF498" t="s">
        <v>5776</v>
      </c>
      <c r="BG498" t="s">
        <v>5777</v>
      </c>
      <c r="BH498" s="1">
        <v>45197.833333333336</v>
      </c>
      <c r="BI498">
        <v>40</v>
      </c>
      <c r="BJ498">
        <v>0</v>
      </c>
      <c r="BK498">
        <v>8</v>
      </c>
      <c r="BL498">
        <v>8</v>
      </c>
      <c r="BM498">
        <v>8</v>
      </c>
      <c r="BN498">
        <v>8</v>
      </c>
      <c r="BO498">
        <v>8</v>
      </c>
      <c r="BP498">
        <v>0</v>
      </c>
      <c r="BQ498" t="str">
        <f>"8:00 AM"</f>
        <v>8:00 AM</v>
      </c>
      <c r="BR498" t="str">
        <f>"4:00 PM"</f>
        <v>4:00 PM</v>
      </c>
      <c r="BS498" t="s">
        <v>131</v>
      </c>
      <c r="BT498">
        <v>0</v>
      </c>
      <c r="BU498">
        <v>12</v>
      </c>
      <c r="BV498" t="s">
        <v>114</v>
      </c>
      <c r="BX498" t="s">
        <v>5778</v>
      </c>
      <c r="BY498" t="s">
        <v>5779</v>
      </c>
      <c r="CA498" t="s">
        <v>5780</v>
      </c>
      <c r="CB498" t="s">
        <v>5777</v>
      </c>
      <c r="CC498" s="8" t="str">
        <f>"96952"</f>
        <v>96952</v>
      </c>
      <c r="CD498" t="s">
        <v>5781</v>
      </c>
      <c r="CE498" t="s">
        <v>5782</v>
      </c>
      <c r="CF498" s="12">
        <v>10.87</v>
      </c>
      <c r="CG498" s="12">
        <v>10.87</v>
      </c>
      <c r="CH498" s="12">
        <v>16.309999999999999</v>
      </c>
      <c r="CI498" s="12">
        <v>16.309999999999999</v>
      </c>
      <c r="CJ498" t="s">
        <v>135</v>
      </c>
      <c r="CL498" t="s">
        <v>16525</v>
      </c>
      <c r="CO498" t="s">
        <v>136</v>
      </c>
      <c r="CP498" t="s">
        <v>114</v>
      </c>
      <c r="CQ498" t="s">
        <v>136</v>
      </c>
      <c r="CR498" t="s">
        <v>136</v>
      </c>
      <c r="CS498" t="s">
        <v>114</v>
      </c>
      <c r="CT498" t="s">
        <v>136</v>
      </c>
      <c r="CU498" t="s">
        <v>136</v>
      </c>
      <c r="CV498" t="s">
        <v>5784</v>
      </c>
      <c r="CW498" s="10" t="str">
        <f>"+16706643190"</f>
        <v>+16706643190</v>
      </c>
      <c r="CX498" t="s">
        <v>132</v>
      </c>
      <c r="CY498" t="s">
        <v>5785</v>
      </c>
      <c r="CZ498" t="s">
        <v>137</v>
      </c>
      <c r="DA498" t="s">
        <v>114</v>
      </c>
      <c r="DB498" t="s">
        <v>136</v>
      </c>
      <c r="DC498" t="s">
        <v>136</v>
      </c>
      <c r="DD498" t="s">
        <v>114</v>
      </c>
      <c r="DE498" t="s">
        <v>5769</v>
      </c>
      <c r="DF498" t="s">
        <v>5770</v>
      </c>
      <c r="DG498" t="s">
        <v>150</v>
      </c>
      <c r="DH498" t="s">
        <v>5786</v>
      </c>
      <c r="DI498" t="s">
        <v>5787</v>
      </c>
    </row>
    <row r="499" spans="1:113" ht="15" customHeight="1" x14ac:dyDescent="0.25">
      <c r="A499" t="s">
        <v>9385</v>
      </c>
      <c r="B499" t="s">
        <v>152</v>
      </c>
      <c r="C499" s="1">
        <v>45201.970493055553</v>
      </c>
      <c r="D499" s="1">
        <v>45267</v>
      </c>
      <c r="E499" t="s">
        <v>132</v>
      </c>
      <c r="F499" t="s">
        <v>9386</v>
      </c>
      <c r="G499" t="str">
        <f>"49-3042.00"</f>
        <v>49-3042.00</v>
      </c>
      <c r="H499" t="s">
        <v>9387</v>
      </c>
      <c r="I499">
        <v>16</v>
      </c>
      <c r="J499">
        <v>16</v>
      </c>
      <c r="K499" s="1">
        <v>45278</v>
      </c>
      <c r="L499" s="1">
        <v>45643</v>
      </c>
      <c r="M499" s="1">
        <v>45278</v>
      </c>
      <c r="N499" s="1">
        <v>45643</v>
      </c>
      <c r="O499" t="s">
        <v>184</v>
      </c>
      <c r="P499" t="s">
        <v>5761</v>
      </c>
      <c r="R499" t="s">
        <v>5762</v>
      </c>
      <c r="S499" t="s">
        <v>5763</v>
      </c>
      <c r="T499" t="s">
        <v>5764</v>
      </c>
      <c r="U499" t="s">
        <v>5765</v>
      </c>
      <c r="V499" s="8" t="str">
        <f>"96921"</f>
        <v>96921</v>
      </c>
      <c r="W499" t="s">
        <v>118</v>
      </c>
      <c r="Y499" s="10">
        <v>16716464861</v>
      </c>
      <c r="AA499">
        <v>236220</v>
      </c>
      <c r="AB499" t="s">
        <v>5766</v>
      </c>
      <c r="AC499" t="s">
        <v>1783</v>
      </c>
      <c r="AD499" t="s">
        <v>150</v>
      </c>
      <c r="AE499" t="s">
        <v>5767</v>
      </c>
      <c r="AF499" t="s">
        <v>5762</v>
      </c>
      <c r="AG499" t="s">
        <v>5763</v>
      </c>
      <c r="AH499" t="s">
        <v>5764</v>
      </c>
      <c r="AI499" t="s">
        <v>5765</v>
      </c>
      <c r="AJ499" s="8" t="str">
        <f>"96921"</f>
        <v>96921</v>
      </c>
      <c r="AK499" t="s">
        <v>118</v>
      </c>
      <c r="AM499" s="10">
        <v>16716464861</v>
      </c>
      <c r="AO499" t="s">
        <v>5768</v>
      </c>
      <c r="AP499" t="s">
        <v>121</v>
      </c>
      <c r="AQ499" t="s">
        <v>5769</v>
      </c>
      <c r="AR499" t="s">
        <v>5770</v>
      </c>
      <c r="AS499" t="s">
        <v>150</v>
      </c>
      <c r="AT499" t="s">
        <v>5771</v>
      </c>
      <c r="AU499" t="s">
        <v>5772</v>
      </c>
      <c r="AV499" t="s">
        <v>5773</v>
      </c>
      <c r="AW499" t="s">
        <v>5765</v>
      </c>
      <c r="AX499" s="8" t="str">
        <f>"96910"</f>
        <v>96910</v>
      </c>
      <c r="AY499" t="s">
        <v>118</v>
      </c>
      <c r="BA499" s="10">
        <v>16714779084</v>
      </c>
      <c r="BC499" t="s">
        <v>5774</v>
      </c>
      <c r="BD499" t="s">
        <v>5775</v>
      </c>
      <c r="BE499" t="s">
        <v>5765</v>
      </c>
      <c r="BF499" t="s">
        <v>5776</v>
      </c>
      <c r="BG499" t="s">
        <v>5777</v>
      </c>
      <c r="BH499" s="1">
        <v>45197.833333333336</v>
      </c>
      <c r="BI499">
        <v>40</v>
      </c>
      <c r="BJ499">
        <v>0</v>
      </c>
      <c r="BK499">
        <v>8</v>
      </c>
      <c r="BL499">
        <v>8</v>
      </c>
      <c r="BM499">
        <v>8</v>
      </c>
      <c r="BN499">
        <v>8</v>
      </c>
      <c r="BO499">
        <v>8</v>
      </c>
      <c r="BP499">
        <v>0</v>
      </c>
      <c r="BQ499" t="str">
        <f>"8:00 AM"</f>
        <v>8:00 AM</v>
      </c>
      <c r="BR499" t="str">
        <f>"4:00 PM"</f>
        <v>4:00 PM</v>
      </c>
      <c r="BS499" t="s">
        <v>131</v>
      </c>
      <c r="BT499">
        <v>0</v>
      </c>
      <c r="BU499">
        <v>24</v>
      </c>
      <c r="BV499" t="s">
        <v>114</v>
      </c>
      <c r="BX499" t="s">
        <v>5778</v>
      </c>
      <c r="BY499" t="s">
        <v>5779</v>
      </c>
      <c r="CA499" t="s">
        <v>5780</v>
      </c>
      <c r="CB499" t="s">
        <v>5777</v>
      </c>
      <c r="CC499" s="8" t="str">
        <f>"96952"</f>
        <v>96952</v>
      </c>
      <c r="CD499" t="s">
        <v>5781</v>
      </c>
      <c r="CE499" t="s">
        <v>5782</v>
      </c>
      <c r="CF499" s="12">
        <v>11.25</v>
      </c>
      <c r="CG499" s="12">
        <v>11.25</v>
      </c>
      <c r="CH499" s="12">
        <v>16.88</v>
      </c>
      <c r="CI499" s="12">
        <v>16.88</v>
      </c>
      <c r="CJ499" t="s">
        <v>135</v>
      </c>
      <c r="CL499" t="s">
        <v>9388</v>
      </c>
      <c r="CO499" t="s">
        <v>136</v>
      </c>
      <c r="CP499" t="s">
        <v>114</v>
      </c>
      <c r="CQ499" t="s">
        <v>136</v>
      </c>
      <c r="CR499" t="s">
        <v>136</v>
      </c>
      <c r="CS499" t="s">
        <v>114</v>
      </c>
      <c r="CT499" t="s">
        <v>136</v>
      </c>
      <c r="CU499" t="s">
        <v>136</v>
      </c>
      <c r="CV499" t="s">
        <v>5784</v>
      </c>
      <c r="CW499" s="10" t="str">
        <f>"+16706643190"</f>
        <v>+16706643190</v>
      </c>
      <c r="CX499" t="s">
        <v>132</v>
      </c>
      <c r="CY499" t="s">
        <v>5785</v>
      </c>
      <c r="CZ499" t="s">
        <v>137</v>
      </c>
      <c r="DA499" t="s">
        <v>114</v>
      </c>
      <c r="DB499" t="s">
        <v>136</v>
      </c>
      <c r="DC499" t="s">
        <v>136</v>
      </c>
      <c r="DD499" t="s">
        <v>114</v>
      </c>
      <c r="DE499" t="s">
        <v>5769</v>
      </c>
      <c r="DF499" t="s">
        <v>5770</v>
      </c>
      <c r="DG499" t="s">
        <v>150</v>
      </c>
      <c r="DH499" t="s">
        <v>5786</v>
      </c>
      <c r="DI499" t="s">
        <v>5787</v>
      </c>
    </row>
    <row r="500" spans="1:113" ht="15" customHeight="1" x14ac:dyDescent="0.25">
      <c r="A500" t="s">
        <v>9856</v>
      </c>
      <c r="B500" t="s">
        <v>152</v>
      </c>
      <c r="C500" s="1">
        <v>45201.88554398148</v>
      </c>
      <c r="D500" s="1">
        <v>45267</v>
      </c>
      <c r="E500" t="s">
        <v>132</v>
      </c>
      <c r="F500" t="s">
        <v>1339</v>
      </c>
      <c r="G500" t="str">
        <f>"47-2111.00"</f>
        <v>47-2111.00</v>
      </c>
      <c r="H500" t="s">
        <v>1340</v>
      </c>
      <c r="I500">
        <v>10</v>
      </c>
      <c r="J500">
        <v>10</v>
      </c>
      <c r="K500" s="1">
        <v>45278</v>
      </c>
      <c r="L500" s="1">
        <v>45643</v>
      </c>
      <c r="M500" s="1">
        <v>45278</v>
      </c>
      <c r="N500" s="1">
        <v>45643</v>
      </c>
      <c r="O500" t="s">
        <v>184</v>
      </c>
      <c r="P500" t="s">
        <v>5761</v>
      </c>
      <c r="R500" t="s">
        <v>5762</v>
      </c>
      <c r="S500" t="s">
        <v>5763</v>
      </c>
      <c r="T500" t="s">
        <v>5764</v>
      </c>
      <c r="U500" t="s">
        <v>5765</v>
      </c>
      <c r="V500" s="8" t="str">
        <f>"96921"</f>
        <v>96921</v>
      </c>
      <c r="W500" t="s">
        <v>118</v>
      </c>
      <c r="Y500" s="10">
        <v>16716464861</v>
      </c>
      <c r="AA500">
        <v>236220</v>
      </c>
      <c r="AB500" t="s">
        <v>5766</v>
      </c>
      <c r="AC500" t="s">
        <v>1783</v>
      </c>
      <c r="AD500" t="s">
        <v>150</v>
      </c>
      <c r="AE500" t="s">
        <v>5767</v>
      </c>
      <c r="AF500" t="s">
        <v>5762</v>
      </c>
      <c r="AG500" t="s">
        <v>5763</v>
      </c>
      <c r="AH500" t="s">
        <v>5764</v>
      </c>
      <c r="AI500" t="s">
        <v>5765</v>
      </c>
      <c r="AJ500" s="8" t="str">
        <f>"96921"</f>
        <v>96921</v>
      </c>
      <c r="AK500" t="s">
        <v>118</v>
      </c>
      <c r="AM500" s="10">
        <v>16716464861</v>
      </c>
      <c r="AO500" t="s">
        <v>5768</v>
      </c>
      <c r="AP500" t="s">
        <v>121</v>
      </c>
      <c r="AQ500" t="s">
        <v>5769</v>
      </c>
      <c r="AR500" t="s">
        <v>5770</v>
      </c>
      <c r="AS500" t="s">
        <v>150</v>
      </c>
      <c r="AT500" t="s">
        <v>5771</v>
      </c>
      <c r="AU500" t="s">
        <v>5772</v>
      </c>
      <c r="AV500" t="s">
        <v>5773</v>
      </c>
      <c r="AW500" t="s">
        <v>5765</v>
      </c>
      <c r="AX500" s="8" t="str">
        <f>"96910"</f>
        <v>96910</v>
      </c>
      <c r="AY500" t="s">
        <v>118</v>
      </c>
      <c r="BA500" s="10">
        <v>16714779084</v>
      </c>
      <c r="BC500" t="s">
        <v>5774</v>
      </c>
      <c r="BD500" t="s">
        <v>5775</v>
      </c>
      <c r="BE500" t="s">
        <v>5765</v>
      </c>
      <c r="BF500" t="s">
        <v>5776</v>
      </c>
      <c r="BG500" t="s">
        <v>5777</v>
      </c>
      <c r="BH500" s="1">
        <v>45197.833333333336</v>
      </c>
      <c r="BI500">
        <v>40</v>
      </c>
      <c r="BJ500">
        <v>0</v>
      </c>
      <c r="BK500">
        <v>8</v>
      </c>
      <c r="BL500">
        <v>8</v>
      </c>
      <c r="BM500">
        <v>8</v>
      </c>
      <c r="BN500">
        <v>8</v>
      </c>
      <c r="BO500">
        <v>8</v>
      </c>
      <c r="BP500">
        <v>0</v>
      </c>
      <c r="BQ500" t="str">
        <f>"8:00 AM"</f>
        <v>8:00 AM</v>
      </c>
      <c r="BR500" t="str">
        <f>"4:00 PM"</f>
        <v>4:00 PM</v>
      </c>
      <c r="BS500" t="s">
        <v>131</v>
      </c>
      <c r="BT500">
        <v>0</v>
      </c>
      <c r="BU500">
        <v>24</v>
      </c>
      <c r="BV500" t="s">
        <v>114</v>
      </c>
      <c r="BX500" t="s">
        <v>5778</v>
      </c>
      <c r="BY500" t="s">
        <v>5779</v>
      </c>
      <c r="CA500" t="s">
        <v>5780</v>
      </c>
      <c r="CB500" t="s">
        <v>5777</v>
      </c>
      <c r="CC500" s="8" t="str">
        <f>"96952"</f>
        <v>96952</v>
      </c>
      <c r="CD500" t="s">
        <v>5781</v>
      </c>
      <c r="CE500" t="s">
        <v>5782</v>
      </c>
      <c r="CF500" s="12">
        <v>12.58</v>
      </c>
      <c r="CG500" s="12">
        <v>12.58</v>
      </c>
      <c r="CH500" s="12">
        <v>18.87</v>
      </c>
      <c r="CI500" s="12">
        <v>18.87</v>
      </c>
      <c r="CJ500" t="s">
        <v>135</v>
      </c>
      <c r="CL500" t="s">
        <v>9857</v>
      </c>
      <c r="CO500" t="s">
        <v>136</v>
      </c>
      <c r="CP500" t="s">
        <v>114</v>
      </c>
      <c r="CQ500" t="s">
        <v>136</v>
      </c>
      <c r="CR500" t="s">
        <v>136</v>
      </c>
      <c r="CS500" t="s">
        <v>114</v>
      </c>
      <c r="CT500" t="s">
        <v>136</v>
      </c>
      <c r="CU500" t="s">
        <v>136</v>
      </c>
      <c r="CV500" t="s">
        <v>5784</v>
      </c>
      <c r="CW500" s="10" t="str">
        <f>"+16706643190"</f>
        <v>+16706643190</v>
      </c>
      <c r="CX500" t="s">
        <v>132</v>
      </c>
      <c r="CY500" t="s">
        <v>5785</v>
      </c>
      <c r="CZ500" t="s">
        <v>137</v>
      </c>
      <c r="DA500" t="s">
        <v>114</v>
      </c>
      <c r="DB500" t="s">
        <v>136</v>
      </c>
      <c r="DC500" t="s">
        <v>136</v>
      </c>
      <c r="DD500" t="s">
        <v>114</v>
      </c>
      <c r="DE500" t="s">
        <v>5769</v>
      </c>
      <c r="DF500" t="s">
        <v>5770</v>
      </c>
      <c r="DG500" t="s">
        <v>150</v>
      </c>
      <c r="DH500" t="s">
        <v>5786</v>
      </c>
      <c r="DI500" t="s">
        <v>5787</v>
      </c>
    </row>
    <row r="501" spans="1:113" ht="15" customHeight="1" x14ac:dyDescent="0.25">
      <c r="A501" t="s">
        <v>13593</v>
      </c>
      <c r="B501" t="s">
        <v>152</v>
      </c>
      <c r="C501" s="1">
        <v>45201.867128240738</v>
      </c>
      <c r="D501" s="1">
        <v>45267</v>
      </c>
      <c r="E501" t="s">
        <v>132</v>
      </c>
      <c r="F501" t="s">
        <v>569</v>
      </c>
      <c r="G501" t="str">
        <f>"47-2061.00"</f>
        <v>47-2061.00</v>
      </c>
      <c r="H501" t="s">
        <v>570</v>
      </c>
      <c r="I501">
        <v>40</v>
      </c>
      <c r="J501">
        <v>40</v>
      </c>
      <c r="K501" s="1">
        <v>45278</v>
      </c>
      <c r="L501" s="1">
        <v>45643</v>
      </c>
      <c r="M501" s="1">
        <v>45278</v>
      </c>
      <c r="N501" s="1">
        <v>45643</v>
      </c>
      <c r="O501" t="s">
        <v>184</v>
      </c>
      <c r="P501" t="s">
        <v>5761</v>
      </c>
      <c r="R501" t="s">
        <v>5762</v>
      </c>
      <c r="S501" t="s">
        <v>5763</v>
      </c>
      <c r="T501" t="s">
        <v>5764</v>
      </c>
      <c r="U501" t="s">
        <v>5765</v>
      </c>
      <c r="V501" s="8" t="str">
        <f>"96921"</f>
        <v>96921</v>
      </c>
      <c r="W501" t="s">
        <v>118</v>
      </c>
      <c r="Y501" s="10">
        <v>16716464861</v>
      </c>
      <c r="AA501">
        <v>236220</v>
      </c>
      <c r="AB501" t="s">
        <v>5766</v>
      </c>
      <c r="AC501" t="s">
        <v>1783</v>
      </c>
      <c r="AD501" t="s">
        <v>150</v>
      </c>
      <c r="AE501" t="s">
        <v>5767</v>
      </c>
      <c r="AF501" t="s">
        <v>5762</v>
      </c>
      <c r="AG501" t="s">
        <v>5763</v>
      </c>
      <c r="AH501" t="s">
        <v>5764</v>
      </c>
      <c r="AI501" t="s">
        <v>5765</v>
      </c>
      <c r="AJ501" s="8" t="str">
        <f>"96921"</f>
        <v>96921</v>
      </c>
      <c r="AK501" t="s">
        <v>118</v>
      </c>
      <c r="AM501" s="10">
        <v>16716464861</v>
      </c>
      <c r="AO501" t="s">
        <v>5768</v>
      </c>
      <c r="AP501" t="s">
        <v>121</v>
      </c>
      <c r="AQ501" t="s">
        <v>5769</v>
      </c>
      <c r="AR501" t="s">
        <v>5770</v>
      </c>
      <c r="AS501" t="s">
        <v>150</v>
      </c>
      <c r="AT501" t="s">
        <v>5771</v>
      </c>
      <c r="AU501" t="s">
        <v>5772</v>
      </c>
      <c r="AV501" t="s">
        <v>5773</v>
      </c>
      <c r="AW501" t="s">
        <v>5765</v>
      </c>
      <c r="AX501" s="8" t="str">
        <f>"96910"</f>
        <v>96910</v>
      </c>
      <c r="AY501" t="s">
        <v>118</v>
      </c>
      <c r="BA501" s="10">
        <v>16714779084</v>
      </c>
      <c r="BC501" t="s">
        <v>5774</v>
      </c>
      <c r="BD501" t="s">
        <v>5775</v>
      </c>
      <c r="BE501" t="s">
        <v>5765</v>
      </c>
      <c r="BF501" t="s">
        <v>5776</v>
      </c>
      <c r="BG501" t="s">
        <v>5777</v>
      </c>
      <c r="BH501" s="1">
        <v>45197.833333333336</v>
      </c>
      <c r="BI501">
        <v>40</v>
      </c>
      <c r="BJ501">
        <v>0</v>
      </c>
      <c r="BK501">
        <v>8</v>
      </c>
      <c r="BL501">
        <v>8</v>
      </c>
      <c r="BM501">
        <v>8</v>
      </c>
      <c r="BN501">
        <v>8</v>
      </c>
      <c r="BO501">
        <v>8</v>
      </c>
      <c r="BP501">
        <v>0</v>
      </c>
      <c r="BQ501" t="str">
        <f>"8:00 AM"</f>
        <v>8:00 AM</v>
      </c>
      <c r="BR501" t="str">
        <f>"4:00 PM"</f>
        <v>4:00 PM</v>
      </c>
      <c r="BS501" t="s">
        <v>131</v>
      </c>
      <c r="BT501">
        <v>0</v>
      </c>
      <c r="BU501">
        <v>12</v>
      </c>
      <c r="BV501" t="s">
        <v>114</v>
      </c>
      <c r="BX501" t="s">
        <v>5778</v>
      </c>
      <c r="BY501" t="s">
        <v>5779</v>
      </c>
      <c r="CA501" t="s">
        <v>5780</v>
      </c>
      <c r="CB501" t="s">
        <v>5777</v>
      </c>
      <c r="CC501" s="8" t="str">
        <f>"96952"</f>
        <v>96952</v>
      </c>
      <c r="CD501" t="s">
        <v>5781</v>
      </c>
      <c r="CE501" t="s">
        <v>5782</v>
      </c>
      <c r="CF501" s="12">
        <v>10.92</v>
      </c>
      <c r="CG501" s="12">
        <v>10.92</v>
      </c>
      <c r="CH501" s="12">
        <v>16.38</v>
      </c>
      <c r="CI501" s="12">
        <v>16.38</v>
      </c>
      <c r="CJ501" t="s">
        <v>135</v>
      </c>
      <c r="CL501" t="s">
        <v>13594</v>
      </c>
      <c r="CO501" t="s">
        <v>136</v>
      </c>
      <c r="CP501" t="s">
        <v>114</v>
      </c>
      <c r="CQ501" t="s">
        <v>136</v>
      </c>
      <c r="CR501" t="s">
        <v>136</v>
      </c>
      <c r="CS501" t="s">
        <v>114</v>
      </c>
      <c r="CT501" t="s">
        <v>136</v>
      </c>
      <c r="CU501" t="s">
        <v>136</v>
      </c>
      <c r="CV501" t="s">
        <v>13595</v>
      </c>
      <c r="CW501" s="10" t="str">
        <f>"+16706643190"</f>
        <v>+16706643190</v>
      </c>
      <c r="CX501" t="s">
        <v>132</v>
      </c>
      <c r="CY501" t="s">
        <v>5785</v>
      </c>
      <c r="CZ501" t="s">
        <v>137</v>
      </c>
      <c r="DA501" t="s">
        <v>114</v>
      </c>
      <c r="DB501" t="s">
        <v>136</v>
      </c>
      <c r="DC501" t="s">
        <v>136</v>
      </c>
      <c r="DD501" t="s">
        <v>114</v>
      </c>
      <c r="DE501" t="s">
        <v>5769</v>
      </c>
      <c r="DF501" t="s">
        <v>5770</v>
      </c>
      <c r="DG501" t="s">
        <v>150</v>
      </c>
      <c r="DH501" t="s">
        <v>5786</v>
      </c>
      <c r="DI501" t="s">
        <v>5787</v>
      </c>
    </row>
    <row r="502" spans="1:113" ht="15" customHeight="1" x14ac:dyDescent="0.25">
      <c r="A502" t="s">
        <v>21033</v>
      </c>
      <c r="B502" t="s">
        <v>152</v>
      </c>
      <c r="C502" s="1">
        <v>45201.840083449075</v>
      </c>
      <c r="D502" s="1">
        <v>45267</v>
      </c>
      <c r="E502" t="s">
        <v>132</v>
      </c>
      <c r="F502" t="s">
        <v>5333</v>
      </c>
      <c r="G502" t="str">
        <f>"47-2031.00"</f>
        <v>47-2031.00</v>
      </c>
      <c r="H502" t="s">
        <v>115</v>
      </c>
      <c r="I502">
        <v>30</v>
      </c>
      <c r="J502">
        <v>30</v>
      </c>
      <c r="K502" s="1">
        <v>45278</v>
      </c>
      <c r="L502" s="1">
        <v>45643</v>
      </c>
      <c r="M502" s="1">
        <v>45278</v>
      </c>
      <c r="N502" s="1">
        <v>45643</v>
      </c>
      <c r="O502" t="s">
        <v>184</v>
      </c>
      <c r="P502" t="s">
        <v>5761</v>
      </c>
      <c r="R502" t="s">
        <v>5762</v>
      </c>
      <c r="S502" t="s">
        <v>5763</v>
      </c>
      <c r="T502" t="s">
        <v>5764</v>
      </c>
      <c r="U502" t="s">
        <v>5765</v>
      </c>
      <c r="V502" s="8" t="str">
        <f>"96921"</f>
        <v>96921</v>
      </c>
      <c r="W502" t="s">
        <v>118</v>
      </c>
      <c r="Y502" s="10">
        <v>16716464861</v>
      </c>
      <c r="AA502">
        <v>236220</v>
      </c>
      <c r="AB502" t="s">
        <v>5766</v>
      </c>
      <c r="AC502" t="s">
        <v>1783</v>
      </c>
      <c r="AD502" t="s">
        <v>150</v>
      </c>
      <c r="AE502" t="s">
        <v>5767</v>
      </c>
      <c r="AF502" t="s">
        <v>5762</v>
      </c>
      <c r="AG502" t="s">
        <v>5763</v>
      </c>
      <c r="AH502" t="s">
        <v>5764</v>
      </c>
      <c r="AI502" t="s">
        <v>5765</v>
      </c>
      <c r="AJ502" s="8" t="str">
        <f>"96921"</f>
        <v>96921</v>
      </c>
      <c r="AK502" t="s">
        <v>118</v>
      </c>
      <c r="AM502" s="10">
        <v>16716464861</v>
      </c>
      <c r="AO502" t="s">
        <v>5768</v>
      </c>
      <c r="AP502" t="s">
        <v>121</v>
      </c>
      <c r="AQ502" t="s">
        <v>5769</v>
      </c>
      <c r="AR502" t="s">
        <v>5770</v>
      </c>
      <c r="AS502" t="s">
        <v>150</v>
      </c>
      <c r="AT502" t="s">
        <v>5771</v>
      </c>
      <c r="AU502" t="s">
        <v>5772</v>
      </c>
      <c r="AV502" t="s">
        <v>5773</v>
      </c>
      <c r="AW502" t="s">
        <v>5765</v>
      </c>
      <c r="AX502" s="8" t="str">
        <f>"96910"</f>
        <v>96910</v>
      </c>
      <c r="AY502" t="s">
        <v>118</v>
      </c>
      <c r="BA502" s="10">
        <v>16714779084</v>
      </c>
      <c r="BC502" t="s">
        <v>5774</v>
      </c>
      <c r="BD502" t="s">
        <v>5775</v>
      </c>
      <c r="BE502" t="s">
        <v>5765</v>
      </c>
      <c r="BF502" t="s">
        <v>5776</v>
      </c>
      <c r="BG502" t="s">
        <v>5777</v>
      </c>
      <c r="BH502" s="1">
        <v>45197.833333333336</v>
      </c>
      <c r="BI502">
        <v>40</v>
      </c>
      <c r="BJ502">
        <v>0</v>
      </c>
      <c r="BK502">
        <v>8</v>
      </c>
      <c r="BL502">
        <v>8</v>
      </c>
      <c r="BM502">
        <v>8</v>
      </c>
      <c r="BN502">
        <v>8</v>
      </c>
      <c r="BO502">
        <v>8</v>
      </c>
      <c r="BP502">
        <v>0</v>
      </c>
      <c r="BQ502" t="str">
        <f>"8:00 AM"</f>
        <v>8:00 AM</v>
      </c>
      <c r="BR502" t="str">
        <f>"4:00 PM"</f>
        <v>4:00 PM</v>
      </c>
      <c r="BS502" t="s">
        <v>131</v>
      </c>
      <c r="BT502">
        <v>0</v>
      </c>
      <c r="BU502">
        <v>12</v>
      </c>
      <c r="BV502" t="s">
        <v>114</v>
      </c>
      <c r="BX502" t="s">
        <v>21034</v>
      </c>
      <c r="BY502" t="s">
        <v>5779</v>
      </c>
      <c r="CA502" t="s">
        <v>5780</v>
      </c>
      <c r="CB502" t="s">
        <v>5777</v>
      </c>
      <c r="CC502" s="8" t="str">
        <f>"96952"</f>
        <v>96952</v>
      </c>
      <c r="CD502" t="s">
        <v>5781</v>
      </c>
      <c r="CE502" t="s">
        <v>5782</v>
      </c>
      <c r="CF502" s="12">
        <v>12.73</v>
      </c>
      <c r="CG502" s="12">
        <v>12.73</v>
      </c>
      <c r="CH502" s="12">
        <v>19.100000000000001</v>
      </c>
      <c r="CI502" s="12">
        <v>19.100000000000001</v>
      </c>
      <c r="CJ502" t="s">
        <v>135</v>
      </c>
      <c r="CL502" t="s">
        <v>21035</v>
      </c>
      <c r="CO502" t="s">
        <v>136</v>
      </c>
      <c r="CP502" t="s">
        <v>114</v>
      </c>
      <c r="CQ502" t="s">
        <v>136</v>
      </c>
      <c r="CR502" t="s">
        <v>136</v>
      </c>
      <c r="CS502" t="s">
        <v>114</v>
      </c>
      <c r="CT502" t="s">
        <v>136</v>
      </c>
      <c r="CU502" t="s">
        <v>136</v>
      </c>
      <c r="CV502" t="s">
        <v>21036</v>
      </c>
      <c r="CW502" s="10" t="str">
        <f>"+16706643190"</f>
        <v>+16706643190</v>
      </c>
      <c r="CX502" t="s">
        <v>132</v>
      </c>
      <c r="CY502" t="s">
        <v>5785</v>
      </c>
      <c r="CZ502" t="s">
        <v>137</v>
      </c>
      <c r="DA502" t="s">
        <v>114</v>
      </c>
      <c r="DB502" t="s">
        <v>136</v>
      </c>
      <c r="DC502" t="s">
        <v>136</v>
      </c>
      <c r="DD502" t="s">
        <v>114</v>
      </c>
      <c r="DE502" t="s">
        <v>5769</v>
      </c>
      <c r="DF502" t="s">
        <v>21037</v>
      </c>
      <c r="DG502" t="s">
        <v>150</v>
      </c>
      <c r="DH502" t="s">
        <v>5786</v>
      </c>
      <c r="DI502" t="s">
        <v>5787</v>
      </c>
    </row>
    <row r="503" spans="1:113" ht="15" customHeight="1" x14ac:dyDescent="0.25">
      <c r="A503" t="s">
        <v>11285</v>
      </c>
      <c r="B503" t="s">
        <v>152</v>
      </c>
      <c r="C503" s="1">
        <v>45243.31150787037</v>
      </c>
      <c r="D503" s="1">
        <v>45266</v>
      </c>
      <c r="E503" t="s">
        <v>132</v>
      </c>
      <c r="F503" t="s">
        <v>2324</v>
      </c>
      <c r="G503" t="str">
        <f>"35-3023.00"</f>
        <v>35-3023.00</v>
      </c>
      <c r="H503" t="s">
        <v>1365</v>
      </c>
      <c r="I503">
        <v>10</v>
      </c>
      <c r="J503">
        <v>10</v>
      </c>
      <c r="K503" s="1">
        <v>45333</v>
      </c>
      <c r="L503" s="1">
        <v>45609</v>
      </c>
      <c r="M503" s="1">
        <v>45333</v>
      </c>
      <c r="N503" s="1">
        <v>45609</v>
      </c>
      <c r="O503" t="s">
        <v>238</v>
      </c>
      <c r="P503" t="s">
        <v>11286</v>
      </c>
      <c r="R503" t="s">
        <v>11287</v>
      </c>
      <c r="T503" t="s">
        <v>11288</v>
      </c>
      <c r="U503" t="s">
        <v>402</v>
      </c>
      <c r="V503" s="8" t="str">
        <f>"93657"</f>
        <v>93657</v>
      </c>
      <c r="W503" t="s">
        <v>118</v>
      </c>
      <c r="Y503" s="10">
        <v>15592862522</v>
      </c>
      <c r="AA503">
        <v>71399</v>
      </c>
      <c r="AB503" t="s">
        <v>7641</v>
      </c>
      <c r="AC503" t="s">
        <v>8064</v>
      </c>
      <c r="AE503" t="s">
        <v>561</v>
      </c>
      <c r="AF503" t="s">
        <v>11287</v>
      </c>
      <c r="AH503" t="s">
        <v>11288</v>
      </c>
      <c r="AI503" t="s">
        <v>402</v>
      </c>
      <c r="AJ503" s="8" t="str">
        <f>"93657"</f>
        <v>93657</v>
      </c>
      <c r="AK503" t="s">
        <v>118</v>
      </c>
      <c r="AM503" s="10">
        <v>15592862522</v>
      </c>
      <c r="AO503" t="s">
        <v>11289</v>
      </c>
      <c r="AP503" t="s">
        <v>248</v>
      </c>
      <c r="AQ503" t="s">
        <v>249</v>
      </c>
      <c r="AR503" t="s">
        <v>250</v>
      </c>
      <c r="AS503" t="s">
        <v>251</v>
      </c>
      <c r="AT503" t="s">
        <v>252</v>
      </c>
      <c r="AU503" t="s">
        <v>253</v>
      </c>
      <c r="AV503" t="s">
        <v>254</v>
      </c>
      <c r="AW503" t="s">
        <v>127</v>
      </c>
      <c r="AX503" s="8" t="str">
        <f>"78550"</f>
        <v>78550</v>
      </c>
      <c r="AY503" t="s">
        <v>118</v>
      </c>
      <c r="AZ503" t="s">
        <v>255</v>
      </c>
      <c r="BA503" s="10">
        <v>19564408720</v>
      </c>
      <c r="BB503" s="3" t="s">
        <v>256</v>
      </c>
      <c r="BC503" t="s">
        <v>257</v>
      </c>
      <c r="BD503" t="s">
        <v>258</v>
      </c>
      <c r="BG503" t="s">
        <v>402</v>
      </c>
      <c r="BH503" s="1">
        <v>45242.791666666664</v>
      </c>
      <c r="BI503">
        <v>40</v>
      </c>
      <c r="BJ503">
        <v>8</v>
      </c>
      <c r="BK503">
        <v>0</v>
      </c>
      <c r="BL503">
        <v>0</v>
      </c>
      <c r="BM503">
        <v>8</v>
      </c>
      <c r="BN503">
        <v>8</v>
      </c>
      <c r="BO503">
        <v>8</v>
      </c>
      <c r="BP503">
        <v>8</v>
      </c>
      <c r="BQ503" t="str">
        <f>"1:00 PM"</f>
        <v>1:00 PM</v>
      </c>
      <c r="BR503" t="str">
        <f>"10:00 PM"</f>
        <v>10:00 PM</v>
      </c>
      <c r="BS503" t="s">
        <v>131</v>
      </c>
      <c r="BT503">
        <v>0</v>
      </c>
      <c r="BU503">
        <v>0</v>
      </c>
      <c r="BV503" t="s">
        <v>114</v>
      </c>
      <c r="BX503" s="2" t="s">
        <v>259</v>
      </c>
      <c r="BY503" t="s">
        <v>11287</v>
      </c>
      <c r="CA503" t="s">
        <v>11288</v>
      </c>
      <c r="CB503" t="s">
        <v>402</v>
      </c>
      <c r="CC503" s="8" t="str">
        <f>"93657"</f>
        <v>93657</v>
      </c>
      <c r="CD503" t="s">
        <v>3277</v>
      </c>
      <c r="CE503" t="s">
        <v>3278</v>
      </c>
      <c r="CF503" s="12">
        <v>12.75</v>
      </c>
      <c r="CG503" s="12">
        <v>18.38</v>
      </c>
      <c r="CJ503" t="s">
        <v>135</v>
      </c>
      <c r="CK503" t="s">
        <v>264</v>
      </c>
      <c r="CL503" t="s">
        <v>11290</v>
      </c>
      <c r="CO503" t="s">
        <v>132</v>
      </c>
      <c r="CP503" t="s">
        <v>136</v>
      </c>
      <c r="CQ503" t="s">
        <v>136</v>
      </c>
      <c r="CR503" t="s">
        <v>114</v>
      </c>
      <c r="CS503" t="s">
        <v>136</v>
      </c>
      <c r="CT503" t="s">
        <v>136</v>
      </c>
      <c r="CU503" t="s">
        <v>136</v>
      </c>
      <c r="CV503" t="s">
        <v>266</v>
      </c>
      <c r="CW503" s="10" t="str">
        <f>"+15592862522"</f>
        <v>+15592862522</v>
      </c>
      <c r="CX503" t="s">
        <v>11289</v>
      </c>
      <c r="CY503" t="s">
        <v>132</v>
      </c>
      <c r="CZ503" t="s">
        <v>137</v>
      </c>
      <c r="DA503" t="s">
        <v>114</v>
      </c>
      <c r="DB503" t="s">
        <v>114</v>
      </c>
      <c r="DC503" t="s">
        <v>136</v>
      </c>
      <c r="DD503" t="s">
        <v>114</v>
      </c>
    </row>
    <row r="504" spans="1:113" ht="15" customHeight="1" x14ac:dyDescent="0.25">
      <c r="A504" t="s">
        <v>22348</v>
      </c>
      <c r="B504" t="s">
        <v>152</v>
      </c>
      <c r="C504" s="1">
        <v>45242.628926851852</v>
      </c>
      <c r="D504" s="1">
        <v>45266</v>
      </c>
      <c r="E504" t="s">
        <v>132</v>
      </c>
      <c r="F504" t="s">
        <v>685</v>
      </c>
      <c r="G504" t="str">
        <f>"35-3023.00"</f>
        <v>35-3023.00</v>
      </c>
      <c r="H504" t="s">
        <v>1365</v>
      </c>
      <c r="I504">
        <v>50</v>
      </c>
      <c r="J504">
        <v>50</v>
      </c>
      <c r="K504" s="1">
        <v>45332</v>
      </c>
      <c r="L504" s="1">
        <v>45611</v>
      </c>
      <c r="M504" s="1">
        <v>45332</v>
      </c>
      <c r="N504" s="1">
        <v>45611</v>
      </c>
      <c r="O504" t="s">
        <v>238</v>
      </c>
      <c r="P504" t="s">
        <v>22349</v>
      </c>
      <c r="R504" t="s">
        <v>22350</v>
      </c>
      <c r="T504" t="s">
        <v>5064</v>
      </c>
      <c r="U504" t="s">
        <v>140</v>
      </c>
      <c r="V504" s="8" t="str">
        <f>"33534"</f>
        <v>33534</v>
      </c>
      <c r="W504" t="s">
        <v>118</v>
      </c>
      <c r="Y504" s="10">
        <v>18139954969</v>
      </c>
      <c r="Z504" s="3" t="s">
        <v>256</v>
      </c>
      <c r="AA504">
        <v>71399</v>
      </c>
      <c r="AB504" t="s">
        <v>22351</v>
      </c>
      <c r="AC504" t="s">
        <v>708</v>
      </c>
      <c r="AD504" t="s">
        <v>515</v>
      </c>
      <c r="AE504" t="s">
        <v>629</v>
      </c>
      <c r="AF504" t="s">
        <v>22350</v>
      </c>
      <c r="AH504" t="s">
        <v>5064</v>
      </c>
      <c r="AI504" t="s">
        <v>140</v>
      </c>
      <c r="AJ504" s="8" t="str">
        <f>"33534"</f>
        <v>33534</v>
      </c>
      <c r="AK504" t="s">
        <v>118</v>
      </c>
      <c r="AM504" s="10">
        <v>18139954969</v>
      </c>
      <c r="AN504" s="3" t="s">
        <v>256</v>
      </c>
      <c r="AO504" t="s">
        <v>22352</v>
      </c>
      <c r="AP504" t="s">
        <v>248</v>
      </c>
      <c r="AQ504" t="s">
        <v>249</v>
      </c>
      <c r="AR504" t="s">
        <v>250</v>
      </c>
      <c r="AS504" t="s">
        <v>251</v>
      </c>
      <c r="AT504" t="s">
        <v>252</v>
      </c>
      <c r="AU504" t="s">
        <v>253</v>
      </c>
      <c r="AV504" t="s">
        <v>254</v>
      </c>
      <c r="AW504" t="s">
        <v>127</v>
      </c>
      <c r="AX504" s="8" t="str">
        <f>"78550"</f>
        <v>78550</v>
      </c>
      <c r="AY504" t="s">
        <v>118</v>
      </c>
      <c r="AZ504" t="s">
        <v>255</v>
      </c>
      <c r="BA504" s="10">
        <v>19564408720</v>
      </c>
      <c r="BB504" s="3" t="s">
        <v>256</v>
      </c>
      <c r="BC504" t="s">
        <v>338</v>
      </c>
      <c r="BD504" t="s">
        <v>258</v>
      </c>
      <c r="BG504" t="s">
        <v>140</v>
      </c>
      <c r="BH504" s="1">
        <v>45241.791666666664</v>
      </c>
      <c r="BI504">
        <v>40</v>
      </c>
      <c r="BJ504">
        <v>8</v>
      </c>
      <c r="BK504">
        <v>0</v>
      </c>
      <c r="BL504">
        <v>0</v>
      </c>
      <c r="BM504">
        <v>8</v>
      </c>
      <c r="BN504">
        <v>8</v>
      </c>
      <c r="BO504">
        <v>8</v>
      </c>
      <c r="BP504">
        <v>8</v>
      </c>
      <c r="BQ504" t="str">
        <f>"1:00 PM"</f>
        <v>1:00 PM</v>
      </c>
      <c r="BR504" t="str">
        <f>"10:00 PM"</f>
        <v>10:00 PM</v>
      </c>
      <c r="BS504" t="s">
        <v>131</v>
      </c>
      <c r="BT504">
        <v>0</v>
      </c>
      <c r="BU504">
        <v>0</v>
      </c>
      <c r="BV504" t="s">
        <v>114</v>
      </c>
      <c r="BX504" s="2" t="s">
        <v>339</v>
      </c>
      <c r="BY504" t="s">
        <v>22350</v>
      </c>
      <c r="CA504" t="s">
        <v>5064</v>
      </c>
      <c r="CB504" t="s">
        <v>140</v>
      </c>
      <c r="CC504" s="8" t="str">
        <f>"33534"</f>
        <v>33534</v>
      </c>
      <c r="CD504" t="s">
        <v>781</v>
      </c>
      <c r="CE504" t="s">
        <v>467</v>
      </c>
      <c r="CF504" s="12">
        <v>9.9700000000000006</v>
      </c>
      <c r="CG504" s="12">
        <v>16.079999999999998</v>
      </c>
      <c r="CJ504" t="s">
        <v>135</v>
      </c>
      <c r="CK504" t="s">
        <v>342</v>
      </c>
      <c r="CL504" t="s">
        <v>22353</v>
      </c>
      <c r="CO504" t="s">
        <v>132</v>
      </c>
      <c r="CP504" t="s">
        <v>136</v>
      </c>
      <c r="CQ504" t="s">
        <v>136</v>
      </c>
      <c r="CR504" t="s">
        <v>114</v>
      </c>
      <c r="CS504" t="s">
        <v>136</v>
      </c>
      <c r="CT504" t="s">
        <v>136</v>
      </c>
      <c r="CU504" t="s">
        <v>136</v>
      </c>
      <c r="CV504" t="s">
        <v>4357</v>
      </c>
      <c r="CW504" s="10" t="str">
        <f>"+18139954969"</f>
        <v>+18139954969</v>
      </c>
      <c r="CX504" t="s">
        <v>22352</v>
      </c>
      <c r="CY504" t="s">
        <v>132</v>
      </c>
      <c r="CZ504" t="s">
        <v>137</v>
      </c>
      <c r="DA504" t="s">
        <v>114</v>
      </c>
      <c r="DB504" t="s">
        <v>136</v>
      </c>
      <c r="DC504" t="s">
        <v>136</v>
      </c>
      <c r="DD504" t="s">
        <v>114</v>
      </c>
    </row>
    <row r="505" spans="1:113" ht="15" customHeight="1" x14ac:dyDescent="0.25">
      <c r="A505" t="s">
        <v>15184</v>
      </c>
      <c r="B505" t="s">
        <v>152</v>
      </c>
      <c r="C505" s="1">
        <v>45242.340178009261</v>
      </c>
      <c r="D505" s="1">
        <v>45266</v>
      </c>
      <c r="E505" t="s">
        <v>132</v>
      </c>
      <c r="F505" t="s">
        <v>236</v>
      </c>
      <c r="G505" t="str">
        <f>"39-3091.00"</f>
        <v>39-3091.00</v>
      </c>
      <c r="H505" t="s">
        <v>237</v>
      </c>
      <c r="I505">
        <v>20</v>
      </c>
      <c r="J505">
        <v>20</v>
      </c>
      <c r="K505" s="1">
        <v>45332</v>
      </c>
      <c r="L505" s="1">
        <v>45606</v>
      </c>
      <c r="M505" s="1">
        <v>45332</v>
      </c>
      <c r="N505" s="1">
        <v>45606</v>
      </c>
      <c r="O505" t="s">
        <v>238</v>
      </c>
      <c r="P505" t="s">
        <v>15185</v>
      </c>
      <c r="R505" t="s">
        <v>15186</v>
      </c>
      <c r="T505" t="s">
        <v>1280</v>
      </c>
      <c r="U505" t="s">
        <v>127</v>
      </c>
      <c r="V505" s="8" t="str">
        <f>"78130"</f>
        <v>78130</v>
      </c>
      <c r="W505" t="s">
        <v>118</v>
      </c>
      <c r="Y505" s="10">
        <v>18307081383</v>
      </c>
      <c r="AA505">
        <v>71399</v>
      </c>
      <c r="AB505" t="s">
        <v>15187</v>
      </c>
      <c r="AC505" t="s">
        <v>894</v>
      </c>
      <c r="AE505" t="s">
        <v>629</v>
      </c>
      <c r="AF505" t="s">
        <v>15186</v>
      </c>
      <c r="AH505" t="s">
        <v>1280</v>
      </c>
      <c r="AI505" t="s">
        <v>127</v>
      </c>
      <c r="AJ505" s="8" t="str">
        <f>"78130"</f>
        <v>78130</v>
      </c>
      <c r="AK505" t="s">
        <v>118</v>
      </c>
      <c r="AM505" s="10">
        <v>18307081383</v>
      </c>
      <c r="AO505" t="s">
        <v>15188</v>
      </c>
      <c r="AP505" t="s">
        <v>248</v>
      </c>
      <c r="AQ505" t="s">
        <v>249</v>
      </c>
      <c r="AR505" t="s">
        <v>250</v>
      </c>
      <c r="AS505" t="s">
        <v>251</v>
      </c>
      <c r="AT505" t="s">
        <v>252</v>
      </c>
      <c r="AU505" t="s">
        <v>253</v>
      </c>
      <c r="AV505" t="s">
        <v>254</v>
      </c>
      <c r="AW505" t="s">
        <v>127</v>
      </c>
      <c r="AX505" s="8" t="str">
        <f>"78550"</f>
        <v>78550</v>
      </c>
      <c r="AY505" t="s">
        <v>118</v>
      </c>
      <c r="AZ505" t="s">
        <v>255</v>
      </c>
      <c r="BA505" s="10">
        <v>19564408720</v>
      </c>
      <c r="BB505" s="3" t="s">
        <v>256</v>
      </c>
      <c r="BC505" t="s">
        <v>257</v>
      </c>
      <c r="BD505" t="s">
        <v>258</v>
      </c>
      <c r="BG505" t="s">
        <v>127</v>
      </c>
      <c r="BH505" s="1">
        <v>45241.791666666664</v>
      </c>
      <c r="BI505">
        <v>40</v>
      </c>
      <c r="BJ505">
        <v>8</v>
      </c>
      <c r="BK505">
        <v>0</v>
      </c>
      <c r="BL505">
        <v>0</v>
      </c>
      <c r="BM505">
        <v>8</v>
      </c>
      <c r="BN505">
        <v>8</v>
      </c>
      <c r="BO505">
        <v>8</v>
      </c>
      <c r="BP505">
        <v>8</v>
      </c>
      <c r="BQ505" t="str">
        <f>"1:00 PM"</f>
        <v>1:00 PM</v>
      </c>
      <c r="BR505" t="str">
        <f>"10:00 PM"</f>
        <v>10:00 PM</v>
      </c>
      <c r="BS505" t="s">
        <v>131</v>
      </c>
      <c r="BT505">
        <v>0</v>
      </c>
      <c r="BU505">
        <v>0</v>
      </c>
      <c r="BV505" t="s">
        <v>114</v>
      </c>
      <c r="BX505" s="2" t="s">
        <v>259</v>
      </c>
      <c r="BY505" t="s">
        <v>15189</v>
      </c>
      <c r="CA505" t="s">
        <v>1280</v>
      </c>
      <c r="CB505" t="s">
        <v>127</v>
      </c>
      <c r="CC505" s="8" t="str">
        <f>"78132"</f>
        <v>78132</v>
      </c>
      <c r="CD505" t="s">
        <v>1286</v>
      </c>
      <c r="CE505" t="s">
        <v>1287</v>
      </c>
      <c r="CF505" s="12">
        <v>9.86</v>
      </c>
      <c r="CG505" s="12">
        <v>14.62</v>
      </c>
      <c r="CJ505" t="s">
        <v>135</v>
      </c>
      <c r="CK505" t="s">
        <v>264</v>
      </c>
      <c r="CL505" t="s">
        <v>15190</v>
      </c>
      <c r="CO505" t="s">
        <v>132</v>
      </c>
      <c r="CP505" t="s">
        <v>136</v>
      </c>
      <c r="CQ505" t="s">
        <v>136</v>
      </c>
      <c r="CR505" t="s">
        <v>114</v>
      </c>
      <c r="CS505" t="s">
        <v>136</v>
      </c>
      <c r="CT505" t="s">
        <v>136</v>
      </c>
      <c r="CU505" t="s">
        <v>136</v>
      </c>
      <c r="CV505" t="s">
        <v>2258</v>
      </c>
      <c r="CW505" s="10" t="str">
        <f>"+18307081383"</f>
        <v>+18307081383</v>
      </c>
      <c r="CX505" t="s">
        <v>15188</v>
      </c>
      <c r="CY505" t="s">
        <v>132</v>
      </c>
      <c r="CZ505" t="s">
        <v>137</v>
      </c>
      <c r="DA505" t="s">
        <v>114</v>
      </c>
      <c r="DB505" t="s">
        <v>136</v>
      </c>
      <c r="DC505" t="s">
        <v>136</v>
      </c>
      <c r="DD505" t="s">
        <v>114</v>
      </c>
    </row>
    <row r="506" spans="1:113" ht="15" customHeight="1" x14ac:dyDescent="0.25">
      <c r="A506" t="s">
        <v>16474</v>
      </c>
      <c r="B506" t="s">
        <v>152</v>
      </c>
      <c r="C506" s="1">
        <v>45241.330632407407</v>
      </c>
      <c r="D506" s="1">
        <v>45266</v>
      </c>
      <c r="E506" t="s">
        <v>132</v>
      </c>
      <c r="F506" t="s">
        <v>2020</v>
      </c>
      <c r="G506" t="str">
        <f>"37-3011.00"</f>
        <v>37-3011.00</v>
      </c>
      <c r="H506" t="s">
        <v>429</v>
      </c>
      <c r="I506">
        <v>28</v>
      </c>
      <c r="J506">
        <v>28</v>
      </c>
      <c r="K506" s="1">
        <v>45331</v>
      </c>
      <c r="L506" s="1">
        <v>45635</v>
      </c>
      <c r="M506" s="1">
        <v>45331</v>
      </c>
      <c r="N506" s="1">
        <v>45635</v>
      </c>
      <c r="O506" t="s">
        <v>116</v>
      </c>
      <c r="P506" t="s">
        <v>16475</v>
      </c>
      <c r="R506" t="s">
        <v>16476</v>
      </c>
      <c r="T506" t="s">
        <v>5615</v>
      </c>
      <c r="U506" t="s">
        <v>386</v>
      </c>
      <c r="V506" s="8" t="str">
        <f>"37204"</f>
        <v>37204</v>
      </c>
      <c r="W506" t="s">
        <v>118</v>
      </c>
      <c r="Y506" s="10">
        <v>16152929600</v>
      </c>
      <c r="AA506">
        <v>56173</v>
      </c>
      <c r="AB506" t="s">
        <v>16477</v>
      </c>
      <c r="AC506" t="s">
        <v>708</v>
      </c>
      <c r="AE506" t="s">
        <v>629</v>
      </c>
      <c r="AF506" t="s">
        <v>16476</v>
      </c>
      <c r="AH506" t="s">
        <v>5615</v>
      </c>
      <c r="AI506" t="s">
        <v>386</v>
      </c>
      <c r="AJ506" s="8" t="str">
        <f>"37204"</f>
        <v>37204</v>
      </c>
      <c r="AK506" t="s">
        <v>118</v>
      </c>
      <c r="AM506" s="10">
        <v>16152929600</v>
      </c>
      <c r="AO506" t="s">
        <v>132</v>
      </c>
      <c r="AP506" t="s">
        <v>248</v>
      </c>
      <c r="AQ506" t="s">
        <v>673</v>
      </c>
      <c r="AR506" t="s">
        <v>674</v>
      </c>
      <c r="AT506" t="s">
        <v>579</v>
      </c>
      <c r="AV506" t="s">
        <v>580</v>
      </c>
      <c r="AW506" t="s">
        <v>581</v>
      </c>
      <c r="AX506" s="8" t="str">
        <f>"22903"</f>
        <v>22903</v>
      </c>
      <c r="AY506" t="s">
        <v>118</v>
      </c>
      <c r="BA506" s="10">
        <v>14342634300</v>
      </c>
      <c r="BC506" t="s">
        <v>675</v>
      </c>
      <c r="BD506" t="s">
        <v>583</v>
      </c>
      <c r="BG506" t="s">
        <v>386</v>
      </c>
      <c r="BH506" s="1">
        <v>45240.791666666664</v>
      </c>
      <c r="BI506">
        <v>40</v>
      </c>
      <c r="BJ506">
        <v>0</v>
      </c>
      <c r="BK506">
        <v>8</v>
      </c>
      <c r="BL506">
        <v>8</v>
      </c>
      <c r="BM506">
        <v>8</v>
      </c>
      <c r="BN506">
        <v>8</v>
      </c>
      <c r="BO506">
        <v>8</v>
      </c>
      <c r="BP506">
        <v>0</v>
      </c>
      <c r="BQ506" t="str">
        <f>"6:45 AM"</f>
        <v>6:45 AM</v>
      </c>
      <c r="BR506" t="str">
        <f>"3:30 PM"</f>
        <v>3:30 PM</v>
      </c>
      <c r="BS506" t="s">
        <v>131</v>
      </c>
      <c r="BT506">
        <v>0</v>
      </c>
      <c r="BU506">
        <v>3</v>
      </c>
      <c r="BV506" t="s">
        <v>114</v>
      </c>
      <c r="BX506" s="2" t="s">
        <v>16478</v>
      </c>
      <c r="BY506" t="s">
        <v>16479</v>
      </c>
      <c r="CA506" t="s">
        <v>5615</v>
      </c>
      <c r="CB506" t="s">
        <v>386</v>
      </c>
      <c r="CC506" s="8" t="str">
        <f>"37204"</f>
        <v>37204</v>
      </c>
      <c r="CD506" t="s">
        <v>4507</v>
      </c>
      <c r="CE506" t="s">
        <v>3752</v>
      </c>
      <c r="CF506" s="12">
        <v>17.05</v>
      </c>
      <c r="CG506" s="12">
        <v>17.05</v>
      </c>
      <c r="CH506" s="12">
        <v>25.58</v>
      </c>
      <c r="CI506" s="12">
        <v>25.58</v>
      </c>
      <c r="CJ506" t="s">
        <v>135</v>
      </c>
      <c r="CK506" t="s">
        <v>590</v>
      </c>
      <c r="CL506" t="s">
        <v>16480</v>
      </c>
      <c r="CO506" t="s">
        <v>132</v>
      </c>
      <c r="CP506" t="s">
        <v>136</v>
      </c>
      <c r="CQ506" t="s">
        <v>114</v>
      </c>
      <c r="CR506" t="s">
        <v>136</v>
      </c>
      <c r="CS506" t="s">
        <v>114</v>
      </c>
      <c r="CT506" t="s">
        <v>136</v>
      </c>
      <c r="CU506" t="s">
        <v>136</v>
      </c>
      <c r="CV506" t="s">
        <v>16481</v>
      </c>
      <c r="CW506" s="10" t="str">
        <f>"N/A"</f>
        <v>N/A</v>
      </c>
      <c r="CX506" t="s">
        <v>16482</v>
      </c>
      <c r="CY506" t="s">
        <v>2911</v>
      </c>
      <c r="CZ506" t="s">
        <v>137</v>
      </c>
      <c r="DA506" t="s">
        <v>114</v>
      </c>
      <c r="DB506" t="s">
        <v>136</v>
      </c>
      <c r="DC506" t="s">
        <v>136</v>
      </c>
      <c r="DD506" t="s">
        <v>114</v>
      </c>
      <c r="DE506" t="s">
        <v>673</v>
      </c>
      <c r="DF506" t="s">
        <v>674</v>
      </c>
      <c r="DH506" t="s">
        <v>583</v>
      </c>
      <c r="DI506" t="s">
        <v>675</v>
      </c>
    </row>
    <row r="507" spans="1:113" ht="15" customHeight="1" x14ac:dyDescent="0.25">
      <c r="A507" t="s">
        <v>23017</v>
      </c>
      <c r="B507" t="s">
        <v>152</v>
      </c>
      <c r="C507" s="1">
        <v>45240.375131365741</v>
      </c>
      <c r="D507" s="1">
        <v>45266</v>
      </c>
      <c r="E507" t="s">
        <v>132</v>
      </c>
      <c r="F507" t="s">
        <v>5021</v>
      </c>
      <c r="G507" t="str">
        <f>"39-3091.00"</f>
        <v>39-3091.00</v>
      </c>
      <c r="H507" t="s">
        <v>237</v>
      </c>
      <c r="I507">
        <v>10</v>
      </c>
      <c r="J507">
        <v>10</v>
      </c>
      <c r="K507" s="1">
        <v>45330</v>
      </c>
      <c r="L507" s="1">
        <v>45606</v>
      </c>
      <c r="M507" s="1">
        <v>45330</v>
      </c>
      <c r="N507" s="1">
        <v>45606</v>
      </c>
      <c r="O507" t="s">
        <v>238</v>
      </c>
      <c r="P507" t="s">
        <v>23018</v>
      </c>
      <c r="R507" t="s">
        <v>23019</v>
      </c>
      <c r="T507" t="s">
        <v>23020</v>
      </c>
      <c r="U507" t="s">
        <v>127</v>
      </c>
      <c r="V507" s="8" t="str">
        <f>"78639"</f>
        <v>78639</v>
      </c>
      <c r="W507" t="s">
        <v>118</v>
      </c>
      <c r="Y507" s="10">
        <v>18305989218</v>
      </c>
      <c r="Z507">
        <v>0</v>
      </c>
      <c r="AA507">
        <v>71399</v>
      </c>
      <c r="AB507" t="s">
        <v>23021</v>
      </c>
      <c r="AC507" t="s">
        <v>3557</v>
      </c>
      <c r="AD507" t="s">
        <v>5010</v>
      </c>
      <c r="AE507" t="s">
        <v>629</v>
      </c>
      <c r="AF507" t="s">
        <v>23019</v>
      </c>
      <c r="AH507" t="s">
        <v>23020</v>
      </c>
      <c r="AI507" t="s">
        <v>127</v>
      </c>
      <c r="AJ507" s="8" t="str">
        <f>"78639"</f>
        <v>78639</v>
      </c>
      <c r="AK507" t="s">
        <v>118</v>
      </c>
      <c r="AM507" s="10">
        <v>18305989218</v>
      </c>
      <c r="AN507">
        <v>0</v>
      </c>
      <c r="AO507" t="s">
        <v>23022</v>
      </c>
      <c r="AP507" t="s">
        <v>121</v>
      </c>
      <c r="AQ507" t="s">
        <v>1718</v>
      </c>
      <c r="AR507" t="s">
        <v>708</v>
      </c>
      <c r="AS507" t="s">
        <v>1719</v>
      </c>
      <c r="AT507" t="s">
        <v>1720</v>
      </c>
      <c r="AU507" t="s">
        <v>799</v>
      </c>
      <c r="AV507" t="s">
        <v>1721</v>
      </c>
      <c r="AW507" t="s">
        <v>1722</v>
      </c>
      <c r="AX507" s="8" t="str">
        <f>"21401"</f>
        <v>21401</v>
      </c>
      <c r="AY507" t="s">
        <v>118</v>
      </c>
      <c r="BA507" s="10">
        <v>14105739955</v>
      </c>
      <c r="BB507">
        <v>0</v>
      </c>
      <c r="BC507" t="s">
        <v>1723</v>
      </c>
      <c r="BD507" t="s">
        <v>1724</v>
      </c>
      <c r="BE507" t="s">
        <v>1722</v>
      </c>
      <c r="BF507" t="s">
        <v>1725</v>
      </c>
      <c r="BG507" t="s">
        <v>127</v>
      </c>
      <c r="BH507" s="1">
        <v>45217.833333333336</v>
      </c>
      <c r="BI507">
        <v>35</v>
      </c>
      <c r="BJ507">
        <v>7</v>
      </c>
      <c r="BK507">
        <v>0</v>
      </c>
      <c r="BL507">
        <v>0</v>
      </c>
      <c r="BM507">
        <v>7</v>
      </c>
      <c r="BN507">
        <v>7</v>
      </c>
      <c r="BO507">
        <v>7</v>
      </c>
      <c r="BP507">
        <v>7</v>
      </c>
      <c r="BQ507" t="str">
        <f>"4:00 PM"</f>
        <v>4:00 PM</v>
      </c>
      <c r="BR507" t="str">
        <f>"11:00 PM"</f>
        <v>11:00 PM</v>
      </c>
      <c r="BS507" t="s">
        <v>131</v>
      </c>
      <c r="BT507">
        <v>0</v>
      </c>
      <c r="BU507">
        <v>0</v>
      </c>
      <c r="BV507" t="s">
        <v>114</v>
      </c>
      <c r="BX507" s="2" t="s">
        <v>23023</v>
      </c>
      <c r="BY507" t="s">
        <v>23024</v>
      </c>
      <c r="CA507" t="s">
        <v>23025</v>
      </c>
      <c r="CB507" t="s">
        <v>127</v>
      </c>
      <c r="CC507" s="8" t="str">
        <f>"78041"</f>
        <v>78041</v>
      </c>
      <c r="CD507" t="s">
        <v>17498</v>
      </c>
      <c r="CE507" t="s">
        <v>17499</v>
      </c>
      <c r="CF507" s="12">
        <v>10.78</v>
      </c>
      <c r="CG507" s="12">
        <v>15.74</v>
      </c>
      <c r="CH507" s="12">
        <v>16.170000000000002</v>
      </c>
      <c r="CI507" s="12">
        <v>23.61</v>
      </c>
      <c r="CJ507" t="s">
        <v>135</v>
      </c>
      <c r="CK507" t="s">
        <v>9241</v>
      </c>
      <c r="CL507" t="s">
        <v>23026</v>
      </c>
      <c r="CO507" t="s">
        <v>132</v>
      </c>
      <c r="CP507" t="s">
        <v>136</v>
      </c>
      <c r="CQ507" t="s">
        <v>114</v>
      </c>
      <c r="CR507" t="s">
        <v>136</v>
      </c>
      <c r="CS507" t="s">
        <v>136</v>
      </c>
      <c r="CT507" t="s">
        <v>136</v>
      </c>
      <c r="CU507" t="s">
        <v>136</v>
      </c>
      <c r="CV507" s="2" t="s">
        <v>23027</v>
      </c>
      <c r="CW507" s="10" t="str">
        <f>"+15127555085"</f>
        <v>+15127555085</v>
      </c>
      <c r="CX507" t="s">
        <v>132</v>
      </c>
      <c r="CY507" t="s">
        <v>23028</v>
      </c>
      <c r="CZ507" t="s">
        <v>137</v>
      </c>
      <c r="DA507" t="s">
        <v>114</v>
      </c>
      <c r="DB507" t="s">
        <v>136</v>
      </c>
      <c r="DC507" t="s">
        <v>136</v>
      </c>
      <c r="DD507" t="s">
        <v>114</v>
      </c>
    </row>
    <row r="508" spans="1:113" ht="15" customHeight="1" x14ac:dyDescent="0.25">
      <c r="A508" t="s">
        <v>7915</v>
      </c>
      <c r="B508" t="s">
        <v>152</v>
      </c>
      <c r="C508" s="1">
        <v>45238.468376851852</v>
      </c>
      <c r="D508" s="1">
        <v>45266</v>
      </c>
      <c r="E508" t="s">
        <v>132</v>
      </c>
      <c r="F508" t="s">
        <v>4510</v>
      </c>
      <c r="G508" t="str">
        <f>"39-2021.00"</f>
        <v>39-2021.00</v>
      </c>
      <c r="H508" t="s">
        <v>2895</v>
      </c>
      <c r="I508">
        <v>5</v>
      </c>
      <c r="J508">
        <v>5</v>
      </c>
      <c r="K508" s="1">
        <v>45313</v>
      </c>
      <c r="L508" s="1">
        <v>45534</v>
      </c>
      <c r="M508" s="1">
        <v>45313</v>
      </c>
      <c r="N508" s="1">
        <v>45534</v>
      </c>
      <c r="O508" t="s">
        <v>238</v>
      </c>
      <c r="P508" t="s">
        <v>7916</v>
      </c>
      <c r="R508" t="s">
        <v>7917</v>
      </c>
      <c r="T508" t="s">
        <v>7918</v>
      </c>
      <c r="U508" t="s">
        <v>358</v>
      </c>
      <c r="V508" s="8" t="str">
        <f>"11530"</f>
        <v>11530</v>
      </c>
      <c r="W508" t="s">
        <v>118</v>
      </c>
      <c r="Y508" s="10">
        <v>15166373063</v>
      </c>
      <c r="AA508">
        <v>711219</v>
      </c>
      <c r="AB508" t="s">
        <v>7919</v>
      </c>
      <c r="AC508" t="s">
        <v>2904</v>
      </c>
      <c r="AE508" t="s">
        <v>438</v>
      </c>
      <c r="AF508" t="s">
        <v>7917</v>
      </c>
      <c r="AH508" t="s">
        <v>7918</v>
      </c>
      <c r="AI508" t="s">
        <v>358</v>
      </c>
      <c r="AJ508" s="8" t="str">
        <f>"11530"</f>
        <v>11530</v>
      </c>
      <c r="AK508" t="s">
        <v>118</v>
      </c>
      <c r="AM508" s="10">
        <v>15166373063</v>
      </c>
      <c r="AO508" t="s">
        <v>7920</v>
      </c>
      <c r="AP508" t="s">
        <v>121</v>
      </c>
      <c r="AQ508" t="s">
        <v>4516</v>
      </c>
      <c r="AR508" t="s">
        <v>1235</v>
      </c>
      <c r="AT508" t="s">
        <v>4517</v>
      </c>
      <c r="AU508" t="s">
        <v>4518</v>
      </c>
      <c r="AV508" t="s">
        <v>1220</v>
      </c>
      <c r="AW508" t="s">
        <v>358</v>
      </c>
      <c r="AX508" s="8" t="str">
        <f>"10165"</f>
        <v>10165</v>
      </c>
      <c r="AY508" t="s">
        <v>118</v>
      </c>
      <c r="BA508" s="10">
        <v>12127604400</v>
      </c>
      <c r="BC508" t="s">
        <v>4519</v>
      </c>
      <c r="BD508" t="s">
        <v>4520</v>
      </c>
      <c r="BE508" t="s">
        <v>358</v>
      </c>
      <c r="BF508" t="s">
        <v>4521</v>
      </c>
      <c r="BG508" t="s">
        <v>140</v>
      </c>
      <c r="BH508" s="1">
        <v>45236.791666666664</v>
      </c>
      <c r="BI508">
        <v>40</v>
      </c>
      <c r="BJ508">
        <v>8</v>
      </c>
      <c r="BK508">
        <v>0</v>
      </c>
      <c r="BL508">
        <v>0</v>
      </c>
      <c r="BM508">
        <v>8</v>
      </c>
      <c r="BN508">
        <v>8</v>
      </c>
      <c r="BO508">
        <v>8</v>
      </c>
      <c r="BP508">
        <v>8</v>
      </c>
      <c r="BQ508" t="str">
        <f>"5:00 AM"</f>
        <v>5:00 AM</v>
      </c>
      <c r="BR508" t="str">
        <f>"11:00 PM"</f>
        <v>11:00 PM</v>
      </c>
      <c r="BS508" t="s">
        <v>131</v>
      </c>
      <c r="BT508">
        <v>0</v>
      </c>
      <c r="BU508">
        <v>0</v>
      </c>
      <c r="BV508" t="s">
        <v>114</v>
      </c>
      <c r="BX508" t="s">
        <v>131</v>
      </c>
      <c r="BY508" t="s">
        <v>4522</v>
      </c>
      <c r="BZ508" t="s">
        <v>4523</v>
      </c>
      <c r="CA508" t="s">
        <v>4524</v>
      </c>
      <c r="CB508" t="s">
        <v>140</v>
      </c>
      <c r="CC508" s="8" t="str">
        <f>"33472"</f>
        <v>33472</v>
      </c>
      <c r="CD508" t="s">
        <v>767</v>
      </c>
      <c r="CE508" t="s">
        <v>149</v>
      </c>
      <c r="CF508" s="12">
        <v>16.510000000000002</v>
      </c>
      <c r="CG508" s="12">
        <v>16.510000000000002</v>
      </c>
      <c r="CH508" s="12">
        <v>24.77</v>
      </c>
      <c r="CI508" s="12">
        <v>24.77</v>
      </c>
      <c r="CJ508" t="s">
        <v>135</v>
      </c>
      <c r="CL508" t="s">
        <v>7921</v>
      </c>
      <c r="CO508" t="s">
        <v>132</v>
      </c>
      <c r="CP508" t="s">
        <v>114</v>
      </c>
      <c r="CQ508" t="s">
        <v>114</v>
      </c>
      <c r="CR508" t="s">
        <v>136</v>
      </c>
      <c r="CS508" t="s">
        <v>114</v>
      </c>
      <c r="CT508" t="s">
        <v>136</v>
      </c>
      <c r="CU508" t="s">
        <v>136</v>
      </c>
      <c r="CV508" s="2" t="s">
        <v>7922</v>
      </c>
      <c r="CW508" s="10" t="str">
        <f>"+15166373063"</f>
        <v>+15166373063</v>
      </c>
      <c r="CX508" t="s">
        <v>7923</v>
      </c>
      <c r="CY508" t="s">
        <v>132</v>
      </c>
      <c r="CZ508" t="s">
        <v>137</v>
      </c>
      <c r="DA508" t="s">
        <v>114</v>
      </c>
      <c r="DB508" t="s">
        <v>114</v>
      </c>
      <c r="DC508" t="s">
        <v>136</v>
      </c>
      <c r="DD508" t="s">
        <v>114</v>
      </c>
    </row>
    <row r="509" spans="1:113" ht="15" customHeight="1" x14ac:dyDescent="0.25">
      <c r="A509" t="s">
        <v>5789</v>
      </c>
      <c r="B509" t="s">
        <v>152</v>
      </c>
      <c r="C509" s="1">
        <v>45233.567701967593</v>
      </c>
      <c r="D509" s="1">
        <v>45266</v>
      </c>
      <c r="E509" t="s">
        <v>132</v>
      </c>
      <c r="F509" t="s">
        <v>5790</v>
      </c>
      <c r="G509" t="str">
        <f>"37-3011.00"</f>
        <v>37-3011.00</v>
      </c>
      <c r="H509" t="s">
        <v>429</v>
      </c>
      <c r="I509">
        <v>26</v>
      </c>
      <c r="J509">
        <v>26</v>
      </c>
      <c r="K509" s="1">
        <v>45323</v>
      </c>
      <c r="L509" s="1">
        <v>45626</v>
      </c>
      <c r="M509" s="1">
        <v>45323</v>
      </c>
      <c r="N509" s="1">
        <v>45626</v>
      </c>
      <c r="O509" t="s">
        <v>116</v>
      </c>
      <c r="P509" t="s">
        <v>5791</v>
      </c>
      <c r="R509" t="s">
        <v>5792</v>
      </c>
      <c r="T509" t="s">
        <v>5793</v>
      </c>
      <c r="U509" t="s">
        <v>127</v>
      </c>
      <c r="V509" s="8" t="str">
        <f>"78610"</f>
        <v>78610</v>
      </c>
      <c r="W509" t="s">
        <v>118</v>
      </c>
      <c r="Y509" s="10">
        <v>15125512262</v>
      </c>
      <c r="AA509">
        <v>56173</v>
      </c>
      <c r="AB509" t="s">
        <v>5794</v>
      </c>
      <c r="AC509" t="s">
        <v>3496</v>
      </c>
      <c r="AE509" t="s">
        <v>561</v>
      </c>
      <c r="AF509" t="s">
        <v>5792</v>
      </c>
      <c r="AH509" t="s">
        <v>5793</v>
      </c>
      <c r="AI509" t="s">
        <v>127</v>
      </c>
      <c r="AJ509" s="8" t="str">
        <f>"78610"</f>
        <v>78610</v>
      </c>
      <c r="AK509" t="s">
        <v>118</v>
      </c>
      <c r="AM509" s="10">
        <v>15128259096</v>
      </c>
      <c r="AO509" t="s">
        <v>5795</v>
      </c>
      <c r="AP509" t="s">
        <v>121</v>
      </c>
      <c r="AQ509" t="s">
        <v>5796</v>
      </c>
      <c r="AR509" t="s">
        <v>5797</v>
      </c>
      <c r="AT509" t="s">
        <v>166</v>
      </c>
      <c r="AU509" t="s">
        <v>167</v>
      </c>
      <c r="AV509" t="s">
        <v>168</v>
      </c>
      <c r="AW509" t="s">
        <v>169</v>
      </c>
      <c r="AX509" s="8" t="str">
        <f>"55402"</f>
        <v>55402</v>
      </c>
      <c r="AY509" t="s">
        <v>118</v>
      </c>
      <c r="BA509" s="10">
        <v>16124927840</v>
      </c>
      <c r="BC509" t="s">
        <v>5798</v>
      </c>
      <c r="BD509" t="s">
        <v>171</v>
      </c>
      <c r="BE509" t="s">
        <v>169</v>
      </c>
      <c r="BF509" t="s">
        <v>172</v>
      </c>
      <c r="BG509" t="s">
        <v>127</v>
      </c>
      <c r="BH509" s="1">
        <v>45232.833333333336</v>
      </c>
      <c r="BI509">
        <v>35</v>
      </c>
      <c r="BJ509">
        <v>0</v>
      </c>
      <c r="BK509">
        <v>7</v>
      </c>
      <c r="BL509">
        <v>7</v>
      </c>
      <c r="BM509">
        <v>7</v>
      </c>
      <c r="BN509">
        <v>7</v>
      </c>
      <c r="BO509">
        <v>7</v>
      </c>
      <c r="BP509">
        <v>0</v>
      </c>
      <c r="BQ509" t="str">
        <f>"7:00 AM"</f>
        <v>7:00 AM</v>
      </c>
      <c r="BR509" t="str">
        <f>"4:30 PM"</f>
        <v>4:30 PM</v>
      </c>
      <c r="BS509" t="s">
        <v>131</v>
      </c>
      <c r="BT509">
        <v>0</v>
      </c>
      <c r="BU509">
        <v>0</v>
      </c>
      <c r="BV509" t="s">
        <v>114</v>
      </c>
      <c r="BX509" s="2" t="s">
        <v>5799</v>
      </c>
      <c r="BY509" t="s">
        <v>5792</v>
      </c>
      <c r="CA509" t="s">
        <v>5793</v>
      </c>
      <c r="CB509" t="s">
        <v>127</v>
      </c>
      <c r="CC509" s="8" t="str">
        <f>"78610"</f>
        <v>78610</v>
      </c>
      <c r="CD509" t="s">
        <v>5800</v>
      </c>
      <c r="CE509" t="s">
        <v>324</v>
      </c>
      <c r="CF509" s="12">
        <v>16.91</v>
      </c>
      <c r="CH509" s="12">
        <v>25.37</v>
      </c>
      <c r="CJ509" t="s">
        <v>135</v>
      </c>
      <c r="CK509" t="s">
        <v>176</v>
      </c>
      <c r="CL509" t="s">
        <v>5801</v>
      </c>
      <c r="CO509" t="s">
        <v>132</v>
      </c>
      <c r="CP509" t="s">
        <v>136</v>
      </c>
      <c r="CQ509" t="s">
        <v>136</v>
      </c>
      <c r="CR509" t="s">
        <v>136</v>
      </c>
      <c r="CS509" t="s">
        <v>136</v>
      </c>
      <c r="CT509" t="s">
        <v>136</v>
      </c>
      <c r="CU509" t="s">
        <v>114</v>
      </c>
      <c r="CV509" t="s">
        <v>5802</v>
      </c>
      <c r="CW509" s="10" t="str">
        <f>"+15125512262"</f>
        <v>+15125512262</v>
      </c>
      <c r="CX509" t="s">
        <v>5803</v>
      </c>
      <c r="CY509" t="s">
        <v>132</v>
      </c>
      <c r="CZ509" t="s">
        <v>137</v>
      </c>
      <c r="DA509" t="s">
        <v>114</v>
      </c>
      <c r="DB509" t="s">
        <v>136</v>
      </c>
      <c r="DC509" t="s">
        <v>136</v>
      </c>
      <c r="DD509" t="s">
        <v>114</v>
      </c>
    </row>
    <row r="510" spans="1:113" ht="15" customHeight="1" x14ac:dyDescent="0.25">
      <c r="A510" t="s">
        <v>19079</v>
      </c>
      <c r="B510" t="s">
        <v>152</v>
      </c>
      <c r="C510" s="1">
        <v>45233.42256446759</v>
      </c>
      <c r="D510" s="1">
        <v>45266</v>
      </c>
      <c r="E510" t="s">
        <v>132</v>
      </c>
      <c r="F510" t="s">
        <v>13896</v>
      </c>
      <c r="G510" t="str">
        <f>"37-3011.00"</f>
        <v>37-3011.00</v>
      </c>
      <c r="H510" t="s">
        <v>429</v>
      </c>
      <c r="I510">
        <v>15</v>
      </c>
      <c r="J510">
        <v>15</v>
      </c>
      <c r="K510" s="1">
        <v>45323</v>
      </c>
      <c r="L510" s="1">
        <v>45625</v>
      </c>
      <c r="M510" s="1">
        <v>45323</v>
      </c>
      <c r="N510" s="1">
        <v>45625</v>
      </c>
      <c r="O510" t="s">
        <v>116</v>
      </c>
      <c r="P510" t="s">
        <v>19080</v>
      </c>
      <c r="Q510" t="s">
        <v>19081</v>
      </c>
      <c r="R510" t="s">
        <v>19082</v>
      </c>
      <c r="S510" t="s">
        <v>132</v>
      </c>
      <c r="T510" t="s">
        <v>4992</v>
      </c>
      <c r="U510" t="s">
        <v>127</v>
      </c>
      <c r="V510" s="8" t="str">
        <f>"76502"</f>
        <v>76502</v>
      </c>
      <c r="W510" t="s">
        <v>118</v>
      </c>
      <c r="Y510" s="10">
        <v>12545980218</v>
      </c>
      <c r="AA510">
        <v>561730</v>
      </c>
      <c r="AB510" t="s">
        <v>19083</v>
      </c>
      <c r="AC510" t="s">
        <v>1555</v>
      </c>
      <c r="AD510" t="s">
        <v>132</v>
      </c>
      <c r="AE510" t="s">
        <v>537</v>
      </c>
      <c r="AF510" t="s">
        <v>19082</v>
      </c>
      <c r="AG510" t="s">
        <v>132</v>
      </c>
      <c r="AH510" t="s">
        <v>4992</v>
      </c>
      <c r="AI510" t="s">
        <v>127</v>
      </c>
      <c r="AJ510" s="8" t="str">
        <f>"76502"</f>
        <v>76502</v>
      </c>
      <c r="AK510" t="s">
        <v>118</v>
      </c>
      <c r="AM510" s="10">
        <v>12545980218</v>
      </c>
      <c r="AO510" t="s">
        <v>19084</v>
      </c>
      <c r="AP510" t="s">
        <v>248</v>
      </c>
      <c r="AQ510" t="s">
        <v>1820</v>
      </c>
      <c r="AR510" t="s">
        <v>1828</v>
      </c>
      <c r="AS510" t="s">
        <v>132</v>
      </c>
      <c r="AT510" t="s">
        <v>1584</v>
      </c>
      <c r="AU510" t="s">
        <v>132</v>
      </c>
      <c r="AV510" t="s">
        <v>1585</v>
      </c>
      <c r="AW510" t="s">
        <v>127</v>
      </c>
      <c r="AX510" s="8" t="str">
        <f>"77414"</f>
        <v>77414</v>
      </c>
      <c r="AY510" t="s">
        <v>118</v>
      </c>
      <c r="BA510" s="10">
        <v>19793187285</v>
      </c>
      <c r="BC510" t="s">
        <v>2430</v>
      </c>
      <c r="BD510" t="s">
        <v>1587</v>
      </c>
      <c r="BG510" t="s">
        <v>127</v>
      </c>
      <c r="BH510" s="1">
        <v>45232.833333333336</v>
      </c>
      <c r="BI510">
        <v>40</v>
      </c>
      <c r="BJ510">
        <v>0</v>
      </c>
      <c r="BK510">
        <v>8</v>
      </c>
      <c r="BL510">
        <v>8</v>
      </c>
      <c r="BM510">
        <v>8</v>
      </c>
      <c r="BN510">
        <v>8</v>
      </c>
      <c r="BO510">
        <v>8</v>
      </c>
      <c r="BP510">
        <v>0</v>
      </c>
      <c r="BQ510" t="str">
        <f>"7:00 AM"</f>
        <v>7:00 AM</v>
      </c>
      <c r="BR510" t="str">
        <f>"4:00 PM"</f>
        <v>4:00 PM</v>
      </c>
      <c r="BS510" t="s">
        <v>131</v>
      </c>
      <c r="BT510">
        <v>0</v>
      </c>
      <c r="BU510">
        <v>0</v>
      </c>
      <c r="BV510" t="s">
        <v>114</v>
      </c>
      <c r="BX510" s="2" t="s">
        <v>19085</v>
      </c>
      <c r="BY510" t="s">
        <v>19082</v>
      </c>
      <c r="BZ510" t="s">
        <v>132</v>
      </c>
      <c r="CA510" t="s">
        <v>4992</v>
      </c>
      <c r="CB510" t="s">
        <v>127</v>
      </c>
      <c r="CC510" s="8" t="str">
        <f>"76502"</f>
        <v>76502</v>
      </c>
      <c r="CD510" t="s">
        <v>3250</v>
      </c>
      <c r="CE510" t="s">
        <v>3251</v>
      </c>
      <c r="CF510" s="12">
        <v>15.22</v>
      </c>
      <c r="CG510" s="12">
        <v>18.25</v>
      </c>
      <c r="CH510" s="12">
        <v>22.83</v>
      </c>
      <c r="CI510" s="12">
        <v>27.38</v>
      </c>
      <c r="CJ510" t="s">
        <v>135</v>
      </c>
      <c r="CK510" t="s">
        <v>19086</v>
      </c>
      <c r="CL510" t="s">
        <v>19087</v>
      </c>
      <c r="CO510" t="s">
        <v>132</v>
      </c>
      <c r="CP510" t="s">
        <v>136</v>
      </c>
      <c r="CQ510" t="s">
        <v>136</v>
      </c>
      <c r="CR510" t="s">
        <v>136</v>
      </c>
      <c r="CS510" t="s">
        <v>136</v>
      </c>
      <c r="CT510" t="s">
        <v>136</v>
      </c>
      <c r="CU510" t="s">
        <v>114</v>
      </c>
      <c r="CV510" t="s">
        <v>2171</v>
      </c>
      <c r="CW510" s="10" t="str">
        <f>"+12545980218"</f>
        <v>+12545980218</v>
      </c>
      <c r="CX510" t="s">
        <v>19084</v>
      </c>
      <c r="CY510" t="s">
        <v>132</v>
      </c>
      <c r="CZ510" t="s">
        <v>137</v>
      </c>
      <c r="DA510" t="s">
        <v>114</v>
      </c>
      <c r="DB510" t="s">
        <v>114</v>
      </c>
      <c r="DC510" t="s">
        <v>136</v>
      </c>
      <c r="DD510" t="s">
        <v>114</v>
      </c>
    </row>
    <row r="511" spans="1:113" ht="15" customHeight="1" x14ac:dyDescent="0.25">
      <c r="A511" t="s">
        <v>20119</v>
      </c>
      <c r="B511" t="s">
        <v>152</v>
      </c>
      <c r="C511" s="1">
        <v>45233.004532638886</v>
      </c>
      <c r="D511" s="1">
        <v>45266</v>
      </c>
      <c r="E511" t="s">
        <v>132</v>
      </c>
      <c r="F511" t="s">
        <v>1595</v>
      </c>
      <c r="G511" t="str">
        <f>"37-3011.00"</f>
        <v>37-3011.00</v>
      </c>
      <c r="H511" t="s">
        <v>429</v>
      </c>
      <c r="I511">
        <v>150</v>
      </c>
      <c r="J511">
        <v>150</v>
      </c>
      <c r="K511" s="1">
        <v>45323</v>
      </c>
      <c r="L511" s="1">
        <v>45617</v>
      </c>
      <c r="M511" s="1">
        <v>45323</v>
      </c>
      <c r="N511" s="1">
        <v>45617</v>
      </c>
      <c r="O511" t="s">
        <v>116</v>
      </c>
      <c r="P511" t="s">
        <v>20120</v>
      </c>
      <c r="R511" t="s">
        <v>20121</v>
      </c>
      <c r="T511" t="s">
        <v>13351</v>
      </c>
      <c r="U511" t="s">
        <v>127</v>
      </c>
      <c r="V511" s="8" t="str">
        <f>"77041"</f>
        <v>77041</v>
      </c>
      <c r="W511" t="s">
        <v>118</v>
      </c>
      <c r="Y511" s="10">
        <v>17134661822</v>
      </c>
      <c r="AA511">
        <v>56173</v>
      </c>
      <c r="AB511" t="s">
        <v>20122</v>
      </c>
      <c r="AC511" t="s">
        <v>3279</v>
      </c>
      <c r="AE511" t="s">
        <v>20123</v>
      </c>
      <c r="AF511" t="s">
        <v>20121</v>
      </c>
      <c r="AH511" t="s">
        <v>13351</v>
      </c>
      <c r="AI511" t="s">
        <v>127</v>
      </c>
      <c r="AJ511" s="8" t="str">
        <f>"77041"</f>
        <v>77041</v>
      </c>
      <c r="AK511" t="s">
        <v>118</v>
      </c>
      <c r="AM511" s="10">
        <v>17134661822</v>
      </c>
      <c r="AO511" t="s">
        <v>20124</v>
      </c>
      <c r="AP511" t="s">
        <v>248</v>
      </c>
      <c r="AQ511" t="s">
        <v>960</v>
      </c>
      <c r="AR511" t="s">
        <v>961</v>
      </c>
      <c r="AS511" t="s">
        <v>962</v>
      </c>
      <c r="AT511" t="s">
        <v>963</v>
      </c>
      <c r="AU511" t="s">
        <v>296</v>
      </c>
      <c r="AV511" t="s">
        <v>964</v>
      </c>
      <c r="AW511" t="s">
        <v>127</v>
      </c>
      <c r="AX511" s="8" t="str">
        <f>"75033"</f>
        <v>75033</v>
      </c>
      <c r="AY511" t="s">
        <v>118</v>
      </c>
      <c r="BA511" s="10">
        <v>19727789690</v>
      </c>
      <c r="BC511" t="s">
        <v>1388</v>
      </c>
      <c r="BD511" t="s">
        <v>966</v>
      </c>
      <c r="BG511" t="s">
        <v>127</v>
      </c>
      <c r="BH511" s="1">
        <v>45232.833333333336</v>
      </c>
      <c r="BI511">
        <v>40</v>
      </c>
      <c r="BJ511">
        <v>0</v>
      </c>
      <c r="BK511">
        <v>8</v>
      </c>
      <c r="BL511">
        <v>8</v>
      </c>
      <c r="BM511">
        <v>8</v>
      </c>
      <c r="BN511">
        <v>8</v>
      </c>
      <c r="BO511">
        <v>8</v>
      </c>
      <c r="BP511">
        <v>0</v>
      </c>
      <c r="BQ511" t="str">
        <f>"6:00 AM"</f>
        <v>6:00 AM</v>
      </c>
      <c r="BR511" t="str">
        <f>"3:00 PM"</f>
        <v>3:00 PM</v>
      </c>
      <c r="BS511" t="s">
        <v>131</v>
      </c>
      <c r="BT511">
        <v>0</v>
      </c>
      <c r="BU511">
        <v>0</v>
      </c>
      <c r="BV511" t="s">
        <v>114</v>
      </c>
      <c r="BX511" s="2" t="s">
        <v>20125</v>
      </c>
      <c r="BY511" t="s">
        <v>20121</v>
      </c>
      <c r="CA511" t="s">
        <v>2564</v>
      </c>
      <c r="CB511" t="s">
        <v>127</v>
      </c>
      <c r="CC511" s="8" t="str">
        <f>"77041"</f>
        <v>77041</v>
      </c>
      <c r="CD511" t="s">
        <v>3327</v>
      </c>
      <c r="CE511" t="s">
        <v>879</v>
      </c>
      <c r="CF511" s="12">
        <v>16.29</v>
      </c>
      <c r="CG511" s="12">
        <v>16.29</v>
      </c>
      <c r="CH511" s="12">
        <v>24.44</v>
      </c>
      <c r="CI511" s="12">
        <v>24.44</v>
      </c>
      <c r="CJ511" t="s">
        <v>135</v>
      </c>
      <c r="CK511" t="s">
        <v>973</v>
      </c>
      <c r="CL511" t="s">
        <v>20126</v>
      </c>
      <c r="CO511" t="s">
        <v>132</v>
      </c>
      <c r="CP511" t="s">
        <v>136</v>
      </c>
      <c r="CQ511" t="s">
        <v>136</v>
      </c>
      <c r="CR511" t="s">
        <v>136</v>
      </c>
      <c r="CS511" t="s">
        <v>136</v>
      </c>
      <c r="CT511" t="s">
        <v>136</v>
      </c>
      <c r="CU511" t="s">
        <v>136</v>
      </c>
      <c r="CV511" t="s">
        <v>20127</v>
      </c>
      <c r="CW511" s="10" t="str">
        <f>"+17134661822"</f>
        <v>+17134661822</v>
      </c>
      <c r="CX511" t="s">
        <v>132</v>
      </c>
      <c r="CY511" t="s">
        <v>1853</v>
      </c>
      <c r="CZ511" t="s">
        <v>137</v>
      </c>
      <c r="DA511" t="s">
        <v>114</v>
      </c>
      <c r="DB511" t="s">
        <v>136</v>
      </c>
      <c r="DC511" t="s">
        <v>136</v>
      </c>
      <c r="DD511" t="s">
        <v>114</v>
      </c>
    </row>
    <row r="512" spans="1:113" ht="15" customHeight="1" x14ac:dyDescent="0.25">
      <c r="A512" t="s">
        <v>13570</v>
      </c>
      <c r="B512" t="s">
        <v>152</v>
      </c>
      <c r="C512" s="1">
        <v>45222.477899768521</v>
      </c>
      <c r="D512" s="1">
        <v>45266</v>
      </c>
      <c r="E512" t="s">
        <v>132</v>
      </c>
      <c r="F512" t="s">
        <v>4193</v>
      </c>
      <c r="G512" t="str">
        <f>"37-3011.00"</f>
        <v>37-3011.00</v>
      </c>
      <c r="H512" t="s">
        <v>429</v>
      </c>
      <c r="I512">
        <v>5</v>
      </c>
      <c r="J512">
        <v>5</v>
      </c>
      <c r="K512" s="1">
        <v>45297</v>
      </c>
      <c r="L512" s="1">
        <v>45346</v>
      </c>
      <c r="M512" s="1">
        <v>45297</v>
      </c>
      <c r="N512" s="1">
        <v>45346</v>
      </c>
      <c r="O512" t="s">
        <v>238</v>
      </c>
      <c r="P512" t="s">
        <v>13571</v>
      </c>
      <c r="R512" t="s">
        <v>13572</v>
      </c>
      <c r="T512" t="s">
        <v>7337</v>
      </c>
      <c r="U512" t="s">
        <v>358</v>
      </c>
      <c r="V512" s="8" t="str">
        <f>"10523"</f>
        <v>10523</v>
      </c>
      <c r="W512" t="s">
        <v>118</v>
      </c>
      <c r="Y512" s="10">
        <v>18453727856</v>
      </c>
      <c r="AA512">
        <v>561730</v>
      </c>
      <c r="AB512" t="s">
        <v>8063</v>
      </c>
      <c r="AC512" t="s">
        <v>8064</v>
      </c>
      <c r="AE512" t="s">
        <v>561</v>
      </c>
      <c r="AF512" t="s">
        <v>13573</v>
      </c>
      <c r="AH512" t="s">
        <v>8062</v>
      </c>
      <c r="AI512" t="s">
        <v>358</v>
      </c>
      <c r="AJ512" s="8" t="str">
        <f>"12594"</f>
        <v>12594</v>
      </c>
      <c r="AK512" t="s">
        <v>118</v>
      </c>
      <c r="AM512" s="10">
        <v>18453727856</v>
      </c>
      <c r="AO512" t="s">
        <v>13574</v>
      </c>
      <c r="AP512" t="s">
        <v>121</v>
      </c>
      <c r="AQ512" t="s">
        <v>8065</v>
      </c>
      <c r="AR512" t="s">
        <v>8066</v>
      </c>
      <c r="AT512" t="s">
        <v>8067</v>
      </c>
      <c r="AV512" t="s">
        <v>6106</v>
      </c>
      <c r="AW512" t="s">
        <v>1776</v>
      </c>
      <c r="AX512" s="8" t="str">
        <f>"07506"</f>
        <v>07506</v>
      </c>
      <c r="AY512" t="s">
        <v>118</v>
      </c>
      <c r="BA512" s="10">
        <v>12013902740</v>
      </c>
      <c r="BC512" t="s">
        <v>8068</v>
      </c>
      <c r="BD512" t="s">
        <v>8069</v>
      </c>
      <c r="BE512" t="s">
        <v>1776</v>
      </c>
      <c r="BF512" t="s">
        <v>13575</v>
      </c>
      <c r="BG512" t="s">
        <v>358</v>
      </c>
      <c r="BH512" s="1">
        <v>45210.833333333336</v>
      </c>
      <c r="BI512">
        <v>40</v>
      </c>
      <c r="BJ512">
        <v>0</v>
      </c>
      <c r="BK512">
        <v>8</v>
      </c>
      <c r="BL512">
        <v>8</v>
      </c>
      <c r="BM512">
        <v>8</v>
      </c>
      <c r="BN512">
        <v>8</v>
      </c>
      <c r="BO512">
        <v>8</v>
      </c>
      <c r="BP512">
        <v>0</v>
      </c>
      <c r="BQ512" t="str">
        <f>"7:00 AM"</f>
        <v>7:00 AM</v>
      </c>
      <c r="BR512" t="str">
        <f>"4:00 PM"</f>
        <v>4:00 PM</v>
      </c>
      <c r="BS512" t="s">
        <v>131</v>
      </c>
      <c r="BT512">
        <v>0</v>
      </c>
      <c r="BU512">
        <v>0</v>
      </c>
      <c r="BV512" t="s">
        <v>114</v>
      </c>
      <c r="BX512" t="s">
        <v>131</v>
      </c>
      <c r="BY512" t="s">
        <v>13576</v>
      </c>
      <c r="CA512" t="s">
        <v>8070</v>
      </c>
      <c r="CB512" t="s">
        <v>358</v>
      </c>
      <c r="CC512" s="8" t="str">
        <f>"10523"</f>
        <v>10523</v>
      </c>
      <c r="CD512" t="s">
        <v>1417</v>
      </c>
      <c r="CE512" t="s">
        <v>1418</v>
      </c>
      <c r="CF512" s="12">
        <v>20.81</v>
      </c>
      <c r="CG512" s="12">
        <v>20.81</v>
      </c>
      <c r="CJ512" t="s">
        <v>135</v>
      </c>
      <c r="CK512" t="s">
        <v>131</v>
      </c>
      <c r="CL512" t="s">
        <v>13577</v>
      </c>
      <c r="CO512" t="s">
        <v>136</v>
      </c>
      <c r="CP512" t="s">
        <v>136</v>
      </c>
      <c r="CQ512" t="s">
        <v>114</v>
      </c>
      <c r="CR512" t="s">
        <v>114</v>
      </c>
      <c r="CS512" t="s">
        <v>136</v>
      </c>
      <c r="CT512" t="s">
        <v>136</v>
      </c>
      <c r="CU512" t="s">
        <v>114</v>
      </c>
      <c r="CV512" t="s">
        <v>131</v>
      </c>
      <c r="CW512" s="10" t="str">
        <f>"+18453727856"</f>
        <v>+18453727856</v>
      </c>
      <c r="CX512" t="s">
        <v>13574</v>
      </c>
      <c r="CY512" t="s">
        <v>132</v>
      </c>
      <c r="CZ512" t="s">
        <v>137</v>
      </c>
      <c r="DA512" t="s">
        <v>114</v>
      </c>
      <c r="DB512" t="s">
        <v>114</v>
      </c>
      <c r="DC512" t="s">
        <v>136</v>
      </c>
      <c r="DD512" t="s">
        <v>114</v>
      </c>
    </row>
    <row r="513" spans="1:113" ht="15" customHeight="1" x14ac:dyDescent="0.25">
      <c r="A513" t="s">
        <v>19961</v>
      </c>
      <c r="B513" t="s">
        <v>152</v>
      </c>
      <c r="C513" s="1">
        <v>45217.642967939813</v>
      </c>
      <c r="D513" s="1">
        <v>45266</v>
      </c>
      <c r="E513" t="s">
        <v>132</v>
      </c>
      <c r="F513" t="s">
        <v>19962</v>
      </c>
      <c r="G513" t="str">
        <f>"37-2011.00"</f>
        <v>37-2011.00</v>
      </c>
      <c r="H513" t="s">
        <v>1089</v>
      </c>
      <c r="I513">
        <v>30</v>
      </c>
      <c r="J513">
        <v>30</v>
      </c>
      <c r="K513" s="1">
        <v>45292</v>
      </c>
      <c r="L513" s="1">
        <v>45382</v>
      </c>
      <c r="M513" s="1">
        <v>45292</v>
      </c>
      <c r="N513" s="1">
        <v>45382</v>
      </c>
      <c r="O513" t="s">
        <v>238</v>
      </c>
      <c r="P513" t="s">
        <v>7956</v>
      </c>
      <c r="R513" t="s">
        <v>7957</v>
      </c>
      <c r="T513" t="s">
        <v>7944</v>
      </c>
      <c r="U513" t="s">
        <v>211</v>
      </c>
      <c r="V513" s="8" t="str">
        <f>"84003"</f>
        <v>84003</v>
      </c>
      <c r="W513" t="s">
        <v>118</v>
      </c>
      <c r="Y513" s="10">
        <v>18017013535</v>
      </c>
      <c r="AA513">
        <v>56173</v>
      </c>
      <c r="AB513" t="s">
        <v>7958</v>
      </c>
      <c r="AC513" t="s">
        <v>1173</v>
      </c>
      <c r="AE513" t="s">
        <v>7959</v>
      </c>
      <c r="AF513" t="s">
        <v>7957</v>
      </c>
      <c r="AH513" t="s">
        <v>7944</v>
      </c>
      <c r="AI513" t="s">
        <v>211</v>
      </c>
      <c r="AJ513" s="8" t="str">
        <f>"84003"</f>
        <v>84003</v>
      </c>
      <c r="AK513" t="s">
        <v>118</v>
      </c>
      <c r="AM513" s="10">
        <v>18018000011</v>
      </c>
      <c r="AO513" t="s">
        <v>7960</v>
      </c>
      <c r="AP513" t="s">
        <v>121</v>
      </c>
      <c r="AQ513" t="s">
        <v>929</v>
      </c>
      <c r="AR513" t="s">
        <v>930</v>
      </c>
      <c r="AS513" t="s">
        <v>931</v>
      </c>
      <c r="AT513" t="s">
        <v>932</v>
      </c>
      <c r="AU513" t="s">
        <v>132</v>
      </c>
      <c r="AV513" t="s">
        <v>933</v>
      </c>
      <c r="AW513" t="s">
        <v>740</v>
      </c>
      <c r="AX513" s="8" t="str">
        <f>"50010"</f>
        <v>50010</v>
      </c>
      <c r="AY513" t="s">
        <v>118</v>
      </c>
      <c r="BA513" s="10">
        <v>15152324444</v>
      </c>
      <c r="BB513">
        <v>0</v>
      </c>
      <c r="BC513" t="s">
        <v>934</v>
      </c>
      <c r="BD513" t="s">
        <v>935</v>
      </c>
      <c r="BE513" t="s">
        <v>740</v>
      </c>
      <c r="BF513" t="s">
        <v>172</v>
      </c>
      <c r="BG513" t="s">
        <v>211</v>
      </c>
      <c r="BH513" s="1">
        <v>45216.833333333336</v>
      </c>
      <c r="BI513">
        <v>40</v>
      </c>
      <c r="BJ513">
        <v>0</v>
      </c>
      <c r="BK513">
        <v>8</v>
      </c>
      <c r="BL513">
        <v>8</v>
      </c>
      <c r="BM513">
        <v>8</v>
      </c>
      <c r="BN513">
        <v>8</v>
      </c>
      <c r="BO513">
        <v>8</v>
      </c>
      <c r="BP513">
        <v>0</v>
      </c>
      <c r="BQ513" t="str">
        <f>"7:00 AM"</f>
        <v>7:00 AM</v>
      </c>
      <c r="BR513" t="str">
        <f>"5:00 PM"</f>
        <v>5:00 PM</v>
      </c>
      <c r="BS513" t="s">
        <v>131</v>
      </c>
      <c r="BT513">
        <v>0</v>
      </c>
      <c r="BU513">
        <v>0</v>
      </c>
      <c r="BV513" t="s">
        <v>114</v>
      </c>
      <c r="BX513" s="2" t="s">
        <v>19963</v>
      </c>
      <c r="BY513" t="s">
        <v>19964</v>
      </c>
      <c r="CA513" t="s">
        <v>7864</v>
      </c>
      <c r="CB513" t="s">
        <v>211</v>
      </c>
      <c r="CC513" s="8" t="str">
        <f>"84043"</f>
        <v>84043</v>
      </c>
      <c r="CD513" t="s">
        <v>2468</v>
      </c>
      <c r="CE513" t="s">
        <v>2469</v>
      </c>
      <c r="CF513" s="12">
        <v>13.8</v>
      </c>
      <c r="CH513" s="12">
        <v>20.7</v>
      </c>
      <c r="CJ513" t="s">
        <v>135</v>
      </c>
      <c r="CK513" t="s">
        <v>19965</v>
      </c>
      <c r="CL513" t="s">
        <v>19966</v>
      </c>
      <c r="CO513" t="s">
        <v>132</v>
      </c>
      <c r="CP513" t="s">
        <v>114</v>
      </c>
      <c r="CQ513" t="s">
        <v>136</v>
      </c>
      <c r="CR513" t="s">
        <v>136</v>
      </c>
      <c r="CS513" t="s">
        <v>136</v>
      </c>
      <c r="CT513" t="s">
        <v>136</v>
      </c>
      <c r="CU513" t="s">
        <v>114</v>
      </c>
      <c r="CV513" s="2" t="s">
        <v>19967</v>
      </c>
      <c r="CW513" s="10" t="str">
        <f>"+18017013535"</f>
        <v>+18017013535</v>
      </c>
      <c r="CX513" t="s">
        <v>7960</v>
      </c>
      <c r="CY513" t="s">
        <v>132</v>
      </c>
      <c r="CZ513" t="s">
        <v>137</v>
      </c>
      <c r="DA513" t="s">
        <v>114</v>
      </c>
      <c r="DB513" t="s">
        <v>114</v>
      </c>
      <c r="DC513" t="s">
        <v>136</v>
      </c>
      <c r="DD513" t="s">
        <v>114</v>
      </c>
    </row>
    <row r="514" spans="1:113" ht="15" customHeight="1" x14ac:dyDescent="0.25">
      <c r="A514" t="s">
        <v>5020</v>
      </c>
      <c r="B514" t="s">
        <v>152</v>
      </c>
      <c r="C514" s="1">
        <v>45215.398100115737</v>
      </c>
      <c r="D514" s="1">
        <v>45266</v>
      </c>
      <c r="E514" t="s">
        <v>132</v>
      </c>
      <c r="F514" t="s">
        <v>5021</v>
      </c>
      <c r="G514" t="str">
        <f>"35-3023.00"</f>
        <v>35-3023.00</v>
      </c>
      <c r="H514" t="s">
        <v>1365</v>
      </c>
      <c r="I514">
        <v>120</v>
      </c>
      <c r="J514">
        <v>120</v>
      </c>
      <c r="K514" s="1">
        <v>45303</v>
      </c>
      <c r="L514" s="1">
        <v>45602</v>
      </c>
      <c r="M514" s="1">
        <v>45303</v>
      </c>
      <c r="N514" s="1">
        <v>45602</v>
      </c>
      <c r="O514" t="s">
        <v>238</v>
      </c>
      <c r="P514" t="s">
        <v>5022</v>
      </c>
      <c r="R514" t="s">
        <v>5023</v>
      </c>
      <c r="T514" t="s">
        <v>5024</v>
      </c>
      <c r="U514" t="s">
        <v>543</v>
      </c>
      <c r="V514" s="8" t="str">
        <f>"45053"</f>
        <v>45053</v>
      </c>
      <c r="W514" t="s">
        <v>118</v>
      </c>
      <c r="Y514" s="10">
        <v>12052808595</v>
      </c>
      <c r="Z514">
        <v>0</v>
      </c>
      <c r="AA514">
        <v>71399</v>
      </c>
      <c r="AB514" t="s">
        <v>5025</v>
      </c>
      <c r="AC514" t="s">
        <v>5026</v>
      </c>
      <c r="AD514" t="s">
        <v>5027</v>
      </c>
      <c r="AE514" t="s">
        <v>629</v>
      </c>
      <c r="AF514" t="s">
        <v>5023</v>
      </c>
      <c r="AH514" t="s">
        <v>5024</v>
      </c>
      <c r="AI514" t="s">
        <v>543</v>
      </c>
      <c r="AJ514" s="8" t="str">
        <f>"45053"</f>
        <v>45053</v>
      </c>
      <c r="AK514" t="s">
        <v>118</v>
      </c>
      <c r="AM514" s="10">
        <v>15134103387</v>
      </c>
      <c r="AN514">
        <v>0</v>
      </c>
      <c r="AO514" t="s">
        <v>5028</v>
      </c>
      <c r="AP514" t="s">
        <v>121</v>
      </c>
      <c r="AQ514" t="s">
        <v>1718</v>
      </c>
      <c r="AR514" t="s">
        <v>708</v>
      </c>
      <c r="AS514" t="s">
        <v>1719</v>
      </c>
      <c r="AT514" t="s">
        <v>1720</v>
      </c>
      <c r="AU514" t="s">
        <v>799</v>
      </c>
      <c r="AV514" t="s">
        <v>1721</v>
      </c>
      <c r="AW514" t="s">
        <v>1722</v>
      </c>
      <c r="AX514" s="8" t="str">
        <f>"21401"</f>
        <v>21401</v>
      </c>
      <c r="AY514" t="s">
        <v>118</v>
      </c>
      <c r="BA514" s="10">
        <v>14105739955</v>
      </c>
      <c r="BB514">
        <v>0</v>
      </c>
      <c r="BC514" t="s">
        <v>1723</v>
      </c>
      <c r="BD514" t="s">
        <v>1724</v>
      </c>
      <c r="BE514" t="s">
        <v>1722</v>
      </c>
      <c r="BF514" t="s">
        <v>1725</v>
      </c>
      <c r="BG514" t="s">
        <v>1598</v>
      </c>
      <c r="BH514" s="1">
        <v>45162.833333333336</v>
      </c>
      <c r="BI514">
        <v>35</v>
      </c>
      <c r="BJ514">
        <v>7</v>
      </c>
      <c r="BK514">
        <v>0</v>
      </c>
      <c r="BL514">
        <v>0</v>
      </c>
      <c r="BM514">
        <v>7</v>
      </c>
      <c r="BN514">
        <v>7</v>
      </c>
      <c r="BO514">
        <v>7</v>
      </c>
      <c r="BP514">
        <v>7</v>
      </c>
      <c r="BQ514" t="str">
        <f>"4:00 PM"</f>
        <v>4:00 PM</v>
      </c>
      <c r="BR514" t="str">
        <f>"11:00 PM"</f>
        <v>11:00 PM</v>
      </c>
      <c r="BS514" t="s">
        <v>131</v>
      </c>
      <c r="BT514">
        <v>0</v>
      </c>
      <c r="BU514">
        <v>0</v>
      </c>
      <c r="BV514" t="s">
        <v>114</v>
      </c>
      <c r="BX514" s="2" t="s">
        <v>5029</v>
      </c>
      <c r="BY514" t="s">
        <v>5030</v>
      </c>
      <c r="CA514" t="s">
        <v>5031</v>
      </c>
      <c r="CB514" t="s">
        <v>1598</v>
      </c>
      <c r="CC514" s="8" t="str">
        <f>"35045"</f>
        <v>35045</v>
      </c>
      <c r="CD514" t="s">
        <v>5032</v>
      </c>
      <c r="CE514" t="s">
        <v>2413</v>
      </c>
      <c r="CF514" s="12">
        <v>10.220000000000001</v>
      </c>
      <c r="CG514" s="12">
        <v>13.09</v>
      </c>
      <c r="CH514" s="12">
        <v>15.33</v>
      </c>
      <c r="CI514" s="12">
        <v>19.64</v>
      </c>
      <c r="CJ514" t="s">
        <v>135</v>
      </c>
      <c r="CK514" t="s">
        <v>2343</v>
      </c>
      <c r="CL514" t="s">
        <v>5033</v>
      </c>
      <c r="CO514" t="s">
        <v>132</v>
      </c>
      <c r="CP514" t="s">
        <v>136</v>
      </c>
      <c r="CQ514" t="s">
        <v>114</v>
      </c>
      <c r="CR514" t="s">
        <v>136</v>
      </c>
      <c r="CS514" t="s">
        <v>136</v>
      </c>
      <c r="CT514" t="s">
        <v>136</v>
      </c>
      <c r="CU514" t="s">
        <v>136</v>
      </c>
      <c r="CV514" t="s">
        <v>5034</v>
      </c>
      <c r="CW514" s="10" t="str">
        <f>"+12052808595"</f>
        <v>+12052808595</v>
      </c>
      <c r="CX514" t="s">
        <v>132</v>
      </c>
      <c r="CY514" t="s">
        <v>5035</v>
      </c>
      <c r="CZ514" t="s">
        <v>137</v>
      </c>
      <c r="DA514" t="s">
        <v>114</v>
      </c>
      <c r="DB514" t="s">
        <v>136</v>
      </c>
      <c r="DC514" t="s">
        <v>136</v>
      </c>
      <c r="DD514" t="s">
        <v>114</v>
      </c>
    </row>
    <row r="515" spans="1:113" ht="15" customHeight="1" x14ac:dyDescent="0.25">
      <c r="A515" t="s">
        <v>13853</v>
      </c>
      <c r="B515" t="s">
        <v>152</v>
      </c>
      <c r="C515" s="1">
        <v>45211.673501041667</v>
      </c>
      <c r="D515" s="1">
        <v>45266</v>
      </c>
      <c r="E515" t="s">
        <v>132</v>
      </c>
      <c r="F515" t="s">
        <v>5950</v>
      </c>
      <c r="G515" t="str">
        <f>"37-3011.00"</f>
        <v>37-3011.00</v>
      </c>
      <c r="H515" t="s">
        <v>429</v>
      </c>
      <c r="I515">
        <v>56</v>
      </c>
      <c r="J515">
        <v>56</v>
      </c>
      <c r="K515" s="1">
        <v>45290</v>
      </c>
      <c r="L515" s="1">
        <v>45565</v>
      </c>
      <c r="M515" s="1">
        <v>45290</v>
      </c>
      <c r="N515" s="1">
        <v>45565</v>
      </c>
      <c r="O515" t="s">
        <v>238</v>
      </c>
      <c r="P515" t="s">
        <v>13854</v>
      </c>
      <c r="R515" t="s">
        <v>13855</v>
      </c>
      <c r="T515" t="s">
        <v>9621</v>
      </c>
      <c r="U515" t="s">
        <v>854</v>
      </c>
      <c r="V515" s="8" t="str">
        <f>"83854"</f>
        <v>83854</v>
      </c>
      <c r="W515" t="s">
        <v>118</v>
      </c>
      <c r="Y515" s="10">
        <v>12086605001</v>
      </c>
      <c r="AA515">
        <v>11531</v>
      </c>
      <c r="AB515" t="s">
        <v>13856</v>
      </c>
      <c r="AC515" t="s">
        <v>4199</v>
      </c>
      <c r="AE515" t="s">
        <v>561</v>
      </c>
      <c r="AF515" t="s">
        <v>13855</v>
      </c>
      <c r="AH515" t="s">
        <v>9621</v>
      </c>
      <c r="AI515" t="s">
        <v>854</v>
      </c>
      <c r="AJ515" s="8" t="str">
        <f>"83854"</f>
        <v>83854</v>
      </c>
      <c r="AK515" t="s">
        <v>118</v>
      </c>
      <c r="AM515" s="10">
        <v>12086605001</v>
      </c>
      <c r="AO515" t="s">
        <v>13857</v>
      </c>
      <c r="AP515" t="s">
        <v>248</v>
      </c>
      <c r="AQ515" t="s">
        <v>2546</v>
      </c>
      <c r="AR515" t="s">
        <v>2547</v>
      </c>
      <c r="AT515" t="s">
        <v>2548</v>
      </c>
      <c r="AV515" t="s">
        <v>13858</v>
      </c>
      <c r="AW515" t="s">
        <v>854</v>
      </c>
      <c r="AX515" s="8" t="str">
        <f>"83815"</f>
        <v>83815</v>
      </c>
      <c r="AY515" t="s">
        <v>118</v>
      </c>
      <c r="BA515" s="10">
        <v>12089303246</v>
      </c>
      <c r="BC515" t="s">
        <v>13859</v>
      </c>
      <c r="BD515" t="s">
        <v>13860</v>
      </c>
      <c r="BG515" t="s">
        <v>854</v>
      </c>
      <c r="BH515" s="1">
        <v>45210.833333333336</v>
      </c>
      <c r="BI515">
        <v>35</v>
      </c>
      <c r="BJ515">
        <v>0</v>
      </c>
      <c r="BK515">
        <v>7</v>
      </c>
      <c r="BL515">
        <v>7</v>
      </c>
      <c r="BM515">
        <v>7</v>
      </c>
      <c r="BN515">
        <v>7</v>
      </c>
      <c r="BO515">
        <v>7</v>
      </c>
      <c r="BP515">
        <v>0</v>
      </c>
      <c r="BQ515" t="str">
        <f>"7:00 AM"</f>
        <v>7:00 AM</v>
      </c>
      <c r="BR515" t="str">
        <f>"5:00 PM"</f>
        <v>5:00 PM</v>
      </c>
      <c r="BS515" t="s">
        <v>6093</v>
      </c>
      <c r="BT515">
        <v>0</v>
      </c>
      <c r="BU515">
        <v>0</v>
      </c>
      <c r="BV515" t="s">
        <v>114</v>
      </c>
      <c r="BX515" s="2" t="s">
        <v>13861</v>
      </c>
      <c r="BY515" t="s">
        <v>13862</v>
      </c>
      <c r="CA515" t="s">
        <v>9621</v>
      </c>
      <c r="CB515" t="s">
        <v>854</v>
      </c>
      <c r="CC515" s="8" t="str">
        <f>"83854"</f>
        <v>83854</v>
      </c>
      <c r="CD515" t="s">
        <v>2552</v>
      </c>
      <c r="CE515" t="s">
        <v>2553</v>
      </c>
      <c r="CF515" s="12">
        <v>15.77</v>
      </c>
      <c r="CG515" s="12">
        <v>20.96</v>
      </c>
      <c r="CH515" s="12">
        <v>23.66</v>
      </c>
      <c r="CI515" s="12">
        <v>31.44</v>
      </c>
      <c r="CJ515" t="s">
        <v>135</v>
      </c>
      <c r="CK515" t="s">
        <v>2554</v>
      </c>
      <c r="CL515" t="s">
        <v>13863</v>
      </c>
      <c r="CO515" t="s">
        <v>132</v>
      </c>
      <c r="CP515" t="s">
        <v>136</v>
      </c>
      <c r="CQ515" t="s">
        <v>136</v>
      </c>
      <c r="CR515" t="s">
        <v>136</v>
      </c>
      <c r="CS515" t="s">
        <v>136</v>
      </c>
      <c r="CT515" t="s">
        <v>136</v>
      </c>
      <c r="CU515" t="s">
        <v>136</v>
      </c>
      <c r="CV515" t="s">
        <v>10586</v>
      </c>
      <c r="CW515" s="10" t="str">
        <f>"+12086605001"</f>
        <v>+12086605001</v>
      </c>
      <c r="CX515" t="s">
        <v>13857</v>
      </c>
      <c r="CY515" t="s">
        <v>132</v>
      </c>
      <c r="CZ515" t="s">
        <v>137</v>
      </c>
      <c r="DA515" t="s">
        <v>114</v>
      </c>
      <c r="DB515" t="s">
        <v>114</v>
      </c>
      <c r="DC515" t="s">
        <v>136</v>
      </c>
      <c r="DD515" t="s">
        <v>114</v>
      </c>
    </row>
    <row r="516" spans="1:113" ht="15" customHeight="1" x14ac:dyDescent="0.25">
      <c r="A516" t="s">
        <v>13775</v>
      </c>
      <c r="B516" t="s">
        <v>152</v>
      </c>
      <c r="C516" s="1">
        <v>45210.389500694444</v>
      </c>
      <c r="D516" s="1">
        <v>45266</v>
      </c>
      <c r="E516" t="s">
        <v>132</v>
      </c>
      <c r="F516" t="s">
        <v>11399</v>
      </c>
      <c r="G516" t="str">
        <f>"35-3023.00"</f>
        <v>35-3023.00</v>
      </c>
      <c r="H516" t="s">
        <v>1365</v>
      </c>
      <c r="I516">
        <v>6</v>
      </c>
      <c r="J516">
        <v>6</v>
      </c>
      <c r="K516" s="1">
        <v>45300</v>
      </c>
      <c r="L516" s="1">
        <v>45604</v>
      </c>
      <c r="M516" s="1">
        <v>45300</v>
      </c>
      <c r="N516" s="1">
        <v>45604</v>
      </c>
      <c r="O516" t="s">
        <v>238</v>
      </c>
      <c r="P516" t="s">
        <v>13776</v>
      </c>
      <c r="R516" t="s">
        <v>13777</v>
      </c>
      <c r="T516" t="s">
        <v>9917</v>
      </c>
      <c r="U516" t="s">
        <v>140</v>
      </c>
      <c r="V516" s="8" t="str">
        <f>"34293"</f>
        <v>34293</v>
      </c>
      <c r="W516" t="s">
        <v>118</v>
      </c>
      <c r="Y516" s="10">
        <v>13016063442</v>
      </c>
      <c r="AA516">
        <v>71399</v>
      </c>
      <c r="AB516" t="s">
        <v>4307</v>
      </c>
      <c r="AC516" t="s">
        <v>13289</v>
      </c>
      <c r="AE516" t="s">
        <v>561</v>
      </c>
      <c r="AF516" t="s">
        <v>13777</v>
      </c>
      <c r="AH516" t="s">
        <v>9917</v>
      </c>
      <c r="AI516" t="s">
        <v>140</v>
      </c>
      <c r="AJ516" s="8" t="str">
        <f>"34293"</f>
        <v>34293</v>
      </c>
      <c r="AK516" t="s">
        <v>118</v>
      </c>
      <c r="AM516" s="10">
        <v>13016063442</v>
      </c>
      <c r="AO516" t="s">
        <v>13778</v>
      </c>
      <c r="AP516" t="s">
        <v>121</v>
      </c>
      <c r="AQ516" t="s">
        <v>1718</v>
      </c>
      <c r="AR516" t="s">
        <v>708</v>
      </c>
      <c r="AS516" t="s">
        <v>1719</v>
      </c>
      <c r="AT516" t="s">
        <v>1720</v>
      </c>
      <c r="AU516" t="s">
        <v>799</v>
      </c>
      <c r="AV516" t="s">
        <v>1721</v>
      </c>
      <c r="AW516" t="s">
        <v>1722</v>
      </c>
      <c r="AX516" s="8" t="str">
        <f>"21401"</f>
        <v>21401</v>
      </c>
      <c r="AY516" t="s">
        <v>118</v>
      </c>
      <c r="BA516" s="10">
        <v>14105739955</v>
      </c>
      <c r="BB516">
        <v>0</v>
      </c>
      <c r="BC516" t="s">
        <v>1723</v>
      </c>
      <c r="BD516" t="s">
        <v>1724</v>
      </c>
      <c r="BE516" t="s">
        <v>1722</v>
      </c>
      <c r="BF516" t="s">
        <v>1725</v>
      </c>
      <c r="BG516" t="s">
        <v>1722</v>
      </c>
      <c r="BH516" s="1">
        <v>45207.833333333336</v>
      </c>
      <c r="BI516">
        <v>35</v>
      </c>
      <c r="BJ516">
        <v>7</v>
      </c>
      <c r="BK516">
        <v>0</v>
      </c>
      <c r="BL516">
        <v>0</v>
      </c>
      <c r="BM516">
        <v>7</v>
      </c>
      <c r="BN516">
        <v>7</v>
      </c>
      <c r="BO516">
        <v>7</v>
      </c>
      <c r="BP516">
        <v>7</v>
      </c>
      <c r="BQ516" t="str">
        <f>"4:00 PM"</f>
        <v>4:00 PM</v>
      </c>
      <c r="BR516" t="str">
        <f>"11:00 PM"</f>
        <v>11:00 PM</v>
      </c>
      <c r="BS516" t="s">
        <v>131</v>
      </c>
      <c r="BT516">
        <v>0</v>
      </c>
      <c r="BU516">
        <v>0</v>
      </c>
      <c r="BV516" t="s">
        <v>114</v>
      </c>
      <c r="BX516" s="2" t="s">
        <v>13779</v>
      </c>
      <c r="BY516" t="s">
        <v>4305</v>
      </c>
      <c r="CA516" t="s">
        <v>6595</v>
      </c>
      <c r="CB516" t="s">
        <v>1722</v>
      </c>
      <c r="CC516" s="8" t="str">
        <f>"21771"</f>
        <v>21771</v>
      </c>
      <c r="CD516" t="s">
        <v>2597</v>
      </c>
      <c r="CE516" t="s">
        <v>1992</v>
      </c>
      <c r="CF516" s="12">
        <v>10.56</v>
      </c>
      <c r="CG516" s="12">
        <v>16.079999999999998</v>
      </c>
      <c r="CH516" s="12">
        <v>15.84</v>
      </c>
      <c r="CI516" s="12">
        <v>24.12</v>
      </c>
      <c r="CJ516" t="s">
        <v>135</v>
      </c>
      <c r="CK516" t="s">
        <v>13780</v>
      </c>
      <c r="CL516" t="s">
        <v>13781</v>
      </c>
      <c r="CO516" t="s">
        <v>132</v>
      </c>
      <c r="CP516" t="s">
        <v>136</v>
      </c>
      <c r="CQ516" t="s">
        <v>114</v>
      </c>
      <c r="CR516" t="s">
        <v>136</v>
      </c>
      <c r="CS516" t="s">
        <v>136</v>
      </c>
      <c r="CT516" t="s">
        <v>136</v>
      </c>
      <c r="CU516" t="s">
        <v>136</v>
      </c>
      <c r="CV516" t="s">
        <v>5034</v>
      </c>
      <c r="CW516" s="10" t="str">
        <f>"+13016063442"</f>
        <v>+13016063442</v>
      </c>
      <c r="CX516" t="s">
        <v>13778</v>
      </c>
      <c r="CY516" t="s">
        <v>132</v>
      </c>
      <c r="CZ516" t="s">
        <v>137</v>
      </c>
      <c r="DA516" t="s">
        <v>114</v>
      </c>
      <c r="DB516" t="s">
        <v>136</v>
      </c>
      <c r="DC516" t="s">
        <v>136</v>
      </c>
      <c r="DD516" t="s">
        <v>114</v>
      </c>
    </row>
    <row r="517" spans="1:113" ht="15" customHeight="1" x14ac:dyDescent="0.25">
      <c r="A517" t="s">
        <v>5604</v>
      </c>
      <c r="B517" t="s">
        <v>152</v>
      </c>
      <c r="C517" s="1">
        <v>45148.10174953704</v>
      </c>
      <c r="D517" s="1">
        <v>45266</v>
      </c>
      <c r="E517" t="s">
        <v>114</v>
      </c>
      <c r="F517" t="s">
        <v>5605</v>
      </c>
      <c r="G517" t="str">
        <f>"47-2061.00"</f>
        <v>47-2061.00</v>
      </c>
      <c r="H517" t="s">
        <v>570</v>
      </c>
      <c r="I517">
        <v>10</v>
      </c>
      <c r="J517">
        <v>10</v>
      </c>
      <c r="K517" s="1">
        <v>45293</v>
      </c>
      <c r="L517" s="1">
        <v>45503</v>
      </c>
      <c r="M517" s="1">
        <v>45293</v>
      </c>
      <c r="N517" s="1">
        <v>45503</v>
      </c>
      <c r="O517" t="s">
        <v>238</v>
      </c>
      <c r="P517" t="s">
        <v>5606</v>
      </c>
      <c r="R517" t="s">
        <v>5607</v>
      </c>
      <c r="T517" t="s">
        <v>5608</v>
      </c>
      <c r="U517" t="s">
        <v>2194</v>
      </c>
      <c r="V517" s="8" t="str">
        <f>"03051"</f>
        <v>03051</v>
      </c>
      <c r="W517" t="s">
        <v>118</v>
      </c>
      <c r="Y517" s="10">
        <v>17816084217</v>
      </c>
      <c r="AA517">
        <v>2361</v>
      </c>
      <c r="AB517" t="s">
        <v>5609</v>
      </c>
      <c r="AC517" t="s">
        <v>5610</v>
      </c>
      <c r="AE517" t="s">
        <v>3519</v>
      </c>
      <c r="AF517" t="s">
        <v>5611</v>
      </c>
      <c r="AH517" t="s">
        <v>5608</v>
      </c>
      <c r="AI517" t="s">
        <v>2194</v>
      </c>
      <c r="AJ517" s="8" t="str">
        <f>"03051"</f>
        <v>03051</v>
      </c>
      <c r="AK517" t="s">
        <v>118</v>
      </c>
      <c r="AM517" s="10">
        <v>17816084217</v>
      </c>
      <c r="AO517" t="s">
        <v>5612</v>
      </c>
      <c r="AP517" t="s">
        <v>121</v>
      </c>
      <c r="AQ517" t="s">
        <v>5357</v>
      </c>
      <c r="AR517" t="s">
        <v>5358</v>
      </c>
      <c r="AS517" t="s">
        <v>2998</v>
      </c>
      <c r="AT517" t="s">
        <v>5359</v>
      </c>
      <c r="AU517" t="s">
        <v>5360</v>
      </c>
      <c r="AV517" t="s">
        <v>2968</v>
      </c>
      <c r="AW517" t="s">
        <v>402</v>
      </c>
      <c r="AX517" s="8" t="str">
        <f>"90067"</f>
        <v>90067</v>
      </c>
      <c r="AY517" t="s">
        <v>118</v>
      </c>
      <c r="BA517" s="10">
        <v>13232827770</v>
      </c>
      <c r="BC517" t="s">
        <v>5361</v>
      </c>
      <c r="BD517" t="s">
        <v>5362</v>
      </c>
      <c r="BE517" t="s">
        <v>402</v>
      </c>
      <c r="BF517" t="s">
        <v>4644</v>
      </c>
      <c r="BG517" t="s">
        <v>2194</v>
      </c>
      <c r="BH517" s="1">
        <v>45146.833333333336</v>
      </c>
      <c r="BI517">
        <v>40</v>
      </c>
      <c r="BJ517">
        <v>0</v>
      </c>
      <c r="BK517">
        <v>8</v>
      </c>
      <c r="BL517">
        <v>8</v>
      </c>
      <c r="BM517">
        <v>8</v>
      </c>
      <c r="BN517">
        <v>8</v>
      </c>
      <c r="BO517">
        <v>8</v>
      </c>
      <c r="BP517">
        <v>0</v>
      </c>
      <c r="BQ517" t="str">
        <f>"8:00 AM"</f>
        <v>8:00 AM</v>
      </c>
      <c r="BR517" t="str">
        <f>"5:00 PM"</f>
        <v>5:00 PM</v>
      </c>
      <c r="BS517" t="s">
        <v>131</v>
      </c>
      <c r="BT517">
        <v>0</v>
      </c>
      <c r="BU517">
        <v>0</v>
      </c>
      <c r="BV517" t="s">
        <v>114</v>
      </c>
      <c r="BX517" t="s">
        <v>131</v>
      </c>
      <c r="BY517" t="s">
        <v>5607</v>
      </c>
      <c r="CA517" t="s">
        <v>5608</v>
      </c>
      <c r="CB517" t="s">
        <v>2194</v>
      </c>
      <c r="CC517" s="8" t="str">
        <f>"03051"</f>
        <v>03051</v>
      </c>
      <c r="CD517" t="s">
        <v>781</v>
      </c>
      <c r="CE517" t="s">
        <v>2314</v>
      </c>
      <c r="CF517" s="12">
        <v>19.239999999999998</v>
      </c>
      <c r="CJ517" t="s">
        <v>135</v>
      </c>
      <c r="CL517" t="s">
        <v>5613</v>
      </c>
      <c r="CO517" t="s">
        <v>132</v>
      </c>
      <c r="CP517" t="s">
        <v>114</v>
      </c>
      <c r="CQ517" t="s">
        <v>136</v>
      </c>
      <c r="CR517" t="s">
        <v>114</v>
      </c>
      <c r="CS517" t="s">
        <v>136</v>
      </c>
      <c r="CT517" t="s">
        <v>136</v>
      </c>
      <c r="CU517" t="s">
        <v>114</v>
      </c>
      <c r="CV517" t="s">
        <v>5614</v>
      </c>
      <c r="CW517" s="10" t="str">
        <f>"+17816084217"</f>
        <v>+17816084217</v>
      </c>
      <c r="CX517" t="s">
        <v>5612</v>
      </c>
      <c r="CY517" t="s">
        <v>132</v>
      </c>
      <c r="CZ517" t="s">
        <v>137</v>
      </c>
      <c r="DA517" t="s">
        <v>114</v>
      </c>
      <c r="DB517" t="s">
        <v>114</v>
      </c>
      <c r="DC517" t="s">
        <v>136</v>
      </c>
      <c r="DD517" t="s">
        <v>114</v>
      </c>
    </row>
    <row r="518" spans="1:113" ht="15" customHeight="1" x14ac:dyDescent="0.25">
      <c r="A518" t="s">
        <v>14948</v>
      </c>
      <c r="B518" t="s">
        <v>152</v>
      </c>
      <c r="C518" s="1">
        <v>45239.693416550923</v>
      </c>
      <c r="D518" s="1">
        <v>45265</v>
      </c>
      <c r="E518" t="s">
        <v>132</v>
      </c>
      <c r="F518" t="s">
        <v>7945</v>
      </c>
      <c r="G518" t="str">
        <f>"51-3022.00"</f>
        <v>51-3022.00</v>
      </c>
      <c r="H518" t="s">
        <v>1004</v>
      </c>
      <c r="I518">
        <v>45</v>
      </c>
      <c r="J518">
        <v>45</v>
      </c>
      <c r="K518" s="1">
        <v>45314</v>
      </c>
      <c r="L518" s="1">
        <v>45488</v>
      </c>
      <c r="M518" s="1">
        <v>45314</v>
      </c>
      <c r="N518" s="1">
        <v>45488</v>
      </c>
      <c r="O518" t="s">
        <v>238</v>
      </c>
      <c r="P518" t="s">
        <v>14949</v>
      </c>
      <c r="Q518" t="s">
        <v>14950</v>
      </c>
      <c r="R518" t="s">
        <v>14951</v>
      </c>
      <c r="T518" t="s">
        <v>14952</v>
      </c>
      <c r="U518" t="s">
        <v>333</v>
      </c>
      <c r="V518" s="8" t="str">
        <f>"70764"</f>
        <v>70764</v>
      </c>
      <c r="W518" t="s">
        <v>118</v>
      </c>
      <c r="Y518" s="10">
        <v>19855121824</v>
      </c>
      <c r="AA518">
        <v>31171</v>
      </c>
      <c r="AB518" t="s">
        <v>14953</v>
      </c>
      <c r="AC518" t="s">
        <v>14954</v>
      </c>
      <c r="AD518" t="s">
        <v>2022</v>
      </c>
      <c r="AE518" t="s">
        <v>561</v>
      </c>
      <c r="AF518" t="s">
        <v>14951</v>
      </c>
      <c r="AH518" t="s">
        <v>14952</v>
      </c>
      <c r="AI518" t="s">
        <v>333</v>
      </c>
      <c r="AJ518" s="8" t="str">
        <f>"70764"</f>
        <v>70764</v>
      </c>
      <c r="AK518" t="s">
        <v>118</v>
      </c>
      <c r="AM518" s="10">
        <v>19855121824</v>
      </c>
      <c r="AO518" t="s">
        <v>14955</v>
      </c>
      <c r="AP518" t="s">
        <v>121</v>
      </c>
      <c r="AQ518" t="s">
        <v>3627</v>
      </c>
      <c r="AR518" t="s">
        <v>2309</v>
      </c>
      <c r="AS518" t="s">
        <v>5087</v>
      </c>
      <c r="AT518" t="s">
        <v>5088</v>
      </c>
      <c r="AV518" t="s">
        <v>5089</v>
      </c>
      <c r="AW518" t="s">
        <v>333</v>
      </c>
      <c r="AX518" s="8" t="str">
        <f>"70535"</f>
        <v>70535</v>
      </c>
      <c r="AY518" t="s">
        <v>118</v>
      </c>
      <c r="BA518" s="10">
        <v>13374663722</v>
      </c>
      <c r="BC518" t="s">
        <v>5090</v>
      </c>
      <c r="BD518" t="s">
        <v>5091</v>
      </c>
      <c r="BE518" t="s">
        <v>333</v>
      </c>
      <c r="BF518" t="s">
        <v>2190</v>
      </c>
      <c r="BG518" t="s">
        <v>333</v>
      </c>
      <c r="BH518" s="1">
        <v>45238.791666666664</v>
      </c>
      <c r="BI518">
        <v>35</v>
      </c>
      <c r="BJ518">
        <v>0</v>
      </c>
      <c r="BK518">
        <v>7</v>
      </c>
      <c r="BL518">
        <v>7</v>
      </c>
      <c r="BM518">
        <v>7</v>
      </c>
      <c r="BN518">
        <v>7</v>
      </c>
      <c r="BO518">
        <v>7</v>
      </c>
      <c r="BP518">
        <v>0</v>
      </c>
      <c r="BQ518" t="str">
        <f>"6:00 AM"</f>
        <v>6:00 AM</v>
      </c>
      <c r="BR518" t="str">
        <f>"2:00 PM"</f>
        <v>2:00 PM</v>
      </c>
      <c r="BS518" t="s">
        <v>131</v>
      </c>
      <c r="BT518">
        <v>0</v>
      </c>
      <c r="BU518">
        <v>0</v>
      </c>
      <c r="BV518" t="s">
        <v>114</v>
      </c>
      <c r="BX518" s="2" t="s">
        <v>14956</v>
      </c>
      <c r="BY518" t="s">
        <v>14951</v>
      </c>
      <c r="CA518" t="s">
        <v>14957</v>
      </c>
      <c r="CB518" t="s">
        <v>333</v>
      </c>
      <c r="CC518" s="8" t="str">
        <f>"70764"</f>
        <v>70764</v>
      </c>
      <c r="CD518" t="s">
        <v>2085</v>
      </c>
      <c r="CE518" t="s">
        <v>1930</v>
      </c>
      <c r="CF518" s="12">
        <v>12.55</v>
      </c>
      <c r="CG518" s="12">
        <v>12.55</v>
      </c>
      <c r="CH518" s="12">
        <v>18.829999999999998</v>
      </c>
      <c r="CI518" s="12">
        <v>18.829999999999998</v>
      </c>
      <c r="CJ518" t="s">
        <v>135</v>
      </c>
      <c r="CK518" t="s">
        <v>14958</v>
      </c>
      <c r="CL518" t="s">
        <v>14959</v>
      </c>
      <c r="CO518" t="s">
        <v>132</v>
      </c>
      <c r="CP518" t="s">
        <v>114</v>
      </c>
      <c r="CQ518" t="s">
        <v>136</v>
      </c>
      <c r="CR518" t="s">
        <v>136</v>
      </c>
      <c r="CS518" t="s">
        <v>136</v>
      </c>
      <c r="CT518" t="s">
        <v>136</v>
      </c>
      <c r="CU518" t="s">
        <v>136</v>
      </c>
      <c r="CV518" t="s">
        <v>14960</v>
      </c>
      <c r="CW518" s="10" t="str">
        <f>"+19855121824"</f>
        <v>+19855121824</v>
      </c>
      <c r="CX518" t="s">
        <v>14955</v>
      </c>
      <c r="CY518" t="s">
        <v>132</v>
      </c>
      <c r="CZ518" t="s">
        <v>137</v>
      </c>
      <c r="DA518" t="s">
        <v>114</v>
      </c>
      <c r="DB518" t="s">
        <v>114</v>
      </c>
      <c r="DC518" t="s">
        <v>136</v>
      </c>
      <c r="DD518" t="s">
        <v>114</v>
      </c>
    </row>
    <row r="519" spans="1:113" ht="15" customHeight="1" x14ac:dyDescent="0.25">
      <c r="A519" t="s">
        <v>13739</v>
      </c>
      <c r="B519" t="s">
        <v>152</v>
      </c>
      <c r="C519" s="1">
        <v>45237.440468749999</v>
      </c>
      <c r="D519" s="1">
        <v>45265</v>
      </c>
      <c r="E519" t="s">
        <v>132</v>
      </c>
      <c r="F519" t="s">
        <v>1595</v>
      </c>
      <c r="G519" t="str">
        <f>"37-3011.00"</f>
        <v>37-3011.00</v>
      </c>
      <c r="H519" t="s">
        <v>429</v>
      </c>
      <c r="I519">
        <v>27</v>
      </c>
      <c r="J519">
        <v>27</v>
      </c>
      <c r="K519" s="1">
        <v>45327</v>
      </c>
      <c r="L519" s="1">
        <v>45630</v>
      </c>
      <c r="M519" s="1">
        <v>45327</v>
      </c>
      <c r="N519" s="1">
        <v>45630</v>
      </c>
      <c r="O519" t="s">
        <v>116</v>
      </c>
      <c r="P519" t="s">
        <v>13740</v>
      </c>
      <c r="R519" t="s">
        <v>13741</v>
      </c>
      <c r="S519" t="s">
        <v>13742</v>
      </c>
      <c r="T519" t="s">
        <v>13743</v>
      </c>
      <c r="U519" t="s">
        <v>127</v>
      </c>
      <c r="V519" s="8" t="str">
        <f>"76040"</f>
        <v>76040</v>
      </c>
      <c r="W519" t="s">
        <v>118</v>
      </c>
      <c r="Y519" s="10">
        <v>18172672757</v>
      </c>
      <c r="AA519">
        <v>561730</v>
      </c>
      <c r="AB519" t="s">
        <v>13744</v>
      </c>
      <c r="AC519" t="s">
        <v>7264</v>
      </c>
      <c r="AD519" t="s">
        <v>132</v>
      </c>
      <c r="AE519" t="s">
        <v>3588</v>
      </c>
      <c r="AF519" t="s">
        <v>13741</v>
      </c>
      <c r="AG519" t="s">
        <v>13742</v>
      </c>
      <c r="AH519" t="s">
        <v>13743</v>
      </c>
      <c r="AI519" t="s">
        <v>127</v>
      </c>
      <c r="AJ519" s="8" t="str">
        <f>"76040"</f>
        <v>76040</v>
      </c>
      <c r="AK519" t="s">
        <v>118</v>
      </c>
      <c r="AM519" s="10">
        <v>18172672757</v>
      </c>
      <c r="AO519" t="s">
        <v>13745</v>
      </c>
      <c r="AP519" t="s">
        <v>248</v>
      </c>
      <c r="AQ519" t="s">
        <v>2452</v>
      </c>
      <c r="AR519" t="s">
        <v>2453</v>
      </c>
      <c r="AS519" t="s">
        <v>515</v>
      </c>
      <c r="AT519" t="s">
        <v>2454</v>
      </c>
      <c r="AU519" t="s">
        <v>132</v>
      </c>
      <c r="AV519" t="s">
        <v>1585</v>
      </c>
      <c r="AW519" t="s">
        <v>127</v>
      </c>
      <c r="AX519" s="8" t="str">
        <f>"77414"</f>
        <v>77414</v>
      </c>
      <c r="AY519" t="s">
        <v>118</v>
      </c>
      <c r="BA519" s="10">
        <v>19793187278</v>
      </c>
      <c r="BC519" t="s">
        <v>2455</v>
      </c>
      <c r="BD519" t="s">
        <v>1587</v>
      </c>
      <c r="BG519" t="s">
        <v>127</v>
      </c>
      <c r="BH519" s="1">
        <v>45236.791666666664</v>
      </c>
      <c r="BI519">
        <v>40</v>
      </c>
      <c r="BJ519">
        <v>0</v>
      </c>
      <c r="BK519">
        <v>8</v>
      </c>
      <c r="BL519">
        <v>8</v>
      </c>
      <c r="BM519">
        <v>8</v>
      </c>
      <c r="BN519">
        <v>8</v>
      </c>
      <c r="BO519">
        <v>8</v>
      </c>
      <c r="BP519">
        <v>0</v>
      </c>
      <c r="BQ519" t="str">
        <f>"7:00 AM"</f>
        <v>7:00 AM</v>
      </c>
      <c r="BR519" t="str">
        <f>"4:00 PM"</f>
        <v>4:00 PM</v>
      </c>
      <c r="BS519" t="s">
        <v>131</v>
      </c>
      <c r="BT519">
        <v>0</v>
      </c>
      <c r="BU519">
        <v>0</v>
      </c>
      <c r="BV519" t="s">
        <v>114</v>
      </c>
      <c r="BX519" s="2" t="s">
        <v>13746</v>
      </c>
      <c r="BY519" t="s">
        <v>13741</v>
      </c>
      <c r="BZ519" t="s">
        <v>132</v>
      </c>
      <c r="CA519" t="s">
        <v>13743</v>
      </c>
      <c r="CB519" t="s">
        <v>127</v>
      </c>
      <c r="CC519" s="8" t="str">
        <f>"76040"</f>
        <v>76040</v>
      </c>
      <c r="CD519" t="s">
        <v>262</v>
      </c>
      <c r="CE519" t="s">
        <v>263</v>
      </c>
      <c r="CF519" s="12">
        <v>16.86</v>
      </c>
      <c r="CG519" s="12">
        <v>17.25</v>
      </c>
      <c r="CH519" s="12">
        <v>25.29</v>
      </c>
      <c r="CI519" s="12">
        <v>25.88</v>
      </c>
      <c r="CJ519" t="s">
        <v>135</v>
      </c>
      <c r="CK519" t="s">
        <v>2642</v>
      </c>
      <c r="CL519" t="s">
        <v>13747</v>
      </c>
      <c r="CO519" t="s">
        <v>132</v>
      </c>
      <c r="CP519" t="s">
        <v>136</v>
      </c>
      <c r="CQ519" t="s">
        <v>136</v>
      </c>
      <c r="CR519" t="s">
        <v>136</v>
      </c>
      <c r="CS519" t="s">
        <v>136</v>
      </c>
      <c r="CT519" t="s">
        <v>136</v>
      </c>
      <c r="CU519" t="s">
        <v>114</v>
      </c>
      <c r="CV519" t="s">
        <v>1480</v>
      </c>
      <c r="CW519" s="10" t="str">
        <f>"+18172672757"</f>
        <v>+18172672757</v>
      </c>
      <c r="CX519" t="s">
        <v>13745</v>
      </c>
      <c r="CY519" t="s">
        <v>132</v>
      </c>
      <c r="CZ519" t="s">
        <v>137</v>
      </c>
      <c r="DA519" t="s">
        <v>114</v>
      </c>
      <c r="DB519" t="s">
        <v>114</v>
      </c>
      <c r="DC519" t="s">
        <v>136</v>
      </c>
      <c r="DD519" t="s">
        <v>114</v>
      </c>
    </row>
    <row r="520" spans="1:113" ht="15" customHeight="1" x14ac:dyDescent="0.25">
      <c r="A520" t="s">
        <v>19940</v>
      </c>
      <c r="B520" t="s">
        <v>152</v>
      </c>
      <c r="C520" s="1">
        <v>45233.55237662037</v>
      </c>
      <c r="D520" s="1">
        <v>45265</v>
      </c>
      <c r="E520" t="s">
        <v>132</v>
      </c>
      <c r="F520" t="s">
        <v>1595</v>
      </c>
      <c r="G520" t="str">
        <f>"37-3011.00"</f>
        <v>37-3011.00</v>
      </c>
      <c r="H520" t="s">
        <v>429</v>
      </c>
      <c r="I520">
        <v>51</v>
      </c>
      <c r="J520">
        <v>51</v>
      </c>
      <c r="K520" s="1">
        <v>45323</v>
      </c>
      <c r="L520" s="1">
        <v>45626</v>
      </c>
      <c r="M520" s="1">
        <v>45323</v>
      </c>
      <c r="N520" s="1">
        <v>45626</v>
      </c>
      <c r="O520" t="s">
        <v>116</v>
      </c>
      <c r="P520" t="s">
        <v>19941</v>
      </c>
      <c r="R520" t="s">
        <v>19942</v>
      </c>
      <c r="S520" t="s">
        <v>19943</v>
      </c>
      <c r="T520" t="s">
        <v>7418</v>
      </c>
      <c r="U520" t="s">
        <v>333</v>
      </c>
      <c r="V520" s="8" t="str">
        <f>"70605"</f>
        <v>70605</v>
      </c>
      <c r="W520" t="s">
        <v>118</v>
      </c>
      <c r="Y520" s="10">
        <v>13374783836</v>
      </c>
      <c r="AA520">
        <v>56173</v>
      </c>
      <c r="AB520" t="s">
        <v>19944</v>
      </c>
      <c r="AC520" t="s">
        <v>1783</v>
      </c>
      <c r="AD520" t="s">
        <v>4170</v>
      </c>
      <c r="AE520" t="s">
        <v>19945</v>
      </c>
      <c r="AF520" t="s">
        <v>19946</v>
      </c>
      <c r="AG520" t="s">
        <v>19943</v>
      </c>
      <c r="AH520" t="s">
        <v>6092</v>
      </c>
      <c r="AI520" t="s">
        <v>333</v>
      </c>
      <c r="AJ520" s="8" t="str">
        <f>"70605"</f>
        <v>70605</v>
      </c>
      <c r="AK520" t="s">
        <v>118</v>
      </c>
      <c r="AM520" s="10">
        <v>13374783836</v>
      </c>
      <c r="AO520" t="s">
        <v>19947</v>
      </c>
      <c r="AP520" t="s">
        <v>121</v>
      </c>
      <c r="AQ520" t="s">
        <v>11587</v>
      </c>
      <c r="AR520" t="s">
        <v>5623</v>
      </c>
      <c r="AS520" t="s">
        <v>2787</v>
      </c>
      <c r="AT520" t="s">
        <v>7421</v>
      </c>
      <c r="AU520" t="s">
        <v>7422</v>
      </c>
      <c r="AV520" t="s">
        <v>3501</v>
      </c>
      <c r="AW520" t="s">
        <v>127</v>
      </c>
      <c r="AX520" s="8" t="str">
        <f>"75082"</f>
        <v>75082</v>
      </c>
      <c r="AY520" t="s">
        <v>118</v>
      </c>
      <c r="BA520" s="10">
        <v>14699624396</v>
      </c>
      <c r="BC520" t="s">
        <v>11588</v>
      </c>
      <c r="BD520" t="s">
        <v>7424</v>
      </c>
      <c r="BE520" t="s">
        <v>375</v>
      </c>
      <c r="BF520" t="s">
        <v>1223</v>
      </c>
      <c r="BG520" t="s">
        <v>333</v>
      </c>
      <c r="BH520" s="1">
        <v>45211.833333333336</v>
      </c>
      <c r="BI520">
        <v>40</v>
      </c>
      <c r="BJ520">
        <v>0</v>
      </c>
      <c r="BK520">
        <v>8</v>
      </c>
      <c r="BL520">
        <v>8</v>
      </c>
      <c r="BM520">
        <v>8</v>
      </c>
      <c r="BN520">
        <v>8</v>
      </c>
      <c r="BO520">
        <v>8</v>
      </c>
      <c r="BP520">
        <v>0</v>
      </c>
      <c r="BQ520" t="str">
        <f>"6:30 AM"</f>
        <v>6:30 AM</v>
      </c>
      <c r="BR520" t="str">
        <f>"3:30 PM"</f>
        <v>3:30 PM</v>
      </c>
      <c r="BS520" t="s">
        <v>131</v>
      </c>
      <c r="BT520">
        <v>0</v>
      </c>
      <c r="BU520">
        <v>0</v>
      </c>
      <c r="BV520" t="s">
        <v>114</v>
      </c>
      <c r="BX520" s="2" t="s">
        <v>19948</v>
      </c>
      <c r="BY520" t="s">
        <v>19946</v>
      </c>
      <c r="CA520" t="s">
        <v>7418</v>
      </c>
      <c r="CB520" t="s">
        <v>333</v>
      </c>
      <c r="CC520" s="8" t="str">
        <f>"70605"</f>
        <v>70605</v>
      </c>
      <c r="CD520" t="s">
        <v>6094</v>
      </c>
      <c r="CE520" t="s">
        <v>6095</v>
      </c>
      <c r="CF520" s="12">
        <v>14.35</v>
      </c>
      <c r="CG520" s="12">
        <v>14.35</v>
      </c>
      <c r="CH520" s="12">
        <v>21.53</v>
      </c>
      <c r="CI520" s="12">
        <v>21.53</v>
      </c>
      <c r="CJ520" t="s">
        <v>135</v>
      </c>
      <c r="CL520" t="s">
        <v>19949</v>
      </c>
      <c r="CO520" t="s">
        <v>132</v>
      </c>
      <c r="CP520" t="s">
        <v>136</v>
      </c>
      <c r="CQ520" t="s">
        <v>136</v>
      </c>
      <c r="CR520" t="s">
        <v>136</v>
      </c>
      <c r="CS520" t="s">
        <v>114</v>
      </c>
      <c r="CT520" t="s">
        <v>136</v>
      </c>
      <c r="CU520" t="s">
        <v>136</v>
      </c>
      <c r="CV520" s="2" t="s">
        <v>19950</v>
      </c>
      <c r="CW520" s="10" t="str">
        <f>"+13374783836"</f>
        <v>+13374783836</v>
      </c>
      <c r="CX520" t="s">
        <v>19947</v>
      </c>
      <c r="CY520" t="s">
        <v>132</v>
      </c>
      <c r="CZ520" t="s">
        <v>137</v>
      </c>
      <c r="DA520" t="s">
        <v>114</v>
      </c>
      <c r="DB520" t="s">
        <v>136</v>
      </c>
      <c r="DC520" t="s">
        <v>136</v>
      </c>
      <c r="DD520" t="s">
        <v>114</v>
      </c>
      <c r="DE520" t="s">
        <v>7425</v>
      </c>
      <c r="DF520" t="s">
        <v>2001</v>
      </c>
      <c r="DG520" t="s">
        <v>3587</v>
      </c>
      <c r="DH520" t="s">
        <v>7424</v>
      </c>
      <c r="DI520" t="s">
        <v>7426</v>
      </c>
    </row>
    <row r="521" spans="1:113" ht="15" customHeight="1" x14ac:dyDescent="0.25">
      <c r="A521" t="s">
        <v>21141</v>
      </c>
      <c r="B521" t="s">
        <v>152</v>
      </c>
      <c r="C521" s="1">
        <v>45233.539804050924</v>
      </c>
      <c r="D521" s="1">
        <v>45265</v>
      </c>
      <c r="E521" t="s">
        <v>132</v>
      </c>
      <c r="F521" t="s">
        <v>685</v>
      </c>
      <c r="G521" t="str">
        <f>"39-3091.00"</f>
        <v>39-3091.00</v>
      </c>
      <c r="H521" t="s">
        <v>237</v>
      </c>
      <c r="I521">
        <v>4</v>
      </c>
      <c r="J521">
        <v>4</v>
      </c>
      <c r="K521" s="1">
        <v>45323</v>
      </c>
      <c r="L521" s="1">
        <v>45581</v>
      </c>
      <c r="M521" s="1">
        <v>45323</v>
      </c>
      <c r="N521" s="1">
        <v>45581</v>
      </c>
      <c r="O521" t="s">
        <v>238</v>
      </c>
      <c r="P521" t="s">
        <v>11971</v>
      </c>
      <c r="Q521" t="s">
        <v>11972</v>
      </c>
      <c r="R521" t="s">
        <v>11973</v>
      </c>
      <c r="T521" t="s">
        <v>11974</v>
      </c>
      <c r="U521" t="s">
        <v>402</v>
      </c>
      <c r="V521" s="8" t="str">
        <f>"93622"</f>
        <v>93622</v>
      </c>
      <c r="W521" t="s">
        <v>118</v>
      </c>
      <c r="Y521" s="10">
        <v>14157981537</v>
      </c>
      <c r="Z521" s="3" t="s">
        <v>256</v>
      </c>
      <c r="AA521">
        <v>71399</v>
      </c>
      <c r="AB521" t="s">
        <v>8126</v>
      </c>
      <c r="AC521" t="s">
        <v>1328</v>
      </c>
      <c r="AE521" t="s">
        <v>1580</v>
      </c>
      <c r="AF521" t="s">
        <v>11975</v>
      </c>
      <c r="AH521" t="s">
        <v>11974</v>
      </c>
      <c r="AI521" t="s">
        <v>402</v>
      </c>
      <c r="AJ521" s="8" t="str">
        <f>"93622"</f>
        <v>93622</v>
      </c>
      <c r="AK521" t="s">
        <v>118</v>
      </c>
      <c r="AM521" s="10">
        <v>14157981537</v>
      </c>
      <c r="AN521" s="3" t="s">
        <v>256</v>
      </c>
      <c r="AO521" t="s">
        <v>11976</v>
      </c>
      <c r="AP521" t="s">
        <v>248</v>
      </c>
      <c r="AQ521" t="s">
        <v>249</v>
      </c>
      <c r="AR521" t="s">
        <v>250</v>
      </c>
      <c r="AS521" t="s">
        <v>251</v>
      </c>
      <c r="AT521" t="s">
        <v>252</v>
      </c>
      <c r="AU521" t="s">
        <v>253</v>
      </c>
      <c r="AV521" t="s">
        <v>254</v>
      </c>
      <c r="AW521" t="s">
        <v>127</v>
      </c>
      <c r="AX521" s="8" t="str">
        <f>"78550"</f>
        <v>78550</v>
      </c>
      <c r="AY521" t="s">
        <v>118</v>
      </c>
      <c r="AZ521" t="s">
        <v>255</v>
      </c>
      <c r="BA521" s="10">
        <v>19564408720</v>
      </c>
      <c r="BB521" s="3" t="s">
        <v>256</v>
      </c>
      <c r="BC521" t="s">
        <v>338</v>
      </c>
      <c r="BD521" t="s">
        <v>258</v>
      </c>
      <c r="BG521" t="s">
        <v>402</v>
      </c>
      <c r="BH521" s="1">
        <v>45232.833333333336</v>
      </c>
      <c r="BI521">
        <v>40</v>
      </c>
      <c r="BJ521">
        <v>8</v>
      </c>
      <c r="BK521">
        <v>0</v>
      </c>
      <c r="BL521">
        <v>0</v>
      </c>
      <c r="BM521">
        <v>8</v>
      </c>
      <c r="BN521">
        <v>8</v>
      </c>
      <c r="BO521">
        <v>8</v>
      </c>
      <c r="BP521">
        <v>8</v>
      </c>
      <c r="BQ521" t="str">
        <f>"1:00 PM"</f>
        <v>1:00 PM</v>
      </c>
      <c r="BR521" t="str">
        <f>"10:00 PM"</f>
        <v>10:00 PM</v>
      </c>
      <c r="BS521" t="s">
        <v>131</v>
      </c>
      <c r="BT521">
        <v>0</v>
      </c>
      <c r="BU521">
        <v>0</v>
      </c>
      <c r="BV521" t="s">
        <v>114</v>
      </c>
      <c r="BX521" s="2" t="s">
        <v>339</v>
      </c>
      <c r="BY521" t="s">
        <v>11975</v>
      </c>
      <c r="CA521" t="s">
        <v>11974</v>
      </c>
      <c r="CB521" t="s">
        <v>402</v>
      </c>
      <c r="CC521" s="8" t="str">
        <f>"93622"</f>
        <v>93622</v>
      </c>
      <c r="CD521" t="s">
        <v>3277</v>
      </c>
      <c r="CE521" t="s">
        <v>3278</v>
      </c>
      <c r="CF521" s="12">
        <v>11.97</v>
      </c>
      <c r="CG521" s="12">
        <v>18.399999999999999</v>
      </c>
      <c r="CJ521" t="s">
        <v>135</v>
      </c>
      <c r="CK521" t="s">
        <v>342</v>
      </c>
      <c r="CL521" t="s">
        <v>15321</v>
      </c>
      <c r="CO521" t="s">
        <v>132</v>
      </c>
      <c r="CP521" t="s">
        <v>136</v>
      </c>
      <c r="CQ521" t="s">
        <v>136</v>
      </c>
      <c r="CR521" t="s">
        <v>114</v>
      </c>
      <c r="CS521" t="s">
        <v>136</v>
      </c>
      <c r="CT521" t="s">
        <v>136</v>
      </c>
      <c r="CU521" t="s">
        <v>136</v>
      </c>
      <c r="CV521" t="s">
        <v>21142</v>
      </c>
      <c r="CW521" s="10" t="str">
        <f>"+14157981537"</f>
        <v>+14157981537</v>
      </c>
      <c r="CX521" t="s">
        <v>11976</v>
      </c>
      <c r="CY521" t="s">
        <v>132</v>
      </c>
      <c r="CZ521" t="s">
        <v>137</v>
      </c>
      <c r="DA521" t="s">
        <v>114</v>
      </c>
      <c r="DB521" t="s">
        <v>114</v>
      </c>
      <c r="DC521" t="s">
        <v>136</v>
      </c>
      <c r="DD521" t="s">
        <v>114</v>
      </c>
    </row>
    <row r="522" spans="1:113" ht="15" customHeight="1" x14ac:dyDescent="0.25">
      <c r="A522" t="s">
        <v>24101</v>
      </c>
      <c r="B522" t="s">
        <v>152</v>
      </c>
      <c r="C522" s="1">
        <v>45233.446930439815</v>
      </c>
      <c r="D522" s="1">
        <v>45265</v>
      </c>
      <c r="E522" t="s">
        <v>132</v>
      </c>
      <c r="F522" t="s">
        <v>700</v>
      </c>
      <c r="G522" t="str">
        <f>"47-2061.00"</f>
        <v>47-2061.00</v>
      </c>
      <c r="H522" t="s">
        <v>570</v>
      </c>
      <c r="I522">
        <v>17</v>
      </c>
      <c r="J522">
        <v>17</v>
      </c>
      <c r="K522" s="1">
        <v>45323</v>
      </c>
      <c r="L522" s="1">
        <v>45596</v>
      </c>
      <c r="M522" s="1">
        <v>45323</v>
      </c>
      <c r="N522" s="1">
        <v>45596</v>
      </c>
      <c r="O522" t="s">
        <v>116</v>
      </c>
      <c r="P522" t="s">
        <v>14003</v>
      </c>
      <c r="R522" t="s">
        <v>14004</v>
      </c>
      <c r="S522" t="s">
        <v>132</v>
      </c>
      <c r="T522" t="s">
        <v>14005</v>
      </c>
      <c r="U522" t="s">
        <v>127</v>
      </c>
      <c r="V522" s="8" t="str">
        <f>"76528"</f>
        <v>76528</v>
      </c>
      <c r="W522" t="s">
        <v>118</v>
      </c>
      <c r="Y522" s="10">
        <v>12542480744</v>
      </c>
      <c r="AA522">
        <v>238110</v>
      </c>
      <c r="AB522" t="s">
        <v>14006</v>
      </c>
      <c r="AC522" t="s">
        <v>10954</v>
      </c>
      <c r="AE522" t="s">
        <v>378</v>
      </c>
      <c r="AF522" t="s">
        <v>14004</v>
      </c>
      <c r="AG522" t="s">
        <v>132</v>
      </c>
      <c r="AH522" t="s">
        <v>14005</v>
      </c>
      <c r="AI522" t="s">
        <v>127</v>
      </c>
      <c r="AJ522" s="8" t="str">
        <f>"76528"</f>
        <v>76528</v>
      </c>
      <c r="AK522" t="s">
        <v>118</v>
      </c>
      <c r="AM522" s="10">
        <v>12542480744</v>
      </c>
      <c r="AO522" t="s">
        <v>14007</v>
      </c>
      <c r="AP522" t="s">
        <v>248</v>
      </c>
      <c r="AQ522" t="s">
        <v>1582</v>
      </c>
      <c r="AR522" t="s">
        <v>1583</v>
      </c>
      <c r="AS522" t="s">
        <v>631</v>
      </c>
      <c r="AT522" t="s">
        <v>1584</v>
      </c>
      <c r="AU522" t="s">
        <v>132</v>
      </c>
      <c r="AV522" t="s">
        <v>1585</v>
      </c>
      <c r="AW522" t="s">
        <v>127</v>
      </c>
      <c r="AX522" s="8" t="str">
        <f>"77414"</f>
        <v>77414</v>
      </c>
      <c r="AY522" t="s">
        <v>118</v>
      </c>
      <c r="BA522" s="10">
        <v>19793187280</v>
      </c>
      <c r="BC522" t="s">
        <v>1586</v>
      </c>
      <c r="BD522" t="s">
        <v>1587</v>
      </c>
      <c r="BG522" t="s">
        <v>127</v>
      </c>
      <c r="BH522" s="1">
        <v>45232.833333333336</v>
      </c>
      <c r="BI522">
        <v>40</v>
      </c>
      <c r="BJ522">
        <v>0</v>
      </c>
      <c r="BK522">
        <v>8</v>
      </c>
      <c r="BL522">
        <v>8</v>
      </c>
      <c r="BM522">
        <v>8</v>
      </c>
      <c r="BN522">
        <v>8</v>
      </c>
      <c r="BO522">
        <v>8</v>
      </c>
      <c r="BP522">
        <v>0</v>
      </c>
      <c r="BQ522" t="str">
        <f>"7:00 AM"</f>
        <v>7:00 AM</v>
      </c>
      <c r="BR522" t="str">
        <f>"5:30 PM"</f>
        <v>5:30 PM</v>
      </c>
      <c r="BS522" t="s">
        <v>131</v>
      </c>
      <c r="BT522">
        <v>0</v>
      </c>
      <c r="BU522">
        <v>0</v>
      </c>
      <c r="BV522" t="s">
        <v>114</v>
      </c>
      <c r="BX522" s="2" t="s">
        <v>14008</v>
      </c>
      <c r="BY522" t="s">
        <v>14004</v>
      </c>
      <c r="BZ522" t="s">
        <v>132</v>
      </c>
      <c r="CA522" t="s">
        <v>14005</v>
      </c>
      <c r="CB522" t="s">
        <v>127</v>
      </c>
      <c r="CC522" s="8" t="str">
        <f>"76528"</f>
        <v>76528</v>
      </c>
      <c r="CD522" t="s">
        <v>14009</v>
      </c>
      <c r="CE522" t="s">
        <v>3251</v>
      </c>
      <c r="CF522" s="12">
        <v>17.07</v>
      </c>
      <c r="CG522" s="12">
        <v>18</v>
      </c>
      <c r="CH522" s="12">
        <v>25.61</v>
      </c>
      <c r="CI522" s="12">
        <v>27</v>
      </c>
      <c r="CJ522" t="s">
        <v>135</v>
      </c>
      <c r="CK522" t="s">
        <v>3408</v>
      </c>
      <c r="CL522" t="s">
        <v>24102</v>
      </c>
      <c r="CO522" t="s">
        <v>132</v>
      </c>
      <c r="CP522" t="s">
        <v>136</v>
      </c>
      <c r="CQ522" t="s">
        <v>136</v>
      </c>
      <c r="CR522" t="s">
        <v>136</v>
      </c>
      <c r="CS522" t="s">
        <v>136</v>
      </c>
      <c r="CT522" t="s">
        <v>136</v>
      </c>
      <c r="CU522" t="s">
        <v>114</v>
      </c>
      <c r="CV522" t="s">
        <v>3057</v>
      </c>
      <c r="CW522" s="10" t="str">
        <f>"+12542480744"</f>
        <v>+12542480744</v>
      </c>
      <c r="CX522" t="s">
        <v>14007</v>
      </c>
      <c r="CY522" t="s">
        <v>132</v>
      </c>
      <c r="CZ522" t="s">
        <v>137</v>
      </c>
      <c r="DA522" t="s">
        <v>114</v>
      </c>
      <c r="DB522" t="s">
        <v>114</v>
      </c>
      <c r="DC522" t="s">
        <v>136</v>
      </c>
      <c r="DD522" t="s">
        <v>114</v>
      </c>
    </row>
    <row r="523" spans="1:113" ht="15" customHeight="1" x14ac:dyDescent="0.25">
      <c r="A523" t="s">
        <v>14002</v>
      </c>
      <c r="B523" t="s">
        <v>152</v>
      </c>
      <c r="C523" s="1">
        <v>45233.445178009257</v>
      </c>
      <c r="D523" s="1">
        <v>45265</v>
      </c>
      <c r="E523" t="s">
        <v>132</v>
      </c>
      <c r="F523" t="s">
        <v>1290</v>
      </c>
      <c r="G523" t="str">
        <f>"47-2051.00"</f>
        <v>47-2051.00</v>
      </c>
      <c r="H523" t="s">
        <v>1291</v>
      </c>
      <c r="I523">
        <v>17</v>
      </c>
      <c r="J523">
        <v>17</v>
      </c>
      <c r="K523" s="1">
        <v>45323</v>
      </c>
      <c r="L523" s="1">
        <v>45596</v>
      </c>
      <c r="M523" s="1">
        <v>45323</v>
      </c>
      <c r="N523" s="1">
        <v>45596</v>
      </c>
      <c r="O523" t="s">
        <v>116</v>
      </c>
      <c r="P523" t="s">
        <v>14003</v>
      </c>
      <c r="R523" t="s">
        <v>14004</v>
      </c>
      <c r="S523" t="s">
        <v>132</v>
      </c>
      <c r="T523" t="s">
        <v>14005</v>
      </c>
      <c r="U523" t="s">
        <v>127</v>
      </c>
      <c r="V523" s="8" t="str">
        <f>"76528"</f>
        <v>76528</v>
      </c>
      <c r="W523" t="s">
        <v>118</v>
      </c>
      <c r="Y523" s="10">
        <v>12542480744</v>
      </c>
      <c r="AA523">
        <v>238110</v>
      </c>
      <c r="AB523" t="s">
        <v>14006</v>
      </c>
      <c r="AC523" t="s">
        <v>10954</v>
      </c>
      <c r="AE523" t="s">
        <v>378</v>
      </c>
      <c r="AF523" t="s">
        <v>14004</v>
      </c>
      <c r="AG523" t="s">
        <v>132</v>
      </c>
      <c r="AH523" t="s">
        <v>14005</v>
      </c>
      <c r="AI523" t="s">
        <v>127</v>
      </c>
      <c r="AJ523" s="8" t="str">
        <f>"76528"</f>
        <v>76528</v>
      </c>
      <c r="AK523" t="s">
        <v>118</v>
      </c>
      <c r="AM523" s="10">
        <v>12542480744</v>
      </c>
      <c r="AO523" t="s">
        <v>14007</v>
      </c>
      <c r="AP523" t="s">
        <v>248</v>
      </c>
      <c r="AQ523" t="s">
        <v>1582</v>
      </c>
      <c r="AR523" t="s">
        <v>1583</v>
      </c>
      <c r="AS523" t="s">
        <v>631</v>
      </c>
      <c r="AT523" t="s">
        <v>2454</v>
      </c>
      <c r="AU523" t="s">
        <v>132</v>
      </c>
      <c r="AV523" t="s">
        <v>1585</v>
      </c>
      <c r="AW523" t="s">
        <v>127</v>
      </c>
      <c r="AX523" s="8" t="str">
        <f>"77414"</f>
        <v>77414</v>
      </c>
      <c r="AY523" t="s">
        <v>118</v>
      </c>
      <c r="BA523" s="10">
        <v>19793187280</v>
      </c>
      <c r="BC523" t="s">
        <v>1586</v>
      </c>
      <c r="BD523" t="s">
        <v>1587</v>
      </c>
      <c r="BG523" t="s">
        <v>127</v>
      </c>
      <c r="BH523" s="1">
        <v>45232.833333333336</v>
      </c>
      <c r="BI523">
        <v>40</v>
      </c>
      <c r="BJ523">
        <v>0</v>
      </c>
      <c r="BK523">
        <v>8</v>
      </c>
      <c r="BL523">
        <v>8</v>
      </c>
      <c r="BM523">
        <v>8</v>
      </c>
      <c r="BN523">
        <v>8</v>
      </c>
      <c r="BO523">
        <v>8</v>
      </c>
      <c r="BP523">
        <v>0</v>
      </c>
      <c r="BQ523" t="str">
        <f>"7:00 AM"</f>
        <v>7:00 AM</v>
      </c>
      <c r="BR523" t="str">
        <f>"5:30 PM"</f>
        <v>5:30 PM</v>
      </c>
      <c r="BS523" t="s">
        <v>131</v>
      </c>
      <c r="BT523">
        <v>0</v>
      </c>
      <c r="BU523">
        <v>0</v>
      </c>
      <c r="BV523" t="s">
        <v>114</v>
      </c>
      <c r="BX523" s="2" t="s">
        <v>14008</v>
      </c>
      <c r="BY523" t="s">
        <v>14004</v>
      </c>
      <c r="BZ523" t="s">
        <v>132</v>
      </c>
      <c r="CA523" t="s">
        <v>14005</v>
      </c>
      <c r="CB523" t="s">
        <v>127</v>
      </c>
      <c r="CC523" s="8" t="str">
        <f>"76528"</f>
        <v>76528</v>
      </c>
      <c r="CD523" t="s">
        <v>14009</v>
      </c>
      <c r="CE523" t="s">
        <v>3251</v>
      </c>
      <c r="CF523" s="12">
        <v>19.98</v>
      </c>
      <c r="CG523" s="12">
        <v>22</v>
      </c>
      <c r="CH523" s="12">
        <v>29.97</v>
      </c>
      <c r="CI523" s="12">
        <v>33</v>
      </c>
      <c r="CJ523" t="s">
        <v>135</v>
      </c>
      <c r="CK523" t="s">
        <v>3408</v>
      </c>
      <c r="CL523" t="s">
        <v>14010</v>
      </c>
      <c r="CO523" t="s">
        <v>132</v>
      </c>
      <c r="CP523" t="s">
        <v>136</v>
      </c>
      <c r="CQ523" t="s">
        <v>136</v>
      </c>
      <c r="CR523" t="s">
        <v>136</v>
      </c>
      <c r="CS523" t="s">
        <v>136</v>
      </c>
      <c r="CT523" t="s">
        <v>136</v>
      </c>
      <c r="CU523" t="s">
        <v>114</v>
      </c>
      <c r="CV523" t="s">
        <v>3057</v>
      </c>
      <c r="CW523" s="10" t="str">
        <f>"+12542480744"</f>
        <v>+12542480744</v>
      </c>
      <c r="CX523" t="s">
        <v>14007</v>
      </c>
      <c r="CY523" t="s">
        <v>132</v>
      </c>
      <c r="CZ523" t="s">
        <v>137</v>
      </c>
      <c r="DA523" t="s">
        <v>114</v>
      </c>
      <c r="DB523" t="s">
        <v>114</v>
      </c>
      <c r="DC523" t="s">
        <v>136</v>
      </c>
      <c r="DD523" t="s">
        <v>114</v>
      </c>
    </row>
    <row r="524" spans="1:113" ht="15" customHeight="1" x14ac:dyDescent="0.25">
      <c r="A524" t="s">
        <v>13882</v>
      </c>
      <c r="B524" t="s">
        <v>152</v>
      </c>
      <c r="C524" s="1">
        <v>45233.388190393518</v>
      </c>
      <c r="D524" s="1">
        <v>45265</v>
      </c>
      <c r="E524" t="s">
        <v>132</v>
      </c>
      <c r="F524" t="s">
        <v>1595</v>
      </c>
      <c r="G524" t="str">
        <f>"37-3011.00"</f>
        <v>37-3011.00</v>
      </c>
      <c r="H524" t="s">
        <v>429</v>
      </c>
      <c r="I524">
        <v>30</v>
      </c>
      <c r="J524">
        <v>30</v>
      </c>
      <c r="K524" s="1">
        <v>45323</v>
      </c>
      <c r="L524" s="1">
        <v>45626</v>
      </c>
      <c r="M524" s="1">
        <v>45323</v>
      </c>
      <c r="N524" s="1">
        <v>45626</v>
      </c>
      <c r="O524" t="s">
        <v>238</v>
      </c>
      <c r="P524" t="s">
        <v>13883</v>
      </c>
      <c r="R524" t="s">
        <v>13884</v>
      </c>
      <c r="T524" t="s">
        <v>13885</v>
      </c>
      <c r="U524" t="s">
        <v>158</v>
      </c>
      <c r="V524" s="8" t="str">
        <f>"48444"</f>
        <v>48444</v>
      </c>
      <c r="W524" t="s">
        <v>118</v>
      </c>
      <c r="Y524" s="10">
        <v>18107907015</v>
      </c>
      <c r="AA524">
        <v>56173</v>
      </c>
      <c r="AB524" t="s">
        <v>2044</v>
      </c>
      <c r="AC524" t="s">
        <v>10143</v>
      </c>
      <c r="AE524" t="s">
        <v>561</v>
      </c>
      <c r="AF524" t="s">
        <v>13884</v>
      </c>
      <c r="AH524" t="s">
        <v>13885</v>
      </c>
      <c r="AI524" t="s">
        <v>158</v>
      </c>
      <c r="AJ524" s="8" t="str">
        <f>"48444"</f>
        <v>48444</v>
      </c>
      <c r="AK524" t="s">
        <v>118</v>
      </c>
      <c r="AM524" s="10">
        <v>18107907015</v>
      </c>
      <c r="AO524" t="s">
        <v>13886</v>
      </c>
      <c r="AP524" t="s">
        <v>121</v>
      </c>
      <c r="AQ524" t="s">
        <v>1771</v>
      </c>
      <c r="AR524" t="s">
        <v>1772</v>
      </c>
      <c r="AS524" t="s">
        <v>1410</v>
      </c>
      <c r="AT524" t="s">
        <v>1773</v>
      </c>
      <c r="AU524" t="s">
        <v>1774</v>
      </c>
      <c r="AV524" t="s">
        <v>1775</v>
      </c>
      <c r="AW524" t="s">
        <v>1776</v>
      </c>
      <c r="AX524" s="8" t="str">
        <f>"08034"</f>
        <v>08034</v>
      </c>
      <c r="AY524" t="s">
        <v>118</v>
      </c>
      <c r="AZ524" t="s">
        <v>1777</v>
      </c>
      <c r="BA524" s="10">
        <v>18562819750</v>
      </c>
      <c r="BC524" t="s">
        <v>1778</v>
      </c>
      <c r="BD524" t="s">
        <v>1779</v>
      </c>
      <c r="BE524" t="s">
        <v>1776</v>
      </c>
      <c r="BF524" t="s">
        <v>1780</v>
      </c>
      <c r="BG524" t="s">
        <v>158</v>
      </c>
      <c r="BH524" s="1">
        <v>45226.833333333336</v>
      </c>
      <c r="BI524">
        <v>40</v>
      </c>
      <c r="BJ524">
        <v>0</v>
      </c>
      <c r="BK524">
        <v>8</v>
      </c>
      <c r="BL524">
        <v>8</v>
      </c>
      <c r="BM524">
        <v>8</v>
      </c>
      <c r="BN524">
        <v>8</v>
      </c>
      <c r="BO524">
        <v>8</v>
      </c>
      <c r="BP524">
        <v>0</v>
      </c>
      <c r="BQ524" t="str">
        <f>"9:00 AM"</f>
        <v>9:00 AM</v>
      </c>
      <c r="BR524" t="str">
        <f>"5:00 PM"</f>
        <v>5:00 PM</v>
      </c>
      <c r="BS524" t="s">
        <v>131</v>
      </c>
      <c r="BT524">
        <v>0</v>
      </c>
      <c r="BU524">
        <v>0</v>
      </c>
      <c r="BV524" t="s">
        <v>114</v>
      </c>
      <c r="BX524" t="s">
        <v>132</v>
      </c>
      <c r="BY524" t="s">
        <v>13884</v>
      </c>
      <c r="CA524" t="s">
        <v>13885</v>
      </c>
      <c r="CB524" t="s">
        <v>158</v>
      </c>
      <c r="CC524" s="8" t="str">
        <f>"48444"</f>
        <v>48444</v>
      </c>
      <c r="CD524" t="s">
        <v>13887</v>
      </c>
      <c r="CE524" t="s">
        <v>2228</v>
      </c>
      <c r="CF524" s="12">
        <v>17.55</v>
      </c>
      <c r="CG524" s="12">
        <v>17.55</v>
      </c>
      <c r="CH524" s="12">
        <v>26.33</v>
      </c>
      <c r="CI524" s="12">
        <v>26.33</v>
      </c>
      <c r="CJ524" t="s">
        <v>135</v>
      </c>
      <c r="CK524" t="s">
        <v>13888</v>
      </c>
      <c r="CL524" t="s">
        <v>13889</v>
      </c>
      <c r="CO524" t="s">
        <v>132</v>
      </c>
      <c r="CP524" t="s">
        <v>136</v>
      </c>
      <c r="CQ524" t="s">
        <v>136</v>
      </c>
      <c r="CR524" t="s">
        <v>136</v>
      </c>
      <c r="CS524" t="s">
        <v>136</v>
      </c>
      <c r="CT524" t="s">
        <v>136</v>
      </c>
      <c r="CU524" t="s">
        <v>114</v>
      </c>
      <c r="CV524" t="s">
        <v>131</v>
      </c>
      <c r="CW524" s="10" t="str">
        <f>"+18107907015"</f>
        <v>+18107907015</v>
      </c>
      <c r="CX524" t="s">
        <v>13886</v>
      </c>
      <c r="CY524" t="s">
        <v>132</v>
      </c>
      <c r="CZ524" t="s">
        <v>137</v>
      </c>
      <c r="DA524" t="s">
        <v>114</v>
      </c>
      <c r="DB524" t="s">
        <v>136</v>
      </c>
      <c r="DC524" t="s">
        <v>136</v>
      </c>
      <c r="DD524" t="s">
        <v>114</v>
      </c>
    </row>
    <row r="525" spans="1:113" ht="15" customHeight="1" x14ac:dyDescent="0.25">
      <c r="A525" t="s">
        <v>19874</v>
      </c>
      <c r="B525" t="s">
        <v>152</v>
      </c>
      <c r="C525" s="1">
        <v>45233.011895601849</v>
      </c>
      <c r="D525" s="1">
        <v>45265</v>
      </c>
      <c r="E525" t="s">
        <v>132</v>
      </c>
      <c r="F525" t="s">
        <v>19875</v>
      </c>
      <c r="G525" t="str">
        <f>"37-3011.00"</f>
        <v>37-3011.00</v>
      </c>
      <c r="H525" t="s">
        <v>429</v>
      </c>
      <c r="I525">
        <v>15</v>
      </c>
      <c r="J525">
        <v>15</v>
      </c>
      <c r="K525" s="1">
        <v>45323</v>
      </c>
      <c r="L525" s="1">
        <v>45597</v>
      </c>
      <c r="M525" s="1">
        <v>45323</v>
      </c>
      <c r="N525" s="1">
        <v>45597</v>
      </c>
      <c r="O525" t="s">
        <v>116</v>
      </c>
      <c r="P525" t="s">
        <v>19876</v>
      </c>
      <c r="R525" t="s">
        <v>19877</v>
      </c>
      <c r="T525" t="s">
        <v>3255</v>
      </c>
      <c r="U525" t="s">
        <v>127</v>
      </c>
      <c r="V525" s="8" t="str">
        <f>"75056"</f>
        <v>75056</v>
      </c>
      <c r="W525" t="s">
        <v>118</v>
      </c>
      <c r="Y525" s="10">
        <v>19724925495</v>
      </c>
      <c r="AA525">
        <v>56173</v>
      </c>
      <c r="AB525" t="s">
        <v>19878</v>
      </c>
      <c r="AC525" t="s">
        <v>19879</v>
      </c>
      <c r="AE525" t="s">
        <v>1799</v>
      </c>
      <c r="AF525" t="s">
        <v>19877</v>
      </c>
      <c r="AH525" t="s">
        <v>3255</v>
      </c>
      <c r="AI525" t="s">
        <v>127</v>
      </c>
      <c r="AJ525" s="8" t="str">
        <f>"75056"</f>
        <v>75056</v>
      </c>
      <c r="AK525" t="s">
        <v>118</v>
      </c>
      <c r="AM525" s="10">
        <v>19724925495</v>
      </c>
      <c r="AO525" t="s">
        <v>19880</v>
      </c>
      <c r="AP525" t="s">
        <v>248</v>
      </c>
      <c r="AQ525" t="s">
        <v>3017</v>
      </c>
      <c r="AR525" t="s">
        <v>3018</v>
      </c>
      <c r="AT525" t="s">
        <v>3019</v>
      </c>
      <c r="AV525" t="s">
        <v>1168</v>
      </c>
      <c r="AW525" t="s">
        <v>127</v>
      </c>
      <c r="AX525" s="8" t="str">
        <f>"75098"</f>
        <v>75098</v>
      </c>
      <c r="AY525" t="s">
        <v>118</v>
      </c>
      <c r="BA525" s="10">
        <v>19724424244</v>
      </c>
      <c r="BC525" t="s">
        <v>3020</v>
      </c>
      <c r="BD525" t="s">
        <v>3021</v>
      </c>
      <c r="BG525" t="s">
        <v>127</v>
      </c>
      <c r="BH525" s="1">
        <v>45232.833333333336</v>
      </c>
      <c r="BI525">
        <v>40</v>
      </c>
      <c r="BJ525">
        <v>0</v>
      </c>
      <c r="BK525">
        <v>8</v>
      </c>
      <c r="BL525">
        <v>8</v>
      </c>
      <c r="BM525">
        <v>8</v>
      </c>
      <c r="BN525">
        <v>8</v>
      </c>
      <c r="BO525">
        <v>8</v>
      </c>
      <c r="BP525">
        <v>0</v>
      </c>
      <c r="BQ525" t="str">
        <f>"8:00 AM"</f>
        <v>8:00 AM</v>
      </c>
      <c r="BR525" t="str">
        <f>"5:00 PM"</f>
        <v>5:00 PM</v>
      </c>
      <c r="BS525" t="s">
        <v>131</v>
      </c>
      <c r="BT525">
        <v>0</v>
      </c>
      <c r="BU525">
        <v>0</v>
      </c>
      <c r="BV525" t="s">
        <v>114</v>
      </c>
      <c r="BX525" t="s">
        <v>1480</v>
      </c>
      <c r="BY525" t="s">
        <v>19877</v>
      </c>
      <c r="CA525" t="s">
        <v>3255</v>
      </c>
      <c r="CB525" t="s">
        <v>127</v>
      </c>
      <c r="CC525" s="8" t="str">
        <f>"75056"</f>
        <v>75056</v>
      </c>
      <c r="CD525" t="s">
        <v>3259</v>
      </c>
      <c r="CE525" t="s">
        <v>263</v>
      </c>
      <c r="CF525" s="12">
        <v>16.86</v>
      </c>
      <c r="CG525" s="12">
        <v>21</v>
      </c>
      <c r="CH525" s="12">
        <v>25.29</v>
      </c>
      <c r="CI525" s="12">
        <v>31.5</v>
      </c>
      <c r="CJ525" t="s">
        <v>135</v>
      </c>
      <c r="CL525" t="s">
        <v>19881</v>
      </c>
      <c r="CO525" t="s">
        <v>132</v>
      </c>
      <c r="CP525" t="s">
        <v>136</v>
      </c>
      <c r="CQ525" t="s">
        <v>136</v>
      </c>
      <c r="CR525" t="s">
        <v>136</v>
      </c>
      <c r="CS525" t="s">
        <v>136</v>
      </c>
      <c r="CT525" t="s">
        <v>136</v>
      </c>
      <c r="CU525" t="s">
        <v>136</v>
      </c>
      <c r="CV525" t="s">
        <v>5345</v>
      </c>
      <c r="CW525" s="10" t="str">
        <f>"+19724925495"</f>
        <v>+19724925495</v>
      </c>
      <c r="CX525" t="s">
        <v>132</v>
      </c>
      <c r="CY525" t="s">
        <v>3190</v>
      </c>
      <c r="CZ525" t="s">
        <v>137</v>
      </c>
      <c r="DA525" t="s">
        <v>114</v>
      </c>
      <c r="DB525" t="s">
        <v>114</v>
      </c>
      <c r="DC525" t="s">
        <v>136</v>
      </c>
      <c r="DD525" t="s">
        <v>114</v>
      </c>
    </row>
    <row r="526" spans="1:113" ht="15" customHeight="1" x14ac:dyDescent="0.25">
      <c r="A526" t="s">
        <v>22980</v>
      </c>
      <c r="B526" t="s">
        <v>152</v>
      </c>
      <c r="C526" s="1">
        <v>45233.009382407407</v>
      </c>
      <c r="D526" s="1">
        <v>45265</v>
      </c>
      <c r="E526" t="s">
        <v>132</v>
      </c>
      <c r="F526" t="s">
        <v>1595</v>
      </c>
      <c r="G526" t="str">
        <f>"37-3011.00"</f>
        <v>37-3011.00</v>
      </c>
      <c r="H526" t="s">
        <v>429</v>
      </c>
      <c r="I526">
        <v>9</v>
      </c>
      <c r="J526">
        <v>9</v>
      </c>
      <c r="K526" s="1">
        <v>45323</v>
      </c>
      <c r="L526" s="1">
        <v>45597</v>
      </c>
      <c r="M526" s="1">
        <v>45323</v>
      </c>
      <c r="N526" s="1">
        <v>45597</v>
      </c>
      <c r="O526" t="s">
        <v>116</v>
      </c>
      <c r="P526" t="s">
        <v>22981</v>
      </c>
      <c r="R526" t="s">
        <v>22982</v>
      </c>
      <c r="S526" t="s">
        <v>22983</v>
      </c>
      <c r="T526" t="s">
        <v>2189</v>
      </c>
      <c r="U526" t="s">
        <v>333</v>
      </c>
      <c r="V526" s="8" t="str">
        <f>"70508"</f>
        <v>70508</v>
      </c>
      <c r="W526" t="s">
        <v>118</v>
      </c>
      <c r="Y526" s="10">
        <v>13372665551</v>
      </c>
      <c r="AA526">
        <v>56173</v>
      </c>
      <c r="AB526" t="s">
        <v>22984</v>
      </c>
      <c r="AC526" t="s">
        <v>10895</v>
      </c>
      <c r="AD526" t="s">
        <v>3526</v>
      </c>
      <c r="AE526" t="s">
        <v>629</v>
      </c>
      <c r="AF526" t="s">
        <v>22982</v>
      </c>
      <c r="AG526" t="s">
        <v>22983</v>
      </c>
      <c r="AH526" t="s">
        <v>2189</v>
      </c>
      <c r="AI526" t="s">
        <v>333</v>
      </c>
      <c r="AJ526" s="8" t="str">
        <f>"70508"</f>
        <v>70508</v>
      </c>
      <c r="AK526" t="s">
        <v>118</v>
      </c>
      <c r="AM526" s="10">
        <v>13372665551</v>
      </c>
      <c r="AO526" t="s">
        <v>22985</v>
      </c>
      <c r="AP526" t="s">
        <v>248</v>
      </c>
      <c r="AQ526" t="s">
        <v>3017</v>
      </c>
      <c r="AR526" t="s">
        <v>3018</v>
      </c>
      <c r="AS526" t="s">
        <v>631</v>
      </c>
      <c r="AT526" t="s">
        <v>3371</v>
      </c>
      <c r="AV526" t="s">
        <v>1168</v>
      </c>
      <c r="AW526" t="s">
        <v>127</v>
      </c>
      <c r="AX526" s="8" t="str">
        <f>"75098"</f>
        <v>75098</v>
      </c>
      <c r="AY526" t="s">
        <v>118</v>
      </c>
      <c r="BA526" s="10">
        <v>19724424244</v>
      </c>
      <c r="BC526" t="s">
        <v>3372</v>
      </c>
      <c r="BD526" t="s">
        <v>3021</v>
      </c>
      <c r="BG526" t="s">
        <v>333</v>
      </c>
      <c r="BH526" s="1">
        <v>45232.833333333336</v>
      </c>
      <c r="BI526">
        <v>40</v>
      </c>
      <c r="BJ526">
        <v>0</v>
      </c>
      <c r="BK526">
        <v>8</v>
      </c>
      <c r="BL526">
        <v>8</v>
      </c>
      <c r="BM526">
        <v>8</v>
      </c>
      <c r="BN526">
        <v>8</v>
      </c>
      <c r="BO526">
        <v>8</v>
      </c>
      <c r="BP526">
        <v>0</v>
      </c>
      <c r="BQ526" t="str">
        <f>"7:00 AM"</f>
        <v>7:00 AM</v>
      </c>
      <c r="BR526" t="str">
        <f>"4:00 PM"</f>
        <v>4:00 PM</v>
      </c>
      <c r="BS526" t="s">
        <v>131</v>
      </c>
      <c r="BT526">
        <v>0</v>
      </c>
      <c r="BU526">
        <v>0</v>
      </c>
      <c r="BV526" t="s">
        <v>114</v>
      </c>
      <c r="BX526" t="s">
        <v>1480</v>
      </c>
      <c r="BY526" t="s">
        <v>22982</v>
      </c>
      <c r="CA526" t="s">
        <v>2189</v>
      </c>
      <c r="CB526" t="s">
        <v>333</v>
      </c>
      <c r="CC526" s="8" t="str">
        <f>"70508"</f>
        <v>70508</v>
      </c>
      <c r="CD526" t="s">
        <v>2900</v>
      </c>
      <c r="CE526" t="s">
        <v>1818</v>
      </c>
      <c r="CF526" s="12">
        <v>14.42</v>
      </c>
      <c r="CG526" s="12">
        <v>16.420000000000002</v>
      </c>
      <c r="CH526" s="12">
        <v>21.63</v>
      </c>
      <c r="CI526" s="12">
        <v>24.63</v>
      </c>
      <c r="CJ526" t="s">
        <v>135</v>
      </c>
      <c r="CL526" t="s">
        <v>22986</v>
      </c>
      <c r="CO526" t="s">
        <v>132</v>
      </c>
      <c r="CP526" t="s">
        <v>136</v>
      </c>
      <c r="CQ526" t="s">
        <v>136</v>
      </c>
      <c r="CR526" t="s">
        <v>136</v>
      </c>
      <c r="CS526" t="s">
        <v>136</v>
      </c>
      <c r="CT526" t="s">
        <v>136</v>
      </c>
      <c r="CU526" t="s">
        <v>136</v>
      </c>
      <c r="CV526" t="s">
        <v>5345</v>
      </c>
      <c r="CW526" s="10" t="str">
        <f>"+13372665551"</f>
        <v>+13372665551</v>
      </c>
      <c r="CX526" t="s">
        <v>132</v>
      </c>
      <c r="CY526" t="s">
        <v>4900</v>
      </c>
      <c r="CZ526" t="s">
        <v>137</v>
      </c>
      <c r="DA526" t="s">
        <v>114</v>
      </c>
      <c r="DB526" t="s">
        <v>114</v>
      </c>
      <c r="DC526" t="s">
        <v>136</v>
      </c>
      <c r="DD526" t="s">
        <v>114</v>
      </c>
    </row>
    <row r="527" spans="1:113" ht="15" customHeight="1" x14ac:dyDescent="0.25">
      <c r="A527" t="s">
        <v>14801</v>
      </c>
      <c r="B527" t="s">
        <v>152</v>
      </c>
      <c r="C527" s="1">
        <v>45232.740327199077</v>
      </c>
      <c r="D527" s="1">
        <v>45265</v>
      </c>
      <c r="E527" t="s">
        <v>132</v>
      </c>
      <c r="F527" t="s">
        <v>14802</v>
      </c>
      <c r="G527" t="str">
        <f>"51-3092.00"</f>
        <v>51-3092.00</v>
      </c>
      <c r="H527" t="s">
        <v>2976</v>
      </c>
      <c r="I527">
        <v>1</v>
      </c>
      <c r="J527">
        <v>1</v>
      </c>
      <c r="K527" s="1">
        <v>45311</v>
      </c>
      <c r="L527" s="1">
        <v>45565</v>
      </c>
      <c r="M527" s="1">
        <v>45311</v>
      </c>
      <c r="N527" s="1">
        <v>45565</v>
      </c>
      <c r="O527" t="s">
        <v>238</v>
      </c>
      <c r="P527" t="s">
        <v>2977</v>
      </c>
      <c r="R527" t="s">
        <v>2978</v>
      </c>
      <c r="T527" t="s">
        <v>2979</v>
      </c>
      <c r="U527" t="s">
        <v>792</v>
      </c>
      <c r="V527" s="8" t="str">
        <f>"98020"</f>
        <v>98020</v>
      </c>
      <c r="W527" t="s">
        <v>118</v>
      </c>
      <c r="Y527" s="10">
        <v>12067269900</v>
      </c>
      <c r="AA527">
        <v>311710</v>
      </c>
      <c r="AB527" t="s">
        <v>2000</v>
      </c>
      <c r="AC527" t="s">
        <v>2980</v>
      </c>
      <c r="AD527" t="s">
        <v>2981</v>
      </c>
      <c r="AE527" t="s">
        <v>2982</v>
      </c>
      <c r="AF527" t="s">
        <v>2978</v>
      </c>
      <c r="AH527" t="s">
        <v>2979</v>
      </c>
      <c r="AI527" t="s">
        <v>792</v>
      </c>
      <c r="AJ527" s="8" t="str">
        <f>"98020"</f>
        <v>98020</v>
      </c>
      <c r="AK527" t="s">
        <v>118</v>
      </c>
      <c r="AM527" s="10">
        <v>12067269900</v>
      </c>
      <c r="AO527" t="s">
        <v>2983</v>
      </c>
      <c r="AP527" t="s">
        <v>121</v>
      </c>
      <c r="AQ527" t="s">
        <v>2984</v>
      </c>
      <c r="AR527" t="s">
        <v>2985</v>
      </c>
      <c r="AT527" t="s">
        <v>2986</v>
      </c>
      <c r="AU527" t="s">
        <v>2987</v>
      </c>
      <c r="AV527" t="s">
        <v>2988</v>
      </c>
      <c r="AW527" t="s">
        <v>792</v>
      </c>
      <c r="AX527" s="8" t="str">
        <f>"98043"</f>
        <v>98043</v>
      </c>
      <c r="AY527" t="s">
        <v>118</v>
      </c>
      <c r="BA527" s="10">
        <v>12064305108</v>
      </c>
      <c r="BB527">
        <v>10</v>
      </c>
      <c r="BC527" t="s">
        <v>2989</v>
      </c>
      <c r="BD527" t="s">
        <v>2990</v>
      </c>
      <c r="BE527" t="s">
        <v>792</v>
      </c>
      <c r="BF527" t="s">
        <v>172</v>
      </c>
      <c r="BG527" t="s">
        <v>2706</v>
      </c>
      <c r="BH527" s="1">
        <v>45231.833333333336</v>
      </c>
      <c r="BI527">
        <v>80</v>
      </c>
      <c r="BJ527">
        <v>10</v>
      </c>
      <c r="BK527">
        <v>12</v>
      </c>
      <c r="BL527">
        <v>12</v>
      </c>
      <c r="BM527">
        <v>12</v>
      </c>
      <c r="BN527">
        <v>12</v>
      </c>
      <c r="BO527">
        <v>12</v>
      </c>
      <c r="BP527">
        <v>10</v>
      </c>
      <c r="BQ527" t="str">
        <f>"9:00 AM"</f>
        <v>9:00 AM</v>
      </c>
      <c r="BR527" t="str">
        <f>"11:00 PM"</f>
        <v>11:00 PM</v>
      </c>
      <c r="BS527" t="s">
        <v>131</v>
      </c>
      <c r="BT527">
        <v>0</v>
      </c>
      <c r="BU527">
        <v>24</v>
      </c>
      <c r="BV527" t="s">
        <v>114</v>
      </c>
      <c r="BX527" s="2" t="s">
        <v>14803</v>
      </c>
      <c r="BY527" t="s">
        <v>2991</v>
      </c>
      <c r="CA527" t="s">
        <v>2992</v>
      </c>
      <c r="CB527" t="s">
        <v>2706</v>
      </c>
      <c r="CC527" s="8" t="str">
        <f>"99615"</f>
        <v>99615</v>
      </c>
      <c r="CD527" t="s">
        <v>2993</v>
      </c>
      <c r="CE527" t="s">
        <v>2714</v>
      </c>
      <c r="CF527" s="12">
        <v>20.059999999999999</v>
      </c>
      <c r="CG527" s="12">
        <v>37</v>
      </c>
      <c r="CH527" s="12">
        <v>30.09</v>
      </c>
      <c r="CI527" s="12">
        <v>55.5</v>
      </c>
      <c r="CJ527" t="s">
        <v>135</v>
      </c>
      <c r="CK527" t="s">
        <v>2994</v>
      </c>
      <c r="CL527" t="s">
        <v>14804</v>
      </c>
      <c r="CO527" t="s">
        <v>132</v>
      </c>
      <c r="CP527" t="s">
        <v>136</v>
      </c>
      <c r="CQ527" t="s">
        <v>114</v>
      </c>
      <c r="CR527" t="s">
        <v>136</v>
      </c>
      <c r="CS527" t="s">
        <v>114</v>
      </c>
      <c r="CT527" t="s">
        <v>136</v>
      </c>
      <c r="CU527" t="s">
        <v>136</v>
      </c>
      <c r="CV527" s="2" t="s">
        <v>14805</v>
      </c>
      <c r="CW527" s="10" t="str">
        <f>"+12067269900"</f>
        <v>+12067269900</v>
      </c>
      <c r="CX527" t="s">
        <v>2983</v>
      </c>
      <c r="CY527" t="s">
        <v>2995</v>
      </c>
      <c r="CZ527" t="s">
        <v>137</v>
      </c>
      <c r="DA527" t="s">
        <v>114</v>
      </c>
      <c r="DB527" t="s">
        <v>114</v>
      </c>
      <c r="DC527" t="s">
        <v>136</v>
      </c>
      <c r="DD527" t="s">
        <v>114</v>
      </c>
    </row>
    <row r="528" spans="1:113" ht="15" customHeight="1" x14ac:dyDescent="0.25">
      <c r="A528" t="s">
        <v>20975</v>
      </c>
      <c r="B528" t="s">
        <v>152</v>
      </c>
      <c r="C528" s="1">
        <v>45225.609542939812</v>
      </c>
      <c r="D528" s="1">
        <v>45265</v>
      </c>
      <c r="E528" t="s">
        <v>132</v>
      </c>
      <c r="F528" t="s">
        <v>12384</v>
      </c>
      <c r="G528" t="str">
        <f>"47-3015.00"</f>
        <v>47-3015.00</v>
      </c>
      <c r="H528" t="s">
        <v>12385</v>
      </c>
      <c r="I528">
        <v>10</v>
      </c>
      <c r="J528">
        <v>10</v>
      </c>
      <c r="K528" s="1">
        <v>45306</v>
      </c>
      <c r="L528" s="1">
        <v>45580</v>
      </c>
      <c r="M528" s="1">
        <v>45306</v>
      </c>
      <c r="N528" s="1">
        <v>45580</v>
      </c>
      <c r="O528" t="s">
        <v>116</v>
      </c>
      <c r="P528" t="s">
        <v>12386</v>
      </c>
      <c r="R528" t="s">
        <v>12387</v>
      </c>
      <c r="S528" t="s">
        <v>12388</v>
      </c>
      <c r="T528" t="s">
        <v>2560</v>
      </c>
      <c r="U528" t="s">
        <v>558</v>
      </c>
      <c r="V528" s="8" t="str">
        <f>"85206"</f>
        <v>85206</v>
      </c>
      <c r="W528" t="s">
        <v>118</v>
      </c>
      <c r="Y528" s="10">
        <v>14803855122</v>
      </c>
      <c r="AA528">
        <v>238990</v>
      </c>
      <c r="AB528" t="s">
        <v>12389</v>
      </c>
      <c r="AC528" t="s">
        <v>3601</v>
      </c>
      <c r="AE528" t="s">
        <v>654</v>
      </c>
      <c r="AF528" t="s">
        <v>12387</v>
      </c>
      <c r="AG528" t="s">
        <v>12388</v>
      </c>
      <c r="AH528" t="s">
        <v>2560</v>
      </c>
      <c r="AI528" t="s">
        <v>558</v>
      </c>
      <c r="AJ528" s="8" t="str">
        <f>"85206"</f>
        <v>85206</v>
      </c>
      <c r="AK528" t="s">
        <v>118</v>
      </c>
      <c r="AM528" s="10">
        <v>14803855122</v>
      </c>
      <c r="AO528" t="s">
        <v>12395</v>
      </c>
      <c r="AX528" s="8" t="str">
        <f>""</f>
        <v/>
      </c>
      <c r="BG528" t="s">
        <v>558</v>
      </c>
      <c r="BH528" s="1">
        <v>45224.833333333336</v>
      </c>
      <c r="BI528">
        <v>40</v>
      </c>
      <c r="BJ528">
        <v>0</v>
      </c>
      <c r="BK528">
        <v>8</v>
      </c>
      <c r="BL528">
        <v>8</v>
      </c>
      <c r="BM528">
        <v>8</v>
      </c>
      <c r="BN528">
        <v>8</v>
      </c>
      <c r="BO528">
        <v>8</v>
      </c>
      <c r="BP528">
        <v>0</v>
      </c>
      <c r="BQ528" t="str">
        <f>"7:00 AM"</f>
        <v>7:00 AM</v>
      </c>
      <c r="BR528" t="str">
        <f>"3:00 PM"</f>
        <v>3:00 PM</v>
      </c>
      <c r="BS528" t="s">
        <v>131</v>
      </c>
      <c r="BT528">
        <v>0</v>
      </c>
      <c r="BU528">
        <v>3</v>
      </c>
      <c r="BV528" t="s">
        <v>114</v>
      </c>
      <c r="BX528" s="2" t="s">
        <v>20976</v>
      </c>
      <c r="BY528" t="s">
        <v>20977</v>
      </c>
      <c r="CA528" t="s">
        <v>20978</v>
      </c>
      <c r="CB528" t="s">
        <v>558</v>
      </c>
      <c r="CC528" s="8" t="str">
        <f>"85741"</f>
        <v>85741</v>
      </c>
      <c r="CD528" t="s">
        <v>2812</v>
      </c>
      <c r="CE528" t="s">
        <v>2813</v>
      </c>
      <c r="CF528" s="12">
        <v>15.99</v>
      </c>
      <c r="CG528" s="12">
        <v>15.99</v>
      </c>
      <c r="CH528" s="12">
        <v>23.99</v>
      </c>
      <c r="CI528" s="12">
        <v>23.99</v>
      </c>
      <c r="CJ528" t="s">
        <v>135</v>
      </c>
      <c r="CK528" t="s">
        <v>20979</v>
      </c>
      <c r="CL528" t="s">
        <v>20980</v>
      </c>
      <c r="CO528" t="s">
        <v>132</v>
      </c>
      <c r="CP528" t="s">
        <v>136</v>
      </c>
      <c r="CQ528" t="s">
        <v>114</v>
      </c>
      <c r="CR528" t="s">
        <v>136</v>
      </c>
      <c r="CS528" t="s">
        <v>136</v>
      </c>
      <c r="CT528" t="s">
        <v>136</v>
      </c>
      <c r="CU528" t="s">
        <v>136</v>
      </c>
      <c r="CV528" s="2" t="s">
        <v>20981</v>
      </c>
      <c r="CW528" s="10" t="str">
        <f>"+14803855122"</f>
        <v>+14803855122</v>
      </c>
      <c r="CX528" t="s">
        <v>12395</v>
      </c>
      <c r="CY528" t="s">
        <v>132</v>
      </c>
      <c r="CZ528" t="s">
        <v>137</v>
      </c>
      <c r="DA528" t="s">
        <v>114</v>
      </c>
      <c r="DB528" t="s">
        <v>136</v>
      </c>
      <c r="DC528" t="s">
        <v>136</v>
      </c>
      <c r="DD528" t="s">
        <v>114</v>
      </c>
    </row>
    <row r="529" spans="1:113" ht="15" customHeight="1" x14ac:dyDescent="0.25">
      <c r="A529" t="s">
        <v>2797</v>
      </c>
      <c r="B529" t="s">
        <v>152</v>
      </c>
      <c r="C529" s="1">
        <v>45196.506547916666</v>
      </c>
      <c r="D529" s="1">
        <v>45265</v>
      </c>
      <c r="E529" t="s">
        <v>132</v>
      </c>
      <c r="F529" t="s">
        <v>666</v>
      </c>
      <c r="G529" t="str">
        <f>"37-3013.00"</f>
        <v>37-3013.00</v>
      </c>
      <c r="H529" t="s">
        <v>666</v>
      </c>
      <c r="I529">
        <v>25</v>
      </c>
      <c r="J529">
        <v>25</v>
      </c>
      <c r="K529" s="1">
        <v>45275</v>
      </c>
      <c r="L529" s="1">
        <v>45519</v>
      </c>
      <c r="M529" s="1">
        <v>45275</v>
      </c>
      <c r="N529" s="1">
        <v>45519</v>
      </c>
      <c r="O529" t="s">
        <v>238</v>
      </c>
      <c r="P529" t="s">
        <v>2798</v>
      </c>
      <c r="R529" t="s">
        <v>2799</v>
      </c>
      <c r="T529" t="s">
        <v>1824</v>
      </c>
      <c r="U529" t="s">
        <v>1825</v>
      </c>
      <c r="V529" s="8" t="str">
        <f>"72209"</f>
        <v>72209</v>
      </c>
      <c r="W529" t="s">
        <v>118</v>
      </c>
      <c r="Y529" s="10">
        <v>15017861187</v>
      </c>
      <c r="AA529">
        <v>561730</v>
      </c>
      <c r="AB529" t="s">
        <v>704</v>
      </c>
      <c r="AC529" t="s">
        <v>2800</v>
      </c>
      <c r="AE529" t="s">
        <v>561</v>
      </c>
      <c r="AF529" t="s">
        <v>2801</v>
      </c>
      <c r="AH529" t="s">
        <v>2802</v>
      </c>
      <c r="AI529" t="s">
        <v>1598</v>
      </c>
      <c r="AJ529" s="8" t="str">
        <f>"35447"</f>
        <v>35447</v>
      </c>
      <c r="AK529" t="s">
        <v>118</v>
      </c>
      <c r="AM529" s="10">
        <v>15017861187</v>
      </c>
      <c r="AO529" t="s">
        <v>2803</v>
      </c>
      <c r="AX529" s="8" t="str">
        <f>""</f>
        <v/>
      </c>
      <c r="BG529" t="s">
        <v>1598</v>
      </c>
      <c r="BH529" s="1">
        <v>45195.833333333336</v>
      </c>
      <c r="BI529">
        <v>36</v>
      </c>
      <c r="BJ529">
        <v>0</v>
      </c>
      <c r="BK529">
        <v>8</v>
      </c>
      <c r="BL529">
        <v>8</v>
      </c>
      <c r="BM529">
        <v>8</v>
      </c>
      <c r="BN529">
        <v>8</v>
      </c>
      <c r="BO529">
        <v>4</v>
      </c>
      <c r="BP529">
        <v>0</v>
      </c>
      <c r="BQ529" t="str">
        <f>"8:00 AM"</f>
        <v>8:00 AM</v>
      </c>
      <c r="BR529" t="str">
        <f>"4:00 PM"</f>
        <v>4:00 PM</v>
      </c>
      <c r="BS529" t="s">
        <v>131</v>
      </c>
      <c r="BT529">
        <v>0</v>
      </c>
      <c r="BU529">
        <v>0</v>
      </c>
      <c r="BV529" t="s">
        <v>114</v>
      </c>
      <c r="BX529" s="2" t="s">
        <v>2804</v>
      </c>
      <c r="BY529" t="s">
        <v>2801</v>
      </c>
      <c r="CA529" t="s">
        <v>2802</v>
      </c>
      <c r="CB529" t="s">
        <v>1598</v>
      </c>
      <c r="CC529" s="8" t="str">
        <f>"35447"</f>
        <v>35447</v>
      </c>
      <c r="CD529" t="s">
        <v>2805</v>
      </c>
      <c r="CE529" t="s">
        <v>2806</v>
      </c>
      <c r="CF529" s="12">
        <v>20.78</v>
      </c>
      <c r="CG529" s="12">
        <v>20.78</v>
      </c>
      <c r="CJ529" t="s">
        <v>135</v>
      </c>
      <c r="CK529" t="s">
        <v>1480</v>
      </c>
      <c r="CL529" t="s">
        <v>2807</v>
      </c>
      <c r="CO529" t="s">
        <v>132</v>
      </c>
      <c r="CP529" t="s">
        <v>136</v>
      </c>
      <c r="CQ529" t="s">
        <v>136</v>
      </c>
      <c r="CR529" t="s">
        <v>114</v>
      </c>
      <c r="CS529" t="s">
        <v>136</v>
      </c>
      <c r="CT529" t="s">
        <v>136</v>
      </c>
      <c r="CU529" t="s">
        <v>136</v>
      </c>
      <c r="CV529" t="s">
        <v>2808</v>
      </c>
      <c r="CW529" s="10" t="str">
        <f>"+15017861187"</f>
        <v>+15017861187</v>
      </c>
      <c r="CX529" t="s">
        <v>2803</v>
      </c>
      <c r="CY529" t="s">
        <v>132</v>
      </c>
      <c r="CZ529" t="s">
        <v>137</v>
      </c>
      <c r="DA529" t="s">
        <v>114</v>
      </c>
      <c r="DB529" t="s">
        <v>114</v>
      </c>
      <c r="DC529" t="s">
        <v>136</v>
      </c>
      <c r="DD529" t="s">
        <v>114</v>
      </c>
    </row>
    <row r="530" spans="1:113" ht="15" customHeight="1" x14ac:dyDescent="0.25">
      <c r="A530" t="s">
        <v>21305</v>
      </c>
      <c r="B530" t="s">
        <v>152</v>
      </c>
      <c r="C530" s="1">
        <v>45184.562610069443</v>
      </c>
      <c r="D530" s="1">
        <v>45265</v>
      </c>
      <c r="E530" t="s">
        <v>132</v>
      </c>
      <c r="F530" t="s">
        <v>4918</v>
      </c>
      <c r="G530" t="str">
        <f>"37-3011.00"</f>
        <v>37-3011.00</v>
      </c>
      <c r="H530" t="s">
        <v>429</v>
      </c>
      <c r="I530">
        <v>1</v>
      </c>
      <c r="J530">
        <v>1</v>
      </c>
      <c r="K530" s="1">
        <v>45259</v>
      </c>
      <c r="L530" s="1">
        <v>45443</v>
      </c>
      <c r="M530" s="1">
        <v>45259</v>
      </c>
      <c r="N530" s="1">
        <v>45443</v>
      </c>
      <c r="O530" t="s">
        <v>238</v>
      </c>
      <c r="P530" t="s">
        <v>21306</v>
      </c>
      <c r="R530" t="s">
        <v>21307</v>
      </c>
      <c r="T530" t="s">
        <v>2026</v>
      </c>
      <c r="U530" t="s">
        <v>211</v>
      </c>
      <c r="V530" s="8" t="str">
        <f>"84107"</f>
        <v>84107</v>
      </c>
      <c r="W530" t="s">
        <v>118</v>
      </c>
      <c r="Y530" s="10">
        <v>18018595570</v>
      </c>
      <c r="AA530">
        <v>561730</v>
      </c>
      <c r="AB530" t="s">
        <v>7830</v>
      </c>
      <c r="AC530" t="s">
        <v>21308</v>
      </c>
      <c r="AE530" t="s">
        <v>21309</v>
      </c>
      <c r="AF530" t="s">
        <v>21307</v>
      </c>
      <c r="AH530" t="s">
        <v>2026</v>
      </c>
      <c r="AI530" t="s">
        <v>211</v>
      </c>
      <c r="AJ530" s="8" t="str">
        <f>"84107"</f>
        <v>84107</v>
      </c>
      <c r="AK530" t="s">
        <v>118</v>
      </c>
      <c r="AM530" s="10">
        <v>18018595570</v>
      </c>
      <c r="AO530" t="s">
        <v>21310</v>
      </c>
      <c r="AP530" t="s">
        <v>121</v>
      </c>
      <c r="AQ530" t="s">
        <v>21311</v>
      </c>
      <c r="AR530" t="s">
        <v>21312</v>
      </c>
      <c r="AT530" t="s">
        <v>21313</v>
      </c>
      <c r="AU530" t="s">
        <v>21314</v>
      </c>
      <c r="AV530" t="s">
        <v>17265</v>
      </c>
      <c r="AW530" t="s">
        <v>558</v>
      </c>
      <c r="AX530" s="8" t="str">
        <f>"85204"</f>
        <v>85204</v>
      </c>
      <c r="AY530" t="s">
        <v>118</v>
      </c>
      <c r="BA530" s="10">
        <v>14802844200</v>
      </c>
      <c r="BC530" t="s">
        <v>21315</v>
      </c>
      <c r="BD530" t="s">
        <v>21316</v>
      </c>
      <c r="BE530" t="s">
        <v>792</v>
      </c>
      <c r="BF530" t="s">
        <v>2142</v>
      </c>
      <c r="BG530" t="s">
        <v>211</v>
      </c>
      <c r="BH530" s="1">
        <v>45181.833333333336</v>
      </c>
      <c r="BI530">
        <v>40</v>
      </c>
      <c r="BJ530">
        <v>0</v>
      </c>
      <c r="BK530">
        <v>8</v>
      </c>
      <c r="BL530">
        <v>8</v>
      </c>
      <c r="BM530">
        <v>8</v>
      </c>
      <c r="BN530">
        <v>8</v>
      </c>
      <c r="BO530">
        <v>8</v>
      </c>
      <c r="BP530">
        <v>0</v>
      </c>
      <c r="BQ530" t="str">
        <f>"9:00 AM"</f>
        <v>9:00 AM</v>
      </c>
      <c r="BR530" t="str">
        <f>"6:00 PM"</f>
        <v>6:00 PM</v>
      </c>
      <c r="BS530" t="s">
        <v>131</v>
      </c>
      <c r="BT530">
        <v>0</v>
      </c>
      <c r="BU530">
        <v>0</v>
      </c>
      <c r="BV530" t="s">
        <v>114</v>
      </c>
      <c r="BX530" t="s">
        <v>131</v>
      </c>
      <c r="BY530" t="s">
        <v>21307</v>
      </c>
      <c r="CA530" t="s">
        <v>2026</v>
      </c>
      <c r="CB530" t="s">
        <v>211</v>
      </c>
      <c r="CC530" s="8" t="str">
        <f>"84107"</f>
        <v>84107</v>
      </c>
      <c r="CD530" t="s">
        <v>1567</v>
      </c>
      <c r="CE530" t="s">
        <v>1568</v>
      </c>
      <c r="CF530" s="12">
        <v>18.82</v>
      </c>
      <c r="CG530" s="12">
        <v>18.82</v>
      </c>
      <c r="CJ530" t="s">
        <v>135</v>
      </c>
      <c r="CL530" t="s">
        <v>21317</v>
      </c>
      <c r="CO530" t="s">
        <v>132</v>
      </c>
      <c r="CP530" t="s">
        <v>114</v>
      </c>
      <c r="CQ530" t="s">
        <v>136</v>
      </c>
      <c r="CR530" t="s">
        <v>114</v>
      </c>
      <c r="CS530" t="s">
        <v>136</v>
      </c>
      <c r="CT530" t="s">
        <v>136</v>
      </c>
      <c r="CU530" t="s">
        <v>114</v>
      </c>
      <c r="CV530" t="s">
        <v>131</v>
      </c>
      <c r="CW530" s="10" t="str">
        <f>"+18018595570"</f>
        <v>+18018595570</v>
      </c>
      <c r="CX530" t="s">
        <v>21310</v>
      </c>
      <c r="CY530" t="s">
        <v>132</v>
      </c>
      <c r="CZ530" t="s">
        <v>137</v>
      </c>
      <c r="DA530" t="s">
        <v>114</v>
      </c>
      <c r="DB530" t="s">
        <v>114</v>
      </c>
      <c r="DC530" t="s">
        <v>136</v>
      </c>
      <c r="DD530" t="s">
        <v>114</v>
      </c>
    </row>
    <row r="531" spans="1:113" ht="15" customHeight="1" x14ac:dyDescent="0.25">
      <c r="A531" t="s">
        <v>16418</v>
      </c>
      <c r="B531" t="s">
        <v>152</v>
      </c>
      <c r="C531" s="1">
        <v>45168.808528240741</v>
      </c>
      <c r="D531" s="1">
        <v>45265</v>
      </c>
      <c r="E531" t="s">
        <v>114</v>
      </c>
      <c r="F531" t="s">
        <v>16419</v>
      </c>
      <c r="G531" t="str">
        <f>"35-3023.01"</f>
        <v>35-3023.01</v>
      </c>
      <c r="H531" t="s">
        <v>1365</v>
      </c>
      <c r="I531">
        <v>1</v>
      </c>
      <c r="J531">
        <v>1</v>
      </c>
      <c r="K531" s="1">
        <v>45250</v>
      </c>
      <c r="L531" s="1">
        <v>45535</v>
      </c>
      <c r="M531" s="1">
        <v>45250</v>
      </c>
      <c r="N531" s="1">
        <v>45535</v>
      </c>
      <c r="O531" t="s">
        <v>184</v>
      </c>
      <c r="P531" t="s">
        <v>16420</v>
      </c>
      <c r="R531" t="s">
        <v>16421</v>
      </c>
      <c r="S531" t="s">
        <v>16422</v>
      </c>
      <c r="T531" t="s">
        <v>16423</v>
      </c>
      <c r="U531" t="s">
        <v>402</v>
      </c>
      <c r="V531" s="8" t="str">
        <f>"92835"</f>
        <v>92835</v>
      </c>
      <c r="W531" t="s">
        <v>118</v>
      </c>
      <c r="Y531" s="10">
        <v>17145193548</v>
      </c>
      <c r="AA531">
        <v>722511</v>
      </c>
      <c r="AB531" t="s">
        <v>16424</v>
      </c>
      <c r="AC531" t="s">
        <v>16425</v>
      </c>
      <c r="AE531" t="s">
        <v>1836</v>
      </c>
      <c r="AF531" t="s">
        <v>16426</v>
      </c>
      <c r="AG531" t="s">
        <v>16422</v>
      </c>
      <c r="AH531" t="s">
        <v>16423</v>
      </c>
      <c r="AI531" t="s">
        <v>402</v>
      </c>
      <c r="AJ531" s="8" t="str">
        <f>"92835"</f>
        <v>92835</v>
      </c>
      <c r="AK531" t="s">
        <v>118</v>
      </c>
      <c r="AM531" s="10">
        <v>15628965063</v>
      </c>
      <c r="AO531" t="s">
        <v>16427</v>
      </c>
      <c r="AX531" s="8" t="str">
        <f>""</f>
        <v/>
      </c>
      <c r="BG531" t="s">
        <v>402</v>
      </c>
      <c r="BH531" s="1">
        <v>45167.833333333336</v>
      </c>
      <c r="BI531">
        <v>40</v>
      </c>
      <c r="BJ531">
        <v>6</v>
      </c>
      <c r="BK531">
        <v>6</v>
      </c>
      <c r="BL531">
        <v>6</v>
      </c>
      <c r="BM531">
        <v>0</v>
      </c>
      <c r="BN531">
        <v>6</v>
      </c>
      <c r="BO531">
        <v>8</v>
      </c>
      <c r="BP531">
        <v>8</v>
      </c>
      <c r="BQ531" t="str">
        <f>"7:00 AM"</f>
        <v>7:00 AM</v>
      </c>
      <c r="BR531" t="str">
        <f>"2:00 PM"</f>
        <v>2:00 PM</v>
      </c>
      <c r="BS531" t="s">
        <v>147</v>
      </c>
      <c r="BT531">
        <v>12</v>
      </c>
      <c r="BU531">
        <v>3</v>
      </c>
      <c r="BV531" t="s">
        <v>114</v>
      </c>
      <c r="BX531" s="2" t="s">
        <v>16428</v>
      </c>
      <c r="BY531" t="s">
        <v>16421</v>
      </c>
      <c r="BZ531" t="s">
        <v>16422</v>
      </c>
      <c r="CA531" t="s">
        <v>16423</v>
      </c>
      <c r="CB531" t="s">
        <v>402</v>
      </c>
      <c r="CC531" s="8" t="str">
        <f>"92835"</f>
        <v>92835</v>
      </c>
      <c r="CD531" t="s">
        <v>2274</v>
      </c>
      <c r="CE531" t="s">
        <v>2969</v>
      </c>
      <c r="CF531" s="12">
        <v>16.43</v>
      </c>
      <c r="CG531" s="12">
        <v>16.43</v>
      </c>
      <c r="CH531" s="12">
        <v>24.65</v>
      </c>
      <c r="CI531" s="12">
        <v>24.65</v>
      </c>
      <c r="CJ531" t="s">
        <v>135</v>
      </c>
      <c r="CL531" t="s">
        <v>16429</v>
      </c>
      <c r="CO531" t="s">
        <v>132</v>
      </c>
      <c r="CP531" t="s">
        <v>114</v>
      </c>
      <c r="CQ531" t="s">
        <v>114</v>
      </c>
      <c r="CR531" t="s">
        <v>136</v>
      </c>
      <c r="CS531" t="s">
        <v>114</v>
      </c>
      <c r="CT531" t="s">
        <v>136</v>
      </c>
      <c r="CU531" t="s">
        <v>114</v>
      </c>
      <c r="CV531" t="s">
        <v>131</v>
      </c>
      <c r="CW531" s="10" t="str">
        <f>"+15628965063"</f>
        <v>+15628965063</v>
      </c>
      <c r="CX531" t="s">
        <v>16427</v>
      </c>
      <c r="CY531" t="s">
        <v>132</v>
      </c>
      <c r="CZ531" t="s">
        <v>137</v>
      </c>
      <c r="DA531" t="s">
        <v>114</v>
      </c>
      <c r="DB531" t="s">
        <v>114</v>
      </c>
      <c r="DC531" t="s">
        <v>136</v>
      </c>
      <c r="DD531" t="s">
        <v>114</v>
      </c>
    </row>
    <row r="532" spans="1:113" ht="15" customHeight="1" x14ac:dyDescent="0.25">
      <c r="A532" t="s">
        <v>22077</v>
      </c>
      <c r="B532" t="s">
        <v>152</v>
      </c>
      <c r="C532" s="1">
        <v>45238.321903240743</v>
      </c>
      <c r="D532" s="1">
        <v>45264</v>
      </c>
      <c r="E532" t="s">
        <v>132</v>
      </c>
      <c r="F532" t="s">
        <v>12631</v>
      </c>
      <c r="G532" t="str">
        <f>"35-3023.00"</f>
        <v>35-3023.00</v>
      </c>
      <c r="H532" t="s">
        <v>1365</v>
      </c>
      <c r="I532">
        <v>4</v>
      </c>
      <c r="J532">
        <v>4</v>
      </c>
      <c r="K532" s="1">
        <v>45323</v>
      </c>
      <c r="L532" s="1">
        <v>45376</v>
      </c>
      <c r="M532" s="1">
        <v>45323</v>
      </c>
      <c r="N532" s="1">
        <v>45376</v>
      </c>
      <c r="O532" t="s">
        <v>238</v>
      </c>
      <c r="P532" t="s">
        <v>22078</v>
      </c>
      <c r="Q532" t="s">
        <v>22079</v>
      </c>
      <c r="R532" t="s">
        <v>22080</v>
      </c>
      <c r="T532" t="s">
        <v>22081</v>
      </c>
      <c r="U532" t="s">
        <v>222</v>
      </c>
      <c r="V532" s="8" t="str">
        <f>"01082"</f>
        <v>01082</v>
      </c>
      <c r="W532" t="s">
        <v>118</v>
      </c>
      <c r="Y532" s="10">
        <v>14139677756</v>
      </c>
      <c r="AA532">
        <v>71399</v>
      </c>
      <c r="AB532" t="s">
        <v>22082</v>
      </c>
      <c r="AC532" t="s">
        <v>3594</v>
      </c>
      <c r="AE532" t="s">
        <v>1799</v>
      </c>
      <c r="AF532" t="s">
        <v>22080</v>
      </c>
      <c r="AH532" t="s">
        <v>22081</v>
      </c>
      <c r="AI532" t="s">
        <v>222</v>
      </c>
      <c r="AJ532" s="8" t="str">
        <f>"01082"</f>
        <v>01082</v>
      </c>
      <c r="AK532" t="s">
        <v>118</v>
      </c>
      <c r="AM532" s="10">
        <v>14132465348</v>
      </c>
      <c r="AO532" t="s">
        <v>22083</v>
      </c>
      <c r="AP532" t="s">
        <v>248</v>
      </c>
      <c r="AQ532" t="s">
        <v>249</v>
      </c>
      <c r="AR532" t="s">
        <v>250</v>
      </c>
      <c r="AS532" t="s">
        <v>251</v>
      </c>
      <c r="AT532" t="s">
        <v>252</v>
      </c>
      <c r="AU532" t="s">
        <v>253</v>
      </c>
      <c r="AV532" t="s">
        <v>254</v>
      </c>
      <c r="AW532" t="s">
        <v>127</v>
      </c>
      <c r="AX532" s="8" t="str">
        <f>"78550"</f>
        <v>78550</v>
      </c>
      <c r="AY532" t="s">
        <v>118</v>
      </c>
      <c r="BA532" s="10">
        <v>19564408720</v>
      </c>
      <c r="BB532" s="3" t="s">
        <v>256</v>
      </c>
      <c r="BC532" t="s">
        <v>257</v>
      </c>
      <c r="BD532" t="s">
        <v>258</v>
      </c>
      <c r="BG532" t="s">
        <v>222</v>
      </c>
      <c r="BH532" s="1">
        <v>45237.791666666664</v>
      </c>
      <c r="BI532">
        <v>40</v>
      </c>
      <c r="BJ532">
        <v>8</v>
      </c>
      <c r="BK532">
        <v>0</v>
      </c>
      <c r="BL532">
        <v>0</v>
      </c>
      <c r="BM532">
        <v>8</v>
      </c>
      <c r="BN532">
        <v>8</v>
      </c>
      <c r="BO532">
        <v>8</v>
      </c>
      <c r="BP532">
        <v>8</v>
      </c>
      <c r="BQ532" t="str">
        <f>"1:00 PM"</f>
        <v>1:00 PM</v>
      </c>
      <c r="BR532" t="str">
        <f>"10:00 PM"</f>
        <v>10:00 PM</v>
      </c>
      <c r="BS532" t="s">
        <v>131</v>
      </c>
      <c r="BT532">
        <v>0</v>
      </c>
      <c r="BU532">
        <v>0</v>
      </c>
      <c r="BV532" t="s">
        <v>114</v>
      </c>
      <c r="BX532" s="2" t="s">
        <v>259</v>
      </c>
      <c r="BY532" t="s">
        <v>22080</v>
      </c>
      <c r="CA532" t="s">
        <v>22081</v>
      </c>
      <c r="CB532" t="s">
        <v>222</v>
      </c>
      <c r="CC532" s="8" t="str">
        <f>"01082"</f>
        <v>01082</v>
      </c>
      <c r="CD532" t="s">
        <v>22084</v>
      </c>
      <c r="CE532" t="s">
        <v>11343</v>
      </c>
      <c r="CF532" s="12">
        <v>11.74</v>
      </c>
      <c r="CG532" s="12">
        <v>15.38</v>
      </c>
      <c r="CJ532" t="s">
        <v>135</v>
      </c>
      <c r="CK532" t="s">
        <v>22085</v>
      </c>
      <c r="CL532" t="s">
        <v>22086</v>
      </c>
      <c r="CO532" t="s">
        <v>132</v>
      </c>
      <c r="CP532" t="s">
        <v>136</v>
      </c>
      <c r="CQ532" t="s">
        <v>136</v>
      </c>
      <c r="CR532" t="s">
        <v>114</v>
      </c>
      <c r="CS532" t="s">
        <v>136</v>
      </c>
      <c r="CT532" t="s">
        <v>136</v>
      </c>
      <c r="CU532" t="s">
        <v>136</v>
      </c>
      <c r="CV532" t="s">
        <v>2258</v>
      </c>
      <c r="CW532" s="10" t="str">
        <f>"+14139677756"</f>
        <v>+14139677756</v>
      </c>
      <c r="CX532" t="s">
        <v>22083</v>
      </c>
      <c r="CY532" t="s">
        <v>132</v>
      </c>
      <c r="CZ532" t="s">
        <v>137</v>
      </c>
      <c r="DA532" t="s">
        <v>114</v>
      </c>
      <c r="DB532" t="s">
        <v>136</v>
      </c>
      <c r="DC532" t="s">
        <v>136</v>
      </c>
      <c r="DD532" t="s">
        <v>114</v>
      </c>
    </row>
    <row r="533" spans="1:113" ht="15" customHeight="1" x14ac:dyDescent="0.25">
      <c r="A533" t="s">
        <v>5298</v>
      </c>
      <c r="B533" t="s">
        <v>152</v>
      </c>
      <c r="C533" s="1">
        <v>45237.457287384263</v>
      </c>
      <c r="D533" s="1">
        <v>45264</v>
      </c>
      <c r="E533" t="s">
        <v>132</v>
      </c>
      <c r="F533" t="s">
        <v>5299</v>
      </c>
      <c r="G533" t="str">
        <f>"39-9032.00"</f>
        <v>39-9032.00</v>
      </c>
      <c r="H533" t="s">
        <v>5300</v>
      </c>
      <c r="I533">
        <v>10</v>
      </c>
      <c r="J533">
        <v>10</v>
      </c>
      <c r="K533" s="1">
        <v>45323</v>
      </c>
      <c r="L533" s="1">
        <v>45627</v>
      </c>
      <c r="M533" s="1">
        <v>45323</v>
      </c>
      <c r="N533" s="1">
        <v>45627</v>
      </c>
      <c r="O533" t="s">
        <v>116</v>
      </c>
      <c r="P533" t="s">
        <v>5301</v>
      </c>
      <c r="R533" t="s">
        <v>5302</v>
      </c>
      <c r="T533" t="s">
        <v>5303</v>
      </c>
      <c r="U533" t="s">
        <v>1776</v>
      </c>
      <c r="V533" s="8" t="str">
        <f>"07090"</f>
        <v>07090</v>
      </c>
      <c r="W533" t="s">
        <v>118</v>
      </c>
      <c r="Y533" s="10">
        <v>17329799216</v>
      </c>
      <c r="AA533">
        <v>611620</v>
      </c>
      <c r="AB533" t="s">
        <v>5304</v>
      </c>
      <c r="AC533" t="s">
        <v>5167</v>
      </c>
      <c r="AD533" t="s">
        <v>5305</v>
      </c>
      <c r="AE533" t="s">
        <v>438</v>
      </c>
      <c r="AF533" t="s">
        <v>5306</v>
      </c>
      <c r="AG533" t="s">
        <v>5307</v>
      </c>
      <c r="AH533" t="s">
        <v>5303</v>
      </c>
      <c r="AI533" t="s">
        <v>1776</v>
      </c>
      <c r="AJ533" s="8" t="str">
        <f>"07090"</f>
        <v>07090</v>
      </c>
      <c r="AK533" t="s">
        <v>118</v>
      </c>
      <c r="AM533" s="10">
        <v>17329799216</v>
      </c>
      <c r="AO533" t="s">
        <v>5308</v>
      </c>
      <c r="AP533" t="s">
        <v>121</v>
      </c>
      <c r="AQ533" t="s">
        <v>5309</v>
      </c>
      <c r="AR533" t="s">
        <v>2757</v>
      </c>
      <c r="AS533" t="s">
        <v>1282</v>
      </c>
      <c r="AT533" t="s">
        <v>5310</v>
      </c>
      <c r="AU533" t="s">
        <v>5311</v>
      </c>
      <c r="AV533" t="s">
        <v>5312</v>
      </c>
      <c r="AW533" t="s">
        <v>1776</v>
      </c>
      <c r="AX533" s="8" t="str">
        <f>"07040"</f>
        <v>07040</v>
      </c>
      <c r="AY533" t="s">
        <v>118</v>
      </c>
      <c r="BA533" s="10">
        <v>19737620700</v>
      </c>
      <c r="BC533" t="s">
        <v>5313</v>
      </c>
      <c r="BD533" t="s">
        <v>5314</v>
      </c>
      <c r="BE533" t="s">
        <v>1776</v>
      </c>
      <c r="BF533" t="s">
        <v>172</v>
      </c>
      <c r="BG533" t="s">
        <v>1776</v>
      </c>
      <c r="BH533" s="1">
        <v>45236.791666666664</v>
      </c>
      <c r="BI533">
        <v>35</v>
      </c>
      <c r="BJ533">
        <v>3</v>
      </c>
      <c r="BK533">
        <v>6</v>
      </c>
      <c r="BL533">
        <v>4</v>
      </c>
      <c r="BM533">
        <v>6</v>
      </c>
      <c r="BN533">
        <v>4</v>
      </c>
      <c r="BO533">
        <v>6</v>
      </c>
      <c r="BP533">
        <v>6</v>
      </c>
      <c r="BQ533" t="str">
        <f>"11:00 AM"</f>
        <v>11:00 AM</v>
      </c>
      <c r="BR533" t="str">
        <f>"4:00 PM"</f>
        <v>4:00 PM</v>
      </c>
      <c r="BS533" t="s">
        <v>131</v>
      </c>
      <c r="BT533">
        <v>0</v>
      </c>
      <c r="BU533">
        <v>12</v>
      </c>
      <c r="BV533" t="s">
        <v>114</v>
      </c>
      <c r="BX533" t="s">
        <v>1789</v>
      </c>
      <c r="BY533" t="s">
        <v>5315</v>
      </c>
      <c r="BZ533" t="s">
        <v>5316</v>
      </c>
      <c r="CA533" t="s">
        <v>5317</v>
      </c>
      <c r="CB533" t="s">
        <v>1776</v>
      </c>
      <c r="CC533" s="8" t="str">
        <f>"07920"</f>
        <v>07920</v>
      </c>
      <c r="CD533" t="s">
        <v>1947</v>
      </c>
      <c r="CE533" t="s">
        <v>1418</v>
      </c>
      <c r="CF533" s="12">
        <v>19.3</v>
      </c>
      <c r="CJ533" t="s">
        <v>135</v>
      </c>
      <c r="CL533" t="s">
        <v>5318</v>
      </c>
      <c r="CO533" t="s">
        <v>132</v>
      </c>
      <c r="CP533" t="s">
        <v>136</v>
      </c>
      <c r="CQ533" t="s">
        <v>114</v>
      </c>
      <c r="CR533" t="s">
        <v>114</v>
      </c>
      <c r="CS533" t="s">
        <v>114</v>
      </c>
      <c r="CT533" t="s">
        <v>136</v>
      </c>
      <c r="CU533" t="s">
        <v>114</v>
      </c>
      <c r="CV533" s="2" t="s">
        <v>5319</v>
      </c>
      <c r="CW533" s="10" t="str">
        <f>"+19087043000"</f>
        <v>+19087043000</v>
      </c>
      <c r="CX533" t="s">
        <v>5308</v>
      </c>
      <c r="CY533" t="s">
        <v>132</v>
      </c>
      <c r="CZ533" t="s">
        <v>137</v>
      </c>
      <c r="DA533" t="s">
        <v>114</v>
      </c>
      <c r="DB533" t="s">
        <v>114</v>
      </c>
      <c r="DC533" t="s">
        <v>136</v>
      </c>
      <c r="DD533" t="s">
        <v>114</v>
      </c>
    </row>
    <row r="534" spans="1:113" ht="15" customHeight="1" x14ac:dyDescent="0.25">
      <c r="A534" t="s">
        <v>16275</v>
      </c>
      <c r="B534" t="s">
        <v>152</v>
      </c>
      <c r="C534" s="1">
        <v>45233.97792824074</v>
      </c>
      <c r="D534" s="1">
        <v>45264</v>
      </c>
      <c r="E534" t="s">
        <v>132</v>
      </c>
      <c r="F534" t="s">
        <v>2230</v>
      </c>
      <c r="G534" t="str">
        <f>"37-3011.00"</f>
        <v>37-3011.00</v>
      </c>
      <c r="H534" t="s">
        <v>429</v>
      </c>
      <c r="I534">
        <v>12</v>
      </c>
      <c r="J534">
        <v>12</v>
      </c>
      <c r="K534" s="1">
        <v>45323</v>
      </c>
      <c r="L534" s="1">
        <v>45626</v>
      </c>
      <c r="M534" s="1">
        <v>45323</v>
      </c>
      <c r="N534" s="1">
        <v>45626</v>
      </c>
      <c r="O534" t="s">
        <v>238</v>
      </c>
      <c r="P534" t="s">
        <v>16276</v>
      </c>
      <c r="R534" t="s">
        <v>16277</v>
      </c>
      <c r="T534" t="s">
        <v>8071</v>
      </c>
      <c r="U534" t="s">
        <v>434</v>
      </c>
      <c r="V534" s="8" t="str">
        <f>"19390"</f>
        <v>19390</v>
      </c>
      <c r="W534" t="s">
        <v>118</v>
      </c>
      <c r="Y534" s="10">
        <v>14849852343</v>
      </c>
      <c r="AA534">
        <v>56173</v>
      </c>
      <c r="AB534" t="s">
        <v>6661</v>
      </c>
      <c r="AC534" t="s">
        <v>7933</v>
      </c>
      <c r="AE534" t="s">
        <v>629</v>
      </c>
      <c r="AF534" t="s">
        <v>16277</v>
      </c>
      <c r="AH534" t="s">
        <v>8071</v>
      </c>
      <c r="AI534" t="s">
        <v>434</v>
      </c>
      <c r="AJ534" s="8" t="str">
        <f>"19390"</f>
        <v>19390</v>
      </c>
      <c r="AK534" t="s">
        <v>118</v>
      </c>
      <c r="AM534" s="10">
        <v>14849852343</v>
      </c>
      <c r="AO534" t="s">
        <v>16278</v>
      </c>
      <c r="AP534" t="s">
        <v>121</v>
      </c>
      <c r="AQ534" t="s">
        <v>2236</v>
      </c>
      <c r="AR534" t="s">
        <v>2237</v>
      </c>
      <c r="AS534" t="s">
        <v>2238</v>
      </c>
      <c r="AT534" t="s">
        <v>3668</v>
      </c>
      <c r="AV534" t="s">
        <v>3669</v>
      </c>
      <c r="AW534" t="s">
        <v>1427</v>
      </c>
      <c r="AX534" s="8" t="str">
        <f>"19934"</f>
        <v>19934</v>
      </c>
      <c r="AY534" t="s">
        <v>118</v>
      </c>
      <c r="BA534" s="10">
        <v>16103485354</v>
      </c>
      <c r="BC534" t="s">
        <v>2240</v>
      </c>
      <c r="BD534" t="s">
        <v>2241</v>
      </c>
      <c r="BE534" t="s">
        <v>434</v>
      </c>
      <c r="BF534" t="s">
        <v>2242</v>
      </c>
      <c r="BG534" t="s">
        <v>434</v>
      </c>
      <c r="BH534" s="1">
        <v>45232.833333333336</v>
      </c>
      <c r="BI534">
        <v>50</v>
      </c>
      <c r="BJ534">
        <v>0</v>
      </c>
      <c r="BK534">
        <v>8</v>
      </c>
      <c r="BL534">
        <v>8</v>
      </c>
      <c r="BM534">
        <v>8</v>
      </c>
      <c r="BN534">
        <v>8</v>
      </c>
      <c r="BO534">
        <v>8</v>
      </c>
      <c r="BP534">
        <v>10</v>
      </c>
      <c r="BQ534" t="str">
        <f>"7:00 AM"</f>
        <v>7:00 AM</v>
      </c>
      <c r="BR534" t="str">
        <f>"3:30 PM"</f>
        <v>3:30 PM</v>
      </c>
      <c r="BS534" t="s">
        <v>131</v>
      </c>
      <c r="BT534">
        <v>0</v>
      </c>
      <c r="BU534">
        <v>0</v>
      </c>
      <c r="BV534" t="s">
        <v>114</v>
      </c>
      <c r="BX534" s="2" t="s">
        <v>2243</v>
      </c>
      <c r="BY534" t="s">
        <v>16277</v>
      </c>
      <c r="CA534" t="s">
        <v>8071</v>
      </c>
      <c r="CB534" t="s">
        <v>434</v>
      </c>
      <c r="CC534" s="8" t="str">
        <f>"19390"</f>
        <v>19390</v>
      </c>
      <c r="CD534" t="s">
        <v>1781</v>
      </c>
      <c r="CE534" t="s">
        <v>443</v>
      </c>
      <c r="CF534" s="12">
        <v>18.71</v>
      </c>
      <c r="CG534" s="12">
        <v>18.71</v>
      </c>
      <c r="CH534" s="12">
        <v>28.07</v>
      </c>
      <c r="CI534" s="12">
        <v>28.07</v>
      </c>
      <c r="CJ534" t="s">
        <v>135</v>
      </c>
      <c r="CL534" t="s">
        <v>16279</v>
      </c>
      <c r="CO534" t="s">
        <v>132</v>
      </c>
      <c r="CP534" t="s">
        <v>136</v>
      </c>
      <c r="CQ534" t="s">
        <v>136</v>
      </c>
      <c r="CR534" t="s">
        <v>136</v>
      </c>
      <c r="CS534" t="s">
        <v>136</v>
      </c>
      <c r="CT534" t="s">
        <v>136</v>
      </c>
      <c r="CU534" t="s">
        <v>114</v>
      </c>
      <c r="CV534" t="s">
        <v>2246</v>
      </c>
      <c r="CW534" s="10" t="str">
        <f>"+14849852343"</f>
        <v>+14849852343</v>
      </c>
      <c r="CX534" t="s">
        <v>16278</v>
      </c>
      <c r="CY534" t="s">
        <v>132</v>
      </c>
      <c r="CZ534" t="s">
        <v>137</v>
      </c>
      <c r="DA534" t="s">
        <v>114</v>
      </c>
      <c r="DB534" t="s">
        <v>114</v>
      </c>
      <c r="DC534" t="s">
        <v>136</v>
      </c>
      <c r="DD534" t="s">
        <v>114</v>
      </c>
    </row>
    <row r="535" spans="1:113" ht="15" customHeight="1" x14ac:dyDescent="0.25">
      <c r="A535" t="s">
        <v>19928</v>
      </c>
      <c r="B535" t="s">
        <v>152</v>
      </c>
      <c r="C535" s="1">
        <v>45233.351918518521</v>
      </c>
      <c r="D535" s="1">
        <v>45264</v>
      </c>
      <c r="E535" t="s">
        <v>132</v>
      </c>
      <c r="F535" t="s">
        <v>1595</v>
      </c>
      <c r="G535" t="str">
        <f>"37-3011.00"</f>
        <v>37-3011.00</v>
      </c>
      <c r="H535" t="s">
        <v>429</v>
      </c>
      <c r="I535">
        <v>60</v>
      </c>
      <c r="J535">
        <v>60</v>
      </c>
      <c r="K535" s="1">
        <v>45323</v>
      </c>
      <c r="L535" s="1">
        <v>45595</v>
      </c>
      <c r="M535" s="1">
        <v>45323</v>
      </c>
      <c r="N535" s="1">
        <v>45595</v>
      </c>
      <c r="O535" t="s">
        <v>116</v>
      </c>
      <c r="P535" t="s">
        <v>19929</v>
      </c>
      <c r="R535" t="s">
        <v>19930</v>
      </c>
      <c r="S535" t="s">
        <v>5960</v>
      </c>
      <c r="T535" t="s">
        <v>19931</v>
      </c>
      <c r="U535" t="s">
        <v>127</v>
      </c>
      <c r="V535" s="8" t="str">
        <f>"75247"</f>
        <v>75247</v>
      </c>
      <c r="W535" t="s">
        <v>118</v>
      </c>
      <c r="Y535" s="10">
        <v>12143662103</v>
      </c>
      <c r="AA535">
        <v>56173</v>
      </c>
      <c r="AB535" t="s">
        <v>19932</v>
      </c>
      <c r="AC535" t="s">
        <v>9729</v>
      </c>
      <c r="AE535" t="s">
        <v>5508</v>
      </c>
      <c r="AF535" t="s">
        <v>19933</v>
      </c>
      <c r="AH535" t="s">
        <v>1264</v>
      </c>
      <c r="AI535" t="s">
        <v>127</v>
      </c>
      <c r="AJ535" s="8" t="str">
        <f>"75247"</f>
        <v>75247</v>
      </c>
      <c r="AK535" t="s">
        <v>118</v>
      </c>
      <c r="AM535" s="10">
        <v>12143662103</v>
      </c>
      <c r="AO535" t="s">
        <v>19934</v>
      </c>
      <c r="AP535" t="s">
        <v>248</v>
      </c>
      <c r="AQ535" t="s">
        <v>960</v>
      </c>
      <c r="AR535" t="s">
        <v>961</v>
      </c>
      <c r="AS535" t="s">
        <v>962</v>
      </c>
      <c r="AT535" t="s">
        <v>963</v>
      </c>
      <c r="AU535" t="s">
        <v>296</v>
      </c>
      <c r="AV535" t="s">
        <v>964</v>
      </c>
      <c r="AW535" t="s">
        <v>127</v>
      </c>
      <c r="AX535" s="8" t="str">
        <f>"75033"</f>
        <v>75033</v>
      </c>
      <c r="AY535" t="s">
        <v>118</v>
      </c>
      <c r="BA535" s="10">
        <v>19727789690</v>
      </c>
      <c r="BC535" t="s">
        <v>2047</v>
      </c>
      <c r="BD535" t="s">
        <v>966</v>
      </c>
      <c r="BG535" t="s">
        <v>127</v>
      </c>
      <c r="BH535" s="1">
        <v>45232.833333333336</v>
      </c>
      <c r="BI535">
        <v>40</v>
      </c>
      <c r="BJ535">
        <v>0</v>
      </c>
      <c r="BK535">
        <v>8</v>
      </c>
      <c r="BL535">
        <v>8</v>
      </c>
      <c r="BM535">
        <v>8</v>
      </c>
      <c r="BN535">
        <v>8</v>
      </c>
      <c r="BO535">
        <v>8</v>
      </c>
      <c r="BP535">
        <v>0</v>
      </c>
      <c r="BQ535" t="str">
        <f>"6:30 AM"</f>
        <v>6:30 AM</v>
      </c>
      <c r="BR535" t="str">
        <f>"3:00 PM"</f>
        <v>3:00 PM</v>
      </c>
      <c r="BS535" t="s">
        <v>131</v>
      </c>
      <c r="BT535">
        <v>0</v>
      </c>
      <c r="BU535">
        <v>0</v>
      </c>
      <c r="BV535" t="s">
        <v>114</v>
      </c>
      <c r="BX535" s="2" t="s">
        <v>19935</v>
      </c>
      <c r="BY535" t="s">
        <v>19930</v>
      </c>
      <c r="BZ535" t="s">
        <v>5960</v>
      </c>
      <c r="CA535" t="s">
        <v>1264</v>
      </c>
      <c r="CB535" t="s">
        <v>127</v>
      </c>
      <c r="CC535" s="8" t="str">
        <f>"75247"</f>
        <v>75247</v>
      </c>
      <c r="CD535" t="s">
        <v>2301</v>
      </c>
      <c r="CE535" t="s">
        <v>263</v>
      </c>
      <c r="CF535" s="12">
        <v>16.86</v>
      </c>
      <c r="CH535" s="12">
        <v>25.29</v>
      </c>
      <c r="CJ535" t="s">
        <v>135</v>
      </c>
      <c r="CK535" t="s">
        <v>5877</v>
      </c>
      <c r="CL535" t="s">
        <v>19936</v>
      </c>
      <c r="CO535" t="s">
        <v>132</v>
      </c>
      <c r="CP535" t="s">
        <v>136</v>
      </c>
      <c r="CQ535" t="s">
        <v>114</v>
      </c>
      <c r="CR535" t="s">
        <v>136</v>
      </c>
      <c r="CS535" t="s">
        <v>136</v>
      </c>
      <c r="CT535" t="s">
        <v>136</v>
      </c>
      <c r="CU535" t="s">
        <v>136</v>
      </c>
      <c r="CV535" t="s">
        <v>19937</v>
      </c>
      <c r="CW535" s="10" t="str">
        <f>"+12143662103"</f>
        <v>+12143662103</v>
      </c>
      <c r="CX535" t="s">
        <v>132</v>
      </c>
      <c r="CY535" t="s">
        <v>1853</v>
      </c>
      <c r="CZ535" t="s">
        <v>137</v>
      </c>
      <c r="DA535" t="s">
        <v>114</v>
      </c>
      <c r="DB535" t="s">
        <v>136</v>
      </c>
      <c r="DC535" t="s">
        <v>136</v>
      </c>
      <c r="DD535" t="s">
        <v>114</v>
      </c>
    </row>
    <row r="536" spans="1:113" ht="15" customHeight="1" x14ac:dyDescent="0.25">
      <c r="A536" t="s">
        <v>21021</v>
      </c>
      <c r="B536" t="s">
        <v>152</v>
      </c>
      <c r="C536" s="1">
        <v>45233.292718287033</v>
      </c>
      <c r="D536" s="1">
        <v>45264</v>
      </c>
      <c r="E536" t="s">
        <v>132</v>
      </c>
      <c r="F536" t="s">
        <v>5051</v>
      </c>
      <c r="G536" t="str">
        <f>"37-3011.00"</f>
        <v>37-3011.00</v>
      </c>
      <c r="H536" t="s">
        <v>429</v>
      </c>
      <c r="I536">
        <v>12</v>
      </c>
      <c r="J536">
        <v>12</v>
      </c>
      <c r="K536" s="1">
        <v>45323</v>
      </c>
      <c r="L536" s="1">
        <v>45611</v>
      </c>
      <c r="M536" s="1">
        <v>45323</v>
      </c>
      <c r="N536" s="1">
        <v>45611</v>
      </c>
      <c r="O536" t="s">
        <v>116</v>
      </c>
      <c r="P536" t="s">
        <v>21022</v>
      </c>
      <c r="Q536" t="s">
        <v>21023</v>
      </c>
      <c r="R536" t="s">
        <v>21024</v>
      </c>
      <c r="S536" t="s">
        <v>21025</v>
      </c>
      <c r="T536" t="s">
        <v>21026</v>
      </c>
      <c r="U536" t="s">
        <v>375</v>
      </c>
      <c r="V536" s="8" t="str">
        <f>"28584"</f>
        <v>28584</v>
      </c>
      <c r="W536" t="s">
        <v>118</v>
      </c>
      <c r="Y536" s="10">
        <v>19104834005</v>
      </c>
      <c r="AA536">
        <v>56173</v>
      </c>
      <c r="AB536" t="s">
        <v>21027</v>
      </c>
      <c r="AC536" t="s">
        <v>144</v>
      </c>
      <c r="AE536" t="s">
        <v>629</v>
      </c>
      <c r="AF536" t="s">
        <v>21024</v>
      </c>
      <c r="AG536" t="s">
        <v>21025</v>
      </c>
      <c r="AH536" t="s">
        <v>21026</v>
      </c>
      <c r="AI536" t="s">
        <v>375</v>
      </c>
      <c r="AJ536" s="8" t="str">
        <f>"28584"</f>
        <v>28584</v>
      </c>
      <c r="AK536" t="s">
        <v>118</v>
      </c>
      <c r="AM536" s="10">
        <v>19104834005</v>
      </c>
      <c r="AO536" t="s">
        <v>132</v>
      </c>
      <c r="AP536" t="s">
        <v>248</v>
      </c>
      <c r="AQ536" t="s">
        <v>673</v>
      </c>
      <c r="AR536" t="s">
        <v>674</v>
      </c>
      <c r="AT536" t="s">
        <v>579</v>
      </c>
      <c r="AV536" t="s">
        <v>580</v>
      </c>
      <c r="AW536" t="s">
        <v>581</v>
      </c>
      <c r="AX536" s="8" t="str">
        <f>"22903"</f>
        <v>22903</v>
      </c>
      <c r="AY536" t="s">
        <v>118</v>
      </c>
      <c r="BA536" s="10">
        <v>14342634300</v>
      </c>
      <c r="BC536" t="s">
        <v>675</v>
      </c>
      <c r="BD536" t="s">
        <v>583</v>
      </c>
      <c r="BG536" t="s">
        <v>375</v>
      </c>
      <c r="BH536" s="1">
        <v>45232.833333333336</v>
      </c>
      <c r="BI536">
        <v>40</v>
      </c>
      <c r="BJ536">
        <v>0</v>
      </c>
      <c r="BK536">
        <v>10</v>
      </c>
      <c r="BL536">
        <v>10</v>
      </c>
      <c r="BM536">
        <v>10</v>
      </c>
      <c r="BN536">
        <v>10</v>
      </c>
      <c r="BO536">
        <v>0</v>
      </c>
      <c r="BP536">
        <v>0</v>
      </c>
      <c r="BQ536" t="str">
        <f>"7:00 AM"</f>
        <v>7:00 AM</v>
      </c>
      <c r="BR536" t="str">
        <f>"5:30 PM"</f>
        <v>5:30 PM</v>
      </c>
      <c r="BS536" t="s">
        <v>131</v>
      </c>
      <c r="BT536">
        <v>0</v>
      </c>
      <c r="BU536">
        <v>3</v>
      </c>
      <c r="BV536" t="s">
        <v>114</v>
      </c>
      <c r="BX536" s="2" t="s">
        <v>21028</v>
      </c>
      <c r="BY536" t="s">
        <v>21029</v>
      </c>
      <c r="CA536" t="s">
        <v>21026</v>
      </c>
      <c r="CB536" t="s">
        <v>375</v>
      </c>
      <c r="CC536" s="8" t="str">
        <f>"28584"</f>
        <v>28584</v>
      </c>
      <c r="CD536" t="s">
        <v>13764</v>
      </c>
      <c r="CE536" t="s">
        <v>13765</v>
      </c>
      <c r="CF536" s="12">
        <v>15.74</v>
      </c>
      <c r="CG536" s="12">
        <v>15.74</v>
      </c>
      <c r="CH536" s="12">
        <v>23.61</v>
      </c>
      <c r="CI536" s="12">
        <v>23.61</v>
      </c>
      <c r="CJ536" t="s">
        <v>135</v>
      </c>
      <c r="CK536" t="s">
        <v>590</v>
      </c>
      <c r="CL536" t="s">
        <v>21030</v>
      </c>
      <c r="CO536" t="s">
        <v>132</v>
      </c>
      <c r="CP536" t="s">
        <v>136</v>
      </c>
      <c r="CQ536" t="s">
        <v>136</v>
      </c>
      <c r="CR536" t="s">
        <v>136</v>
      </c>
      <c r="CS536" t="s">
        <v>114</v>
      </c>
      <c r="CT536" t="s">
        <v>136</v>
      </c>
      <c r="CU536" t="s">
        <v>136</v>
      </c>
      <c r="CV536" t="s">
        <v>21031</v>
      </c>
      <c r="CW536" s="10" t="str">
        <f>"N/A"</f>
        <v>N/A</v>
      </c>
      <c r="CX536" t="s">
        <v>21032</v>
      </c>
      <c r="CY536" t="s">
        <v>1954</v>
      </c>
      <c r="CZ536" t="s">
        <v>137</v>
      </c>
      <c r="DA536" t="s">
        <v>114</v>
      </c>
      <c r="DB536" t="s">
        <v>136</v>
      </c>
      <c r="DC536" t="s">
        <v>136</v>
      </c>
      <c r="DD536" t="s">
        <v>114</v>
      </c>
      <c r="DE536" t="s">
        <v>673</v>
      </c>
      <c r="DF536" t="s">
        <v>674</v>
      </c>
      <c r="DH536" t="s">
        <v>583</v>
      </c>
      <c r="DI536" t="s">
        <v>675</v>
      </c>
    </row>
    <row r="537" spans="1:113" ht="15" customHeight="1" x14ac:dyDescent="0.25">
      <c r="A537" t="s">
        <v>13694</v>
      </c>
      <c r="B537" t="s">
        <v>152</v>
      </c>
      <c r="C537" s="1">
        <v>45233.020067245372</v>
      </c>
      <c r="D537" s="1">
        <v>45264</v>
      </c>
      <c r="E537" t="s">
        <v>132</v>
      </c>
      <c r="F537" t="s">
        <v>13554</v>
      </c>
      <c r="G537" t="str">
        <f>"37-3011.00"</f>
        <v>37-3011.00</v>
      </c>
      <c r="H537" t="s">
        <v>429</v>
      </c>
      <c r="I537">
        <v>4</v>
      </c>
      <c r="J537">
        <v>4</v>
      </c>
      <c r="K537" s="1">
        <v>45323</v>
      </c>
      <c r="L537" s="1">
        <v>45596</v>
      </c>
      <c r="M537" s="1">
        <v>45323</v>
      </c>
      <c r="N537" s="1">
        <v>45596</v>
      </c>
      <c r="O537" t="s">
        <v>116</v>
      </c>
      <c r="P537" t="s">
        <v>13695</v>
      </c>
      <c r="R537" t="s">
        <v>13696</v>
      </c>
      <c r="T537" t="s">
        <v>13697</v>
      </c>
      <c r="U537" t="s">
        <v>127</v>
      </c>
      <c r="V537" s="8" t="str">
        <f>"75935"</f>
        <v>75935</v>
      </c>
      <c r="W537" t="s">
        <v>118</v>
      </c>
      <c r="Y537" s="10">
        <v>19365984731</v>
      </c>
      <c r="AA537">
        <v>56173</v>
      </c>
      <c r="AB537" t="s">
        <v>13698</v>
      </c>
      <c r="AC537" t="s">
        <v>10683</v>
      </c>
      <c r="AE537" t="s">
        <v>1799</v>
      </c>
      <c r="AF537" t="s">
        <v>13696</v>
      </c>
      <c r="AH537" t="s">
        <v>13697</v>
      </c>
      <c r="AI537" t="s">
        <v>127</v>
      </c>
      <c r="AJ537" s="8" t="str">
        <f>"75935"</f>
        <v>75935</v>
      </c>
      <c r="AK537" t="s">
        <v>118</v>
      </c>
      <c r="AM537" s="10">
        <v>19365984731</v>
      </c>
      <c r="AO537" t="s">
        <v>13699</v>
      </c>
      <c r="AP537" t="s">
        <v>248</v>
      </c>
      <c r="AQ537" t="s">
        <v>3017</v>
      </c>
      <c r="AR537" t="s">
        <v>3018</v>
      </c>
      <c r="AT537" t="s">
        <v>3019</v>
      </c>
      <c r="AV537" t="s">
        <v>1168</v>
      </c>
      <c r="AW537" t="s">
        <v>127</v>
      </c>
      <c r="AX537" s="8" t="str">
        <f>"75098"</f>
        <v>75098</v>
      </c>
      <c r="AY537" t="s">
        <v>118</v>
      </c>
      <c r="BA537" s="10">
        <v>19724424244</v>
      </c>
      <c r="BC537" t="s">
        <v>3020</v>
      </c>
      <c r="BD537" t="s">
        <v>3021</v>
      </c>
      <c r="BG537" t="s">
        <v>127</v>
      </c>
      <c r="BH537" s="1">
        <v>45232.833333333336</v>
      </c>
      <c r="BI537">
        <v>40</v>
      </c>
      <c r="BJ537">
        <v>0</v>
      </c>
      <c r="BK537">
        <v>8</v>
      </c>
      <c r="BL537">
        <v>8</v>
      </c>
      <c r="BM537">
        <v>8</v>
      </c>
      <c r="BN537">
        <v>8</v>
      </c>
      <c r="BO537">
        <v>8</v>
      </c>
      <c r="BP537">
        <v>0</v>
      </c>
      <c r="BQ537" t="str">
        <f>"8:00 AM"</f>
        <v>8:00 AM</v>
      </c>
      <c r="BR537" t="str">
        <f>"5:00 PM"</f>
        <v>5:00 PM</v>
      </c>
      <c r="BS537" t="s">
        <v>131</v>
      </c>
      <c r="BT537">
        <v>0</v>
      </c>
      <c r="BU537">
        <v>0</v>
      </c>
      <c r="BV537" t="s">
        <v>114</v>
      </c>
      <c r="BX537" t="s">
        <v>131</v>
      </c>
      <c r="BY537" t="s">
        <v>13696</v>
      </c>
      <c r="CA537" t="s">
        <v>13697</v>
      </c>
      <c r="CB537" t="s">
        <v>127</v>
      </c>
      <c r="CC537" s="8" t="str">
        <f>"75935"</f>
        <v>75935</v>
      </c>
      <c r="CD537" t="s">
        <v>1054</v>
      </c>
      <c r="CE537" t="s">
        <v>13700</v>
      </c>
      <c r="CF537" s="12">
        <v>14.8</v>
      </c>
      <c r="CG537" s="12">
        <v>16.8</v>
      </c>
      <c r="CH537" s="12">
        <v>22.2</v>
      </c>
      <c r="CI537" s="12">
        <v>25.2</v>
      </c>
      <c r="CJ537" t="s">
        <v>135</v>
      </c>
      <c r="CK537" t="s">
        <v>132</v>
      </c>
      <c r="CL537" t="s">
        <v>13701</v>
      </c>
      <c r="CO537" t="s">
        <v>132</v>
      </c>
      <c r="CP537" t="s">
        <v>136</v>
      </c>
      <c r="CQ537" t="s">
        <v>136</v>
      </c>
      <c r="CR537" t="s">
        <v>136</v>
      </c>
      <c r="CS537" t="s">
        <v>136</v>
      </c>
      <c r="CT537" t="s">
        <v>136</v>
      </c>
      <c r="CU537" t="s">
        <v>136</v>
      </c>
      <c r="CV537" t="s">
        <v>13702</v>
      </c>
      <c r="CW537" s="10" t="str">
        <f>"+19365984731"</f>
        <v>+19365984731</v>
      </c>
      <c r="CX537" t="s">
        <v>132</v>
      </c>
      <c r="CY537" t="s">
        <v>3190</v>
      </c>
      <c r="CZ537" t="s">
        <v>137</v>
      </c>
      <c r="DA537" t="s">
        <v>114</v>
      </c>
      <c r="DB537" t="s">
        <v>114</v>
      </c>
      <c r="DC537" t="s">
        <v>136</v>
      </c>
      <c r="DD537" t="s">
        <v>114</v>
      </c>
    </row>
    <row r="538" spans="1:113" ht="15" customHeight="1" x14ac:dyDescent="0.25">
      <c r="A538" t="s">
        <v>17417</v>
      </c>
      <c r="B538" t="s">
        <v>152</v>
      </c>
      <c r="C538" s="1">
        <v>45233.00860335648</v>
      </c>
      <c r="D538" s="1">
        <v>45264</v>
      </c>
      <c r="E538" t="s">
        <v>132</v>
      </c>
      <c r="F538" t="s">
        <v>4984</v>
      </c>
      <c r="G538" t="str">
        <f>"37-3011.00"</f>
        <v>37-3011.00</v>
      </c>
      <c r="H538" t="s">
        <v>429</v>
      </c>
      <c r="I538">
        <v>90</v>
      </c>
      <c r="J538">
        <v>90</v>
      </c>
      <c r="K538" s="1">
        <v>45323</v>
      </c>
      <c r="L538" s="1">
        <v>45627</v>
      </c>
      <c r="M538" s="1">
        <v>45323</v>
      </c>
      <c r="N538" s="1">
        <v>45627</v>
      </c>
      <c r="O538" t="s">
        <v>116</v>
      </c>
      <c r="P538" t="s">
        <v>17418</v>
      </c>
      <c r="R538" t="s">
        <v>17419</v>
      </c>
      <c r="T538" t="s">
        <v>4917</v>
      </c>
      <c r="U538" t="s">
        <v>127</v>
      </c>
      <c r="V538" s="8" t="str">
        <f>"75006"</f>
        <v>75006</v>
      </c>
      <c r="W538" t="s">
        <v>118</v>
      </c>
      <c r="Y538" s="10">
        <v>19724884769</v>
      </c>
      <c r="AA538">
        <v>56173</v>
      </c>
      <c r="AB538" t="s">
        <v>1841</v>
      </c>
      <c r="AC538" t="s">
        <v>250</v>
      </c>
      <c r="AD538" t="s">
        <v>2103</v>
      </c>
      <c r="AE538" t="s">
        <v>9529</v>
      </c>
      <c r="AF538" t="s">
        <v>17419</v>
      </c>
      <c r="AH538" t="s">
        <v>4917</v>
      </c>
      <c r="AI538" t="s">
        <v>127</v>
      </c>
      <c r="AJ538" s="8" t="str">
        <f>"75006"</f>
        <v>75006</v>
      </c>
      <c r="AK538" t="s">
        <v>118</v>
      </c>
      <c r="AM538" s="10">
        <v>19724884769</v>
      </c>
      <c r="AO538" t="s">
        <v>9530</v>
      </c>
      <c r="AP538" t="s">
        <v>248</v>
      </c>
      <c r="AQ538" t="s">
        <v>960</v>
      </c>
      <c r="AR538" t="s">
        <v>961</v>
      </c>
      <c r="AS538" t="s">
        <v>962</v>
      </c>
      <c r="AT538" t="s">
        <v>963</v>
      </c>
      <c r="AU538" t="s">
        <v>296</v>
      </c>
      <c r="AV538" t="s">
        <v>964</v>
      </c>
      <c r="AW538" t="s">
        <v>127</v>
      </c>
      <c r="AX538" s="8" t="str">
        <f>"75033"</f>
        <v>75033</v>
      </c>
      <c r="AY538" t="s">
        <v>118</v>
      </c>
      <c r="BA538" s="10">
        <v>19727789690</v>
      </c>
      <c r="BC538" t="s">
        <v>1951</v>
      </c>
      <c r="BD538" t="s">
        <v>966</v>
      </c>
      <c r="BG538" t="s">
        <v>127</v>
      </c>
      <c r="BH538" s="1">
        <v>45232.833333333336</v>
      </c>
      <c r="BI538">
        <v>40</v>
      </c>
      <c r="BJ538">
        <v>0</v>
      </c>
      <c r="BK538">
        <v>8</v>
      </c>
      <c r="BL538">
        <v>8</v>
      </c>
      <c r="BM538">
        <v>8</v>
      </c>
      <c r="BN538">
        <v>8</v>
      </c>
      <c r="BO538">
        <v>8</v>
      </c>
      <c r="BP538">
        <v>0</v>
      </c>
      <c r="BQ538" t="str">
        <f>"7:00 AM"</f>
        <v>7:00 AM</v>
      </c>
      <c r="BR538" t="str">
        <f>"4:00 PM"</f>
        <v>4:00 PM</v>
      </c>
      <c r="BS538" t="s">
        <v>131</v>
      </c>
      <c r="BT538">
        <v>0</v>
      </c>
      <c r="BU538">
        <v>0</v>
      </c>
      <c r="BV538" t="s">
        <v>114</v>
      </c>
      <c r="BX538" s="2" t="s">
        <v>17420</v>
      </c>
      <c r="BY538" t="s">
        <v>17419</v>
      </c>
      <c r="CA538" t="s">
        <v>4917</v>
      </c>
      <c r="CB538" t="s">
        <v>127</v>
      </c>
      <c r="CC538" s="8" t="str">
        <f>"75006"</f>
        <v>75006</v>
      </c>
      <c r="CD538" t="s">
        <v>2301</v>
      </c>
      <c r="CE538" t="s">
        <v>263</v>
      </c>
      <c r="CF538" s="12">
        <v>16.86</v>
      </c>
      <c r="CG538" s="12">
        <v>16.86</v>
      </c>
      <c r="CH538" s="12">
        <v>25.29</v>
      </c>
      <c r="CI538" s="12">
        <v>25.29</v>
      </c>
      <c r="CJ538" t="s">
        <v>135</v>
      </c>
      <c r="CK538" t="s">
        <v>973</v>
      </c>
      <c r="CL538" t="s">
        <v>17421</v>
      </c>
      <c r="CO538" t="s">
        <v>132</v>
      </c>
      <c r="CP538" t="s">
        <v>136</v>
      </c>
      <c r="CQ538" t="s">
        <v>136</v>
      </c>
      <c r="CR538" t="s">
        <v>136</v>
      </c>
      <c r="CS538" t="s">
        <v>136</v>
      </c>
      <c r="CT538" t="s">
        <v>136</v>
      </c>
      <c r="CU538" t="s">
        <v>136</v>
      </c>
      <c r="CV538" s="2" t="s">
        <v>17422</v>
      </c>
      <c r="CW538" s="10" t="str">
        <f>"+19724884769"</f>
        <v>+19724884769</v>
      </c>
      <c r="CX538" t="s">
        <v>132</v>
      </c>
      <c r="CY538" t="s">
        <v>1853</v>
      </c>
      <c r="CZ538" t="s">
        <v>137</v>
      </c>
      <c r="DA538" t="s">
        <v>114</v>
      </c>
      <c r="DB538" t="s">
        <v>136</v>
      </c>
      <c r="DC538" t="s">
        <v>136</v>
      </c>
      <c r="DD538" t="s">
        <v>114</v>
      </c>
    </row>
    <row r="539" spans="1:113" ht="15" customHeight="1" x14ac:dyDescent="0.25">
      <c r="A539" t="s">
        <v>11047</v>
      </c>
      <c r="B539" t="s">
        <v>152</v>
      </c>
      <c r="C539" s="1">
        <v>45233.007062268516</v>
      </c>
      <c r="D539" s="1">
        <v>45264</v>
      </c>
      <c r="E539" t="s">
        <v>132</v>
      </c>
      <c r="F539" t="s">
        <v>1595</v>
      </c>
      <c r="G539" t="str">
        <f>"37-3011.00"</f>
        <v>37-3011.00</v>
      </c>
      <c r="H539" t="s">
        <v>429</v>
      </c>
      <c r="I539">
        <v>28</v>
      </c>
      <c r="J539">
        <v>28</v>
      </c>
      <c r="K539" s="1">
        <v>45323</v>
      </c>
      <c r="L539" s="1">
        <v>45626</v>
      </c>
      <c r="M539" s="1">
        <v>45323</v>
      </c>
      <c r="N539" s="1">
        <v>45626</v>
      </c>
      <c r="O539" t="s">
        <v>116</v>
      </c>
      <c r="P539" t="s">
        <v>11048</v>
      </c>
      <c r="Q539" t="s">
        <v>11049</v>
      </c>
      <c r="R539" t="s">
        <v>11050</v>
      </c>
      <c r="T539" t="s">
        <v>11051</v>
      </c>
      <c r="U539" t="s">
        <v>1691</v>
      </c>
      <c r="V539" s="8" t="str">
        <f>"29418"</f>
        <v>29418</v>
      </c>
      <c r="W539" t="s">
        <v>118</v>
      </c>
      <c r="Y539" s="10">
        <v>18437790217</v>
      </c>
      <c r="AA539">
        <v>56173</v>
      </c>
      <c r="AB539" t="s">
        <v>11052</v>
      </c>
      <c r="AC539" t="s">
        <v>705</v>
      </c>
      <c r="AE539" t="s">
        <v>2159</v>
      </c>
      <c r="AF539" t="s">
        <v>11050</v>
      </c>
      <c r="AG539" t="s">
        <v>11053</v>
      </c>
      <c r="AH539" t="s">
        <v>11051</v>
      </c>
      <c r="AI539" t="s">
        <v>1691</v>
      </c>
      <c r="AJ539" s="8" t="str">
        <f>"29418"</f>
        <v>29418</v>
      </c>
      <c r="AK539" t="s">
        <v>118</v>
      </c>
      <c r="AM539" s="10">
        <v>18437790217</v>
      </c>
      <c r="AO539" t="s">
        <v>11054</v>
      </c>
      <c r="AP539" t="s">
        <v>248</v>
      </c>
      <c r="AQ539" t="s">
        <v>960</v>
      </c>
      <c r="AR539" t="s">
        <v>961</v>
      </c>
      <c r="AS539" t="s">
        <v>962</v>
      </c>
      <c r="AT539" t="s">
        <v>963</v>
      </c>
      <c r="AU539" t="s">
        <v>296</v>
      </c>
      <c r="AV539" t="s">
        <v>964</v>
      </c>
      <c r="AW539" t="s">
        <v>127</v>
      </c>
      <c r="AX539" s="8" t="str">
        <f>"75033"</f>
        <v>75033</v>
      </c>
      <c r="AY539" t="s">
        <v>118</v>
      </c>
      <c r="BA539" s="10">
        <v>19727789690</v>
      </c>
      <c r="BC539" t="s">
        <v>1951</v>
      </c>
      <c r="BD539" t="s">
        <v>966</v>
      </c>
      <c r="BG539" t="s">
        <v>1691</v>
      </c>
      <c r="BH539" s="1">
        <v>45232.833333333336</v>
      </c>
      <c r="BI539">
        <v>40</v>
      </c>
      <c r="BJ539">
        <v>0</v>
      </c>
      <c r="BK539">
        <v>10</v>
      </c>
      <c r="BL539">
        <v>10</v>
      </c>
      <c r="BM539">
        <v>10</v>
      </c>
      <c r="BN539">
        <v>10</v>
      </c>
      <c r="BO539">
        <v>0</v>
      </c>
      <c r="BP539">
        <v>0</v>
      </c>
      <c r="BQ539" t="str">
        <f>"6:30 AM"</f>
        <v>6:30 AM</v>
      </c>
      <c r="BR539" t="str">
        <f>"5:00 PM"</f>
        <v>5:00 PM</v>
      </c>
      <c r="BS539" t="s">
        <v>131</v>
      </c>
      <c r="BT539">
        <v>0</v>
      </c>
      <c r="BU539">
        <v>0</v>
      </c>
      <c r="BV539" t="s">
        <v>114</v>
      </c>
      <c r="BX539" s="2" t="s">
        <v>11055</v>
      </c>
      <c r="BY539" t="s">
        <v>11050</v>
      </c>
      <c r="CA539" t="s">
        <v>11051</v>
      </c>
      <c r="CB539" t="s">
        <v>1691</v>
      </c>
      <c r="CC539" s="8" t="str">
        <f>"29418"</f>
        <v>29418</v>
      </c>
      <c r="CD539" t="s">
        <v>1868</v>
      </c>
      <c r="CE539" t="s">
        <v>1869</v>
      </c>
      <c r="CF539" s="12">
        <v>16.989999999999998</v>
      </c>
      <c r="CG539" s="12">
        <v>16.989999999999998</v>
      </c>
      <c r="CH539" s="12">
        <v>25.49</v>
      </c>
      <c r="CI539" s="12">
        <v>25.49</v>
      </c>
      <c r="CJ539" t="s">
        <v>135</v>
      </c>
      <c r="CK539" t="s">
        <v>7303</v>
      </c>
      <c r="CL539" t="s">
        <v>11056</v>
      </c>
      <c r="CO539" t="s">
        <v>132</v>
      </c>
      <c r="CP539" t="s">
        <v>136</v>
      </c>
      <c r="CQ539" t="s">
        <v>136</v>
      </c>
      <c r="CR539" t="s">
        <v>136</v>
      </c>
      <c r="CS539" t="s">
        <v>136</v>
      </c>
      <c r="CT539" t="s">
        <v>136</v>
      </c>
      <c r="CU539" t="s">
        <v>136</v>
      </c>
      <c r="CV539" s="2" t="s">
        <v>11057</v>
      </c>
      <c r="CW539" s="10" t="str">
        <f>"+18437790217"</f>
        <v>+18437790217</v>
      </c>
      <c r="CX539" t="s">
        <v>132</v>
      </c>
      <c r="CY539" t="s">
        <v>5634</v>
      </c>
      <c r="CZ539" t="s">
        <v>137</v>
      </c>
      <c r="DA539" t="s">
        <v>114</v>
      </c>
      <c r="DB539" t="s">
        <v>136</v>
      </c>
      <c r="DC539" t="s">
        <v>136</v>
      </c>
      <c r="DD539" t="s">
        <v>114</v>
      </c>
    </row>
    <row r="540" spans="1:113" ht="15" customHeight="1" x14ac:dyDescent="0.25">
      <c r="A540" t="s">
        <v>19801</v>
      </c>
      <c r="B540" t="s">
        <v>152</v>
      </c>
      <c r="C540" s="1">
        <v>45233.005746759256</v>
      </c>
      <c r="D540" s="1">
        <v>45264</v>
      </c>
      <c r="E540" t="s">
        <v>132</v>
      </c>
      <c r="F540" t="s">
        <v>1595</v>
      </c>
      <c r="G540" t="str">
        <f>"37-3011.00"</f>
        <v>37-3011.00</v>
      </c>
      <c r="H540" t="s">
        <v>429</v>
      </c>
      <c r="I540">
        <v>5</v>
      </c>
      <c r="J540">
        <v>5</v>
      </c>
      <c r="K540" s="1">
        <v>45323</v>
      </c>
      <c r="L540" s="1">
        <v>45626</v>
      </c>
      <c r="M540" s="1">
        <v>45323</v>
      </c>
      <c r="N540" s="1">
        <v>45626</v>
      </c>
      <c r="O540" t="s">
        <v>116</v>
      </c>
      <c r="P540" t="s">
        <v>19802</v>
      </c>
      <c r="R540" t="s">
        <v>19803</v>
      </c>
      <c r="T540" t="s">
        <v>5102</v>
      </c>
      <c r="U540" t="s">
        <v>333</v>
      </c>
      <c r="V540" s="8" t="str">
        <f>"70131"</f>
        <v>70131</v>
      </c>
      <c r="W540" t="s">
        <v>118</v>
      </c>
      <c r="Y540" s="10">
        <v>15043918000</v>
      </c>
      <c r="AA540">
        <v>56173</v>
      </c>
      <c r="AB540" t="s">
        <v>18809</v>
      </c>
      <c r="AC540" t="s">
        <v>19804</v>
      </c>
      <c r="AE540" t="s">
        <v>2159</v>
      </c>
      <c r="AF540" t="s">
        <v>19803</v>
      </c>
      <c r="AH540" t="s">
        <v>5102</v>
      </c>
      <c r="AI540" t="s">
        <v>333</v>
      </c>
      <c r="AJ540" s="8" t="str">
        <f>"70131"</f>
        <v>70131</v>
      </c>
      <c r="AK540" t="s">
        <v>118</v>
      </c>
      <c r="AM540" s="10">
        <v>15043918000</v>
      </c>
      <c r="AO540" t="s">
        <v>19805</v>
      </c>
      <c r="AP540" t="s">
        <v>248</v>
      </c>
      <c r="AQ540" t="s">
        <v>2667</v>
      </c>
      <c r="AR540" t="s">
        <v>2668</v>
      </c>
      <c r="AT540" t="s">
        <v>1253</v>
      </c>
      <c r="AU540" t="s">
        <v>852</v>
      </c>
      <c r="AV540" t="s">
        <v>853</v>
      </c>
      <c r="AW540" t="s">
        <v>854</v>
      </c>
      <c r="AX540" s="8" t="str">
        <f>"83814"</f>
        <v>83814</v>
      </c>
      <c r="AY540" t="s">
        <v>118</v>
      </c>
      <c r="BA540" s="10">
        <v>12087772654</v>
      </c>
      <c r="BC540" t="s">
        <v>2669</v>
      </c>
      <c r="BD540" t="s">
        <v>856</v>
      </c>
      <c r="BG540" t="s">
        <v>333</v>
      </c>
      <c r="BH540" s="1">
        <v>45231.833333333336</v>
      </c>
      <c r="BI540">
        <v>40</v>
      </c>
      <c r="BJ540">
        <v>0</v>
      </c>
      <c r="BK540">
        <v>8</v>
      </c>
      <c r="BL540">
        <v>8</v>
      </c>
      <c r="BM540">
        <v>8</v>
      </c>
      <c r="BN540">
        <v>8</v>
      </c>
      <c r="BO540">
        <v>8</v>
      </c>
      <c r="BP540">
        <v>0</v>
      </c>
      <c r="BQ540" t="str">
        <f>"7:00 AM"</f>
        <v>7:00 AM</v>
      </c>
      <c r="BR540" t="str">
        <f>"4:00 PM"</f>
        <v>4:00 PM</v>
      </c>
      <c r="BS540" t="s">
        <v>131</v>
      </c>
      <c r="BT540">
        <v>0</v>
      </c>
      <c r="BU540">
        <v>0</v>
      </c>
      <c r="BV540" t="s">
        <v>114</v>
      </c>
      <c r="BX540" t="s">
        <v>19806</v>
      </c>
      <c r="BY540" t="s">
        <v>19803</v>
      </c>
      <c r="CA540" t="s">
        <v>5102</v>
      </c>
      <c r="CB540" t="s">
        <v>333</v>
      </c>
      <c r="CC540" s="8" t="str">
        <f>"70131"</f>
        <v>70131</v>
      </c>
      <c r="CD540" t="s">
        <v>679</v>
      </c>
      <c r="CE540" t="s">
        <v>341</v>
      </c>
      <c r="CF540" s="12">
        <v>14.74</v>
      </c>
      <c r="CG540" s="12">
        <v>15</v>
      </c>
      <c r="CH540" s="12">
        <v>22.11</v>
      </c>
      <c r="CI540" s="12">
        <v>22.5</v>
      </c>
      <c r="CJ540" t="s">
        <v>135</v>
      </c>
      <c r="CK540" t="s">
        <v>1899</v>
      </c>
      <c r="CL540" t="s">
        <v>19807</v>
      </c>
      <c r="CO540" t="s">
        <v>132</v>
      </c>
      <c r="CP540" t="s">
        <v>114</v>
      </c>
      <c r="CQ540" t="s">
        <v>114</v>
      </c>
      <c r="CR540" t="s">
        <v>136</v>
      </c>
      <c r="CS540" t="s">
        <v>136</v>
      </c>
      <c r="CT540" t="s">
        <v>136</v>
      </c>
      <c r="CU540" t="s">
        <v>136</v>
      </c>
      <c r="CV540" t="s">
        <v>19808</v>
      </c>
      <c r="CW540" s="10" t="str">
        <f>"+15043918000"</f>
        <v>+15043918000</v>
      </c>
      <c r="CX540" t="s">
        <v>19805</v>
      </c>
      <c r="CY540" t="s">
        <v>132</v>
      </c>
      <c r="CZ540" t="s">
        <v>137</v>
      </c>
      <c r="DA540" t="s">
        <v>114</v>
      </c>
      <c r="DB540" t="s">
        <v>136</v>
      </c>
      <c r="DC540" t="s">
        <v>136</v>
      </c>
      <c r="DD540" t="s">
        <v>114</v>
      </c>
    </row>
    <row r="541" spans="1:113" ht="15" customHeight="1" x14ac:dyDescent="0.25">
      <c r="A541" t="s">
        <v>14939</v>
      </c>
      <c r="B541" t="s">
        <v>152</v>
      </c>
      <c r="C541" s="1">
        <v>45233.00421215278</v>
      </c>
      <c r="D541" s="1">
        <v>45264</v>
      </c>
      <c r="E541" t="s">
        <v>132</v>
      </c>
      <c r="F541" t="s">
        <v>1595</v>
      </c>
      <c r="G541" t="str">
        <f>"37-3011.00"</f>
        <v>37-3011.00</v>
      </c>
      <c r="H541" t="s">
        <v>429</v>
      </c>
      <c r="I541">
        <v>36</v>
      </c>
      <c r="J541">
        <v>36</v>
      </c>
      <c r="K541" s="1">
        <v>45323</v>
      </c>
      <c r="L541" s="1">
        <v>45626</v>
      </c>
      <c r="M541" s="1">
        <v>45323</v>
      </c>
      <c r="N541" s="1">
        <v>45626</v>
      </c>
      <c r="O541" t="s">
        <v>238</v>
      </c>
      <c r="P541" t="s">
        <v>14940</v>
      </c>
      <c r="R541" t="s">
        <v>14941</v>
      </c>
      <c r="T541" t="s">
        <v>7693</v>
      </c>
      <c r="U541" t="s">
        <v>984</v>
      </c>
      <c r="V541" s="8" t="str">
        <f>"63301"</f>
        <v>63301</v>
      </c>
      <c r="W541" t="s">
        <v>118</v>
      </c>
      <c r="Y541" s="10">
        <v>16367238737</v>
      </c>
      <c r="AA541">
        <v>56173</v>
      </c>
      <c r="AB541" t="s">
        <v>14942</v>
      </c>
      <c r="AC541" t="s">
        <v>14943</v>
      </c>
      <c r="AE541" t="s">
        <v>743</v>
      </c>
      <c r="AF541" t="s">
        <v>14941</v>
      </c>
      <c r="AH541" t="s">
        <v>7693</v>
      </c>
      <c r="AI541" t="s">
        <v>984</v>
      </c>
      <c r="AJ541" s="8" t="str">
        <f>"63301"</f>
        <v>63301</v>
      </c>
      <c r="AK541" t="s">
        <v>118</v>
      </c>
      <c r="AM541" s="10">
        <v>16367238737</v>
      </c>
      <c r="AO541" t="s">
        <v>14944</v>
      </c>
      <c r="AP541" t="s">
        <v>248</v>
      </c>
      <c r="AQ541" t="s">
        <v>2667</v>
      </c>
      <c r="AR541" t="s">
        <v>2668</v>
      </c>
      <c r="AT541" t="s">
        <v>1253</v>
      </c>
      <c r="AU541" t="s">
        <v>852</v>
      </c>
      <c r="AV541" t="s">
        <v>853</v>
      </c>
      <c r="AW541" t="s">
        <v>854</v>
      </c>
      <c r="AX541" s="8" t="str">
        <f>"83814"</f>
        <v>83814</v>
      </c>
      <c r="AY541" t="s">
        <v>118</v>
      </c>
      <c r="BA541" s="10">
        <v>12087772654</v>
      </c>
      <c r="BC541" t="s">
        <v>2669</v>
      </c>
      <c r="BD541" t="s">
        <v>856</v>
      </c>
      <c r="BG541" t="s">
        <v>984</v>
      </c>
      <c r="BH541" s="1">
        <v>45231.833333333336</v>
      </c>
      <c r="BI541">
        <v>40</v>
      </c>
      <c r="BJ541">
        <v>0</v>
      </c>
      <c r="BK541">
        <v>8</v>
      </c>
      <c r="BL541">
        <v>8</v>
      </c>
      <c r="BM541">
        <v>8</v>
      </c>
      <c r="BN541">
        <v>8</v>
      </c>
      <c r="BO541">
        <v>8</v>
      </c>
      <c r="BP541">
        <v>0</v>
      </c>
      <c r="BQ541" t="str">
        <f>"7:00 AM"</f>
        <v>7:00 AM</v>
      </c>
      <c r="BR541" t="str">
        <f>"4:00 PM"</f>
        <v>4:00 PM</v>
      </c>
      <c r="BS541" t="s">
        <v>131</v>
      </c>
      <c r="BT541">
        <v>0</v>
      </c>
      <c r="BU541">
        <v>0</v>
      </c>
      <c r="BV541" t="s">
        <v>114</v>
      </c>
      <c r="BX541" t="s">
        <v>2088</v>
      </c>
      <c r="BY541" t="s">
        <v>14945</v>
      </c>
      <c r="CA541" t="s">
        <v>7693</v>
      </c>
      <c r="CB541" t="s">
        <v>984</v>
      </c>
      <c r="CC541" s="8" t="str">
        <f>"63301"</f>
        <v>63301</v>
      </c>
      <c r="CD541" t="s">
        <v>1855</v>
      </c>
      <c r="CE541" t="s">
        <v>1856</v>
      </c>
      <c r="CF541" s="12">
        <v>17.579999999999998</v>
      </c>
      <c r="CG541" s="12">
        <v>24</v>
      </c>
      <c r="CH541" s="12">
        <v>26.37</v>
      </c>
      <c r="CI541" s="12">
        <v>36</v>
      </c>
      <c r="CJ541" t="s">
        <v>135</v>
      </c>
      <c r="CK541" t="s">
        <v>1899</v>
      </c>
      <c r="CL541" t="s">
        <v>14946</v>
      </c>
      <c r="CO541" t="s">
        <v>132</v>
      </c>
      <c r="CP541" t="s">
        <v>136</v>
      </c>
      <c r="CQ541" t="s">
        <v>136</v>
      </c>
      <c r="CR541" t="s">
        <v>136</v>
      </c>
      <c r="CS541" t="s">
        <v>136</v>
      </c>
      <c r="CT541" t="s">
        <v>136</v>
      </c>
      <c r="CU541" t="s">
        <v>136</v>
      </c>
      <c r="CV541" t="s">
        <v>14947</v>
      </c>
      <c r="CW541" s="10" t="str">
        <f>"+16367238737"</f>
        <v>+16367238737</v>
      </c>
      <c r="CX541" t="s">
        <v>14944</v>
      </c>
      <c r="CY541" t="s">
        <v>132</v>
      </c>
      <c r="CZ541" t="s">
        <v>137</v>
      </c>
      <c r="DA541" t="s">
        <v>114</v>
      </c>
      <c r="DB541" t="s">
        <v>136</v>
      </c>
      <c r="DC541" t="s">
        <v>136</v>
      </c>
      <c r="DD541" t="s">
        <v>114</v>
      </c>
    </row>
    <row r="542" spans="1:113" ht="15" customHeight="1" x14ac:dyDescent="0.25">
      <c r="A542" t="s">
        <v>24055</v>
      </c>
      <c r="B542" t="s">
        <v>152</v>
      </c>
      <c r="C542" s="1">
        <v>45233.00164386574</v>
      </c>
      <c r="D542" s="1">
        <v>45264</v>
      </c>
      <c r="E542" t="s">
        <v>132</v>
      </c>
      <c r="F542" t="s">
        <v>1595</v>
      </c>
      <c r="G542" t="str">
        <f>"37-3011.00"</f>
        <v>37-3011.00</v>
      </c>
      <c r="H542" t="s">
        <v>429</v>
      </c>
      <c r="I542">
        <v>14</v>
      </c>
      <c r="J542">
        <v>14</v>
      </c>
      <c r="K542" s="1">
        <v>45323</v>
      </c>
      <c r="L542" s="1">
        <v>45626</v>
      </c>
      <c r="M542" s="1">
        <v>45323</v>
      </c>
      <c r="N542" s="1">
        <v>45626</v>
      </c>
      <c r="O542" t="s">
        <v>116</v>
      </c>
      <c r="P542" t="s">
        <v>10814</v>
      </c>
      <c r="Q542" t="s">
        <v>10815</v>
      </c>
      <c r="R542" t="s">
        <v>24056</v>
      </c>
      <c r="T542" t="s">
        <v>126</v>
      </c>
      <c r="U542" t="s">
        <v>127</v>
      </c>
      <c r="V542" s="8" t="str">
        <f>"78212"</f>
        <v>78212</v>
      </c>
      <c r="W542" t="s">
        <v>118</v>
      </c>
      <c r="Y542" s="10">
        <v>12104910700</v>
      </c>
      <c r="AA542">
        <v>56173</v>
      </c>
      <c r="AB542" t="s">
        <v>10817</v>
      </c>
      <c r="AC542" t="s">
        <v>10818</v>
      </c>
      <c r="AE542" t="s">
        <v>15166</v>
      </c>
      <c r="AF542" t="s">
        <v>24056</v>
      </c>
      <c r="AH542" t="s">
        <v>126</v>
      </c>
      <c r="AI542" t="s">
        <v>127</v>
      </c>
      <c r="AJ542" s="8" t="str">
        <f>"78212"</f>
        <v>78212</v>
      </c>
      <c r="AK542" t="s">
        <v>118</v>
      </c>
      <c r="AM542" s="10">
        <v>12104910700</v>
      </c>
      <c r="AO542" t="s">
        <v>10820</v>
      </c>
      <c r="AP542" t="s">
        <v>248</v>
      </c>
      <c r="AQ542" t="s">
        <v>2732</v>
      </c>
      <c r="AR542" t="s">
        <v>2733</v>
      </c>
      <c r="AT542" t="s">
        <v>851</v>
      </c>
      <c r="AU542" t="s">
        <v>852</v>
      </c>
      <c r="AV542" t="s">
        <v>10821</v>
      </c>
      <c r="AW542" t="s">
        <v>854</v>
      </c>
      <c r="AX542" s="8" t="str">
        <f>"83814"</f>
        <v>83814</v>
      </c>
      <c r="AY542" t="s">
        <v>118</v>
      </c>
      <c r="BA542" s="10">
        <v>12087772654</v>
      </c>
      <c r="BC542" t="s">
        <v>2734</v>
      </c>
      <c r="BD542" t="s">
        <v>856</v>
      </c>
      <c r="BG542" t="s">
        <v>127</v>
      </c>
      <c r="BH542" s="1">
        <v>45231.833333333336</v>
      </c>
      <c r="BI542">
        <v>40</v>
      </c>
      <c r="BJ542">
        <v>0</v>
      </c>
      <c r="BK542">
        <v>8</v>
      </c>
      <c r="BL542">
        <v>8</v>
      </c>
      <c r="BM542">
        <v>8</v>
      </c>
      <c r="BN542">
        <v>8</v>
      </c>
      <c r="BO542">
        <v>8</v>
      </c>
      <c r="BP542">
        <v>0</v>
      </c>
      <c r="BQ542" t="str">
        <f>"7:30 AM"</f>
        <v>7:30 AM</v>
      </c>
      <c r="BR542" t="str">
        <f>"5:00 PM"</f>
        <v>5:00 PM</v>
      </c>
      <c r="BS542" t="s">
        <v>131</v>
      </c>
      <c r="BT542">
        <v>0</v>
      </c>
      <c r="BU542">
        <v>0</v>
      </c>
      <c r="BV542" t="s">
        <v>114</v>
      </c>
      <c r="BX542" s="2" t="s">
        <v>9802</v>
      </c>
      <c r="BY542" t="s">
        <v>24057</v>
      </c>
      <c r="CA542" t="s">
        <v>126</v>
      </c>
      <c r="CB542" t="s">
        <v>127</v>
      </c>
      <c r="CC542" s="8" t="str">
        <f>"78212"</f>
        <v>78212</v>
      </c>
      <c r="CD542" t="s">
        <v>1941</v>
      </c>
      <c r="CE542" t="s">
        <v>1287</v>
      </c>
      <c r="CF542" s="12">
        <v>15.69</v>
      </c>
      <c r="CG542" s="12">
        <v>19.5</v>
      </c>
      <c r="CH542" s="12">
        <v>23.54</v>
      </c>
      <c r="CI542" s="12">
        <v>29.25</v>
      </c>
      <c r="CJ542" t="s">
        <v>135</v>
      </c>
      <c r="CK542" t="s">
        <v>1899</v>
      </c>
      <c r="CL542" t="s">
        <v>24058</v>
      </c>
      <c r="CO542" t="s">
        <v>132</v>
      </c>
      <c r="CP542" t="s">
        <v>136</v>
      </c>
      <c r="CQ542" t="s">
        <v>136</v>
      </c>
      <c r="CR542" t="s">
        <v>136</v>
      </c>
      <c r="CS542" t="s">
        <v>136</v>
      </c>
      <c r="CT542" t="s">
        <v>136</v>
      </c>
      <c r="CU542" t="s">
        <v>136</v>
      </c>
      <c r="CV542" t="s">
        <v>24059</v>
      </c>
      <c r="CW542" s="10" t="str">
        <f>"+19727071589"</f>
        <v>+19727071589</v>
      </c>
      <c r="CX542" t="s">
        <v>10826</v>
      </c>
      <c r="CY542" t="s">
        <v>132</v>
      </c>
      <c r="CZ542" t="s">
        <v>137</v>
      </c>
      <c r="DA542" t="s">
        <v>114</v>
      </c>
      <c r="DB542" t="s">
        <v>136</v>
      </c>
      <c r="DC542" t="s">
        <v>136</v>
      </c>
      <c r="DD542" t="s">
        <v>114</v>
      </c>
    </row>
    <row r="543" spans="1:113" ht="15" customHeight="1" x14ac:dyDescent="0.25">
      <c r="A543" t="s">
        <v>15408</v>
      </c>
      <c r="B543" t="s">
        <v>152</v>
      </c>
      <c r="C543" s="1">
        <v>45233.001567013889</v>
      </c>
      <c r="D543" s="1">
        <v>45264</v>
      </c>
      <c r="E543" t="s">
        <v>132</v>
      </c>
      <c r="F543" t="s">
        <v>1595</v>
      </c>
      <c r="G543" t="str">
        <f>"37-3011.00"</f>
        <v>37-3011.00</v>
      </c>
      <c r="H543" t="s">
        <v>429</v>
      </c>
      <c r="I543">
        <v>18</v>
      </c>
      <c r="J543">
        <v>18</v>
      </c>
      <c r="K543" s="1">
        <v>45323</v>
      </c>
      <c r="L543" s="1">
        <v>45608</v>
      </c>
      <c r="M543" s="1">
        <v>45323</v>
      </c>
      <c r="N543" s="1">
        <v>45608</v>
      </c>
      <c r="O543" t="s">
        <v>238</v>
      </c>
      <c r="P543" t="s">
        <v>15409</v>
      </c>
      <c r="R543" t="s">
        <v>15410</v>
      </c>
      <c r="T543" t="s">
        <v>2676</v>
      </c>
      <c r="U543" t="s">
        <v>984</v>
      </c>
      <c r="V543" s="8" t="str">
        <f>"63010"</f>
        <v>63010</v>
      </c>
      <c r="W543" t="s">
        <v>118</v>
      </c>
      <c r="Y543" s="10">
        <v>16362964660</v>
      </c>
      <c r="AA543">
        <v>56173</v>
      </c>
      <c r="AB543" t="s">
        <v>15411</v>
      </c>
      <c r="AC543" t="s">
        <v>12337</v>
      </c>
      <c r="AE543" t="s">
        <v>629</v>
      </c>
      <c r="AF543" t="s">
        <v>15410</v>
      </c>
      <c r="AH543" t="s">
        <v>2676</v>
      </c>
      <c r="AI543" t="s">
        <v>984</v>
      </c>
      <c r="AJ543" s="8" t="str">
        <f>"63010"</f>
        <v>63010</v>
      </c>
      <c r="AK543" t="s">
        <v>118</v>
      </c>
      <c r="AM543" s="10">
        <v>16362964660</v>
      </c>
      <c r="AO543" t="s">
        <v>15412</v>
      </c>
      <c r="AP543" t="s">
        <v>248</v>
      </c>
      <c r="AQ543" t="s">
        <v>960</v>
      </c>
      <c r="AR543" t="s">
        <v>961</v>
      </c>
      <c r="AS543" t="s">
        <v>962</v>
      </c>
      <c r="AT543" t="s">
        <v>963</v>
      </c>
      <c r="AU543" t="s">
        <v>296</v>
      </c>
      <c r="AV543" t="s">
        <v>964</v>
      </c>
      <c r="AW543" t="s">
        <v>127</v>
      </c>
      <c r="AX543" s="8" t="str">
        <f>"75033"</f>
        <v>75033</v>
      </c>
      <c r="AY543" t="s">
        <v>118</v>
      </c>
      <c r="BA543" s="10">
        <v>19727789690</v>
      </c>
      <c r="BC543" t="s">
        <v>2017</v>
      </c>
      <c r="BD543" t="s">
        <v>966</v>
      </c>
      <c r="BG543" t="s">
        <v>984</v>
      </c>
      <c r="BH543" s="1">
        <v>45232.833333333336</v>
      </c>
      <c r="BI543">
        <v>40</v>
      </c>
      <c r="BJ543">
        <v>0</v>
      </c>
      <c r="BK543">
        <v>8</v>
      </c>
      <c r="BL543">
        <v>8</v>
      </c>
      <c r="BM543">
        <v>8</v>
      </c>
      <c r="BN543">
        <v>8</v>
      </c>
      <c r="BO543">
        <v>8</v>
      </c>
      <c r="BP543">
        <v>0</v>
      </c>
      <c r="BQ543" t="str">
        <f>"7:00 AM"</f>
        <v>7:00 AM</v>
      </c>
      <c r="BR543" t="str">
        <f>"3:30 PM"</f>
        <v>3:30 PM</v>
      </c>
      <c r="BS543" t="s">
        <v>131</v>
      </c>
      <c r="BT543">
        <v>0</v>
      </c>
      <c r="BU543">
        <v>0</v>
      </c>
      <c r="BV543" t="s">
        <v>114</v>
      </c>
      <c r="BX543" s="2" t="s">
        <v>15413</v>
      </c>
      <c r="BY543" t="s">
        <v>15410</v>
      </c>
      <c r="CA543" t="s">
        <v>2676</v>
      </c>
      <c r="CB543" t="s">
        <v>984</v>
      </c>
      <c r="CC543" s="8" t="str">
        <f>"63010"</f>
        <v>63010</v>
      </c>
      <c r="CD543" t="s">
        <v>1767</v>
      </c>
      <c r="CE543" t="s">
        <v>1856</v>
      </c>
      <c r="CF543" s="12">
        <v>17.579999999999998</v>
      </c>
      <c r="CH543" s="12">
        <v>26.37</v>
      </c>
      <c r="CJ543" t="s">
        <v>135</v>
      </c>
      <c r="CK543" t="s">
        <v>2018</v>
      </c>
      <c r="CL543" t="s">
        <v>15414</v>
      </c>
      <c r="CO543" t="s">
        <v>132</v>
      </c>
      <c r="CP543" t="s">
        <v>136</v>
      </c>
      <c r="CQ543" t="s">
        <v>136</v>
      </c>
      <c r="CR543" t="s">
        <v>136</v>
      </c>
      <c r="CS543" t="s">
        <v>136</v>
      </c>
      <c r="CT543" t="s">
        <v>136</v>
      </c>
      <c r="CU543" t="s">
        <v>136</v>
      </c>
      <c r="CV543" t="s">
        <v>131</v>
      </c>
      <c r="CW543" s="10" t="str">
        <f>"+16362964660"</f>
        <v>+16362964660</v>
      </c>
      <c r="CX543" t="s">
        <v>132</v>
      </c>
      <c r="CY543" t="s">
        <v>7457</v>
      </c>
      <c r="CZ543" t="s">
        <v>137</v>
      </c>
      <c r="DA543" t="s">
        <v>114</v>
      </c>
      <c r="DB543" t="s">
        <v>136</v>
      </c>
      <c r="DC543" t="s">
        <v>136</v>
      </c>
      <c r="DD543" t="s">
        <v>114</v>
      </c>
    </row>
    <row r="544" spans="1:113" ht="15" customHeight="1" x14ac:dyDescent="0.25">
      <c r="A544" t="s">
        <v>13555</v>
      </c>
      <c r="B544" t="s">
        <v>152</v>
      </c>
      <c r="C544" s="1">
        <v>45233.000257638887</v>
      </c>
      <c r="D544" s="1">
        <v>45264</v>
      </c>
      <c r="E544" t="s">
        <v>132</v>
      </c>
      <c r="F544" t="s">
        <v>1595</v>
      </c>
      <c r="G544" t="str">
        <f>"37-3011.00"</f>
        <v>37-3011.00</v>
      </c>
      <c r="H544" t="s">
        <v>429</v>
      </c>
      <c r="I544">
        <v>20</v>
      </c>
      <c r="J544">
        <v>20</v>
      </c>
      <c r="K544" s="1">
        <v>45323</v>
      </c>
      <c r="L544" s="1">
        <v>45626</v>
      </c>
      <c r="M544" s="1">
        <v>45323</v>
      </c>
      <c r="N544" s="1">
        <v>45626</v>
      </c>
      <c r="O544" t="s">
        <v>238</v>
      </c>
      <c r="P544" t="s">
        <v>13556</v>
      </c>
      <c r="Q544" t="s">
        <v>13557</v>
      </c>
      <c r="R544" t="s">
        <v>13558</v>
      </c>
      <c r="T544" t="s">
        <v>10876</v>
      </c>
      <c r="U544" t="s">
        <v>543</v>
      </c>
      <c r="V544" s="8" t="str">
        <f>"43064"</f>
        <v>43064</v>
      </c>
      <c r="W544" t="s">
        <v>118</v>
      </c>
      <c r="Y544" s="10">
        <v>16148769988</v>
      </c>
      <c r="AA544">
        <v>56173</v>
      </c>
      <c r="AB544" t="s">
        <v>13559</v>
      </c>
      <c r="AC544" t="s">
        <v>4199</v>
      </c>
      <c r="AE544" t="s">
        <v>13560</v>
      </c>
      <c r="AF544" t="s">
        <v>13558</v>
      </c>
      <c r="AH544" t="s">
        <v>10876</v>
      </c>
      <c r="AI544" t="s">
        <v>543</v>
      </c>
      <c r="AJ544" s="8" t="str">
        <f>"43064"</f>
        <v>43064</v>
      </c>
      <c r="AK544" t="s">
        <v>118</v>
      </c>
      <c r="AM544" s="10">
        <v>16148769988</v>
      </c>
      <c r="AO544" t="s">
        <v>13561</v>
      </c>
      <c r="AP544" t="s">
        <v>248</v>
      </c>
      <c r="AQ544" t="s">
        <v>960</v>
      </c>
      <c r="AR544" t="s">
        <v>961</v>
      </c>
      <c r="AS544" t="s">
        <v>962</v>
      </c>
      <c r="AT544" t="s">
        <v>963</v>
      </c>
      <c r="AU544" t="s">
        <v>296</v>
      </c>
      <c r="AV544" t="s">
        <v>964</v>
      </c>
      <c r="AW544" t="s">
        <v>127</v>
      </c>
      <c r="AX544" s="8" t="str">
        <f>"75033"</f>
        <v>75033</v>
      </c>
      <c r="AY544" t="s">
        <v>118</v>
      </c>
      <c r="BA544" s="10">
        <v>19727789690</v>
      </c>
      <c r="BC544" t="s">
        <v>2017</v>
      </c>
      <c r="BD544" t="s">
        <v>966</v>
      </c>
      <c r="BG544" t="s">
        <v>543</v>
      </c>
      <c r="BH544" s="1">
        <v>45232.833333333336</v>
      </c>
      <c r="BI544">
        <v>40</v>
      </c>
      <c r="BJ544">
        <v>0</v>
      </c>
      <c r="BK544">
        <v>8</v>
      </c>
      <c r="BL544">
        <v>8</v>
      </c>
      <c r="BM544">
        <v>8</v>
      </c>
      <c r="BN544">
        <v>8</v>
      </c>
      <c r="BO544">
        <v>8</v>
      </c>
      <c r="BP544">
        <v>0</v>
      </c>
      <c r="BQ544" t="str">
        <f>"7:30 AM"</f>
        <v>7:30 AM</v>
      </c>
      <c r="BR544" t="str">
        <f>"4:00 PM"</f>
        <v>4:00 PM</v>
      </c>
      <c r="BS544" t="s">
        <v>131</v>
      </c>
      <c r="BT544">
        <v>0</v>
      </c>
      <c r="BU544">
        <v>0</v>
      </c>
      <c r="BV544" t="s">
        <v>114</v>
      </c>
      <c r="BX544" s="2" t="s">
        <v>13562</v>
      </c>
      <c r="BY544" t="s">
        <v>13558</v>
      </c>
      <c r="CA544" t="s">
        <v>10876</v>
      </c>
      <c r="CB544" t="s">
        <v>543</v>
      </c>
      <c r="CC544" s="8" t="str">
        <f>"43064"</f>
        <v>43064</v>
      </c>
      <c r="CD544" t="s">
        <v>3740</v>
      </c>
      <c r="CE544" t="s">
        <v>2272</v>
      </c>
      <c r="CF544" s="12">
        <v>17.46</v>
      </c>
      <c r="CH544" s="12">
        <v>26.19</v>
      </c>
      <c r="CJ544" t="s">
        <v>135</v>
      </c>
      <c r="CK544" t="s">
        <v>2018</v>
      </c>
      <c r="CL544" t="s">
        <v>13563</v>
      </c>
      <c r="CO544" t="s">
        <v>132</v>
      </c>
      <c r="CP544" t="s">
        <v>136</v>
      </c>
      <c r="CQ544" t="s">
        <v>136</v>
      </c>
      <c r="CR544" t="s">
        <v>136</v>
      </c>
      <c r="CS544" t="s">
        <v>136</v>
      </c>
      <c r="CT544" t="s">
        <v>136</v>
      </c>
      <c r="CU544" t="s">
        <v>136</v>
      </c>
      <c r="CV544" s="2" t="s">
        <v>13564</v>
      </c>
      <c r="CW544" s="10" t="str">
        <f>"+16148769988"</f>
        <v>+16148769988</v>
      </c>
      <c r="CX544" t="s">
        <v>132</v>
      </c>
      <c r="CY544" t="s">
        <v>12493</v>
      </c>
      <c r="CZ544" t="s">
        <v>137</v>
      </c>
      <c r="DA544" t="s">
        <v>114</v>
      </c>
      <c r="DB544" t="s">
        <v>136</v>
      </c>
      <c r="DC544" t="s">
        <v>136</v>
      </c>
      <c r="DD544" t="s">
        <v>114</v>
      </c>
    </row>
    <row r="545" spans="1:108" ht="15" customHeight="1" x14ac:dyDescent="0.25">
      <c r="A545" t="s">
        <v>12703</v>
      </c>
      <c r="B545" t="s">
        <v>152</v>
      </c>
      <c r="C545" s="1">
        <v>45229.671638888889</v>
      </c>
      <c r="D545" s="1">
        <v>45264</v>
      </c>
      <c r="E545" t="s">
        <v>132</v>
      </c>
      <c r="F545" t="s">
        <v>3098</v>
      </c>
      <c r="G545" t="str">
        <f>"39-3091.00"</f>
        <v>39-3091.00</v>
      </c>
      <c r="H545" t="s">
        <v>237</v>
      </c>
      <c r="I545">
        <v>19</v>
      </c>
      <c r="J545">
        <v>19</v>
      </c>
      <c r="K545" s="1">
        <v>45316</v>
      </c>
      <c r="L545" s="1">
        <v>45596</v>
      </c>
      <c r="M545" s="1">
        <v>45316</v>
      </c>
      <c r="N545" s="1">
        <v>45596</v>
      </c>
      <c r="O545" t="s">
        <v>238</v>
      </c>
      <c r="P545" t="s">
        <v>12704</v>
      </c>
      <c r="R545" t="s">
        <v>12705</v>
      </c>
      <c r="T545" t="s">
        <v>2435</v>
      </c>
      <c r="U545" t="s">
        <v>402</v>
      </c>
      <c r="V545" s="8" t="str">
        <f>"92117"</f>
        <v>92117</v>
      </c>
      <c r="W545" t="s">
        <v>118</v>
      </c>
      <c r="Y545" s="10">
        <v>16196009339</v>
      </c>
      <c r="Z545" s="3" t="s">
        <v>256</v>
      </c>
      <c r="AA545">
        <v>71399</v>
      </c>
      <c r="AB545" t="s">
        <v>12706</v>
      </c>
      <c r="AC545" t="s">
        <v>2449</v>
      </c>
      <c r="AE545" t="s">
        <v>629</v>
      </c>
      <c r="AF545" t="s">
        <v>12707</v>
      </c>
      <c r="AH545" t="s">
        <v>2434</v>
      </c>
      <c r="AI545" t="s">
        <v>402</v>
      </c>
      <c r="AJ545" s="8" t="str">
        <f>"92117"</f>
        <v>92117</v>
      </c>
      <c r="AK545" t="s">
        <v>118</v>
      </c>
      <c r="AM545" s="10">
        <v>16196009339</v>
      </c>
      <c r="AN545" s="3" t="s">
        <v>256</v>
      </c>
      <c r="AO545" t="s">
        <v>12708</v>
      </c>
      <c r="AP545" t="s">
        <v>248</v>
      </c>
      <c r="AQ545" t="s">
        <v>249</v>
      </c>
      <c r="AR545" t="s">
        <v>250</v>
      </c>
      <c r="AS545" t="s">
        <v>251</v>
      </c>
      <c r="AT545" t="s">
        <v>252</v>
      </c>
      <c r="AU545" t="s">
        <v>253</v>
      </c>
      <c r="AV545" t="s">
        <v>254</v>
      </c>
      <c r="AW545" t="s">
        <v>127</v>
      </c>
      <c r="AX545" s="8" t="str">
        <f>"78550"</f>
        <v>78550</v>
      </c>
      <c r="AY545" t="s">
        <v>118</v>
      </c>
      <c r="AZ545" t="s">
        <v>255</v>
      </c>
      <c r="BA545" s="10">
        <v>19564408720</v>
      </c>
      <c r="BB545" s="3" t="s">
        <v>256</v>
      </c>
      <c r="BC545" t="s">
        <v>338</v>
      </c>
      <c r="BD545" t="s">
        <v>258</v>
      </c>
      <c r="BG545" t="s">
        <v>402</v>
      </c>
      <c r="BH545" s="1">
        <v>45228.833333333336</v>
      </c>
      <c r="BI545">
        <v>40</v>
      </c>
      <c r="BJ545">
        <v>8</v>
      </c>
      <c r="BK545">
        <v>0</v>
      </c>
      <c r="BL545">
        <v>0</v>
      </c>
      <c r="BM545">
        <v>8</v>
      </c>
      <c r="BN545">
        <v>8</v>
      </c>
      <c r="BO545">
        <v>8</v>
      </c>
      <c r="BP545">
        <v>8</v>
      </c>
      <c r="BQ545" t="str">
        <f>"1:00 PM"</f>
        <v>1:00 PM</v>
      </c>
      <c r="BR545" t="str">
        <f>"10:00 PM"</f>
        <v>10:00 PM</v>
      </c>
      <c r="BS545" t="s">
        <v>131</v>
      </c>
      <c r="BT545">
        <v>0</v>
      </c>
      <c r="BU545">
        <v>0</v>
      </c>
      <c r="BV545" t="s">
        <v>114</v>
      </c>
      <c r="BX545" s="2" t="s">
        <v>2396</v>
      </c>
      <c r="BY545" t="s">
        <v>12709</v>
      </c>
      <c r="CA545" t="s">
        <v>12338</v>
      </c>
      <c r="CB545" t="s">
        <v>402</v>
      </c>
      <c r="CC545" s="8" t="str">
        <f>"92251"</f>
        <v>92251</v>
      </c>
      <c r="CD545" t="s">
        <v>8908</v>
      </c>
      <c r="CE545" t="s">
        <v>8909</v>
      </c>
      <c r="CF545" s="12">
        <v>15.29</v>
      </c>
      <c r="CG545" s="12">
        <v>16.010000000000002</v>
      </c>
      <c r="CJ545" t="s">
        <v>135</v>
      </c>
      <c r="CK545" t="s">
        <v>342</v>
      </c>
      <c r="CL545" t="s">
        <v>12710</v>
      </c>
      <c r="CO545" t="s">
        <v>132</v>
      </c>
      <c r="CP545" t="s">
        <v>136</v>
      </c>
      <c r="CQ545" t="s">
        <v>136</v>
      </c>
      <c r="CR545" t="s">
        <v>114</v>
      </c>
      <c r="CS545" t="s">
        <v>136</v>
      </c>
      <c r="CT545" t="s">
        <v>136</v>
      </c>
      <c r="CU545" t="s">
        <v>136</v>
      </c>
      <c r="CV545" t="s">
        <v>12711</v>
      </c>
      <c r="CW545" s="10" t="str">
        <f>"+16196009339"</f>
        <v>+16196009339</v>
      </c>
      <c r="CX545" t="s">
        <v>12708</v>
      </c>
      <c r="CY545" t="s">
        <v>132</v>
      </c>
      <c r="CZ545" t="s">
        <v>137</v>
      </c>
      <c r="DA545" t="s">
        <v>114</v>
      </c>
      <c r="DB545" t="s">
        <v>114</v>
      </c>
      <c r="DC545" t="s">
        <v>136</v>
      </c>
      <c r="DD545" t="s">
        <v>114</v>
      </c>
    </row>
    <row r="546" spans="1:108" ht="15" customHeight="1" x14ac:dyDescent="0.25">
      <c r="A546" t="s">
        <v>12605</v>
      </c>
      <c r="B546" t="s">
        <v>152</v>
      </c>
      <c r="C546" s="1">
        <v>45226.642042939813</v>
      </c>
      <c r="D546" s="1">
        <v>45264</v>
      </c>
      <c r="E546" t="s">
        <v>132</v>
      </c>
      <c r="F546" t="s">
        <v>5842</v>
      </c>
      <c r="G546" t="str">
        <f>"35-3031.00"</f>
        <v>35-3031.00</v>
      </c>
      <c r="H546" t="s">
        <v>347</v>
      </c>
      <c r="I546">
        <v>10</v>
      </c>
      <c r="J546">
        <v>10</v>
      </c>
      <c r="K546" s="1">
        <v>45301</v>
      </c>
      <c r="L546" s="1">
        <v>45432</v>
      </c>
      <c r="M546" s="1">
        <v>45301</v>
      </c>
      <c r="N546" s="1">
        <v>45432</v>
      </c>
      <c r="O546" t="s">
        <v>238</v>
      </c>
      <c r="P546" t="s">
        <v>3334</v>
      </c>
      <c r="Q546" t="s">
        <v>3335</v>
      </c>
      <c r="R546" t="s">
        <v>3336</v>
      </c>
      <c r="T546" t="s">
        <v>1209</v>
      </c>
      <c r="U546" t="s">
        <v>140</v>
      </c>
      <c r="V546" s="8" t="str">
        <f>"33480"</f>
        <v>33480</v>
      </c>
      <c r="W546" t="s">
        <v>118</v>
      </c>
      <c r="Y546" s="10">
        <v>15615406700</v>
      </c>
      <c r="AA546">
        <v>72111</v>
      </c>
      <c r="AB546" t="s">
        <v>3337</v>
      </c>
      <c r="AC546" t="s">
        <v>3338</v>
      </c>
      <c r="AE546" t="s">
        <v>3339</v>
      </c>
      <c r="AF546" t="s">
        <v>3336</v>
      </c>
      <c r="AH546" t="s">
        <v>1209</v>
      </c>
      <c r="AI546" t="s">
        <v>140</v>
      </c>
      <c r="AJ546" s="8" t="str">
        <f>"33480"</f>
        <v>33480</v>
      </c>
      <c r="AK546" t="s">
        <v>118</v>
      </c>
      <c r="AM546" s="10">
        <v>15615406700</v>
      </c>
      <c r="AO546" t="s">
        <v>132</v>
      </c>
      <c r="AP546" t="s">
        <v>121</v>
      </c>
      <c r="AQ546" t="s">
        <v>1215</v>
      </c>
      <c r="AR546" t="s">
        <v>1216</v>
      </c>
      <c r="AS546" t="s">
        <v>1217</v>
      </c>
      <c r="AT546" t="s">
        <v>1433</v>
      </c>
      <c r="AU546" t="s">
        <v>1219</v>
      </c>
      <c r="AV546" t="s">
        <v>1220</v>
      </c>
      <c r="AW546" t="s">
        <v>358</v>
      </c>
      <c r="AX546" s="8" t="str">
        <f>"10036"</f>
        <v>10036</v>
      </c>
      <c r="AY546" t="s">
        <v>118</v>
      </c>
      <c r="BA546" s="10">
        <v>12123247280</v>
      </c>
      <c r="BC546" t="s">
        <v>1221</v>
      </c>
      <c r="BD546" t="s">
        <v>1222</v>
      </c>
      <c r="BE546" t="s">
        <v>375</v>
      </c>
      <c r="BF546" t="s">
        <v>1223</v>
      </c>
      <c r="BG546" t="s">
        <v>140</v>
      </c>
      <c r="BH546" s="1">
        <v>45222.833333333336</v>
      </c>
      <c r="BI546">
        <v>35</v>
      </c>
      <c r="BJ546">
        <v>5</v>
      </c>
      <c r="BK546">
        <v>5</v>
      </c>
      <c r="BL546">
        <v>5</v>
      </c>
      <c r="BM546">
        <v>5</v>
      </c>
      <c r="BN546">
        <v>5</v>
      </c>
      <c r="BO546">
        <v>5</v>
      </c>
      <c r="BP546">
        <v>5</v>
      </c>
      <c r="BQ546" t="str">
        <f>"6:00 AM"</f>
        <v>6:00 AM</v>
      </c>
      <c r="BR546" t="str">
        <f>"10:00 PM"</f>
        <v>10:00 PM</v>
      </c>
      <c r="BS546" t="s">
        <v>131</v>
      </c>
      <c r="BT546">
        <v>0</v>
      </c>
      <c r="BU546">
        <v>3</v>
      </c>
      <c r="BV546" t="s">
        <v>114</v>
      </c>
      <c r="BX546" s="2" t="s">
        <v>12606</v>
      </c>
      <c r="BY546" t="s">
        <v>3336</v>
      </c>
      <c r="CA546" t="s">
        <v>1209</v>
      </c>
      <c r="CB546" t="s">
        <v>140</v>
      </c>
      <c r="CC546" s="8" t="str">
        <f>"33480"</f>
        <v>33480</v>
      </c>
      <c r="CD546" t="s">
        <v>767</v>
      </c>
      <c r="CE546" t="s">
        <v>149</v>
      </c>
      <c r="CF546" s="12">
        <v>16.13</v>
      </c>
      <c r="CH546" s="12">
        <v>24.2</v>
      </c>
      <c r="CJ546" t="s">
        <v>135</v>
      </c>
      <c r="CK546" t="s">
        <v>3341</v>
      </c>
      <c r="CL546" t="s">
        <v>12607</v>
      </c>
      <c r="CO546" t="s">
        <v>136</v>
      </c>
      <c r="CP546" t="s">
        <v>114</v>
      </c>
      <c r="CQ546" t="s">
        <v>136</v>
      </c>
      <c r="CR546" t="s">
        <v>136</v>
      </c>
      <c r="CS546" t="s">
        <v>136</v>
      </c>
      <c r="CT546" t="s">
        <v>136</v>
      </c>
      <c r="CU546" t="s">
        <v>136</v>
      </c>
      <c r="CV546" t="s">
        <v>12608</v>
      </c>
      <c r="CW546" s="10" t="str">
        <f>"+15616592233"</f>
        <v>+15616592233</v>
      </c>
      <c r="CX546" t="s">
        <v>1228</v>
      </c>
      <c r="CY546" t="s">
        <v>132</v>
      </c>
      <c r="CZ546" t="s">
        <v>137</v>
      </c>
      <c r="DA546" t="s">
        <v>114</v>
      </c>
      <c r="DB546" t="s">
        <v>136</v>
      </c>
      <c r="DC546" t="s">
        <v>136</v>
      </c>
      <c r="DD546" t="s">
        <v>114</v>
      </c>
    </row>
    <row r="547" spans="1:108" ht="15" customHeight="1" x14ac:dyDescent="0.25">
      <c r="A547" t="s">
        <v>18977</v>
      </c>
      <c r="B547" t="s">
        <v>152</v>
      </c>
      <c r="C547" s="1">
        <v>45226.624831828703</v>
      </c>
      <c r="D547" s="1">
        <v>45264</v>
      </c>
      <c r="E547" t="s">
        <v>132</v>
      </c>
      <c r="F547" t="s">
        <v>18978</v>
      </c>
      <c r="G547" t="str">
        <f>"37-2012.00"</f>
        <v>37-2012.00</v>
      </c>
      <c r="H547" t="s">
        <v>205</v>
      </c>
      <c r="I547">
        <v>10</v>
      </c>
      <c r="J547">
        <v>10</v>
      </c>
      <c r="K547" s="1">
        <v>45301</v>
      </c>
      <c r="L547" s="1">
        <v>45432</v>
      </c>
      <c r="M547" s="1">
        <v>45301</v>
      </c>
      <c r="N547" s="1">
        <v>45432</v>
      </c>
      <c r="O547" t="s">
        <v>238</v>
      </c>
      <c r="P547" t="s">
        <v>3334</v>
      </c>
      <c r="Q547" t="s">
        <v>3335</v>
      </c>
      <c r="R547" t="s">
        <v>3336</v>
      </c>
      <c r="T547" t="s">
        <v>1209</v>
      </c>
      <c r="U547" t="s">
        <v>140</v>
      </c>
      <c r="V547" s="8" t="str">
        <f>"33480"</f>
        <v>33480</v>
      </c>
      <c r="W547" t="s">
        <v>118</v>
      </c>
      <c r="Y547" s="10">
        <v>15615406700</v>
      </c>
      <c r="AA547">
        <v>72111</v>
      </c>
      <c r="AB547" t="s">
        <v>3337</v>
      </c>
      <c r="AC547" t="s">
        <v>3338</v>
      </c>
      <c r="AE547" t="s">
        <v>3339</v>
      </c>
      <c r="AF547" t="s">
        <v>3336</v>
      </c>
      <c r="AH547" t="s">
        <v>1209</v>
      </c>
      <c r="AI547" t="s">
        <v>140</v>
      </c>
      <c r="AJ547" s="8" t="str">
        <f>"33480"</f>
        <v>33480</v>
      </c>
      <c r="AK547" t="s">
        <v>118</v>
      </c>
      <c r="AM547" s="10">
        <v>15615406700</v>
      </c>
      <c r="AO547" t="s">
        <v>132</v>
      </c>
      <c r="AP547" t="s">
        <v>121</v>
      </c>
      <c r="AQ547" t="s">
        <v>1215</v>
      </c>
      <c r="AR547" t="s">
        <v>1216</v>
      </c>
      <c r="AS547" t="s">
        <v>1217</v>
      </c>
      <c r="AT547" t="s">
        <v>1433</v>
      </c>
      <c r="AU547" t="s">
        <v>1219</v>
      </c>
      <c r="AV547" t="s">
        <v>1220</v>
      </c>
      <c r="AW547" t="s">
        <v>358</v>
      </c>
      <c r="AX547" s="8" t="str">
        <f>"10036"</f>
        <v>10036</v>
      </c>
      <c r="AY547" t="s">
        <v>118</v>
      </c>
      <c r="BA547" s="10">
        <v>12123247280</v>
      </c>
      <c r="BC547" t="s">
        <v>1221</v>
      </c>
      <c r="BD547" t="s">
        <v>1222</v>
      </c>
      <c r="BE547" t="s">
        <v>375</v>
      </c>
      <c r="BF547" t="s">
        <v>1223</v>
      </c>
      <c r="BG547" t="s">
        <v>140</v>
      </c>
      <c r="BH547" s="1">
        <v>45222.833333333336</v>
      </c>
      <c r="BI547">
        <v>35</v>
      </c>
      <c r="BJ547">
        <v>5</v>
      </c>
      <c r="BK547">
        <v>5</v>
      </c>
      <c r="BL547">
        <v>5</v>
      </c>
      <c r="BM547">
        <v>5</v>
      </c>
      <c r="BN547">
        <v>5</v>
      </c>
      <c r="BO547">
        <v>5</v>
      </c>
      <c r="BP547">
        <v>5</v>
      </c>
      <c r="BQ547" t="str">
        <f>"8:00 AM"</f>
        <v>8:00 AM</v>
      </c>
      <c r="BR547" t="str">
        <f>"5:00 PM"</f>
        <v>5:00 PM</v>
      </c>
      <c r="BS547" t="s">
        <v>131</v>
      </c>
      <c r="BT547">
        <v>0</v>
      </c>
      <c r="BU547">
        <v>3</v>
      </c>
      <c r="BV547" t="s">
        <v>114</v>
      </c>
      <c r="BX547" t="s">
        <v>18979</v>
      </c>
      <c r="BY547" t="s">
        <v>3336</v>
      </c>
      <c r="CA547" t="s">
        <v>1209</v>
      </c>
      <c r="CB547" t="s">
        <v>140</v>
      </c>
      <c r="CC547" s="8" t="str">
        <f>"33480"</f>
        <v>33480</v>
      </c>
      <c r="CD547" t="s">
        <v>767</v>
      </c>
      <c r="CE547" t="s">
        <v>149</v>
      </c>
      <c r="CF547" s="12">
        <v>14.17</v>
      </c>
      <c r="CH547" s="12">
        <v>21.26</v>
      </c>
      <c r="CJ547" t="s">
        <v>135</v>
      </c>
      <c r="CK547" t="s">
        <v>3341</v>
      </c>
      <c r="CL547" t="s">
        <v>18980</v>
      </c>
      <c r="CO547" t="s">
        <v>136</v>
      </c>
      <c r="CP547" t="s">
        <v>114</v>
      </c>
      <c r="CQ547" t="s">
        <v>136</v>
      </c>
      <c r="CR547" t="s">
        <v>136</v>
      </c>
      <c r="CS547" t="s">
        <v>136</v>
      </c>
      <c r="CT547" t="s">
        <v>136</v>
      </c>
      <c r="CU547" t="s">
        <v>136</v>
      </c>
      <c r="CV547" t="s">
        <v>12608</v>
      </c>
      <c r="CW547" s="10" t="str">
        <f>"+15616592233"</f>
        <v>+15616592233</v>
      </c>
      <c r="CX547" t="s">
        <v>1228</v>
      </c>
      <c r="CY547" t="s">
        <v>132</v>
      </c>
      <c r="CZ547" t="s">
        <v>137</v>
      </c>
      <c r="DA547" t="s">
        <v>114</v>
      </c>
      <c r="DB547" t="s">
        <v>136</v>
      </c>
      <c r="DC547" t="s">
        <v>136</v>
      </c>
      <c r="DD547" t="s">
        <v>114</v>
      </c>
    </row>
    <row r="548" spans="1:108" ht="15" customHeight="1" x14ac:dyDescent="0.25">
      <c r="A548" t="s">
        <v>9605</v>
      </c>
      <c r="B548" t="s">
        <v>152</v>
      </c>
      <c r="C548" s="1">
        <v>45210.407687847219</v>
      </c>
      <c r="D548" s="1">
        <v>45264</v>
      </c>
      <c r="E548" t="s">
        <v>132</v>
      </c>
      <c r="F548" t="s">
        <v>9606</v>
      </c>
      <c r="G548" t="str">
        <f>"37-3011.00"</f>
        <v>37-3011.00</v>
      </c>
      <c r="H548" t="s">
        <v>429</v>
      </c>
      <c r="I548">
        <v>8</v>
      </c>
      <c r="J548">
        <v>8</v>
      </c>
      <c r="K548" s="1">
        <v>45292</v>
      </c>
      <c r="L548" s="1">
        <v>45566</v>
      </c>
      <c r="M548" s="1">
        <v>45292</v>
      </c>
      <c r="N548" s="1">
        <v>45566</v>
      </c>
      <c r="O548" t="s">
        <v>116</v>
      </c>
      <c r="P548" t="s">
        <v>9607</v>
      </c>
      <c r="Q548" t="s">
        <v>9608</v>
      </c>
      <c r="R548" t="s">
        <v>9609</v>
      </c>
      <c r="T548" t="s">
        <v>401</v>
      </c>
      <c r="U548" t="s">
        <v>402</v>
      </c>
      <c r="V548" s="8" t="str">
        <f>"92009"</f>
        <v>92009</v>
      </c>
      <c r="W548" t="s">
        <v>118</v>
      </c>
      <c r="Y548" s="10">
        <v>17604389111</v>
      </c>
      <c r="AA548">
        <v>72111</v>
      </c>
      <c r="AB548" t="s">
        <v>9610</v>
      </c>
      <c r="AC548" t="s">
        <v>1069</v>
      </c>
      <c r="AE548" t="s">
        <v>161</v>
      </c>
      <c r="AF548" t="s">
        <v>9609</v>
      </c>
      <c r="AH548" t="s">
        <v>401</v>
      </c>
      <c r="AI548" t="s">
        <v>402</v>
      </c>
      <c r="AJ548" s="8" t="str">
        <f>"92009"</f>
        <v>92009</v>
      </c>
      <c r="AK548" t="s">
        <v>118</v>
      </c>
      <c r="AM548" s="10">
        <v>17604389111</v>
      </c>
      <c r="AO548" t="s">
        <v>9611</v>
      </c>
      <c r="AP548" t="s">
        <v>248</v>
      </c>
      <c r="AQ548" t="s">
        <v>960</v>
      </c>
      <c r="AR548" t="s">
        <v>961</v>
      </c>
      <c r="AS548" t="s">
        <v>962</v>
      </c>
      <c r="AT548" t="s">
        <v>963</v>
      </c>
      <c r="AU548" t="s">
        <v>296</v>
      </c>
      <c r="AV548" t="s">
        <v>964</v>
      </c>
      <c r="AW548" t="s">
        <v>127</v>
      </c>
      <c r="AX548" s="8" t="str">
        <f>"75033"</f>
        <v>75033</v>
      </c>
      <c r="AY548" t="s">
        <v>118</v>
      </c>
      <c r="BA548" s="10">
        <v>19727789690</v>
      </c>
      <c r="BC548" t="s">
        <v>7354</v>
      </c>
      <c r="BD548" t="s">
        <v>966</v>
      </c>
      <c r="BG548" t="s">
        <v>402</v>
      </c>
      <c r="BH548" s="1">
        <v>45208.833333333336</v>
      </c>
      <c r="BI548">
        <v>40</v>
      </c>
      <c r="BJ548">
        <v>8</v>
      </c>
      <c r="BK548">
        <v>0</v>
      </c>
      <c r="BL548">
        <v>0</v>
      </c>
      <c r="BM548">
        <v>8</v>
      </c>
      <c r="BN548">
        <v>8</v>
      </c>
      <c r="BO548">
        <v>8</v>
      </c>
      <c r="BP548">
        <v>8</v>
      </c>
      <c r="BQ548" t="str">
        <f>"8:00 AM"</f>
        <v>8:00 AM</v>
      </c>
      <c r="BR548" t="str">
        <f>"5:00 PM"</f>
        <v>5:00 PM</v>
      </c>
      <c r="BS548" t="s">
        <v>131</v>
      </c>
      <c r="BT548">
        <v>0</v>
      </c>
      <c r="BU548">
        <v>0</v>
      </c>
      <c r="BV548" t="s">
        <v>114</v>
      </c>
      <c r="BX548" t="s">
        <v>9612</v>
      </c>
      <c r="BY548" t="s">
        <v>9609</v>
      </c>
      <c r="CA548" t="s">
        <v>401</v>
      </c>
      <c r="CB548" t="s">
        <v>402</v>
      </c>
      <c r="CC548" s="8" t="str">
        <f>"92009"</f>
        <v>92009</v>
      </c>
      <c r="CD548" t="s">
        <v>2435</v>
      </c>
      <c r="CE548" t="s">
        <v>2436</v>
      </c>
      <c r="CF548" s="12">
        <v>19.61</v>
      </c>
      <c r="CH548" s="12">
        <v>29.42</v>
      </c>
      <c r="CJ548" t="s">
        <v>135</v>
      </c>
      <c r="CK548" t="s">
        <v>9613</v>
      </c>
      <c r="CL548" t="s">
        <v>9614</v>
      </c>
      <c r="CO548" t="s">
        <v>132</v>
      </c>
      <c r="CP548" t="s">
        <v>114</v>
      </c>
      <c r="CQ548" t="s">
        <v>114</v>
      </c>
      <c r="CR548" t="s">
        <v>136</v>
      </c>
      <c r="CS548" t="s">
        <v>136</v>
      </c>
      <c r="CT548" t="s">
        <v>136</v>
      </c>
      <c r="CU548" t="s">
        <v>136</v>
      </c>
      <c r="CV548" s="2" t="s">
        <v>9615</v>
      </c>
      <c r="CW548" s="10" t="str">
        <f>"+17604389111"</f>
        <v>+17604389111</v>
      </c>
      <c r="CX548" t="s">
        <v>132</v>
      </c>
      <c r="CY548" t="s">
        <v>5880</v>
      </c>
      <c r="CZ548" t="s">
        <v>137</v>
      </c>
      <c r="DA548" t="s">
        <v>114</v>
      </c>
      <c r="DB548" t="s">
        <v>114</v>
      </c>
      <c r="DC548" t="s">
        <v>136</v>
      </c>
      <c r="DD548" t="s">
        <v>114</v>
      </c>
    </row>
    <row r="549" spans="1:108" ht="15" customHeight="1" x14ac:dyDescent="0.25">
      <c r="A549" t="s">
        <v>9939</v>
      </c>
      <c r="B549" t="s">
        <v>152</v>
      </c>
      <c r="C549" s="1">
        <v>45209.763777083332</v>
      </c>
      <c r="D549" s="1">
        <v>45264</v>
      </c>
      <c r="E549" t="s">
        <v>132</v>
      </c>
      <c r="F549" t="s">
        <v>9940</v>
      </c>
      <c r="G549" t="str">
        <f>"53-7051.00"</f>
        <v>53-7051.00</v>
      </c>
      <c r="H549" t="s">
        <v>2209</v>
      </c>
      <c r="I549">
        <v>4</v>
      </c>
      <c r="J549">
        <v>4</v>
      </c>
      <c r="K549" s="1">
        <v>45292</v>
      </c>
      <c r="L549" s="1">
        <v>45473</v>
      </c>
      <c r="M549" s="1">
        <v>45292</v>
      </c>
      <c r="N549" s="1">
        <v>45473</v>
      </c>
      <c r="O549" t="s">
        <v>238</v>
      </c>
      <c r="P549" t="s">
        <v>9941</v>
      </c>
      <c r="R549" t="s">
        <v>9942</v>
      </c>
      <c r="S549" t="s">
        <v>9943</v>
      </c>
      <c r="T549" t="s">
        <v>9944</v>
      </c>
      <c r="U549" t="s">
        <v>127</v>
      </c>
      <c r="V549" s="8" t="str">
        <f>"77590"</f>
        <v>77590</v>
      </c>
      <c r="W549" t="s">
        <v>118</v>
      </c>
      <c r="Y549" s="10">
        <v>14099454001</v>
      </c>
      <c r="AA549">
        <v>42446</v>
      </c>
      <c r="AB549" t="s">
        <v>9945</v>
      </c>
      <c r="AC549" t="s">
        <v>9946</v>
      </c>
      <c r="AD549" t="s">
        <v>9947</v>
      </c>
      <c r="AE549" t="s">
        <v>120</v>
      </c>
      <c r="AF549" t="s">
        <v>9942</v>
      </c>
      <c r="AH549" t="s">
        <v>9944</v>
      </c>
      <c r="AI549" t="s">
        <v>127</v>
      </c>
      <c r="AJ549" s="8" t="str">
        <f>"77592"</f>
        <v>77592</v>
      </c>
      <c r="AK549" t="s">
        <v>118</v>
      </c>
      <c r="AM549" s="10">
        <v>13376520213</v>
      </c>
      <c r="AO549" t="s">
        <v>9948</v>
      </c>
      <c r="AP549" t="s">
        <v>121</v>
      </c>
      <c r="AQ549" t="s">
        <v>3627</v>
      </c>
      <c r="AR549" t="s">
        <v>2309</v>
      </c>
      <c r="AS549" t="s">
        <v>5087</v>
      </c>
      <c r="AT549" t="s">
        <v>5088</v>
      </c>
      <c r="AV549" t="s">
        <v>5089</v>
      </c>
      <c r="AW549" t="s">
        <v>333</v>
      </c>
      <c r="AX549" s="8" t="str">
        <f>"70535"</f>
        <v>70535</v>
      </c>
      <c r="AY549" t="s">
        <v>118</v>
      </c>
      <c r="BA549" s="10">
        <v>13374663722</v>
      </c>
      <c r="BC549" t="s">
        <v>5090</v>
      </c>
      <c r="BD549" t="s">
        <v>5091</v>
      </c>
      <c r="BE549" t="s">
        <v>333</v>
      </c>
      <c r="BF549" t="s">
        <v>2190</v>
      </c>
      <c r="BG549" t="s">
        <v>333</v>
      </c>
      <c r="BH549" s="1">
        <v>45208.833333333336</v>
      </c>
      <c r="BI549">
        <v>40</v>
      </c>
      <c r="BJ549">
        <v>0</v>
      </c>
      <c r="BK549">
        <v>8</v>
      </c>
      <c r="BL549">
        <v>8</v>
      </c>
      <c r="BM549">
        <v>8</v>
      </c>
      <c r="BN549">
        <v>8</v>
      </c>
      <c r="BO549">
        <v>8</v>
      </c>
      <c r="BP549">
        <v>0</v>
      </c>
      <c r="BQ549" t="str">
        <f>"8:00 AM"</f>
        <v>8:00 AM</v>
      </c>
      <c r="BR549" t="str">
        <f>"5:00 PM"</f>
        <v>5:00 PM</v>
      </c>
      <c r="BS549" t="s">
        <v>131</v>
      </c>
      <c r="BT549">
        <v>0</v>
      </c>
      <c r="BU549">
        <v>0</v>
      </c>
      <c r="BV549" t="s">
        <v>114</v>
      </c>
      <c r="BX549" s="2" t="s">
        <v>9949</v>
      </c>
      <c r="BY549" t="s">
        <v>9950</v>
      </c>
      <c r="CA549" t="s">
        <v>9951</v>
      </c>
      <c r="CB549" t="s">
        <v>333</v>
      </c>
      <c r="CC549" s="8" t="str">
        <f>"70532"</f>
        <v>70532</v>
      </c>
      <c r="CD549" t="s">
        <v>5007</v>
      </c>
      <c r="CE549" t="s">
        <v>5008</v>
      </c>
      <c r="CF549" s="12">
        <v>19.97</v>
      </c>
      <c r="CG549" s="12">
        <v>19.97</v>
      </c>
      <c r="CH549" s="12">
        <v>29.96</v>
      </c>
      <c r="CI549" s="12">
        <v>29.96</v>
      </c>
      <c r="CJ549" t="s">
        <v>135</v>
      </c>
      <c r="CK549" t="s">
        <v>9952</v>
      </c>
      <c r="CL549" t="s">
        <v>9953</v>
      </c>
      <c r="CO549" t="s">
        <v>132</v>
      </c>
      <c r="CP549" t="s">
        <v>136</v>
      </c>
      <c r="CQ549" t="s">
        <v>136</v>
      </c>
      <c r="CR549" t="s">
        <v>136</v>
      </c>
      <c r="CS549" t="s">
        <v>114</v>
      </c>
      <c r="CT549" t="s">
        <v>136</v>
      </c>
      <c r="CU549" t="s">
        <v>136</v>
      </c>
      <c r="CV549" t="s">
        <v>9954</v>
      </c>
      <c r="CW549" s="10" t="str">
        <f>"+13376520213"</f>
        <v>+13376520213</v>
      </c>
      <c r="CX549" t="s">
        <v>9955</v>
      </c>
      <c r="CY549" t="s">
        <v>132</v>
      </c>
      <c r="CZ549" t="s">
        <v>137</v>
      </c>
      <c r="DA549" t="s">
        <v>114</v>
      </c>
      <c r="DB549" t="s">
        <v>114</v>
      </c>
      <c r="DC549" t="s">
        <v>136</v>
      </c>
      <c r="DD549" t="s">
        <v>114</v>
      </c>
    </row>
    <row r="550" spans="1:108" ht="15" customHeight="1" x14ac:dyDescent="0.25">
      <c r="A550" t="s">
        <v>20091</v>
      </c>
      <c r="B550" t="s">
        <v>152</v>
      </c>
      <c r="C550" s="1">
        <v>45188.763421412033</v>
      </c>
      <c r="D550" s="1">
        <v>45264</v>
      </c>
      <c r="E550" t="s">
        <v>132</v>
      </c>
      <c r="F550" t="s">
        <v>685</v>
      </c>
      <c r="G550" t="str">
        <f>"39-3091.00"</f>
        <v>39-3091.00</v>
      </c>
      <c r="H550" t="s">
        <v>237</v>
      </c>
      <c r="I550">
        <v>20</v>
      </c>
      <c r="J550">
        <v>20</v>
      </c>
      <c r="K550" s="1">
        <v>45263</v>
      </c>
      <c r="L550" s="1">
        <v>45352</v>
      </c>
      <c r="M550" s="1">
        <v>45263</v>
      </c>
      <c r="N550" s="1">
        <v>45352</v>
      </c>
      <c r="O550" t="s">
        <v>238</v>
      </c>
      <c r="P550" t="s">
        <v>20092</v>
      </c>
      <c r="R550" t="s">
        <v>20093</v>
      </c>
      <c r="T550" t="s">
        <v>11317</v>
      </c>
      <c r="U550" t="s">
        <v>434</v>
      </c>
      <c r="V550" s="8" t="str">
        <f>"16127"</f>
        <v>16127</v>
      </c>
      <c r="W550" t="s">
        <v>118</v>
      </c>
      <c r="Y550" s="10">
        <v>14126385087</v>
      </c>
      <c r="Z550" s="3" t="s">
        <v>256</v>
      </c>
      <c r="AA550">
        <v>7111</v>
      </c>
      <c r="AB550" t="s">
        <v>11318</v>
      </c>
      <c r="AC550" t="s">
        <v>3249</v>
      </c>
      <c r="AE550" t="s">
        <v>629</v>
      </c>
      <c r="AF550" t="s">
        <v>20093</v>
      </c>
      <c r="AH550" t="s">
        <v>11317</v>
      </c>
      <c r="AI550" t="s">
        <v>434</v>
      </c>
      <c r="AJ550" s="8" t="str">
        <f>"16127"</f>
        <v>16127</v>
      </c>
      <c r="AK550" t="s">
        <v>118</v>
      </c>
      <c r="AM550" s="10">
        <v>14126385087</v>
      </c>
      <c r="AN550" s="3" t="s">
        <v>256</v>
      </c>
      <c r="AO550" t="s">
        <v>20094</v>
      </c>
      <c r="AP550" t="s">
        <v>248</v>
      </c>
      <c r="AQ550" t="s">
        <v>249</v>
      </c>
      <c r="AR550" t="s">
        <v>250</v>
      </c>
      <c r="AS550" t="s">
        <v>251</v>
      </c>
      <c r="AT550" t="s">
        <v>252</v>
      </c>
      <c r="AU550" t="s">
        <v>253</v>
      </c>
      <c r="AV550" t="s">
        <v>254</v>
      </c>
      <c r="AW550" t="s">
        <v>127</v>
      </c>
      <c r="AX550" s="8" t="str">
        <f>"78550"</f>
        <v>78550</v>
      </c>
      <c r="AY550" t="s">
        <v>118</v>
      </c>
      <c r="AZ550" t="s">
        <v>255</v>
      </c>
      <c r="BA550" s="10">
        <v>19564408720</v>
      </c>
      <c r="BB550" s="3" t="s">
        <v>256</v>
      </c>
      <c r="BC550" t="s">
        <v>338</v>
      </c>
      <c r="BD550" t="s">
        <v>258</v>
      </c>
      <c r="BG550" t="s">
        <v>434</v>
      </c>
      <c r="BH550" s="1">
        <v>45187.833333333336</v>
      </c>
      <c r="BI550">
        <v>40</v>
      </c>
      <c r="BJ550">
        <v>0</v>
      </c>
      <c r="BK550">
        <v>8</v>
      </c>
      <c r="BL550">
        <v>8</v>
      </c>
      <c r="BM550">
        <v>8</v>
      </c>
      <c r="BN550">
        <v>8</v>
      </c>
      <c r="BO550">
        <v>8</v>
      </c>
      <c r="BP550">
        <v>0</v>
      </c>
      <c r="BQ550" t="str">
        <f>"8:00 AM"</f>
        <v>8:00 AM</v>
      </c>
      <c r="BR550" t="str">
        <f>"5:00 PM"</f>
        <v>5:00 PM</v>
      </c>
      <c r="BS550" t="s">
        <v>131</v>
      </c>
      <c r="BT550">
        <v>0</v>
      </c>
      <c r="BU550">
        <v>0</v>
      </c>
      <c r="BV550" t="s">
        <v>114</v>
      </c>
      <c r="BX550" s="2" t="s">
        <v>339</v>
      </c>
      <c r="BY550" t="s">
        <v>20093</v>
      </c>
      <c r="CA550" t="s">
        <v>11317</v>
      </c>
      <c r="CB550" t="s">
        <v>434</v>
      </c>
      <c r="CC550" s="8" t="str">
        <f>"16127"</f>
        <v>16127</v>
      </c>
      <c r="CD550" t="s">
        <v>3298</v>
      </c>
      <c r="CE550" t="s">
        <v>3206</v>
      </c>
      <c r="CF550" s="12">
        <v>10.68</v>
      </c>
      <c r="CG550" s="12">
        <v>14.08</v>
      </c>
      <c r="CJ550" t="s">
        <v>135</v>
      </c>
      <c r="CK550" t="s">
        <v>342</v>
      </c>
      <c r="CL550" t="s">
        <v>20095</v>
      </c>
      <c r="CO550" t="s">
        <v>132</v>
      </c>
      <c r="CP550" t="s">
        <v>136</v>
      </c>
      <c r="CQ550" t="s">
        <v>136</v>
      </c>
      <c r="CR550" t="s">
        <v>114</v>
      </c>
      <c r="CS550" t="s">
        <v>136</v>
      </c>
      <c r="CT550" t="s">
        <v>136</v>
      </c>
      <c r="CU550" t="s">
        <v>136</v>
      </c>
      <c r="CV550" t="s">
        <v>698</v>
      </c>
      <c r="CW550" s="10" t="str">
        <f>"+17247484788"</f>
        <v>+17247484788</v>
      </c>
      <c r="CX550" t="s">
        <v>20094</v>
      </c>
      <c r="CY550" t="s">
        <v>132</v>
      </c>
      <c r="CZ550" t="s">
        <v>137</v>
      </c>
      <c r="DA550" t="s">
        <v>114</v>
      </c>
      <c r="DB550" t="s">
        <v>136</v>
      </c>
      <c r="DC550" t="s">
        <v>136</v>
      </c>
      <c r="DD550" t="s">
        <v>114</v>
      </c>
    </row>
    <row r="551" spans="1:108" ht="15" customHeight="1" x14ac:dyDescent="0.25">
      <c r="A551" t="s">
        <v>22296</v>
      </c>
      <c r="B551" t="s">
        <v>152</v>
      </c>
      <c r="C551" s="1">
        <v>45174.565912384256</v>
      </c>
      <c r="D551" s="1">
        <v>45264</v>
      </c>
      <c r="E551" t="s">
        <v>132</v>
      </c>
      <c r="F551" t="s">
        <v>4510</v>
      </c>
      <c r="G551" t="str">
        <f>"39-2021.00"</f>
        <v>39-2021.00</v>
      </c>
      <c r="H551" t="s">
        <v>2895</v>
      </c>
      <c r="I551">
        <v>20</v>
      </c>
      <c r="J551">
        <v>20</v>
      </c>
      <c r="K551" s="1">
        <v>45260</v>
      </c>
      <c r="L551" s="1">
        <v>45383</v>
      </c>
      <c r="M551" s="1">
        <v>45260</v>
      </c>
      <c r="N551" s="1">
        <v>45383</v>
      </c>
      <c r="O551" t="s">
        <v>238</v>
      </c>
      <c r="P551" t="s">
        <v>22297</v>
      </c>
      <c r="R551" t="s">
        <v>22298</v>
      </c>
      <c r="T551" t="s">
        <v>139</v>
      </c>
      <c r="U551" t="s">
        <v>140</v>
      </c>
      <c r="V551" s="8" t="str">
        <f>"33180"</f>
        <v>33180</v>
      </c>
      <c r="W551" t="s">
        <v>118</v>
      </c>
      <c r="Y551" s="10">
        <v>15153841661</v>
      </c>
      <c r="AA551">
        <v>711219</v>
      </c>
      <c r="AB551" t="s">
        <v>22299</v>
      </c>
      <c r="AC551" t="s">
        <v>22300</v>
      </c>
      <c r="AD551" t="s">
        <v>2291</v>
      </c>
      <c r="AE551" t="s">
        <v>629</v>
      </c>
      <c r="AF551" t="s">
        <v>22301</v>
      </c>
      <c r="AH551" t="s">
        <v>139</v>
      </c>
      <c r="AI551" t="s">
        <v>140</v>
      </c>
      <c r="AJ551" s="8" t="str">
        <f>"33180"</f>
        <v>33180</v>
      </c>
      <c r="AK551" t="s">
        <v>118</v>
      </c>
      <c r="AM551" s="10">
        <v>15163841661</v>
      </c>
      <c r="AO551" t="s">
        <v>22302</v>
      </c>
      <c r="AP551" t="s">
        <v>121</v>
      </c>
      <c r="AQ551" t="s">
        <v>4516</v>
      </c>
      <c r="AR551" t="s">
        <v>1235</v>
      </c>
      <c r="AT551" t="s">
        <v>4517</v>
      </c>
      <c r="AU551" t="s">
        <v>4518</v>
      </c>
      <c r="AV551" t="s">
        <v>1220</v>
      </c>
      <c r="AW551" t="s">
        <v>358</v>
      </c>
      <c r="AX551" s="8" t="str">
        <f>"10165"</f>
        <v>10165</v>
      </c>
      <c r="AY551" t="s">
        <v>118</v>
      </c>
      <c r="BA551" s="10">
        <v>12127604400</v>
      </c>
      <c r="BC551" t="s">
        <v>4519</v>
      </c>
      <c r="BD551" t="s">
        <v>4520</v>
      </c>
      <c r="BE551" t="s">
        <v>358</v>
      </c>
      <c r="BF551" t="s">
        <v>22303</v>
      </c>
      <c r="BG551" t="s">
        <v>140</v>
      </c>
      <c r="BH551" s="1">
        <v>45167.833333333336</v>
      </c>
      <c r="BI551">
        <v>40</v>
      </c>
      <c r="BJ551">
        <v>8</v>
      </c>
      <c r="BK551">
        <v>0</v>
      </c>
      <c r="BL551">
        <v>0</v>
      </c>
      <c r="BM551">
        <v>8</v>
      </c>
      <c r="BN551">
        <v>8</v>
      </c>
      <c r="BO551">
        <v>8</v>
      </c>
      <c r="BP551">
        <v>8</v>
      </c>
      <c r="BQ551" t="str">
        <f>"5:00 AM"</f>
        <v>5:00 AM</v>
      </c>
      <c r="BR551" t="str">
        <f>"11:00 AM"</f>
        <v>11:00 AM</v>
      </c>
      <c r="BS551" t="s">
        <v>131</v>
      </c>
      <c r="BT551">
        <v>0</v>
      </c>
      <c r="BU551">
        <v>0</v>
      </c>
      <c r="BV551" t="s">
        <v>114</v>
      </c>
      <c r="BX551" t="s">
        <v>1570</v>
      </c>
      <c r="BY551" t="s">
        <v>22304</v>
      </c>
      <c r="BZ551" t="s">
        <v>22305</v>
      </c>
      <c r="CA551" t="s">
        <v>22306</v>
      </c>
      <c r="CB551" t="s">
        <v>140</v>
      </c>
      <c r="CC551" s="8" t="str">
        <f>"34956"</f>
        <v>34956</v>
      </c>
      <c r="CD551" t="s">
        <v>695</v>
      </c>
      <c r="CE551" t="s">
        <v>696</v>
      </c>
      <c r="CF551" s="12">
        <v>14.81</v>
      </c>
      <c r="CG551" s="12">
        <v>14.81</v>
      </c>
      <c r="CH551" s="12">
        <v>22.22</v>
      </c>
      <c r="CI551" s="12">
        <v>22.22</v>
      </c>
      <c r="CJ551" t="s">
        <v>135</v>
      </c>
      <c r="CL551" t="s">
        <v>22307</v>
      </c>
      <c r="CO551" t="s">
        <v>132</v>
      </c>
      <c r="CP551" t="s">
        <v>114</v>
      </c>
      <c r="CQ551" t="s">
        <v>114</v>
      </c>
      <c r="CR551" t="s">
        <v>136</v>
      </c>
      <c r="CS551" t="s">
        <v>114</v>
      </c>
      <c r="CT551" t="s">
        <v>136</v>
      </c>
      <c r="CU551" t="s">
        <v>136</v>
      </c>
      <c r="CV551" t="s">
        <v>4526</v>
      </c>
      <c r="CW551" s="10" t="str">
        <f>"+15163841661"</f>
        <v>+15163841661</v>
      </c>
      <c r="CX551" t="s">
        <v>22302</v>
      </c>
      <c r="CY551" t="s">
        <v>132</v>
      </c>
      <c r="CZ551" t="s">
        <v>137</v>
      </c>
      <c r="DA551" t="s">
        <v>114</v>
      </c>
      <c r="DB551" t="s">
        <v>114</v>
      </c>
      <c r="DC551" t="s">
        <v>136</v>
      </c>
      <c r="DD551" t="s">
        <v>114</v>
      </c>
    </row>
    <row r="552" spans="1:108" ht="15" customHeight="1" x14ac:dyDescent="0.25">
      <c r="A552" t="s">
        <v>16412</v>
      </c>
      <c r="B552" t="s">
        <v>152</v>
      </c>
      <c r="C552" s="1">
        <v>45236.380064814817</v>
      </c>
      <c r="D552" s="1">
        <v>45261</v>
      </c>
      <c r="E552" t="s">
        <v>132</v>
      </c>
      <c r="F552" t="s">
        <v>5021</v>
      </c>
      <c r="G552" t="str">
        <f>"39-3091.00"</f>
        <v>39-3091.00</v>
      </c>
      <c r="H552" t="s">
        <v>237</v>
      </c>
      <c r="I552">
        <v>50</v>
      </c>
      <c r="J552">
        <v>50</v>
      </c>
      <c r="K552" s="1">
        <v>45323</v>
      </c>
      <c r="L552" s="1">
        <v>45611</v>
      </c>
      <c r="M552" s="1">
        <v>45323</v>
      </c>
      <c r="N552" s="1">
        <v>45611</v>
      </c>
      <c r="O552" t="s">
        <v>238</v>
      </c>
      <c r="P552" t="s">
        <v>4219</v>
      </c>
      <c r="R552" t="s">
        <v>4220</v>
      </c>
      <c r="T552" t="s">
        <v>126</v>
      </c>
      <c r="U552" t="s">
        <v>127</v>
      </c>
      <c r="V552" s="8" t="str">
        <f>"78248"</f>
        <v>78248</v>
      </c>
      <c r="W552" t="s">
        <v>118</v>
      </c>
      <c r="Y552" s="10">
        <v>12108586078</v>
      </c>
      <c r="Z552">
        <v>0</v>
      </c>
      <c r="AA552">
        <v>71399</v>
      </c>
      <c r="AB552" t="s">
        <v>189</v>
      </c>
      <c r="AC552" t="s">
        <v>1826</v>
      </c>
      <c r="AE552" t="s">
        <v>629</v>
      </c>
      <c r="AF552" t="s">
        <v>4220</v>
      </c>
      <c r="AH552" t="s">
        <v>126</v>
      </c>
      <c r="AI552" t="s">
        <v>127</v>
      </c>
      <c r="AJ552" s="8" t="str">
        <f>"78248"</f>
        <v>78248</v>
      </c>
      <c r="AK552" t="s">
        <v>118</v>
      </c>
      <c r="AM552" s="10">
        <v>12108586078</v>
      </c>
      <c r="AN552">
        <v>0</v>
      </c>
      <c r="AO552" t="s">
        <v>4221</v>
      </c>
      <c r="AP552" t="s">
        <v>121</v>
      </c>
      <c r="AQ552" t="s">
        <v>1718</v>
      </c>
      <c r="AR552" t="s">
        <v>708</v>
      </c>
      <c r="AS552" t="s">
        <v>1719</v>
      </c>
      <c r="AT552" t="s">
        <v>1720</v>
      </c>
      <c r="AU552" t="s">
        <v>799</v>
      </c>
      <c r="AV552" t="s">
        <v>1721</v>
      </c>
      <c r="AW552" t="s">
        <v>1722</v>
      </c>
      <c r="AX552" s="8" t="str">
        <f>"21401"</f>
        <v>21401</v>
      </c>
      <c r="AY552" t="s">
        <v>118</v>
      </c>
      <c r="BA552" s="10">
        <v>14105739955</v>
      </c>
      <c r="BB552">
        <v>0</v>
      </c>
      <c r="BC552" t="s">
        <v>1723</v>
      </c>
      <c r="BD552" t="s">
        <v>1724</v>
      </c>
      <c r="BE552" t="s">
        <v>1722</v>
      </c>
      <c r="BF552" t="s">
        <v>1725</v>
      </c>
      <c r="BG552" t="s">
        <v>127</v>
      </c>
      <c r="BH552" s="1">
        <v>45216.833333333336</v>
      </c>
      <c r="BI552">
        <v>35</v>
      </c>
      <c r="BJ552">
        <v>7</v>
      </c>
      <c r="BK552">
        <v>0</v>
      </c>
      <c r="BL552">
        <v>0</v>
      </c>
      <c r="BM552">
        <v>7</v>
      </c>
      <c r="BN552">
        <v>7</v>
      </c>
      <c r="BO552">
        <v>7</v>
      </c>
      <c r="BP552">
        <v>7</v>
      </c>
      <c r="BQ552" t="str">
        <f>"4:00 PM"</f>
        <v>4:00 PM</v>
      </c>
      <c r="BR552" t="str">
        <f>"11:00 PM"</f>
        <v>11:00 PM</v>
      </c>
      <c r="BS552" t="s">
        <v>131</v>
      </c>
      <c r="BT552">
        <v>0</v>
      </c>
      <c r="BU552">
        <v>0</v>
      </c>
      <c r="BV552" t="s">
        <v>114</v>
      </c>
      <c r="BX552" s="2" t="s">
        <v>16413</v>
      </c>
      <c r="BY552" t="s">
        <v>16414</v>
      </c>
      <c r="CA552" t="s">
        <v>126</v>
      </c>
      <c r="CB552" t="s">
        <v>127</v>
      </c>
      <c r="CC552" s="8" t="str">
        <f>"78264"</f>
        <v>78264</v>
      </c>
      <c r="CD552" t="s">
        <v>1941</v>
      </c>
      <c r="CE552" t="s">
        <v>1287</v>
      </c>
      <c r="CF552" s="12">
        <v>9.57</v>
      </c>
      <c r="CG552" s="12">
        <v>16.37</v>
      </c>
      <c r="CH552" s="12">
        <v>14.36</v>
      </c>
      <c r="CI552" s="12">
        <v>24.56</v>
      </c>
      <c r="CJ552" t="s">
        <v>135</v>
      </c>
      <c r="CK552" t="s">
        <v>9241</v>
      </c>
      <c r="CL552" t="s">
        <v>16415</v>
      </c>
      <c r="CO552" t="s">
        <v>132</v>
      </c>
      <c r="CP552" t="s">
        <v>136</v>
      </c>
      <c r="CQ552" t="s">
        <v>114</v>
      </c>
      <c r="CR552" t="s">
        <v>136</v>
      </c>
      <c r="CS552" t="s">
        <v>136</v>
      </c>
      <c r="CT552" t="s">
        <v>136</v>
      </c>
      <c r="CU552" t="s">
        <v>136</v>
      </c>
      <c r="CV552" t="s">
        <v>16416</v>
      </c>
      <c r="CW552" s="10" t="str">
        <f>"+12108586078"</f>
        <v>+12108586078</v>
      </c>
      <c r="CX552" t="s">
        <v>4221</v>
      </c>
      <c r="CY552" t="s">
        <v>132</v>
      </c>
      <c r="CZ552" t="s">
        <v>137</v>
      </c>
      <c r="DA552" t="s">
        <v>114</v>
      </c>
      <c r="DB552" t="s">
        <v>136</v>
      </c>
      <c r="DC552" t="s">
        <v>136</v>
      </c>
      <c r="DD552" t="s">
        <v>114</v>
      </c>
    </row>
    <row r="553" spans="1:108" ht="15" customHeight="1" x14ac:dyDescent="0.25">
      <c r="A553" t="s">
        <v>12280</v>
      </c>
      <c r="B553" t="s">
        <v>152</v>
      </c>
      <c r="C553" s="1">
        <v>45233.602225810188</v>
      </c>
      <c r="D553" s="1">
        <v>45261</v>
      </c>
      <c r="E553" t="s">
        <v>132</v>
      </c>
      <c r="F553" t="s">
        <v>700</v>
      </c>
      <c r="G553" t="str">
        <f>"47-2061.00"</f>
        <v>47-2061.00</v>
      </c>
      <c r="H553" t="s">
        <v>570</v>
      </c>
      <c r="I553">
        <v>14</v>
      </c>
      <c r="J553">
        <v>14</v>
      </c>
      <c r="K553" s="1">
        <v>45323</v>
      </c>
      <c r="L553" s="1">
        <v>45597</v>
      </c>
      <c r="M553" s="1">
        <v>45323</v>
      </c>
      <c r="N553" s="1">
        <v>45597</v>
      </c>
      <c r="O553" t="s">
        <v>116</v>
      </c>
      <c r="P553" t="s">
        <v>12281</v>
      </c>
      <c r="R553" t="s">
        <v>12282</v>
      </c>
      <c r="S553" t="s">
        <v>132</v>
      </c>
      <c r="T553" t="s">
        <v>12283</v>
      </c>
      <c r="U553" t="s">
        <v>550</v>
      </c>
      <c r="V553" s="8" t="str">
        <f>"31061"</f>
        <v>31061</v>
      </c>
      <c r="W553" t="s">
        <v>118</v>
      </c>
      <c r="Y553" s="10">
        <v>14784521003</v>
      </c>
      <c r="AA553">
        <v>238990</v>
      </c>
      <c r="AB553" t="s">
        <v>3932</v>
      </c>
      <c r="AC553" t="s">
        <v>2823</v>
      </c>
      <c r="AE553" t="s">
        <v>629</v>
      </c>
      <c r="AF553" t="s">
        <v>12282</v>
      </c>
      <c r="AG553" t="s">
        <v>132</v>
      </c>
      <c r="AH553" t="s">
        <v>12283</v>
      </c>
      <c r="AI553" t="s">
        <v>550</v>
      </c>
      <c r="AJ553" s="8" t="str">
        <f>"31061"</f>
        <v>31061</v>
      </c>
      <c r="AK553" t="s">
        <v>118</v>
      </c>
      <c r="AM553" s="10">
        <v>14784521003</v>
      </c>
      <c r="AO553" t="s">
        <v>12284</v>
      </c>
      <c r="AP553" t="s">
        <v>248</v>
      </c>
      <c r="AQ553" t="s">
        <v>1582</v>
      </c>
      <c r="AR553" t="s">
        <v>1583</v>
      </c>
      <c r="AS553" t="s">
        <v>631</v>
      </c>
      <c r="AT553" t="s">
        <v>1584</v>
      </c>
      <c r="AU553" t="s">
        <v>132</v>
      </c>
      <c r="AV553" t="s">
        <v>1585</v>
      </c>
      <c r="AW553" t="s">
        <v>127</v>
      </c>
      <c r="AX553" s="8" t="str">
        <f>"77414"</f>
        <v>77414</v>
      </c>
      <c r="AY553" t="s">
        <v>118</v>
      </c>
      <c r="BA553" s="10">
        <v>19793187280</v>
      </c>
      <c r="BC553" t="s">
        <v>1586</v>
      </c>
      <c r="BD553" t="s">
        <v>1587</v>
      </c>
      <c r="BG553" t="s">
        <v>550</v>
      </c>
      <c r="BH553" s="1">
        <v>45232.833333333336</v>
      </c>
      <c r="BI553">
        <v>50</v>
      </c>
      <c r="BJ553">
        <v>0</v>
      </c>
      <c r="BK553">
        <v>10</v>
      </c>
      <c r="BL553">
        <v>10</v>
      </c>
      <c r="BM553">
        <v>10</v>
      </c>
      <c r="BN553">
        <v>10</v>
      </c>
      <c r="BO553">
        <v>10</v>
      </c>
      <c r="BP553">
        <v>0</v>
      </c>
      <c r="BQ553" t="str">
        <f>"7:00 AM"</f>
        <v>7:00 AM</v>
      </c>
      <c r="BR553" t="str">
        <f>"4:00 PM"</f>
        <v>4:00 PM</v>
      </c>
      <c r="BS553" t="s">
        <v>131</v>
      </c>
      <c r="BT553">
        <v>0</v>
      </c>
      <c r="BU553">
        <v>0</v>
      </c>
      <c r="BV553" t="s">
        <v>114</v>
      </c>
      <c r="BX553" s="2" t="s">
        <v>12285</v>
      </c>
      <c r="BY553" t="s">
        <v>12282</v>
      </c>
      <c r="BZ553" t="s">
        <v>132</v>
      </c>
      <c r="CA553" t="s">
        <v>12283</v>
      </c>
      <c r="CB553" t="s">
        <v>550</v>
      </c>
      <c r="CC553" s="8" t="str">
        <f>"31061"</f>
        <v>31061</v>
      </c>
      <c r="CD553" t="s">
        <v>5370</v>
      </c>
      <c r="CE553" t="s">
        <v>6037</v>
      </c>
      <c r="CF553" s="12">
        <v>16.5</v>
      </c>
      <c r="CH553" s="12">
        <v>24.75</v>
      </c>
      <c r="CJ553" t="s">
        <v>135</v>
      </c>
      <c r="CK553" t="s">
        <v>7694</v>
      </c>
      <c r="CL553" t="s">
        <v>12286</v>
      </c>
      <c r="CO553" t="s">
        <v>132</v>
      </c>
      <c r="CP553" t="s">
        <v>136</v>
      </c>
      <c r="CQ553" t="s">
        <v>136</v>
      </c>
      <c r="CR553" t="s">
        <v>136</v>
      </c>
      <c r="CS553" t="s">
        <v>136</v>
      </c>
      <c r="CT553" t="s">
        <v>136</v>
      </c>
      <c r="CU553" t="s">
        <v>114</v>
      </c>
      <c r="CV553" t="s">
        <v>131</v>
      </c>
      <c r="CW553" s="10" t="str">
        <f>"+14784521003"</f>
        <v>+14784521003</v>
      </c>
      <c r="CX553" t="s">
        <v>12284</v>
      </c>
      <c r="CY553" t="s">
        <v>132</v>
      </c>
      <c r="CZ553" t="s">
        <v>137</v>
      </c>
      <c r="DA553" t="s">
        <v>114</v>
      </c>
      <c r="DB553" t="s">
        <v>114</v>
      </c>
      <c r="DC553" t="s">
        <v>136</v>
      </c>
      <c r="DD553" t="s">
        <v>114</v>
      </c>
    </row>
    <row r="554" spans="1:108" ht="15" customHeight="1" x14ac:dyDescent="0.25">
      <c r="A554" t="s">
        <v>17636</v>
      </c>
      <c r="B554" t="s">
        <v>152</v>
      </c>
      <c r="C554" s="1">
        <v>45233.541587037034</v>
      </c>
      <c r="D554" s="1">
        <v>45261</v>
      </c>
      <c r="E554" t="s">
        <v>132</v>
      </c>
      <c r="F554" t="s">
        <v>17637</v>
      </c>
      <c r="G554" t="str">
        <f>"53-3033.00"</f>
        <v>53-3033.00</v>
      </c>
      <c r="H554" t="s">
        <v>2973</v>
      </c>
      <c r="I554">
        <v>12</v>
      </c>
      <c r="J554">
        <v>12</v>
      </c>
      <c r="K554" s="1">
        <v>45323</v>
      </c>
      <c r="L554" s="1">
        <v>45626</v>
      </c>
      <c r="M554" s="1">
        <v>45323</v>
      </c>
      <c r="N554" s="1">
        <v>45626</v>
      </c>
      <c r="O554" t="s">
        <v>116</v>
      </c>
      <c r="P554" t="s">
        <v>2445</v>
      </c>
      <c r="R554" t="s">
        <v>2446</v>
      </c>
      <c r="T554" t="s">
        <v>2447</v>
      </c>
      <c r="U554" t="s">
        <v>581</v>
      </c>
      <c r="V554" s="8" t="str">
        <f>"22152"</f>
        <v>22152</v>
      </c>
      <c r="W554" t="s">
        <v>118</v>
      </c>
      <c r="Y554" s="10">
        <v>17035692121</v>
      </c>
      <c r="AA554">
        <v>484210</v>
      </c>
      <c r="AB554" t="s">
        <v>2448</v>
      </c>
      <c r="AC554" t="s">
        <v>2449</v>
      </c>
      <c r="AE554" t="s">
        <v>2450</v>
      </c>
      <c r="AF554" t="s">
        <v>2446</v>
      </c>
      <c r="AH554" t="s">
        <v>2447</v>
      </c>
      <c r="AI554" t="s">
        <v>581</v>
      </c>
      <c r="AJ554" s="8" t="str">
        <f>"22152"</f>
        <v>22152</v>
      </c>
      <c r="AK554" t="s">
        <v>118</v>
      </c>
      <c r="AM554" s="10">
        <v>17035692121</v>
      </c>
      <c r="AO554" t="s">
        <v>2451</v>
      </c>
      <c r="AP554" t="s">
        <v>248</v>
      </c>
      <c r="AQ554" t="s">
        <v>2452</v>
      </c>
      <c r="AR554" t="s">
        <v>2453</v>
      </c>
      <c r="AS554" t="s">
        <v>515</v>
      </c>
      <c r="AT554" t="s">
        <v>2454</v>
      </c>
      <c r="AU554" t="s">
        <v>132</v>
      </c>
      <c r="AV554" t="s">
        <v>1585</v>
      </c>
      <c r="AW554" t="s">
        <v>127</v>
      </c>
      <c r="AX554" s="8" t="str">
        <f>"77414"</f>
        <v>77414</v>
      </c>
      <c r="AY554" t="s">
        <v>118</v>
      </c>
      <c r="BA554" s="10">
        <v>19793187278</v>
      </c>
      <c r="BC554" t="s">
        <v>2455</v>
      </c>
      <c r="BD554" t="s">
        <v>1587</v>
      </c>
      <c r="BG554" t="s">
        <v>581</v>
      </c>
      <c r="BH554" s="1">
        <v>45232.833333333336</v>
      </c>
      <c r="BI554">
        <v>40</v>
      </c>
      <c r="BJ554">
        <v>0</v>
      </c>
      <c r="BK554">
        <v>8</v>
      </c>
      <c r="BL554">
        <v>8</v>
      </c>
      <c r="BM554">
        <v>8</v>
      </c>
      <c r="BN554">
        <v>8</v>
      </c>
      <c r="BO554">
        <v>8</v>
      </c>
      <c r="BP554">
        <v>0</v>
      </c>
      <c r="BQ554" t="str">
        <f>"6:45 AM"</f>
        <v>6:45 AM</v>
      </c>
      <c r="BR554" t="str">
        <f>"3:15 PM"</f>
        <v>3:15 PM</v>
      </c>
      <c r="BS554" t="s">
        <v>131</v>
      </c>
      <c r="BT554">
        <v>1</v>
      </c>
      <c r="BU554">
        <v>0</v>
      </c>
      <c r="BV554" t="s">
        <v>136</v>
      </c>
      <c r="BW554">
        <v>3</v>
      </c>
      <c r="BX554" s="2" t="s">
        <v>17638</v>
      </c>
      <c r="BY554" t="s">
        <v>2446</v>
      </c>
      <c r="BZ554" t="s">
        <v>132</v>
      </c>
      <c r="CA554" t="s">
        <v>2447</v>
      </c>
      <c r="CB554" t="s">
        <v>581</v>
      </c>
      <c r="CC554" s="8" t="str">
        <f>"22152"</f>
        <v>22152</v>
      </c>
      <c r="CD554" t="s">
        <v>2457</v>
      </c>
      <c r="CE554" t="s">
        <v>1794</v>
      </c>
      <c r="CF554" s="12">
        <v>23.67</v>
      </c>
      <c r="CG554" s="12">
        <v>28.5</v>
      </c>
      <c r="CH554" s="12">
        <v>35.51</v>
      </c>
      <c r="CI554" s="12">
        <v>42.75</v>
      </c>
      <c r="CJ554" t="s">
        <v>135</v>
      </c>
      <c r="CK554" t="s">
        <v>2458</v>
      </c>
      <c r="CL554" t="s">
        <v>17639</v>
      </c>
      <c r="CO554" t="s">
        <v>132</v>
      </c>
      <c r="CP554" t="s">
        <v>136</v>
      </c>
      <c r="CQ554" t="s">
        <v>136</v>
      </c>
      <c r="CR554" t="s">
        <v>136</v>
      </c>
      <c r="CS554" t="s">
        <v>136</v>
      </c>
      <c r="CT554" t="s">
        <v>136</v>
      </c>
      <c r="CU554" t="s">
        <v>114</v>
      </c>
      <c r="CV554" t="s">
        <v>2225</v>
      </c>
      <c r="CW554" s="10" t="str">
        <f>"N/A"</f>
        <v>N/A</v>
      </c>
      <c r="CX554" t="s">
        <v>2460</v>
      </c>
      <c r="CY554" t="s">
        <v>2461</v>
      </c>
      <c r="CZ554" t="s">
        <v>137</v>
      </c>
      <c r="DA554" t="s">
        <v>114</v>
      </c>
      <c r="DB554" t="s">
        <v>136</v>
      </c>
      <c r="DC554" t="s">
        <v>136</v>
      </c>
      <c r="DD554" t="s">
        <v>114</v>
      </c>
    </row>
    <row r="555" spans="1:108" ht="15" customHeight="1" x14ac:dyDescent="0.25">
      <c r="A555" t="s">
        <v>2443</v>
      </c>
      <c r="B555" t="s">
        <v>152</v>
      </c>
      <c r="C555" s="1">
        <v>45233.537078819441</v>
      </c>
      <c r="D555" s="1">
        <v>45261</v>
      </c>
      <c r="E555" t="s">
        <v>132</v>
      </c>
      <c r="F555" t="s">
        <v>2444</v>
      </c>
      <c r="G555" t="str">
        <f>"53-7062.00"</f>
        <v>53-7062.00</v>
      </c>
      <c r="H555" t="s">
        <v>2078</v>
      </c>
      <c r="I555">
        <v>24</v>
      </c>
      <c r="J555">
        <v>24</v>
      </c>
      <c r="K555" s="1">
        <v>45323</v>
      </c>
      <c r="L555" s="1">
        <v>45626</v>
      </c>
      <c r="M555" s="1">
        <v>45323</v>
      </c>
      <c r="N555" s="1">
        <v>45626</v>
      </c>
      <c r="O555" t="s">
        <v>116</v>
      </c>
      <c r="P555" t="s">
        <v>2445</v>
      </c>
      <c r="R555" t="s">
        <v>2446</v>
      </c>
      <c r="S555" t="s">
        <v>132</v>
      </c>
      <c r="T555" t="s">
        <v>2447</v>
      </c>
      <c r="U555" t="s">
        <v>581</v>
      </c>
      <c r="V555" s="8" t="str">
        <f>"22152"</f>
        <v>22152</v>
      </c>
      <c r="W555" t="s">
        <v>118</v>
      </c>
      <c r="Y555" s="10">
        <v>17035692121</v>
      </c>
      <c r="AA555">
        <v>484210</v>
      </c>
      <c r="AB555" t="s">
        <v>2448</v>
      </c>
      <c r="AC555" t="s">
        <v>2449</v>
      </c>
      <c r="AE555" t="s">
        <v>2450</v>
      </c>
      <c r="AF555" t="s">
        <v>2446</v>
      </c>
      <c r="AH555" t="s">
        <v>2447</v>
      </c>
      <c r="AI555" t="s">
        <v>581</v>
      </c>
      <c r="AJ555" s="8" t="str">
        <f>"22152"</f>
        <v>22152</v>
      </c>
      <c r="AK555" t="s">
        <v>118</v>
      </c>
      <c r="AM555" s="10">
        <v>17035692121</v>
      </c>
      <c r="AO555" t="s">
        <v>2451</v>
      </c>
      <c r="AP555" t="s">
        <v>248</v>
      </c>
      <c r="AQ555" t="s">
        <v>2452</v>
      </c>
      <c r="AR555" t="s">
        <v>2453</v>
      </c>
      <c r="AS555" t="s">
        <v>515</v>
      </c>
      <c r="AT555" t="s">
        <v>2454</v>
      </c>
      <c r="AU555" t="s">
        <v>132</v>
      </c>
      <c r="AV555" t="s">
        <v>1585</v>
      </c>
      <c r="AW555" t="s">
        <v>127</v>
      </c>
      <c r="AX555" s="8" t="str">
        <f>"77414"</f>
        <v>77414</v>
      </c>
      <c r="AY555" t="s">
        <v>118</v>
      </c>
      <c r="BA555" s="10">
        <v>19793187278</v>
      </c>
      <c r="BC555" t="s">
        <v>2455</v>
      </c>
      <c r="BD555" t="s">
        <v>1587</v>
      </c>
      <c r="BG555" t="s">
        <v>581</v>
      </c>
      <c r="BH555" s="1">
        <v>45232.833333333336</v>
      </c>
      <c r="BI555">
        <v>40</v>
      </c>
      <c r="BJ555">
        <v>0</v>
      </c>
      <c r="BK555">
        <v>8</v>
      </c>
      <c r="BL555">
        <v>8</v>
      </c>
      <c r="BM555">
        <v>8</v>
      </c>
      <c r="BN555">
        <v>8</v>
      </c>
      <c r="BO555">
        <v>8</v>
      </c>
      <c r="BP555">
        <v>0</v>
      </c>
      <c r="BQ555" t="str">
        <f>"6:45 AM"</f>
        <v>6:45 AM</v>
      </c>
      <c r="BR555" t="str">
        <f>"3:15 PM"</f>
        <v>3:15 PM</v>
      </c>
      <c r="BS555" t="s">
        <v>131</v>
      </c>
      <c r="BT555">
        <v>1</v>
      </c>
      <c r="BU555">
        <v>0</v>
      </c>
      <c r="BV555" t="s">
        <v>114</v>
      </c>
      <c r="BX555" s="2" t="s">
        <v>2456</v>
      </c>
      <c r="BY555" t="s">
        <v>2446</v>
      </c>
      <c r="BZ555" t="s">
        <v>132</v>
      </c>
      <c r="CA555" t="s">
        <v>2447</v>
      </c>
      <c r="CB555" t="s">
        <v>581</v>
      </c>
      <c r="CC555" s="8" t="str">
        <f>"22152"</f>
        <v>22152</v>
      </c>
      <c r="CD555" t="s">
        <v>2457</v>
      </c>
      <c r="CE555" t="s">
        <v>1794</v>
      </c>
      <c r="CF555" s="12">
        <v>19.21</v>
      </c>
      <c r="CH555" s="12">
        <v>28.82</v>
      </c>
      <c r="CJ555" t="s">
        <v>135</v>
      </c>
      <c r="CK555" t="s">
        <v>2458</v>
      </c>
      <c r="CL555" t="s">
        <v>2459</v>
      </c>
      <c r="CO555" t="s">
        <v>132</v>
      </c>
      <c r="CP555" t="s">
        <v>136</v>
      </c>
      <c r="CQ555" t="s">
        <v>136</v>
      </c>
      <c r="CR555" t="s">
        <v>136</v>
      </c>
      <c r="CS555" t="s">
        <v>136</v>
      </c>
      <c r="CT555" t="s">
        <v>136</v>
      </c>
      <c r="CU555" t="s">
        <v>114</v>
      </c>
      <c r="CV555" t="s">
        <v>2225</v>
      </c>
      <c r="CW555" s="10" t="str">
        <f>"N/A"</f>
        <v>N/A</v>
      </c>
      <c r="CX555" t="s">
        <v>2460</v>
      </c>
      <c r="CY555" t="s">
        <v>2461</v>
      </c>
      <c r="CZ555" t="s">
        <v>137</v>
      </c>
      <c r="DA555" t="s">
        <v>114</v>
      </c>
      <c r="DB555" t="s">
        <v>136</v>
      </c>
      <c r="DC555" t="s">
        <v>136</v>
      </c>
      <c r="DD555" t="s">
        <v>114</v>
      </c>
    </row>
    <row r="556" spans="1:108" ht="15" customHeight="1" x14ac:dyDescent="0.25">
      <c r="A556" t="s">
        <v>12698</v>
      </c>
      <c r="B556" t="s">
        <v>152</v>
      </c>
      <c r="C556" s="1">
        <v>45233.444997685183</v>
      </c>
      <c r="D556" s="1">
        <v>45261</v>
      </c>
      <c r="E556" t="s">
        <v>132</v>
      </c>
      <c r="F556" t="s">
        <v>12699</v>
      </c>
      <c r="G556" t="str">
        <f>"35-9021.00"</f>
        <v>35-9021.00</v>
      </c>
      <c r="H556" t="s">
        <v>501</v>
      </c>
      <c r="I556">
        <v>30</v>
      </c>
      <c r="J556">
        <v>30</v>
      </c>
      <c r="K556" s="1">
        <v>45323</v>
      </c>
      <c r="L556" s="1">
        <v>45626</v>
      </c>
      <c r="M556" s="1">
        <v>45323</v>
      </c>
      <c r="N556" s="1">
        <v>45626</v>
      </c>
      <c r="O556" t="s">
        <v>116</v>
      </c>
      <c r="P556" t="s">
        <v>11137</v>
      </c>
      <c r="Q556" t="s">
        <v>11138</v>
      </c>
      <c r="R556" t="s">
        <v>11139</v>
      </c>
      <c r="T556" t="s">
        <v>11140</v>
      </c>
      <c r="U556" t="s">
        <v>127</v>
      </c>
      <c r="V556" s="8" t="str">
        <f>"75034"</f>
        <v>75034</v>
      </c>
      <c r="W556" t="s">
        <v>118</v>
      </c>
      <c r="Y556" s="10">
        <v>18008436664</v>
      </c>
      <c r="AA556">
        <v>72111</v>
      </c>
      <c r="AB556" t="s">
        <v>3118</v>
      </c>
      <c r="AC556" t="s">
        <v>11141</v>
      </c>
      <c r="AE556" t="s">
        <v>5755</v>
      </c>
      <c r="AF556" t="s">
        <v>11142</v>
      </c>
      <c r="AH556" t="s">
        <v>11140</v>
      </c>
      <c r="AI556" t="s">
        <v>127</v>
      </c>
      <c r="AJ556" s="8" t="str">
        <f>"75034"</f>
        <v>75034</v>
      </c>
      <c r="AK556" t="s">
        <v>118</v>
      </c>
      <c r="AM556" s="10">
        <v>18008436664</v>
      </c>
      <c r="AO556" t="s">
        <v>11143</v>
      </c>
      <c r="AP556" t="s">
        <v>248</v>
      </c>
      <c r="AQ556" t="s">
        <v>960</v>
      </c>
      <c r="AR556" t="s">
        <v>961</v>
      </c>
      <c r="AS556" t="s">
        <v>962</v>
      </c>
      <c r="AT556" t="s">
        <v>963</v>
      </c>
      <c r="AU556" t="s">
        <v>296</v>
      </c>
      <c r="AV556" t="s">
        <v>964</v>
      </c>
      <c r="AW556" t="s">
        <v>127</v>
      </c>
      <c r="AX556" s="8" t="str">
        <f>"75033"</f>
        <v>75033</v>
      </c>
      <c r="AY556" t="s">
        <v>118</v>
      </c>
      <c r="BA556" s="10">
        <v>19727789690</v>
      </c>
      <c r="BC556" t="s">
        <v>1919</v>
      </c>
      <c r="BD556" t="s">
        <v>966</v>
      </c>
      <c r="BG556" t="s">
        <v>127</v>
      </c>
      <c r="BH556" s="1">
        <v>45232.833333333336</v>
      </c>
      <c r="BI556">
        <v>40</v>
      </c>
      <c r="BJ556">
        <v>8</v>
      </c>
      <c r="BK556">
        <v>0</v>
      </c>
      <c r="BL556">
        <v>0</v>
      </c>
      <c r="BM556">
        <v>8</v>
      </c>
      <c r="BN556">
        <v>8</v>
      </c>
      <c r="BO556">
        <v>8</v>
      </c>
      <c r="BP556">
        <v>8</v>
      </c>
      <c r="BQ556" t="str">
        <f>"8:00 AM"</f>
        <v>8:00 AM</v>
      </c>
      <c r="BR556" t="str">
        <f>"5:00 PM"</f>
        <v>5:00 PM</v>
      </c>
      <c r="BS556" t="s">
        <v>131</v>
      </c>
      <c r="BT556">
        <v>0</v>
      </c>
      <c r="BU556">
        <v>0</v>
      </c>
      <c r="BV556" t="s">
        <v>114</v>
      </c>
      <c r="BX556" s="2" t="s">
        <v>12700</v>
      </c>
      <c r="BY556" t="s">
        <v>11139</v>
      </c>
      <c r="CA556" t="s">
        <v>11140</v>
      </c>
      <c r="CB556" t="s">
        <v>127</v>
      </c>
      <c r="CC556" s="8" t="str">
        <f>"75034"</f>
        <v>75034</v>
      </c>
      <c r="CD556" t="s">
        <v>1177</v>
      </c>
      <c r="CE556" t="s">
        <v>263</v>
      </c>
      <c r="CF556" s="12">
        <v>16</v>
      </c>
      <c r="CH556" s="12">
        <v>24</v>
      </c>
      <c r="CJ556" t="s">
        <v>135</v>
      </c>
      <c r="CK556" t="s">
        <v>1840</v>
      </c>
      <c r="CL556" t="s">
        <v>12701</v>
      </c>
      <c r="CO556" t="s">
        <v>132</v>
      </c>
      <c r="CP556" t="s">
        <v>114</v>
      </c>
      <c r="CQ556" t="s">
        <v>114</v>
      </c>
      <c r="CR556" t="s">
        <v>136</v>
      </c>
      <c r="CS556" t="s">
        <v>136</v>
      </c>
      <c r="CT556" t="s">
        <v>136</v>
      </c>
      <c r="CU556" t="s">
        <v>136</v>
      </c>
      <c r="CV556" s="2" t="s">
        <v>11146</v>
      </c>
      <c r="CW556" s="10" t="str">
        <f>"+18008436664"</f>
        <v>+18008436664</v>
      </c>
      <c r="CX556" t="s">
        <v>132</v>
      </c>
      <c r="CY556" t="s">
        <v>1853</v>
      </c>
      <c r="CZ556" t="s">
        <v>137</v>
      </c>
      <c r="DA556" t="s">
        <v>114</v>
      </c>
      <c r="DB556" t="s">
        <v>114</v>
      </c>
      <c r="DC556" t="s">
        <v>136</v>
      </c>
      <c r="DD556" t="s">
        <v>114</v>
      </c>
    </row>
    <row r="557" spans="1:108" ht="15" customHeight="1" x14ac:dyDescent="0.25">
      <c r="A557" t="s">
        <v>7820</v>
      </c>
      <c r="B557" t="s">
        <v>152</v>
      </c>
      <c r="C557" s="1">
        <v>45233.443009606483</v>
      </c>
      <c r="D557" s="1">
        <v>45261</v>
      </c>
      <c r="E557" t="s">
        <v>132</v>
      </c>
      <c r="F557" t="s">
        <v>569</v>
      </c>
      <c r="G557" t="str">
        <f>"47-2061.00"</f>
        <v>47-2061.00</v>
      </c>
      <c r="H557" t="s">
        <v>570</v>
      </c>
      <c r="I557">
        <v>18</v>
      </c>
      <c r="J557">
        <v>18</v>
      </c>
      <c r="K557" s="1">
        <v>45323</v>
      </c>
      <c r="L557" s="1">
        <v>45597</v>
      </c>
      <c r="M557" s="1">
        <v>45323</v>
      </c>
      <c r="N557" s="1">
        <v>45597</v>
      </c>
      <c r="O557" t="s">
        <v>116</v>
      </c>
      <c r="P557" t="s">
        <v>7821</v>
      </c>
      <c r="R557" t="s">
        <v>7822</v>
      </c>
      <c r="S557" t="s">
        <v>132</v>
      </c>
      <c r="T557" t="s">
        <v>3400</v>
      </c>
      <c r="U557" t="s">
        <v>127</v>
      </c>
      <c r="V557" s="8" t="str">
        <f>"78666"</f>
        <v>78666</v>
      </c>
      <c r="W557" t="s">
        <v>118</v>
      </c>
      <c r="Y557" s="10">
        <v>15123961015</v>
      </c>
      <c r="AA557">
        <v>238110</v>
      </c>
      <c r="AB557" t="s">
        <v>7823</v>
      </c>
      <c r="AC557" t="s">
        <v>145</v>
      </c>
      <c r="AE557" t="s">
        <v>629</v>
      </c>
      <c r="AF557" t="s">
        <v>7822</v>
      </c>
      <c r="AG557" t="s">
        <v>132</v>
      </c>
      <c r="AH557" t="s">
        <v>3400</v>
      </c>
      <c r="AI557" t="s">
        <v>127</v>
      </c>
      <c r="AJ557" s="8" t="str">
        <f>"78666"</f>
        <v>78666</v>
      </c>
      <c r="AK557" t="s">
        <v>118</v>
      </c>
      <c r="AM557" s="10">
        <v>15123961015</v>
      </c>
      <c r="AO557" t="s">
        <v>7824</v>
      </c>
      <c r="AP557" t="s">
        <v>248</v>
      </c>
      <c r="AQ557" t="s">
        <v>1582</v>
      </c>
      <c r="AR557" t="s">
        <v>1583</v>
      </c>
      <c r="AS557" t="s">
        <v>631</v>
      </c>
      <c r="AT557" t="s">
        <v>1584</v>
      </c>
      <c r="AU557" t="s">
        <v>132</v>
      </c>
      <c r="AV557" t="s">
        <v>1585</v>
      </c>
      <c r="AW557" t="s">
        <v>127</v>
      </c>
      <c r="AX557" s="8" t="str">
        <f>"77414"</f>
        <v>77414</v>
      </c>
      <c r="AY557" t="s">
        <v>118</v>
      </c>
      <c r="BA557" s="10">
        <v>19793187280</v>
      </c>
      <c r="BC557" t="s">
        <v>1586</v>
      </c>
      <c r="BD557" t="s">
        <v>1587</v>
      </c>
      <c r="BG557" t="s">
        <v>127</v>
      </c>
      <c r="BH557" s="1">
        <v>45232.833333333336</v>
      </c>
      <c r="BI557">
        <v>40</v>
      </c>
      <c r="BJ557">
        <v>0</v>
      </c>
      <c r="BK557">
        <v>8</v>
      </c>
      <c r="BL557">
        <v>8</v>
      </c>
      <c r="BM557">
        <v>8</v>
      </c>
      <c r="BN557">
        <v>8</v>
      </c>
      <c r="BO557">
        <v>8</v>
      </c>
      <c r="BP557">
        <v>0</v>
      </c>
      <c r="BQ557" t="str">
        <f>"7:00 AM"</f>
        <v>7:00 AM</v>
      </c>
      <c r="BR557" t="str">
        <f>"4:00 PM"</f>
        <v>4:00 PM</v>
      </c>
      <c r="BS557" t="s">
        <v>131</v>
      </c>
      <c r="BT557">
        <v>0</v>
      </c>
      <c r="BU557">
        <v>0</v>
      </c>
      <c r="BV557" t="s">
        <v>114</v>
      </c>
      <c r="BX557" s="2" t="s">
        <v>7825</v>
      </c>
      <c r="BY557" t="s">
        <v>7826</v>
      </c>
      <c r="BZ557" t="s">
        <v>132</v>
      </c>
      <c r="CA557" t="s">
        <v>3400</v>
      </c>
      <c r="CB557" t="s">
        <v>127</v>
      </c>
      <c r="CC557" s="8" t="str">
        <f>"78666"</f>
        <v>78666</v>
      </c>
      <c r="CD557" t="s">
        <v>3407</v>
      </c>
      <c r="CE557" t="s">
        <v>1287</v>
      </c>
      <c r="CF557" s="12">
        <v>19.04</v>
      </c>
      <c r="CH557" s="12">
        <v>28.56</v>
      </c>
      <c r="CJ557" t="s">
        <v>135</v>
      </c>
      <c r="CK557" t="s">
        <v>7827</v>
      </c>
      <c r="CL557" t="s">
        <v>7828</v>
      </c>
      <c r="CO557" t="s">
        <v>132</v>
      </c>
      <c r="CP557" t="s">
        <v>136</v>
      </c>
      <c r="CQ557" t="s">
        <v>136</v>
      </c>
      <c r="CR557" t="s">
        <v>136</v>
      </c>
      <c r="CS557" t="s">
        <v>136</v>
      </c>
      <c r="CT557" t="s">
        <v>136</v>
      </c>
      <c r="CU557" t="s">
        <v>114</v>
      </c>
      <c r="CV557" t="s">
        <v>7829</v>
      </c>
      <c r="CW557" s="10" t="str">
        <f>"+15125581767"</f>
        <v>+15125581767</v>
      </c>
      <c r="CX557" t="s">
        <v>7824</v>
      </c>
      <c r="CY557" t="s">
        <v>132</v>
      </c>
      <c r="CZ557" t="s">
        <v>137</v>
      </c>
      <c r="DA557" t="s">
        <v>114</v>
      </c>
      <c r="DB557" t="s">
        <v>114</v>
      </c>
      <c r="DC557" t="s">
        <v>136</v>
      </c>
      <c r="DD557" t="s">
        <v>114</v>
      </c>
    </row>
    <row r="558" spans="1:108" ht="15" customHeight="1" x14ac:dyDescent="0.25">
      <c r="A558" t="s">
        <v>11136</v>
      </c>
      <c r="B558" t="s">
        <v>152</v>
      </c>
      <c r="C558" s="1">
        <v>45233.442673726851</v>
      </c>
      <c r="D558" s="1">
        <v>45261</v>
      </c>
      <c r="E558" t="s">
        <v>132</v>
      </c>
      <c r="F558" t="s">
        <v>9628</v>
      </c>
      <c r="G558" t="str">
        <f>"37-2012.00"</f>
        <v>37-2012.00</v>
      </c>
      <c r="H558" t="s">
        <v>205</v>
      </c>
      <c r="I558">
        <v>25</v>
      </c>
      <c r="J558">
        <v>25</v>
      </c>
      <c r="K558" s="1">
        <v>45323</v>
      </c>
      <c r="L558" s="1">
        <v>45626</v>
      </c>
      <c r="M558" s="1">
        <v>45323</v>
      </c>
      <c r="N558" s="1">
        <v>45626</v>
      </c>
      <c r="O558" t="s">
        <v>116</v>
      </c>
      <c r="P558" t="s">
        <v>11137</v>
      </c>
      <c r="Q558" t="s">
        <v>11138</v>
      </c>
      <c r="R558" t="s">
        <v>11139</v>
      </c>
      <c r="T558" t="s">
        <v>11140</v>
      </c>
      <c r="U558" t="s">
        <v>127</v>
      </c>
      <c r="V558" s="8" t="str">
        <f>"75034"</f>
        <v>75034</v>
      </c>
      <c r="W558" t="s">
        <v>118</v>
      </c>
      <c r="Y558" s="10">
        <v>18008436664</v>
      </c>
      <c r="AA558">
        <v>72111</v>
      </c>
      <c r="AB558" t="s">
        <v>3118</v>
      </c>
      <c r="AC558" t="s">
        <v>11141</v>
      </c>
      <c r="AE558" t="s">
        <v>5755</v>
      </c>
      <c r="AF558" t="s">
        <v>11142</v>
      </c>
      <c r="AH558" t="s">
        <v>11140</v>
      </c>
      <c r="AI558" t="s">
        <v>127</v>
      </c>
      <c r="AJ558" s="8" t="str">
        <f>"75034"</f>
        <v>75034</v>
      </c>
      <c r="AK558" t="s">
        <v>118</v>
      </c>
      <c r="AM558" s="10">
        <v>18008436664</v>
      </c>
      <c r="AO558" t="s">
        <v>11143</v>
      </c>
      <c r="AP558" t="s">
        <v>248</v>
      </c>
      <c r="AQ558" t="s">
        <v>960</v>
      </c>
      <c r="AR558" t="s">
        <v>961</v>
      </c>
      <c r="AS558" t="s">
        <v>962</v>
      </c>
      <c r="AT558" t="s">
        <v>963</v>
      </c>
      <c r="AU558" t="s">
        <v>296</v>
      </c>
      <c r="AV558" t="s">
        <v>964</v>
      </c>
      <c r="AW558" t="s">
        <v>127</v>
      </c>
      <c r="AX558" s="8" t="str">
        <f>"75033"</f>
        <v>75033</v>
      </c>
      <c r="AY558" t="s">
        <v>118</v>
      </c>
      <c r="BA558" s="10">
        <v>19727789690</v>
      </c>
      <c r="BC558" t="s">
        <v>1919</v>
      </c>
      <c r="BD558" t="s">
        <v>966</v>
      </c>
      <c r="BG558" t="s">
        <v>127</v>
      </c>
      <c r="BH558" s="1">
        <v>45232.833333333336</v>
      </c>
      <c r="BI558">
        <v>40</v>
      </c>
      <c r="BJ558">
        <v>8</v>
      </c>
      <c r="BK558">
        <v>0</v>
      </c>
      <c r="BL558">
        <v>0</v>
      </c>
      <c r="BM558">
        <v>8</v>
      </c>
      <c r="BN558">
        <v>8</v>
      </c>
      <c r="BO558">
        <v>8</v>
      </c>
      <c r="BP558">
        <v>8</v>
      </c>
      <c r="BQ558" t="str">
        <f>"8:00 AM"</f>
        <v>8:00 AM</v>
      </c>
      <c r="BR558" t="str">
        <f>"5:00 PM"</f>
        <v>5:00 PM</v>
      </c>
      <c r="BS558" t="s">
        <v>131</v>
      </c>
      <c r="BT558">
        <v>0</v>
      </c>
      <c r="BU558">
        <v>0</v>
      </c>
      <c r="BV558" t="s">
        <v>114</v>
      </c>
      <c r="BX558" s="2" t="s">
        <v>11144</v>
      </c>
      <c r="BY558" t="s">
        <v>11139</v>
      </c>
      <c r="CA558" t="s">
        <v>11140</v>
      </c>
      <c r="CB558" t="s">
        <v>127</v>
      </c>
      <c r="CC558" s="8" t="str">
        <f>"75034"</f>
        <v>75034</v>
      </c>
      <c r="CD558" t="s">
        <v>1177</v>
      </c>
      <c r="CE558" t="s">
        <v>263</v>
      </c>
      <c r="CF558" s="12">
        <v>16</v>
      </c>
      <c r="CH558" s="12">
        <v>24</v>
      </c>
      <c r="CJ558" t="s">
        <v>135</v>
      </c>
      <c r="CK558" t="s">
        <v>1942</v>
      </c>
      <c r="CL558" t="s">
        <v>11145</v>
      </c>
      <c r="CO558" t="s">
        <v>132</v>
      </c>
      <c r="CP558" t="s">
        <v>114</v>
      </c>
      <c r="CQ558" t="s">
        <v>114</v>
      </c>
      <c r="CR558" t="s">
        <v>136</v>
      </c>
      <c r="CS558" t="s">
        <v>136</v>
      </c>
      <c r="CT558" t="s">
        <v>136</v>
      </c>
      <c r="CU558" t="s">
        <v>136</v>
      </c>
      <c r="CV558" s="2" t="s">
        <v>11146</v>
      </c>
      <c r="CW558" s="10" t="str">
        <f>"+18008436664"</f>
        <v>+18008436664</v>
      </c>
      <c r="CX558" t="s">
        <v>132</v>
      </c>
      <c r="CY558" t="s">
        <v>1853</v>
      </c>
      <c r="CZ558" t="s">
        <v>137</v>
      </c>
      <c r="DA558" t="s">
        <v>114</v>
      </c>
      <c r="DB558" t="s">
        <v>114</v>
      </c>
      <c r="DC558" t="s">
        <v>136</v>
      </c>
      <c r="DD558" t="s">
        <v>114</v>
      </c>
    </row>
    <row r="559" spans="1:108" ht="15" customHeight="1" x14ac:dyDescent="0.25">
      <c r="A559" t="s">
        <v>23052</v>
      </c>
      <c r="B559" t="s">
        <v>152</v>
      </c>
      <c r="C559" s="1">
        <v>45233.438633217593</v>
      </c>
      <c r="D559" s="1">
        <v>45261</v>
      </c>
      <c r="E559" t="s">
        <v>132</v>
      </c>
      <c r="F559" t="s">
        <v>7778</v>
      </c>
      <c r="G559" t="str">
        <f>"37-3011.00"</f>
        <v>37-3011.00</v>
      </c>
      <c r="H559" t="s">
        <v>429</v>
      </c>
      <c r="I559">
        <v>30</v>
      </c>
      <c r="J559">
        <v>30</v>
      </c>
      <c r="K559" s="1">
        <v>45323</v>
      </c>
      <c r="L559" s="1">
        <v>45626</v>
      </c>
      <c r="M559" s="1">
        <v>45323</v>
      </c>
      <c r="N559" s="1">
        <v>45626</v>
      </c>
      <c r="O559" t="s">
        <v>116</v>
      </c>
      <c r="P559" t="s">
        <v>11137</v>
      </c>
      <c r="Q559" t="s">
        <v>11138</v>
      </c>
      <c r="R559" t="s">
        <v>11139</v>
      </c>
      <c r="T559" t="s">
        <v>11140</v>
      </c>
      <c r="U559" t="s">
        <v>127</v>
      </c>
      <c r="V559" s="8" t="str">
        <f>"75034"</f>
        <v>75034</v>
      </c>
      <c r="W559" t="s">
        <v>118</v>
      </c>
      <c r="Y559" s="10">
        <v>18008436664</v>
      </c>
      <c r="AA559">
        <v>72111</v>
      </c>
      <c r="AB559" t="s">
        <v>3118</v>
      </c>
      <c r="AC559" t="s">
        <v>11141</v>
      </c>
      <c r="AE559" t="s">
        <v>5755</v>
      </c>
      <c r="AF559" t="s">
        <v>11142</v>
      </c>
      <c r="AH559" t="s">
        <v>11140</v>
      </c>
      <c r="AI559" t="s">
        <v>127</v>
      </c>
      <c r="AJ559" s="8" t="str">
        <f>"75034"</f>
        <v>75034</v>
      </c>
      <c r="AK559" t="s">
        <v>118</v>
      </c>
      <c r="AM559" s="10">
        <v>18008436664</v>
      </c>
      <c r="AO559" t="s">
        <v>11143</v>
      </c>
      <c r="AP559" t="s">
        <v>248</v>
      </c>
      <c r="AQ559" t="s">
        <v>960</v>
      </c>
      <c r="AR559" t="s">
        <v>961</v>
      </c>
      <c r="AS559" t="s">
        <v>962</v>
      </c>
      <c r="AT559" t="s">
        <v>963</v>
      </c>
      <c r="AU559" t="s">
        <v>296</v>
      </c>
      <c r="AV559" t="s">
        <v>964</v>
      </c>
      <c r="AW559" t="s">
        <v>127</v>
      </c>
      <c r="AX559" s="8" t="str">
        <f>"75033"</f>
        <v>75033</v>
      </c>
      <c r="AY559" t="s">
        <v>118</v>
      </c>
      <c r="BA559" s="10">
        <v>19727789690</v>
      </c>
      <c r="BC559" t="s">
        <v>1919</v>
      </c>
      <c r="BD559" t="s">
        <v>966</v>
      </c>
      <c r="BG559" t="s">
        <v>127</v>
      </c>
      <c r="BH559" s="1">
        <v>45232.833333333336</v>
      </c>
      <c r="BI559">
        <v>40</v>
      </c>
      <c r="BJ559">
        <v>8</v>
      </c>
      <c r="BK559">
        <v>0</v>
      </c>
      <c r="BL559">
        <v>0</v>
      </c>
      <c r="BM559">
        <v>8</v>
      </c>
      <c r="BN559">
        <v>8</v>
      </c>
      <c r="BO559">
        <v>8</v>
      </c>
      <c r="BP559">
        <v>8</v>
      </c>
      <c r="BQ559" t="str">
        <f>"6:00 AM"</f>
        <v>6:00 AM</v>
      </c>
      <c r="BR559" t="str">
        <f>"2:30 PM"</f>
        <v>2:30 PM</v>
      </c>
      <c r="BS559" t="s">
        <v>131</v>
      </c>
      <c r="BT559">
        <v>0</v>
      </c>
      <c r="BU559">
        <v>0</v>
      </c>
      <c r="BV559" t="s">
        <v>114</v>
      </c>
      <c r="BX559" s="2" t="s">
        <v>23053</v>
      </c>
      <c r="BY559" t="s">
        <v>11139</v>
      </c>
      <c r="CA559" t="s">
        <v>11140</v>
      </c>
      <c r="CB559" t="s">
        <v>127</v>
      </c>
      <c r="CC559" s="8" t="str">
        <f>"75034"</f>
        <v>75034</v>
      </c>
      <c r="CD559" t="s">
        <v>1177</v>
      </c>
      <c r="CE559" t="s">
        <v>263</v>
      </c>
      <c r="CF559" s="12">
        <v>16.86</v>
      </c>
      <c r="CH559" s="12">
        <v>25.29</v>
      </c>
      <c r="CJ559" t="s">
        <v>135</v>
      </c>
      <c r="CK559" t="s">
        <v>5877</v>
      </c>
      <c r="CL559" t="s">
        <v>23054</v>
      </c>
      <c r="CO559" t="s">
        <v>132</v>
      </c>
      <c r="CP559" t="s">
        <v>114</v>
      </c>
      <c r="CQ559" t="s">
        <v>114</v>
      </c>
      <c r="CR559" t="s">
        <v>136</v>
      </c>
      <c r="CS559" t="s">
        <v>136</v>
      </c>
      <c r="CT559" t="s">
        <v>136</v>
      </c>
      <c r="CU559" t="s">
        <v>136</v>
      </c>
      <c r="CV559" s="2" t="s">
        <v>23055</v>
      </c>
      <c r="CW559" s="10" t="str">
        <f>"+18008436664"</f>
        <v>+18008436664</v>
      </c>
      <c r="CX559" t="s">
        <v>132</v>
      </c>
      <c r="CY559" t="s">
        <v>1853</v>
      </c>
      <c r="CZ559" t="s">
        <v>137</v>
      </c>
      <c r="DA559" t="s">
        <v>114</v>
      </c>
      <c r="DB559" t="s">
        <v>114</v>
      </c>
      <c r="DC559" t="s">
        <v>136</v>
      </c>
      <c r="DD559" t="s">
        <v>114</v>
      </c>
    </row>
    <row r="560" spans="1:108" ht="15" customHeight="1" x14ac:dyDescent="0.25">
      <c r="A560" t="s">
        <v>17619</v>
      </c>
      <c r="B560" t="s">
        <v>152</v>
      </c>
      <c r="C560" s="1">
        <v>45233.436276736109</v>
      </c>
      <c r="D560" s="1">
        <v>45261</v>
      </c>
      <c r="E560" t="s">
        <v>132</v>
      </c>
      <c r="F560" t="s">
        <v>1059</v>
      </c>
      <c r="G560" t="str">
        <f>"35-2014.00"</f>
        <v>35-2014.00</v>
      </c>
      <c r="H560" t="s">
        <v>154</v>
      </c>
      <c r="I560">
        <v>8</v>
      </c>
      <c r="J560">
        <v>8</v>
      </c>
      <c r="K560" s="1">
        <v>45323</v>
      </c>
      <c r="L560" s="1">
        <v>45626</v>
      </c>
      <c r="M560" s="1">
        <v>45323</v>
      </c>
      <c r="N560" s="1">
        <v>45626</v>
      </c>
      <c r="O560" t="s">
        <v>116</v>
      </c>
      <c r="P560" t="s">
        <v>11137</v>
      </c>
      <c r="Q560" t="s">
        <v>11138</v>
      </c>
      <c r="R560" t="s">
        <v>11139</v>
      </c>
      <c r="T560" t="s">
        <v>11140</v>
      </c>
      <c r="U560" t="s">
        <v>127</v>
      </c>
      <c r="V560" s="8" t="str">
        <f>"75034"</f>
        <v>75034</v>
      </c>
      <c r="W560" t="s">
        <v>118</v>
      </c>
      <c r="Y560" s="10">
        <v>18008436664</v>
      </c>
      <c r="AA560">
        <v>72111</v>
      </c>
      <c r="AB560" t="s">
        <v>3118</v>
      </c>
      <c r="AC560" t="s">
        <v>11141</v>
      </c>
      <c r="AE560" t="s">
        <v>5755</v>
      </c>
      <c r="AF560" t="s">
        <v>11142</v>
      </c>
      <c r="AH560" t="s">
        <v>11140</v>
      </c>
      <c r="AI560" t="s">
        <v>127</v>
      </c>
      <c r="AJ560" s="8" t="str">
        <f>"75034"</f>
        <v>75034</v>
      </c>
      <c r="AK560" t="s">
        <v>118</v>
      </c>
      <c r="AM560" s="10">
        <v>18008436664</v>
      </c>
      <c r="AO560" t="s">
        <v>11143</v>
      </c>
      <c r="AP560" t="s">
        <v>248</v>
      </c>
      <c r="AQ560" t="s">
        <v>960</v>
      </c>
      <c r="AR560" t="s">
        <v>961</v>
      </c>
      <c r="AS560" t="s">
        <v>962</v>
      </c>
      <c r="AT560" t="s">
        <v>963</v>
      </c>
      <c r="AU560" t="s">
        <v>296</v>
      </c>
      <c r="AV560" t="s">
        <v>964</v>
      </c>
      <c r="AW560" t="s">
        <v>127</v>
      </c>
      <c r="AX560" s="8" t="str">
        <f>"75033"</f>
        <v>75033</v>
      </c>
      <c r="AY560" t="s">
        <v>118</v>
      </c>
      <c r="BA560" s="10">
        <v>19727789690</v>
      </c>
      <c r="BC560" t="s">
        <v>1919</v>
      </c>
      <c r="BD560" t="s">
        <v>966</v>
      </c>
      <c r="BG560" t="s">
        <v>127</v>
      </c>
      <c r="BH560" s="1">
        <v>45232.833333333336</v>
      </c>
      <c r="BI560">
        <v>40</v>
      </c>
      <c r="BJ560">
        <v>8</v>
      </c>
      <c r="BK560">
        <v>0</v>
      </c>
      <c r="BL560">
        <v>0</v>
      </c>
      <c r="BM560">
        <v>8</v>
      </c>
      <c r="BN560">
        <v>8</v>
      </c>
      <c r="BO560">
        <v>8</v>
      </c>
      <c r="BP560">
        <v>8</v>
      </c>
      <c r="BQ560" t="str">
        <f>"8:00 AM"</f>
        <v>8:00 AM</v>
      </c>
      <c r="BR560" t="str">
        <f>"5:00 PM"</f>
        <v>5:00 PM</v>
      </c>
      <c r="BS560" t="s">
        <v>131</v>
      </c>
      <c r="BT560">
        <v>0</v>
      </c>
      <c r="BU560">
        <v>0</v>
      </c>
      <c r="BV560" t="s">
        <v>114</v>
      </c>
      <c r="BX560" s="2" t="s">
        <v>17620</v>
      </c>
      <c r="BY560" t="s">
        <v>11139</v>
      </c>
      <c r="CA560" t="s">
        <v>11140</v>
      </c>
      <c r="CB560" t="s">
        <v>127</v>
      </c>
      <c r="CC560" s="8" t="str">
        <f>"75034"</f>
        <v>75034</v>
      </c>
      <c r="CD560" t="s">
        <v>1177</v>
      </c>
      <c r="CE560" t="s">
        <v>263</v>
      </c>
      <c r="CF560" s="12">
        <v>25</v>
      </c>
      <c r="CH560" s="12">
        <v>37.5</v>
      </c>
      <c r="CJ560" t="s">
        <v>135</v>
      </c>
      <c r="CK560" t="s">
        <v>1840</v>
      </c>
      <c r="CL560" t="s">
        <v>17621</v>
      </c>
      <c r="CO560" t="s">
        <v>132</v>
      </c>
      <c r="CP560" t="s">
        <v>114</v>
      </c>
      <c r="CQ560" t="s">
        <v>114</v>
      </c>
      <c r="CR560" t="s">
        <v>136</v>
      </c>
      <c r="CS560" t="s">
        <v>136</v>
      </c>
      <c r="CT560" t="s">
        <v>136</v>
      </c>
      <c r="CU560" t="s">
        <v>136</v>
      </c>
      <c r="CV560" s="2" t="s">
        <v>17622</v>
      </c>
      <c r="CW560" s="10" t="str">
        <f>"+18008436664"</f>
        <v>+18008436664</v>
      </c>
      <c r="CX560" t="s">
        <v>132</v>
      </c>
      <c r="CY560" t="s">
        <v>1853</v>
      </c>
      <c r="CZ560" t="s">
        <v>137</v>
      </c>
      <c r="DA560" t="s">
        <v>114</v>
      </c>
      <c r="DB560" t="s">
        <v>114</v>
      </c>
      <c r="DC560" t="s">
        <v>136</v>
      </c>
      <c r="DD560" t="s">
        <v>114</v>
      </c>
    </row>
    <row r="561" spans="1:113" ht="15" customHeight="1" x14ac:dyDescent="0.25">
      <c r="A561" t="s">
        <v>16506</v>
      </c>
      <c r="B561" t="s">
        <v>152</v>
      </c>
      <c r="C561" s="1">
        <v>45233.416290393521</v>
      </c>
      <c r="D561" s="1">
        <v>45261</v>
      </c>
      <c r="E561" t="s">
        <v>132</v>
      </c>
      <c r="F561" t="s">
        <v>1595</v>
      </c>
      <c r="G561" t="str">
        <f>"37-3011.00"</f>
        <v>37-3011.00</v>
      </c>
      <c r="H561" t="s">
        <v>429</v>
      </c>
      <c r="I561">
        <v>32</v>
      </c>
      <c r="J561">
        <v>32</v>
      </c>
      <c r="K561" s="1">
        <v>45323</v>
      </c>
      <c r="L561" s="1">
        <v>45626</v>
      </c>
      <c r="M561" s="1">
        <v>45323</v>
      </c>
      <c r="N561" s="1">
        <v>45626</v>
      </c>
      <c r="O561" t="s">
        <v>116</v>
      </c>
      <c r="P561" t="s">
        <v>16507</v>
      </c>
      <c r="Q561" t="s">
        <v>16508</v>
      </c>
      <c r="R561" t="s">
        <v>16509</v>
      </c>
      <c r="S561" t="s">
        <v>132</v>
      </c>
      <c r="T561" t="s">
        <v>2960</v>
      </c>
      <c r="U561" t="s">
        <v>558</v>
      </c>
      <c r="V561" s="8" t="str">
        <f>"85040"</f>
        <v>85040</v>
      </c>
      <c r="W561" t="s">
        <v>118</v>
      </c>
      <c r="Y561" s="10">
        <v>16025752032</v>
      </c>
      <c r="AA561">
        <v>561730</v>
      </c>
      <c r="AB561" t="s">
        <v>16510</v>
      </c>
      <c r="AC561" t="s">
        <v>708</v>
      </c>
      <c r="AD561" t="s">
        <v>1829</v>
      </c>
      <c r="AE561" t="s">
        <v>1836</v>
      </c>
      <c r="AF561" t="s">
        <v>16509</v>
      </c>
      <c r="AG561" t="s">
        <v>132</v>
      </c>
      <c r="AH561" t="s">
        <v>16511</v>
      </c>
      <c r="AI561" t="s">
        <v>558</v>
      </c>
      <c r="AJ561" s="8" t="str">
        <f>"85040"</f>
        <v>85040</v>
      </c>
      <c r="AK561" t="s">
        <v>118</v>
      </c>
      <c r="AM561" s="10">
        <v>16025752032</v>
      </c>
      <c r="AO561" t="s">
        <v>16512</v>
      </c>
      <c r="AP561" t="s">
        <v>248</v>
      </c>
      <c r="AQ561" t="s">
        <v>2166</v>
      </c>
      <c r="AR561" t="s">
        <v>2167</v>
      </c>
      <c r="AS561" t="s">
        <v>631</v>
      </c>
      <c r="AT561" t="s">
        <v>1584</v>
      </c>
      <c r="AU561" t="s">
        <v>132</v>
      </c>
      <c r="AV561" t="s">
        <v>1585</v>
      </c>
      <c r="AW561" t="s">
        <v>127</v>
      </c>
      <c r="AX561" s="8" t="str">
        <f>"77414"</f>
        <v>77414</v>
      </c>
      <c r="AY561" t="s">
        <v>118</v>
      </c>
      <c r="BA561" s="10">
        <v>19793187282</v>
      </c>
      <c r="BC561" t="s">
        <v>2168</v>
      </c>
      <c r="BD561" t="s">
        <v>1587</v>
      </c>
      <c r="BG561" t="s">
        <v>558</v>
      </c>
      <c r="BH561" s="1">
        <v>45232.833333333336</v>
      </c>
      <c r="BI561">
        <v>40</v>
      </c>
      <c r="BJ561">
        <v>0</v>
      </c>
      <c r="BK561">
        <v>8</v>
      </c>
      <c r="BL561">
        <v>8</v>
      </c>
      <c r="BM561">
        <v>8</v>
      </c>
      <c r="BN561">
        <v>8</v>
      </c>
      <c r="BO561">
        <v>8</v>
      </c>
      <c r="BP561">
        <v>0</v>
      </c>
      <c r="BQ561" t="str">
        <f>"5:00 AM"</f>
        <v>5:00 AM</v>
      </c>
      <c r="BR561" t="str">
        <f>"1:30 PM"</f>
        <v>1:30 PM</v>
      </c>
      <c r="BS561" t="s">
        <v>131</v>
      </c>
      <c r="BT561">
        <v>0</v>
      </c>
      <c r="BU561">
        <v>0</v>
      </c>
      <c r="BV561" t="s">
        <v>114</v>
      </c>
      <c r="BX561" s="2" t="s">
        <v>16513</v>
      </c>
      <c r="BY561" t="s">
        <v>16509</v>
      </c>
      <c r="BZ561" t="s">
        <v>132</v>
      </c>
      <c r="CA561" t="s">
        <v>2960</v>
      </c>
      <c r="CB561" t="s">
        <v>558</v>
      </c>
      <c r="CC561" s="8" t="str">
        <f>"85040"</f>
        <v>85040</v>
      </c>
      <c r="CD561" t="s">
        <v>1391</v>
      </c>
      <c r="CE561" t="s">
        <v>565</v>
      </c>
      <c r="CF561" s="12">
        <v>17.309999999999999</v>
      </c>
      <c r="CH561" s="12">
        <v>25.97</v>
      </c>
      <c r="CJ561" t="s">
        <v>135</v>
      </c>
      <c r="CK561" t="s">
        <v>13897</v>
      </c>
      <c r="CL561" t="s">
        <v>16514</v>
      </c>
      <c r="CO561" t="s">
        <v>132</v>
      </c>
      <c r="CP561" t="s">
        <v>136</v>
      </c>
      <c r="CQ561" t="s">
        <v>136</v>
      </c>
      <c r="CR561" t="s">
        <v>136</v>
      </c>
      <c r="CS561" t="s">
        <v>136</v>
      </c>
      <c r="CT561" t="s">
        <v>136</v>
      </c>
      <c r="CU561" t="s">
        <v>136</v>
      </c>
      <c r="CV561" t="s">
        <v>16515</v>
      </c>
      <c r="CW561" s="10" t="str">
        <f>"+16025752032"</f>
        <v>+16025752032</v>
      </c>
      <c r="CX561" t="s">
        <v>16512</v>
      </c>
      <c r="CY561" t="s">
        <v>132</v>
      </c>
      <c r="CZ561" t="s">
        <v>137</v>
      </c>
      <c r="DA561" t="s">
        <v>114</v>
      </c>
      <c r="DB561" t="s">
        <v>114</v>
      </c>
      <c r="DC561" t="s">
        <v>136</v>
      </c>
      <c r="DD561" t="s">
        <v>114</v>
      </c>
    </row>
    <row r="562" spans="1:113" ht="15" customHeight="1" x14ac:dyDescent="0.25">
      <c r="A562" t="s">
        <v>12307</v>
      </c>
      <c r="B562" t="s">
        <v>152</v>
      </c>
      <c r="C562" s="1">
        <v>45233.415438657408</v>
      </c>
      <c r="D562" s="1">
        <v>45261</v>
      </c>
      <c r="E562" t="s">
        <v>132</v>
      </c>
      <c r="F562" t="s">
        <v>2744</v>
      </c>
      <c r="G562" t="str">
        <f>"37-3011.00"</f>
        <v>37-3011.00</v>
      </c>
      <c r="H562" t="s">
        <v>429</v>
      </c>
      <c r="I562">
        <v>12</v>
      </c>
      <c r="J562">
        <v>12</v>
      </c>
      <c r="K562" s="1">
        <v>45323</v>
      </c>
      <c r="L562" s="1">
        <v>45626</v>
      </c>
      <c r="M562" s="1">
        <v>45323</v>
      </c>
      <c r="N562" s="1">
        <v>45626</v>
      </c>
      <c r="O562" t="s">
        <v>238</v>
      </c>
      <c r="P562" t="s">
        <v>12308</v>
      </c>
      <c r="R562" t="s">
        <v>12309</v>
      </c>
      <c r="T562" t="s">
        <v>12310</v>
      </c>
      <c r="U562" t="s">
        <v>1722</v>
      </c>
      <c r="V562" s="8" t="str">
        <f>"21797"</f>
        <v>21797</v>
      </c>
      <c r="W562" t="s">
        <v>118</v>
      </c>
      <c r="Y562" s="10">
        <v>13018545990</v>
      </c>
      <c r="AA562">
        <v>56173</v>
      </c>
      <c r="AB562" t="s">
        <v>12311</v>
      </c>
      <c r="AC562" t="s">
        <v>12312</v>
      </c>
      <c r="AD562" t="s">
        <v>475</v>
      </c>
      <c r="AE562" t="s">
        <v>5076</v>
      </c>
      <c r="AF562" t="s">
        <v>12313</v>
      </c>
      <c r="AH562" t="s">
        <v>12314</v>
      </c>
      <c r="AI562" t="s">
        <v>1722</v>
      </c>
      <c r="AJ562" s="8" t="str">
        <f>"21797"</f>
        <v>21797</v>
      </c>
      <c r="AK562" t="s">
        <v>118</v>
      </c>
      <c r="AM562" s="10">
        <v>13018545990</v>
      </c>
      <c r="AO562" t="s">
        <v>12315</v>
      </c>
      <c r="AP562" t="s">
        <v>248</v>
      </c>
      <c r="AQ562" t="s">
        <v>5168</v>
      </c>
      <c r="AR562" t="s">
        <v>2187</v>
      </c>
      <c r="AS562" t="s">
        <v>628</v>
      </c>
      <c r="AT562" t="s">
        <v>5169</v>
      </c>
      <c r="AV562" t="s">
        <v>5170</v>
      </c>
      <c r="AW562" t="s">
        <v>581</v>
      </c>
      <c r="AX562" s="8" t="str">
        <f>"23505"</f>
        <v>23505</v>
      </c>
      <c r="AY562" t="s">
        <v>118</v>
      </c>
      <c r="BA562" s="10">
        <v>18043019607</v>
      </c>
      <c r="BC562" t="s">
        <v>5171</v>
      </c>
      <c r="BD562" t="s">
        <v>5172</v>
      </c>
      <c r="BG562" t="s">
        <v>1722</v>
      </c>
      <c r="BH562" s="1">
        <v>45225.833333333336</v>
      </c>
      <c r="BI562">
        <v>40</v>
      </c>
      <c r="BJ562">
        <v>0</v>
      </c>
      <c r="BK562">
        <v>8</v>
      </c>
      <c r="BL562">
        <v>8</v>
      </c>
      <c r="BM562">
        <v>8</v>
      </c>
      <c r="BN562">
        <v>8</v>
      </c>
      <c r="BO562">
        <v>8</v>
      </c>
      <c r="BP562">
        <v>0</v>
      </c>
      <c r="BQ562" t="str">
        <f>"7:00 AM"</f>
        <v>7:00 AM</v>
      </c>
      <c r="BR562" t="str">
        <f>"4:00 PM"</f>
        <v>4:00 PM</v>
      </c>
      <c r="BS562" t="s">
        <v>131</v>
      </c>
      <c r="BT562">
        <v>0</v>
      </c>
      <c r="BU562">
        <v>3</v>
      </c>
      <c r="BV562" t="s">
        <v>114</v>
      </c>
      <c r="BX562" t="s">
        <v>12316</v>
      </c>
      <c r="BY562" t="s">
        <v>12309</v>
      </c>
      <c r="CA562" t="s">
        <v>12310</v>
      </c>
      <c r="CB562" t="s">
        <v>1722</v>
      </c>
      <c r="CC562" s="8" t="str">
        <f>"21797"</f>
        <v>21797</v>
      </c>
      <c r="CD562" t="s">
        <v>3110</v>
      </c>
      <c r="CE562" t="s">
        <v>1992</v>
      </c>
      <c r="CF562" s="12">
        <v>19.670000000000002</v>
      </c>
      <c r="CG562" s="12">
        <v>19.670000000000002</v>
      </c>
      <c r="CH562" s="12">
        <v>29.51</v>
      </c>
      <c r="CI562" s="12">
        <v>29.51</v>
      </c>
      <c r="CJ562" t="s">
        <v>135</v>
      </c>
      <c r="CK562" t="s">
        <v>12317</v>
      </c>
      <c r="CL562" t="s">
        <v>12318</v>
      </c>
      <c r="CO562" t="s">
        <v>132</v>
      </c>
      <c r="CP562" t="s">
        <v>136</v>
      </c>
      <c r="CQ562" t="s">
        <v>136</v>
      </c>
      <c r="CR562" t="s">
        <v>136</v>
      </c>
      <c r="CS562" t="s">
        <v>114</v>
      </c>
      <c r="CT562" t="s">
        <v>136</v>
      </c>
      <c r="CU562" t="s">
        <v>114</v>
      </c>
      <c r="CV562" t="s">
        <v>5173</v>
      </c>
      <c r="CW562" s="10" t="str">
        <f>"+13018545990"</f>
        <v>+13018545990</v>
      </c>
      <c r="CX562" t="s">
        <v>12319</v>
      </c>
      <c r="CY562" t="s">
        <v>132</v>
      </c>
      <c r="CZ562" t="s">
        <v>137</v>
      </c>
      <c r="DA562" t="s">
        <v>114</v>
      </c>
      <c r="DB562" t="s">
        <v>136</v>
      </c>
      <c r="DC562" t="s">
        <v>136</v>
      </c>
      <c r="DD562" t="s">
        <v>114</v>
      </c>
      <c r="DE562" t="s">
        <v>5168</v>
      </c>
      <c r="DF562" t="s">
        <v>2187</v>
      </c>
      <c r="DG562" t="s">
        <v>628</v>
      </c>
      <c r="DH562" t="s">
        <v>5172</v>
      </c>
      <c r="DI562" t="s">
        <v>5171</v>
      </c>
    </row>
    <row r="563" spans="1:113" ht="15" customHeight="1" x14ac:dyDescent="0.25">
      <c r="A563" t="s">
        <v>12210</v>
      </c>
      <c r="B563" t="s">
        <v>152</v>
      </c>
      <c r="C563" s="1">
        <v>45233.409671180554</v>
      </c>
      <c r="D563" s="1">
        <v>45261</v>
      </c>
      <c r="E563" t="s">
        <v>132</v>
      </c>
      <c r="F563" t="s">
        <v>1595</v>
      </c>
      <c r="G563" t="str">
        <f>"37-3011.00"</f>
        <v>37-3011.00</v>
      </c>
      <c r="H563" t="s">
        <v>429</v>
      </c>
      <c r="I563">
        <v>55</v>
      </c>
      <c r="J563">
        <v>55</v>
      </c>
      <c r="K563" s="1">
        <v>45323</v>
      </c>
      <c r="L563" s="1">
        <v>45612</v>
      </c>
      <c r="M563" s="1">
        <v>45323</v>
      </c>
      <c r="N563" s="1">
        <v>45612</v>
      </c>
      <c r="O563" t="s">
        <v>116</v>
      </c>
      <c r="P563" t="s">
        <v>12211</v>
      </c>
      <c r="R563" t="s">
        <v>12212</v>
      </c>
      <c r="S563" t="s">
        <v>12213</v>
      </c>
      <c r="T563" t="s">
        <v>9278</v>
      </c>
      <c r="U563" t="s">
        <v>127</v>
      </c>
      <c r="V563" s="8" t="str">
        <f>"77494"</f>
        <v>77494</v>
      </c>
      <c r="W563" t="s">
        <v>118</v>
      </c>
      <c r="X563" t="s">
        <v>132</v>
      </c>
      <c r="Y563" s="10">
        <v>12813923607</v>
      </c>
      <c r="AA563">
        <v>561730</v>
      </c>
      <c r="AB563" t="s">
        <v>7381</v>
      </c>
      <c r="AC563" t="s">
        <v>894</v>
      </c>
      <c r="AD563" t="s">
        <v>5973</v>
      </c>
      <c r="AE563" t="s">
        <v>776</v>
      </c>
      <c r="AF563" t="s">
        <v>12212</v>
      </c>
      <c r="AG563" t="s">
        <v>12214</v>
      </c>
      <c r="AH563" t="s">
        <v>9278</v>
      </c>
      <c r="AI563" t="s">
        <v>127</v>
      </c>
      <c r="AJ563" s="8" t="str">
        <f>"77494"</f>
        <v>77494</v>
      </c>
      <c r="AK563" t="s">
        <v>118</v>
      </c>
      <c r="AM563" s="10">
        <v>12813923607</v>
      </c>
      <c r="AO563" t="s">
        <v>12215</v>
      </c>
      <c r="AP563" t="s">
        <v>248</v>
      </c>
      <c r="AQ563" t="s">
        <v>5000</v>
      </c>
      <c r="AR563" t="s">
        <v>4889</v>
      </c>
      <c r="AS563" t="s">
        <v>2998</v>
      </c>
      <c r="AT563" t="s">
        <v>1584</v>
      </c>
      <c r="AU563" t="s">
        <v>132</v>
      </c>
      <c r="AV563" t="s">
        <v>1585</v>
      </c>
      <c r="AW563" t="s">
        <v>127</v>
      </c>
      <c r="AX563" s="8" t="str">
        <f>"77414"</f>
        <v>77414</v>
      </c>
      <c r="AY563" t="s">
        <v>118</v>
      </c>
      <c r="BA563" s="10">
        <v>19793187277</v>
      </c>
      <c r="BC563" t="s">
        <v>5001</v>
      </c>
      <c r="BD563" t="s">
        <v>1587</v>
      </c>
      <c r="BG563" t="s">
        <v>127</v>
      </c>
      <c r="BH563" s="1">
        <v>45232.833333333336</v>
      </c>
      <c r="BI563">
        <v>40</v>
      </c>
      <c r="BJ563">
        <v>0</v>
      </c>
      <c r="BK563">
        <v>8</v>
      </c>
      <c r="BL563">
        <v>8</v>
      </c>
      <c r="BM563">
        <v>8</v>
      </c>
      <c r="BN563">
        <v>8</v>
      </c>
      <c r="BO563">
        <v>8</v>
      </c>
      <c r="BP563">
        <v>0</v>
      </c>
      <c r="BQ563" t="str">
        <f>"7:00 AM"</f>
        <v>7:00 AM</v>
      </c>
      <c r="BR563" t="str">
        <f>"3:30 PM"</f>
        <v>3:30 PM</v>
      </c>
      <c r="BS563" t="s">
        <v>131</v>
      </c>
      <c r="BT563">
        <v>0</v>
      </c>
      <c r="BU563">
        <v>0</v>
      </c>
      <c r="BV563" t="s">
        <v>114</v>
      </c>
      <c r="BX563" s="2" t="s">
        <v>12216</v>
      </c>
      <c r="BY563" t="s">
        <v>12212</v>
      </c>
      <c r="BZ563" t="s">
        <v>132</v>
      </c>
      <c r="CA563" t="s">
        <v>9278</v>
      </c>
      <c r="CB563" t="s">
        <v>127</v>
      </c>
      <c r="CC563" s="8" t="str">
        <f>"77494"</f>
        <v>77494</v>
      </c>
      <c r="CD563" t="s">
        <v>12217</v>
      </c>
      <c r="CE563" t="s">
        <v>879</v>
      </c>
      <c r="CF563" s="12">
        <v>16.29</v>
      </c>
      <c r="CG563" s="12">
        <v>17.09</v>
      </c>
      <c r="CH563" s="12">
        <v>24.44</v>
      </c>
      <c r="CI563" s="12">
        <v>25.64</v>
      </c>
      <c r="CJ563" t="s">
        <v>135</v>
      </c>
      <c r="CK563" t="s">
        <v>12218</v>
      </c>
      <c r="CL563" t="s">
        <v>12219</v>
      </c>
      <c r="CO563" t="s">
        <v>132</v>
      </c>
      <c r="CP563" t="s">
        <v>136</v>
      </c>
      <c r="CQ563" t="s">
        <v>136</v>
      </c>
      <c r="CR563" t="s">
        <v>136</v>
      </c>
      <c r="CS563" t="s">
        <v>136</v>
      </c>
      <c r="CT563" t="s">
        <v>136</v>
      </c>
      <c r="CU563" t="s">
        <v>114</v>
      </c>
      <c r="CV563" t="s">
        <v>3057</v>
      </c>
      <c r="CW563" s="10" t="str">
        <f>"+12813923607"</f>
        <v>+12813923607</v>
      </c>
      <c r="CX563" t="s">
        <v>12215</v>
      </c>
      <c r="CY563" t="s">
        <v>132</v>
      </c>
      <c r="CZ563" t="s">
        <v>137</v>
      </c>
      <c r="DA563" t="s">
        <v>114</v>
      </c>
      <c r="DB563" t="s">
        <v>114</v>
      </c>
      <c r="DC563" t="s">
        <v>136</v>
      </c>
      <c r="DD563" t="s">
        <v>114</v>
      </c>
    </row>
    <row r="564" spans="1:113" ht="15" customHeight="1" x14ac:dyDescent="0.25">
      <c r="A564" t="s">
        <v>22160</v>
      </c>
      <c r="B564" t="s">
        <v>152</v>
      </c>
      <c r="C564" s="1">
        <v>45233.400633680554</v>
      </c>
      <c r="D564" s="1">
        <v>45261</v>
      </c>
      <c r="E564" t="s">
        <v>132</v>
      </c>
      <c r="F564" t="s">
        <v>5756</v>
      </c>
      <c r="G564" t="str">
        <f>"35-2014.00"</f>
        <v>35-2014.00</v>
      </c>
      <c r="H564" t="s">
        <v>154</v>
      </c>
      <c r="I564">
        <v>39</v>
      </c>
      <c r="J564">
        <v>39</v>
      </c>
      <c r="K564" s="1">
        <v>45323</v>
      </c>
      <c r="L564" s="1">
        <v>45626</v>
      </c>
      <c r="M564" s="1">
        <v>45323</v>
      </c>
      <c r="N564" s="1">
        <v>45626</v>
      </c>
      <c r="O564" t="s">
        <v>116</v>
      </c>
      <c r="P564" t="s">
        <v>7405</v>
      </c>
      <c r="Q564" t="s">
        <v>7406</v>
      </c>
      <c r="R564" t="s">
        <v>7407</v>
      </c>
      <c r="T564" t="s">
        <v>7408</v>
      </c>
      <c r="U564" t="s">
        <v>140</v>
      </c>
      <c r="V564" s="8" t="str">
        <f>"32034"</f>
        <v>32034</v>
      </c>
      <c r="W564" t="s">
        <v>118</v>
      </c>
      <c r="Y564" s="10">
        <v>19042616161</v>
      </c>
      <c r="AA564">
        <v>72111</v>
      </c>
      <c r="AB564" t="s">
        <v>7409</v>
      </c>
      <c r="AC564" t="s">
        <v>6437</v>
      </c>
      <c r="AE564" t="s">
        <v>7410</v>
      </c>
      <c r="AF564" t="s">
        <v>7407</v>
      </c>
      <c r="AH564" t="s">
        <v>7408</v>
      </c>
      <c r="AI564" t="s">
        <v>140</v>
      </c>
      <c r="AJ564" s="8" t="str">
        <f>"32034"</f>
        <v>32034</v>
      </c>
      <c r="AK564" t="s">
        <v>118</v>
      </c>
      <c r="AM564" s="10">
        <v>19042616161</v>
      </c>
      <c r="AO564" t="s">
        <v>7411</v>
      </c>
      <c r="AP564" t="s">
        <v>248</v>
      </c>
      <c r="AQ564" t="s">
        <v>960</v>
      </c>
      <c r="AR564" t="s">
        <v>961</v>
      </c>
      <c r="AS564" t="s">
        <v>962</v>
      </c>
      <c r="AT564" t="s">
        <v>963</v>
      </c>
      <c r="AU564" t="s">
        <v>296</v>
      </c>
      <c r="AV564" t="s">
        <v>964</v>
      </c>
      <c r="AW564" t="s">
        <v>127</v>
      </c>
      <c r="AX564" s="8" t="str">
        <f>"75033"</f>
        <v>75033</v>
      </c>
      <c r="AY564" t="s">
        <v>118</v>
      </c>
      <c r="BA564" s="10">
        <v>19727789690</v>
      </c>
      <c r="BC564" t="s">
        <v>1919</v>
      </c>
      <c r="BD564" t="s">
        <v>966</v>
      </c>
      <c r="BG564" t="s">
        <v>140</v>
      </c>
      <c r="BH564" s="1">
        <v>45232.833333333336</v>
      </c>
      <c r="BI564">
        <v>40</v>
      </c>
      <c r="BJ564">
        <v>8</v>
      </c>
      <c r="BK564">
        <v>0</v>
      </c>
      <c r="BL564">
        <v>0</v>
      </c>
      <c r="BM564">
        <v>8</v>
      </c>
      <c r="BN564">
        <v>8</v>
      </c>
      <c r="BO564">
        <v>8</v>
      </c>
      <c r="BP564">
        <v>8</v>
      </c>
      <c r="BQ564" t="str">
        <f>"5:00 AM"</f>
        <v>5:00 AM</v>
      </c>
      <c r="BR564" t="str">
        <f>"1:30 PM"</f>
        <v>1:30 PM</v>
      </c>
      <c r="BS564" t="s">
        <v>131</v>
      </c>
      <c r="BT564">
        <v>0</v>
      </c>
      <c r="BU564">
        <v>0</v>
      </c>
      <c r="BV564" t="s">
        <v>114</v>
      </c>
      <c r="BX564" s="2" t="s">
        <v>22161</v>
      </c>
      <c r="BY564" t="s">
        <v>7407</v>
      </c>
      <c r="CA564" t="s">
        <v>7408</v>
      </c>
      <c r="CB564" t="s">
        <v>140</v>
      </c>
      <c r="CC564" s="8" t="str">
        <f>"32034"</f>
        <v>32034</v>
      </c>
      <c r="CD564" t="s">
        <v>2352</v>
      </c>
      <c r="CE564" t="s">
        <v>3596</v>
      </c>
      <c r="CF564" s="12">
        <v>15.75</v>
      </c>
      <c r="CH564" s="12">
        <v>23.63</v>
      </c>
      <c r="CJ564" t="s">
        <v>135</v>
      </c>
      <c r="CK564" t="s">
        <v>1840</v>
      </c>
      <c r="CL564" t="s">
        <v>22162</v>
      </c>
      <c r="CO564" t="s">
        <v>132</v>
      </c>
      <c r="CP564" t="s">
        <v>114</v>
      </c>
      <c r="CQ564" t="s">
        <v>136</v>
      </c>
      <c r="CR564" t="s">
        <v>136</v>
      </c>
      <c r="CS564" t="s">
        <v>136</v>
      </c>
      <c r="CT564" t="s">
        <v>136</v>
      </c>
      <c r="CU564" t="s">
        <v>136</v>
      </c>
      <c r="CV564" s="2" t="s">
        <v>22163</v>
      </c>
      <c r="CW564" s="10" t="str">
        <f>"+19042616161"</f>
        <v>+19042616161</v>
      </c>
      <c r="CX564" t="s">
        <v>132</v>
      </c>
      <c r="CY564" t="s">
        <v>1876</v>
      </c>
      <c r="CZ564" t="s">
        <v>137</v>
      </c>
      <c r="DA564" t="s">
        <v>114</v>
      </c>
      <c r="DB564" t="s">
        <v>136</v>
      </c>
      <c r="DC564" t="s">
        <v>136</v>
      </c>
      <c r="DD564" t="s">
        <v>114</v>
      </c>
    </row>
    <row r="565" spans="1:113" ht="15" customHeight="1" x14ac:dyDescent="0.25">
      <c r="A565" t="s">
        <v>17580</v>
      </c>
      <c r="B565" t="s">
        <v>152</v>
      </c>
      <c r="C565" s="1">
        <v>45233.031767245368</v>
      </c>
      <c r="D565" s="1">
        <v>45261</v>
      </c>
      <c r="E565" t="s">
        <v>132</v>
      </c>
      <c r="F565" t="s">
        <v>1891</v>
      </c>
      <c r="G565" t="str">
        <f>"51-9198.00"</f>
        <v>51-9198.00</v>
      </c>
      <c r="H565" t="s">
        <v>1892</v>
      </c>
      <c r="I565">
        <v>5</v>
      </c>
      <c r="J565">
        <v>5</v>
      </c>
      <c r="K565" s="1">
        <v>45323</v>
      </c>
      <c r="L565" s="1">
        <v>45626</v>
      </c>
      <c r="M565" s="1">
        <v>45323</v>
      </c>
      <c r="N565" s="1">
        <v>45626</v>
      </c>
      <c r="O565" t="s">
        <v>116</v>
      </c>
      <c r="P565" t="s">
        <v>17581</v>
      </c>
      <c r="R565" t="s">
        <v>17582</v>
      </c>
      <c r="T565" t="s">
        <v>17583</v>
      </c>
      <c r="U565" t="s">
        <v>854</v>
      </c>
      <c r="V565" s="8" t="str">
        <f>"83530"</f>
        <v>83530</v>
      </c>
      <c r="W565" t="s">
        <v>118</v>
      </c>
      <c r="Y565" s="10">
        <v>12085073243</v>
      </c>
      <c r="AA565">
        <v>11531</v>
      </c>
      <c r="AB565" t="s">
        <v>17584</v>
      </c>
      <c r="AC565" t="s">
        <v>17585</v>
      </c>
      <c r="AD565" t="s">
        <v>2308</v>
      </c>
      <c r="AE565" t="s">
        <v>17586</v>
      </c>
      <c r="AF565" t="s">
        <v>17587</v>
      </c>
      <c r="AH565" t="s">
        <v>17583</v>
      </c>
      <c r="AI565" t="s">
        <v>854</v>
      </c>
      <c r="AJ565" s="8" t="str">
        <f>"83530"</f>
        <v>83530</v>
      </c>
      <c r="AK565" t="s">
        <v>118</v>
      </c>
      <c r="AM565" s="10">
        <v>1208392477</v>
      </c>
      <c r="AO565" t="s">
        <v>17588</v>
      </c>
      <c r="AP565" t="s">
        <v>248</v>
      </c>
      <c r="AQ565" t="s">
        <v>3008</v>
      </c>
      <c r="AR565" t="s">
        <v>3009</v>
      </c>
      <c r="AS565" t="s">
        <v>132</v>
      </c>
      <c r="AT565" t="s">
        <v>1253</v>
      </c>
      <c r="AU565" t="s">
        <v>852</v>
      </c>
      <c r="AV565" t="s">
        <v>853</v>
      </c>
      <c r="AW565" t="s">
        <v>854</v>
      </c>
      <c r="AX565" s="8" t="str">
        <f>"83814"</f>
        <v>83814</v>
      </c>
      <c r="AY565" t="s">
        <v>118</v>
      </c>
      <c r="BA565" s="10">
        <v>12087772654</v>
      </c>
      <c r="BC565" t="s">
        <v>3010</v>
      </c>
      <c r="BD565" t="s">
        <v>856</v>
      </c>
      <c r="BG565" t="s">
        <v>854</v>
      </c>
      <c r="BH565" s="1">
        <v>45231.833333333336</v>
      </c>
      <c r="BI565">
        <v>40</v>
      </c>
      <c r="BJ565">
        <v>0</v>
      </c>
      <c r="BK565">
        <v>8</v>
      </c>
      <c r="BL565">
        <v>8</v>
      </c>
      <c r="BM565">
        <v>8</v>
      </c>
      <c r="BN565">
        <v>8</v>
      </c>
      <c r="BO565">
        <v>8</v>
      </c>
      <c r="BP565">
        <v>0</v>
      </c>
      <c r="BQ565" t="str">
        <f>"6:00 AM"</f>
        <v>6:00 AM</v>
      </c>
      <c r="BR565" t="str">
        <f>"2:00 PM"</f>
        <v>2:00 PM</v>
      </c>
      <c r="BS565" t="s">
        <v>131</v>
      </c>
      <c r="BT565">
        <v>0</v>
      </c>
      <c r="BU565">
        <v>0</v>
      </c>
      <c r="BV565" t="s">
        <v>114</v>
      </c>
      <c r="BX565" t="s">
        <v>17589</v>
      </c>
      <c r="BY565" t="s">
        <v>17582</v>
      </c>
      <c r="CA565" t="s">
        <v>17583</v>
      </c>
      <c r="CB565" t="s">
        <v>854</v>
      </c>
      <c r="CC565" s="8" t="str">
        <f>"83530"</f>
        <v>83530</v>
      </c>
      <c r="CD565" t="s">
        <v>17590</v>
      </c>
      <c r="CE565" t="s">
        <v>7289</v>
      </c>
      <c r="CF565" s="12">
        <v>15.76</v>
      </c>
      <c r="CG565" s="12">
        <v>20</v>
      </c>
      <c r="CH565" s="12">
        <v>23.64</v>
      </c>
      <c r="CI565" s="12">
        <v>30</v>
      </c>
      <c r="CJ565" t="s">
        <v>135</v>
      </c>
      <c r="CK565" t="s">
        <v>1899</v>
      </c>
      <c r="CL565" t="s">
        <v>17591</v>
      </c>
      <c r="CO565" t="s">
        <v>132</v>
      </c>
      <c r="CP565" t="s">
        <v>114</v>
      </c>
      <c r="CQ565" t="s">
        <v>114</v>
      </c>
      <c r="CR565" t="s">
        <v>136</v>
      </c>
      <c r="CS565" t="s">
        <v>136</v>
      </c>
      <c r="CT565" t="s">
        <v>136</v>
      </c>
      <c r="CU565" t="s">
        <v>136</v>
      </c>
      <c r="CV565" t="s">
        <v>1040</v>
      </c>
      <c r="CW565" s="10" t="str">
        <f>"+12085073243"</f>
        <v>+12085073243</v>
      </c>
      <c r="CX565" t="s">
        <v>17592</v>
      </c>
      <c r="CY565" t="s">
        <v>132</v>
      </c>
      <c r="CZ565" t="s">
        <v>137</v>
      </c>
      <c r="DA565" t="s">
        <v>114</v>
      </c>
      <c r="DB565" t="s">
        <v>136</v>
      </c>
      <c r="DC565" t="s">
        <v>136</v>
      </c>
      <c r="DD565" t="s">
        <v>114</v>
      </c>
    </row>
    <row r="566" spans="1:113" ht="15" customHeight="1" x14ac:dyDescent="0.25">
      <c r="A566" t="s">
        <v>9351</v>
      </c>
      <c r="B566" t="s">
        <v>152</v>
      </c>
      <c r="C566" s="1">
        <v>45233.010040162037</v>
      </c>
      <c r="D566" s="1">
        <v>45261</v>
      </c>
      <c r="E566" t="s">
        <v>132</v>
      </c>
      <c r="F566" t="s">
        <v>1595</v>
      </c>
      <c r="G566" t="str">
        <f>"37-3011.00"</f>
        <v>37-3011.00</v>
      </c>
      <c r="H566" t="s">
        <v>429</v>
      </c>
      <c r="I566">
        <v>148</v>
      </c>
      <c r="J566">
        <v>148</v>
      </c>
      <c r="K566" s="1">
        <v>45323</v>
      </c>
      <c r="L566" s="1">
        <v>45626</v>
      </c>
      <c r="M566" s="1">
        <v>45323</v>
      </c>
      <c r="N566" s="1">
        <v>45626</v>
      </c>
      <c r="O566" t="s">
        <v>238</v>
      </c>
      <c r="P566" t="s">
        <v>2576</v>
      </c>
      <c r="R566" t="s">
        <v>2577</v>
      </c>
      <c r="T566" t="s">
        <v>2578</v>
      </c>
      <c r="U566" t="s">
        <v>375</v>
      </c>
      <c r="V566" s="8" t="str">
        <f>"28657"</f>
        <v>28657</v>
      </c>
      <c r="W566" t="s">
        <v>118</v>
      </c>
      <c r="Y566" s="10">
        <v>18287370403</v>
      </c>
      <c r="AA566">
        <v>56173</v>
      </c>
      <c r="AB566" t="s">
        <v>2579</v>
      </c>
      <c r="AC566" t="s">
        <v>2580</v>
      </c>
      <c r="AE566" t="s">
        <v>987</v>
      </c>
      <c r="AF566" t="s">
        <v>2577</v>
      </c>
      <c r="AH566" t="s">
        <v>2578</v>
      </c>
      <c r="AI566" t="s">
        <v>375</v>
      </c>
      <c r="AJ566" s="8" t="str">
        <f>"28657"</f>
        <v>28657</v>
      </c>
      <c r="AK566" t="s">
        <v>118</v>
      </c>
      <c r="AM566" s="10">
        <v>18287370403</v>
      </c>
      <c r="AO566" t="s">
        <v>2581</v>
      </c>
      <c r="AP566" t="s">
        <v>248</v>
      </c>
      <c r="AQ566" t="s">
        <v>2010</v>
      </c>
      <c r="AR566" t="s">
        <v>2011</v>
      </c>
      <c r="AT566" t="s">
        <v>1032</v>
      </c>
      <c r="AU566" t="s">
        <v>852</v>
      </c>
      <c r="AV566" t="s">
        <v>853</v>
      </c>
      <c r="AW566" t="s">
        <v>854</v>
      </c>
      <c r="AX566" s="8" t="str">
        <f>"83814"</f>
        <v>83814</v>
      </c>
      <c r="AY566" t="s">
        <v>118</v>
      </c>
      <c r="BA566" s="10">
        <v>12087772654</v>
      </c>
      <c r="BC566" t="s">
        <v>2012</v>
      </c>
      <c r="BD566" t="s">
        <v>856</v>
      </c>
      <c r="BG566" t="s">
        <v>1691</v>
      </c>
      <c r="BH566" s="1">
        <v>45231.833333333336</v>
      </c>
      <c r="BI566">
        <v>40</v>
      </c>
      <c r="BJ566">
        <v>0</v>
      </c>
      <c r="BK566">
        <v>8</v>
      </c>
      <c r="BL566">
        <v>8</v>
      </c>
      <c r="BM566">
        <v>8</v>
      </c>
      <c r="BN566">
        <v>8</v>
      </c>
      <c r="BO566">
        <v>8</v>
      </c>
      <c r="BP566">
        <v>0</v>
      </c>
      <c r="BQ566" t="str">
        <f>"6:30 AM"</f>
        <v>6:30 AM</v>
      </c>
      <c r="BR566" t="str">
        <f>"3:00 PM"</f>
        <v>3:00 PM</v>
      </c>
      <c r="BS566" t="s">
        <v>131</v>
      </c>
      <c r="BT566">
        <v>0</v>
      </c>
      <c r="BU566">
        <v>0</v>
      </c>
      <c r="BV566" t="s">
        <v>114</v>
      </c>
      <c r="BX566" s="2" t="s">
        <v>2070</v>
      </c>
      <c r="BY566" t="s">
        <v>9352</v>
      </c>
      <c r="CA566" t="s">
        <v>2513</v>
      </c>
      <c r="CB566" t="s">
        <v>1691</v>
      </c>
      <c r="CC566" s="8" t="str">
        <f>"29407"</f>
        <v>29407</v>
      </c>
      <c r="CD566" t="s">
        <v>1868</v>
      </c>
      <c r="CE566" t="s">
        <v>1869</v>
      </c>
      <c r="CF566" s="12">
        <v>16.989999999999998</v>
      </c>
      <c r="CG566" s="12">
        <v>21</v>
      </c>
      <c r="CH566" s="12">
        <v>25.49</v>
      </c>
      <c r="CI566" s="12">
        <v>31.5</v>
      </c>
      <c r="CJ566" t="s">
        <v>135</v>
      </c>
      <c r="CK566" t="s">
        <v>1899</v>
      </c>
      <c r="CL566" t="s">
        <v>9353</v>
      </c>
      <c r="CO566" t="s">
        <v>132</v>
      </c>
      <c r="CP566" t="s">
        <v>136</v>
      </c>
      <c r="CQ566" t="s">
        <v>136</v>
      </c>
      <c r="CR566" t="s">
        <v>136</v>
      </c>
      <c r="CS566" t="s">
        <v>136</v>
      </c>
      <c r="CT566" t="s">
        <v>136</v>
      </c>
      <c r="CU566" t="s">
        <v>136</v>
      </c>
      <c r="CV566" t="s">
        <v>2586</v>
      </c>
      <c r="CW566" s="10" t="str">
        <f>"+18287370403"</f>
        <v>+18287370403</v>
      </c>
      <c r="CX566" t="s">
        <v>2581</v>
      </c>
      <c r="CY566" t="s">
        <v>132</v>
      </c>
      <c r="CZ566" t="s">
        <v>137</v>
      </c>
      <c r="DA566" t="s">
        <v>114</v>
      </c>
      <c r="DB566" t="s">
        <v>136</v>
      </c>
      <c r="DC566" t="s">
        <v>136</v>
      </c>
      <c r="DD566" t="s">
        <v>114</v>
      </c>
    </row>
    <row r="567" spans="1:113" ht="15" customHeight="1" x14ac:dyDescent="0.25">
      <c r="A567" t="s">
        <v>7234</v>
      </c>
      <c r="B567" t="s">
        <v>152</v>
      </c>
      <c r="C567" s="1">
        <v>45233.004196759262</v>
      </c>
      <c r="D567" s="1">
        <v>45261</v>
      </c>
      <c r="E567" t="s">
        <v>132</v>
      </c>
      <c r="F567" t="s">
        <v>1595</v>
      </c>
      <c r="G567" t="str">
        <f>"37-3011.00"</f>
        <v>37-3011.00</v>
      </c>
      <c r="H567" t="s">
        <v>429</v>
      </c>
      <c r="I567">
        <v>16</v>
      </c>
      <c r="J567">
        <v>16</v>
      </c>
      <c r="K567" s="1">
        <v>45323</v>
      </c>
      <c r="L567" s="1">
        <v>45626</v>
      </c>
      <c r="M567" s="1">
        <v>45323</v>
      </c>
      <c r="N567" s="1">
        <v>45626</v>
      </c>
      <c r="O567" t="s">
        <v>116</v>
      </c>
      <c r="P567" t="s">
        <v>7235</v>
      </c>
      <c r="Q567" t="s">
        <v>7236</v>
      </c>
      <c r="R567" t="s">
        <v>7237</v>
      </c>
      <c r="T567" t="s">
        <v>6152</v>
      </c>
      <c r="U567" t="s">
        <v>127</v>
      </c>
      <c r="V567" s="8" t="str">
        <f>"76036"</f>
        <v>76036</v>
      </c>
      <c r="W567" t="s">
        <v>118</v>
      </c>
      <c r="Y567" s="10">
        <v>18179950324</v>
      </c>
      <c r="AA567">
        <v>56173</v>
      </c>
      <c r="AB567" t="s">
        <v>7238</v>
      </c>
      <c r="AC567" t="s">
        <v>7239</v>
      </c>
      <c r="AE567" t="s">
        <v>561</v>
      </c>
      <c r="AF567" t="s">
        <v>7237</v>
      </c>
      <c r="AH567" t="s">
        <v>6152</v>
      </c>
      <c r="AI567" t="s">
        <v>127</v>
      </c>
      <c r="AJ567" s="8" t="str">
        <f>"76036"</f>
        <v>76036</v>
      </c>
      <c r="AK567" t="s">
        <v>118</v>
      </c>
      <c r="AM567" s="10">
        <v>18179950324</v>
      </c>
      <c r="AO567" t="s">
        <v>7240</v>
      </c>
      <c r="AP567" t="s">
        <v>248</v>
      </c>
      <c r="AQ567" t="s">
        <v>2699</v>
      </c>
      <c r="AR567" t="s">
        <v>2700</v>
      </c>
      <c r="AT567" t="s">
        <v>1253</v>
      </c>
      <c r="AU567" t="s">
        <v>852</v>
      </c>
      <c r="AV567" t="s">
        <v>853</v>
      </c>
      <c r="AW567" t="s">
        <v>854</v>
      </c>
      <c r="AX567" s="8" t="str">
        <f>"83814"</f>
        <v>83814</v>
      </c>
      <c r="AY567" t="s">
        <v>118</v>
      </c>
      <c r="BA567" s="10">
        <v>12087772654</v>
      </c>
      <c r="BC567" t="s">
        <v>2701</v>
      </c>
      <c r="BD567" t="s">
        <v>856</v>
      </c>
      <c r="BG567" t="s">
        <v>127</v>
      </c>
      <c r="BH567" s="1">
        <v>45231.833333333336</v>
      </c>
      <c r="BI567">
        <v>40</v>
      </c>
      <c r="BJ567">
        <v>0</v>
      </c>
      <c r="BK567">
        <v>8</v>
      </c>
      <c r="BL567">
        <v>8</v>
      </c>
      <c r="BM567">
        <v>8</v>
      </c>
      <c r="BN567">
        <v>8</v>
      </c>
      <c r="BO567">
        <v>8</v>
      </c>
      <c r="BP567">
        <v>0</v>
      </c>
      <c r="BQ567" t="str">
        <f>"7:00 AM"</f>
        <v>7:00 AM</v>
      </c>
      <c r="BR567" t="str">
        <f>"5:00 PM"</f>
        <v>5:00 PM</v>
      </c>
      <c r="BS567" t="s">
        <v>131</v>
      </c>
      <c r="BT567">
        <v>0</v>
      </c>
      <c r="BU567">
        <v>0</v>
      </c>
      <c r="BV567" t="s">
        <v>114</v>
      </c>
      <c r="BX567" t="s">
        <v>2088</v>
      </c>
      <c r="BY567" t="s">
        <v>7241</v>
      </c>
      <c r="CA567" t="s">
        <v>6152</v>
      </c>
      <c r="CB567" t="s">
        <v>127</v>
      </c>
      <c r="CC567" s="8" t="str">
        <f>"76036"</f>
        <v>76036</v>
      </c>
      <c r="CD567" t="s">
        <v>1969</v>
      </c>
      <c r="CE567" t="s">
        <v>263</v>
      </c>
      <c r="CF567" s="12">
        <v>16.86</v>
      </c>
      <c r="CG567" s="12">
        <v>17.5</v>
      </c>
      <c r="CH567" s="12">
        <v>25.29</v>
      </c>
      <c r="CI567" s="12">
        <v>26.25</v>
      </c>
      <c r="CJ567" t="s">
        <v>135</v>
      </c>
      <c r="CK567" t="s">
        <v>1899</v>
      </c>
      <c r="CL567" t="s">
        <v>7242</v>
      </c>
      <c r="CO567" t="s">
        <v>132</v>
      </c>
      <c r="CP567" t="s">
        <v>136</v>
      </c>
      <c r="CQ567" t="s">
        <v>136</v>
      </c>
      <c r="CR567" t="s">
        <v>136</v>
      </c>
      <c r="CS567" t="s">
        <v>136</v>
      </c>
      <c r="CT567" t="s">
        <v>136</v>
      </c>
      <c r="CU567" t="s">
        <v>114</v>
      </c>
      <c r="CV567" t="s">
        <v>1040</v>
      </c>
      <c r="CW567" s="10" t="str">
        <f>"+18179950324"</f>
        <v>+18179950324</v>
      </c>
      <c r="CX567" t="s">
        <v>7243</v>
      </c>
      <c r="CY567" t="s">
        <v>132</v>
      </c>
      <c r="CZ567" t="s">
        <v>137</v>
      </c>
      <c r="DA567" t="s">
        <v>114</v>
      </c>
      <c r="DB567" t="s">
        <v>136</v>
      </c>
      <c r="DC567" t="s">
        <v>136</v>
      </c>
      <c r="DD567" t="s">
        <v>114</v>
      </c>
    </row>
    <row r="568" spans="1:113" ht="15" customHeight="1" x14ac:dyDescent="0.25">
      <c r="A568" t="s">
        <v>21442</v>
      </c>
      <c r="B568" t="s">
        <v>152</v>
      </c>
      <c r="C568" s="1">
        <v>45233.002053472221</v>
      </c>
      <c r="D568" s="1">
        <v>45261</v>
      </c>
      <c r="E568" t="s">
        <v>132</v>
      </c>
      <c r="F568" t="s">
        <v>21443</v>
      </c>
      <c r="G568" t="str">
        <f>"37-3013.00"</f>
        <v>37-3013.00</v>
      </c>
      <c r="H568" t="s">
        <v>666</v>
      </c>
      <c r="I568">
        <v>10</v>
      </c>
      <c r="J568">
        <v>10</v>
      </c>
      <c r="K568" s="1">
        <v>45323</v>
      </c>
      <c r="L568" s="1">
        <v>45566</v>
      </c>
      <c r="M568" s="1">
        <v>45323</v>
      </c>
      <c r="N568" s="1">
        <v>45566</v>
      </c>
      <c r="O568" t="s">
        <v>116</v>
      </c>
      <c r="P568" t="s">
        <v>21444</v>
      </c>
      <c r="R568" t="s">
        <v>21445</v>
      </c>
      <c r="S568" t="s">
        <v>21446</v>
      </c>
      <c r="T568" t="s">
        <v>11206</v>
      </c>
      <c r="U568" t="s">
        <v>127</v>
      </c>
      <c r="V568" s="8" t="str">
        <f>"71854"</f>
        <v>71854</v>
      </c>
      <c r="W568" t="s">
        <v>118</v>
      </c>
      <c r="Y568" s="10">
        <v>19035907801</v>
      </c>
      <c r="AA568">
        <v>56173</v>
      </c>
      <c r="AB568" t="s">
        <v>21447</v>
      </c>
      <c r="AC568" t="s">
        <v>21448</v>
      </c>
      <c r="AE568" t="s">
        <v>561</v>
      </c>
      <c r="AF568" t="s">
        <v>21445</v>
      </c>
      <c r="AG568" t="s">
        <v>21446</v>
      </c>
      <c r="AH568" t="s">
        <v>11206</v>
      </c>
      <c r="AI568" t="s">
        <v>127</v>
      </c>
      <c r="AJ568" s="8" t="str">
        <f>"71854"</f>
        <v>71854</v>
      </c>
      <c r="AK568" t="s">
        <v>118</v>
      </c>
      <c r="AM568" s="10">
        <v>19035907801</v>
      </c>
      <c r="AO568" t="s">
        <v>21449</v>
      </c>
      <c r="AP568" t="s">
        <v>248</v>
      </c>
      <c r="AQ568" t="s">
        <v>3017</v>
      </c>
      <c r="AR568" t="s">
        <v>3018</v>
      </c>
      <c r="AT568" t="s">
        <v>3371</v>
      </c>
      <c r="AV568" t="s">
        <v>1168</v>
      </c>
      <c r="AW568" t="s">
        <v>127</v>
      </c>
      <c r="AX568" s="8" t="str">
        <f>"75098"</f>
        <v>75098</v>
      </c>
      <c r="AY568" t="s">
        <v>118</v>
      </c>
      <c r="BA568" s="10">
        <v>19724424244</v>
      </c>
      <c r="BC568" t="s">
        <v>3372</v>
      </c>
      <c r="BD568" t="s">
        <v>3021</v>
      </c>
      <c r="BG568" t="s">
        <v>1825</v>
      </c>
      <c r="BH568" s="1">
        <v>45232.833333333336</v>
      </c>
      <c r="BI568">
        <v>40</v>
      </c>
      <c r="BJ568">
        <v>0</v>
      </c>
      <c r="BK568">
        <v>8</v>
      </c>
      <c r="BL568">
        <v>8</v>
      </c>
      <c r="BM568">
        <v>8</v>
      </c>
      <c r="BN568">
        <v>8</v>
      </c>
      <c r="BO568">
        <v>8</v>
      </c>
      <c r="BP568">
        <v>0</v>
      </c>
      <c r="BQ568" t="str">
        <f>"7:00 AM"</f>
        <v>7:00 AM</v>
      </c>
      <c r="BR568" t="str">
        <f>"5:00 PM"</f>
        <v>5:00 PM</v>
      </c>
      <c r="BS568" t="s">
        <v>131</v>
      </c>
      <c r="BT568">
        <v>0</v>
      </c>
      <c r="BU568">
        <v>0</v>
      </c>
      <c r="BV568" t="s">
        <v>114</v>
      </c>
      <c r="BX568" t="s">
        <v>1480</v>
      </c>
      <c r="BY568" t="s">
        <v>21445</v>
      </c>
      <c r="CA568" t="s">
        <v>11206</v>
      </c>
      <c r="CB568" t="s">
        <v>1825</v>
      </c>
      <c r="CC568" s="8" t="str">
        <f>"71854"</f>
        <v>71854</v>
      </c>
      <c r="CD568" t="s">
        <v>480</v>
      </c>
      <c r="CE568" t="s">
        <v>11208</v>
      </c>
      <c r="CF568" s="12">
        <v>19</v>
      </c>
      <c r="CG568" s="12">
        <v>21</v>
      </c>
      <c r="CH568" s="12">
        <v>28.5</v>
      </c>
      <c r="CI568" s="12">
        <v>31.5</v>
      </c>
      <c r="CJ568" t="s">
        <v>135</v>
      </c>
      <c r="CL568" t="s">
        <v>21450</v>
      </c>
      <c r="CO568" t="s">
        <v>132</v>
      </c>
      <c r="CP568" t="s">
        <v>136</v>
      </c>
      <c r="CQ568" t="s">
        <v>136</v>
      </c>
      <c r="CR568" t="s">
        <v>136</v>
      </c>
      <c r="CS568" t="s">
        <v>136</v>
      </c>
      <c r="CT568" t="s">
        <v>136</v>
      </c>
      <c r="CU568" t="s">
        <v>136</v>
      </c>
      <c r="CV568" t="s">
        <v>5345</v>
      </c>
      <c r="CW568" s="10" t="str">
        <f>"+19035907801"</f>
        <v>+19035907801</v>
      </c>
      <c r="CX568" t="s">
        <v>132</v>
      </c>
      <c r="CY568" t="s">
        <v>21451</v>
      </c>
      <c r="CZ568" t="s">
        <v>137</v>
      </c>
      <c r="DA568" t="s">
        <v>114</v>
      </c>
      <c r="DB568" t="s">
        <v>114</v>
      </c>
      <c r="DC568" t="s">
        <v>136</v>
      </c>
      <c r="DD568" t="s">
        <v>114</v>
      </c>
    </row>
    <row r="569" spans="1:113" ht="15" customHeight="1" x14ac:dyDescent="0.25">
      <c r="A569" t="s">
        <v>7781</v>
      </c>
      <c r="B569" t="s">
        <v>152</v>
      </c>
      <c r="C569" s="1">
        <v>45233.001885300924</v>
      </c>
      <c r="D569" s="1">
        <v>45261</v>
      </c>
      <c r="E569" t="s">
        <v>132</v>
      </c>
      <c r="F569" t="s">
        <v>7782</v>
      </c>
      <c r="G569" t="str">
        <f>"47-2051.00"</f>
        <v>47-2051.00</v>
      </c>
      <c r="H569" t="s">
        <v>1291</v>
      </c>
      <c r="I569">
        <v>14</v>
      </c>
      <c r="J569">
        <v>14</v>
      </c>
      <c r="K569" s="1">
        <v>45323</v>
      </c>
      <c r="L569" s="1">
        <v>45626</v>
      </c>
      <c r="M569" s="1">
        <v>45323</v>
      </c>
      <c r="N569" s="1">
        <v>45626</v>
      </c>
      <c r="O569" t="s">
        <v>116</v>
      </c>
      <c r="P569" t="s">
        <v>7783</v>
      </c>
      <c r="R569" t="s">
        <v>7784</v>
      </c>
      <c r="S569" t="s">
        <v>7785</v>
      </c>
      <c r="T569" t="s">
        <v>7786</v>
      </c>
      <c r="U569" t="s">
        <v>127</v>
      </c>
      <c r="V569" s="8" t="str">
        <f>"75494"</f>
        <v>75494</v>
      </c>
      <c r="W569" t="s">
        <v>118</v>
      </c>
      <c r="Y569" s="10">
        <v>19723909695</v>
      </c>
      <c r="AA569">
        <v>23731</v>
      </c>
      <c r="AB569" t="s">
        <v>7787</v>
      </c>
      <c r="AC569" t="s">
        <v>7788</v>
      </c>
      <c r="AE569" t="s">
        <v>2372</v>
      </c>
      <c r="AF569" t="s">
        <v>7784</v>
      </c>
      <c r="AG569" t="s">
        <v>7785</v>
      </c>
      <c r="AH569" t="s">
        <v>7786</v>
      </c>
      <c r="AI569" t="s">
        <v>127</v>
      </c>
      <c r="AJ569" s="8" t="str">
        <f>"75494"</f>
        <v>75494</v>
      </c>
      <c r="AK569" t="s">
        <v>118</v>
      </c>
      <c r="AM569" s="10">
        <v>19723909695</v>
      </c>
      <c r="AO569" t="s">
        <v>7789</v>
      </c>
      <c r="AP569" t="s">
        <v>248</v>
      </c>
      <c r="AQ569" t="s">
        <v>3017</v>
      </c>
      <c r="AR569" t="s">
        <v>3018</v>
      </c>
      <c r="AT569" t="s">
        <v>3371</v>
      </c>
      <c r="AV569" t="s">
        <v>1168</v>
      </c>
      <c r="AW569" t="s">
        <v>127</v>
      </c>
      <c r="AX569" s="8" t="str">
        <f>"75098"</f>
        <v>75098</v>
      </c>
      <c r="AY569" t="s">
        <v>118</v>
      </c>
      <c r="BA569" s="10">
        <v>19724424244</v>
      </c>
      <c r="BC569" t="s">
        <v>3372</v>
      </c>
      <c r="BD569" t="s">
        <v>3021</v>
      </c>
      <c r="BG569" t="s">
        <v>127</v>
      </c>
      <c r="BH569" s="1">
        <v>45232.833333333336</v>
      </c>
      <c r="BI569">
        <v>40</v>
      </c>
      <c r="BJ569">
        <v>0</v>
      </c>
      <c r="BK569">
        <v>8</v>
      </c>
      <c r="BL569">
        <v>8</v>
      </c>
      <c r="BM569">
        <v>8</v>
      </c>
      <c r="BN569">
        <v>8</v>
      </c>
      <c r="BO569">
        <v>8</v>
      </c>
      <c r="BP569">
        <v>0</v>
      </c>
      <c r="BQ569" t="str">
        <f>"8:00 AM"</f>
        <v>8:00 AM</v>
      </c>
      <c r="BR569" t="str">
        <f>"5:00 PM"</f>
        <v>5:00 PM</v>
      </c>
      <c r="BS569" t="s">
        <v>131</v>
      </c>
      <c r="BT569">
        <v>0</v>
      </c>
      <c r="BU569">
        <v>0</v>
      </c>
      <c r="BV569" t="s">
        <v>114</v>
      </c>
      <c r="BX569" t="s">
        <v>1480</v>
      </c>
      <c r="BY569" t="s">
        <v>7784</v>
      </c>
      <c r="CA569" t="s">
        <v>7786</v>
      </c>
      <c r="CB569" t="s">
        <v>127</v>
      </c>
      <c r="CC569" s="8" t="str">
        <f>"75494"</f>
        <v>75494</v>
      </c>
      <c r="CD569" t="s">
        <v>5400</v>
      </c>
      <c r="CE569" t="s">
        <v>2876</v>
      </c>
      <c r="CF569" s="12">
        <v>21.52</v>
      </c>
      <c r="CG569" s="12">
        <v>24</v>
      </c>
      <c r="CH569" s="12">
        <v>32.28</v>
      </c>
      <c r="CI569" s="12">
        <v>36</v>
      </c>
      <c r="CJ569" t="s">
        <v>135</v>
      </c>
      <c r="CL569" t="s">
        <v>7790</v>
      </c>
      <c r="CO569" t="s">
        <v>132</v>
      </c>
      <c r="CP569" t="s">
        <v>136</v>
      </c>
      <c r="CQ569" t="s">
        <v>136</v>
      </c>
      <c r="CR569" t="s">
        <v>136</v>
      </c>
      <c r="CS569" t="s">
        <v>136</v>
      </c>
      <c r="CT569" t="s">
        <v>136</v>
      </c>
      <c r="CU569" t="s">
        <v>136</v>
      </c>
      <c r="CV569" t="s">
        <v>7791</v>
      </c>
      <c r="CW569" s="10" t="str">
        <f>"+19723909695"</f>
        <v>+19723909695</v>
      </c>
      <c r="CX569" t="s">
        <v>132</v>
      </c>
      <c r="CY569" t="s">
        <v>3190</v>
      </c>
      <c r="CZ569" t="s">
        <v>137</v>
      </c>
      <c r="DA569" t="s">
        <v>114</v>
      </c>
      <c r="DB569" t="s">
        <v>114</v>
      </c>
      <c r="DC569" t="s">
        <v>136</v>
      </c>
      <c r="DD569" t="s">
        <v>114</v>
      </c>
    </row>
    <row r="570" spans="1:113" ht="15" customHeight="1" x14ac:dyDescent="0.25">
      <c r="A570" t="s">
        <v>2516</v>
      </c>
      <c r="B570" t="s">
        <v>152</v>
      </c>
      <c r="C570" s="1">
        <v>45230.022959953705</v>
      </c>
      <c r="D570" s="1">
        <v>45261</v>
      </c>
      <c r="E570" t="s">
        <v>132</v>
      </c>
      <c r="F570" t="s">
        <v>1595</v>
      </c>
      <c r="G570" t="str">
        <f>"37-3011.00"</f>
        <v>37-3011.00</v>
      </c>
      <c r="H570" t="s">
        <v>429</v>
      </c>
      <c r="I570">
        <v>5</v>
      </c>
      <c r="J570">
        <v>5</v>
      </c>
      <c r="K570" s="1">
        <v>45320</v>
      </c>
      <c r="L570" s="1">
        <v>45506</v>
      </c>
      <c r="M570" s="1">
        <v>45320</v>
      </c>
      <c r="N570" s="1">
        <v>45506</v>
      </c>
      <c r="O570" t="s">
        <v>116</v>
      </c>
      <c r="P570" t="s">
        <v>2517</v>
      </c>
      <c r="R570" t="s">
        <v>2518</v>
      </c>
      <c r="T570" t="s">
        <v>2519</v>
      </c>
      <c r="U570" t="s">
        <v>434</v>
      </c>
      <c r="V570" s="8" t="str">
        <f>"19428"</f>
        <v>19428</v>
      </c>
      <c r="W570" t="s">
        <v>118</v>
      </c>
      <c r="Y570" s="10">
        <v>18883608873</v>
      </c>
      <c r="AA570">
        <v>56173</v>
      </c>
      <c r="AB570" t="s">
        <v>2520</v>
      </c>
      <c r="AC570" t="s">
        <v>2521</v>
      </c>
      <c r="AE570" t="s">
        <v>561</v>
      </c>
      <c r="AF570" t="s">
        <v>2518</v>
      </c>
      <c r="AG570" t="s">
        <v>2522</v>
      </c>
      <c r="AH570" t="s">
        <v>2519</v>
      </c>
      <c r="AI570" t="s">
        <v>434</v>
      </c>
      <c r="AJ570" s="8" t="str">
        <f>"19428"</f>
        <v>19428</v>
      </c>
      <c r="AK570" t="s">
        <v>118</v>
      </c>
      <c r="AM570" s="10">
        <v>18883608873</v>
      </c>
      <c r="AO570" t="s">
        <v>2523</v>
      </c>
      <c r="AP570" t="s">
        <v>248</v>
      </c>
      <c r="AQ570" t="s">
        <v>960</v>
      </c>
      <c r="AR570" t="s">
        <v>961</v>
      </c>
      <c r="AS570" t="s">
        <v>962</v>
      </c>
      <c r="AT570" t="s">
        <v>963</v>
      </c>
      <c r="AU570" t="s">
        <v>296</v>
      </c>
      <c r="AV570" t="s">
        <v>964</v>
      </c>
      <c r="AW570" t="s">
        <v>127</v>
      </c>
      <c r="AX570" s="8" t="str">
        <f>"75033"</f>
        <v>75033</v>
      </c>
      <c r="AY570" t="s">
        <v>118</v>
      </c>
      <c r="BA570" s="10">
        <v>19727789690</v>
      </c>
      <c r="BC570" t="s">
        <v>1951</v>
      </c>
      <c r="BD570" t="s">
        <v>966</v>
      </c>
      <c r="BG570" t="s">
        <v>434</v>
      </c>
      <c r="BH570" s="1">
        <v>45229.833333333336</v>
      </c>
      <c r="BI570">
        <v>50</v>
      </c>
      <c r="BJ570">
        <v>0</v>
      </c>
      <c r="BK570">
        <v>10</v>
      </c>
      <c r="BL570">
        <v>10</v>
      </c>
      <c r="BM570">
        <v>10</v>
      </c>
      <c r="BN570">
        <v>10</v>
      </c>
      <c r="BO570">
        <v>10</v>
      </c>
      <c r="BP570">
        <v>0</v>
      </c>
      <c r="BQ570" t="str">
        <f>"6:00 AM"</f>
        <v>6:00 AM</v>
      </c>
      <c r="BR570" t="str">
        <f>"5:00 PM"</f>
        <v>5:00 PM</v>
      </c>
      <c r="BS570" t="s">
        <v>131</v>
      </c>
      <c r="BT570">
        <v>0</v>
      </c>
      <c r="BU570">
        <v>0</v>
      </c>
      <c r="BV570" t="s">
        <v>114</v>
      </c>
      <c r="BX570" s="2" t="s">
        <v>2524</v>
      </c>
      <c r="BY570" t="s">
        <v>2518</v>
      </c>
      <c r="CA570" t="s">
        <v>2519</v>
      </c>
      <c r="CB570" t="s">
        <v>434</v>
      </c>
      <c r="CC570" s="8" t="str">
        <f>"19428"</f>
        <v>19428</v>
      </c>
      <c r="CD570" t="s">
        <v>878</v>
      </c>
      <c r="CE570" t="s">
        <v>443</v>
      </c>
      <c r="CF570" s="12">
        <v>18.71</v>
      </c>
      <c r="CG570" s="12">
        <v>18.71</v>
      </c>
      <c r="CH570" s="12">
        <v>28.07</v>
      </c>
      <c r="CI570" s="12">
        <v>28.07</v>
      </c>
      <c r="CJ570" t="s">
        <v>135</v>
      </c>
      <c r="CK570" t="s">
        <v>973</v>
      </c>
      <c r="CL570" t="s">
        <v>2525</v>
      </c>
      <c r="CO570" t="s">
        <v>132</v>
      </c>
      <c r="CP570" t="s">
        <v>136</v>
      </c>
      <c r="CQ570" t="s">
        <v>136</v>
      </c>
      <c r="CR570" t="s">
        <v>136</v>
      </c>
      <c r="CS570" t="s">
        <v>136</v>
      </c>
      <c r="CT570" t="s">
        <v>136</v>
      </c>
      <c r="CU570" t="s">
        <v>136</v>
      </c>
      <c r="CV570" s="2" t="s">
        <v>2526</v>
      </c>
      <c r="CW570" s="10" t="str">
        <f>"+18883608873"</f>
        <v>+18883608873</v>
      </c>
      <c r="CX570" t="s">
        <v>132</v>
      </c>
      <c r="CY570" t="s">
        <v>2527</v>
      </c>
      <c r="CZ570" t="s">
        <v>137</v>
      </c>
      <c r="DA570" t="s">
        <v>114</v>
      </c>
      <c r="DB570" t="s">
        <v>136</v>
      </c>
      <c r="DC570" t="s">
        <v>136</v>
      </c>
      <c r="DD570" t="s">
        <v>114</v>
      </c>
    </row>
    <row r="571" spans="1:113" ht="15" customHeight="1" x14ac:dyDescent="0.25">
      <c r="A571" t="s">
        <v>15059</v>
      </c>
      <c r="B571" t="s">
        <v>152</v>
      </c>
      <c r="C571" s="1">
        <v>45225.95701377315</v>
      </c>
      <c r="D571" s="1">
        <v>45261</v>
      </c>
      <c r="E571" t="s">
        <v>132</v>
      </c>
      <c r="F571" t="s">
        <v>12384</v>
      </c>
      <c r="G571" t="str">
        <f>"47-3015.00"</f>
        <v>47-3015.00</v>
      </c>
      <c r="H571" t="s">
        <v>12385</v>
      </c>
      <c r="I571">
        <v>10</v>
      </c>
      <c r="J571">
        <v>10</v>
      </c>
      <c r="K571" s="1">
        <v>45306</v>
      </c>
      <c r="L571" s="1">
        <v>45580</v>
      </c>
      <c r="M571" s="1">
        <v>45306</v>
      </c>
      <c r="N571" s="1">
        <v>45580</v>
      </c>
      <c r="O571" t="s">
        <v>116</v>
      </c>
      <c r="P571" t="s">
        <v>15060</v>
      </c>
      <c r="R571" t="s">
        <v>12387</v>
      </c>
      <c r="S571" t="s">
        <v>12388</v>
      </c>
      <c r="T571" t="s">
        <v>2560</v>
      </c>
      <c r="U571" t="s">
        <v>558</v>
      </c>
      <c r="V571" s="8" t="str">
        <f>"85206"</f>
        <v>85206</v>
      </c>
      <c r="W571" t="s">
        <v>118</v>
      </c>
      <c r="Y571" s="10">
        <v>14803855122</v>
      </c>
      <c r="AA571">
        <v>238990</v>
      </c>
      <c r="AB571" t="s">
        <v>12389</v>
      </c>
      <c r="AC571" t="s">
        <v>3601</v>
      </c>
      <c r="AE571" t="s">
        <v>654</v>
      </c>
      <c r="AF571" t="s">
        <v>12387</v>
      </c>
      <c r="AG571" t="s">
        <v>12388</v>
      </c>
      <c r="AH571" t="s">
        <v>2560</v>
      </c>
      <c r="AI571" t="s">
        <v>558</v>
      </c>
      <c r="AJ571" s="8" t="str">
        <f>"85206"</f>
        <v>85206</v>
      </c>
      <c r="AK571" t="s">
        <v>118</v>
      </c>
      <c r="AM571" s="10">
        <v>14803855122</v>
      </c>
      <c r="AO571" t="s">
        <v>12395</v>
      </c>
      <c r="AX571" s="8" t="str">
        <f>""</f>
        <v/>
      </c>
      <c r="BG571" t="s">
        <v>127</v>
      </c>
      <c r="BH571" s="1">
        <v>45224.833333333336</v>
      </c>
      <c r="BI571">
        <v>40</v>
      </c>
      <c r="BJ571">
        <v>0</v>
      </c>
      <c r="BK571">
        <v>8</v>
      </c>
      <c r="BL571">
        <v>8</v>
      </c>
      <c r="BM571">
        <v>8</v>
      </c>
      <c r="BN571">
        <v>8</v>
      </c>
      <c r="BO571">
        <v>8</v>
      </c>
      <c r="BP571">
        <v>0</v>
      </c>
      <c r="BQ571" t="str">
        <f>"7:00 AM"</f>
        <v>7:00 AM</v>
      </c>
      <c r="BR571" t="str">
        <f>"3:00 PM"</f>
        <v>3:00 PM</v>
      </c>
      <c r="BS571" t="s">
        <v>131</v>
      </c>
      <c r="BT571">
        <v>0</v>
      </c>
      <c r="BU571">
        <v>3</v>
      </c>
      <c r="BV571" t="s">
        <v>114</v>
      </c>
      <c r="BX571" s="2" t="s">
        <v>15061</v>
      </c>
      <c r="BY571" t="s">
        <v>15062</v>
      </c>
      <c r="CA571" t="s">
        <v>314</v>
      </c>
      <c r="CB571" t="s">
        <v>127</v>
      </c>
      <c r="CC571" s="8" t="str">
        <f>"78660"</f>
        <v>78660</v>
      </c>
      <c r="CD571" t="s">
        <v>323</v>
      </c>
      <c r="CE571" t="s">
        <v>324</v>
      </c>
      <c r="CF571" s="12">
        <v>18.61</v>
      </c>
      <c r="CG571" s="12">
        <v>18.61</v>
      </c>
      <c r="CH571" s="12">
        <v>27.92</v>
      </c>
      <c r="CI571" s="12">
        <v>27.92</v>
      </c>
      <c r="CJ571" t="s">
        <v>135</v>
      </c>
      <c r="CK571" t="s">
        <v>15063</v>
      </c>
      <c r="CL571" t="s">
        <v>15064</v>
      </c>
      <c r="CO571" t="s">
        <v>132</v>
      </c>
      <c r="CP571" t="s">
        <v>114</v>
      </c>
      <c r="CQ571" t="s">
        <v>114</v>
      </c>
      <c r="CR571" t="s">
        <v>136</v>
      </c>
      <c r="CS571" t="s">
        <v>136</v>
      </c>
      <c r="CT571" t="s">
        <v>136</v>
      </c>
      <c r="CU571" t="s">
        <v>136</v>
      </c>
      <c r="CV571" t="s">
        <v>15065</v>
      </c>
      <c r="CW571" s="10" t="str">
        <f>"+14803855122"</f>
        <v>+14803855122</v>
      </c>
      <c r="CX571" t="s">
        <v>12395</v>
      </c>
      <c r="CY571" t="s">
        <v>132</v>
      </c>
      <c r="CZ571" t="s">
        <v>137</v>
      </c>
      <c r="DA571" t="s">
        <v>114</v>
      </c>
      <c r="DB571" t="s">
        <v>136</v>
      </c>
      <c r="DC571" t="s">
        <v>136</v>
      </c>
      <c r="DD571" t="s">
        <v>114</v>
      </c>
    </row>
    <row r="572" spans="1:113" ht="15" customHeight="1" x14ac:dyDescent="0.25">
      <c r="A572" t="s">
        <v>7678</v>
      </c>
      <c r="B572" t="s">
        <v>152</v>
      </c>
      <c r="C572" s="1">
        <v>45216.428373379633</v>
      </c>
      <c r="D572" s="1">
        <v>45261</v>
      </c>
      <c r="E572" t="s">
        <v>132</v>
      </c>
      <c r="F572" t="s">
        <v>1088</v>
      </c>
      <c r="G572" t="str">
        <f>"37-2011.00"</f>
        <v>37-2011.00</v>
      </c>
      <c r="H572" t="s">
        <v>1089</v>
      </c>
      <c r="I572">
        <v>130</v>
      </c>
      <c r="J572">
        <v>130</v>
      </c>
      <c r="K572" s="1">
        <v>45292</v>
      </c>
      <c r="L572" s="1">
        <v>45566</v>
      </c>
      <c r="M572" s="1">
        <v>45292</v>
      </c>
      <c r="N572" s="1">
        <v>45566</v>
      </c>
      <c r="O572" t="s">
        <v>116</v>
      </c>
      <c r="P572" t="s">
        <v>7679</v>
      </c>
      <c r="R572" t="s">
        <v>7680</v>
      </c>
      <c r="T572" t="s">
        <v>7681</v>
      </c>
      <c r="U572" t="s">
        <v>211</v>
      </c>
      <c r="V572" s="8" t="str">
        <f>"84054"</f>
        <v>84054</v>
      </c>
      <c r="W572" t="s">
        <v>118</v>
      </c>
      <c r="Y572" s="10">
        <v>18016805552</v>
      </c>
      <c r="AA572">
        <v>56173</v>
      </c>
      <c r="AB572" t="s">
        <v>4289</v>
      </c>
      <c r="AC572" t="s">
        <v>4290</v>
      </c>
      <c r="AE572" t="s">
        <v>4291</v>
      </c>
      <c r="AF572" t="s">
        <v>7680</v>
      </c>
      <c r="AH572" t="s">
        <v>7681</v>
      </c>
      <c r="AI572" t="s">
        <v>211</v>
      </c>
      <c r="AJ572" s="8" t="str">
        <f>"84054"</f>
        <v>84054</v>
      </c>
      <c r="AK572" t="s">
        <v>118</v>
      </c>
      <c r="AM572" s="10">
        <v>13852250536</v>
      </c>
      <c r="AO572" t="s">
        <v>4292</v>
      </c>
      <c r="AP572" t="s">
        <v>121</v>
      </c>
      <c r="AQ572" t="s">
        <v>4293</v>
      </c>
      <c r="AR572" t="s">
        <v>4294</v>
      </c>
      <c r="AS572" t="s">
        <v>3625</v>
      </c>
      <c r="AT572" t="s">
        <v>4295</v>
      </c>
      <c r="AV572" t="s">
        <v>320</v>
      </c>
      <c r="AW572" t="s">
        <v>127</v>
      </c>
      <c r="AX572" s="8" t="str">
        <f>"78705"</f>
        <v>78705</v>
      </c>
      <c r="AY572" t="s">
        <v>118</v>
      </c>
      <c r="BA572" s="10">
        <v>15123470007</v>
      </c>
      <c r="BC572" t="s">
        <v>4296</v>
      </c>
      <c r="BD572" t="s">
        <v>4297</v>
      </c>
      <c r="BE572" t="s">
        <v>127</v>
      </c>
      <c r="BF572" t="s">
        <v>4298</v>
      </c>
      <c r="BG572" t="s">
        <v>211</v>
      </c>
      <c r="BH572" s="1">
        <v>45193.833333333336</v>
      </c>
      <c r="BI572">
        <v>40</v>
      </c>
      <c r="BJ572">
        <v>0</v>
      </c>
      <c r="BK572">
        <v>8</v>
      </c>
      <c r="BL572">
        <v>8</v>
      </c>
      <c r="BM572">
        <v>8</v>
      </c>
      <c r="BN572">
        <v>8</v>
      </c>
      <c r="BO572">
        <v>8</v>
      </c>
      <c r="BP572">
        <v>0</v>
      </c>
      <c r="BQ572" t="str">
        <f>"8:00 AM"</f>
        <v>8:00 AM</v>
      </c>
      <c r="BR572" t="str">
        <f>"5:00 PM"</f>
        <v>5:00 PM</v>
      </c>
      <c r="BS572" t="s">
        <v>131</v>
      </c>
      <c r="BT572">
        <v>0</v>
      </c>
      <c r="BU572">
        <v>0</v>
      </c>
      <c r="BV572" t="s">
        <v>114</v>
      </c>
      <c r="BX572" t="s">
        <v>4299</v>
      </c>
      <c r="BY572" t="s">
        <v>7680</v>
      </c>
      <c r="CA572" t="s">
        <v>7681</v>
      </c>
      <c r="CB572" t="s">
        <v>211</v>
      </c>
      <c r="CC572" s="8" t="str">
        <f>"84054"</f>
        <v>84054</v>
      </c>
      <c r="CD572" t="s">
        <v>4300</v>
      </c>
      <c r="CE572" t="s">
        <v>1482</v>
      </c>
      <c r="CF572" s="12">
        <v>14.13</v>
      </c>
      <c r="CH572" s="12">
        <v>21.2</v>
      </c>
      <c r="CJ572" t="s">
        <v>135</v>
      </c>
      <c r="CL572" t="s">
        <v>7682</v>
      </c>
      <c r="CO572" t="s">
        <v>132</v>
      </c>
      <c r="CP572" t="s">
        <v>114</v>
      </c>
      <c r="CQ572" t="s">
        <v>136</v>
      </c>
      <c r="CR572" t="s">
        <v>136</v>
      </c>
      <c r="CS572" t="s">
        <v>136</v>
      </c>
      <c r="CT572" t="s">
        <v>136</v>
      </c>
      <c r="CU572" t="s">
        <v>136</v>
      </c>
      <c r="CV572" s="2" t="s">
        <v>7683</v>
      </c>
      <c r="CW572" s="10" t="str">
        <f>"+13856805552"</f>
        <v>+13856805552</v>
      </c>
      <c r="CX572" t="s">
        <v>4292</v>
      </c>
      <c r="CY572" t="s">
        <v>132</v>
      </c>
      <c r="CZ572" t="s">
        <v>137</v>
      </c>
      <c r="DA572" t="s">
        <v>114</v>
      </c>
      <c r="DB572" t="s">
        <v>114</v>
      </c>
      <c r="DC572" t="s">
        <v>136</v>
      </c>
      <c r="DD572" t="s">
        <v>114</v>
      </c>
    </row>
    <row r="573" spans="1:113" ht="15" customHeight="1" x14ac:dyDescent="0.25">
      <c r="A573" t="s">
        <v>24040</v>
      </c>
      <c r="B573" t="s">
        <v>152</v>
      </c>
      <c r="C573" s="1">
        <v>45216.423153124997</v>
      </c>
      <c r="D573" s="1">
        <v>45261</v>
      </c>
      <c r="E573" t="s">
        <v>132</v>
      </c>
      <c r="F573" t="s">
        <v>700</v>
      </c>
      <c r="G573" t="str">
        <f>"37-3011.00"</f>
        <v>37-3011.00</v>
      </c>
      <c r="H573" t="s">
        <v>429</v>
      </c>
      <c r="I573">
        <v>26</v>
      </c>
      <c r="J573">
        <v>26</v>
      </c>
      <c r="K573" s="1">
        <v>45292</v>
      </c>
      <c r="L573" s="1">
        <v>45382</v>
      </c>
      <c r="M573" s="1">
        <v>45292</v>
      </c>
      <c r="N573" s="1">
        <v>45382</v>
      </c>
      <c r="O573" t="s">
        <v>238</v>
      </c>
      <c r="P573" t="s">
        <v>24041</v>
      </c>
      <c r="R573" t="s">
        <v>24042</v>
      </c>
      <c r="T573" t="s">
        <v>5937</v>
      </c>
      <c r="U573" t="s">
        <v>1722</v>
      </c>
      <c r="V573" s="8" t="str">
        <f>"20706"</f>
        <v>20706</v>
      </c>
      <c r="W573" t="s">
        <v>118</v>
      </c>
      <c r="Y573" s="10">
        <v>13018059222</v>
      </c>
      <c r="AA573">
        <v>56173</v>
      </c>
      <c r="AB573" t="s">
        <v>2732</v>
      </c>
      <c r="AC573" t="s">
        <v>24043</v>
      </c>
      <c r="AE573" t="s">
        <v>12462</v>
      </c>
      <c r="AF573" t="s">
        <v>24042</v>
      </c>
      <c r="AH573" t="s">
        <v>5937</v>
      </c>
      <c r="AI573" t="s">
        <v>1722</v>
      </c>
      <c r="AJ573" s="8" t="str">
        <f>"20706"</f>
        <v>20706</v>
      </c>
      <c r="AK573" t="s">
        <v>118</v>
      </c>
      <c r="AM573" s="10">
        <v>13018059222</v>
      </c>
      <c r="AO573" t="s">
        <v>132</v>
      </c>
      <c r="AP573" t="s">
        <v>121</v>
      </c>
      <c r="AQ573" t="s">
        <v>1172</v>
      </c>
      <c r="AR573" t="s">
        <v>1173</v>
      </c>
      <c r="AS573" t="s">
        <v>708</v>
      </c>
      <c r="AT573" t="s">
        <v>3325</v>
      </c>
      <c r="AV573" t="s">
        <v>603</v>
      </c>
      <c r="AW573" t="s">
        <v>127</v>
      </c>
      <c r="AX573" s="8" t="str">
        <f>"78705"</f>
        <v>78705</v>
      </c>
      <c r="AY573" t="s">
        <v>118</v>
      </c>
      <c r="BA573" s="10">
        <v>15123470007</v>
      </c>
      <c r="BC573" t="s">
        <v>3621</v>
      </c>
      <c r="BD573" t="s">
        <v>1176</v>
      </c>
      <c r="BE573" t="s">
        <v>127</v>
      </c>
      <c r="BF573" t="s">
        <v>750</v>
      </c>
      <c r="BG573" t="s">
        <v>1722</v>
      </c>
      <c r="BH573" s="1">
        <v>45199.833333333336</v>
      </c>
      <c r="BI573">
        <v>40</v>
      </c>
      <c r="BJ573">
        <v>0</v>
      </c>
      <c r="BK573">
        <v>8</v>
      </c>
      <c r="BL573">
        <v>8</v>
      </c>
      <c r="BM573">
        <v>8</v>
      </c>
      <c r="BN573">
        <v>8</v>
      </c>
      <c r="BO573">
        <v>8</v>
      </c>
      <c r="BP573">
        <v>0</v>
      </c>
      <c r="BQ573" t="str">
        <f>"7:00 AM"</f>
        <v>7:00 AM</v>
      </c>
      <c r="BR573" t="str">
        <f>"4:00 PM"</f>
        <v>4:00 PM</v>
      </c>
      <c r="BS573" t="s">
        <v>131</v>
      </c>
      <c r="BT573">
        <v>0</v>
      </c>
      <c r="BU573">
        <v>0</v>
      </c>
      <c r="BV573" t="s">
        <v>114</v>
      </c>
      <c r="BX573" t="s">
        <v>132</v>
      </c>
      <c r="BY573" t="s">
        <v>24042</v>
      </c>
      <c r="CA573" t="s">
        <v>5937</v>
      </c>
      <c r="CB573" t="s">
        <v>1722</v>
      </c>
      <c r="CC573" s="8" t="str">
        <f>"20706"</f>
        <v>20706</v>
      </c>
      <c r="CD573" t="s">
        <v>1793</v>
      </c>
      <c r="CE573" t="s">
        <v>1794</v>
      </c>
      <c r="CF573" s="12">
        <v>19.670000000000002</v>
      </c>
      <c r="CG573" s="12">
        <v>19.670000000000002</v>
      </c>
      <c r="CH573" s="12">
        <v>29.51</v>
      </c>
      <c r="CI573" s="12">
        <v>29.51</v>
      </c>
      <c r="CJ573" t="s">
        <v>135</v>
      </c>
      <c r="CL573" t="s">
        <v>24044</v>
      </c>
      <c r="CO573" t="s">
        <v>132</v>
      </c>
      <c r="CP573" t="s">
        <v>136</v>
      </c>
      <c r="CQ573" t="s">
        <v>136</v>
      </c>
      <c r="CR573" t="s">
        <v>136</v>
      </c>
      <c r="CS573" t="s">
        <v>114</v>
      </c>
      <c r="CT573" t="s">
        <v>136</v>
      </c>
      <c r="CU573" t="s">
        <v>136</v>
      </c>
      <c r="CV573" s="2" t="s">
        <v>24045</v>
      </c>
      <c r="CW573" s="10" t="str">
        <f>"+13018059222"</f>
        <v>+13018059222</v>
      </c>
      <c r="CX573" t="s">
        <v>24046</v>
      </c>
      <c r="CY573" t="s">
        <v>132</v>
      </c>
      <c r="CZ573" t="s">
        <v>137</v>
      </c>
      <c r="DA573" t="s">
        <v>114</v>
      </c>
      <c r="DB573" t="s">
        <v>114</v>
      </c>
      <c r="DC573" t="s">
        <v>136</v>
      </c>
      <c r="DD573" t="s">
        <v>114</v>
      </c>
    </row>
    <row r="574" spans="1:113" ht="15" customHeight="1" x14ac:dyDescent="0.25">
      <c r="A574" t="s">
        <v>21010</v>
      </c>
      <c r="B574" t="s">
        <v>152</v>
      </c>
      <c r="C574" s="1">
        <v>45237.3230400463</v>
      </c>
      <c r="D574" s="1">
        <v>45260</v>
      </c>
      <c r="E574" t="s">
        <v>132</v>
      </c>
      <c r="F574" t="s">
        <v>12631</v>
      </c>
      <c r="G574" t="str">
        <f>"35-3023.00"</f>
        <v>35-3023.00</v>
      </c>
      <c r="H574" t="s">
        <v>1365</v>
      </c>
      <c r="I574">
        <v>3</v>
      </c>
      <c r="J574">
        <v>3</v>
      </c>
      <c r="K574" s="1">
        <v>45327</v>
      </c>
      <c r="L574" s="1">
        <v>45606</v>
      </c>
      <c r="M574" s="1">
        <v>45327</v>
      </c>
      <c r="N574" s="1">
        <v>45606</v>
      </c>
      <c r="O574" t="s">
        <v>238</v>
      </c>
      <c r="P574" t="s">
        <v>21011</v>
      </c>
      <c r="Q574" t="s">
        <v>21012</v>
      </c>
      <c r="R574" t="s">
        <v>21013</v>
      </c>
      <c r="T574" t="s">
        <v>19653</v>
      </c>
      <c r="U574" t="s">
        <v>169</v>
      </c>
      <c r="V574" s="8" t="str">
        <f>"55125"</f>
        <v>55125</v>
      </c>
      <c r="W574" t="s">
        <v>118</v>
      </c>
      <c r="Y574" s="10">
        <v>16514020743</v>
      </c>
      <c r="AA574">
        <v>71399</v>
      </c>
      <c r="AB574" t="s">
        <v>21014</v>
      </c>
      <c r="AC574" t="s">
        <v>2032</v>
      </c>
      <c r="AE574" t="s">
        <v>561</v>
      </c>
      <c r="AF574" t="s">
        <v>21013</v>
      </c>
      <c r="AH574" t="s">
        <v>19653</v>
      </c>
      <c r="AI574" t="s">
        <v>169</v>
      </c>
      <c r="AJ574" s="8" t="str">
        <f>"55125"</f>
        <v>55125</v>
      </c>
      <c r="AK574" t="s">
        <v>118</v>
      </c>
      <c r="AM574" s="10">
        <v>16514020743</v>
      </c>
      <c r="AO574" t="s">
        <v>21015</v>
      </c>
      <c r="AP574" t="s">
        <v>248</v>
      </c>
      <c r="AQ574" t="s">
        <v>249</v>
      </c>
      <c r="AR574" t="s">
        <v>250</v>
      </c>
      <c r="AS574" t="s">
        <v>251</v>
      </c>
      <c r="AT574" t="s">
        <v>252</v>
      </c>
      <c r="AU574" t="s">
        <v>253</v>
      </c>
      <c r="AV574" t="s">
        <v>254</v>
      </c>
      <c r="AW574" t="s">
        <v>127</v>
      </c>
      <c r="AX574" s="8" t="str">
        <f>"78550"</f>
        <v>78550</v>
      </c>
      <c r="AY574" t="s">
        <v>118</v>
      </c>
      <c r="AZ574" t="s">
        <v>255</v>
      </c>
      <c r="BA574" s="10">
        <v>19564408720</v>
      </c>
      <c r="BB574" s="3" t="s">
        <v>256</v>
      </c>
      <c r="BC574" t="s">
        <v>257</v>
      </c>
      <c r="BD574" t="s">
        <v>258</v>
      </c>
      <c r="BG574" t="s">
        <v>169</v>
      </c>
      <c r="BH574" s="1">
        <v>45236.791666666664</v>
      </c>
      <c r="BI574">
        <v>40</v>
      </c>
      <c r="BJ574">
        <v>8</v>
      </c>
      <c r="BK574">
        <v>0</v>
      </c>
      <c r="BL574">
        <v>0</v>
      </c>
      <c r="BM574">
        <v>8</v>
      </c>
      <c r="BN574">
        <v>8</v>
      </c>
      <c r="BO574">
        <v>8</v>
      </c>
      <c r="BP574">
        <v>8</v>
      </c>
      <c r="BQ574" t="str">
        <f>"1:00 PM"</f>
        <v>1:00 PM</v>
      </c>
      <c r="BR574" t="str">
        <f>"10:00 PM"</f>
        <v>10:00 PM</v>
      </c>
      <c r="BS574" t="s">
        <v>131</v>
      </c>
      <c r="BT574">
        <v>0</v>
      </c>
      <c r="BU574">
        <v>0</v>
      </c>
      <c r="BV574" t="s">
        <v>114</v>
      </c>
      <c r="BX574" s="2" t="s">
        <v>259</v>
      </c>
      <c r="BY574" t="s">
        <v>21013</v>
      </c>
      <c r="CA574" t="s">
        <v>19653</v>
      </c>
      <c r="CB574" t="s">
        <v>169</v>
      </c>
      <c r="CC574" s="8" t="str">
        <f>"55125"</f>
        <v>55125</v>
      </c>
      <c r="CD574" t="s">
        <v>806</v>
      </c>
      <c r="CE574" t="s">
        <v>1910</v>
      </c>
      <c r="CF574" s="12">
        <v>10.1</v>
      </c>
      <c r="CG574" s="12">
        <v>14.79</v>
      </c>
      <c r="CJ574" t="s">
        <v>135</v>
      </c>
      <c r="CK574" t="s">
        <v>264</v>
      </c>
      <c r="CL574" t="s">
        <v>21016</v>
      </c>
      <c r="CO574" t="s">
        <v>132</v>
      </c>
      <c r="CP574" t="s">
        <v>136</v>
      </c>
      <c r="CQ574" t="s">
        <v>136</v>
      </c>
      <c r="CR574" t="s">
        <v>114</v>
      </c>
      <c r="CS574" t="s">
        <v>136</v>
      </c>
      <c r="CT574" t="s">
        <v>136</v>
      </c>
      <c r="CU574" t="s">
        <v>136</v>
      </c>
      <c r="CV574" t="s">
        <v>266</v>
      </c>
      <c r="CW574" s="10" t="str">
        <f>"+16514020743"</f>
        <v>+16514020743</v>
      </c>
      <c r="CX574" t="s">
        <v>21015</v>
      </c>
      <c r="CY574" t="s">
        <v>132</v>
      </c>
      <c r="CZ574" t="s">
        <v>137</v>
      </c>
      <c r="DA574" t="s">
        <v>114</v>
      </c>
      <c r="DB574" t="s">
        <v>136</v>
      </c>
      <c r="DC574" t="s">
        <v>136</v>
      </c>
      <c r="DD574" t="s">
        <v>114</v>
      </c>
    </row>
    <row r="575" spans="1:113" ht="15" customHeight="1" x14ac:dyDescent="0.25">
      <c r="A575" t="s">
        <v>3684</v>
      </c>
      <c r="B575" t="s">
        <v>152</v>
      </c>
      <c r="C575" s="1">
        <v>45233.733758333336</v>
      </c>
      <c r="D575" s="1">
        <v>45260</v>
      </c>
      <c r="E575" t="s">
        <v>132</v>
      </c>
      <c r="F575" t="s">
        <v>1595</v>
      </c>
      <c r="G575" t="str">
        <f>"37-3011.00"</f>
        <v>37-3011.00</v>
      </c>
      <c r="H575" t="s">
        <v>429</v>
      </c>
      <c r="I575">
        <v>10</v>
      </c>
      <c r="J575">
        <v>10</v>
      </c>
      <c r="K575" s="1">
        <v>45323</v>
      </c>
      <c r="L575" s="1">
        <v>45626</v>
      </c>
      <c r="M575" s="1">
        <v>45323</v>
      </c>
      <c r="N575" s="1">
        <v>45626</v>
      </c>
      <c r="O575" t="s">
        <v>116</v>
      </c>
      <c r="P575" t="s">
        <v>3685</v>
      </c>
      <c r="R575" t="s">
        <v>3686</v>
      </c>
      <c r="T575" t="s">
        <v>3687</v>
      </c>
      <c r="U575" t="s">
        <v>2090</v>
      </c>
      <c r="V575" s="8" t="str">
        <f>"68845"</f>
        <v>68845</v>
      </c>
      <c r="W575" t="s">
        <v>118</v>
      </c>
      <c r="Y575" s="10">
        <v>13082387010</v>
      </c>
      <c r="AA575">
        <v>721110</v>
      </c>
      <c r="AB575" t="s">
        <v>3688</v>
      </c>
      <c r="AC575" t="s">
        <v>3689</v>
      </c>
      <c r="AE575" t="s">
        <v>378</v>
      </c>
      <c r="AF575" t="s">
        <v>3686</v>
      </c>
      <c r="AH575" t="s">
        <v>3687</v>
      </c>
      <c r="AI575" t="s">
        <v>2090</v>
      </c>
      <c r="AJ575" s="8" t="str">
        <f>"68845"</f>
        <v>68845</v>
      </c>
      <c r="AK575" t="s">
        <v>118</v>
      </c>
      <c r="AM575" s="10">
        <v>13082387010</v>
      </c>
      <c r="AO575" t="s">
        <v>796</v>
      </c>
      <c r="AP575" t="s">
        <v>248</v>
      </c>
      <c r="AQ575" t="s">
        <v>3690</v>
      </c>
      <c r="AR575" t="s">
        <v>2158</v>
      </c>
      <c r="AT575" t="s">
        <v>3691</v>
      </c>
      <c r="AU575" t="s">
        <v>3692</v>
      </c>
      <c r="AV575" t="s">
        <v>2814</v>
      </c>
      <c r="AW575" t="s">
        <v>2608</v>
      </c>
      <c r="AX575" s="8" t="str">
        <f>"74136"</f>
        <v>74136</v>
      </c>
      <c r="AY575" t="s">
        <v>118</v>
      </c>
      <c r="AZ575" t="s">
        <v>3693</v>
      </c>
      <c r="BA575" s="10">
        <v>19189065212</v>
      </c>
      <c r="BC575" t="s">
        <v>3694</v>
      </c>
      <c r="BD575" t="s">
        <v>3695</v>
      </c>
      <c r="BG575" t="s">
        <v>2090</v>
      </c>
      <c r="BH575" s="1">
        <v>45228.833333333336</v>
      </c>
      <c r="BI575">
        <v>40</v>
      </c>
      <c r="BJ575">
        <v>0</v>
      </c>
      <c r="BK575">
        <v>8</v>
      </c>
      <c r="BL575">
        <v>8</v>
      </c>
      <c r="BM575">
        <v>8</v>
      </c>
      <c r="BN575">
        <v>8</v>
      </c>
      <c r="BO575">
        <v>8</v>
      </c>
      <c r="BP575">
        <v>0</v>
      </c>
      <c r="BQ575" t="str">
        <f>"9:00 AM"</f>
        <v>9:00 AM</v>
      </c>
      <c r="BR575" t="str">
        <f>"5:00 PM"</f>
        <v>5:00 PM</v>
      </c>
      <c r="BS575" t="s">
        <v>131</v>
      </c>
      <c r="BT575">
        <v>0</v>
      </c>
      <c r="BU575">
        <v>0</v>
      </c>
      <c r="BV575" t="s">
        <v>114</v>
      </c>
      <c r="BX575" s="2" t="s">
        <v>3696</v>
      </c>
      <c r="BY575" t="s">
        <v>3697</v>
      </c>
      <c r="CA575" t="s">
        <v>3687</v>
      </c>
      <c r="CB575" t="s">
        <v>2090</v>
      </c>
      <c r="CC575" s="8" t="str">
        <f>"68847"</f>
        <v>68847</v>
      </c>
      <c r="CD575" t="s">
        <v>3698</v>
      </c>
      <c r="CE575" t="s">
        <v>2275</v>
      </c>
      <c r="CF575" s="12">
        <v>15.43</v>
      </c>
      <c r="CG575" s="12">
        <v>15.43</v>
      </c>
      <c r="CH575" s="12">
        <v>23.15</v>
      </c>
      <c r="CI575" s="12">
        <v>23.15</v>
      </c>
      <c r="CJ575" t="s">
        <v>135</v>
      </c>
      <c r="CK575" t="s">
        <v>3699</v>
      </c>
      <c r="CL575" t="s">
        <v>3700</v>
      </c>
      <c r="CO575" t="s">
        <v>132</v>
      </c>
      <c r="CP575" t="s">
        <v>136</v>
      </c>
      <c r="CQ575" t="s">
        <v>114</v>
      </c>
      <c r="CR575" t="s">
        <v>136</v>
      </c>
      <c r="CS575" t="s">
        <v>136</v>
      </c>
      <c r="CT575" t="s">
        <v>136</v>
      </c>
      <c r="CU575" t="s">
        <v>136</v>
      </c>
      <c r="CV575" s="2" t="s">
        <v>3701</v>
      </c>
      <c r="CW575" s="10" t="str">
        <f>"+13082387010"</f>
        <v>+13082387010</v>
      </c>
      <c r="CX575" t="s">
        <v>132</v>
      </c>
      <c r="CY575" t="s">
        <v>3702</v>
      </c>
      <c r="CZ575" t="s">
        <v>137</v>
      </c>
      <c r="DA575" t="s">
        <v>114</v>
      </c>
      <c r="DB575" t="s">
        <v>136</v>
      </c>
      <c r="DC575" t="s">
        <v>136</v>
      </c>
      <c r="DD575" t="s">
        <v>114</v>
      </c>
    </row>
    <row r="576" spans="1:113" ht="15" customHeight="1" x14ac:dyDescent="0.25">
      <c r="A576" t="s">
        <v>6128</v>
      </c>
      <c r="B576" t="s">
        <v>152</v>
      </c>
      <c r="C576" s="1">
        <v>45233.716763888886</v>
      </c>
      <c r="D576" s="1">
        <v>45260</v>
      </c>
      <c r="E576" t="s">
        <v>132</v>
      </c>
      <c r="F576" t="s">
        <v>5128</v>
      </c>
      <c r="G576" t="str">
        <f>"35-2021.00"</f>
        <v>35-2021.00</v>
      </c>
      <c r="H576" t="s">
        <v>2303</v>
      </c>
      <c r="I576">
        <v>10</v>
      </c>
      <c r="J576">
        <v>10</v>
      </c>
      <c r="K576" s="1">
        <v>45323</v>
      </c>
      <c r="L576" s="1">
        <v>45626</v>
      </c>
      <c r="M576" s="1">
        <v>45323</v>
      </c>
      <c r="N576" s="1">
        <v>45626</v>
      </c>
      <c r="O576" t="s">
        <v>116</v>
      </c>
      <c r="P576" t="s">
        <v>3685</v>
      </c>
      <c r="R576" t="s">
        <v>3686</v>
      </c>
      <c r="T576" t="s">
        <v>3687</v>
      </c>
      <c r="U576" t="s">
        <v>2090</v>
      </c>
      <c r="V576" s="8" t="str">
        <f>"68845"</f>
        <v>68845</v>
      </c>
      <c r="W576" t="s">
        <v>118</v>
      </c>
      <c r="Y576" s="10">
        <v>13082387010</v>
      </c>
      <c r="AA576">
        <v>721110</v>
      </c>
      <c r="AB576" t="s">
        <v>3688</v>
      </c>
      <c r="AC576" t="s">
        <v>3689</v>
      </c>
      <c r="AE576" t="s">
        <v>378</v>
      </c>
      <c r="AF576" t="s">
        <v>3686</v>
      </c>
      <c r="AH576" t="s">
        <v>3687</v>
      </c>
      <c r="AI576" t="s">
        <v>2090</v>
      </c>
      <c r="AJ576" s="8" t="str">
        <f>"68845"</f>
        <v>68845</v>
      </c>
      <c r="AK576" t="s">
        <v>118</v>
      </c>
      <c r="AM576" s="10">
        <v>13082387010</v>
      </c>
      <c r="AO576" t="s">
        <v>796</v>
      </c>
      <c r="AP576" t="s">
        <v>248</v>
      </c>
      <c r="AQ576" t="s">
        <v>3690</v>
      </c>
      <c r="AR576" t="s">
        <v>2158</v>
      </c>
      <c r="AT576" t="s">
        <v>3691</v>
      </c>
      <c r="AU576" t="s">
        <v>3692</v>
      </c>
      <c r="AV576" t="s">
        <v>2814</v>
      </c>
      <c r="AW576" t="s">
        <v>2608</v>
      </c>
      <c r="AX576" s="8" t="str">
        <f>"74136"</f>
        <v>74136</v>
      </c>
      <c r="AY576" t="s">
        <v>118</v>
      </c>
      <c r="AZ576" t="s">
        <v>3693</v>
      </c>
      <c r="BA576" s="10">
        <v>19189065212</v>
      </c>
      <c r="BC576" t="s">
        <v>3694</v>
      </c>
      <c r="BD576" t="s">
        <v>3695</v>
      </c>
      <c r="BG576" t="s">
        <v>2090</v>
      </c>
      <c r="BH576" s="1">
        <v>45228.833333333336</v>
      </c>
      <c r="BI576">
        <v>40</v>
      </c>
      <c r="BJ576">
        <v>0</v>
      </c>
      <c r="BK576">
        <v>8</v>
      </c>
      <c r="BL576">
        <v>8</v>
      </c>
      <c r="BM576">
        <v>8</v>
      </c>
      <c r="BN576">
        <v>8</v>
      </c>
      <c r="BO576">
        <v>8</v>
      </c>
      <c r="BP576">
        <v>0</v>
      </c>
      <c r="BQ576" t="str">
        <f>"6:00 AM"</f>
        <v>6:00 AM</v>
      </c>
      <c r="BR576" t="str">
        <f>"10:00 PM"</f>
        <v>10:00 PM</v>
      </c>
      <c r="BS576" t="s">
        <v>131</v>
      </c>
      <c r="BT576">
        <v>0</v>
      </c>
      <c r="BU576">
        <v>0</v>
      </c>
      <c r="BV576" t="s">
        <v>114</v>
      </c>
      <c r="BX576" s="2" t="s">
        <v>6129</v>
      </c>
      <c r="BY576" t="s">
        <v>3697</v>
      </c>
      <c r="CA576" t="s">
        <v>3687</v>
      </c>
      <c r="CB576" t="s">
        <v>2090</v>
      </c>
      <c r="CC576" s="8" t="str">
        <f>"68847"</f>
        <v>68847</v>
      </c>
      <c r="CD576" t="s">
        <v>3698</v>
      </c>
      <c r="CE576" t="s">
        <v>2275</v>
      </c>
      <c r="CF576" s="12">
        <v>13.05</v>
      </c>
      <c r="CG576" s="12">
        <v>13.05</v>
      </c>
      <c r="CH576" s="12">
        <v>19.579999999999998</v>
      </c>
      <c r="CI576" s="12">
        <v>19.579999999999998</v>
      </c>
      <c r="CJ576" t="s">
        <v>6130</v>
      </c>
      <c r="CK576" t="s">
        <v>3699</v>
      </c>
      <c r="CL576" t="s">
        <v>6131</v>
      </c>
      <c r="CO576" t="s">
        <v>132</v>
      </c>
      <c r="CP576" t="s">
        <v>114</v>
      </c>
      <c r="CQ576" t="s">
        <v>114</v>
      </c>
      <c r="CR576" t="s">
        <v>136</v>
      </c>
      <c r="CS576" t="s">
        <v>136</v>
      </c>
      <c r="CT576" t="s">
        <v>136</v>
      </c>
      <c r="CU576" t="s">
        <v>136</v>
      </c>
      <c r="CV576" s="2" t="s">
        <v>3701</v>
      </c>
      <c r="CW576" s="10" t="str">
        <f>"+13082387010"</f>
        <v>+13082387010</v>
      </c>
      <c r="CX576" t="s">
        <v>132</v>
      </c>
      <c r="CY576" t="s">
        <v>3702</v>
      </c>
      <c r="CZ576" t="s">
        <v>137</v>
      </c>
      <c r="DA576" t="s">
        <v>114</v>
      </c>
      <c r="DB576" t="s">
        <v>136</v>
      </c>
      <c r="DC576" t="s">
        <v>136</v>
      </c>
      <c r="DD576" t="s">
        <v>114</v>
      </c>
    </row>
    <row r="577" spans="1:113" ht="15" customHeight="1" x14ac:dyDescent="0.25">
      <c r="A577" t="s">
        <v>20128</v>
      </c>
      <c r="B577" t="s">
        <v>152</v>
      </c>
      <c r="C577" s="1">
        <v>45233.702350925923</v>
      </c>
      <c r="D577" s="1">
        <v>45260</v>
      </c>
      <c r="E577" t="s">
        <v>132</v>
      </c>
      <c r="F577" t="s">
        <v>205</v>
      </c>
      <c r="G577" t="str">
        <f>"37-2012.00"</f>
        <v>37-2012.00</v>
      </c>
      <c r="H577" t="s">
        <v>205</v>
      </c>
      <c r="I577">
        <v>60</v>
      </c>
      <c r="J577">
        <v>60</v>
      </c>
      <c r="K577" s="1">
        <v>45323</v>
      </c>
      <c r="L577" s="1">
        <v>45626</v>
      </c>
      <c r="M577" s="1">
        <v>45323</v>
      </c>
      <c r="N577" s="1">
        <v>45626</v>
      </c>
      <c r="O577" t="s">
        <v>116</v>
      </c>
      <c r="P577" t="s">
        <v>3685</v>
      </c>
      <c r="R577" t="s">
        <v>3686</v>
      </c>
      <c r="T577" t="s">
        <v>3687</v>
      </c>
      <c r="U577" t="s">
        <v>2090</v>
      </c>
      <c r="V577" s="8" t="str">
        <f>"68845"</f>
        <v>68845</v>
      </c>
      <c r="W577" t="s">
        <v>118</v>
      </c>
      <c r="Y577" s="10">
        <v>13082387010</v>
      </c>
      <c r="AA577">
        <v>721110</v>
      </c>
      <c r="AB577" t="s">
        <v>3688</v>
      </c>
      <c r="AC577" t="s">
        <v>3689</v>
      </c>
      <c r="AE577" t="s">
        <v>378</v>
      </c>
      <c r="AF577" t="s">
        <v>3686</v>
      </c>
      <c r="AH577" t="s">
        <v>3687</v>
      </c>
      <c r="AI577" t="s">
        <v>2090</v>
      </c>
      <c r="AJ577" s="8" t="str">
        <f>"68845"</f>
        <v>68845</v>
      </c>
      <c r="AK577" t="s">
        <v>118</v>
      </c>
      <c r="AM577" s="10">
        <v>13082387010</v>
      </c>
      <c r="AO577" t="s">
        <v>796</v>
      </c>
      <c r="AP577" t="s">
        <v>248</v>
      </c>
      <c r="AQ577" t="s">
        <v>3690</v>
      </c>
      <c r="AR577" t="s">
        <v>2158</v>
      </c>
      <c r="AT577" t="s">
        <v>5174</v>
      </c>
      <c r="AV577" t="s">
        <v>2814</v>
      </c>
      <c r="AW577" t="s">
        <v>2608</v>
      </c>
      <c r="AX577" s="8" t="str">
        <f>"74132"</f>
        <v>74132</v>
      </c>
      <c r="AY577" t="s">
        <v>118</v>
      </c>
      <c r="AZ577" t="s">
        <v>3693</v>
      </c>
      <c r="BA577" s="10">
        <v>19189065212</v>
      </c>
      <c r="BC577" t="s">
        <v>3694</v>
      </c>
      <c r="BD577" t="s">
        <v>3695</v>
      </c>
      <c r="BG577" t="s">
        <v>2090</v>
      </c>
      <c r="BH577" s="1">
        <v>45228.833333333336</v>
      </c>
      <c r="BI577">
        <v>40</v>
      </c>
      <c r="BJ577">
        <v>0</v>
      </c>
      <c r="BK577">
        <v>8</v>
      </c>
      <c r="BL577">
        <v>8</v>
      </c>
      <c r="BM577">
        <v>8</v>
      </c>
      <c r="BN577">
        <v>8</v>
      </c>
      <c r="BO577">
        <v>8</v>
      </c>
      <c r="BP577">
        <v>0</v>
      </c>
      <c r="BQ577" t="str">
        <f>"9:00 AM"</f>
        <v>9:00 AM</v>
      </c>
      <c r="BR577" t="str">
        <f>"5:00 PM"</f>
        <v>5:00 PM</v>
      </c>
      <c r="BS577" t="s">
        <v>131</v>
      </c>
      <c r="BT577">
        <v>0</v>
      </c>
      <c r="BU577">
        <v>0</v>
      </c>
      <c r="BV577" t="s">
        <v>114</v>
      </c>
      <c r="BX577" s="2" t="s">
        <v>5415</v>
      </c>
      <c r="BY577" t="s">
        <v>3697</v>
      </c>
      <c r="CA577" t="s">
        <v>3687</v>
      </c>
      <c r="CB577" t="s">
        <v>2090</v>
      </c>
      <c r="CC577" s="8" t="str">
        <f>"68847"</f>
        <v>68847</v>
      </c>
      <c r="CD577" t="s">
        <v>3698</v>
      </c>
      <c r="CE577" t="s">
        <v>2275</v>
      </c>
      <c r="CF577" s="12">
        <v>13.25</v>
      </c>
      <c r="CG577" s="12">
        <v>13.25</v>
      </c>
      <c r="CH577" s="12">
        <v>19.88</v>
      </c>
      <c r="CI577" s="12">
        <v>19.88</v>
      </c>
      <c r="CJ577" t="s">
        <v>135</v>
      </c>
      <c r="CK577" t="s">
        <v>3699</v>
      </c>
      <c r="CL577" t="s">
        <v>5416</v>
      </c>
      <c r="CO577" t="s">
        <v>132</v>
      </c>
      <c r="CP577" t="s">
        <v>136</v>
      </c>
      <c r="CQ577" t="s">
        <v>114</v>
      </c>
      <c r="CR577" t="s">
        <v>136</v>
      </c>
      <c r="CS577" t="s">
        <v>136</v>
      </c>
      <c r="CT577" t="s">
        <v>136</v>
      </c>
      <c r="CU577" t="s">
        <v>136</v>
      </c>
      <c r="CV577" s="2" t="s">
        <v>15233</v>
      </c>
      <c r="CW577" s="10" t="str">
        <f>"+13082387010"</f>
        <v>+13082387010</v>
      </c>
      <c r="CX577" t="s">
        <v>132</v>
      </c>
      <c r="CY577" t="s">
        <v>3702</v>
      </c>
      <c r="CZ577" t="s">
        <v>137</v>
      </c>
      <c r="DA577" t="s">
        <v>114</v>
      </c>
      <c r="DB577" t="s">
        <v>136</v>
      </c>
      <c r="DC577" t="s">
        <v>136</v>
      </c>
      <c r="DD577" t="s">
        <v>114</v>
      </c>
    </row>
    <row r="578" spans="1:113" ht="15" customHeight="1" x14ac:dyDescent="0.25">
      <c r="A578" t="s">
        <v>21038</v>
      </c>
      <c r="B578" t="s">
        <v>152</v>
      </c>
      <c r="C578" s="1">
        <v>45233.693961805555</v>
      </c>
      <c r="D578" s="1">
        <v>45260</v>
      </c>
      <c r="E578" t="s">
        <v>132</v>
      </c>
      <c r="F578" t="s">
        <v>1595</v>
      </c>
      <c r="G578" t="str">
        <f>"37-3011.00"</f>
        <v>37-3011.00</v>
      </c>
      <c r="H578" t="s">
        <v>429</v>
      </c>
      <c r="I578">
        <v>55</v>
      </c>
      <c r="J578">
        <v>55</v>
      </c>
      <c r="K578" s="1">
        <v>45323</v>
      </c>
      <c r="L578" s="1">
        <v>45621</v>
      </c>
      <c r="M578" s="1">
        <v>45323</v>
      </c>
      <c r="N578" s="1">
        <v>45621</v>
      </c>
      <c r="O578" t="s">
        <v>116</v>
      </c>
      <c r="P578" t="s">
        <v>21039</v>
      </c>
      <c r="R578" t="s">
        <v>21040</v>
      </c>
      <c r="T578" t="s">
        <v>5840</v>
      </c>
      <c r="U578" t="s">
        <v>2608</v>
      </c>
      <c r="V578" s="8" t="str">
        <f>"73013"</f>
        <v>73013</v>
      </c>
      <c r="W578" t="s">
        <v>118</v>
      </c>
      <c r="Y578" s="10">
        <v>14052857275</v>
      </c>
      <c r="AA578">
        <v>56173</v>
      </c>
      <c r="AB578" t="s">
        <v>2296</v>
      </c>
      <c r="AC578" t="s">
        <v>5185</v>
      </c>
      <c r="AE578" t="s">
        <v>378</v>
      </c>
      <c r="AF578" t="s">
        <v>21040</v>
      </c>
      <c r="AH578" t="s">
        <v>5840</v>
      </c>
      <c r="AI578" t="s">
        <v>2608</v>
      </c>
      <c r="AJ578" s="8" t="str">
        <f>"73013"</f>
        <v>73013</v>
      </c>
      <c r="AK578" t="s">
        <v>118</v>
      </c>
      <c r="AM578" s="10">
        <v>14052857275</v>
      </c>
      <c r="AO578" t="s">
        <v>21041</v>
      </c>
      <c r="AP578" t="s">
        <v>248</v>
      </c>
      <c r="AQ578" t="s">
        <v>960</v>
      </c>
      <c r="AR578" t="s">
        <v>961</v>
      </c>
      <c r="AS578" t="s">
        <v>962</v>
      </c>
      <c r="AT578" t="s">
        <v>963</v>
      </c>
      <c r="AU578" t="s">
        <v>296</v>
      </c>
      <c r="AV578" t="s">
        <v>964</v>
      </c>
      <c r="AW578" t="s">
        <v>127</v>
      </c>
      <c r="AX578" s="8" t="str">
        <f>"75033"</f>
        <v>75033</v>
      </c>
      <c r="AY578" t="s">
        <v>118</v>
      </c>
      <c r="BA578" s="10">
        <v>19727789690</v>
      </c>
      <c r="BC578" t="s">
        <v>1388</v>
      </c>
      <c r="BD578" t="s">
        <v>966</v>
      </c>
      <c r="BG578" t="s">
        <v>2608</v>
      </c>
      <c r="BH578" s="1">
        <v>45232.833333333336</v>
      </c>
      <c r="BI578">
        <v>48</v>
      </c>
      <c r="BJ578">
        <v>0</v>
      </c>
      <c r="BK578">
        <v>8</v>
      </c>
      <c r="BL578">
        <v>8</v>
      </c>
      <c r="BM578">
        <v>8</v>
      </c>
      <c r="BN578">
        <v>8</v>
      </c>
      <c r="BO578">
        <v>8</v>
      </c>
      <c r="BP578">
        <v>8</v>
      </c>
      <c r="BQ578" t="str">
        <f>"8:00 AM"</f>
        <v>8:00 AM</v>
      </c>
      <c r="BR578" t="str">
        <f>"5:00 PM"</f>
        <v>5:00 PM</v>
      </c>
      <c r="BS578" t="s">
        <v>131</v>
      </c>
      <c r="BT578">
        <v>0</v>
      </c>
      <c r="BU578">
        <v>0</v>
      </c>
      <c r="BV578" t="s">
        <v>114</v>
      </c>
      <c r="BX578" s="2" t="s">
        <v>21042</v>
      </c>
      <c r="BY578" t="s">
        <v>21043</v>
      </c>
      <c r="CA578" t="s">
        <v>5840</v>
      </c>
      <c r="CB578" t="s">
        <v>2608</v>
      </c>
      <c r="CC578" s="8" t="str">
        <f>"73013"</f>
        <v>73013</v>
      </c>
      <c r="CD578" t="s">
        <v>3576</v>
      </c>
      <c r="CE578" t="s">
        <v>3577</v>
      </c>
      <c r="CF578" s="12">
        <v>16.149999999999999</v>
      </c>
      <c r="CG578" s="12">
        <v>16.149999999999999</v>
      </c>
      <c r="CH578" s="12">
        <v>24.23</v>
      </c>
      <c r="CI578" s="12">
        <v>24.23</v>
      </c>
      <c r="CJ578" t="s">
        <v>135</v>
      </c>
      <c r="CK578" t="s">
        <v>21044</v>
      </c>
      <c r="CL578" t="s">
        <v>21045</v>
      </c>
      <c r="CO578" t="s">
        <v>132</v>
      </c>
      <c r="CP578" t="s">
        <v>136</v>
      </c>
      <c r="CQ578" t="s">
        <v>136</v>
      </c>
      <c r="CR578" t="s">
        <v>136</v>
      </c>
      <c r="CS578" t="s">
        <v>136</v>
      </c>
      <c r="CT578" t="s">
        <v>136</v>
      </c>
      <c r="CU578" t="s">
        <v>136</v>
      </c>
      <c r="CV578" t="s">
        <v>21046</v>
      </c>
      <c r="CW578" s="10" t="str">
        <f>"+14052857275"</f>
        <v>+14052857275</v>
      </c>
      <c r="CX578" t="s">
        <v>132</v>
      </c>
      <c r="CY578" t="s">
        <v>3447</v>
      </c>
      <c r="CZ578" t="s">
        <v>137</v>
      </c>
      <c r="DA578" t="s">
        <v>114</v>
      </c>
      <c r="DB578" t="s">
        <v>136</v>
      </c>
      <c r="DC578" t="s">
        <v>136</v>
      </c>
      <c r="DD578" t="s">
        <v>114</v>
      </c>
    </row>
    <row r="579" spans="1:113" ht="15" customHeight="1" x14ac:dyDescent="0.25">
      <c r="A579" t="s">
        <v>7893</v>
      </c>
      <c r="B579" t="s">
        <v>152</v>
      </c>
      <c r="C579" s="1">
        <v>45233.651890740737</v>
      </c>
      <c r="D579" s="1">
        <v>45260</v>
      </c>
      <c r="E579" t="s">
        <v>132</v>
      </c>
      <c r="F579" t="s">
        <v>1595</v>
      </c>
      <c r="G579" t="str">
        <f>"37-3011.00"</f>
        <v>37-3011.00</v>
      </c>
      <c r="H579" t="s">
        <v>429</v>
      </c>
      <c r="I579">
        <v>9</v>
      </c>
      <c r="J579">
        <v>9</v>
      </c>
      <c r="K579" s="1">
        <v>45323</v>
      </c>
      <c r="L579" s="1">
        <v>45626</v>
      </c>
      <c r="M579" s="1">
        <v>45323</v>
      </c>
      <c r="N579" s="1">
        <v>45626</v>
      </c>
      <c r="O579" t="s">
        <v>116</v>
      </c>
      <c r="P579" t="s">
        <v>7894</v>
      </c>
      <c r="R579" t="s">
        <v>7895</v>
      </c>
      <c r="S579" t="s">
        <v>132</v>
      </c>
      <c r="T579" t="s">
        <v>3442</v>
      </c>
      <c r="U579" t="s">
        <v>127</v>
      </c>
      <c r="V579" s="8" t="str">
        <f>"77705"</f>
        <v>77705</v>
      </c>
      <c r="W579" t="s">
        <v>118</v>
      </c>
      <c r="Y579" s="10">
        <v>14098131866</v>
      </c>
      <c r="AA579">
        <v>561730</v>
      </c>
      <c r="AB579" t="s">
        <v>7896</v>
      </c>
      <c r="AC579" t="s">
        <v>1826</v>
      </c>
      <c r="AD579" t="s">
        <v>132</v>
      </c>
      <c r="AE579" t="s">
        <v>561</v>
      </c>
      <c r="AF579" t="s">
        <v>7897</v>
      </c>
      <c r="AG579" t="s">
        <v>132</v>
      </c>
      <c r="AH579" t="s">
        <v>3442</v>
      </c>
      <c r="AI579" t="s">
        <v>127</v>
      </c>
      <c r="AJ579" s="8" t="str">
        <f>"77705"</f>
        <v>77705</v>
      </c>
      <c r="AK579" t="s">
        <v>118</v>
      </c>
      <c r="AM579" s="10">
        <v>14098131866</v>
      </c>
      <c r="AO579" t="s">
        <v>7898</v>
      </c>
      <c r="AP579" t="s">
        <v>248</v>
      </c>
      <c r="AQ579" t="s">
        <v>2452</v>
      </c>
      <c r="AR579" t="s">
        <v>2453</v>
      </c>
      <c r="AS579" t="s">
        <v>515</v>
      </c>
      <c r="AT579" t="s">
        <v>2454</v>
      </c>
      <c r="AU579" t="s">
        <v>132</v>
      </c>
      <c r="AV579" t="s">
        <v>1585</v>
      </c>
      <c r="AW579" t="s">
        <v>127</v>
      </c>
      <c r="AX579" s="8" t="str">
        <f>"77414"</f>
        <v>77414</v>
      </c>
      <c r="AY579" t="s">
        <v>118</v>
      </c>
      <c r="BA579" s="10">
        <v>19793187278</v>
      </c>
      <c r="BC579" t="s">
        <v>2455</v>
      </c>
      <c r="BD579" t="s">
        <v>1587</v>
      </c>
      <c r="BG579" t="s">
        <v>127</v>
      </c>
      <c r="BH579" s="1">
        <v>45232.833333333336</v>
      </c>
      <c r="BI579">
        <v>40</v>
      </c>
      <c r="BJ579">
        <v>0</v>
      </c>
      <c r="BK579">
        <v>8</v>
      </c>
      <c r="BL579">
        <v>8</v>
      </c>
      <c r="BM579">
        <v>8</v>
      </c>
      <c r="BN579">
        <v>8</v>
      </c>
      <c r="BO579">
        <v>8</v>
      </c>
      <c r="BP579">
        <v>0</v>
      </c>
      <c r="BQ579" t="str">
        <f>"7:30 AM"</f>
        <v>7:30 AM</v>
      </c>
      <c r="BR579" t="str">
        <f>"4:00 PM"</f>
        <v>4:00 PM</v>
      </c>
      <c r="BS579" t="s">
        <v>131</v>
      </c>
      <c r="BT579">
        <v>0</v>
      </c>
      <c r="BU579">
        <v>0</v>
      </c>
      <c r="BV579" t="s">
        <v>114</v>
      </c>
      <c r="BX579" s="2" t="s">
        <v>7899</v>
      </c>
      <c r="BY579" t="s">
        <v>7895</v>
      </c>
      <c r="BZ579" t="s">
        <v>132</v>
      </c>
      <c r="CA579" t="s">
        <v>3442</v>
      </c>
      <c r="CB579" t="s">
        <v>127</v>
      </c>
      <c r="CC579" s="8" t="str">
        <f>"77705"</f>
        <v>77705</v>
      </c>
      <c r="CD579" t="s">
        <v>1767</v>
      </c>
      <c r="CE579" t="s">
        <v>2433</v>
      </c>
      <c r="CF579" s="12">
        <v>14.96</v>
      </c>
      <c r="CH579" s="12">
        <v>22.44</v>
      </c>
      <c r="CJ579" t="s">
        <v>135</v>
      </c>
      <c r="CK579" t="s">
        <v>3584</v>
      </c>
      <c r="CL579" t="s">
        <v>7900</v>
      </c>
      <c r="CO579" t="s">
        <v>132</v>
      </c>
      <c r="CP579" t="s">
        <v>136</v>
      </c>
      <c r="CQ579" t="s">
        <v>136</v>
      </c>
      <c r="CR579" t="s">
        <v>136</v>
      </c>
      <c r="CS579" t="s">
        <v>136</v>
      </c>
      <c r="CT579" t="s">
        <v>136</v>
      </c>
      <c r="CU579" t="s">
        <v>136</v>
      </c>
      <c r="CV579" t="s">
        <v>7901</v>
      </c>
      <c r="CW579" s="10" t="str">
        <f>"+14098131866"</f>
        <v>+14098131866</v>
      </c>
      <c r="CX579" t="s">
        <v>7898</v>
      </c>
      <c r="CY579" t="s">
        <v>132</v>
      </c>
      <c r="CZ579" t="s">
        <v>137</v>
      </c>
      <c r="DA579" t="s">
        <v>114</v>
      </c>
      <c r="DB579" t="s">
        <v>114</v>
      </c>
      <c r="DC579" t="s">
        <v>136</v>
      </c>
      <c r="DD579" t="s">
        <v>114</v>
      </c>
    </row>
    <row r="580" spans="1:113" ht="15" customHeight="1" x14ac:dyDescent="0.25">
      <c r="A580" t="s">
        <v>2877</v>
      </c>
      <c r="B580" t="s">
        <v>152</v>
      </c>
      <c r="C580" s="1">
        <v>45233.561698263889</v>
      </c>
      <c r="D580" s="1">
        <v>45260</v>
      </c>
      <c r="E580" t="s">
        <v>132</v>
      </c>
      <c r="F580" t="s">
        <v>1595</v>
      </c>
      <c r="G580" t="str">
        <f>"37-3011.00"</f>
        <v>37-3011.00</v>
      </c>
      <c r="H580" t="s">
        <v>429</v>
      </c>
      <c r="I580">
        <v>6</v>
      </c>
      <c r="J580">
        <v>6</v>
      </c>
      <c r="K580" s="1">
        <v>45323</v>
      </c>
      <c r="L580" s="1">
        <v>45625</v>
      </c>
      <c r="M580" s="1">
        <v>45323</v>
      </c>
      <c r="N580" s="1">
        <v>45625</v>
      </c>
      <c r="O580" t="s">
        <v>116</v>
      </c>
      <c r="P580" t="s">
        <v>2878</v>
      </c>
      <c r="R580" t="s">
        <v>2879</v>
      </c>
      <c r="T580" t="s">
        <v>2880</v>
      </c>
      <c r="U580" t="s">
        <v>127</v>
      </c>
      <c r="V580" s="8" t="str">
        <f>"77833"</f>
        <v>77833</v>
      </c>
      <c r="W580" t="s">
        <v>118</v>
      </c>
      <c r="Y580" s="10">
        <v>19792772145</v>
      </c>
      <c r="AA580">
        <v>56173</v>
      </c>
      <c r="AB580" t="s">
        <v>2881</v>
      </c>
      <c r="AC580" t="s">
        <v>250</v>
      </c>
      <c r="AE580" t="s">
        <v>561</v>
      </c>
      <c r="AF580" t="s">
        <v>2879</v>
      </c>
      <c r="AH580" t="s">
        <v>2880</v>
      </c>
      <c r="AI580" t="s">
        <v>127</v>
      </c>
      <c r="AJ580" s="8" t="str">
        <f>"77833"</f>
        <v>77833</v>
      </c>
      <c r="AK580" t="s">
        <v>118</v>
      </c>
      <c r="AM580" s="10">
        <v>19792772145</v>
      </c>
      <c r="AO580" t="s">
        <v>132</v>
      </c>
      <c r="AP580" t="s">
        <v>248</v>
      </c>
      <c r="AQ580" t="s">
        <v>2882</v>
      </c>
      <c r="AR580" t="s">
        <v>826</v>
      </c>
      <c r="AT580" t="s">
        <v>2883</v>
      </c>
      <c r="AV580" t="s">
        <v>2884</v>
      </c>
      <c r="AW580" t="s">
        <v>127</v>
      </c>
      <c r="AX580" s="8" t="str">
        <f>"75442"</f>
        <v>75442</v>
      </c>
      <c r="AY580" t="s">
        <v>118</v>
      </c>
      <c r="BA580" s="10">
        <v>14692388392</v>
      </c>
      <c r="BC580" t="s">
        <v>2885</v>
      </c>
      <c r="BD580" t="s">
        <v>2886</v>
      </c>
      <c r="BG580" t="s">
        <v>127</v>
      </c>
      <c r="BH580" s="1">
        <v>45232.833333333336</v>
      </c>
      <c r="BI580">
        <v>40</v>
      </c>
      <c r="BJ580">
        <v>0</v>
      </c>
      <c r="BK580">
        <v>8</v>
      </c>
      <c r="BL580">
        <v>8</v>
      </c>
      <c r="BM580">
        <v>8</v>
      </c>
      <c r="BN580">
        <v>8</v>
      </c>
      <c r="BO580">
        <v>8</v>
      </c>
      <c r="BP580">
        <v>0</v>
      </c>
      <c r="BQ580" t="str">
        <f>"8:00 AM"</f>
        <v>8:00 AM</v>
      </c>
      <c r="BR580" t="str">
        <f>"5:00 PM"</f>
        <v>5:00 PM</v>
      </c>
      <c r="BS580" t="s">
        <v>131</v>
      </c>
      <c r="BT580">
        <v>0</v>
      </c>
      <c r="BU580">
        <v>1</v>
      </c>
      <c r="BV580" t="s">
        <v>114</v>
      </c>
      <c r="BX580" s="2" t="s">
        <v>2887</v>
      </c>
      <c r="BY580" t="s">
        <v>2879</v>
      </c>
      <c r="CA580" t="s">
        <v>2880</v>
      </c>
      <c r="CB580" t="s">
        <v>127</v>
      </c>
      <c r="CC580" s="8" t="str">
        <f>"77833"</f>
        <v>77833</v>
      </c>
      <c r="CD580" t="s">
        <v>806</v>
      </c>
      <c r="CE580" t="s">
        <v>619</v>
      </c>
      <c r="CF580" s="12">
        <v>14.62</v>
      </c>
      <c r="CH580" s="12">
        <v>21.93</v>
      </c>
      <c r="CJ580" t="s">
        <v>135</v>
      </c>
      <c r="CK580" t="s">
        <v>2888</v>
      </c>
      <c r="CL580" t="s">
        <v>2889</v>
      </c>
      <c r="CO580" t="s">
        <v>132</v>
      </c>
      <c r="CP580" t="s">
        <v>136</v>
      </c>
      <c r="CQ580" t="s">
        <v>136</v>
      </c>
      <c r="CR580" t="s">
        <v>136</v>
      </c>
      <c r="CS580" t="s">
        <v>136</v>
      </c>
      <c r="CT580" t="s">
        <v>136</v>
      </c>
      <c r="CU580" t="s">
        <v>114</v>
      </c>
      <c r="CV580" t="s">
        <v>2890</v>
      </c>
      <c r="CW580" s="10" t="str">
        <f>"+19792772145"</f>
        <v>+19792772145</v>
      </c>
      <c r="CX580" t="s">
        <v>2891</v>
      </c>
      <c r="CY580" t="s">
        <v>132</v>
      </c>
      <c r="CZ580" t="s">
        <v>137</v>
      </c>
      <c r="DA580" t="s">
        <v>114</v>
      </c>
      <c r="DB580" t="s">
        <v>114</v>
      </c>
      <c r="DC580" t="s">
        <v>136</v>
      </c>
      <c r="DD580" t="s">
        <v>114</v>
      </c>
    </row>
    <row r="581" spans="1:113" ht="15" customHeight="1" x14ac:dyDescent="0.25">
      <c r="A581" t="s">
        <v>5826</v>
      </c>
      <c r="B581" t="s">
        <v>152</v>
      </c>
      <c r="C581" s="1">
        <v>45233.519250694444</v>
      </c>
      <c r="D581" s="1">
        <v>45260</v>
      </c>
      <c r="E581" t="s">
        <v>132</v>
      </c>
      <c r="F581" t="s">
        <v>3098</v>
      </c>
      <c r="G581" t="str">
        <f>"35-3023.00"</f>
        <v>35-3023.00</v>
      </c>
      <c r="H581" t="s">
        <v>1365</v>
      </c>
      <c r="I581">
        <v>25</v>
      </c>
      <c r="J581">
        <v>25</v>
      </c>
      <c r="K581" s="1">
        <v>45323</v>
      </c>
      <c r="L581" s="1">
        <v>45596</v>
      </c>
      <c r="M581" s="1">
        <v>45323</v>
      </c>
      <c r="N581" s="1">
        <v>45596</v>
      </c>
      <c r="O581" t="s">
        <v>238</v>
      </c>
      <c r="P581" t="s">
        <v>5827</v>
      </c>
      <c r="R581" t="s">
        <v>5828</v>
      </c>
      <c r="S581" t="s">
        <v>5829</v>
      </c>
      <c r="T581" t="s">
        <v>5830</v>
      </c>
      <c r="U581" t="s">
        <v>2608</v>
      </c>
      <c r="V581" s="8" t="str">
        <f>"73082"</f>
        <v>73082</v>
      </c>
      <c r="W581" t="s">
        <v>118</v>
      </c>
      <c r="Y581" s="10">
        <v>15804762662</v>
      </c>
      <c r="Z581" s="3" t="s">
        <v>256</v>
      </c>
      <c r="AA581">
        <v>711190</v>
      </c>
      <c r="AB581" t="s">
        <v>5831</v>
      </c>
      <c r="AC581" t="s">
        <v>1348</v>
      </c>
      <c r="AE581" t="s">
        <v>5832</v>
      </c>
      <c r="AF581" t="s">
        <v>5828</v>
      </c>
      <c r="AG581" t="s">
        <v>5829</v>
      </c>
      <c r="AH581" t="s">
        <v>5830</v>
      </c>
      <c r="AI581" t="s">
        <v>2608</v>
      </c>
      <c r="AJ581" s="8" t="str">
        <f>"73082"</f>
        <v>73082</v>
      </c>
      <c r="AK581" t="s">
        <v>118</v>
      </c>
      <c r="AM581" s="10">
        <v>14052294945</v>
      </c>
      <c r="AN581" s="3" t="s">
        <v>256</v>
      </c>
      <c r="AO581" t="s">
        <v>5833</v>
      </c>
      <c r="AP581" t="s">
        <v>248</v>
      </c>
      <c r="AQ581" t="s">
        <v>249</v>
      </c>
      <c r="AR581" t="s">
        <v>250</v>
      </c>
      <c r="AS581" t="s">
        <v>251</v>
      </c>
      <c r="AT581" t="s">
        <v>252</v>
      </c>
      <c r="AU581" t="s">
        <v>253</v>
      </c>
      <c r="AV581" t="s">
        <v>254</v>
      </c>
      <c r="AW581" t="s">
        <v>127</v>
      </c>
      <c r="AX581" s="8" t="str">
        <f>"78550"</f>
        <v>78550</v>
      </c>
      <c r="AY581" t="s">
        <v>118</v>
      </c>
      <c r="AZ581" t="s">
        <v>255</v>
      </c>
      <c r="BA581" s="10">
        <v>19564408720</v>
      </c>
      <c r="BB581" s="3" t="s">
        <v>256</v>
      </c>
      <c r="BC581" t="s">
        <v>338</v>
      </c>
      <c r="BD581" t="s">
        <v>258</v>
      </c>
      <c r="BG581" t="s">
        <v>2608</v>
      </c>
      <c r="BH581" s="1">
        <v>45232.833333333336</v>
      </c>
      <c r="BI581">
        <v>40</v>
      </c>
      <c r="BJ581">
        <v>8</v>
      </c>
      <c r="BK581">
        <v>0</v>
      </c>
      <c r="BL581">
        <v>0</v>
      </c>
      <c r="BM581">
        <v>8</v>
      </c>
      <c r="BN581">
        <v>8</v>
      </c>
      <c r="BO581">
        <v>8</v>
      </c>
      <c r="BP581">
        <v>8</v>
      </c>
      <c r="BQ581" t="str">
        <f>"1:00 PM"</f>
        <v>1:00 PM</v>
      </c>
      <c r="BR581" t="str">
        <f>"10:00 PM"</f>
        <v>10:00 PM</v>
      </c>
      <c r="BS581" t="s">
        <v>131</v>
      </c>
      <c r="BT581">
        <v>0</v>
      </c>
      <c r="BU581">
        <v>0</v>
      </c>
      <c r="BV581" t="s">
        <v>114</v>
      </c>
      <c r="BX581" s="2" t="s">
        <v>2396</v>
      </c>
      <c r="BY581" t="s">
        <v>5834</v>
      </c>
      <c r="CA581" t="s">
        <v>5835</v>
      </c>
      <c r="CB581" t="s">
        <v>2608</v>
      </c>
      <c r="CC581" s="8" t="str">
        <f>"73082"</f>
        <v>73082</v>
      </c>
      <c r="CD581" t="s">
        <v>5836</v>
      </c>
      <c r="CE581" t="s">
        <v>3577</v>
      </c>
      <c r="CF581" s="12">
        <v>10.43</v>
      </c>
      <c r="CG581" s="12">
        <v>12.36</v>
      </c>
      <c r="CJ581" t="s">
        <v>135</v>
      </c>
      <c r="CK581" t="s">
        <v>342</v>
      </c>
      <c r="CL581" t="s">
        <v>5837</v>
      </c>
      <c r="CO581" t="s">
        <v>132</v>
      </c>
      <c r="CP581" t="s">
        <v>136</v>
      </c>
      <c r="CQ581" t="s">
        <v>136</v>
      </c>
      <c r="CR581" t="s">
        <v>114</v>
      </c>
      <c r="CS581" t="s">
        <v>136</v>
      </c>
      <c r="CT581" t="s">
        <v>136</v>
      </c>
      <c r="CU581" t="s">
        <v>136</v>
      </c>
      <c r="CV581" t="s">
        <v>5838</v>
      </c>
      <c r="CW581" s="10" t="str">
        <f>"+14052294945"</f>
        <v>+14052294945</v>
      </c>
      <c r="CX581" t="s">
        <v>5839</v>
      </c>
      <c r="CY581" t="s">
        <v>132</v>
      </c>
      <c r="CZ581" t="s">
        <v>137</v>
      </c>
      <c r="DA581" t="s">
        <v>114</v>
      </c>
      <c r="DB581" t="s">
        <v>136</v>
      </c>
      <c r="DC581" t="s">
        <v>136</v>
      </c>
      <c r="DD581" t="s">
        <v>114</v>
      </c>
    </row>
    <row r="582" spans="1:113" ht="15" customHeight="1" x14ac:dyDescent="0.25">
      <c r="A582" t="s">
        <v>5504</v>
      </c>
      <c r="B582" t="s">
        <v>152</v>
      </c>
      <c r="C582" s="1">
        <v>45233.518073842592</v>
      </c>
      <c r="D582" s="1">
        <v>45260</v>
      </c>
      <c r="E582" t="s">
        <v>132</v>
      </c>
      <c r="F582" t="s">
        <v>2020</v>
      </c>
      <c r="G582" t="str">
        <f>"37-3011.00"</f>
        <v>37-3011.00</v>
      </c>
      <c r="H582" t="s">
        <v>429</v>
      </c>
      <c r="I582">
        <v>17</v>
      </c>
      <c r="J582">
        <v>17</v>
      </c>
      <c r="K582" s="1">
        <v>45323</v>
      </c>
      <c r="L582" s="1">
        <v>45585</v>
      </c>
      <c r="M582" s="1">
        <v>45323</v>
      </c>
      <c r="N582" s="1">
        <v>45585</v>
      </c>
      <c r="O582" t="s">
        <v>116</v>
      </c>
      <c r="P582" t="s">
        <v>5505</v>
      </c>
      <c r="R582" t="s">
        <v>5506</v>
      </c>
      <c r="T582" t="s">
        <v>4139</v>
      </c>
      <c r="U582" t="s">
        <v>543</v>
      </c>
      <c r="V582" s="8" t="str">
        <f>"45241"</f>
        <v>45241</v>
      </c>
      <c r="W582" t="s">
        <v>118</v>
      </c>
      <c r="Y582" s="10">
        <v>18005700213</v>
      </c>
      <c r="AA582">
        <v>56173</v>
      </c>
      <c r="AB582" t="s">
        <v>5437</v>
      </c>
      <c r="AC582" t="s">
        <v>2787</v>
      </c>
      <c r="AD582" t="s">
        <v>5507</v>
      </c>
      <c r="AE582" t="s">
        <v>5508</v>
      </c>
      <c r="AF582" t="s">
        <v>5506</v>
      </c>
      <c r="AH582" t="s">
        <v>4139</v>
      </c>
      <c r="AI582" t="s">
        <v>543</v>
      </c>
      <c r="AJ582" s="8" t="str">
        <f>"45241"</f>
        <v>45241</v>
      </c>
      <c r="AK582" t="s">
        <v>118</v>
      </c>
      <c r="AM582" s="10">
        <v>18005700213</v>
      </c>
      <c r="AO582" t="s">
        <v>132</v>
      </c>
      <c r="AP582" t="s">
        <v>248</v>
      </c>
      <c r="AQ582" t="s">
        <v>2132</v>
      </c>
      <c r="AR582" t="s">
        <v>2133</v>
      </c>
      <c r="AT582" t="s">
        <v>1350</v>
      </c>
      <c r="AU582" t="s">
        <v>1351</v>
      </c>
      <c r="AV582" t="s">
        <v>1352</v>
      </c>
      <c r="AW582" t="s">
        <v>581</v>
      </c>
      <c r="AX582" s="8" t="str">
        <f>"22949"</f>
        <v>22949</v>
      </c>
      <c r="AY582" t="s">
        <v>118</v>
      </c>
      <c r="BA582" s="10">
        <v>14342634300</v>
      </c>
      <c r="BC582" t="s">
        <v>1353</v>
      </c>
      <c r="BD582" t="s">
        <v>583</v>
      </c>
      <c r="BG582" t="s">
        <v>543</v>
      </c>
      <c r="BH582" s="1">
        <v>45232.833333333336</v>
      </c>
      <c r="BI582">
        <v>40</v>
      </c>
      <c r="BJ582">
        <v>0</v>
      </c>
      <c r="BK582">
        <v>8</v>
      </c>
      <c r="BL582">
        <v>8</v>
      </c>
      <c r="BM582">
        <v>8</v>
      </c>
      <c r="BN582">
        <v>8</v>
      </c>
      <c r="BO582">
        <v>8</v>
      </c>
      <c r="BP582">
        <v>0</v>
      </c>
      <c r="BQ582" t="str">
        <f>"7:00 AM"</f>
        <v>7:00 AM</v>
      </c>
      <c r="BR582" t="str">
        <f>"3:30 PM"</f>
        <v>3:30 PM</v>
      </c>
      <c r="BS582" t="s">
        <v>131</v>
      </c>
      <c r="BT582">
        <v>0</v>
      </c>
      <c r="BU582">
        <v>0</v>
      </c>
      <c r="BV582" t="s">
        <v>114</v>
      </c>
      <c r="BX582" s="2" t="s">
        <v>5509</v>
      </c>
      <c r="BY582" t="s">
        <v>5510</v>
      </c>
      <c r="CA582" t="s">
        <v>3592</v>
      </c>
      <c r="CB582" t="s">
        <v>543</v>
      </c>
      <c r="CC582" s="8" t="str">
        <f>"45439"</f>
        <v>45439</v>
      </c>
      <c r="CD582" t="s">
        <v>878</v>
      </c>
      <c r="CE582" t="s">
        <v>3593</v>
      </c>
      <c r="CF582" s="12">
        <v>17.14</v>
      </c>
      <c r="CG582" s="12">
        <v>17.14</v>
      </c>
      <c r="CH582" s="12">
        <v>25.71</v>
      </c>
      <c r="CI582" s="12">
        <v>25.71</v>
      </c>
      <c r="CJ582" t="s">
        <v>135</v>
      </c>
      <c r="CK582" t="s">
        <v>590</v>
      </c>
      <c r="CL582" t="s">
        <v>5511</v>
      </c>
      <c r="CO582" t="s">
        <v>132</v>
      </c>
      <c r="CP582" t="s">
        <v>136</v>
      </c>
      <c r="CQ582" t="s">
        <v>114</v>
      </c>
      <c r="CR582" t="s">
        <v>136</v>
      </c>
      <c r="CS582" t="s">
        <v>136</v>
      </c>
      <c r="CT582" t="s">
        <v>136</v>
      </c>
      <c r="CU582" t="s">
        <v>136</v>
      </c>
      <c r="CV582" t="s">
        <v>5493</v>
      </c>
      <c r="CW582" s="10" t="str">
        <f>"+15135155114"</f>
        <v>+15135155114</v>
      </c>
      <c r="CX582" t="s">
        <v>132</v>
      </c>
      <c r="CY582" t="s">
        <v>2025</v>
      </c>
      <c r="CZ582" t="s">
        <v>137</v>
      </c>
      <c r="DA582" t="s">
        <v>114</v>
      </c>
      <c r="DB582" t="s">
        <v>136</v>
      </c>
      <c r="DC582" t="s">
        <v>136</v>
      </c>
      <c r="DD582" t="s">
        <v>114</v>
      </c>
      <c r="DE582" t="s">
        <v>1361</v>
      </c>
      <c r="DF582" t="s">
        <v>1362</v>
      </c>
      <c r="DH582" t="s">
        <v>583</v>
      </c>
      <c r="DI582" t="s">
        <v>1353</v>
      </c>
    </row>
    <row r="583" spans="1:113" ht="15" customHeight="1" x14ac:dyDescent="0.25">
      <c r="A583" t="s">
        <v>12434</v>
      </c>
      <c r="B583" t="s">
        <v>152</v>
      </c>
      <c r="C583" s="1">
        <v>45233.488062037039</v>
      </c>
      <c r="D583" s="1">
        <v>45260</v>
      </c>
      <c r="E583" t="s">
        <v>132</v>
      </c>
      <c r="F583" t="s">
        <v>1595</v>
      </c>
      <c r="G583" t="str">
        <f>"37-3011.00"</f>
        <v>37-3011.00</v>
      </c>
      <c r="H583" t="s">
        <v>429</v>
      </c>
      <c r="I583">
        <v>10</v>
      </c>
      <c r="J583">
        <v>10</v>
      </c>
      <c r="K583" s="1">
        <v>45323</v>
      </c>
      <c r="L583" s="1">
        <v>45599</v>
      </c>
      <c r="M583" s="1">
        <v>45323</v>
      </c>
      <c r="N583" s="1">
        <v>45599</v>
      </c>
      <c r="O583" t="s">
        <v>116</v>
      </c>
      <c r="P583" t="s">
        <v>12435</v>
      </c>
      <c r="R583" t="s">
        <v>12436</v>
      </c>
      <c r="T583" t="s">
        <v>2564</v>
      </c>
      <c r="U583" t="s">
        <v>127</v>
      </c>
      <c r="V583" s="8" t="str">
        <f>"77040"</f>
        <v>77040</v>
      </c>
      <c r="W583" t="s">
        <v>118</v>
      </c>
      <c r="Y583" s="10">
        <v>17134661420</v>
      </c>
      <c r="AA583">
        <v>56173</v>
      </c>
      <c r="AB583" t="s">
        <v>10731</v>
      </c>
      <c r="AC583" t="s">
        <v>2432</v>
      </c>
      <c r="AE583" t="s">
        <v>1349</v>
      </c>
      <c r="AF583" t="s">
        <v>12436</v>
      </c>
      <c r="AH583" t="s">
        <v>2564</v>
      </c>
      <c r="AI583" t="s">
        <v>127</v>
      </c>
      <c r="AJ583" s="8" t="str">
        <f>"77040"</f>
        <v>77040</v>
      </c>
      <c r="AK583" t="s">
        <v>118</v>
      </c>
      <c r="AM583" s="10">
        <v>17134661420</v>
      </c>
      <c r="AO583" t="s">
        <v>132</v>
      </c>
      <c r="AP583" t="s">
        <v>248</v>
      </c>
      <c r="AQ583" t="s">
        <v>2132</v>
      </c>
      <c r="AR583" t="s">
        <v>2133</v>
      </c>
      <c r="AT583" t="s">
        <v>1350</v>
      </c>
      <c r="AU583" t="s">
        <v>1351</v>
      </c>
      <c r="AV583" t="s">
        <v>1352</v>
      </c>
      <c r="AW583" t="s">
        <v>581</v>
      </c>
      <c r="AX583" s="8" t="str">
        <f>"22949"</f>
        <v>22949</v>
      </c>
      <c r="AY583" t="s">
        <v>118</v>
      </c>
      <c r="BA583" s="10">
        <v>14342634300</v>
      </c>
      <c r="BC583" t="s">
        <v>1353</v>
      </c>
      <c r="BD583" t="s">
        <v>583</v>
      </c>
      <c r="BG583" t="s">
        <v>127</v>
      </c>
      <c r="BH583" s="1">
        <v>45232.833333333336</v>
      </c>
      <c r="BI583">
        <v>40</v>
      </c>
      <c r="BJ583">
        <v>0</v>
      </c>
      <c r="BK583">
        <v>8</v>
      </c>
      <c r="BL583">
        <v>8</v>
      </c>
      <c r="BM583">
        <v>8</v>
      </c>
      <c r="BN583">
        <v>8</v>
      </c>
      <c r="BO583">
        <v>8</v>
      </c>
      <c r="BP583">
        <v>0</v>
      </c>
      <c r="BQ583" t="str">
        <f>"6:00 AM"</f>
        <v>6:00 AM</v>
      </c>
      <c r="BR583" t="str">
        <f>"3:00 PM"</f>
        <v>3:00 PM</v>
      </c>
      <c r="BS583" t="s">
        <v>131</v>
      </c>
      <c r="BT583">
        <v>0</v>
      </c>
      <c r="BU583">
        <v>0</v>
      </c>
      <c r="BV583" t="s">
        <v>114</v>
      </c>
      <c r="BX583" s="2" t="s">
        <v>5616</v>
      </c>
      <c r="BY583" t="s">
        <v>12437</v>
      </c>
      <c r="CA583" t="s">
        <v>126</v>
      </c>
      <c r="CB583" t="s">
        <v>127</v>
      </c>
      <c r="CC583" s="8" t="str">
        <f>"78263"</f>
        <v>78263</v>
      </c>
      <c r="CD583" t="s">
        <v>1941</v>
      </c>
      <c r="CE583" t="s">
        <v>1287</v>
      </c>
      <c r="CF583" s="12">
        <v>15.69</v>
      </c>
      <c r="CG583" s="12">
        <v>15.69</v>
      </c>
      <c r="CH583" s="12">
        <v>23.54</v>
      </c>
      <c r="CI583" s="12">
        <v>23.54</v>
      </c>
      <c r="CJ583" t="s">
        <v>135</v>
      </c>
      <c r="CK583" t="s">
        <v>590</v>
      </c>
      <c r="CL583" t="s">
        <v>12438</v>
      </c>
      <c r="CO583" t="s">
        <v>132</v>
      </c>
      <c r="CP583" t="s">
        <v>136</v>
      </c>
      <c r="CQ583" t="s">
        <v>114</v>
      </c>
      <c r="CR583" t="s">
        <v>136</v>
      </c>
      <c r="CS583" t="s">
        <v>136</v>
      </c>
      <c r="CT583" t="s">
        <v>136</v>
      </c>
      <c r="CU583" t="s">
        <v>136</v>
      </c>
      <c r="CV583" t="s">
        <v>12439</v>
      </c>
      <c r="CW583" s="10" t="str">
        <f>"N/A"</f>
        <v>N/A</v>
      </c>
      <c r="CX583" t="s">
        <v>12440</v>
      </c>
      <c r="CY583" t="s">
        <v>1853</v>
      </c>
      <c r="CZ583" t="s">
        <v>137</v>
      </c>
      <c r="DA583" t="s">
        <v>114</v>
      </c>
      <c r="DB583" t="s">
        <v>136</v>
      </c>
      <c r="DC583" t="s">
        <v>136</v>
      </c>
      <c r="DD583" t="s">
        <v>114</v>
      </c>
      <c r="DE583" t="s">
        <v>1361</v>
      </c>
      <c r="DF583" t="s">
        <v>1362</v>
      </c>
      <c r="DH583" t="s">
        <v>583</v>
      </c>
      <c r="DI583" t="s">
        <v>1353</v>
      </c>
    </row>
    <row r="584" spans="1:113" ht="15" customHeight="1" x14ac:dyDescent="0.25">
      <c r="A584" t="s">
        <v>19769</v>
      </c>
      <c r="B584" t="s">
        <v>152</v>
      </c>
      <c r="C584" s="1">
        <v>45233.441069791668</v>
      </c>
      <c r="D584" s="1">
        <v>45260</v>
      </c>
      <c r="E584" t="s">
        <v>132</v>
      </c>
      <c r="F584" t="s">
        <v>1230</v>
      </c>
      <c r="G584" t="str">
        <f>"47-3016.00"</f>
        <v>47-3016.00</v>
      </c>
      <c r="H584" t="s">
        <v>370</v>
      </c>
      <c r="I584">
        <v>5</v>
      </c>
      <c r="J584">
        <v>5</v>
      </c>
      <c r="K584" s="1">
        <v>45323</v>
      </c>
      <c r="L584" s="1">
        <v>45596</v>
      </c>
      <c r="M584" s="1">
        <v>45323</v>
      </c>
      <c r="N584" s="1">
        <v>45596</v>
      </c>
      <c r="O584" t="s">
        <v>116</v>
      </c>
      <c r="P584" t="s">
        <v>19770</v>
      </c>
      <c r="R584" t="s">
        <v>19771</v>
      </c>
      <c r="S584" t="s">
        <v>132</v>
      </c>
      <c r="T584" t="s">
        <v>1814</v>
      </c>
      <c r="U584" t="s">
        <v>333</v>
      </c>
      <c r="V584" s="8" t="str">
        <f>"70817"</f>
        <v>70817</v>
      </c>
      <c r="W584" t="s">
        <v>118</v>
      </c>
      <c r="Y584" s="10">
        <v>12254024393</v>
      </c>
      <c r="AA584">
        <v>236115</v>
      </c>
      <c r="AB584" t="s">
        <v>19772</v>
      </c>
      <c r="AC584" t="s">
        <v>19773</v>
      </c>
      <c r="AE584" t="s">
        <v>987</v>
      </c>
      <c r="AF584" t="s">
        <v>19771</v>
      </c>
      <c r="AG584" t="s">
        <v>132</v>
      </c>
      <c r="AH584" t="s">
        <v>1814</v>
      </c>
      <c r="AI584" t="s">
        <v>333</v>
      </c>
      <c r="AJ584" s="8" t="str">
        <f>"70817"</f>
        <v>70817</v>
      </c>
      <c r="AK584" t="s">
        <v>118</v>
      </c>
      <c r="AM584" s="10">
        <v>12254024393</v>
      </c>
      <c r="AO584" t="s">
        <v>19774</v>
      </c>
      <c r="AP584" t="s">
        <v>248</v>
      </c>
      <c r="AQ584" t="s">
        <v>1582</v>
      </c>
      <c r="AR584" t="s">
        <v>1583</v>
      </c>
      <c r="AS584" t="s">
        <v>631</v>
      </c>
      <c r="AT584" t="s">
        <v>1584</v>
      </c>
      <c r="AU584" t="s">
        <v>132</v>
      </c>
      <c r="AV584" t="s">
        <v>1585</v>
      </c>
      <c r="AW584" t="s">
        <v>127</v>
      </c>
      <c r="AX584" s="8" t="str">
        <f>"77414"</f>
        <v>77414</v>
      </c>
      <c r="AY584" t="s">
        <v>118</v>
      </c>
      <c r="BA584" s="10">
        <v>19793187280</v>
      </c>
      <c r="BC584" t="s">
        <v>1586</v>
      </c>
      <c r="BD584" t="s">
        <v>1587</v>
      </c>
      <c r="BG584" t="s">
        <v>333</v>
      </c>
      <c r="BH584" s="1">
        <v>45232.833333333336</v>
      </c>
      <c r="BI584">
        <v>40</v>
      </c>
      <c r="BJ584">
        <v>0</v>
      </c>
      <c r="BK584">
        <v>8</v>
      </c>
      <c r="BL584">
        <v>8</v>
      </c>
      <c r="BM584">
        <v>8</v>
      </c>
      <c r="BN584">
        <v>8</v>
      </c>
      <c r="BO584">
        <v>8</v>
      </c>
      <c r="BP584">
        <v>0</v>
      </c>
      <c r="BQ584" t="str">
        <f>"6:00 AM"</f>
        <v>6:00 AM</v>
      </c>
      <c r="BR584" t="str">
        <f>"3:00 PM"</f>
        <v>3:00 PM</v>
      </c>
      <c r="BS584" t="s">
        <v>131</v>
      </c>
      <c r="BT584">
        <v>0</v>
      </c>
      <c r="BU584">
        <v>0</v>
      </c>
      <c r="BV584" t="s">
        <v>114</v>
      </c>
      <c r="BX584" s="2" t="s">
        <v>19775</v>
      </c>
      <c r="BY584" t="s">
        <v>19771</v>
      </c>
      <c r="BZ584" t="s">
        <v>132</v>
      </c>
      <c r="CA584" t="s">
        <v>1814</v>
      </c>
      <c r="CB584" t="s">
        <v>333</v>
      </c>
      <c r="CC584" s="8" t="str">
        <f>"70817"</f>
        <v>70817</v>
      </c>
      <c r="CD584" t="s">
        <v>1929</v>
      </c>
      <c r="CE584" t="s">
        <v>1930</v>
      </c>
      <c r="CF584" s="12">
        <v>19.27</v>
      </c>
      <c r="CH584" s="12">
        <v>28.91</v>
      </c>
      <c r="CJ584" t="s">
        <v>135</v>
      </c>
      <c r="CK584" t="s">
        <v>19776</v>
      </c>
      <c r="CL584" t="s">
        <v>19777</v>
      </c>
      <c r="CO584" t="s">
        <v>132</v>
      </c>
      <c r="CP584" t="s">
        <v>136</v>
      </c>
      <c r="CQ584" t="s">
        <v>136</v>
      </c>
      <c r="CR584" t="s">
        <v>136</v>
      </c>
      <c r="CS584" t="s">
        <v>136</v>
      </c>
      <c r="CT584" t="s">
        <v>136</v>
      </c>
      <c r="CU584" t="s">
        <v>136</v>
      </c>
      <c r="CV584" t="s">
        <v>19778</v>
      </c>
      <c r="CW584" s="10" t="str">
        <f>"+12259304553"</f>
        <v>+12259304553</v>
      </c>
      <c r="CX584" t="s">
        <v>19774</v>
      </c>
      <c r="CY584" t="s">
        <v>132</v>
      </c>
      <c r="CZ584" t="s">
        <v>137</v>
      </c>
      <c r="DA584" t="s">
        <v>114</v>
      </c>
      <c r="DB584" t="s">
        <v>114</v>
      </c>
      <c r="DC584" t="s">
        <v>136</v>
      </c>
      <c r="DD584" t="s">
        <v>114</v>
      </c>
    </row>
    <row r="585" spans="1:113" ht="15" customHeight="1" x14ac:dyDescent="0.25">
      <c r="A585" t="s">
        <v>22945</v>
      </c>
      <c r="B585" t="s">
        <v>152</v>
      </c>
      <c r="C585" s="1">
        <v>45233.429559259261</v>
      </c>
      <c r="D585" s="1">
        <v>45260</v>
      </c>
      <c r="E585" t="s">
        <v>132</v>
      </c>
      <c r="F585" t="s">
        <v>1668</v>
      </c>
      <c r="G585" t="str">
        <f>"35-9021.00"</f>
        <v>35-9021.00</v>
      </c>
      <c r="H585" t="s">
        <v>501</v>
      </c>
      <c r="I585">
        <v>5</v>
      </c>
      <c r="J585">
        <v>5</v>
      </c>
      <c r="K585" s="1">
        <v>45323</v>
      </c>
      <c r="L585" s="1">
        <v>45611</v>
      </c>
      <c r="M585" s="1">
        <v>45323</v>
      </c>
      <c r="N585" s="1">
        <v>45611</v>
      </c>
      <c r="O585" t="s">
        <v>116</v>
      </c>
      <c r="P585" t="s">
        <v>11379</v>
      </c>
      <c r="Q585" t="s">
        <v>11380</v>
      </c>
      <c r="R585" t="s">
        <v>11381</v>
      </c>
      <c r="T585" t="s">
        <v>11382</v>
      </c>
      <c r="U585" t="s">
        <v>127</v>
      </c>
      <c r="V585" s="8" t="str">
        <f>"76102"</f>
        <v>76102</v>
      </c>
      <c r="W585" t="s">
        <v>118</v>
      </c>
      <c r="Y585" s="10">
        <v>18173504060</v>
      </c>
      <c r="AA585">
        <v>72111</v>
      </c>
      <c r="AB585" t="s">
        <v>2072</v>
      </c>
      <c r="AC585" t="s">
        <v>11383</v>
      </c>
      <c r="AE585" t="s">
        <v>4291</v>
      </c>
      <c r="AF585" t="s">
        <v>11381</v>
      </c>
      <c r="AH585" t="s">
        <v>11382</v>
      </c>
      <c r="AI585" t="s">
        <v>127</v>
      </c>
      <c r="AJ585" s="8" t="str">
        <f>"76102"</f>
        <v>76102</v>
      </c>
      <c r="AK585" t="s">
        <v>118</v>
      </c>
      <c r="AM585" s="10">
        <v>18173506040</v>
      </c>
      <c r="AO585" t="s">
        <v>22946</v>
      </c>
      <c r="AP585" t="s">
        <v>248</v>
      </c>
      <c r="AQ585" t="s">
        <v>960</v>
      </c>
      <c r="AR585" t="s">
        <v>961</v>
      </c>
      <c r="AS585" t="s">
        <v>962</v>
      </c>
      <c r="AT585" t="s">
        <v>963</v>
      </c>
      <c r="AU585" t="s">
        <v>296</v>
      </c>
      <c r="AV585" t="s">
        <v>964</v>
      </c>
      <c r="AW585" t="s">
        <v>127</v>
      </c>
      <c r="AX585" s="8" t="str">
        <f>"75033"</f>
        <v>75033</v>
      </c>
      <c r="AY585" t="s">
        <v>118</v>
      </c>
      <c r="BA585" s="10">
        <v>19727789690</v>
      </c>
      <c r="BC585" t="s">
        <v>1919</v>
      </c>
      <c r="BD585" t="s">
        <v>966</v>
      </c>
      <c r="BG585" t="s">
        <v>1691</v>
      </c>
      <c r="BH585" s="1">
        <v>45232.833333333336</v>
      </c>
      <c r="BI585">
        <v>40</v>
      </c>
      <c r="BJ585">
        <v>8</v>
      </c>
      <c r="BK585">
        <v>8</v>
      </c>
      <c r="BL585">
        <v>0</v>
      </c>
      <c r="BM585">
        <v>0</v>
      </c>
      <c r="BN585">
        <v>8</v>
      </c>
      <c r="BO585">
        <v>8</v>
      </c>
      <c r="BP585">
        <v>8</v>
      </c>
      <c r="BQ585" t="str">
        <f>"8:00 AM"</f>
        <v>8:00 AM</v>
      </c>
      <c r="BR585" t="str">
        <f>"4:30 PM"</f>
        <v>4:30 PM</v>
      </c>
      <c r="BS585" t="s">
        <v>131</v>
      </c>
      <c r="BT585">
        <v>0</v>
      </c>
      <c r="BU585">
        <v>0</v>
      </c>
      <c r="BV585" t="s">
        <v>114</v>
      </c>
      <c r="BX585" s="2" t="s">
        <v>22947</v>
      </c>
      <c r="BY585" t="s">
        <v>11381</v>
      </c>
      <c r="CA585" t="s">
        <v>11382</v>
      </c>
      <c r="CB585" t="s">
        <v>127</v>
      </c>
      <c r="CC585" s="8" t="str">
        <f>"76102"</f>
        <v>76102</v>
      </c>
      <c r="CD585" t="s">
        <v>262</v>
      </c>
      <c r="CE585" t="s">
        <v>263</v>
      </c>
      <c r="CF585" s="12">
        <v>16.649999999999999</v>
      </c>
      <c r="CH585" s="12">
        <v>24.97</v>
      </c>
      <c r="CJ585" t="s">
        <v>135</v>
      </c>
      <c r="CK585" t="s">
        <v>5877</v>
      </c>
      <c r="CL585" t="s">
        <v>22948</v>
      </c>
      <c r="CO585" t="s">
        <v>132</v>
      </c>
      <c r="CP585" t="s">
        <v>114</v>
      </c>
      <c r="CQ585" t="s">
        <v>136</v>
      </c>
      <c r="CR585" t="s">
        <v>136</v>
      </c>
      <c r="CS585" t="s">
        <v>136</v>
      </c>
      <c r="CT585" t="s">
        <v>136</v>
      </c>
      <c r="CU585" t="s">
        <v>136</v>
      </c>
      <c r="CV585" s="2" t="s">
        <v>11387</v>
      </c>
      <c r="CW585" s="10" t="str">
        <f>"+18173504060"</f>
        <v>+18173504060</v>
      </c>
      <c r="CX585" t="s">
        <v>132</v>
      </c>
      <c r="CY585" t="s">
        <v>1853</v>
      </c>
      <c r="CZ585" t="s">
        <v>137</v>
      </c>
      <c r="DA585" t="s">
        <v>114</v>
      </c>
      <c r="DB585" t="s">
        <v>114</v>
      </c>
      <c r="DC585" t="s">
        <v>136</v>
      </c>
      <c r="DD585" t="s">
        <v>114</v>
      </c>
    </row>
    <row r="586" spans="1:113" ht="15" customHeight="1" x14ac:dyDescent="0.25">
      <c r="A586" t="s">
        <v>20105</v>
      </c>
      <c r="B586" t="s">
        <v>152</v>
      </c>
      <c r="C586" s="1">
        <v>45233.418319675926</v>
      </c>
      <c r="D586" s="1">
        <v>45260</v>
      </c>
      <c r="E586" t="s">
        <v>132</v>
      </c>
      <c r="F586" t="s">
        <v>2491</v>
      </c>
      <c r="G586" t="str">
        <f>"35-9021.00"</f>
        <v>35-9021.00</v>
      </c>
      <c r="H586" t="s">
        <v>501</v>
      </c>
      <c r="I586">
        <v>25</v>
      </c>
      <c r="J586">
        <v>25</v>
      </c>
      <c r="K586" s="1">
        <v>45323</v>
      </c>
      <c r="L586" s="1">
        <v>45626</v>
      </c>
      <c r="M586" s="1">
        <v>45323</v>
      </c>
      <c r="N586" s="1">
        <v>45626</v>
      </c>
      <c r="O586" t="s">
        <v>116</v>
      </c>
      <c r="P586" t="s">
        <v>7405</v>
      </c>
      <c r="Q586" t="s">
        <v>7406</v>
      </c>
      <c r="R586" t="s">
        <v>7407</v>
      </c>
      <c r="T586" t="s">
        <v>7408</v>
      </c>
      <c r="U586" t="s">
        <v>140</v>
      </c>
      <c r="V586" s="8" t="str">
        <f>"32034"</f>
        <v>32034</v>
      </c>
      <c r="W586" t="s">
        <v>118</v>
      </c>
      <c r="Y586" s="10">
        <v>19042616161</v>
      </c>
      <c r="AA586">
        <v>72111</v>
      </c>
      <c r="AB586" t="s">
        <v>7409</v>
      </c>
      <c r="AC586" t="s">
        <v>6437</v>
      </c>
      <c r="AE586" t="s">
        <v>7410</v>
      </c>
      <c r="AF586" t="s">
        <v>7407</v>
      </c>
      <c r="AH586" t="s">
        <v>7408</v>
      </c>
      <c r="AI586" t="s">
        <v>140</v>
      </c>
      <c r="AJ586" s="8" t="str">
        <f>"32034"</f>
        <v>32034</v>
      </c>
      <c r="AK586" t="s">
        <v>118</v>
      </c>
      <c r="AM586" s="10">
        <v>19042616161</v>
      </c>
      <c r="AO586" t="s">
        <v>7411</v>
      </c>
      <c r="AP586" t="s">
        <v>248</v>
      </c>
      <c r="AQ586" t="s">
        <v>960</v>
      </c>
      <c r="AR586" t="s">
        <v>961</v>
      </c>
      <c r="AS586" t="s">
        <v>962</v>
      </c>
      <c r="AT586" t="s">
        <v>963</v>
      </c>
      <c r="AU586" t="s">
        <v>296</v>
      </c>
      <c r="AV586" t="s">
        <v>964</v>
      </c>
      <c r="AW586" t="s">
        <v>127</v>
      </c>
      <c r="AX586" s="8" t="str">
        <f>"75033"</f>
        <v>75033</v>
      </c>
      <c r="AY586" t="s">
        <v>118</v>
      </c>
      <c r="BA586" s="10">
        <v>19727789690</v>
      </c>
      <c r="BC586" t="s">
        <v>1919</v>
      </c>
      <c r="BD586" t="s">
        <v>966</v>
      </c>
      <c r="BG586" t="s">
        <v>140</v>
      </c>
      <c r="BH586" s="1">
        <v>45232.833333333336</v>
      </c>
      <c r="BI586">
        <v>40</v>
      </c>
      <c r="BJ586">
        <v>8</v>
      </c>
      <c r="BK586">
        <v>0</v>
      </c>
      <c r="BL586">
        <v>8</v>
      </c>
      <c r="BM586">
        <v>0</v>
      </c>
      <c r="BN586">
        <v>8</v>
      </c>
      <c r="BO586">
        <v>8</v>
      </c>
      <c r="BP586">
        <v>8</v>
      </c>
      <c r="BQ586" t="str">
        <f>"5:00 AM"</f>
        <v>5:00 AM</v>
      </c>
      <c r="BR586" t="str">
        <f>"1:30 PM"</f>
        <v>1:30 PM</v>
      </c>
      <c r="BS586" t="s">
        <v>131</v>
      </c>
      <c r="BT586">
        <v>0</v>
      </c>
      <c r="BU586">
        <v>0</v>
      </c>
      <c r="BV586" t="s">
        <v>114</v>
      </c>
      <c r="BX586" s="2" t="s">
        <v>15298</v>
      </c>
      <c r="BY586" t="s">
        <v>7407</v>
      </c>
      <c r="CA586" t="s">
        <v>7408</v>
      </c>
      <c r="CB586" t="s">
        <v>140</v>
      </c>
      <c r="CC586" s="8" t="str">
        <f>"32034"</f>
        <v>32034</v>
      </c>
      <c r="CD586" t="s">
        <v>2352</v>
      </c>
      <c r="CE586" t="s">
        <v>3596</v>
      </c>
      <c r="CF586" s="12">
        <v>15</v>
      </c>
      <c r="CH586" s="12">
        <v>22.5</v>
      </c>
      <c r="CJ586" t="s">
        <v>135</v>
      </c>
      <c r="CK586" t="s">
        <v>1840</v>
      </c>
      <c r="CL586" t="s">
        <v>20106</v>
      </c>
      <c r="CO586" t="s">
        <v>132</v>
      </c>
      <c r="CP586" t="s">
        <v>114</v>
      </c>
      <c r="CQ586" t="s">
        <v>136</v>
      </c>
      <c r="CR586" t="s">
        <v>136</v>
      </c>
      <c r="CS586" t="s">
        <v>136</v>
      </c>
      <c r="CT586" t="s">
        <v>136</v>
      </c>
      <c r="CU586" t="s">
        <v>136</v>
      </c>
      <c r="CV586" s="2" t="s">
        <v>17996</v>
      </c>
      <c r="CW586" s="10" t="str">
        <f>"+19042616161"</f>
        <v>+19042616161</v>
      </c>
      <c r="CX586" t="s">
        <v>132</v>
      </c>
      <c r="CY586" t="s">
        <v>1876</v>
      </c>
      <c r="CZ586" t="s">
        <v>137</v>
      </c>
      <c r="DA586" t="s">
        <v>114</v>
      </c>
      <c r="DB586" t="s">
        <v>114</v>
      </c>
      <c r="DC586" t="s">
        <v>136</v>
      </c>
      <c r="DD586" t="s">
        <v>114</v>
      </c>
    </row>
    <row r="587" spans="1:113" ht="15" customHeight="1" x14ac:dyDescent="0.25">
      <c r="A587" t="s">
        <v>22258</v>
      </c>
      <c r="B587" t="s">
        <v>152</v>
      </c>
      <c r="C587" s="1">
        <v>45233.414499999999</v>
      </c>
      <c r="D587" s="1">
        <v>45260</v>
      </c>
      <c r="E587" t="s">
        <v>132</v>
      </c>
      <c r="F587" t="s">
        <v>5842</v>
      </c>
      <c r="G587" t="str">
        <f>"35-3031.00"</f>
        <v>35-3031.00</v>
      </c>
      <c r="H587" t="s">
        <v>347</v>
      </c>
      <c r="I587">
        <v>47</v>
      </c>
      <c r="J587">
        <v>47</v>
      </c>
      <c r="K587" s="1">
        <v>45323</v>
      </c>
      <c r="L587" s="1">
        <v>45626</v>
      </c>
      <c r="M587" s="1">
        <v>45323</v>
      </c>
      <c r="N587" s="1">
        <v>45626</v>
      </c>
      <c r="O587" t="s">
        <v>116</v>
      </c>
      <c r="P587" t="s">
        <v>7405</v>
      </c>
      <c r="Q587" t="s">
        <v>7406</v>
      </c>
      <c r="R587" t="s">
        <v>7407</v>
      </c>
      <c r="T587" t="s">
        <v>7408</v>
      </c>
      <c r="U587" t="s">
        <v>140</v>
      </c>
      <c r="V587" s="8" t="str">
        <f>"32034"</f>
        <v>32034</v>
      </c>
      <c r="W587" t="s">
        <v>118</v>
      </c>
      <c r="Y587" s="10">
        <v>19042616161</v>
      </c>
      <c r="AA587">
        <v>72111</v>
      </c>
      <c r="AB587" t="s">
        <v>7409</v>
      </c>
      <c r="AC587" t="s">
        <v>6437</v>
      </c>
      <c r="AE587" t="s">
        <v>7410</v>
      </c>
      <c r="AF587" t="s">
        <v>7407</v>
      </c>
      <c r="AH587" t="s">
        <v>7408</v>
      </c>
      <c r="AI587" t="s">
        <v>140</v>
      </c>
      <c r="AJ587" s="8" t="str">
        <f>"32034"</f>
        <v>32034</v>
      </c>
      <c r="AK587" t="s">
        <v>118</v>
      </c>
      <c r="AM587" s="10">
        <v>19042616161</v>
      </c>
      <c r="AO587" t="s">
        <v>7411</v>
      </c>
      <c r="AP587" t="s">
        <v>248</v>
      </c>
      <c r="AQ587" t="s">
        <v>960</v>
      </c>
      <c r="AR587" t="s">
        <v>961</v>
      </c>
      <c r="AS587" t="s">
        <v>962</v>
      </c>
      <c r="AT587" t="s">
        <v>963</v>
      </c>
      <c r="AU587" t="s">
        <v>296</v>
      </c>
      <c r="AV587" t="s">
        <v>964</v>
      </c>
      <c r="AW587" t="s">
        <v>127</v>
      </c>
      <c r="AX587" s="8" t="str">
        <f>"75033"</f>
        <v>75033</v>
      </c>
      <c r="AY587" t="s">
        <v>118</v>
      </c>
      <c r="BA587" s="10">
        <v>19727789690</v>
      </c>
      <c r="BC587" t="s">
        <v>1919</v>
      </c>
      <c r="BD587" t="s">
        <v>966</v>
      </c>
      <c r="BG587" t="s">
        <v>140</v>
      </c>
      <c r="BH587" s="1">
        <v>45232.833333333336</v>
      </c>
      <c r="BI587">
        <v>40</v>
      </c>
      <c r="BJ587">
        <v>8</v>
      </c>
      <c r="BK587">
        <v>0</v>
      </c>
      <c r="BL587">
        <v>8</v>
      </c>
      <c r="BM587">
        <v>0</v>
      </c>
      <c r="BN587">
        <v>8</v>
      </c>
      <c r="BO587">
        <v>8</v>
      </c>
      <c r="BP587">
        <v>8</v>
      </c>
      <c r="BQ587" t="str">
        <f>"6:00 AM"</f>
        <v>6:00 AM</v>
      </c>
      <c r="BR587" t="str">
        <f>"2:30 PM"</f>
        <v>2:30 PM</v>
      </c>
      <c r="BS587" t="s">
        <v>131</v>
      </c>
      <c r="BT587">
        <v>0</v>
      </c>
      <c r="BU587">
        <v>0</v>
      </c>
      <c r="BV587" t="s">
        <v>114</v>
      </c>
      <c r="BX587" s="2" t="s">
        <v>22259</v>
      </c>
      <c r="BY587" t="s">
        <v>7407</v>
      </c>
      <c r="CA587" t="s">
        <v>7408</v>
      </c>
      <c r="CB587" t="s">
        <v>140</v>
      </c>
      <c r="CC587" s="8" t="str">
        <f>"32034"</f>
        <v>32034</v>
      </c>
      <c r="CD587" t="s">
        <v>2352</v>
      </c>
      <c r="CE587" t="s">
        <v>3596</v>
      </c>
      <c r="CF587" s="12">
        <v>15.33</v>
      </c>
      <c r="CH587" s="12">
        <v>23</v>
      </c>
      <c r="CJ587" t="s">
        <v>135</v>
      </c>
      <c r="CK587" t="s">
        <v>1840</v>
      </c>
      <c r="CL587" t="s">
        <v>22260</v>
      </c>
      <c r="CO587" t="s">
        <v>132</v>
      </c>
      <c r="CP587" t="s">
        <v>114</v>
      </c>
      <c r="CQ587" t="s">
        <v>136</v>
      </c>
      <c r="CR587" t="s">
        <v>136</v>
      </c>
      <c r="CS587" t="s">
        <v>136</v>
      </c>
      <c r="CT587" t="s">
        <v>136</v>
      </c>
      <c r="CU587" t="s">
        <v>136</v>
      </c>
      <c r="CV587" s="2" t="s">
        <v>17996</v>
      </c>
      <c r="CW587" s="10" t="str">
        <f>"+19042616161"</f>
        <v>+19042616161</v>
      </c>
      <c r="CX587" t="s">
        <v>132</v>
      </c>
      <c r="CY587" t="s">
        <v>1876</v>
      </c>
      <c r="CZ587" t="s">
        <v>137</v>
      </c>
      <c r="DA587" t="s">
        <v>114</v>
      </c>
      <c r="DB587" t="s">
        <v>136</v>
      </c>
      <c r="DC587" t="s">
        <v>136</v>
      </c>
      <c r="DD587" t="s">
        <v>114</v>
      </c>
    </row>
    <row r="588" spans="1:113" ht="15" customHeight="1" x14ac:dyDescent="0.25">
      <c r="A588" t="s">
        <v>17993</v>
      </c>
      <c r="B588" t="s">
        <v>152</v>
      </c>
      <c r="C588" s="1">
        <v>45233.41278726852</v>
      </c>
      <c r="D588" s="1">
        <v>45260</v>
      </c>
      <c r="E588" t="s">
        <v>132</v>
      </c>
      <c r="F588" t="s">
        <v>13806</v>
      </c>
      <c r="G588" t="str">
        <f>"37-2012.00"</f>
        <v>37-2012.00</v>
      </c>
      <c r="H588" t="s">
        <v>205</v>
      </c>
      <c r="I588">
        <v>50</v>
      </c>
      <c r="J588">
        <v>50</v>
      </c>
      <c r="K588" s="1">
        <v>45323</v>
      </c>
      <c r="L588" s="1">
        <v>45626</v>
      </c>
      <c r="M588" s="1">
        <v>45323</v>
      </c>
      <c r="N588" s="1">
        <v>45626</v>
      </c>
      <c r="O588" t="s">
        <v>116</v>
      </c>
      <c r="P588" t="s">
        <v>7405</v>
      </c>
      <c r="Q588" t="s">
        <v>7406</v>
      </c>
      <c r="R588" t="s">
        <v>7407</v>
      </c>
      <c r="T588" t="s">
        <v>7408</v>
      </c>
      <c r="U588" t="s">
        <v>140</v>
      </c>
      <c r="V588" s="8" t="str">
        <f>"32034"</f>
        <v>32034</v>
      </c>
      <c r="W588" t="s">
        <v>118</v>
      </c>
      <c r="Y588" s="10">
        <v>19042616161</v>
      </c>
      <c r="AA588">
        <v>72111</v>
      </c>
      <c r="AB588" t="s">
        <v>7409</v>
      </c>
      <c r="AC588" t="s">
        <v>6437</v>
      </c>
      <c r="AE588" t="s">
        <v>7410</v>
      </c>
      <c r="AF588" t="s">
        <v>7407</v>
      </c>
      <c r="AH588" t="s">
        <v>7408</v>
      </c>
      <c r="AI588" t="s">
        <v>140</v>
      </c>
      <c r="AJ588" s="8" t="str">
        <f>"32034"</f>
        <v>32034</v>
      </c>
      <c r="AK588" t="s">
        <v>118</v>
      </c>
      <c r="AM588" s="10">
        <v>19042616161</v>
      </c>
      <c r="AO588" t="s">
        <v>7411</v>
      </c>
      <c r="AP588" t="s">
        <v>248</v>
      </c>
      <c r="AQ588" t="s">
        <v>960</v>
      </c>
      <c r="AR588" t="s">
        <v>961</v>
      </c>
      <c r="AS588" t="s">
        <v>962</v>
      </c>
      <c r="AT588" t="s">
        <v>963</v>
      </c>
      <c r="AU588" t="s">
        <v>296</v>
      </c>
      <c r="AV588" t="s">
        <v>964</v>
      </c>
      <c r="AW588" t="s">
        <v>127</v>
      </c>
      <c r="AX588" s="8" t="str">
        <f>"75033"</f>
        <v>75033</v>
      </c>
      <c r="AY588" t="s">
        <v>118</v>
      </c>
      <c r="BA588" s="10">
        <v>19727789690</v>
      </c>
      <c r="BC588" t="s">
        <v>1919</v>
      </c>
      <c r="BD588" t="s">
        <v>966</v>
      </c>
      <c r="BG588" t="s">
        <v>140</v>
      </c>
      <c r="BH588" s="1">
        <v>45232.833333333336</v>
      </c>
      <c r="BI588">
        <v>40</v>
      </c>
      <c r="BJ588">
        <v>8</v>
      </c>
      <c r="BK588">
        <v>0</v>
      </c>
      <c r="BL588">
        <v>8</v>
      </c>
      <c r="BM588">
        <v>0</v>
      </c>
      <c r="BN588">
        <v>8</v>
      </c>
      <c r="BO588">
        <v>8</v>
      </c>
      <c r="BP588">
        <v>8</v>
      </c>
      <c r="BQ588" t="str">
        <f>"8:30 AM"</f>
        <v>8:30 AM</v>
      </c>
      <c r="BR588" t="str">
        <f>"5:00 PM"</f>
        <v>5:00 PM</v>
      </c>
      <c r="BS588" t="s">
        <v>131</v>
      </c>
      <c r="BT588">
        <v>0</v>
      </c>
      <c r="BU588">
        <v>0</v>
      </c>
      <c r="BV588" t="s">
        <v>114</v>
      </c>
      <c r="BX588" s="2" t="s">
        <v>17994</v>
      </c>
      <c r="BY588" t="s">
        <v>7407</v>
      </c>
      <c r="CA588" t="s">
        <v>7408</v>
      </c>
      <c r="CB588" t="s">
        <v>140</v>
      </c>
      <c r="CC588" s="8" t="str">
        <f>"32034"</f>
        <v>32034</v>
      </c>
      <c r="CD588" t="s">
        <v>2352</v>
      </c>
      <c r="CE588" t="s">
        <v>3596</v>
      </c>
      <c r="CF588" s="12">
        <v>16</v>
      </c>
      <c r="CH588" s="12">
        <v>24</v>
      </c>
      <c r="CJ588" t="s">
        <v>135</v>
      </c>
      <c r="CK588" t="s">
        <v>1840</v>
      </c>
      <c r="CL588" t="s">
        <v>17995</v>
      </c>
      <c r="CO588" t="s">
        <v>132</v>
      </c>
      <c r="CP588" t="s">
        <v>114</v>
      </c>
      <c r="CQ588" t="s">
        <v>136</v>
      </c>
      <c r="CR588" t="s">
        <v>136</v>
      </c>
      <c r="CS588" t="s">
        <v>136</v>
      </c>
      <c r="CT588" t="s">
        <v>136</v>
      </c>
      <c r="CU588" t="s">
        <v>136</v>
      </c>
      <c r="CV588" s="2" t="s">
        <v>17996</v>
      </c>
      <c r="CW588" s="10" t="str">
        <f>"+19042616161"</f>
        <v>+19042616161</v>
      </c>
      <c r="CX588" t="s">
        <v>132</v>
      </c>
      <c r="CY588" t="s">
        <v>1876</v>
      </c>
      <c r="CZ588" t="s">
        <v>137</v>
      </c>
      <c r="DA588" t="s">
        <v>114</v>
      </c>
      <c r="DB588" t="s">
        <v>136</v>
      </c>
      <c r="DC588" t="s">
        <v>136</v>
      </c>
      <c r="DD588" t="s">
        <v>114</v>
      </c>
    </row>
    <row r="589" spans="1:113" ht="15" customHeight="1" x14ac:dyDescent="0.25">
      <c r="A589" t="s">
        <v>7403</v>
      </c>
      <c r="B589" t="s">
        <v>152</v>
      </c>
      <c r="C589" s="1">
        <v>45233.411123958336</v>
      </c>
      <c r="D589" s="1">
        <v>45260</v>
      </c>
      <c r="E589" t="s">
        <v>132</v>
      </c>
      <c r="F589" t="s">
        <v>7404</v>
      </c>
      <c r="G589" t="str">
        <f>"51-6011.00"</f>
        <v>51-6011.00</v>
      </c>
      <c r="H589" t="s">
        <v>2015</v>
      </c>
      <c r="I589">
        <v>10</v>
      </c>
      <c r="J589">
        <v>10</v>
      </c>
      <c r="K589" s="1">
        <v>45323</v>
      </c>
      <c r="L589" s="1">
        <v>45626</v>
      </c>
      <c r="M589" s="1">
        <v>45323</v>
      </c>
      <c r="N589" s="1">
        <v>45626</v>
      </c>
      <c r="O589" t="s">
        <v>116</v>
      </c>
      <c r="P589" t="s">
        <v>7405</v>
      </c>
      <c r="Q589" t="s">
        <v>7406</v>
      </c>
      <c r="R589" t="s">
        <v>7407</v>
      </c>
      <c r="T589" t="s">
        <v>7408</v>
      </c>
      <c r="U589" t="s">
        <v>140</v>
      </c>
      <c r="V589" s="8" t="str">
        <f>"32034"</f>
        <v>32034</v>
      </c>
      <c r="W589" t="s">
        <v>118</v>
      </c>
      <c r="Y589" s="10">
        <v>19042616161</v>
      </c>
      <c r="AA589">
        <v>72111</v>
      </c>
      <c r="AB589" t="s">
        <v>7409</v>
      </c>
      <c r="AC589" t="s">
        <v>6437</v>
      </c>
      <c r="AE589" t="s">
        <v>7410</v>
      </c>
      <c r="AF589" t="s">
        <v>7407</v>
      </c>
      <c r="AH589" t="s">
        <v>7408</v>
      </c>
      <c r="AI589" t="s">
        <v>140</v>
      </c>
      <c r="AJ589" s="8" t="str">
        <f>"32034"</f>
        <v>32034</v>
      </c>
      <c r="AK589" t="s">
        <v>118</v>
      </c>
      <c r="AM589" s="10">
        <v>19042616161</v>
      </c>
      <c r="AO589" t="s">
        <v>7411</v>
      </c>
      <c r="AP589" t="s">
        <v>248</v>
      </c>
      <c r="AQ589" t="s">
        <v>960</v>
      </c>
      <c r="AR589" t="s">
        <v>961</v>
      </c>
      <c r="AS589" t="s">
        <v>962</v>
      </c>
      <c r="AT589" t="s">
        <v>963</v>
      </c>
      <c r="AU589" t="s">
        <v>296</v>
      </c>
      <c r="AV589" t="s">
        <v>964</v>
      </c>
      <c r="AW589" t="s">
        <v>127</v>
      </c>
      <c r="AX589" s="8" t="str">
        <f>"75033"</f>
        <v>75033</v>
      </c>
      <c r="AY589" t="s">
        <v>118</v>
      </c>
      <c r="BA589" s="10">
        <v>19727789690</v>
      </c>
      <c r="BC589" t="s">
        <v>1919</v>
      </c>
      <c r="BD589" t="s">
        <v>966</v>
      </c>
      <c r="BG589" t="s">
        <v>140</v>
      </c>
      <c r="BH589" s="1">
        <v>45232.833333333336</v>
      </c>
      <c r="BI589">
        <v>40</v>
      </c>
      <c r="BJ589">
        <v>8</v>
      </c>
      <c r="BK589">
        <v>0</v>
      </c>
      <c r="BL589">
        <v>8</v>
      </c>
      <c r="BM589">
        <v>0</v>
      </c>
      <c r="BN589">
        <v>8</v>
      </c>
      <c r="BO589">
        <v>8</v>
      </c>
      <c r="BP589">
        <v>8</v>
      </c>
      <c r="BQ589" t="str">
        <f>"7:00 AM"</f>
        <v>7:00 AM</v>
      </c>
      <c r="BR589" t="str">
        <f>"3:30 PM"</f>
        <v>3:30 PM</v>
      </c>
      <c r="BS589" t="s">
        <v>131</v>
      </c>
      <c r="BT589">
        <v>0</v>
      </c>
      <c r="BU589">
        <v>0</v>
      </c>
      <c r="BV589" t="s">
        <v>114</v>
      </c>
      <c r="BX589" s="2" t="s">
        <v>7412</v>
      </c>
      <c r="BY589" t="s">
        <v>7407</v>
      </c>
      <c r="CA589" t="s">
        <v>7408</v>
      </c>
      <c r="CB589" t="s">
        <v>140</v>
      </c>
      <c r="CC589" s="8" t="str">
        <f>"32034"</f>
        <v>32034</v>
      </c>
      <c r="CD589" t="s">
        <v>2352</v>
      </c>
      <c r="CE589" t="s">
        <v>3596</v>
      </c>
      <c r="CF589" s="12">
        <v>16</v>
      </c>
      <c r="CH589" s="12">
        <v>24</v>
      </c>
      <c r="CJ589" t="s">
        <v>135</v>
      </c>
      <c r="CK589" t="s">
        <v>1840</v>
      </c>
      <c r="CL589" t="s">
        <v>7413</v>
      </c>
      <c r="CO589" t="s">
        <v>132</v>
      </c>
      <c r="CP589" t="s">
        <v>114</v>
      </c>
      <c r="CQ589" t="s">
        <v>136</v>
      </c>
      <c r="CR589" t="s">
        <v>136</v>
      </c>
      <c r="CS589" t="s">
        <v>136</v>
      </c>
      <c r="CT589" t="s">
        <v>136</v>
      </c>
      <c r="CU589" t="s">
        <v>136</v>
      </c>
      <c r="CV589" s="2" t="s">
        <v>7414</v>
      </c>
      <c r="CW589" s="10" t="str">
        <f>"+19042616161"</f>
        <v>+19042616161</v>
      </c>
      <c r="CX589" t="s">
        <v>132</v>
      </c>
      <c r="CY589" t="s">
        <v>1876</v>
      </c>
      <c r="CZ589" t="s">
        <v>137</v>
      </c>
      <c r="DA589" t="s">
        <v>114</v>
      </c>
      <c r="DB589" t="s">
        <v>114</v>
      </c>
      <c r="DC589" t="s">
        <v>136</v>
      </c>
      <c r="DD589" t="s">
        <v>114</v>
      </c>
    </row>
    <row r="590" spans="1:113" ht="15" customHeight="1" x14ac:dyDescent="0.25">
      <c r="A590" t="s">
        <v>15296</v>
      </c>
      <c r="B590" t="s">
        <v>152</v>
      </c>
      <c r="C590" s="1">
        <v>45233.407280208332</v>
      </c>
      <c r="D590" s="1">
        <v>45260</v>
      </c>
      <c r="E590" t="s">
        <v>132</v>
      </c>
      <c r="F590" t="s">
        <v>15297</v>
      </c>
      <c r="G590" t="str">
        <f>"49-9071.00"</f>
        <v>49-9071.00</v>
      </c>
      <c r="H590" t="s">
        <v>5714</v>
      </c>
      <c r="I590">
        <v>4</v>
      </c>
      <c r="J590">
        <v>4</v>
      </c>
      <c r="K590" s="1">
        <v>45323</v>
      </c>
      <c r="L590" s="1">
        <v>45626</v>
      </c>
      <c r="M590" s="1">
        <v>45323</v>
      </c>
      <c r="N590" s="1">
        <v>45626</v>
      </c>
      <c r="O590" t="s">
        <v>116</v>
      </c>
      <c r="P590" t="s">
        <v>7405</v>
      </c>
      <c r="Q590" t="s">
        <v>7406</v>
      </c>
      <c r="R590" t="s">
        <v>7407</v>
      </c>
      <c r="T590" t="s">
        <v>7408</v>
      </c>
      <c r="U590" t="s">
        <v>140</v>
      </c>
      <c r="V590" s="8" t="str">
        <f>"32034"</f>
        <v>32034</v>
      </c>
      <c r="W590" t="s">
        <v>118</v>
      </c>
      <c r="Y590" s="10">
        <v>19042616161</v>
      </c>
      <c r="AA590">
        <v>72111</v>
      </c>
      <c r="AB590" t="s">
        <v>7409</v>
      </c>
      <c r="AC590" t="s">
        <v>6437</v>
      </c>
      <c r="AE590" t="s">
        <v>7410</v>
      </c>
      <c r="AF590" t="s">
        <v>7407</v>
      </c>
      <c r="AH590" t="s">
        <v>7408</v>
      </c>
      <c r="AI590" t="s">
        <v>140</v>
      </c>
      <c r="AJ590" s="8" t="str">
        <f>"32034"</f>
        <v>32034</v>
      </c>
      <c r="AK590" t="s">
        <v>118</v>
      </c>
      <c r="AM590" s="10">
        <v>19042616161</v>
      </c>
      <c r="AO590" t="s">
        <v>7411</v>
      </c>
      <c r="AP590" t="s">
        <v>248</v>
      </c>
      <c r="AQ590" t="s">
        <v>960</v>
      </c>
      <c r="AR590" t="s">
        <v>961</v>
      </c>
      <c r="AS590" t="s">
        <v>962</v>
      </c>
      <c r="AT590" t="s">
        <v>963</v>
      </c>
      <c r="AU590" t="s">
        <v>296</v>
      </c>
      <c r="AV590" t="s">
        <v>964</v>
      </c>
      <c r="AW590" t="s">
        <v>127</v>
      </c>
      <c r="AX590" s="8" t="str">
        <f>"75033"</f>
        <v>75033</v>
      </c>
      <c r="AY590" t="s">
        <v>118</v>
      </c>
      <c r="BA590" s="10">
        <v>19727789690</v>
      </c>
      <c r="BC590" t="s">
        <v>1919</v>
      </c>
      <c r="BD590" t="s">
        <v>966</v>
      </c>
      <c r="BG590" t="s">
        <v>140</v>
      </c>
      <c r="BH590" s="1">
        <v>45232.833333333336</v>
      </c>
      <c r="BI590">
        <v>40</v>
      </c>
      <c r="BJ590">
        <v>8</v>
      </c>
      <c r="BK590">
        <v>0</v>
      </c>
      <c r="BL590">
        <v>8</v>
      </c>
      <c r="BM590">
        <v>0</v>
      </c>
      <c r="BN590">
        <v>8</v>
      </c>
      <c r="BO590">
        <v>8</v>
      </c>
      <c r="BP590">
        <v>8</v>
      </c>
      <c r="BQ590" t="str">
        <f>"7:00 AM"</f>
        <v>7:00 AM</v>
      </c>
      <c r="BR590" t="str">
        <f>"3:30 PM"</f>
        <v>3:30 PM</v>
      </c>
      <c r="BS590" t="s">
        <v>2129</v>
      </c>
      <c r="BT590">
        <v>0</v>
      </c>
      <c r="BU590">
        <v>0</v>
      </c>
      <c r="BV590" t="s">
        <v>114</v>
      </c>
      <c r="BX590" s="2" t="s">
        <v>15298</v>
      </c>
      <c r="BY590" t="s">
        <v>7407</v>
      </c>
      <c r="CA590" t="s">
        <v>7408</v>
      </c>
      <c r="CB590" t="s">
        <v>140</v>
      </c>
      <c r="CC590" s="8" t="str">
        <f>"32034"</f>
        <v>32034</v>
      </c>
      <c r="CD590" t="s">
        <v>2352</v>
      </c>
      <c r="CE590" t="s">
        <v>3596</v>
      </c>
      <c r="CF590" s="12">
        <v>20.57</v>
      </c>
      <c r="CH590" s="12">
        <v>30.86</v>
      </c>
      <c r="CJ590" t="s">
        <v>135</v>
      </c>
      <c r="CK590" t="s">
        <v>5877</v>
      </c>
      <c r="CL590" t="s">
        <v>15299</v>
      </c>
      <c r="CO590" t="s">
        <v>132</v>
      </c>
      <c r="CP590" t="s">
        <v>114</v>
      </c>
      <c r="CQ590" t="s">
        <v>136</v>
      </c>
      <c r="CR590" t="s">
        <v>136</v>
      </c>
      <c r="CS590" t="s">
        <v>136</v>
      </c>
      <c r="CT590" t="s">
        <v>136</v>
      </c>
      <c r="CU590" t="s">
        <v>136</v>
      </c>
      <c r="CV590" s="2" t="s">
        <v>15300</v>
      </c>
      <c r="CW590" s="10" t="str">
        <f>"+19042616161"</f>
        <v>+19042616161</v>
      </c>
      <c r="CX590" t="s">
        <v>132</v>
      </c>
      <c r="CY590" t="s">
        <v>1876</v>
      </c>
      <c r="CZ590" t="s">
        <v>137</v>
      </c>
      <c r="DA590" t="s">
        <v>114</v>
      </c>
      <c r="DB590" t="s">
        <v>114</v>
      </c>
      <c r="DC590" t="s">
        <v>136</v>
      </c>
      <c r="DD590" t="s">
        <v>114</v>
      </c>
    </row>
    <row r="591" spans="1:113" ht="15" customHeight="1" x14ac:dyDescent="0.25">
      <c r="A591" t="s">
        <v>18865</v>
      </c>
      <c r="B591" t="s">
        <v>152</v>
      </c>
      <c r="C591" s="1">
        <v>45233.405043171297</v>
      </c>
      <c r="D591" s="1">
        <v>45260</v>
      </c>
      <c r="E591" t="s">
        <v>132</v>
      </c>
      <c r="F591" t="s">
        <v>18866</v>
      </c>
      <c r="G591" t="str">
        <f>"35-9011.00"</f>
        <v>35-9011.00</v>
      </c>
      <c r="H591" t="s">
        <v>1512</v>
      </c>
      <c r="I591">
        <v>25</v>
      </c>
      <c r="J591">
        <v>25</v>
      </c>
      <c r="K591" s="1">
        <v>45323</v>
      </c>
      <c r="L591" s="1">
        <v>45626</v>
      </c>
      <c r="M591" s="1">
        <v>45323</v>
      </c>
      <c r="N591" s="1">
        <v>45626</v>
      </c>
      <c r="O591" t="s">
        <v>116</v>
      </c>
      <c r="P591" t="s">
        <v>7405</v>
      </c>
      <c r="Q591" t="s">
        <v>7406</v>
      </c>
      <c r="R591" t="s">
        <v>7407</v>
      </c>
      <c r="T591" t="s">
        <v>7408</v>
      </c>
      <c r="U591" t="s">
        <v>140</v>
      </c>
      <c r="V591" s="8" t="str">
        <f>"32034"</f>
        <v>32034</v>
      </c>
      <c r="W591" t="s">
        <v>118</v>
      </c>
      <c r="Y591" s="10">
        <v>19042616161</v>
      </c>
      <c r="AA591">
        <v>72111</v>
      </c>
      <c r="AB591" t="s">
        <v>7409</v>
      </c>
      <c r="AC591" t="s">
        <v>6437</v>
      </c>
      <c r="AE591" t="s">
        <v>7410</v>
      </c>
      <c r="AF591" t="s">
        <v>7407</v>
      </c>
      <c r="AH591" t="s">
        <v>7408</v>
      </c>
      <c r="AI591" t="s">
        <v>140</v>
      </c>
      <c r="AJ591" s="8" t="str">
        <f>"32034"</f>
        <v>32034</v>
      </c>
      <c r="AK591" t="s">
        <v>118</v>
      </c>
      <c r="AM591" s="10">
        <v>19042616161</v>
      </c>
      <c r="AO591" t="s">
        <v>7411</v>
      </c>
      <c r="AP591" t="s">
        <v>248</v>
      </c>
      <c r="AQ591" t="s">
        <v>960</v>
      </c>
      <c r="AR591" t="s">
        <v>961</v>
      </c>
      <c r="AS591" t="s">
        <v>962</v>
      </c>
      <c r="AT591" t="s">
        <v>963</v>
      </c>
      <c r="AU591" t="s">
        <v>296</v>
      </c>
      <c r="AV591" t="s">
        <v>964</v>
      </c>
      <c r="AW591" t="s">
        <v>127</v>
      </c>
      <c r="AX591" s="8" t="str">
        <f>"75033"</f>
        <v>75033</v>
      </c>
      <c r="AY591" t="s">
        <v>118</v>
      </c>
      <c r="BA591" s="10">
        <v>19727789690</v>
      </c>
      <c r="BC591" t="s">
        <v>1919</v>
      </c>
      <c r="BD591" t="s">
        <v>966</v>
      </c>
      <c r="BG591" t="s">
        <v>140</v>
      </c>
      <c r="BH591" s="1">
        <v>45232.833333333336</v>
      </c>
      <c r="BI591">
        <v>40</v>
      </c>
      <c r="BJ591">
        <v>8</v>
      </c>
      <c r="BK591">
        <v>0</v>
      </c>
      <c r="BL591">
        <v>0</v>
      </c>
      <c r="BM591">
        <v>8</v>
      </c>
      <c r="BN591">
        <v>8</v>
      </c>
      <c r="BO591">
        <v>8</v>
      </c>
      <c r="BP591">
        <v>8</v>
      </c>
      <c r="BQ591" t="str">
        <f>"6:00 AM"</f>
        <v>6:00 AM</v>
      </c>
      <c r="BR591" t="str">
        <f>"2:30 PM"</f>
        <v>2:30 PM</v>
      </c>
      <c r="BS591" t="s">
        <v>131</v>
      </c>
      <c r="BT591">
        <v>0</v>
      </c>
      <c r="BU591">
        <v>0</v>
      </c>
      <c r="BV591" t="s">
        <v>114</v>
      </c>
      <c r="BX591" s="2" t="s">
        <v>18867</v>
      </c>
      <c r="BY591" t="s">
        <v>7407</v>
      </c>
      <c r="CA591" t="s">
        <v>7408</v>
      </c>
      <c r="CB591" t="s">
        <v>140</v>
      </c>
      <c r="CC591" s="8" t="str">
        <f>"32034"</f>
        <v>32034</v>
      </c>
      <c r="CD591" t="s">
        <v>2352</v>
      </c>
      <c r="CE591" t="s">
        <v>3596</v>
      </c>
      <c r="CF591" s="12">
        <v>13.38</v>
      </c>
      <c r="CH591" s="12">
        <v>20.07</v>
      </c>
      <c r="CJ591" t="s">
        <v>135</v>
      </c>
      <c r="CK591" t="s">
        <v>5877</v>
      </c>
      <c r="CL591" t="s">
        <v>18868</v>
      </c>
      <c r="CO591" t="s">
        <v>132</v>
      </c>
      <c r="CP591" t="s">
        <v>114</v>
      </c>
      <c r="CQ591" t="s">
        <v>136</v>
      </c>
      <c r="CR591" t="s">
        <v>136</v>
      </c>
      <c r="CS591" t="s">
        <v>136</v>
      </c>
      <c r="CT591" t="s">
        <v>136</v>
      </c>
      <c r="CU591" t="s">
        <v>136</v>
      </c>
      <c r="CV591" s="2" t="s">
        <v>15300</v>
      </c>
      <c r="CW591" s="10" t="str">
        <f>"+19042616161"</f>
        <v>+19042616161</v>
      </c>
      <c r="CX591" t="s">
        <v>132</v>
      </c>
      <c r="CY591" t="s">
        <v>1876</v>
      </c>
      <c r="CZ591" t="s">
        <v>137</v>
      </c>
      <c r="DA591" t="s">
        <v>114</v>
      </c>
      <c r="DB591" t="s">
        <v>136</v>
      </c>
      <c r="DC591" t="s">
        <v>136</v>
      </c>
      <c r="DD591" t="s">
        <v>114</v>
      </c>
    </row>
    <row r="592" spans="1:113" ht="15" customHeight="1" x14ac:dyDescent="0.25">
      <c r="A592" t="s">
        <v>14806</v>
      </c>
      <c r="B592" t="s">
        <v>152</v>
      </c>
      <c r="C592" s="1">
        <v>45233.385920023145</v>
      </c>
      <c r="D592" s="1">
        <v>45260</v>
      </c>
      <c r="E592" t="s">
        <v>132</v>
      </c>
      <c r="F592" t="s">
        <v>2512</v>
      </c>
      <c r="G592" t="str">
        <f>"35-3031.00"</f>
        <v>35-3031.00</v>
      </c>
      <c r="H592" t="s">
        <v>347</v>
      </c>
      <c r="I592">
        <v>22</v>
      </c>
      <c r="J592">
        <v>22</v>
      </c>
      <c r="K592" s="1">
        <v>45323</v>
      </c>
      <c r="L592" s="1">
        <v>45626</v>
      </c>
      <c r="M592" s="1">
        <v>45323</v>
      </c>
      <c r="N592" s="1">
        <v>45626</v>
      </c>
      <c r="O592" t="s">
        <v>116</v>
      </c>
      <c r="P592" t="s">
        <v>11351</v>
      </c>
      <c r="Q592" t="s">
        <v>11352</v>
      </c>
      <c r="R592" t="s">
        <v>11353</v>
      </c>
      <c r="T592" t="s">
        <v>3413</v>
      </c>
      <c r="U592" t="s">
        <v>1691</v>
      </c>
      <c r="V592" s="8" t="str">
        <f>"29928"</f>
        <v>29928</v>
      </c>
      <c r="W592" t="s">
        <v>118</v>
      </c>
      <c r="Y592" s="10">
        <v>18433411833</v>
      </c>
      <c r="AA592">
        <v>72111</v>
      </c>
      <c r="AB592" t="s">
        <v>11354</v>
      </c>
      <c r="AC592" t="s">
        <v>2754</v>
      </c>
      <c r="AD592" t="s">
        <v>962</v>
      </c>
      <c r="AE592" t="s">
        <v>1189</v>
      </c>
      <c r="AF592" t="s">
        <v>11353</v>
      </c>
      <c r="AH592" t="s">
        <v>3413</v>
      </c>
      <c r="AI592" t="s">
        <v>1691</v>
      </c>
      <c r="AJ592" s="8" t="str">
        <f>"29928"</f>
        <v>29928</v>
      </c>
      <c r="AK592" t="s">
        <v>118</v>
      </c>
      <c r="AM592" s="10">
        <v>18438422400</v>
      </c>
      <c r="AO592" t="s">
        <v>11355</v>
      </c>
      <c r="AP592" t="s">
        <v>248</v>
      </c>
      <c r="AQ592" t="s">
        <v>960</v>
      </c>
      <c r="AR592" t="s">
        <v>961</v>
      </c>
      <c r="AS592" t="s">
        <v>962</v>
      </c>
      <c r="AT592" t="s">
        <v>963</v>
      </c>
      <c r="AU592" t="s">
        <v>296</v>
      </c>
      <c r="AV592" t="s">
        <v>964</v>
      </c>
      <c r="AW592" t="s">
        <v>127</v>
      </c>
      <c r="AX592" s="8" t="str">
        <f>"75033"</f>
        <v>75033</v>
      </c>
      <c r="AY592" t="s">
        <v>118</v>
      </c>
      <c r="BA592" s="10">
        <v>19727789690</v>
      </c>
      <c r="BC592" t="s">
        <v>1939</v>
      </c>
      <c r="BD592" t="s">
        <v>966</v>
      </c>
      <c r="BG592" t="s">
        <v>1691</v>
      </c>
      <c r="BH592" s="1">
        <v>45232.833333333336</v>
      </c>
      <c r="BI592">
        <v>40</v>
      </c>
      <c r="BJ592">
        <v>8</v>
      </c>
      <c r="BK592">
        <v>0</v>
      </c>
      <c r="BL592">
        <v>8</v>
      </c>
      <c r="BM592">
        <v>0</v>
      </c>
      <c r="BN592">
        <v>8</v>
      </c>
      <c r="BO592">
        <v>8</v>
      </c>
      <c r="BP592">
        <v>8</v>
      </c>
      <c r="BQ592" t="str">
        <f>"5:30 AM"</f>
        <v>5:30 AM</v>
      </c>
      <c r="BR592" t="str">
        <f>"2:00 PM"</f>
        <v>2:00 PM</v>
      </c>
      <c r="BS592" t="s">
        <v>131</v>
      </c>
      <c r="BT592">
        <v>0</v>
      </c>
      <c r="BU592">
        <v>0</v>
      </c>
      <c r="BV592" t="s">
        <v>114</v>
      </c>
      <c r="BX592" s="2" t="s">
        <v>14807</v>
      </c>
      <c r="BY592" t="s">
        <v>11357</v>
      </c>
      <c r="CA592" t="s">
        <v>3415</v>
      </c>
      <c r="CB592" t="s">
        <v>1691</v>
      </c>
      <c r="CC592" s="8" t="str">
        <f>"29928"</f>
        <v>29928</v>
      </c>
      <c r="CD592" t="s">
        <v>3136</v>
      </c>
      <c r="CE592" t="s">
        <v>2584</v>
      </c>
      <c r="CF592" s="12">
        <v>11.17</v>
      </c>
      <c r="CH592" s="12">
        <v>16.760000000000002</v>
      </c>
      <c r="CJ592" t="s">
        <v>135</v>
      </c>
      <c r="CK592" t="s">
        <v>1840</v>
      </c>
      <c r="CL592" t="s">
        <v>14808</v>
      </c>
      <c r="CO592" t="s">
        <v>132</v>
      </c>
      <c r="CP592" t="s">
        <v>114</v>
      </c>
      <c r="CQ592" t="s">
        <v>136</v>
      </c>
      <c r="CR592" t="s">
        <v>136</v>
      </c>
      <c r="CS592" t="s">
        <v>136</v>
      </c>
      <c r="CT592" t="s">
        <v>136</v>
      </c>
      <c r="CU592" t="s">
        <v>136</v>
      </c>
      <c r="CV592" s="2" t="s">
        <v>14809</v>
      </c>
      <c r="CW592" s="10" t="str">
        <f>"+18438422400"</f>
        <v>+18438422400</v>
      </c>
      <c r="CX592" t="s">
        <v>132</v>
      </c>
      <c r="CY592" t="s">
        <v>3524</v>
      </c>
      <c r="CZ592" t="s">
        <v>137</v>
      </c>
      <c r="DA592" t="s">
        <v>114</v>
      </c>
      <c r="DB592" t="s">
        <v>136</v>
      </c>
      <c r="DC592" t="s">
        <v>136</v>
      </c>
      <c r="DD592" t="s">
        <v>114</v>
      </c>
    </row>
    <row r="593" spans="1:113" ht="15" customHeight="1" x14ac:dyDescent="0.25">
      <c r="A593" t="s">
        <v>11349</v>
      </c>
      <c r="B593" t="s">
        <v>152</v>
      </c>
      <c r="C593" s="1">
        <v>45233.383409027774</v>
      </c>
      <c r="D593" s="1">
        <v>45260</v>
      </c>
      <c r="E593" t="s">
        <v>132</v>
      </c>
      <c r="F593" t="s">
        <v>11350</v>
      </c>
      <c r="G593" t="str">
        <f>"43-4081.00"</f>
        <v>43-4081.00</v>
      </c>
      <c r="H593" t="s">
        <v>952</v>
      </c>
      <c r="I593">
        <v>3</v>
      </c>
      <c r="J593">
        <v>3</v>
      </c>
      <c r="K593" s="1">
        <v>45323</v>
      </c>
      <c r="L593" s="1">
        <v>45626</v>
      </c>
      <c r="M593" s="1">
        <v>45323</v>
      </c>
      <c r="N593" s="1">
        <v>45626</v>
      </c>
      <c r="O593" t="s">
        <v>116</v>
      </c>
      <c r="P593" t="s">
        <v>11351</v>
      </c>
      <c r="Q593" t="s">
        <v>11352</v>
      </c>
      <c r="R593" t="s">
        <v>11353</v>
      </c>
      <c r="T593" t="s">
        <v>3413</v>
      </c>
      <c r="U593" t="s">
        <v>1691</v>
      </c>
      <c r="V593" s="8" t="str">
        <f>"29928"</f>
        <v>29928</v>
      </c>
      <c r="W593" t="s">
        <v>118</v>
      </c>
      <c r="Y593" s="10">
        <v>18433411833</v>
      </c>
      <c r="AA593">
        <v>72111</v>
      </c>
      <c r="AB593" t="s">
        <v>11354</v>
      </c>
      <c r="AC593" t="s">
        <v>2754</v>
      </c>
      <c r="AD593" t="s">
        <v>962</v>
      </c>
      <c r="AE593" t="s">
        <v>1189</v>
      </c>
      <c r="AF593" t="s">
        <v>11353</v>
      </c>
      <c r="AH593" t="s">
        <v>3413</v>
      </c>
      <c r="AI593" t="s">
        <v>1691</v>
      </c>
      <c r="AJ593" s="8" t="str">
        <f>"29928"</f>
        <v>29928</v>
      </c>
      <c r="AK593" t="s">
        <v>118</v>
      </c>
      <c r="AM593" s="10">
        <v>18438422400</v>
      </c>
      <c r="AO593" t="s">
        <v>11355</v>
      </c>
      <c r="AP593" t="s">
        <v>248</v>
      </c>
      <c r="AQ593" t="s">
        <v>960</v>
      </c>
      <c r="AR593" t="s">
        <v>961</v>
      </c>
      <c r="AS593" t="s">
        <v>962</v>
      </c>
      <c r="AT593" t="s">
        <v>963</v>
      </c>
      <c r="AU593" t="s">
        <v>296</v>
      </c>
      <c r="AV593" t="s">
        <v>964</v>
      </c>
      <c r="AW593" t="s">
        <v>127</v>
      </c>
      <c r="AX593" s="8" t="str">
        <f>"75033"</f>
        <v>75033</v>
      </c>
      <c r="AY593" t="s">
        <v>118</v>
      </c>
      <c r="BA593" s="10">
        <v>19727789690</v>
      </c>
      <c r="BC593" t="s">
        <v>1939</v>
      </c>
      <c r="BD593" t="s">
        <v>966</v>
      </c>
      <c r="BG593" t="s">
        <v>1691</v>
      </c>
      <c r="BH593" s="1">
        <v>45232.833333333336</v>
      </c>
      <c r="BI593">
        <v>40</v>
      </c>
      <c r="BJ593">
        <v>8</v>
      </c>
      <c r="BK593">
        <v>0</v>
      </c>
      <c r="BL593">
        <v>8</v>
      </c>
      <c r="BM593">
        <v>0</v>
      </c>
      <c r="BN593">
        <v>8</v>
      </c>
      <c r="BO593">
        <v>8</v>
      </c>
      <c r="BP593">
        <v>8</v>
      </c>
      <c r="BQ593" t="str">
        <f>"7:00 AM"</f>
        <v>7:00 AM</v>
      </c>
      <c r="BR593" t="str">
        <f>"3:30 PM"</f>
        <v>3:30 PM</v>
      </c>
      <c r="BS593" t="s">
        <v>131</v>
      </c>
      <c r="BT593">
        <v>0</v>
      </c>
      <c r="BU593">
        <v>0</v>
      </c>
      <c r="BV593" t="s">
        <v>114</v>
      </c>
      <c r="BX593" s="2" t="s">
        <v>11356</v>
      </c>
      <c r="BY593" t="s">
        <v>11357</v>
      </c>
      <c r="CA593" t="s">
        <v>3415</v>
      </c>
      <c r="CB593" t="s">
        <v>1691</v>
      </c>
      <c r="CC593" s="8" t="str">
        <f>"29928"</f>
        <v>29928</v>
      </c>
      <c r="CD593" t="s">
        <v>3136</v>
      </c>
      <c r="CE593" t="s">
        <v>2584</v>
      </c>
      <c r="CF593" s="12">
        <v>13.75</v>
      </c>
      <c r="CH593" s="12">
        <v>20.63</v>
      </c>
      <c r="CJ593" t="s">
        <v>135</v>
      </c>
      <c r="CK593" t="s">
        <v>5877</v>
      </c>
      <c r="CL593" t="s">
        <v>11358</v>
      </c>
      <c r="CO593" t="s">
        <v>132</v>
      </c>
      <c r="CP593" t="s">
        <v>114</v>
      </c>
      <c r="CQ593" t="s">
        <v>136</v>
      </c>
      <c r="CR593" t="s">
        <v>136</v>
      </c>
      <c r="CS593" t="s">
        <v>136</v>
      </c>
      <c r="CT593" t="s">
        <v>136</v>
      </c>
      <c r="CU593" t="s">
        <v>136</v>
      </c>
      <c r="CV593" s="2" t="s">
        <v>11359</v>
      </c>
      <c r="CW593" s="10" t="str">
        <f>"+18438422400"</f>
        <v>+18438422400</v>
      </c>
      <c r="CX593" t="s">
        <v>132</v>
      </c>
      <c r="CY593" t="s">
        <v>3524</v>
      </c>
      <c r="CZ593" t="s">
        <v>137</v>
      </c>
      <c r="DA593" t="s">
        <v>114</v>
      </c>
      <c r="DB593" t="s">
        <v>136</v>
      </c>
      <c r="DC593" t="s">
        <v>136</v>
      </c>
      <c r="DD593" t="s">
        <v>114</v>
      </c>
    </row>
    <row r="594" spans="1:113" ht="15" customHeight="1" x14ac:dyDescent="0.25">
      <c r="A594" t="s">
        <v>21240</v>
      </c>
      <c r="B594" t="s">
        <v>152</v>
      </c>
      <c r="C594" s="1">
        <v>45233.38009849537</v>
      </c>
      <c r="D594" s="1">
        <v>45260</v>
      </c>
      <c r="E594" t="s">
        <v>132</v>
      </c>
      <c r="F594" t="s">
        <v>293</v>
      </c>
      <c r="G594" t="str">
        <f>"37-2012.00"</f>
        <v>37-2012.00</v>
      </c>
      <c r="H594" t="s">
        <v>205</v>
      </c>
      <c r="I594">
        <v>38</v>
      </c>
      <c r="J594">
        <v>38</v>
      </c>
      <c r="K594" s="1">
        <v>45323</v>
      </c>
      <c r="L594" s="1">
        <v>45626</v>
      </c>
      <c r="M594" s="1">
        <v>45323</v>
      </c>
      <c r="N594" s="1">
        <v>45626</v>
      </c>
      <c r="O594" t="s">
        <v>116</v>
      </c>
      <c r="P594" t="s">
        <v>11351</v>
      </c>
      <c r="Q594" t="s">
        <v>11352</v>
      </c>
      <c r="R594" t="s">
        <v>11353</v>
      </c>
      <c r="T594" t="s">
        <v>3413</v>
      </c>
      <c r="U594" t="s">
        <v>1691</v>
      </c>
      <c r="V594" s="8" t="str">
        <f>"29928"</f>
        <v>29928</v>
      </c>
      <c r="W594" t="s">
        <v>118</v>
      </c>
      <c r="Y594" s="10">
        <v>18433411833</v>
      </c>
      <c r="AA594">
        <v>72111</v>
      </c>
      <c r="AB594" t="s">
        <v>11354</v>
      </c>
      <c r="AC594" t="s">
        <v>2754</v>
      </c>
      <c r="AD594" t="s">
        <v>962</v>
      </c>
      <c r="AE594" t="s">
        <v>1189</v>
      </c>
      <c r="AF594" t="s">
        <v>11353</v>
      </c>
      <c r="AH594" t="s">
        <v>3413</v>
      </c>
      <c r="AI594" t="s">
        <v>1691</v>
      </c>
      <c r="AJ594" s="8" t="str">
        <f>"29928"</f>
        <v>29928</v>
      </c>
      <c r="AK594" t="s">
        <v>118</v>
      </c>
      <c r="AM594" s="10">
        <v>18438422400</v>
      </c>
      <c r="AO594" t="s">
        <v>11355</v>
      </c>
      <c r="AP594" t="s">
        <v>248</v>
      </c>
      <c r="AQ594" t="s">
        <v>960</v>
      </c>
      <c r="AR594" t="s">
        <v>961</v>
      </c>
      <c r="AS594" t="s">
        <v>962</v>
      </c>
      <c r="AT594" t="s">
        <v>963</v>
      </c>
      <c r="AU594" t="s">
        <v>296</v>
      </c>
      <c r="AV594" t="s">
        <v>964</v>
      </c>
      <c r="AW594" t="s">
        <v>127</v>
      </c>
      <c r="AX594" s="8" t="str">
        <f>"75033"</f>
        <v>75033</v>
      </c>
      <c r="AY594" t="s">
        <v>118</v>
      </c>
      <c r="BA594" s="10">
        <v>19727789690</v>
      </c>
      <c r="BC594" t="s">
        <v>1939</v>
      </c>
      <c r="BD594" t="s">
        <v>966</v>
      </c>
      <c r="BG594" t="s">
        <v>1691</v>
      </c>
      <c r="BH594" s="1">
        <v>45232.833333333336</v>
      </c>
      <c r="BI594">
        <v>40</v>
      </c>
      <c r="BJ594">
        <v>8</v>
      </c>
      <c r="BK594">
        <v>0</v>
      </c>
      <c r="BL594">
        <v>0</v>
      </c>
      <c r="BM594">
        <v>8</v>
      </c>
      <c r="BN594">
        <v>8</v>
      </c>
      <c r="BO594">
        <v>8</v>
      </c>
      <c r="BP594">
        <v>8</v>
      </c>
      <c r="BQ594" t="str">
        <f>"8:00 AM"</f>
        <v>8:00 AM</v>
      </c>
      <c r="BR594" t="str">
        <f>"4:30 PM"</f>
        <v>4:30 PM</v>
      </c>
      <c r="BS594" t="s">
        <v>131</v>
      </c>
      <c r="BT594">
        <v>0</v>
      </c>
      <c r="BU594">
        <v>0</v>
      </c>
      <c r="BV594" t="s">
        <v>114</v>
      </c>
      <c r="BX594" s="2" t="s">
        <v>21241</v>
      </c>
      <c r="BY594" t="s">
        <v>11357</v>
      </c>
      <c r="CA594" t="s">
        <v>3415</v>
      </c>
      <c r="CB594" t="s">
        <v>1691</v>
      </c>
      <c r="CC594" s="8" t="str">
        <f>"29928"</f>
        <v>29928</v>
      </c>
      <c r="CD594" t="s">
        <v>3136</v>
      </c>
      <c r="CE594" t="s">
        <v>2584</v>
      </c>
      <c r="CF594" s="12">
        <v>13.75</v>
      </c>
      <c r="CH594" s="12">
        <v>20.63</v>
      </c>
      <c r="CJ594" t="s">
        <v>135</v>
      </c>
      <c r="CK594" t="s">
        <v>1840</v>
      </c>
      <c r="CL594" t="s">
        <v>21242</v>
      </c>
      <c r="CO594" t="s">
        <v>132</v>
      </c>
      <c r="CP594" t="s">
        <v>114</v>
      </c>
      <c r="CQ594" t="s">
        <v>136</v>
      </c>
      <c r="CR594" t="s">
        <v>136</v>
      </c>
      <c r="CS594" t="s">
        <v>136</v>
      </c>
      <c r="CT594" t="s">
        <v>136</v>
      </c>
      <c r="CU594" t="s">
        <v>136</v>
      </c>
      <c r="CV594" s="2" t="s">
        <v>11359</v>
      </c>
      <c r="CW594" s="10" t="str">
        <f>"+18438422400"</f>
        <v>+18438422400</v>
      </c>
      <c r="CX594" t="s">
        <v>132</v>
      </c>
      <c r="CY594" t="s">
        <v>3524</v>
      </c>
      <c r="CZ594" t="s">
        <v>137</v>
      </c>
      <c r="DA594" t="s">
        <v>114</v>
      </c>
      <c r="DB594" t="s">
        <v>136</v>
      </c>
      <c r="DC594" t="s">
        <v>136</v>
      </c>
      <c r="DD594" t="s">
        <v>114</v>
      </c>
    </row>
    <row r="595" spans="1:113" ht="15" customHeight="1" x14ac:dyDescent="0.25">
      <c r="A595" t="s">
        <v>18952</v>
      </c>
      <c r="B595" t="s">
        <v>152</v>
      </c>
      <c r="C595" s="1">
        <v>45233.225002893516</v>
      </c>
      <c r="D595" s="1">
        <v>45260</v>
      </c>
      <c r="E595" t="s">
        <v>132</v>
      </c>
      <c r="F595" t="s">
        <v>1247</v>
      </c>
      <c r="G595" t="str">
        <f>"45-4011.00"</f>
        <v>45-4011.00</v>
      </c>
      <c r="H595" t="s">
        <v>842</v>
      </c>
      <c r="I595">
        <v>90</v>
      </c>
      <c r="J595">
        <v>90</v>
      </c>
      <c r="K595" s="1">
        <v>45323</v>
      </c>
      <c r="L595" s="1">
        <v>45596</v>
      </c>
      <c r="M595" s="1">
        <v>45323</v>
      </c>
      <c r="N595" s="1">
        <v>45596</v>
      </c>
      <c r="O595" t="s">
        <v>238</v>
      </c>
      <c r="P595" t="s">
        <v>18953</v>
      </c>
      <c r="R595" t="s">
        <v>18954</v>
      </c>
      <c r="T595" t="s">
        <v>853</v>
      </c>
      <c r="U595" t="s">
        <v>854</v>
      </c>
      <c r="V595" s="8" t="str">
        <f>"83815"</f>
        <v>83815</v>
      </c>
      <c r="W595" t="s">
        <v>118</v>
      </c>
      <c r="Y595" s="10">
        <v>12086605701</v>
      </c>
      <c r="AA595">
        <v>11531</v>
      </c>
      <c r="AB595" t="s">
        <v>18955</v>
      </c>
      <c r="AC595" t="s">
        <v>3176</v>
      </c>
      <c r="AE595" t="s">
        <v>1580</v>
      </c>
      <c r="AF595" t="s">
        <v>18954</v>
      </c>
      <c r="AH595" t="s">
        <v>853</v>
      </c>
      <c r="AI595" t="s">
        <v>854</v>
      </c>
      <c r="AJ595" s="8" t="str">
        <f>"83815"</f>
        <v>83815</v>
      </c>
      <c r="AK595" t="s">
        <v>118</v>
      </c>
      <c r="AM595" s="10">
        <v>12086605701</v>
      </c>
      <c r="AO595" t="s">
        <v>18956</v>
      </c>
      <c r="AP595" t="s">
        <v>248</v>
      </c>
      <c r="AQ595" t="s">
        <v>1894</v>
      </c>
      <c r="AR595" t="s">
        <v>1895</v>
      </c>
      <c r="AS595" t="s">
        <v>132</v>
      </c>
      <c r="AT595" t="s">
        <v>1032</v>
      </c>
      <c r="AU595" t="s">
        <v>852</v>
      </c>
      <c r="AV595" t="s">
        <v>853</v>
      </c>
      <c r="AW595" t="s">
        <v>854</v>
      </c>
      <c r="AX595" s="8" t="str">
        <f>"83814"</f>
        <v>83814</v>
      </c>
      <c r="AY595" t="s">
        <v>118</v>
      </c>
      <c r="BA595" s="10">
        <v>12087772654</v>
      </c>
      <c r="BC595" t="s">
        <v>1896</v>
      </c>
      <c r="BD595" t="s">
        <v>856</v>
      </c>
      <c r="BG595" t="s">
        <v>854</v>
      </c>
      <c r="BH595" s="1">
        <v>45182.833333333336</v>
      </c>
      <c r="BI595">
        <v>40</v>
      </c>
      <c r="BJ595">
        <v>0</v>
      </c>
      <c r="BK595">
        <v>8</v>
      </c>
      <c r="BL595">
        <v>8</v>
      </c>
      <c r="BM595">
        <v>8</v>
      </c>
      <c r="BN595">
        <v>8</v>
      </c>
      <c r="BO595">
        <v>8</v>
      </c>
      <c r="BP595">
        <v>0</v>
      </c>
      <c r="BQ595" t="str">
        <f>"7:00 AM"</f>
        <v>7:00 AM</v>
      </c>
      <c r="BR595" t="str">
        <f>"3:30 PM"</f>
        <v>3:30 PM</v>
      </c>
      <c r="BS595" t="s">
        <v>131</v>
      </c>
      <c r="BT595">
        <v>0</v>
      </c>
      <c r="BU595">
        <v>3</v>
      </c>
      <c r="BV595" t="s">
        <v>114</v>
      </c>
      <c r="BX595" s="2" t="s">
        <v>18957</v>
      </c>
      <c r="BY595" t="s">
        <v>18958</v>
      </c>
      <c r="CA595" t="s">
        <v>853</v>
      </c>
      <c r="CB595" t="s">
        <v>854</v>
      </c>
      <c r="CC595" s="8" t="str">
        <f>"83815"</f>
        <v>83815</v>
      </c>
      <c r="CD595" t="s">
        <v>2552</v>
      </c>
      <c r="CE595" t="s">
        <v>2553</v>
      </c>
      <c r="CF595" s="12">
        <v>17.09</v>
      </c>
      <c r="CG595" s="12">
        <v>23.94</v>
      </c>
      <c r="CH595" s="12">
        <v>25.64</v>
      </c>
      <c r="CI595" s="12">
        <v>35.909999999999997</v>
      </c>
      <c r="CJ595" t="s">
        <v>135</v>
      </c>
      <c r="CK595" t="s">
        <v>2793</v>
      </c>
      <c r="CL595" t="s">
        <v>18959</v>
      </c>
      <c r="CO595" t="s">
        <v>132</v>
      </c>
      <c r="CP595" t="s">
        <v>136</v>
      </c>
      <c r="CQ595" t="s">
        <v>136</v>
      </c>
      <c r="CR595" t="s">
        <v>136</v>
      </c>
      <c r="CS595" t="s">
        <v>114</v>
      </c>
      <c r="CT595" t="s">
        <v>136</v>
      </c>
      <c r="CU595" t="s">
        <v>136</v>
      </c>
      <c r="CV595" t="s">
        <v>1040</v>
      </c>
      <c r="CW595" s="10" t="str">
        <f>"+12086605701"</f>
        <v>+12086605701</v>
      </c>
      <c r="CX595" t="s">
        <v>18960</v>
      </c>
      <c r="CY595" t="s">
        <v>132</v>
      </c>
      <c r="CZ595" t="s">
        <v>137</v>
      </c>
      <c r="DA595" t="s">
        <v>114</v>
      </c>
      <c r="DB595" t="s">
        <v>114</v>
      </c>
      <c r="DC595" t="s">
        <v>136</v>
      </c>
      <c r="DD595" t="s">
        <v>114</v>
      </c>
    </row>
    <row r="596" spans="1:113" ht="15" customHeight="1" x14ac:dyDescent="0.25">
      <c r="A596" t="s">
        <v>9526</v>
      </c>
      <c r="B596" t="s">
        <v>152</v>
      </c>
      <c r="C596" s="1">
        <v>45233.009004050924</v>
      </c>
      <c r="D596" s="1">
        <v>45260</v>
      </c>
      <c r="E596" t="s">
        <v>132</v>
      </c>
      <c r="F596" t="s">
        <v>1595</v>
      </c>
      <c r="G596" t="str">
        <f>"37-3011.00"</f>
        <v>37-3011.00</v>
      </c>
      <c r="H596" t="s">
        <v>429</v>
      </c>
      <c r="I596">
        <v>40</v>
      </c>
      <c r="J596">
        <v>40</v>
      </c>
      <c r="K596" s="1">
        <v>45323</v>
      </c>
      <c r="L596" s="1">
        <v>45627</v>
      </c>
      <c r="M596" s="1">
        <v>45323</v>
      </c>
      <c r="N596" s="1">
        <v>45627</v>
      </c>
      <c r="O596" t="s">
        <v>116</v>
      </c>
      <c r="P596" t="s">
        <v>9527</v>
      </c>
      <c r="R596" t="s">
        <v>9528</v>
      </c>
      <c r="T596" t="s">
        <v>2564</v>
      </c>
      <c r="U596" t="s">
        <v>127</v>
      </c>
      <c r="V596" s="8" t="str">
        <f>"77043"</f>
        <v>77043</v>
      </c>
      <c r="W596" t="s">
        <v>118</v>
      </c>
      <c r="Y596" s="10">
        <v>19724884769</v>
      </c>
      <c r="AA596">
        <v>56173</v>
      </c>
      <c r="AB596" t="s">
        <v>1841</v>
      </c>
      <c r="AC596" t="s">
        <v>250</v>
      </c>
      <c r="AD596" t="s">
        <v>2103</v>
      </c>
      <c r="AE596" t="s">
        <v>9529</v>
      </c>
      <c r="AF596" t="s">
        <v>9528</v>
      </c>
      <c r="AH596" t="s">
        <v>2564</v>
      </c>
      <c r="AI596" t="s">
        <v>127</v>
      </c>
      <c r="AJ596" s="8" t="str">
        <f>"77043"</f>
        <v>77043</v>
      </c>
      <c r="AK596" t="s">
        <v>118</v>
      </c>
      <c r="AM596" s="10">
        <v>19724884769</v>
      </c>
      <c r="AO596" t="s">
        <v>9530</v>
      </c>
      <c r="AP596" t="s">
        <v>248</v>
      </c>
      <c r="AQ596" t="s">
        <v>960</v>
      </c>
      <c r="AR596" t="s">
        <v>961</v>
      </c>
      <c r="AS596" t="s">
        <v>962</v>
      </c>
      <c r="AT596" t="s">
        <v>963</v>
      </c>
      <c r="AU596" t="s">
        <v>296</v>
      </c>
      <c r="AV596" t="s">
        <v>964</v>
      </c>
      <c r="AW596" t="s">
        <v>127</v>
      </c>
      <c r="AX596" s="8" t="str">
        <f>"75033"</f>
        <v>75033</v>
      </c>
      <c r="AY596" t="s">
        <v>118</v>
      </c>
      <c r="BA596" s="10">
        <v>19727789690</v>
      </c>
      <c r="BC596" t="s">
        <v>1951</v>
      </c>
      <c r="BD596" t="s">
        <v>966</v>
      </c>
      <c r="BG596" t="s">
        <v>127</v>
      </c>
      <c r="BH596" s="1">
        <v>45232.833333333336</v>
      </c>
      <c r="BI596">
        <v>40</v>
      </c>
      <c r="BJ596">
        <v>0</v>
      </c>
      <c r="BK596">
        <v>8</v>
      </c>
      <c r="BL596">
        <v>8</v>
      </c>
      <c r="BM596">
        <v>8</v>
      </c>
      <c r="BN596">
        <v>8</v>
      </c>
      <c r="BO596">
        <v>8</v>
      </c>
      <c r="BP596">
        <v>0</v>
      </c>
      <c r="BQ596" t="str">
        <f>"7:00 AM"</f>
        <v>7:00 AM</v>
      </c>
      <c r="BR596" t="str">
        <f>"4:00 PM"</f>
        <v>4:00 PM</v>
      </c>
      <c r="BS596" t="s">
        <v>131</v>
      </c>
      <c r="BT596">
        <v>0</v>
      </c>
      <c r="BU596">
        <v>0</v>
      </c>
      <c r="BV596" t="s">
        <v>114</v>
      </c>
      <c r="BX596" s="2" t="s">
        <v>9531</v>
      </c>
      <c r="BY596" t="s">
        <v>9528</v>
      </c>
      <c r="CA596" t="s">
        <v>2564</v>
      </c>
      <c r="CB596" t="s">
        <v>127</v>
      </c>
      <c r="CC596" s="8" t="str">
        <f>"77043"</f>
        <v>77043</v>
      </c>
      <c r="CD596" t="s">
        <v>3327</v>
      </c>
      <c r="CE596" t="s">
        <v>879</v>
      </c>
      <c r="CF596" s="12">
        <v>16.29</v>
      </c>
      <c r="CG596" s="12">
        <v>16.29</v>
      </c>
      <c r="CH596" s="12">
        <v>24.44</v>
      </c>
      <c r="CI596" s="12">
        <v>24.44</v>
      </c>
      <c r="CJ596" t="s">
        <v>135</v>
      </c>
      <c r="CK596" t="s">
        <v>973</v>
      </c>
      <c r="CL596" t="s">
        <v>9532</v>
      </c>
      <c r="CO596" t="s">
        <v>132</v>
      </c>
      <c r="CP596" t="s">
        <v>136</v>
      </c>
      <c r="CQ596" t="s">
        <v>136</v>
      </c>
      <c r="CR596" t="s">
        <v>136</v>
      </c>
      <c r="CS596" t="s">
        <v>136</v>
      </c>
      <c r="CT596" t="s">
        <v>136</v>
      </c>
      <c r="CU596" t="s">
        <v>136</v>
      </c>
      <c r="CV596" s="2" t="s">
        <v>9533</v>
      </c>
      <c r="CW596" s="10" t="str">
        <f>"+19724884769"</f>
        <v>+19724884769</v>
      </c>
      <c r="CX596" t="s">
        <v>132</v>
      </c>
      <c r="CY596" t="s">
        <v>1853</v>
      </c>
      <c r="CZ596" t="s">
        <v>137</v>
      </c>
      <c r="DA596" t="s">
        <v>114</v>
      </c>
      <c r="DB596" t="s">
        <v>136</v>
      </c>
      <c r="DC596" t="s">
        <v>136</v>
      </c>
      <c r="DD596" t="s">
        <v>114</v>
      </c>
    </row>
    <row r="597" spans="1:113" ht="15" customHeight="1" x14ac:dyDescent="0.25">
      <c r="A597" t="s">
        <v>3498</v>
      </c>
      <c r="B597" t="s">
        <v>152</v>
      </c>
      <c r="C597" s="1">
        <v>45233.005490277777</v>
      </c>
      <c r="D597" s="1">
        <v>45260</v>
      </c>
      <c r="E597" t="s">
        <v>132</v>
      </c>
      <c r="F597" t="s">
        <v>1595</v>
      </c>
      <c r="G597" t="str">
        <f>"37-3011.00"</f>
        <v>37-3011.00</v>
      </c>
      <c r="H597" t="s">
        <v>429</v>
      </c>
      <c r="I597">
        <v>70</v>
      </c>
      <c r="J597">
        <v>70</v>
      </c>
      <c r="K597" s="1">
        <v>45323</v>
      </c>
      <c r="L597" s="1">
        <v>45626</v>
      </c>
      <c r="M597" s="1">
        <v>45323</v>
      </c>
      <c r="N597" s="1">
        <v>45626</v>
      </c>
      <c r="O597" t="s">
        <v>116</v>
      </c>
      <c r="P597" t="s">
        <v>3499</v>
      </c>
      <c r="R597" t="s">
        <v>3500</v>
      </c>
      <c r="T597" t="s">
        <v>3501</v>
      </c>
      <c r="U597" t="s">
        <v>127</v>
      </c>
      <c r="V597" s="8" t="str">
        <f>"75081"</f>
        <v>75081</v>
      </c>
      <c r="W597" t="s">
        <v>118</v>
      </c>
      <c r="Y597" s="10">
        <v>19724245726</v>
      </c>
      <c r="AA597">
        <v>56173</v>
      </c>
      <c r="AB597" t="s">
        <v>3319</v>
      </c>
      <c r="AC597" t="s">
        <v>3502</v>
      </c>
      <c r="AE597" t="s">
        <v>629</v>
      </c>
      <c r="AF597" t="s">
        <v>3500</v>
      </c>
      <c r="AH597" t="s">
        <v>3501</v>
      </c>
      <c r="AI597" t="s">
        <v>127</v>
      </c>
      <c r="AJ597" s="8" t="str">
        <f>"75081"</f>
        <v>75081</v>
      </c>
      <c r="AK597" t="s">
        <v>118</v>
      </c>
      <c r="AM597" s="10">
        <v>19724245726</v>
      </c>
      <c r="AO597" t="s">
        <v>3503</v>
      </c>
      <c r="AP597" t="s">
        <v>248</v>
      </c>
      <c r="AQ597" t="s">
        <v>2732</v>
      </c>
      <c r="AR597" t="s">
        <v>2733</v>
      </c>
      <c r="AT597" t="s">
        <v>1253</v>
      </c>
      <c r="AU597" t="s">
        <v>852</v>
      </c>
      <c r="AV597" t="s">
        <v>853</v>
      </c>
      <c r="AW597" t="s">
        <v>854</v>
      </c>
      <c r="AX597" s="8" t="str">
        <f>"83814"</f>
        <v>83814</v>
      </c>
      <c r="AY597" t="s">
        <v>118</v>
      </c>
      <c r="BA597" s="10">
        <v>12087772654</v>
      </c>
      <c r="BC597" t="s">
        <v>2734</v>
      </c>
      <c r="BD597" t="s">
        <v>856</v>
      </c>
      <c r="BG597" t="s">
        <v>127</v>
      </c>
      <c r="BH597" s="1">
        <v>45231.833333333336</v>
      </c>
      <c r="BI597">
        <v>40</v>
      </c>
      <c r="BJ597">
        <v>0</v>
      </c>
      <c r="BK597">
        <v>8</v>
      </c>
      <c r="BL597">
        <v>8</v>
      </c>
      <c r="BM597">
        <v>8</v>
      </c>
      <c r="BN597">
        <v>8</v>
      </c>
      <c r="BO597">
        <v>8</v>
      </c>
      <c r="BP597">
        <v>0</v>
      </c>
      <c r="BQ597" t="str">
        <f>"7:00 AM"</f>
        <v>7:00 AM</v>
      </c>
      <c r="BR597" t="str">
        <f>"4:00 PM"</f>
        <v>4:00 PM</v>
      </c>
      <c r="BS597" t="s">
        <v>131</v>
      </c>
      <c r="BT597">
        <v>0</v>
      </c>
      <c r="BU597">
        <v>0</v>
      </c>
      <c r="BV597" t="s">
        <v>114</v>
      </c>
      <c r="BX597" t="s">
        <v>2670</v>
      </c>
      <c r="BY597" t="s">
        <v>3504</v>
      </c>
      <c r="BZ597" t="s">
        <v>2308</v>
      </c>
      <c r="CA597" t="s">
        <v>3501</v>
      </c>
      <c r="CB597" t="s">
        <v>127</v>
      </c>
      <c r="CC597" s="8" t="str">
        <f>"75081"</f>
        <v>75081</v>
      </c>
      <c r="CD597" t="s">
        <v>2301</v>
      </c>
      <c r="CE597" t="s">
        <v>263</v>
      </c>
      <c r="CF597" s="12">
        <v>16.86</v>
      </c>
      <c r="CG597" s="12">
        <v>20</v>
      </c>
      <c r="CH597" s="12">
        <v>25.29</v>
      </c>
      <c r="CI597" s="12">
        <v>30</v>
      </c>
      <c r="CJ597" t="s">
        <v>135</v>
      </c>
      <c r="CK597" t="s">
        <v>1899</v>
      </c>
      <c r="CL597" t="s">
        <v>3505</v>
      </c>
      <c r="CO597" t="s">
        <v>132</v>
      </c>
      <c r="CP597" t="s">
        <v>136</v>
      </c>
      <c r="CQ597" t="s">
        <v>136</v>
      </c>
      <c r="CR597" t="s">
        <v>136</v>
      </c>
      <c r="CS597" t="s">
        <v>136</v>
      </c>
      <c r="CT597" t="s">
        <v>136</v>
      </c>
      <c r="CU597" t="s">
        <v>114</v>
      </c>
      <c r="CV597" t="s">
        <v>132</v>
      </c>
      <c r="CW597" s="10" t="str">
        <f>"+19724245726"</f>
        <v>+19724245726</v>
      </c>
      <c r="CX597" t="s">
        <v>3503</v>
      </c>
      <c r="CY597" t="s">
        <v>132</v>
      </c>
      <c r="CZ597" t="s">
        <v>137</v>
      </c>
      <c r="DA597" t="s">
        <v>114</v>
      </c>
      <c r="DB597" t="s">
        <v>136</v>
      </c>
      <c r="DC597" t="s">
        <v>136</v>
      </c>
      <c r="DD597" t="s">
        <v>114</v>
      </c>
    </row>
    <row r="598" spans="1:113" ht="15" customHeight="1" x14ac:dyDescent="0.25">
      <c r="A598" t="s">
        <v>23092</v>
      </c>
      <c r="B598" t="s">
        <v>152</v>
      </c>
      <c r="C598" s="1">
        <v>45233.004801504627</v>
      </c>
      <c r="D598" s="1">
        <v>45260</v>
      </c>
      <c r="E598" t="s">
        <v>132</v>
      </c>
      <c r="F598" t="s">
        <v>1595</v>
      </c>
      <c r="G598" t="str">
        <f>"37-3011.00"</f>
        <v>37-3011.00</v>
      </c>
      <c r="H598" t="s">
        <v>429</v>
      </c>
      <c r="I598">
        <v>92</v>
      </c>
      <c r="J598">
        <v>92</v>
      </c>
      <c r="K598" s="1">
        <v>45323</v>
      </c>
      <c r="L598" s="1">
        <v>45611</v>
      </c>
      <c r="M598" s="1">
        <v>45323</v>
      </c>
      <c r="N598" s="1">
        <v>45611</v>
      </c>
      <c r="O598" t="s">
        <v>116</v>
      </c>
      <c r="P598" t="s">
        <v>23093</v>
      </c>
      <c r="R598" t="s">
        <v>6404</v>
      </c>
      <c r="T598" t="s">
        <v>6399</v>
      </c>
      <c r="U598" t="s">
        <v>2608</v>
      </c>
      <c r="V598" s="8" t="str">
        <f>"73034"</f>
        <v>73034</v>
      </c>
      <c r="W598" t="s">
        <v>118</v>
      </c>
      <c r="Y598" s="10">
        <v>14058448908</v>
      </c>
      <c r="AA598">
        <v>56173</v>
      </c>
      <c r="AB598" t="s">
        <v>6400</v>
      </c>
      <c r="AC598" t="s">
        <v>6401</v>
      </c>
      <c r="AD598" t="s">
        <v>5940</v>
      </c>
      <c r="AE598" t="s">
        <v>438</v>
      </c>
      <c r="AF598" t="s">
        <v>6398</v>
      </c>
      <c r="AH598" t="s">
        <v>6399</v>
      </c>
      <c r="AI598" t="s">
        <v>2608</v>
      </c>
      <c r="AJ598" s="8" t="str">
        <f>"73034"</f>
        <v>73034</v>
      </c>
      <c r="AK598" t="s">
        <v>118</v>
      </c>
      <c r="AM598" s="10">
        <v>14058448908</v>
      </c>
      <c r="AO598" t="s">
        <v>6402</v>
      </c>
      <c r="AP598" t="s">
        <v>248</v>
      </c>
      <c r="AQ598" t="s">
        <v>960</v>
      </c>
      <c r="AR598" t="s">
        <v>961</v>
      </c>
      <c r="AS598" t="s">
        <v>962</v>
      </c>
      <c r="AT598" t="s">
        <v>963</v>
      </c>
      <c r="AU598" t="s">
        <v>296</v>
      </c>
      <c r="AV598" t="s">
        <v>964</v>
      </c>
      <c r="AW598" t="s">
        <v>127</v>
      </c>
      <c r="AX598" s="8" t="str">
        <f>"75033"</f>
        <v>75033</v>
      </c>
      <c r="AY598" t="s">
        <v>118</v>
      </c>
      <c r="BA598" s="10">
        <v>19727789690</v>
      </c>
      <c r="BC598" t="s">
        <v>2964</v>
      </c>
      <c r="BD598" t="s">
        <v>966</v>
      </c>
      <c r="BG598" t="s">
        <v>2608</v>
      </c>
      <c r="BH598" s="1">
        <v>45232.833333333336</v>
      </c>
      <c r="BI598">
        <v>48</v>
      </c>
      <c r="BJ598">
        <v>8</v>
      </c>
      <c r="BK598">
        <v>8</v>
      </c>
      <c r="BL598">
        <v>0</v>
      </c>
      <c r="BM598">
        <v>8</v>
      </c>
      <c r="BN598">
        <v>8</v>
      </c>
      <c r="BO598">
        <v>8</v>
      </c>
      <c r="BP598">
        <v>8</v>
      </c>
      <c r="BQ598" t="str">
        <f>"8:00 AM"</f>
        <v>8:00 AM</v>
      </c>
      <c r="BR598" t="str">
        <f>"5:00 PM"</f>
        <v>5:00 PM</v>
      </c>
      <c r="BS598" t="s">
        <v>131</v>
      </c>
      <c r="BT598">
        <v>0</v>
      </c>
      <c r="BU598">
        <v>0</v>
      </c>
      <c r="BV598" t="s">
        <v>114</v>
      </c>
      <c r="BX598" t="s">
        <v>23094</v>
      </c>
      <c r="BY598" t="s">
        <v>6398</v>
      </c>
      <c r="CA598" t="s">
        <v>5840</v>
      </c>
      <c r="CB598" t="s">
        <v>2608</v>
      </c>
      <c r="CC598" s="8" t="str">
        <f>"73034"</f>
        <v>73034</v>
      </c>
      <c r="CD598" t="s">
        <v>3576</v>
      </c>
      <c r="CE598" t="s">
        <v>3577</v>
      </c>
      <c r="CF598" s="12">
        <v>16.149999999999999</v>
      </c>
      <c r="CG598" s="12">
        <v>16.149999999999999</v>
      </c>
      <c r="CH598" s="12">
        <v>24.23</v>
      </c>
      <c r="CI598" s="12">
        <v>24.23</v>
      </c>
      <c r="CJ598" t="s">
        <v>135</v>
      </c>
      <c r="CK598" t="s">
        <v>973</v>
      </c>
      <c r="CL598" t="s">
        <v>23095</v>
      </c>
      <c r="CO598" t="s">
        <v>132</v>
      </c>
      <c r="CP598" t="s">
        <v>136</v>
      </c>
      <c r="CQ598" t="s">
        <v>136</v>
      </c>
      <c r="CR598" t="s">
        <v>136</v>
      </c>
      <c r="CS598" t="s">
        <v>136</v>
      </c>
      <c r="CT598" t="s">
        <v>136</v>
      </c>
      <c r="CU598" t="s">
        <v>136</v>
      </c>
      <c r="CV598" t="s">
        <v>23096</v>
      </c>
      <c r="CW598" s="10" t="str">
        <f>"+14058448908"</f>
        <v>+14058448908</v>
      </c>
      <c r="CX598" t="s">
        <v>132</v>
      </c>
      <c r="CY598" t="s">
        <v>3447</v>
      </c>
      <c r="CZ598" t="s">
        <v>137</v>
      </c>
      <c r="DA598" t="s">
        <v>114</v>
      </c>
      <c r="DB598" t="s">
        <v>136</v>
      </c>
      <c r="DC598" t="s">
        <v>136</v>
      </c>
      <c r="DD598" t="s">
        <v>114</v>
      </c>
    </row>
    <row r="599" spans="1:113" ht="15" customHeight="1" x14ac:dyDescent="0.25">
      <c r="A599" t="s">
        <v>7925</v>
      </c>
      <c r="B599" t="s">
        <v>152</v>
      </c>
      <c r="C599" s="1">
        <v>45233.002956249999</v>
      </c>
      <c r="D599" s="1">
        <v>45260</v>
      </c>
      <c r="E599" t="s">
        <v>132</v>
      </c>
      <c r="F599" t="s">
        <v>2081</v>
      </c>
      <c r="G599" t="str">
        <f>"37-3011.00"</f>
        <v>37-3011.00</v>
      </c>
      <c r="H599" t="s">
        <v>429</v>
      </c>
      <c r="I599">
        <v>23</v>
      </c>
      <c r="J599">
        <v>23</v>
      </c>
      <c r="K599" s="1">
        <v>45323</v>
      </c>
      <c r="L599" s="1">
        <v>45626</v>
      </c>
      <c r="M599" s="1">
        <v>45323</v>
      </c>
      <c r="N599" s="1">
        <v>45626</v>
      </c>
      <c r="O599" t="s">
        <v>116</v>
      </c>
      <c r="P599" t="s">
        <v>4924</v>
      </c>
      <c r="R599" t="s">
        <v>4925</v>
      </c>
      <c r="T599" t="s">
        <v>4926</v>
      </c>
      <c r="U599" t="s">
        <v>1722</v>
      </c>
      <c r="V599" s="8" t="str">
        <f>"20882"</f>
        <v>20882</v>
      </c>
      <c r="W599" t="s">
        <v>118</v>
      </c>
      <c r="Y599" s="10">
        <v>13014820300</v>
      </c>
      <c r="AA599">
        <v>56173</v>
      </c>
      <c r="AB599" t="s">
        <v>4927</v>
      </c>
      <c r="AC599" t="s">
        <v>4928</v>
      </c>
      <c r="AE599" t="s">
        <v>1104</v>
      </c>
      <c r="AF599" t="s">
        <v>4925</v>
      </c>
      <c r="AH599" t="s">
        <v>4926</v>
      </c>
      <c r="AI599" t="s">
        <v>1722</v>
      </c>
      <c r="AJ599" s="8" t="str">
        <f>"20882"</f>
        <v>20882</v>
      </c>
      <c r="AK599" t="s">
        <v>118</v>
      </c>
      <c r="AM599" s="10">
        <v>13014820300</v>
      </c>
      <c r="AO599" t="s">
        <v>4929</v>
      </c>
      <c r="AP599" t="s">
        <v>248</v>
      </c>
      <c r="AQ599" t="s">
        <v>2152</v>
      </c>
      <c r="AR599" t="s">
        <v>2153</v>
      </c>
      <c r="AS599" t="s">
        <v>1798</v>
      </c>
      <c r="AT599" t="s">
        <v>1253</v>
      </c>
      <c r="AU599" t="s">
        <v>852</v>
      </c>
      <c r="AV599" t="s">
        <v>853</v>
      </c>
      <c r="AW599" t="s">
        <v>854</v>
      </c>
      <c r="AX599" s="8" t="str">
        <f>"83814"</f>
        <v>83814</v>
      </c>
      <c r="AY599" t="s">
        <v>118</v>
      </c>
      <c r="BA599" s="10">
        <v>12087772654</v>
      </c>
      <c r="BC599" t="s">
        <v>2154</v>
      </c>
      <c r="BD599" t="s">
        <v>856</v>
      </c>
      <c r="BG599" t="s">
        <v>127</v>
      </c>
      <c r="BH599" s="1">
        <v>45230.833333333336</v>
      </c>
      <c r="BI599">
        <v>40</v>
      </c>
      <c r="BJ599">
        <v>0</v>
      </c>
      <c r="BK599">
        <v>8</v>
      </c>
      <c r="BL599">
        <v>8</v>
      </c>
      <c r="BM599">
        <v>8</v>
      </c>
      <c r="BN599">
        <v>8</v>
      </c>
      <c r="BO599">
        <v>8</v>
      </c>
      <c r="BP599">
        <v>0</v>
      </c>
      <c r="BQ599" t="str">
        <f>"6:30 AM"</f>
        <v>6:30 AM</v>
      </c>
      <c r="BR599" t="str">
        <f>"3:30 PM"</f>
        <v>3:30 PM</v>
      </c>
      <c r="BS599" t="s">
        <v>131</v>
      </c>
      <c r="BT599">
        <v>0</v>
      </c>
      <c r="BU599">
        <v>0</v>
      </c>
      <c r="BV599" t="s">
        <v>114</v>
      </c>
      <c r="BX599" t="s">
        <v>3304</v>
      </c>
      <c r="BY599" t="s">
        <v>7926</v>
      </c>
      <c r="CA599" t="s">
        <v>5704</v>
      </c>
      <c r="CB599" t="s">
        <v>127</v>
      </c>
      <c r="CC599" s="8" t="str">
        <f>"77373"</f>
        <v>77373</v>
      </c>
      <c r="CD599" t="s">
        <v>3327</v>
      </c>
      <c r="CE599" t="s">
        <v>879</v>
      </c>
      <c r="CF599" s="12">
        <v>16.29</v>
      </c>
      <c r="CG599" s="12">
        <v>20</v>
      </c>
      <c r="CH599" s="12">
        <v>24.44</v>
      </c>
      <c r="CI599" s="12">
        <v>30</v>
      </c>
      <c r="CJ599" t="s">
        <v>135</v>
      </c>
      <c r="CK599" t="s">
        <v>1899</v>
      </c>
      <c r="CL599" t="s">
        <v>7927</v>
      </c>
      <c r="CO599" t="s">
        <v>132</v>
      </c>
      <c r="CP599" t="s">
        <v>136</v>
      </c>
      <c r="CQ599" t="s">
        <v>136</v>
      </c>
      <c r="CR599" t="s">
        <v>136</v>
      </c>
      <c r="CS599" t="s">
        <v>136</v>
      </c>
      <c r="CT599" t="s">
        <v>136</v>
      </c>
      <c r="CU599" t="s">
        <v>136</v>
      </c>
      <c r="CV599" s="2" t="s">
        <v>7928</v>
      </c>
      <c r="CW599" s="10" t="str">
        <f>"+12818886116"</f>
        <v>+12818886116</v>
      </c>
      <c r="CX599" t="s">
        <v>7929</v>
      </c>
      <c r="CY599" t="s">
        <v>132</v>
      </c>
      <c r="CZ599" t="s">
        <v>137</v>
      </c>
      <c r="DA599" t="s">
        <v>114</v>
      </c>
      <c r="DB599" t="s">
        <v>136</v>
      </c>
      <c r="DC599" t="s">
        <v>136</v>
      </c>
      <c r="DD599" t="s">
        <v>114</v>
      </c>
    </row>
    <row r="600" spans="1:113" ht="15" customHeight="1" x14ac:dyDescent="0.25">
      <c r="A600" t="s">
        <v>4973</v>
      </c>
      <c r="B600" t="s">
        <v>152</v>
      </c>
      <c r="C600" s="1">
        <v>45233.002939699072</v>
      </c>
      <c r="D600" s="1">
        <v>45260</v>
      </c>
      <c r="E600" t="s">
        <v>132</v>
      </c>
      <c r="F600" t="s">
        <v>1595</v>
      </c>
      <c r="G600" t="str">
        <f>"37-3011.00"</f>
        <v>37-3011.00</v>
      </c>
      <c r="H600" t="s">
        <v>429</v>
      </c>
      <c r="I600">
        <v>3</v>
      </c>
      <c r="J600">
        <v>3</v>
      </c>
      <c r="K600" s="1">
        <v>45323</v>
      </c>
      <c r="L600" s="1">
        <v>45626</v>
      </c>
      <c r="M600" s="1">
        <v>45323</v>
      </c>
      <c r="N600" s="1">
        <v>45626</v>
      </c>
      <c r="O600" t="s">
        <v>116</v>
      </c>
      <c r="P600" t="s">
        <v>4974</v>
      </c>
      <c r="R600" t="s">
        <v>4975</v>
      </c>
      <c r="T600" t="s">
        <v>4976</v>
      </c>
      <c r="U600" t="s">
        <v>333</v>
      </c>
      <c r="V600" s="8" t="str">
        <f>"70767"</f>
        <v>70767</v>
      </c>
      <c r="W600" t="s">
        <v>118</v>
      </c>
      <c r="Y600" s="10">
        <v>12257497777</v>
      </c>
      <c r="AA600">
        <v>56173</v>
      </c>
      <c r="AB600" t="s">
        <v>2796</v>
      </c>
      <c r="AC600" t="s">
        <v>4977</v>
      </c>
      <c r="AE600" t="s">
        <v>561</v>
      </c>
      <c r="AF600" t="s">
        <v>4975</v>
      </c>
      <c r="AH600" t="s">
        <v>4976</v>
      </c>
      <c r="AI600" t="s">
        <v>333</v>
      </c>
      <c r="AJ600" s="8" t="str">
        <f>"70767"</f>
        <v>70767</v>
      </c>
      <c r="AK600" t="s">
        <v>118</v>
      </c>
      <c r="AM600" s="10">
        <v>12257497777</v>
      </c>
      <c r="AO600" t="s">
        <v>4978</v>
      </c>
      <c r="AP600" t="s">
        <v>248</v>
      </c>
      <c r="AQ600" t="s">
        <v>2667</v>
      </c>
      <c r="AR600" t="s">
        <v>2668</v>
      </c>
      <c r="AT600" t="s">
        <v>1253</v>
      </c>
      <c r="AU600" t="s">
        <v>852</v>
      </c>
      <c r="AV600" t="s">
        <v>853</v>
      </c>
      <c r="AW600" t="s">
        <v>854</v>
      </c>
      <c r="AX600" s="8" t="str">
        <f>"83814"</f>
        <v>83814</v>
      </c>
      <c r="AY600" t="s">
        <v>118</v>
      </c>
      <c r="BA600" s="10">
        <v>12087772654</v>
      </c>
      <c r="BC600" t="s">
        <v>2669</v>
      </c>
      <c r="BD600" t="s">
        <v>856</v>
      </c>
      <c r="BG600" t="s">
        <v>333</v>
      </c>
      <c r="BH600" s="1">
        <v>45231.833333333336</v>
      </c>
      <c r="BI600">
        <v>40</v>
      </c>
      <c r="BJ600">
        <v>0</v>
      </c>
      <c r="BK600">
        <v>8</v>
      </c>
      <c r="BL600">
        <v>8</v>
      </c>
      <c r="BM600">
        <v>8</v>
      </c>
      <c r="BN600">
        <v>8</v>
      </c>
      <c r="BO600">
        <v>8</v>
      </c>
      <c r="BP600">
        <v>0</v>
      </c>
      <c r="BQ600" t="str">
        <f>"7:00 AM"</f>
        <v>7:00 AM</v>
      </c>
      <c r="BR600" t="str">
        <f>"3:30 PM"</f>
        <v>3:30 PM</v>
      </c>
      <c r="BS600" t="s">
        <v>131</v>
      </c>
      <c r="BT600">
        <v>0</v>
      </c>
      <c r="BU600">
        <v>0</v>
      </c>
      <c r="BV600" t="s">
        <v>114</v>
      </c>
      <c r="BX600" t="s">
        <v>2670</v>
      </c>
      <c r="BY600" t="s">
        <v>4979</v>
      </c>
      <c r="CA600" t="s">
        <v>4976</v>
      </c>
      <c r="CB600" t="s">
        <v>333</v>
      </c>
      <c r="CC600" s="8" t="str">
        <f>"70767"</f>
        <v>70767</v>
      </c>
      <c r="CD600" t="s">
        <v>4980</v>
      </c>
      <c r="CE600" t="s">
        <v>1930</v>
      </c>
      <c r="CF600" s="12">
        <v>15.19</v>
      </c>
      <c r="CH600" s="12">
        <v>22.79</v>
      </c>
      <c r="CJ600" t="s">
        <v>135</v>
      </c>
      <c r="CK600" t="s">
        <v>132</v>
      </c>
      <c r="CL600" t="s">
        <v>4981</v>
      </c>
      <c r="CO600" t="s">
        <v>132</v>
      </c>
      <c r="CP600" t="s">
        <v>136</v>
      </c>
      <c r="CQ600" t="s">
        <v>136</v>
      </c>
      <c r="CR600" t="s">
        <v>136</v>
      </c>
      <c r="CS600" t="s">
        <v>136</v>
      </c>
      <c r="CT600" t="s">
        <v>136</v>
      </c>
      <c r="CU600" t="s">
        <v>136</v>
      </c>
      <c r="CV600" t="s">
        <v>131</v>
      </c>
      <c r="CW600" s="10" t="str">
        <f>"+12257497777"</f>
        <v>+12257497777</v>
      </c>
      <c r="CX600" t="s">
        <v>4978</v>
      </c>
      <c r="CY600" t="s">
        <v>132</v>
      </c>
      <c r="CZ600" t="s">
        <v>137</v>
      </c>
      <c r="DA600" t="s">
        <v>114</v>
      </c>
      <c r="DB600" t="s">
        <v>136</v>
      </c>
      <c r="DC600" t="s">
        <v>136</v>
      </c>
      <c r="DD600" t="s">
        <v>114</v>
      </c>
    </row>
    <row r="601" spans="1:113" ht="15" customHeight="1" x14ac:dyDescent="0.25">
      <c r="A601" t="s">
        <v>15210</v>
      </c>
      <c r="B601" t="s">
        <v>152</v>
      </c>
      <c r="C601" s="1">
        <v>45233.001529629626</v>
      </c>
      <c r="D601" s="1">
        <v>45260</v>
      </c>
      <c r="E601" t="s">
        <v>132</v>
      </c>
      <c r="F601" t="s">
        <v>4923</v>
      </c>
      <c r="G601" t="str">
        <f>"37-3011.00"</f>
        <v>37-3011.00</v>
      </c>
      <c r="H601" t="s">
        <v>429</v>
      </c>
      <c r="I601">
        <v>22</v>
      </c>
      <c r="J601">
        <v>22</v>
      </c>
      <c r="K601" s="1">
        <v>45323</v>
      </c>
      <c r="L601" s="1">
        <v>45626</v>
      </c>
      <c r="M601" s="1">
        <v>45323</v>
      </c>
      <c r="N601" s="1">
        <v>45626</v>
      </c>
      <c r="O601" t="s">
        <v>116</v>
      </c>
      <c r="P601" t="s">
        <v>4924</v>
      </c>
      <c r="R601" t="s">
        <v>4925</v>
      </c>
      <c r="T601" t="s">
        <v>4926</v>
      </c>
      <c r="U601" t="s">
        <v>1722</v>
      </c>
      <c r="V601" s="8" t="str">
        <f>"20882"</f>
        <v>20882</v>
      </c>
      <c r="W601" t="s">
        <v>118</v>
      </c>
      <c r="Y601" s="10">
        <v>13014820300</v>
      </c>
      <c r="AA601">
        <v>56173</v>
      </c>
      <c r="AB601" t="s">
        <v>4927</v>
      </c>
      <c r="AC601" t="s">
        <v>4928</v>
      </c>
      <c r="AE601" t="s">
        <v>1104</v>
      </c>
      <c r="AF601" t="s">
        <v>4925</v>
      </c>
      <c r="AH601" t="s">
        <v>4926</v>
      </c>
      <c r="AI601" t="s">
        <v>1722</v>
      </c>
      <c r="AJ601" s="8" t="str">
        <f>"20882"</f>
        <v>20882</v>
      </c>
      <c r="AK601" t="s">
        <v>118</v>
      </c>
      <c r="AM601" s="10">
        <v>13014820300</v>
      </c>
      <c r="AO601" t="s">
        <v>4929</v>
      </c>
      <c r="AP601" t="s">
        <v>248</v>
      </c>
      <c r="AQ601" t="s">
        <v>2152</v>
      </c>
      <c r="AR601" t="s">
        <v>2153</v>
      </c>
      <c r="AS601" t="s">
        <v>1798</v>
      </c>
      <c r="AT601" t="s">
        <v>1253</v>
      </c>
      <c r="AU601" t="s">
        <v>852</v>
      </c>
      <c r="AV601" t="s">
        <v>853</v>
      </c>
      <c r="AW601" t="s">
        <v>854</v>
      </c>
      <c r="AX601" s="8" t="str">
        <f>"83814"</f>
        <v>83814</v>
      </c>
      <c r="AY601" t="s">
        <v>118</v>
      </c>
      <c r="BA601" s="10">
        <v>12087772654</v>
      </c>
      <c r="BC601" t="s">
        <v>2154</v>
      </c>
      <c r="BD601" t="s">
        <v>856</v>
      </c>
      <c r="BG601" t="s">
        <v>375</v>
      </c>
      <c r="BH601" s="1">
        <v>45231.833333333336</v>
      </c>
      <c r="BI601">
        <v>40</v>
      </c>
      <c r="BJ601">
        <v>0</v>
      </c>
      <c r="BK601">
        <v>8</v>
      </c>
      <c r="BL601">
        <v>8</v>
      </c>
      <c r="BM601">
        <v>8</v>
      </c>
      <c r="BN601">
        <v>8</v>
      </c>
      <c r="BO601">
        <v>8</v>
      </c>
      <c r="BP601">
        <v>0</v>
      </c>
      <c r="BQ601" t="str">
        <f>"6:30 AM"</f>
        <v>6:30 AM</v>
      </c>
      <c r="BR601" t="str">
        <f>"3:30 PM"</f>
        <v>3:30 PM</v>
      </c>
      <c r="BS601" t="s">
        <v>131</v>
      </c>
      <c r="BT601">
        <v>0</v>
      </c>
      <c r="BU601">
        <v>0</v>
      </c>
      <c r="BV601" t="s">
        <v>114</v>
      </c>
      <c r="BX601" t="s">
        <v>3304</v>
      </c>
      <c r="BY601" t="s">
        <v>15211</v>
      </c>
      <c r="CA601" t="s">
        <v>15212</v>
      </c>
      <c r="CB601" t="s">
        <v>375</v>
      </c>
      <c r="CC601" s="8" t="str">
        <f>"28134"</f>
        <v>28134</v>
      </c>
      <c r="CD601" t="s">
        <v>3275</v>
      </c>
      <c r="CE601" t="s">
        <v>2940</v>
      </c>
      <c r="CF601" s="12">
        <v>17.239999999999998</v>
      </c>
      <c r="CG601" s="12">
        <v>20.5</v>
      </c>
      <c r="CH601" s="12">
        <v>25.86</v>
      </c>
      <c r="CI601" s="12">
        <v>30.75</v>
      </c>
      <c r="CJ601" t="s">
        <v>135</v>
      </c>
      <c r="CK601" t="s">
        <v>1899</v>
      </c>
      <c r="CL601" t="s">
        <v>15213</v>
      </c>
      <c r="CO601" t="s">
        <v>132</v>
      </c>
      <c r="CP601" t="s">
        <v>136</v>
      </c>
      <c r="CQ601" t="s">
        <v>136</v>
      </c>
      <c r="CR601" t="s">
        <v>136</v>
      </c>
      <c r="CS601" t="s">
        <v>136</v>
      </c>
      <c r="CT601" t="s">
        <v>136</v>
      </c>
      <c r="CU601" t="s">
        <v>136</v>
      </c>
      <c r="CV601" s="2" t="s">
        <v>15214</v>
      </c>
      <c r="CW601" s="10" t="str">
        <f>"+17049623331"</f>
        <v>+17049623331</v>
      </c>
      <c r="CX601" t="s">
        <v>15215</v>
      </c>
      <c r="CY601" t="s">
        <v>132</v>
      </c>
      <c r="CZ601" t="s">
        <v>137</v>
      </c>
      <c r="DA601" t="s">
        <v>114</v>
      </c>
      <c r="DB601" t="s">
        <v>136</v>
      </c>
      <c r="DC601" t="s">
        <v>136</v>
      </c>
      <c r="DD601" t="s">
        <v>114</v>
      </c>
    </row>
    <row r="602" spans="1:113" ht="15" customHeight="1" x14ac:dyDescent="0.25">
      <c r="A602" t="s">
        <v>11278</v>
      </c>
      <c r="B602" t="s">
        <v>152</v>
      </c>
      <c r="C602" s="1">
        <v>45233.001006944447</v>
      </c>
      <c r="D602" s="1">
        <v>45260</v>
      </c>
      <c r="E602" t="s">
        <v>132</v>
      </c>
      <c r="F602" t="s">
        <v>1595</v>
      </c>
      <c r="G602" t="str">
        <f>"37-3011.00"</f>
        <v>37-3011.00</v>
      </c>
      <c r="H602" t="s">
        <v>429</v>
      </c>
      <c r="I602">
        <v>4</v>
      </c>
      <c r="J602">
        <v>4</v>
      </c>
      <c r="K602" s="1">
        <v>45323</v>
      </c>
      <c r="L602" s="1">
        <v>45596</v>
      </c>
      <c r="M602" s="1">
        <v>45323</v>
      </c>
      <c r="N602" s="1">
        <v>45596</v>
      </c>
      <c r="O602" t="s">
        <v>116</v>
      </c>
      <c r="P602" t="s">
        <v>10814</v>
      </c>
      <c r="Q602" t="s">
        <v>10815</v>
      </c>
      <c r="R602" t="s">
        <v>11279</v>
      </c>
      <c r="T602" t="s">
        <v>11051</v>
      </c>
      <c r="U602" t="s">
        <v>1691</v>
      </c>
      <c r="V602" s="8" t="str">
        <f>"29418"</f>
        <v>29418</v>
      </c>
      <c r="W602" t="s">
        <v>118</v>
      </c>
      <c r="Y602" s="10">
        <v>18438554116</v>
      </c>
      <c r="AA602">
        <v>56173</v>
      </c>
      <c r="AB602" t="s">
        <v>10817</v>
      </c>
      <c r="AC602" t="s">
        <v>10818</v>
      </c>
      <c r="AE602" t="s">
        <v>10819</v>
      </c>
      <c r="AF602" t="s">
        <v>11279</v>
      </c>
      <c r="AH602" t="s">
        <v>11051</v>
      </c>
      <c r="AI602" t="s">
        <v>1691</v>
      </c>
      <c r="AJ602" s="8" t="str">
        <f>"29418"</f>
        <v>29418</v>
      </c>
      <c r="AK602" t="s">
        <v>118</v>
      </c>
      <c r="AM602" s="10">
        <v>18438554116</v>
      </c>
      <c r="AO602" t="s">
        <v>10820</v>
      </c>
      <c r="AP602" t="s">
        <v>248</v>
      </c>
      <c r="AQ602" t="s">
        <v>2732</v>
      </c>
      <c r="AR602" t="s">
        <v>2733</v>
      </c>
      <c r="AT602" t="s">
        <v>851</v>
      </c>
      <c r="AU602" t="s">
        <v>852</v>
      </c>
      <c r="AV602" t="s">
        <v>10821</v>
      </c>
      <c r="AW602" t="s">
        <v>854</v>
      </c>
      <c r="AX602" s="8" t="str">
        <f>"83814"</f>
        <v>83814</v>
      </c>
      <c r="AY602" t="s">
        <v>118</v>
      </c>
      <c r="BA602" s="10">
        <v>12087772654</v>
      </c>
      <c r="BC602" t="s">
        <v>2734</v>
      </c>
      <c r="BD602" t="s">
        <v>856</v>
      </c>
      <c r="BG602" t="s">
        <v>1691</v>
      </c>
      <c r="BH602" s="1">
        <v>45231.833333333336</v>
      </c>
      <c r="BI602">
        <v>40</v>
      </c>
      <c r="BJ602">
        <v>0</v>
      </c>
      <c r="BK602">
        <v>8</v>
      </c>
      <c r="BL602">
        <v>8</v>
      </c>
      <c r="BM602">
        <v>8</v>
      </c>
      <c r="BN602">
        <v>8</v>
      </c>
      <c r="BO602">
        <v>8</v>
      </c>
      <c r="BP602">
        <v>0</v>
      </c>
      <c r="BQ602" t="str">
        <f>"7:30 AM"</f>
        <v>7:30 AM</v>
      </c>
      <c r="BR602" t="str">
        <f>"5:00 PM"</f>
        <v>5:00 PM</v>
      </c>
      <c r="BS602" t="s">
        <v>131</v>
      </c>
      <c r="BT602">
        <v>0</v>
      </c>
      <c r="BU602">
        <v>0</v>
      </c>
      <c r="BV602" t="s">
        <v>114</v>
      </c>
      <c r="BX602" s="2" t="s">
        <v>9802</v>
      </c>
      <c r="BY602" t="s">
        <v>11280</v>
      </c>
      <c r="CA602" t="s">
        <v>11051</v>
      </c>
      <c r="CB602" t="s">
        <v>1691</v>
      </c>
      <c r="CC602" s="8" t="str">
        <f>"29418"</f>
        <v>29418</v>
      </c>
      <c r="CD602" t="s">
        <v>1868</v>
      </c>
      <c r="CE602" t="s">
        <v>1869</v>
      </c>
      <c r="CF602" s="12">
        <v>16.989999999999998</v>
      </c>
      <c r="CH602" s="12">
        <v>25.49</v>
      </c>
      <c r="CJ602" t="s">
        <v>135</v>
      </c>
      <c r="CK602" t="s">
        <v>132</v>
      </c>
      <c r="CL602" t="s">
        <v>11281</v>
      </c>
      <c r="CO602" t="s">
        <v>132</v>
      </c>
      <c r="CP602" t="s">
        <v>136</v>
      </c>
      <c r="CQ602" t="s">
        <v>136</v>
      </c>
      <c r="CR602" t="s">
        <v>136</v>
      </c>
      <c r="CS602" t="s">
        <v>136</v>
      </c>
      <c r="CT602" t="s">
        <v>136</v>
      </c>
      <c r="CU602" t="s">
        <v>136</v>
      </c>
      <c r="CV602" t="s">
        <v>11282</v>
      </c>
      <c r="CW602" s="10" t="str">
        <f>"+19727071589"</f>
        <v>+19727071589</v>
      </c>
      <c r="CX602" t="s">
        <v>10826</v>
      </c>
      <c r="CY602" t="s">
        <v>132</v>
      </c>
      <c r="CZ602" t="s">
        <v>137</v>
      </c>
      <c r="DA602" t="s">
        <v>114</v>
      </c>
      <c r="DB602" t="s">
        <v>136</v>
      </c>
      <c r="DC602" t="s">
        <v>136</v>
      </c>
      <c r="DD602" t="s">
        <v>114</v>
      </c>
    </row>
    <row r="603" spans="1:113" ht="15" customHeight="1" x14ac:dyDescent="0.25">
      <c r="A603" t="s">
        <v>23057</v>
      </c>
      <c r="B603" t="s">
        <v>152</v>
      </c>
      <c r="C603" s="1">
        <v>45233.00056064815</v>
      </c>
      <c r="D603" s="1">
        <v>45260</v>
      </c>
      <c r="E603" t="s">
        <v>132</v>
      </c>
      <c r="F603" t="s">
        <v>1595</v>
      </c>
      <c r="G603" t="str">
        <f>"37-3011.00"</f>
        <v>37-3011.00</v>
      </c>
      <c r="H603" t="s">
        <v>429</v>
      </c>
      <c r="I603">
        <v>15</v>
      </c>
      <c r="J603">
        <v>15</v>
      </c>
      <c r="K603" s="1">
        <v>45323</v>
      </c>
      <c r="L603" s="1">
        <v>45596</v>
      </c>
      <c r="M603" s="1">
        <v>45323</v>
      </c>
      <c r="N603" s="1">
        <v>45596</v>
      </c>
      <c r="O603" t="s">
        <v>116</v>
      </c>
      <c r="P603" t="s">
        <v>23058</v>
      </c>
      <c r="R603" t="s">
        <v>23059</v>
      </c>
      <c r="T603" t="s">
        <v>557</v>
      </c>
      <c r="U603" t="s">
        <v>558</v>
      </c>
      <c r="V603" s="8" t="str">
        <f>"85122"</f>
        <v>85122</v>
      </c>
      <c r="W603" t="s">
        <v>118</v>
      </c>
      <c r="Y603" s="10">
        <v>15208366776</v>
      </c>
      <c r="AA603">
        <v>56173</v>
      </c>
      <c r="AB603" t="s">
        <v>423</v>
      </c>
      <c r="AC603" t="s">
        <v>335</v>
      </c>
      <c r="AE603" t="s">
        <v>629</v>
      </c>
      <c r="AF603" t="s">
        <v>23059</v>
      </c>
      <c r="AH603" t="s">
        <v>557</v>
      </c>
      <c r="AI603" t="s">
        <v>558</v>
      </c>
      <c r="AJ603" s="8" t="str">
        <f>"85122"</f>
        <v>85122</v>
      </c>
      <c r="AK603" t="s">
        <v>118</v>
      </c>
      <c r="AM603" s="10">
        <v>15208366776</v>
      </c>
      <c r="AO603" t="s">
        <v>23060</v>
      </c>
      <c r="AP603" t="s">
        <v>248</v>
      </c>
      <c r="AQ603" t="s">
        <v>960</v>
      </c>
      <c r="AR603" t="s">
        <v>961</v>
      </c>
      <c r="AS603" t="s">
        <v>962</v>
      </c>
      <c r="AT603" t="s">
        <v>963</v>
      </c>
      <c r="AU603" t="s">
        <v>296</v>
      </c>
      <c r="AV603" t="s">
        <v>964</v>
      </c>
      <c r="AW603" t="s">
        <v>127</v>
      </c>
      <c r="AX603" s="8" t="str">
        <f>"75033"</f>
        <v>75033</v>
      </c>
      <c r="AY603" t="s">
        <v>118</v>
      </c>
      <c r="BA603" s="10">
        <v>19727789690</v>
      </c>
      <c r="BC603" t="s">
        <v>13914</v>
      </c>
      <c r="BD603" t="s">
        <v>966</v>
      </c>
      <c r="BG603" t="s">
        <v>558</v>
      </c>
      <c r="BH603" s="1">
        <v>45232.833333333336</v>
      </c>
      <c r="BI603">
        <v>40</v>
      </c>
      <c r="BJ603">
        <v>0</v>
      </c>
      <c r="BK603">
        <v>8</v>
      </c>
      <c r="BL603">
        <v>8</v>
      </c>
      <c r="BM603">
        <v>8</v>
      </c>
      <c r="BN603">
        <v>8</v>
      </c>
      <c r="BO603">
        <v>8</v>
      </c>
      <c r="BP603">
        <v>0</v>
      </c>
      <c r="BQ603" t="str">
        <f>"6:00 AM"</f>
        <v>6:00 AM</v>
      </c>
      <c r="BR603" t="str">
        <f>"2:30 PM"</f>
        <v>2:30 PM</v>
      </c>
      <c r="BS603" t="s">
        <v>131</v>
      </c>
      <c r="BT603">
        <v>0</v>
      </c>
      <c r="BU603">
        <v>3</v>
      </c>
      <c r="BV603" t="s">
        <v>114</v>
      </c>
      <c r="BX603" s="2" t="s">
        <v>23061</v>
      </c>
      <c r="BY603" t="s">
        <v>23059</v>
      </c>
      <c r="CA603" t="s">
        <v>557</v>
      </c>
      <c r="CB603" t="s">
        <v>558</v>
      </c>
      <c r="CC603" s="8" t="str">
        <f>"85122"</f>
        <v>85122</v>
      </c>
      <c r="CD603" t="s">
        <v>564</v>
      </c>
      <c r="CE603" t="s">
        <v>565</v>
      </c>
      <c r="CF603" s="12">
        <v>17.309999999999999</v>
      </c>
      <c r="CH603" s="12">
        <v>25.97</v>
      </c>
      <c r="CJ603" t="s">
        <v>135</v>
      </c>
      <c r="CK603" t="s">
        <v>2018</v>
      </c>
      <c r="CL603" t="s">
        <v>23062</v>
      </c>
      <c r="CO603" t="s">
        <v>132</v>
      </c>
      <c r="CP603" t="s">
        <v>136</v>
      </c>
      <c r="CQ603" t="s">
        <v>136</v>
      </c>
      <c r="CR603" t="s">
        <v>136</v>
      </c>
      <c r="CS603" t="s">
        <v>136</v>
      </c>
      <c r="CT603" t="s">
        <v>136</v>
      </c>
      <c r="CU603" t="s">
        <v>136</v>
      </c>
      <c r="CV603" t="s">
        <v>23063</v>
      </c>
      <c r="CW603" s="10" t="str">
        <f>"+15208366776"</f>
        <v>+15208366776</v>
      </c>
      <c r="CX603" t="s">
        <v>132</v>
      </c>
      <c r="CY603" t="s">
        <v>1395</v>
      </c>
      <c r="CZ603" t="s">
        <v>137</v>
      </c>
      <c r="DA603" t="s">
        <v>114</v>
      </c>
      <c r="DB603" t="s">
        <v>136</v>
      </c>
      <c r="DC603" t="s">
        <v>136</v>
      </c>
      <c r="DD603" t="s">
        <v>114</v>
      </c>
    </row>
    <row r="604" spans="1:113" ht="15" customHeight="1" x14ac:dyDescent="0.25">
      <c r="A604" t="s">
        <v>21071</v>
      </c>
      <c r="B604" t="s">
        <v>152</v>
      </c>
      <c r="C604" s="1">
        <v>45202.599554976849</v>
      </c>
      <c r="D604" s="1">
        <v>45260</v>
      </c>
      <c r="E604" t="s">
        <v>132</v>
      </c>
      <c r="F604" t="s">
        <v>4284</v>
      </c>
      <c r="G604" t="str">
        <f>"37-2011.00"</f>
        <v>37-2011.00</v>
      </c>
      <c r="H604" t="s">
        <v>1089</v>
      </c>
      <c r="I604">
        <v>50</v>
      </c>
      <c r="J604">
        <v>50</v>
      </c>
      <c r="K604" s="1">
        <v>45278</v>
      </c>
      <c r="L604" s="1">
        <v>45382</v>
      </c>
      <c r="M604" s="1">
        <v>45278</v>
      </c>
      <c r="N604" s="1">
        <v>45382</v>
      </c>
      <c r="O604" t="s">
        <v>238</v>
      </c>
      <c r="P604" t="s">
        <v>21072</v>
      </c>
      <c r="R604" t="s">
        <v>21073</v>
      </c>
      <c r="S604" t="s">
        <v>21074</v>
      </c>
      <c r="T604" t="s">
        <v>18398</v>
      </c>
      <c r="U604" t="s">
        <v>375</v>
      </c>
      <c r="V604" s="8" t="str">
        <f>"27605"</f>
        <v>27605</v>
      </c>
      <c r="W604" t="s">
        <v>118</v>
      </c>
      <c r="Y604" s="10">
        <v>19194540622</v>
      </c>
      <c r="AA604">
        <v>56173</v>
      </c>
      <c r="AB604" t="s">
        <v>21075</v>
      </c>
      <c r="AC604" t="s">
        <v>2749</v>
      </c>
      <c r="AD604" t="s">
        <v>21076</v>
      </c>
      <c r="AE604" t="s">
        <v>1836</v>
      </c>
      <c r="AF604" t="s">
        <v>21073</v>
      </c>
      <c r="AG604" t="s">
        <v>21074</v>
      </c>
      <c r="AH604" t="s">
        <v>18398</v>
      </c>
      <c r="AI604" t="s">
        <v>375</v>
      </c>
      <c r="AJ604" s="8" t="str">
        <f>"27605"</f>
        <v>27605</v>
      </c>
      <c r="AK604" t="s">
        <v>118</v>
      </c>
      <c r="AM604" s="10">
        <v>19194540622</v>
      </c>
      <c r="AO604" t="s">
        <v>21077</v>
      </c>
      <c r="AP604" t="s">
        <v>121</v>
      </c>
      <c r="AQ604" t="s">
        <v>4293</v>
      </c>
      <c r="AR604" t="s">
        <v>4294</v>
      </c>
      <c r="AS604" t="s">
        <v>3625</v>
      </c>
      <c r="AT604" t="s">
        <v>4295</v>
      </c>
      <c r="AV604" t="s">
        <v>320</v>
      </c>
      <c r="AW604" t="s">
        <v>127</v>
      </c>
      <c r="AX604" s="8" t="str">
        <f>"78705"</f>
        <v>78705</v>
      </c>
      <c r="AY604" t="s">
        <v>118</v>
      </c>
      <c r="BA604" s="10">
        <v>15123470007</v>
      </c>
      <c r="BC604" t="s">
        <v>4713</v>
      </c>
      <c r="BD604" t="s">
        <v>4086</v>
      </c>
      <c r="BE604" t="s">
        <v>127</v>
      </c>
      <c r="BF604" t="s">
        <v>4298</v>
      </c>
      <c r="BG604" t="s">
        <v>375</v>
      </c>
      <c r="BH604" s="1">
        <v>45201.833333333336</v>
      </c>
      <c r="BI604">
        <v>40</v>
      </c>
      <c r="BJ604">
        <v>0</v>
      </c>
      <c r="BK604">
        <v>8</v>
      </c>
      <c r="BL604">
        <v>8</v>
      </c>
      <c r="BM604">
        <v>8</v>
      </c>
      <c r="BN604">
        <v>8</v>
      </c>
      <c r="BO604">
        <v>8</v>
      </c>
      <c r="BP604">
        <v>0</v>
      </c>
      <c r="BQ604" t="str">
        <f>"6:30 AM"</f>
        <v>6:30 AM</v>
      </c>
      <c r="BR604" t="str">
        <f>"4:30 PM"</f>
        <v>4:30 PM</v>
      </c>
      <c r="BS604" t="s">
        <v>131</v>
      </c>
      <c r="BT604">
        <v>0</v>
      </c>
      <c r="BU604">
        <v>0</v>
      </c>
      <c r="BV604" t="s">
        <v>114</v>
      </c>
      <c r="BX604" t="s">
        <v>4299</v>
      </c>
      <c r="BY604" t="s">
        <v>21073</v>
      </c>
      <c r="BZ604" t="s">
        <v>21074</v>
      </c>
      <c r="CA604" t="s">
        <v>18398</v>
      </c>
      <c r="CB604" t="s">
        <v>375</v>
      </c>
      <c r="CC604" s="8" t="str">
        <f>"27605"</f>
        <v>27605</v>
      </c>
      <c r="CD604" t="s">
        <v>391</v>
      </c>
      <c r="CE604" t="s">
        <v>392</v>
      </c>
      <c r="CF604" s="12">
        <v>14.13</v>
      </c>
      <c r="CH604" s="12">
        <v>21.2</v>
      </c>
      <c r="CJ604" t="s">
        <v>135</v>
      </c>
      <c r="CL604" t="s">
        <v>21078</v>
      </c>
      <c r="CO604" t="s">
        <v>132</v>
      </c>
      <c r="CP604" t="s">
        <v>114</v>
      </c>
      <c r="CQ604" t="s">
        <v>136</v>
      </c>
      <c r="CR604" t="s">
        <v>136</v>
      </c>
      <c r="CS604" t="s">
        <v>136</v>
      </c>
      <c r="CT604" t="s">
        <v>136</v>
      </c>
      <c r="CU604" t="s">
        <v>136</v>
      </c>
      <c r="CV604" t="s">
        <v>21079</v>
      </c>
      <c r="CW604" s="10" t="str">
        <f>"+19194540622"</f>
        <v>+19194540622</v>
      </c>
      <c r="CX604" t="s">
        <v>21080</v>
      </c>
      <c r="CY604" t="s">
        <v>132</v>
      </c>
      <c r="CZ604" t="s">
        <v>137</v>
      </c>
      <c r="DA604" t="s">
        <v>114</v>
      </c>
      <c r="DB604" t="s">
        <v>114</v>
      </c>
      <c r="DC604" t="s">
        <v>136</v>
      </c>
      <c r="DD604" t="s">
        <v>114</v>
      </c>
    </row>
    <row r="605" spans="1:113" ht="15" customHeight="1" x14ac:dyDescent="0.25">
      <c r="A605" t="s">
        <v>5732</v>
      </c>
      <c r="B605" t="s">
        <v>152</v>
      </c>
      <c r="C605" s="1">
        <v>45202.433346990743</v>
      </c>
      <c r="D605" s="1">
        <v>45260</v>
      </c>
      <c r="E605" t="s">
        <v>132</v>
      </c>
      <c r="F605" t="s">
        <v>1743</v>
      </c>
      <c r="G605" t="str">
        <f>"37-3011.00"</f>
        <v>37-3011.00</v>
      </c>
      <c r="H605" t="s">
        <v>429</v>
      </c>
      <c r="I605">
        <v>6</v>
      </c>
      <c r="J605">
        <v>6</v>
      </c>
      <c r="K605" s="1">
        <v>45292</v>
      </c>
      <c r="L605" s="1">
        <v>45596</v>
      </c>
      <c r="M605" s="1">
        <v>45292</v>
      </c>
      <c r="N605" s="1">
        <v>45596</v>
      </c>
      <c r="O605" t="s">
        <v>116</v>
      </c>
      <c r="P605" t="s">
        <v>5733</v>
      </c>
      <c r="R605" t="s">
        <v>5734</v>
      </c>
      <c r="S605" t="s">
        <v>5735</v>
      </c>
      <c r="T605" t="s">
        <v>2906</v>
      </c>
      <c r="U605" t="s">
        <v>479</v>
      </c>
      <c r="V605" s="8" t="str">
        <f>"97504"</f>
        <v>97504</v>
      </c>
      <c r="W605" t="s">
        <v>118</v>
      </c>
      <c r="X605" t="s">
        <v>5736</v>
      </c>
      <c r="Y605" s="10">
        <v>15418267713</v>
      </c>
      <c r="AA605">
        <v>56173</v>
      </c>
      <c r="AB605" t="s">
        <v>5737</v>
      </c>
      <c r="AC605" t="s">
        <v>144</v>
      </c>
      <c r="AD605" t="s">
        <v>5738</v>
      </c>
      <c r="AE605" t="s">
        <v>1836</v>
      </c>
      <c r="AF605" t="s">
        <v>5734</v>
      </c>
      <c r="AG605" t="s">
        <v>5739</v>
      </c>
      <c r="AH605" t="s">
        <v>2906</v>
      </c>
      <c r="AI605" t="s">
        <v>479</v>
      </c>
      <c r="AJ605" s="8" t="str">
        <f>"97504"</f>
        <v>97504</v>
      </c>
      <c r="AK605" t="s">
        <v>118</v>
      </c>
      <c r="AM605" s="10">
        <v>15418267713</v>
      </c>
      <c r="AO605" t="s">
        <v>5740</v>
      </c>
      <c r="AP605" t="s">
        <v>121</v>
      </c>
      <c r="AQ605" t="s">
        <v>1718</v>
      </c>
      <c r="AR605" t="s">
        <v>708</v>
      </c>
      <c r="AS605" t="s">
        <v>1719</v>
      </c>
      <c r="AT605" t="s">
        <v>1720</v>
      </c>
      <c r="AU605" t="s">
        <v>799</v>
      </c>
      <c r="AV605" t="s">
        <v>1721</v>
      </c>
      <c r="AW605" t="s">
        <v>1722</v>
      </c>
      <c r="AX605" s="8" t="str">
        <f>"21401"</f>
        <v>21401</v>
      </c>
      <c r="AY605" t="s">
        <v>118</v>
      </c>
      <c r="BA605" s="10">
        <v>14105739955</v>
      </c>
      <c r="BB605">
        <v>0</v>
      </c>
      <c r="BC605" t="s">
        <v>1723</v>
      </c>
      <c r="BD605" t="s">
        <v>1724</v>
      </c>
      <c r="BE605" t="s">
        <v>1722</v>
      </c>
      <c r="BF605" t="s">
        <v>1990</v>
      </c>
      <c r="BG605" t="s">
        <v>479</v>
      </c>
      <c r="BH605" s="1">
        <v>45200.833333333336</v>
      </c>
      <c r="BI605">
        <v>35</v>
      </c>
      <c r="BJ605">
        <v>0</v>
      </c>
      <c r="BK605">
        <v>7</v>
      </c>
      <c r="BL605">
        <v>7</v>
      </c>
      <c r="BM605">
        <v>7</v>
      </c>
      <c r="BN605">
        <v>7</v>
      </c>
      <c r="BO605">
        <v>7</v>
      </c>
      <c r="BP605">
        <v>0</v>
      </c>
      <c r="BQ605" t="str">
        <f>"6:00 AM"</f>
        <v>6:00 AM</v>
      </c>
      <c r="BR605" t="str">
        <f>"4:00 PM"</f>
        <v>4:00 PM</v>
      </c>
      <c r="BS605" t="s">
        <v>131</v>
      </c>
      <c r="BT605">
        <v>0</v>
      </c>
      <c r="BU605">
        <v>0</v>
      </c>
      <c r="BV605" t="s">
        <v>114</v>
      </c>
      <c r="BX605" s="2" t="s">
        <v>5741</v>
      </c>
      <c r="BY605" t="s">
        <v>5742</v>
      </c>
      <c r="CA605" t="s">
        <v>845</v>
      </c>
      <c r="CB605" t="s">
        <v>479</v>
      </c>
      <c r="CC605" s="8" t="str">
        <f>"97502"</f>
        <v>97502</v>
      </c>
      <c r="CD605" t="s">
        <v>859</v>
      </c>
      <c r="CE605" t="s">
        <v>860</v>
      </c>
      <c r="CF605" s="12">
        <v>19.07</v>
      </c>
      <c r="CG605" s="12">
        <v>19.07</v>
      </c>
      <c r="CH605" s="12">
        <v>28.61</v>
      </c>
      <c r="CI605" s="12">
        <v>28.61</v>
      </c>
      <c r="CJ605" t="s">
        <v>135</v>
      </c>
      <c r="CK605" t="s">
        <v>5743</v>
      </c>
      <c r="CL605" t="s">
        <v>5744</v>
      </c>
      <c r="CO605" t="s">
        <v>132</v>
      </c>
      <c r="CP605" t="s">
        <v>136</v>
      </c>
      <c r="CQ605" t="s">
        <v>114</v>
      </c>
      <c r="CR605" t="s">
        <v>136</v>
      </c>
      <c r="CS605" t="s">
        <v>136</v>
      </c>
      <c r="CT605" t="s">
        <v>136</v>
      </c>
      <c r="CU605" t="s">
        <v>136</v>
      </c>
      <c r="CV605" s="2" t="s">
        <v>5745</v>
      </c>
      <c r="CW605" s="10" t="str">
        <f>"+15418267713"</f>
        <v>+15418267713</v>
      </c>
      <c r="CX605" t="s">
        <v>5746</v>
      </c>
      <c r="CY605" t="s">
        <v>132</v>
      </c>
      <c r="CZ605" t="s">
        <v>137</v>
      </c>
      <c r="DA605" t="s">
        <v>114</v>
      </c>
      <c r="DB605" t="s">
        <v>114</v>
      </c>
      <c r="DC605" t="s">
        <v>136</v>
      </c>
      <c r="DD605" t="s">
        <v>114</v>
      </c>
    </row>
    <row r="606" spans="1:113" ht="15" customHeight="1" x14ac:dyDescent="0.25">
      <c r="A606" t="s">
        <v>6062</v>
      </c>
      <c r="B606" t="s">
        <v>152</v>
      </c>
      <c r="C606" s="1">
        <v>45175.932046759262</v>
      </c>
      <c r="D606" s="1">
        <v>45260</v>
      </c>
      <c r="E606" t="s">
        <v>132</v>
      </c>
      <c r="F606" t="s">
        <v>3992</v>
      </c>
      <c r="G606" t="str">
        <f>"37-3011.00"</f>
        <v>37-3011.00</v>
      </c>
      <c r="H606" t="s">
        <v>429</v>
      </c>
      <c r="I606">
        <v>7</v>
      </c>
      <c r="J606">
        <v>7</v>
      </c>
      <c r="K606" s="1">
        <v>45261</v>
      </c>
      <c r="L606" s="1">
        <v>45382</v>
      </c>
      <c r="M606" s="1">
        <v>45261</v>
      </c>
      <c r="N606" s="1">
        <v>45382</v>
      </c>
      <c r="O606" t="s">
        <v>238</v>
      </c>
      <c r="P606" t="s">
        <v>6063</v>
      </c>
      <c r="R606" t="s">
        <v>6064</v>
      </c>
      <c r="T606" t="s">
        <v>1989</v>
      </c>
      <c r="U606" t="s">
        <v>211</v>
      </c>
      <c r="V606" s="8" t="str">
        <f>"84067"</f>
        <v>84067</v>
      </c>
      <c r="W606" t="s">
        <v>118</v>
      </c>
      <c r="Y606" s="10">
        <v>18018149191</v>
      </c>
      <c r="AA606">
        <v>56173</v>
      </c>
      <c r="AB606" t="s">
        <v>5926</v>
      </c>
      <c r="AC606" t="s">
        <v>145</v>
      </c>
      <c r="AE606" t="s">
        <v>561</v>
      </c>
      <c r="AF606" t="s">
        <v>6064</v>
      </c>
      <c r="AH606" t="s">
        <v>1989</v>
      </c>
      <c r="AI606" t="s">
        <v>211</v>
      </c>
      <c r="AJ606" s="8" t="str">
        <f>"84067"</f>
        <v>84067</v>
      </c>
      <c r="AK606" t="s">
        <v>118</v>
      </c>
      <c r="AM606" s="10">
        <v>18018149191</v>
      </c>
      <c r="AO606" t="s">
        <v>6065</v>
      </c>
      <c r="AP606" t="s">
        <v>248</v>
      </c>
      <c r="AQ606" t="s">
        <v>1700</v>
      </c>
      <c r="AR606" t="s">
        <v>1701</v>
      </c>
      <c r="AT606" t="s">
        <v>1702</v>
      </c>
      <c r="AV606" t="s">
        <v>1703</v>
      </c>
      <c r="AW606" t="s">
        <v>211</v>
      </c>
      <c r="AX606" s="8" t="str">
        <f>"84059"</f>
        <v>84059</v>
      </c>
      <c r="AY606" t="s">
        <v>118</v>
      </c>
      <c r="BA606" s="10">
        <v>18013677097</v>
      </c>
      <c r="BC606" t="s">
        <v>4601</v>
      </c>
      <c r="BD606" t="s">
        <v>4602</v>
      </c>
      <c r="BG606" t="s">
        <v>211</v>
      </c>
      <c r="BH606" s="1">
        <v>45174.833333333336</v>
      </c>
      <c r="BI606">
        <v>35</v>
      </c>
      <c r="BJ606">
        <v>0</v>
      </c>
      <c r="BK606">
        <v>7</v>
      </c>
      <c r="BL606">
        <v>7</v>
      </c>
      <c r="BM606">
        <v>7</v>
      </c>
      <c r="BN606">
        <v>7</v>
      </c>
      <c r="BO606">
        <v>7</v>
      </c>
      <c r="BP606">
        <v>0</v>
      </c>
      <c r="BQ606" t="str">
        <f>"7:00 AM"</f>
        <v>7:00 AM</v>
      </c>
      <c r="BR606" t="str">
        <f>"3:00 PM"</f>
        <v>3:00 PM</v>
      </c>
      <c r="BS606" t="s">
        <v>131</v>
      </c>
      <c r="BT606">
        <v>0</v>
      </c>
      <c r="BU606">
        <v>1</v>
      </c>
      <c r="BV606" t="s">
        <v>114</v>
      </c>
      <c r="BX606" s="2" t="s">
        <v>5221</v>
      </c>
      <c r="BY606" t="s">
        <v>6064</v>
      </c>
      <c r="CA606" t="s">
        <v>1989</v>
      </c>
      <c r="CB606" t="s">
        <v>211</v>
      </c>
      <c r="CC606" s="8" t="str">
        <f>"84067"</f>
        <v>84067</v>
      </c>
      <c r="CD606" t="s">
        <v>1481</v>
      </c>
      <c r="CE606" t="s">
        <v>1482</v>
      </c>
      <c r="CF606" s="12">
        <v>18.920000000000002</v>
      </c>
      <c r="CJ606" t="s">
        <v>135</v>
      </c>
      <c r="CK606" t="s">
        <v>1789</v>
      </c>
      <c r="CL606" t="s">
        <v>6066</v>
      </c>
      <c r="CO606" t="s">
        <v>132</v>
      </c>
      <c r="CP606" t="s">
        <v>136</v>
      </c>
      <c r="CQ606" t="s">
        <v>136</v>
      </c>
      <c r="CR606" t="s">
        <v>114</v>
      </c>
      <c r="CS606" t="s">
        <v>114</v>
      </c>
      <c r="CT606" t="s">
        <v>136</v>
      </c>
      <c r="CU606" t="s">
        <v>114</v>
      </c>
      <c r="CV606" t="s">
        <v>2470</v>
      </c>
      <c r="CW606" s="10" t="str">
        <f>"+18018149191"</f>
        <v>+18018149191</v>
      </c>
      <c r="CX606" t="s">
        <v>6065</v>
      </c>
      <c r="CY606" t="s">
        <v>132</v>
      </c>
      <c r="CZ606" t="s">
        <v>137</v>
      </c>
      <c r="DA606" t="s">
        <v>114</v>
      </c>
      <c r="DB606" t="s">
        <v>114</v>
      </c>
      <c r="DC606" t="s">
        <v>136</v>
      </c>
      <c r="DD606" t="s">
        <v>114</v>
      </c>
    </row>
    <row r="607" spans="1:113" ht="15" customHeight="1" x14ac:dyDescent="0.25">
      <c r="A607" t="s">
        <v>22845</v>
      </c>
      <c r="B607" t="s">
        <v>152</v>
      </c>
      <c r="C607" s="1">
        <v>45125.837687268518</v>
      </c>
      <c r="D607" s="1">
        <v>45260</v>
      </c>
      <c r="E607" t="s">
        <v>136</v>
      </c>
      <c r="F607" t="s">
        <v>22846</v>
      </c>
      <c r="G607" t="str">
        <f>"51-4122.00"</f>
        <v>51-4122.00</v>
      </c>
      <c r="H607" t="s">
        <v>22847</v>
      </c>
      <c r="I607">
        <v>10</v>
      </c>
      <c r="J607">
        <v>10</v>
      </c>
      <c r="K607" s="1">
        <v>45201</v>
      </c>
      <c r="L607" s="1">
        <v>45474</v>
      </c>
      <c r="M607" s="1">
        <v>45201</v>
      </c>
      <c r="N607" s="1">
        <v>45474</v>
      </c>
      <c r="O607" t="s">
        <v>116</v>
      </c>
      <c r="P607" t="s">
        <v>22310</v>
      </c>
      <c r="R607" t="s">
        <v>22311</v>
      </c>
      <c r="T607" t="s">
        <v>2115</v>
      </c>
      <c r="U607" t="s">
        <v>1598</v>
      </c>
      <c r="V607" s="8" t="str">
        <f>"35116"</f>
        <v>35116</v>
      </c>
      <c r="W607" t="s">
        <v>118</v>
      </c>
      <c r="Y607" s="10">
        <v>18007417366</v>
      </c>
      <c r="AA607">
        <v>327120</v>
      </c>
      <c r="AB607" t="s">
        <v>8118</v>
      </c>
      <c r="AC607" t="s">
        <v>22312</v>
      </c>
      <c r="AD607" t="s">
        <v>22313</v>
      </c>
      <c r="AE607" t="s">
        <v>3588</v>
      </c>
      <c r="AF607" t="s">
        <v>22311</v>
      </c>
      <c r="AH607" t="s">
        <v>2115</v>
      </c>
      <c r="AI607" t="s">
        <v>1598</v>
      </c>
      <c r="AJ607" s="8" t="str">
        <f>"35116"</f>
        <v>35116</v>
      </c>
      <c r="AK607" t="s">
        <v>118</v>
      </c>
      <c r="AM607" s="10">
        <v>18007417366</v>
      </c>
      <c r="AO607" t="s">
        <v>22314</v>
      </c>
      <c r="AP607" t="s">
        <v>121</v>
      </c>
      <c r="AQ607" t="s">
        <v>2869</v>
      </c>
      <c r="AR607" t="s">
        <v>22315</v>
      </c>
      <c r="AT607" t="s">
        <v>22316</v>
      </c>
      <c r="AU607" t="s">
        <v>22317</v>
      </c>
      <c r="AV607" t="s">
        <v>2029</v>
      </c>
      <c r="AW607" t="s">
        <v>581</v>
      </c>
      <c r="AX607" s="8" t="str">
        <f>"22201"</f>
        <v>22201</v>
      </c>
      <c r="AY607" t="s">
        <v>118</v>
      </c>
      <c r="BA607" s="10">
        <v>18888534833</v>
      </c>
      <c r="BC607" t="s">
        <v>22318</v>
      </c>
      <c r="BD607" t="s">
        <v>22319</v>
      </c>
      <c r="BE607" t="s">
        <v>358</v>
      </c>
      <c r="BF607" t="s">
        <v>22320</v>
      </c>
      <c r="BG607" t="s">
        <v>1598</v>
      </c>
      <c r="BH607" s="1">
        <v>45035.833333333336</v>
      </c>
      <c r="BI607">
        <v>40</v>
      </c>
      <c r="BJ607">
        <v>0</v>
      </c>
      <c r="BK607">
        <v>8</v>
      </c>
      <c r="BL607">
        <v>8</v>
      </c>
      <c r="BM607">
        <v>8</v>
      </c>
      <c r="BN607">
        <v>8</v>
      </c>
      <c r="BO607">
        <v>8</v>
      </c>
      <c r="BP607">
        <v>0</v>
      </c>
      <c r="BQ607" t="str">
        <f>"8:00 AM"</f>
        <v>8:00 AM</v>
      </c>
      <c r="BR607" t="str">
        <f>"5:00 PM"</f>
        <v>5:00 PM</v>
      </c>
      <c r="BS607" t="s">
        <v>131</v>
      </c>
      <c r="BT607">
        <v>0</v>
      </c>
      <c r="BU607">
        <v>0</v>
      </c>
      <c r="BV607" t="s">
        <v>114</v>
      </c>
      <c r="BX607" t="s">
        <v>132</v>
      </c>
      <c r="BY607" t="s">
        <v>22848</v>
      </c>
      <c r="CA607" t="s">
        <v>2115</v>
      </c>
      <c r="CB607" t="s">
        <v>1598</v>
      </c>
      <c r="CC607" s="8" t="str">
        <f>"35116"</f>
        <v>35116</v>
      </c>
      <c r="CD607" t="s">
        <v>1767</v>
      </c>
      <c r="CE607" t="s">
        <v>2413</v>
      </c>
      <c r="CF607" s="12">
        <v>17.98</v>
      </c>
      <c r="CJ607" t="s">
        <v>135</v>
      </c>
      <c r="CL607" t="s">
        <v>22849</v>
      </c>
      <c r="CO607" t="s">
        <v>132</v>
      </c>
      <c r="CP607" t="s">
        <v>114</v>
      </c>
      <c r="CQ607" t="s">
        <v>114</v>
      </c>
      <c r="CR607" t="s">
        <v>114</v>
      </c>
      <c r="CS607" t="s">
        <v>136</v>
      </c>
      <c r="CT607" t="s">
        <v>136</v>
      </c>
      <c r="CU607" t="s">
        <v>114</v>
      </c>
      <c r="CV607" t="s">
        <v>22323</v>
      </c>
      <c r="CW607" s="10" t="str">
        <f>"+18007417366"</f>
        <v>+18007417366</v>
      </c>
      <c r="CX607" t="s">
        <v>22324</v>
      </c>
      <c r="CY607" t="s">
        <v>132</v>
      </c>
      <c r="CZ607" t="s">
        <v>137</v>
      </c>
      <c r="DA607" t="s">
        <v>114</v>
      </c>
      <c r="DB607" t="s">
        <v>114</v>
      </c>
      <c r="DC607" t="s">
        <v>136</v>
      </c>
      <c r="DD607" t="s">
        <v>114</v>
      </c>
      <c r="DE607" t="s">
        <v>2869</v>
      </c>
      <c r="DF607" t="s">
        <v>22315</v>
      </c>
      <c r="DH607" t="s">
        <v>22319</v>
      </c>
      <c r="DI607" t="s">
        <v>22318</v>
      </c>
    </row>
    <row r="608" spans="1:113" ht="15" customHeight="1" x14ac:dyDescent="0.25">
      <c r="A608" t="s">
        <v>21199</v>
      </c>
      <c r="B608" t="s">
        <v>152</v>
      </c>
      <c r="C608" s="1">
        <v>45110.002766087964</v>
      </c>
      <c r="D608" s="1">
        <v>45260</v>
      </c>
      <c r="E608" t="s">
        <v>114</v>
      </c>
      <c r="F608" t="s">
        <v>2376</v>
      </c>
      <c r="G608" t="str">
        <f>"51-3023.00"</f>
        <v>51-3023.00</v>
      </c>
      <c r="H608" t="s">
        <v>2377</v>
      </c>
      <c r="I608">
        <v>47</v>
      </c>
      <c r="J608">
        <v>47</v>
      </c>
      <c r="K608" s="1">
        <v>45200</v>
      </c>
      <c r="L608" s="1">
        <v>45504</v>
      </c>
      <c r="M608" s="1">
        <v>45200</v>
      </c>
      <c r="N608" s="1">
        <v>45504</v>
      </c>
      <c r="O608" t="s">
        <v>238</v>
      </c>
      <c r="P608" t="s">
        <v>21200</v>
      </c>
      <c r="R608" t="s">
        <v>21201</v>
      </c>
      <c r="T608" t="s">
        <v>2176</v>
      </c>
      <c r="U608" t="s">
        <v>386</v>
      </c>
      <c r="V608" s="8" t="str">
        <f>"37111"</f>
        <v>37111</v>
      </c>
      <c r="W608" t="s">
        <v>118</v>
      </c>
      <c r="Y608" s="10">
        <v>19319345900</v>
      </c>
      <c r="AA608">
        <v>311612</v>
      </c>
      <c r="AB608" t="s">
        <v>21202</v>
      </c>
      <c r="AC608" t="s">
        <v>21203</v>
      </c>
      <c r="AE608" t="s">
        <v>1119</v>
      </c>
      <c r="AF608" t="s">
        <v>21201</v>
      </c>
      <c r="AH608" t="s">
        <v>21204</v>
      </c>
      <c r="AI608" t="s">
        <v>386</v>
      </c>
      <c r="AJ608" s="8" t="str">
        <f>"37111"</f>
        <v>37111</v>
      </c>
      <c r="AK608" t="s">
        <v>118</v>
      </c>
      <c r="AM608" s="10">
        <v>19319345900</v>
      </c>
      <c r="AO608" t="s">
        <v>21205</v>
      </c>
      <c r="AP608" t="s">
        <v>121</v>
      </c>
      <c r="AQ608" t="s">
        <v>2173</v>
      </c>
      <c r="AR608" t="s">
        <v>2174</v>
      </c>
      <c r="AS608" t="s">
        <v>1829</v>
      </c>
      <c r="AT608" t="s">
        <v>2175</v>
      </c>
      <c r="AV608" t="s">
        <v>2176</v>
      </c>
      <c r="AW608" t="s">
        <v>386</v>
      </c>
      <c r="AX608" s="8" t="str">
        <f>"37110"</f>
        <v>37110</v>
      </c>
      <c r="AY608" t="s">
        <v>118</v>
      </c>
      <c r="BA608" s="10">
        <v>19312747811</v>
      </c>
      <c r="BC608" t="s">
        <v>2177</v>
      </c>
      <c r="BD608" t="s">
        <v>2178</v>
      </c>
      <c r="BE608" t="s">
        <v>386</v>
      </c>
      <c r="BF608" t="s">
        <v>2179</v>
      </c>
      <c r="BG608" t="s">
        <v>386</v>
      </c>
      <c r="BH608" s="1">
        <v>45109.833333333336</v>
      </c>
      <c r="BI608">
        <v>40</v>
      </c>
      <c r="BJ608">
        <v>0</v>
      </c>
      <c r="BK608">
        <v>8</v>
      </c>
      <c r="BL608">
        <v>8</v>
      </c>
      <c r="BM608">
        <v>8</v>
      </c>
      <c r="BN608">
        <v>8</v>
      </c>
      <c r="BO608">
        <v>8</v>
      </c>
      <c r="BP608">
        <v>0</v>
      </c>
      <c r="BQ608" t="str">
        <f>"7:00 AM"</f>
        <v>7:00 AM</v>
      </c>
      <c r="BR608" t="str">
        <f>"4:00 PM"</f>
        <v>4:00 PM</v>
      </c>
      <c r="BS608" t="s">
        <v>131</v>
      </c>
      <c r="BT608">
        <v>0</v>
      </c>
      <c r="BU608">
        <v>0</v>
      </c>
      <c r="BV608" t="s">
        <v>114</v>
      </c>
      <c r="BX608" s="2" t="s">
        <v>21206</v>
      </c>
      <c r="BY608" t="s">
        <v>21207</v>
      </c>
      <c r="CA608" t="s">
        <v>21208</v>
      </c>
      <c r="CB608" t="s">
        <v>386</v>
      </c>
      <c r="CC608" s="8" t="str">
        <f>"38501"</f>
        <v>38501</v>
      </c>
      <c r="CD608" t="s">
        <v>6036</v>
      </c>
      <c r="CE608" t="s">
        <v>2425</v>
      </c>
      <c r="CF608" s="12">
        <v>14.02</v>
      </c>
      <c r="CH608" s="12">
        <v>21.03</v>
      </c>
      <c r="CJ608" t="s">
        <v>135</v>
      </c>
      <c r="CK608" t="s">
        <v>2181</v>
      </c>
      <c r="CL608" t="s">
        <v>21209</v>
      </c>
      <c r="CO608" t="s">
        <v>132</v>
      </c>
      <c r="CP608" t="s">
        <v>136</v>
      </c>
      <c r="CQ608" t="s">
        <v>136</v>
      </c>
      <c r="CR608" t="s">
        <v>136</v>
      </c>
      <c r="CS608" t="s">
        <v>114</v>
      </c>
      <c r="CT608" t="s">
        <v>136</v>
      </c>
      <c r="CU608" t="s">
        <v>114</v>
      </c>
      <c r="CV608" t="s">
        <v>132</v>
      </c>
      <c r="CW608" s="10" t="str">
        <f>"+19319345900"</f>
        <v>+19319345900</v>
      </c>
      <c r="CX608" t="s">
        <v>21205</v>
      </c>
      <c r="CY608" t="s">
        <v>132</v>
      </c>
      <c r="CZ608" t="s">
        <v>137</v>
      </c>
      <c r="DA608" t="s">
        <v>114</v>
      </c>
      <c r="DB608" t="s">
        <v>114</v>
      </c>
      <c r="DC608" t="s">
        <v>136</v>
      </c>
      <c r="DD608" t="s">
        <v>114</v>
      </c>
    </row>
    <row r="609" spans="1:113" ht="15" customHeight="1" x14ac:dyDescent="0.25">
      <c r="A609" t="s">
        <v>15229</v>
      </c>
      <c r="B609" t="s">
        <v>152</v>
      </c>
      <c r="C609" s="1">
        <v>45233.724294328706</v>
      </c>
      <c r="D609" s="1">
        <v>45259</v>
      </c>
      <c r="E609" t="s">
        <v>132</v>
      </c>
      <c r="F609" t="s">
        <v>15230</v>
      </c>
      <c r="G609" t="str">
        <f>"35-1012.00"</f>
        <v>35-1012.00</v>
      </c>
      <c r="H609" t="s">
        <v>2122</v>
      </c>
      <c r="I609">
        <v>2</v>
      </c>
      <c r="J609">
        <v>2</v>
      </c>
      <c r="K609" s="1">
        <v>45323</v>
      </c>
      <c r="L609" s="1">
        <v>45626</v>
      </c>
      <c r="M609" s="1">
        <v>45323</v>
      </c>
      <c r="N609" s="1">
        <v>45626</v>
      </c>
      <c r="O609" t="s">
        <v>116</v>
      </c>
      <c r="P609" t="s">
        <v>3685</v>
      </c>
      <c r="R609" t="s">
        <v>3686</v>
      </c>
      <c r="T609" t="s">
        <v>3687</v>
      </c>
      <c r="U609" t="s">
        <v>2090</v>
      </c>
      <c r="V609" s="8" t="str">
        <f>"68845"</f>
        <v>68845</v>
      </c>
      <c r="W609" t="s">
        <v>118</v>
      </c>
      <c r="Y609" s="10">
        <v>13082387010</v>
      </c>
      <c r="AA609">
        <v>721110</v>
      </c>
      <c r="AB609" t="s">
        <v>3688</v>
      </c>
      <c r="AC609" t="s">
        <v>3689</v>
      </c>
      <c r="AE609" t="s">
        <v>378</v>
      </c>
      <c r="AF609" t="s">
        <v>3686</v>
      </c>
      <c r="AH609" t="s">
        <v>3687</v>
      </c>
      <c r="AI609" t="s">
        <v>2090</v>
      </c>
      <c r="AJ609" s="8" t="str">
        <f>"68845"</f>
        <v>68845</v>
      </c>
      <c r="AK609" t="s">
        <v>118</v>
      </c>
      <c r="AM609" s="10">
        <v>13082387010</v>
      </c>
      <c r="AO609" t="s">
        <v>796</v>
      </c>
      <c r="AP609" t="s">
        <v>248</v>
      </c>
      <c r="AQ609" t="s">
        <v>3690</v>
      </c>
      <c r="AR609" t="s">
        <v>2158</v>
      </c>
      <c r="AT609" t="s">
        <v>3691</v>
      </c>
      <c r="AU609" t="s">
        <v>3692</v>
      </c>
      <c r="AV609" t="s">
        <v>2814</v>
      </c>
      <c r="AW609" t="s">
        <v>2608</v>
      </c>
      <c r="AX609" s="8" t="str">
        <f>"74136"</f>
        <v>74136</v>
      </c>
      <c r="AY609" t="s">
        <v>118</v>
      </c>
      <c r="AZ609" t="s">
        <v>3693</v>
      </c>
      <c r="BA609" s="10">
        <v>19189065212</v>
      </c>
      <c r="BC609" t="s">
        <v>3694</v>
      </c>
      <c r="BD609" t="s">
        <v>3695</v>
      </c>
      <c r="BG609" t="s">
        <v>2090</v>
      </c>
      <c r="BH609" s="1">
        <v>45228.833333333336</v>
      </c>
      <c r="BI609">
        <v>40</v>
      </c>
      <c r="BJ609">
        <v>0</v>
      </c>
      <c r="BK609">
        <v>8</v>
      </c>
      <c r="BL609">
        <v>8</v>
      </c>
      <c r="BM609">
        <v>8</v>
      </c>
      <c r="BN609">
        <v>8</v>
      </c>
      <c r="BO609">
        <v>8</v>
      </c>
      <c r="BP609">
        <v>0</v>
      </c>
      <c r="BQ609" t="str">
        <f>"5:30 AM"</f>
        <v>5:30 AM</v>
      </c>
      <c r="BR609" t="str">
        <f>"10:00 PM"</f>
        <v>10:00 PM</v>
      </c>
      <c r="BS609" t="s">
        <v>131</v>
      </c>
      <c r="BT609">
        <v>0</v>
      </c>
      <c r="BU609">
        <v>0</v>
      </c>
      <c r="BV609" t="s">
        <v>136</v>
      </c>
      <c r="BW609">
        <v>10</v>
      </c>
      <c r="BX609" s="2" t="s">
        <v>15231</v>
      </c>
      <c r="BY609" t="s">
        <v>3697</v>
      </c>
      <c r="CA609" t="s">
        <v>3687</v>
      </c>
      <c r="CB609" t="s">
        <v>2090</v>
      </c>
      <c r="CC609" s="8" t="str">
        <f>"68847"</f>
        <v>68847</v>
      </c>
      <c r="CD609" t="s">
        <v>3698</v>
      </c>
      <c r="CE609" t="s">
        <v>2275</v>
      </c>
      <c r="CF609" s="12">
        <v>16.79</v>
      </c>
      <c r="CG609" s="12">
        <v>16.79</v>
      </c>
      <c r="CH609" s="12">
        <v>25.19</v>
      </c>
      <c r="CI609" s="12">
        <v>25.19</v>
      </c>
      <c r="CJ609" t="s">
        <v>135</v>
      </c>
      <c r="CK609" t="s">
        <v>3699</v>
      </c>
      <c r="CL609" t="s">
        <v>15232</v>
      </c>
      <c r="CO609" t="s">
        <v>132</v>
      </c>
      <c r="CP609" t="s">
        <v>136</v>
      </c>
      <c r="CQ609" t="s">
        <v>114</v>
      </c>
      <c r="CR609" t="s">
        <v>136</v>
      </c>
      <c r="CS609" t="s">
        <v>136</v>
      </c>
      <c r="CT609" t="s">
        <v>136</v>
      </c>
      <c r="CU609" t="s">
        <v>136</v>
      </c>
      <c r="CV609" s="2" t="s">
        <v>15233</v>
      </c>
      <c r="CW609" s="10" t="str">
        <f>"+13082387010"</f>
        <v>+13082387010</v>
      </c>
      <c r="CX609" t="s">
        <v>132</v>
      </c>
      <c r="CY609" t="s">
        <v>3702</v>
      </c>
      <c r="CZ609" t="s">
        <v>137</v>
      </c>
      <c r="DA609" t="s">
        <v>114</v>
      </c>
      <c r="DB609" t="s">
        <v>136</v>
      </c>
      <c r="DC609" t="s">
        <v>136</v>
      </c>
      <c r="DD609" t="s">
        <v>114</v>
      </c>
    </row>
    <row r="610" spans="1:113" ht="15" customHeight="1" x14ac:dyDescent="0.25">
      <c r="A610" t="s">
        <v>7601</v>
      </c>
      <c r="B610" t="s">
        <v>152</v>
      </c>
      <c r="C610" s="1">
        <v>45233.701083217595</v>
      </c>
      <c r="D610" s="1">
        <v>45259</v>
      </c>
      <c r="E610" t="s">
        <v>132</v>
      </c>
      <c r="F610" t="s">
        <v>205</v>
      </c>
      <c r="G610" t="str">
        <f>"37-2012.00"</f>
        <v>37-2012.00</v>
      </c>
      <c r="H610" t="s">
        <v>205</v>
      </c>
      <c r="I610">
        <v>4</v>
      </c>
      <c r="J610">
        <v>4</v>
      </c>
      <c r="K610" s="1">
        <v>45323</v>
      </c>
      <c r="L610" s="1">
        <v>45626</v>
      </c>
      <c r="M610" s="1">
        <v>45323</v>
      </c>
      <c r="N610" s="1">
        <v>45626</v>
      </c>
      <c r="O610" t="s">
        <v>116</v>
      </c>
      <c r="P610" t="s">
        <v>7602</v>
      </c>
      <c r="Q610" t="s">
        <v>7603</v>
      </c>
      <c r="R610" t="s">
        <v>7604</v>
      </c>
      <c r="T610" t="s">
        <v>7605</v>
      </c>
      <c r="U610" t="s">
        <v>2090</v>
      </c>
      <c r="V610" s="8" t="str">
        <f>"68803"</f>
        <v>68803</v>
      </c>
      <c r="W610" t="s">
        <v>118</v>
      </c>
      <c r="Y610" s="10">
        <v>13082387010</v>
      </c>
      <c r="AA610">
        <v>721110</v>
      </c>
      <c r="AB610" t="s">
        <v>3688</v>
      </c>
      <c r="AC610" t="s">
        <v>3689</v>
      </c>
      <c r="AE610" t="s">
        <v>378</v>
      </c>
      <c r="AF610" t="s">
        <v>7604</v>
      </c>
      <c r="AG610" t="s">
        <v>7606</v>
      </c>
      <c r="AH610" t="s">
        <v>7605</v>
      </c>
      <c r="AI610" t="s">
        <v>2090</v>
      </c>
      <c r="AJ610" s="8" t="str">
        <f>"68803"</f>
        <v>68803</v>
      </c>
      <c r="AK610" t="s">
        <v>118</v>
      </c>
      <c r="AM610" s="10">
        <v>13082387010</v>
      </c>
      <c r="AO610" t="s">
        <v>796</v>
      </c>
      <c r="AP610" t="s">
        <v>248</v>
      </c>
      <c r="AQ610" t="s">
        <v>3690</v>
      </c>
      <c r="AR610" t="s">
        <v>2158</v>
      </c>
      <c r="AT610" t="s">
        <v>3691</v>
      </c>
      <c r="AU610" t="s">
        <v>3692</v>
      </c>
      <c r="AV610" t="s">
        <v>2814</v>
      </c>
      <c r="AW610" t="s">
        <v>2608</v>
      </c>
      <c r="AX610" s="8" t="str">
        <f>"74136"</f>
        <v>74136</v>
      </c>
      <c r="AY610" t="s">
        <v>118</v>
      </c>
      <c r="AZ610" t="s">
        <v>3693</v>
      </c>
      <c r="BA610" s="10">
        <v>19189065212</v>
      </c>
      <c r="BC610" t="s">
        <v>3694</v>
      </c>
      <c r="BD610" t="s">
        <v>3695</v>
      </c>
      <c r="BG610" t="s">
        <v>2090</v>
      </c>
      <c r="BH610" s="1">
        <v>45228.833333333336</v>
      </c>
      <c r="BI610">
        <v>40</v>
      </c>
      <c r="BJ610">
        <v>0</v>
      </c>
      <c r="BK610">
        <v>8</v>
      </c>
      <c r="BL610">
        <v>8</v>
      </c>
      <c r="BM610">
        <v>8</v>
      </c>
      <c r="BN610">
        <v>8</v>
      </c>
      <c r="BO610">
        <v>8</v>
      </c>
      <c r="BP610">
        <v>0</v>
      </c>
      <c r="BQ610" t="str">
        <f>"9:00 AM"</f>
        <v>9:00 AM</v>
      </c>
      <c r="BR610" t="str">
        <f>"5:00 PM"</f>
        <v>5:00 PM</v>
      </c>
      <c r="BS610" t="s">
        <v>131</v>
      </c>
      <c r="BT610">
        <v>0</v>
      </c>
      <c r="BU610">
        <v>0</v>
      </c>
      <c r="BV610" t="s">
        <v>114</v>
      </c>
      <c r="BX610" s="2" t="s">
        <v>7607</v>
      </c>
      <c r="BY610" t="s">
        <v>7604</v>
      </c>
      <c r="CA610" t="s">
        <v>7605</v>
      </c>
      <c r="CB610" t="s">
        <v>2090</v>
      </c>
      <c r="CC610" s="8" t="str">
        <f>"68803"</f>
        <v>68803</v>
      </c>
      <c r="CD610" t="s">
        <v>5435</v>
      </c>
      <c r="CE610" t="s">
        <v>7608</v>
      </c>
      <c r="CF610" s="12">
        <v>13.51</v>
      </c>
      <c r="CG610" s="12">
        <v>13.51</v>
      </c>
      <c r="CH610" s="12">
        <v>20.27</v>
      </c>
      <c r="CI610" s="12">
        <v>20.27</v>
      </c>
      <c r="CJ610" t="s">
        <v>135</v>
      </c>
      <c r="CK610" t="s">
        <v>3699</v>
      </c>
      <c r="CL610" t="s">
        <v>7609</v>
      </c>
      <c r="CO610" t="s">
        <v>132</v>
      </c>
      <c r="CP610" t="s">
        <v>136</v>
      </c>
      <c r="CQ610" t="s">
        <v>114</v>
      </c>
      <c r="CR610" t="s">
        <v>136</v>
      </c>
      <c r="CS610" t="s">
        <v>136</v>
      </c>
      <c r="CT610" t="s">
        <v>136</v>
      </c>
      <c r="CU610" t="s">
        <v>136</v>
      </c>
      <c r="CV610" s="2" t="s">
        <v>7610</v>
      </c>
      <c r="CW610" s="10" t="str">
        <f>"+13082387010"</f>
        <v>+13082387010</v>
      </c>
      <c r="CX610" t="s">
        <v>132</v>
      </c>
      <c r="CY610" t="s">
        <v>3702</v>
      </c>
      <c r="CZ610" t="s">
        <v>137</v>
      </c>
      <c r="DA610" t="s">
        <v>114</v>
      </c>
      <c r="DB610" t="s">
        <v>136</v>
      </c>
      <c r="DC610" t="s">
        <v>136</v>
      </c>
      <c r="DD610" t="s">
        <v>114</v>
      </c>
    </row>
    <row r="611" spans="1:113" ht="15" customHeight="1" x14ac:dyDescent="0.25">
      <c r="A611" t="s">
        <v>2039</v>
      </c>
      <c r="B611" t="s">
        <v>152</v>
      </c>
      <c r="C611" s="1">
        <v>45233.691456365741</v>
      </c>
      <c r="D611" s="1">
        <v>45259</v>
      </c>
      <c r="E611" t="s">
        <v>132</v>
      </c>
      <c r="F611" t="s">
        <v>2040</v>
      </c>
      <c r="G611" t="str">
        <f>"39-3091.00"</f>
        <v>39-3091.00</v>
      </c>
      <c r="H611" t="s">
        <v>237</v>
      </c>
      <c r="I611">
        <v>27</v>
      </c>
      <c r="J611">
        <v>27</v>
      </c>
      <c r="K611" s="1">
        <v>45323</v>
      </c>
      <c r="L611" s="1">
        <v>45537</v>
      </c>
      <c r="M611" s="1">
        <v>45323</v>
      </c>
      <c r="N611" s="1">
        <v>45537</v>
      </c>
      <c r="O611" t="s">
        <v>116</v>
      </c>
      <c r="P611" t="s">
        <v>2041</v>
      </c>
      <c r="R611" t="s">
        <v>2042</v>
      </c>
      <c r="T611" t="s">
        <v>2043</v>
      </c>
      <c r="U611" t="s">
        <v>140</v>
      </c>
      <c r="V611" s="8" t="str">
        <f>"34747"</f>
        <v>34747</v>
      </c>
      <c r="W611" t="s">
        <v>118</v>
      </c>
      <c r="Y611" s="10">
        <v>14074777025</v>
      </c>
      <c r="AA611">
        <v>72111</v>
      </c>
      <c r="AB611" t="s">
        <v>2044</v>
      </c>
      <c r="AC611" t="s">
        <v>2045</v>
      </c>
      <c r="AE611" t="s">
        <v>2046</v>
      </c>
      <c r="AF611" t="s">
        <v>954</v>
      </c>
      <c r="AH611" t="s">
        <v>955</v>
      </c>
      <c r="AI611" t="s">
        <v>140</v>
      </c>
      <c r="AJ611" s="8" t="str">
        <f>"32819"</f>
        <v>32819</v>
      </c>
      <c r="AK611" t="s">
        <v>118</v>
      </c>
      <c r="AM611" s="10">
        <v>14073956456</v>
      </c>
      <c r="AO611" t="s">
        <v>959</v>
      </c>
      <c r="AP611" t="s">
        <v>248</v>
      </c>
      <c r="AQ611" t="s">
        <v>960</v>
      </c>
      <c r="AR611" t="s">
        <v>961</v>
      </c>
      <c r="AS611" t="s">
        <v>962</v>
      </c>
      <c r="AT611" t="s">
        <v>963</v>
      </c>
      <c r="AU611" t="s">
        <v>296</v>
      </c>
      <c r="AV611" t="s">
        <v>964</v>
      </c>
      <c r="AW611" t="s">
        <v>127</v>
      </c>
      <c r="AX611" s="8" t="str">
        <f>"75033"</f>
        <v>75033</v>
      </c>
      <c r="AY611" t="s">
        <v>118</v>
      </c>
      <c r="BA611" s="10">
        <v>19727789690</v>
      </c>
      <c r="BC611" t="s">
        <v>2047</v>
      </c>
      <c r="BD611" t="s">
        <v>966</v>
      </c>
      <c r="BG611" t="s">
        <v>140</v>
      </c>
      <c r="BH611" s="1">
        <v>45232.833333333336</v>
      </c>
      <c r="BI611">
        <v>40</v>
      </c>
      <c r="BJ611">
        <v>8</v>
      </c>
      <c r="BK611">
        <v>0</v>
      </c>
      <c r="BL611">
        <v>8</v>
      </c>
      <c r="BM611">
        <v>0</v>
      </c>
      <c r="BN611">
        <v>8</v>
      </c>
      <c r="BO611">
        <v>8</v>
      </c>
      <c r="BP611">
        <v>8</v>
      </c>
      <c r="BQ611" t="str">
        <f>"11:00 AM"</f>
        <v>11:00 AM</v>
      </c>
      <c r="BR611" t="str">
        <f>"7:30 PM"</f>
        <v>7:30 PM</v>
      </c>
      <c r="BS611" t="s">
        <v>131</v>
      </c>
      <c r="BT611">
        <v>0</v>
      </c>
      <c r="BU611">
        <v>0</v>
      </c>
      <c r="BV611" t="s">
        <v>114</v>
      </c>
      <c r="BX611" s="2" t="s">
        <v>2048</v>
      </c>
      <c r="BY611" t="s">
        <v>2049</v>
      </c>
      <c r="CA611" t="s">
        <v>2050</v>
      </c>
      <c r="CB611" t="s">
        <v>140</v>
      </c>
      <c r="CC611" s="8" t="str">
        <f>"34747"</f>
        <v>34747</v>
      </c>
      <c r="CD611" t="s">
        <v>2051</v>
      </c>
      <c r="CE611" t="s">
        <v>2052</v>
      </c>
      <c r="CF611" s="12">
        <v>14.08</v>
      </c>
      <c r="CH611" s="12">
        <v>21.12</v>
      </c>
      <c r="CJ611" t="s">
        <v>135</v>
      </c>
      <c r="CK611" t="s">
        <v>1840</v>
      </c>
      <c r="CL611" t="s">
        <v>2053</v>
      </c>
      <c r="CO611" t="s">
        <v>132</v>
      </c>
      <c r="CP611" t="s">
        <v>114</v>
      </c>
      <c r="CQ611" t="s">
        <v>114</v>
      </c>
      <c r="CR611" t="s">
        <v>136</v>
      </c>
      <c r="CS611" t="s">
        <v>136</v>
      </c>
      <c r="CT611" t="s">
        <v>136</v>
      </c>
      <c r="CU611" t="s">
        <v>136</v>
      </c>
      <c r="CV611" s="2" t="s">
        <v>2054</v>
      </c>
      <c r="CW611" s="10" t="str">
        <f>"+14074777025"</f>
        <v>+14074777025</v>
      </c>
      <c r="CX611" t="s">
        <v>132</v>
      </c>
      <c r="CY611" t="s">
        <v>1876</v>
      </c>
      <c r="CZ611" t="s">
        <v>137</v>
      </c>
      <c r="DA611" t="s">
        <v>114</v>
      </c>
      <c r="DB611" t="s">
        <v>114</v>
      </c>
      <c r="DC611" t="s">
        <v>136</v>
      </c>
      <c r="DD611" t="s">
        <v>114</v>
      </c>
    </row>
    <row r="612" spans="1:113" ht="15" customHeight="1" x14ac:dyDescent="0.25">
      <c r="A612" t="s">
        <v>5495</v>
      </c>
      <c r="B612" t="s">
        <v>152</v>
      </c>
      <c r="C612" s="1">
        <v>45233.691211226855</v>
      </c>
      <c r="D612" s="1">
        <v>45259</v>
      </c>
      <c r="E612" t="s">
        <v>132</v>
      </c>
      <c r="F612" t="s">
        <v>5496</v>
      </c>
      <c r="G612" t="str">
        <f>"43-4081.00"</f>
        <v>43-4081.00</v>
      </c>
      <c r="H612" t="s">
        <v>952</v>
      </c>
      <c r="I612">
        <v>4</v>
      </c>
      <c r="J612">
        <v>4</v>
      </c>
      <c r="K612" s="1">
        <v>45323</v>
      </c>
      <c r="L612" s="1">
        <v>45537</v>
      </c>
      <c r="M612" s="1">
        <v>45323</v>
      </c>
      <c r="N612" s="1">
        <v>45537</v>
      </c>
      <c r="O612" t="s">
        <v>116</v>
      </c>
      <c r="P612" t="s">
        <v>2041</v>
      </c>
      <c r="R612" t="s">
        <v>2042</v>
      </c>
      <c r="T612" t="s">
        <v>2043</v>
      </c>
      <c r="U612" t="s">
        <v>140</v>
      </c>
      <c r="V612" s="8" t="str">
        <f>"34747"</f>
        <v>34747</v>
      </c>
      <c r="W612" t="s">
        <v>118</v>
      </c>
      <c r="Y612" s="10">
        <v>14074777025</v>
      </c>
      <c r="AA612">
        <v>72111</v>
      </c>
      <c r="AB612" t="s">
        <v>2044</v>
      </c>
      <c r="AC612" t="s">
        <v>2045</v>
      </c>
      <c r="AE612" t="s">
        <v>2046</v>
      </c>
      <c r="AF612" t="s">
        <v>954</v>
      </c>
      <c r="AH612" t="s">
        <v>955</v>
      </c>
      <c r="AI612" t="s">
        <v>140</v>
      </c>
      <c r="AJ612" s="8" t="str">
        <f>"32819"</f>
        <v>32819</v>
      </c>
      <c r="AK612" t="s">
        <v>118</v>
      </c>
      <c r="AM612" s="10">
        <v>14073956456</v>
      </c>
      <c r="AO612" t="s">
        <v>959</v>
      </c>
      <c r="AP612" t="s">
        <v>248</v>
      </c>
      <c r="AQ612" t="s">
        <v>960</v>
      </c>
      <c r="AR612" t="s">
        <v>961</v>
      </c>
      <c r="AS612" t="s">
        <v>962</v>
      </c>
      <c r="AT612" t="s">
        <v>963</v>
      </c>
      <c r="AU612" t="s">
        <v>296</v>
      </c>
      <c r="AV612" t="s">
        <v>964</v>
      </c>
      <c r="AW612" t="s">
        <v>127</v>
      </c>
      <c r="AX612" s="8" t="str">
        <f>"75033"</f>
        <v>75033</v>
      </c>
      <c r="AY612" t="s">
        <v>118</v>
      </c>
      <c r="BA612" s="10">
        <v>19727789690</v>
      </c>
      <c r="BC612" t="s">
        <v>2047</v>
      </c>
      <c r="BD612" t="s">
        <v>966</v>
      </c>
      <c r="BG612" t="s">
        <v>140</v>
      </c>
      <c r="BH612" s="1">
        <v>45232.833333333336</v>
      </c>
      <c r="BI612">
        <v>40</v>
      </c>
      <c r="BJ612">
        <v>8</v>
      </c>
      <c r="BK612">
        <v>0</v>
      </c>
      <c r="BL612">
        <v>8</v>
      </c>
      <c r="BM612">
        <v>0</v>
      </c>
      <c r="BN612">
        <v>8</v>
      </c>
      <c r="BO612">
        <v>8</v>
      </c>
      <c r="BP612">
        <v>8</v>
      </c>
      <c r="BQ612" t="str">
        <f>"7:00 AM"</f>
        <v>7:00 AM</v>
      </c>
      <c r="BR612" t="str">
        <f>"3:30 PM"</f>
        <v>3:30 PM</v>
      </c>
      <c r="BS612" t="s">
        <v>131</v>
      </c>
      <c r="BT612">
        <v>0</v>
      </c>
      <c r="BU612">
        <v>0</v>
      </c>
      <c r="BV612" t="s">
        <v>114</v>
      </c>
      <c r="BX612" s="2" t="s">
        <v>5497</v>
      </c>
      <c r="BY612" t="s">
        <v>2049</v>
      </c>
      <c r="CA612" t="s">
        <v>2050</v>
      </c>
      <c r="CB612" t="s">
        <v>140</v>
      </c>
      <c r="CC612" s="8" t="str">
        <f>"34747"</f>
        <v>34747</v>
      </c>
      <c r="CD612" t="s">
        <v>2051</v>
      </c>
      <c r="CE612" t="s">
        <v>2052</v>
      </c>
      <c r="CF612" s="12">
        <v>15.27</v>
      </c>
      <c r="CH612" s="12">
        <v>22.91</v>
      </c>
      <c r="CJ612" t="s">
        <v>135</v>
      </c>
      <c r="CK612" t="s">
        <v>1840</v>
      </c>
      <c r="CL612" t="s">
        <v>5498</v>
      </c>
      <c r="CO612" t="s">
        <v>132</v>
      </c>
      <c r="CP612" t="s">
        <v>114</v>
      </c>
      <c r="CQ612" t="s">
        <v>114</v>
      </c>
      <c r="CR612" t="s">
        <v>136</v>
      </c>
      <c r="CS612" t="s">
        <v>136</v>
      </c>
      <c r="CT612" t="s">
        <v>136</v>
      </c>
      <c r="CU612" t="s">
        <v>136</v>
      </c>
      <c r="CV612" s="2" t="s">
        <v>5499</v>
      </c>
      <c r="CW612" s="10" t="str">
        <f>"+14074777025"</f>
        <v>+14074777025</v>
      </c>
      <c r="CX612" t="s">
        <v>132</v>
      </c>
      <c r="CY612" t="s">
        <v>1876</v>
      </c>
      <c r="CZ612" t="s">
        <v>137</v>
      </c>
      <c r="DA612" t="s">
        <v>114</v>
      </c>
      <c r="DB612" t="s">
        <v>114</v>
      </c>
      <c r="DC612" t="s">
        <v>136</v>
      </c>
      <c r="DD612" t="s">
        <v>114</v>
      </c>
    </row>
    <row r="613" spans="1:113" ht="15" customHeight="1" x14ac:dyDescent="0.25">
      <c r="A613" t="s">
        <v>17958</v>
      </c>
      <c r="B613" t="s">
        <v>152</v>
      </c>
      <c r="C613" s="1">
        <v>45233.635844328703</v>
      </c>
      <c r="D613" s="1">
        <v>45259</v>
      </c>
      <c r="E613" t="s">
        <v>132</v>
      </c>
      <c r="F613" t="s">
        <v>2738</v>
      </c>
      <c r="G613" t="str">
        <f>"37-3011.00"</f>
        <v>37-3011.00</v>
      </c>
      <c r="H613" t="s">
        <v>429</v>
      </c>
      <c r="I613">
        <v>25</v>
      </c>
      <c r="J613">
        <v>25</v>
      </c>
      <c r="K613" s="1">
        <v>45323</v>
      </c>
      <c r="L613" s="1">
        <v>45595</v>
      </c>
      <c r="M613" s="1">
        <v>45323</v>
      </c>
      <c r="N613" s="1">
        <v>45595</v>
      </c>
      <c r="O613" t="s">
        <v>238</v>
      </c>
      <c r="P613" t="s">
        <v>17959</v>
      </c>
      <c r="R613" t="s">
        <v>17960</v>
      </c>
      <c r="S613" t="s">
        <v>132</v>
      </c>
      <c r="T613" t="s">
        <v>17961</v>
      </c>
      <c r="U613" t="s">
        <v>127</v>
      </c>
      <c r="V613" s="8" t="str">
        <f>"78163"</f>
        <v>78163</v>
      </c>
      <c r="W613" t="s">
        <v>118</v>
      </c>
      <c r="X613" t="s">
        <v>132</v>
      </c>
      <c r="Y613" s="10">
        <v>18309804037</v>
      </c>
      <c r="Z613">
        <v>0</v>
      </c>
      <c r="AA613">
        <v>23814</v>
      </c>
      <c r="AB613" t="s">
        <v>17962</v>
      </c>
      <c r="AC613" t="s">
        <v>5167</v>
      </c>
      <c r="AD613" t="s">
        <v>1975</v>
      </c>
      <c r="AE613" t="s">
        <v>654</v>
      </c>
      <c r="AF613" t="s">
        <v>17960</v>
      </c>
      <c r="AG613" t="s">
        <v>132</v>
      </c>
      <c r="AH613" t="s">
        <v>17961</v>
      </c>
      <c r="AI613" t="s">
        <v>127</v>
      </c>
      <c r="AJ613" s="8" t="str">
        <f>"78163"</f>
        <v>78163</v>
      </c>
      <c r="AK613" t="s">
        <v>118</v>
      </c>
      <c r="AM613" s="10">
        <v>18309804037</v>
      </c>
      <c r="AN613">
        <v>0</v>
      </c>
      <c r="AO613" t="s">
        <v>17963</v>
      </c>
      <c r="AP613" t="s">
        <v>121</v>
      </c>
      <c r="AQ613" t="s">
        <v>2173</v>
      </c>
      <c r="AR613" t="s">
        <v>2174</v>
      </c>
      <c r="AS613" t="s">
        <v>1829</v>
      </c>
      <c r="AT613" t="s">
        <v>2175</v>
      </c>
      <c r="AV613" t="s">
        <v>2176</v>
      </c>
      <c r="AW613" t="s">
        <v>386</v>
      </c>
      <c r="AX613" s="8" t="str">
        <f>"37110"</f>
        <v>37110</v>
      </c>
      <c r="AY613" t="s">
        <v>118</v>
      </c>
      <c r="BA613" s="10">
        <v>19312747811</v>
      </c>
      <c r="BC613" t="s">
        <v>2177</v>
      </c>
      <c r="BD613" t="s">
        <v>2178</v>
      </c>
      <c r="BE613" t="s">
        <v>386</v>
      </c>
      <c r="BF613" t="s">
        <v>2179</v>
      </c>
      <c r="BG613" t="s">
        <v>127</v>
      </c>
      <c r="BH613" s="1">
        <v>45232.833333333336</v>
      </c>
      <c r="BI613">
        <v>40</v>
      </c>
      <c r="BJ613">
        <v>0</v>
      </c>
      <c r="BK613">
        <v>8</v>
      </c>
      <c r="BL613">
        <v>8</v>
      </c>
      <c r="BM613">
        <v>8</v>
      </c>
      <c r="BN613">
        <v>8</v>
      </c>
      <c r="BO613">
        <v>8</v>
      </c>
      <c r="BP613">
        <v>0</v>
      </c>
      <c r="BQ613" t="str">
        <f>"7:00 AM"</f>
        <v>7:00 AM</v>
      </c>
      <c r="BR613" t="str">
        <f>"4:00 PM"</f>
        <v>4:00 PM</v>
      </c>
      <c r="BS613" t="s">
        <v>131</v>
      </c>
      <c r="BT613">
        <v>0</v>
      </c>
      <c r="BU613">
        <v>3</v>
      </c>
      <c r="BV613" t="s">
        <v>114</v>
      </c>
      <c r="BX613" s="2" t="s">
        <v>17964</v>
      </c>
      <c r="BY613" t="s">
        <v>17960</v>
      </c>
      <c r="CA613" t="s">
        <v>17961</v>
      </c>
      <c r="CB613" t="s">
        <v>127</v>
      </c>
      <c r="CC613" s="8" t="str">
        <f>"78163"</f>
        <v>78163</v>
      </c>
      <c r="CD613" t="s">
        <v>1941</v>
      </c>
      <c r="CE613" t="s">
        <v>1287</v>
      </c>
      <c r="CF613" s="12">
        <v>15.69</v>
      </c>
      <c r="CH613" s="12">
        <v>23.54</v>
      </c>
      <c r="CJ613" t="s">
        <v>135</v>
      </c>
      <c r="CK613" t="s">
        <v>2181</v>
      </c>
      <c r="CL613" t="s">
        <v>17965</v>
      </c>
      <c r="CO613" t="s">
        <v>132</v>
      </c>
      <c r="CP613" t="s">
        <v>136</v>
      </c>
      <c r="CQ613" t="s">
        <v>136</v>
      </c>
      <c r="CR613" t="s">
        <v>136</v>
      </c>
      <c r="CS613" t="s">
        <v>114</v>
      </c>
      <c r="CT613" t="s">
        <v>136</v>
      </c>
      <c r="CU613" t="s">
        <v>114</v>
      </c>
      <c r="CV613" t="s">
        <v>131</v>
      </c>
      <c r="CW613" s="10" t="str">
        <f>"+18309804037"</f>
        <v>+18309804037</v>
      </c>
      <c r="CX613" t="s">
        <v>17963</v>
      </c>
      <c r="CY613" t="s">
        <v>132</v>
      </c>
      <c r="CZ613" t="s">
        <v>137</v>
      </c>
      <c r="DA613" t="s">
        <v>114</v>
      </c>
      <c r="DB613" t="s">
        <v>114</v>
      </c>
      <c r="DC613" t="s">
        <v>136</v>
      </c>
      <c r="DD613" t="s">
        <v>114</v>
      </c>
    </row>
    <row r="614" spans="1:113" ht="15" customHeight="1" x14ac:dyDescent="0.25">
      <c r="A614" t="s">
        <v>22924</v>
      </c>
      <c r="B614" t="s">
        <v>152</v>
      </c>
      <c r="C614" s="1">
        <v>45233.599403587963</v>
      </c>
      <c r="D614" s="1">
        <v>45259</v>
      </c>
      <c r="E614" t="s">
        <v>132</v>
      </c>
      <c r="F614" t="s">
        <v>3098</v>
      </c>
      <c r="G614" t="str">
        <f>"39-3091.00"</f>
        <v>39-3091.00</v>
      </c>
      <c r="H614" t="s">
        <v>237</v>
      </c>
      <c r="I614">
        <v>70</v>
      </c>
      <c r="J614">
        <v>70</v>
      </c>
      <c r="K614" s="1">
        <v>45323</v>
      </c>
      <c r="L614" s="1">
        <v>45626</v>
      </c>
      <c r="M614" s="1">
        <v>45323</v>
      </c>
      <c r="N614" s="1">
        <v>45626</v>
      </c>
      <c r="O614" t="s">
        <v>238</v>
      </c>
      <c r="P614" t="s">
        <v>22925</v>
      </c>
      <c r="R614" t="s">
        <v>22926</v>
      </c>
      <c r="S614" t="s">
        <v>22927</v>
      </c>
      <c r="T614" t="s">
        <v>22928</v>
      </c>
      <c r="U614" t="s">
        <v>402</v>
      </c>
      <c r="V614" s="8" t="str">
        <f>"93230"</f>
        <v>93230</v>
      </c>
      <c r="W614" t="s">
        <v>118</v>
      </c>
      <c r="Y614" s="10">
        <v>19162578057</v>
      </c>
      <c r="Z614" s="3" t="s">
        <v>256</v>
      </c>
      <c r="AA614">
        <v>71119</v>
      </c>
      <c r="AB614" t="s">
        <v>22929</v>
      </c>
      <c r="AC614" t="s">
        <v>1616</v>
      </c>
      <c r="AE614" t="s">
        <v>1836</v>
      </c>
      <c r="AF614" t="s">
        <v>22926</v>
      </c>
      <c r="AG614" t="s">
        <v>22927</v>
      </c>
      <c r="AH614" t="s">
        <v>22928</v>
      </c>
      <c r="AI614" t="s">
        <v>402</v>
      </c>
      <c r="AJ614" s="8" t="str">
        <f>"93230"</f>
        <v>93230</v>
      </c>
      <c r="AK614" t="s">
        <v>118</v>
      </c>
      <c r="AM614" s="10">
        <v>19162578057</v>
      </c>
      <c r="AN614" s="3" t="s">
        <v>256</v>
      </c>
      <c r="AO614" t="s">
        <v>22930</v>
      </c>
      <c r="AP614" t="s">
        <v>248</v>
      </c>
      <c r="AQ614" t="s">
        <v>249</v>
      </c>
      <c r="AR614" t="s">
        <v>250</v>
      </c>
      <c r="AS614" t="s">
        <v>251</v>
      </c>
      <c r="AT614" t="s">
        <v>252</v>
      </c>
      <c r="AU614" t="s">
        <v>253</v>
      </c>
      <c r="AV614" t="s">
        <v>254</v>
      </c>
      <c r="AW614" t="s">
        <v>127</v>
      </c>
      <c r="AX614" s="8" t="str">
        <f>"78550"</f>
        <v>78550</v>
      </c>
      <c r="AY614" t="s">
        <v>118</v>
      </c>
      <c r="AZ614" t="s">
        <v>255</v>
      </c>
      <c r="BA614" s="10">
        <v>19564408720</v>
      </c>
      <c r="BB614" s="3" t="s">
        <v>256</v>
      </c>
      <c r="BC614" t="s">
        <v>338</v>
      </c>
      <c r="BD614" t="s">
        <v>258</v>
      </c>
      <c r="BG614" t="s">
        <v>402</v>
      </c>
      <c r="BH614" s="1">
        <v>45232.833333333336</v>
      </c>
      <c r="BI614">
        <v>40</v>
      </c>
      <c r="BJ614">
        <v>8</v>
      </c>
      <c r="BK614">
        <v>0</v>
      </c>
      <c r="BL614">
        <v>0</v>
      </c>
      <c r="BM614">
        <v>8</v>
      </c>
      <c r="BN614">
        <v>8</v>
      </c>
      <c r="BO614">
        <v>8</v>
      </c>
      <c r="BP614">
        <v>8</v>
      </c>
      <c r="BQ614" t="str">
        <f>"1:00 PM"</f>
        <v>1:00 PM</v>
      </c>
      <c r="BR614" t="str">
        <f>"10:00 PM"</f>
        <v>10:00 PM</v>
      </c>
      <c r="BS614" t="s">
        <v>131</v>
      </c>
      <c r="BT614">
        <v>0</v>
      </c>
      <c r="BU614">
        <v>0</v>
      </c>
      <c r="BV614" t="s">
        <v>114</v>
      </c>
      <c r="BX614" s="2" t="s">
        <v>2396</v>
      </c>
      <c r="BY614" t="s">
        <v>22931</v>
      </c>
      <c r="CA614" t="s">
        <v>22932</v>
      </c>
      <c r="CB614" t="s">
        <v>402</v>
      </c>
      <c r="CC614" s="8" t="str">
        <f>"93230"</f>
        <v>93230</v>
      </c>
      <c r="CD614" t="s">
        <v>22933</v>
      </c>
      <c r="CE614" t="s">
        <v>22934</v>
      </c>
      <c r="CF614" s="12">
        <v>12.29</v>
      </c>
      <c r="CG614" s="12">
        <v>18.75</v>
      </c>
      <c r="CJ614" t="s">
        <v>135</v>
      </c>
      <c r="CK614" t="s">
        <v>342</v>
      </c>
      <c r="CL614" t="s">
        <v>22935</v>
      </c>
      <c r="CO614" t="s">
        <v>132</v>
      </c>
      <c r="CP614" t="s">
        <v>136</v>
      </c>
      <c r="CQ614" t="s">
        <v>136</v>
      </c>
      <c r="CR614" t="s">
        <v>114</v>
      </c>
      <c r="CS614" t="s">
        <v>136</v>
      </c>
      <c r="CT614" t="s">
        <v>136</v>
      </c>
      <c r="CU614" t="s">
        <v>136</v>
      </c>
      <c r="CV614" t="s">
        <v>16673</v>
      </c>
      <c r="CW614" s="10" t="str">
        <f>"+19162578057"</f>
        <v>+19162578057</v>
      </c>
      <c r="CX614" t="s">
        <v>22930</v>
      </c>
      <c r="CY614" t="s">
        <v>132</v>
      </c>
      <c r="CZ614" t="s">
        <v>137</v>
      </c>
      <c r="DA614" t="s">
        <v>114</v>
      </c>
      <c r="DB614" t="s">
        <v>114</v>
      </c>
      <c r="DC614" t="s">
        <v>136</v>
      </c>
      <c r="DD614" t="s">
        <v>114</v>
      </c>
    </row>
    <row r="615" spans="1:113" ht="15" customHeight="1" x14ac:dyDescent="0.25">
      <c r="A615" t="s">
        <v>5894</v>
      </c>
      <c r="B615" t="s">
        <v>152</v>
      </c>
      <c r="C615" s="1">
        <v>45233.576517592592</v>
      </c>
      <c r="D615" s="1">
        <v>45259</v>
      </c>
      <c r="E615" t="s">
        <v>132</v>
      </c>
      <c r="F615" t="s">
        <v>3098</v>
      </c>
      <c r="G615" t="str">
        <f>"39-3091.00"</f>
        <v>39-3091.00</v>
      </c>
      <c r="H615" t="s">
        <v>237</v>
      </c>
      <c r="I615">
        <v>30</v>
      </c>
      <c r="J615">
        <v>30</v>
      </c>
      <c r="K615" s="1">
        <v>45323</v>
      </c>
      <c r="L615" s="1">
        <v>45622</v>
      </c>
      <c r="M615" s="1">
        <v>45323</v>
      </c>
      <c r="N615" s="1">
        <v>45622</v>
      </c>
      <c r="O615" t="s">
        <v>238</v>
      </c>
      <c r="P615" t="s">
        <v>5895</v>
      </c>
      <c r="R615" t="s">
        <v>5896</v>
      </c>
      <c r="S615" t="s">
        <v>5897</v>
      </c>
      <c r="T615" t="s">
        <v>5898</v>
      </c>
      <c r="U615" t="s">
        <v>127</v>
      </c>
      <c r="V615" s="8" t="str">
        <f>"78336"</f>
        <v>78336</v>
      </c>
      <c r="W615" t="s">
        <v>118</v>
      </c>
      <c r="Y615" s="10">
        <v>13613321725</v>
      </c>
      <c r="Z615" s="3" t="s">
        <v>256</v>
      </c>
      <c r="AA615">
        <v>711190</v>
      </c>
      <c r="AB615" t="s">
        <v>5387</v>
      </c>
      <c r="AC615" t="s">
        <v>1616</v>
      </c>
      <c r="AE615" t="s">
        <v>987</v>
      </c>
      <c r="AF615" t="s">
        <v>5899</v>
      </c>
      <c r="AG615" t="s">
        <v>5897</v>
      </c>
      <c r="AH615" t="s">
        <v>5898</v>
      </c>
      <c r="AI615" t="s">
        <v>127</v>
      </c>
      <c r="AJ615" s="8" t="str">
        <f>"78336"</f>
        <v>78336</v>
      </c>
      <c r="AK615" t="s">
        <v>118</v>
      </c>
      <c r="AM615" s="10">
        <v>13613321725</v>
      </c>
      <c r="AN615" s="3" t="s">
        <v>256</v>
      </c>
      <c r="AO615" t="s">
        <v>5900</v>
      </c>
      <c r="AP615" t="s">
        <v>248</v>
      </c>
      <c r="AQ615" t="s">
        <v>249</v>
      </c>
      <c r="AR615" t="s">
        <v>250</v>
      </c>
      <c r="AS615" t="s">
        <v>251</v>
      </c>
      <c r="AT615" t="s">
        <v>252</v>
      </c>
      <c r="AU615" t="s">
        <v>253</v>
      </c>
      <c r="AV615" t="s">
        <v>254</v>
      </c>
      <c r="AW615" t="s">
        <v>127</v>
      </c>
      <c r="AX615" s="8" t="str">
        <f>"78550"</f>
        <v>78550</v>
      </c>
      <c r="AY615" t="s">
        <v>118</v>
      </c>
      <c r="AZ615" t="s">
        <v>255</v>
      </c>
      <c r="BA615" s="10">
        <v>19564408720</v>
      </c>
      <c r="BB615" s="3" t="s">
        <v>256</v>
      </c>
      <c r="BC615" t="s">
        <v>338</v>
      </c>
      <c r="BD615" t="s">
        <v>258</v>
      </c>
      <c r="BG615" t="s">
        <v>127</v>
      </c>
      <c r="BH615" s="1">
        <v>45232.833333333336</v>
      </c>
      <c r="BI615">
        <v>40</v>
      </c>
      <c r="BJ615">
        <v>8</v>
      </c>
      <c r="BK615">
        <v>0</v>
      </c>
      <c r="BL615">
        <v>0</v>
      </c>
      <c r="BM615">
        <v>8</v>
      </c>
      <c r="BN615">
        <v>8</v>
      </c>
      <c r="BO615">
        <v>8</v>
      </c>
      <c r="BP615">
        <v>8</v>
      </c>
      <c r="BQ615" t="str">
        <f>"1:00 PM"</f>
        <v>1:00 PM</v>
      </c>
      <c r="BR615" t="str">
        <f>"10:00 PM"</f>
        <v>10:00 PM</v>
      </c>
      <c r="BS615" t="s">
        <v>131</v>
      </c>
      <c r="BT615">
        <v>0</v>
      </c>
      <c r="BU615">
        <v>0</v>
      </c>
      <c r="BV615" t="s">
        <v>114</v>
      </c>
      <c r="BX615" s="2" t="s">
        <v>2396</v>
      </c>
      <c r="BY615" t="s">
        <v>5899</v>
      </c>
      <c r="CA615" t="s">
        <v>5898</v>
      </c>
      <c r="CB615" t="s">
        <v>127</v>
      </c>
      <c r="CC615" s="8" t="str">
        <f>"78336"</f>
        <v>78336</v>
      </c>
      <c r="CD615" t="s">
        <v>2572</v>
      </c>
      <c r="CE615" t="s">
        <v>2163</v>
      </c>
      <c r="CF615" s="12">
        <v>9.8800000000000008</v>
      </c>
      <c r="CG615" s="12">
        <v>16.510000000000002</v>
      </c>
      <c r="CJ615" t="s">
        <v>135</v>
      </c>
      <c r="CK615" t="s">
        <v>342</v>
      </c>
      <c r="CL615" t="s">
        <v>5901</v>
      </c>
      <c r="CO615" t="s">
        <v>132</v>
      </c>
      <c r="CP615" t="s">
        <v>136</v>
      </c>
      <c r="CQ615" t="s">
        <v>136</v>
      </c>
      <c r="CR615" t="s">
        <v>114</v>
      </c>
      <c r="CS615" t="s">
        <v>136</v>
      </c>
      <c r="CT615" t="s">
        <v>136</v>
      </c>
      <c r="CU615" t="s">
        <v>136</v>
      </c>
      <c r="CV615" t="s">
        <v>344</v>
      </c>
      <c r="CW615" s="10" t="str">
        <f>"+13613321725"</f>
        <v>+13613321725</v>
      </c>
      <c r="CX615" t="s">
        <v>5900</v>
      </c>
      <c r="CY615" t="s">
        <v>132</v>
      </c>
      <c r="CZ615" t="s">
        <v>137</v>
      </c>
      <c r="DA615" t="s">
        <v>114</v>
      </c>
      <c r="DB615" t="s">
        <v>136</v>
      </c>
      <c r="DC615" t="s">
        <v>136</v>
      </c>
      <c r="DD615" t="s">
        <v>114</v>
      </c>
    </row>
    <row r="616" spans="1:113" ht="15" customHeight="1" x14ac:dyDescent="0.25">
      <c r="A616" t="s">
        <v>17514</v>
      </c>
      <c r="B616" t="s">
        <v>152</v>
      </c>
      <c r="C616" s="1">
        <v>45233.527359490741</v>
      </c>
      <c r="D616" s="1">
        <v>45259</v>
      </c>
      <c r="E616" t="s">
        <v>132</v>
      </c>
      <c r="F616" t="s">
        <v>3098</v>
      </c>
      <c r="G616" t="str">
        <f>"39-3091.00"</f>
        <v>39-3091.00</v>
      </c>
      <c r="H616" t="s">
        <v>237</v>
      </c>
      <c r="I616">
        <v>80</v>
      </c>
      <c r="J616">
        <v>80</v>
      </c>
      <c r="K616" s="1">
        <v>45323</v>
      </c>
      <c r="L616" s="1">
        <v>45626</v>
      </c>
      <c r="M616" s="1">
        <v>45323</v>
      </c>
      <c r="N616" s="1">
        <v>45626</v>
      </c>
      <c r="O616" t="s">
        <v>238</v>
      </c>
      <c r="P616" t="s">
        <v>17515</v>
      </c>
      <c r="Q616" t="s">
        <v>17516</v>
      </c>
      <c r="R616" t="s">
        <v>17517</v>
      </c>
      <c r="S616" t="s">
        <v>17518</v>
      </c>
      <c r="T616" t="s">
        <v>9651</v>
      </c>
      <c r="U616" t="s">
        <v>967</v>
      </c>
      <c r="V616" s="8" t="str">
        <f>"89108"</f>
        <v>89108</v>
      </c>
      <c r="W616" t="s">
        <v>118</v>
      </c>
      <c r="Y616" s="10">
        <v>17023501850</v>
      </c>
      <c r="AA616">
        <v>711190</v>
      </c>
      <c r="AB616" t="s">
        <v>17519</v>
      </c>
      <c r="AC616" t="s">
        <v>7278</v>
      </c>
      <c r="AE616" t="s">
        <v>5355</v>
      </c>
      <c r="AF616" t="s">
        <v>17520</v>
      </c>
      <c r="AH616" t="s">
        <v>878</v>
      </c>
      <c r="AI616" t="s">
        <v>127</v>
      </c>
      <c r="AJ616" s="8" t="str">
        <f>"77316"</f>
        <v>77316</v>
      </c>
      <c r="AK616" t="s">
        <v>118</v>
      </c>
      <c r="AM616" s="10">
        <v>16824652469</v>
      </c>
      <c r="AO616" t="s">
        <v>17521</v>
      </c>
      <c r="AP616" t="s">
        <v>248</v>
      </c>
      <c r="AQ616" t="s">
        <v>3290</v>
      </c>
      <c r="AR616" t="s">
        <v>2001</v>
      </c>
      <c r="AT616" t="s">
        <v>3291</v>
      </c>
      <c r="AV616" t="s">
        <v>3292</v>
      </c>
      <c r="AW616" t="s">
        <v>402</v>
      </c>
      <c r="AX616" s="8" t="str">
        <f>"93446"</f>
        <v>93446</v>
      </c>
      <c r="AY616" t="s">
        <v>118</v>
      </c>
      <c r="AZ616" t="s">
        <v>3293</v>
      </c>
      <c r="BA616" s="10">
        <v>13217042589</v>
      </c>
      <c r="BC616" t="s">
        <v>3294</v>
      </c>
      <c r="BD616" t="s">
        <v>3295</v>
      </c>
      <c r="BG616" t="s">
        <v>127</v>
      </c>
      <c r="BH616" s="1">
        <v>45196.833333333336</v>
      </c>
      <c r="BI616">
        <v>40</v>
      </c>
      <c r="BJ616">
        <v>8</v>
      </c>
      <c r="BK616">
        <v>0</v>
      </c>
      <c r="BL616">
        <v>0</v>
      </c>
      <c r="BM616">
        <v>8</v>
      </c>
      <c r="BN616">
        <v>8</v>
      </c>
      <c r="BO616">
        <v>8</v>
      </c>
      <c r="BP616">
        <v>8</v>
      </c>
      <c r="BQ616" t="str">
        <f>"1:00 PM"</f>
        <v>1:00 PM</v>
      </c>
      <c r="BR616" t="str">
        <f>"10:00 PM"</f>
        <v>10:00 PM</v>
      </c>
      <c r="BS616" t="s">
        <v>131</v>
      </c>
      <c r="BT616">
        <v>0</v>
      </c>
      <c r="BU616">
        <v>0</v>
      </c>
      <c r="BV616" t="s">
        <v>114</v>
      </c>
      <c r="BX616" s="2" t="s">
        <v>17522</v>
      </c>
      <c r="BY616" t="s">
        <v>17523</v>
      </c>
      <c r="CA616" t="s">
        <v>2564</v>
      </c>
      <c r="CB616" t="s">
        <v>127</v>
      </c>
      <c r="CC616" s="8" t="str">
        <f>"77060"</f>
        <v>77060</v>
      </c>
      <c r="CD616" t="s">
        <v>3327</v>
      </c>
      <c r="CE616" t="s">
        <v>879</v>
      </c>
      <c r="CF616" s="12">
        <v>9.8800000000000008</v>
      </c>
      <c r="CG616" s="12">
        <v>16.510000000000002</v>
      </c>
      <c r="CJ616" t="s">
        <v>135</v>
      </c>
      <c r="CK616" t="s">
        <v>5469</v>
      </c>
      <c r="CL616" t="s">
        <v>17524</v>
      </c>
      <c r="CO616" t="s">
        <v>132</v>
      </c>
      <c r="CP616" t="s">
        <v>136</v>
      </c>
      <c r="CQ616" t="s">
        <v>136</v>
      </c>
      <c r="CR616" t="s">
        <v>114</v>
      </c>
      <c r="CS616" t="s">
        <v>136</v>
      </c>
      <c r="CT616" t="s">
        <v>136</v>
      </c>
      <c r="CU616" t="s">
        <v>136</v>
      </c>
      <c r="CV616" t="s">
        <v>17525</v>
      </c>
      <c r="CW616" s="10" t="str">
        <f>"+18179469272"</f>
        <v>+18179469272</v>
      </c>
      <c r="CX616" t="s">
        <v>17521</v>
      </c>
      <c r="CY616" t="s">
        <v>132</v>
      </c>
      <c r="CZ616" t="s">
        <v>137</v>
      </c>
      <c r="DA616" t="s">
        <v>114</v>
      </c>
      <c r="DB616" t="s">
        <v>114</v>
      </c>
      <c r="DC616" t="s">
        <v>136</v>
      </c>
      <c r="DD616" t="s">
        <v>114</v>
      </c>
    </row>
    <row r="617" spans="1:113" ht="15" customHeight="1" x14ac:dyDescent="0.25">
      <c r="A617" t="s">
        <v>9286</v>
      </c>
      <c r="B617" t="s">
        <v>152</v>
      </c>
      <c r="C617" s="1">
        <v>45233.510294675929</v>
      </c>
      <c r="D617" s="1">
        <v>45259</v>
      </c>
      <c r="E617" t="s">
        <v>132</v>
      </c>
      <c r="F617" t="s">
        <v>1595</v>
      </c>
      <c r="G617" t="str">
        <f>"37-3011.00"</f>
        <v>37-3011.00</v>
      </c>
      <c r="H617" t="s">
        <v>429</v>
      </c>
      <c r="I617">
        <v>32</v>
      </c>
      <c r="J617">
        <v>32</v>
      </c>
      <c r="K617" s="1">
        <v>45323</v>
      </c>
      <c r="L617" s="1">
        <v>45611</v>
      </c>
      <c r="M617" s="1">
        <v>45323</v>
      </c>
      <c r="N617" s="1">
        <v>45611</v>
      </c>
      <c r="O617" t="s">
        <v>116</v>
      </c>
      <c r="P617" t="s">
        <v>7332</v>
      </c>
      <c r="R617" t="s">
        <v>9287</v>
      </c>
      <c r="S617" t="s">
        <v>132</v>
      </c>
      <c r="T617" t="s">
        <v>7693</v>
      </c>
      <c r="U617" t="s">
        <v>984</v>
      </c>
      <c r="V617" s="8" t="str">
        <f>"63303"</f>
        <v>63303</v>
      </c>
      <c r="W617" t="s">
        <v>118</v>
      </c>
      <c r="Y617" s="10">
        <v>13144206447</v>
      </c>
      <c r="AA617">
        <v>561730</v>
      </c>
      <c r="AB617" t="s">
        <v>9288</v>
      </c>
      <c r="AC617" t="s">
        <v>1826</v>
      </c>
      <c r="AD617" t="s">
        <v>132</v>
      </c>
      <c r="AE617" t="s">
        <v>561</v>
      </c>
      <c r="AF617" t="s">
        <v>9287</v>
      </c>
      <c r="AG617" t="s">
        <v>132</v>
      </c>
      <c r="AH617" t="s">
        <v>7693</v>
      </c>
      <c r="AI617" t="s">
        <v>984</v>
      </c>
      <c r="AJ617" s="8" t="str">
        <f>"63303"</f>
        <v>63303</v>
      </c>
      <c r="AK617" t="s">
        <v>118</v>
      </c>
      <c r="AM617" s="10">
        <v>13144206447</v>
      </c>
      <c r="AO617" t="s">
        <v>9289</v>
      </c>
      <c r="AP617" t="s">
        <v>248</v>
      </c>
      <c r="AQ617" t="s">
        <v>1820</v>
      </c>
      <c r="AR617" t="s">
        <v>1828</v>
      </c>
      <c r="AS617" t="s">
        <v>132</v>
      </c>
      <c r="AT617" t="s">
        <v>1584</v>
      </c>
      <c r="AU617" t="s">
        <v>132</v>
      </c>
      <c r="AV617" t="s">
        <v>1585</v>
      </c>
      <c r="AW617" t="s">
        <v>127</v>
      </c>
      <c r="AX617" s="8" t="str">
        <f>"77414"</f>
        <v>77414</v>
      </c>
      <c r="AY617" t="s">
        <v>118</v>
      </c>
      <c r="BA617" s="10">
        <v>19793187285</v>
      </c>
      <c r="BC617" t="s">
        <v>2430</v>
      </c>
      <c r="BD617" t="s">
        <v>1587</v>
      </c>
      <c r="BG617" t="s">
        <v>984</v>
      </c>
      <c r="BH617" s="1">
        <v>45232.833333333336</v>
      </c>
      <c r="BI617">
        <v>40</v>
      </c>
      <c r="BJ617">
        <v>0</v>
      </c>
      <c r="BK617">
        <v>8</v>
      </c>
      <c r="BL617">
        <v>8</v>
      </c>
      <c r="BM617">
        <v>8</v>
      </c>
      <c r="BN617">
        <v>8</v>
      </c>
      <c r="BO617">
        <v>8</v>
      </c>
      <c r="BP617">
        <v>0</v>
      </c>
      <c r="BQ617" t="str">
        <f>"7:00 AM"</f>
        <v>7:00 AM</v>
      </c>
      <c r="BR617" t="str">
        <f>"4:00 PM"</f>
        <v>4:00 PM</v>
      </c>
      <c r="BS617" t="s">
        <v>131</v>
      </c>
      <c r="BT617">
        <v>0</v>
      </c>
      <c r="BU617">
        <v>0</v>
      </c>
      <c r="BV617" t="s">
        <v>114</v>
      </c>
      <c r="BX617" s="2" t="s">
        <v>9290</v>
      </c>
      <c r="BY617" t="s">
        <v>9291</v>
      </c>
      <c r="BZ617" t="s">
        <v>132</v>
      </c>
      <c r="CA617" t="s">
        <v>2600</v>
      </c>
      <c r="CB617" t="s">
        <v>984</v>
      </c>
      <c r="CC617" s="8" t="str">
        <f>"63376"</f>
        <v>63376</v>
      </c>
      <c r="CD617" t="s">
        <v>1855</v>
      </c>
      <c r="CE617" t="s">
        <v>1856</v>
      </c>
      <c r="CF617" s="12">
        <v>17.579999999999998</v>
      </c>
      <c r="CG617" s="12">
        <v>22</v>
      </c>
      <c r="CH617" s="12">
        <v>26.37</v>
      </c>
      <c r="CI617" s="12">
        <v>33</v>
      </c>
      <c r="CJ617" t="s">
        <v>135</v>
      </c>
      <c r="CK617" t="s">
        <v>9292</v>
      </c>
      <c r="CL617" t="s">
        <v>9293</v>
      </c>
      <c r="CO617" t="s">
        <v>132</v>
      </c>
      <c r="CP617" t="s">
        <v>136</v>
      </c>
      <c r="CQ617" t="s">
        <v>136</v>
      </c>
      <c r="CR617" t="s">
        <v>136</v>
      </c>
      <c r="CS617" t="s">
        <v>136</v>
      </c>
      <c r="CT617" t="s">
        <v>136</v>
      </c>
      <c r="CU617" t="s">
        <v>114</v>
      </c>
      <c r="CV617" t="s">
        <v>2171</v>
      </c>
      <c r="CW617" s="10" t="str">
        <f>"+13144206447"</f>
        <v>+13144206447</v>
      </c>
      <c r="CX617" t="s">
        <v>9294</v>
      </c>
      <c r="CY617" t="s">
        <v>132</v>
      </c>
      <c r="CZ617" t="s">
        <v>137</v>
      </c>
      <c r="DA617" t="s">
        <v>114</v>
      </c>
      <c r="DB617" t="s">
        <v>114</v>
      </c>
      <c r="DC617" t="s">
        <v>136</v>
      </c>
      <c r="DD617" t="s">
        <v>114</v>
      </c>
    </row>
    <row r="618" spans="1:113" ht="15" customHeight="1" x14ac:dyDescent="0.25">
      <c r="A618" t="s">
        <v>16547</v>
      </c>
      <c r="B618" t="s">
        <v>152</v>
      </c>
      <c r="C618" s="1">
        <v>45233.507582523147</v>
      </c>
      <c r="D618" s="1">
        <v>45259</v>
      </c>
      <c r="E618" t="s">
        <v>132</v>
      </c>
      <c r="F618" t="s">
        <v>2020</v>
      </c>
      <c r="G618" t="str">
        <f>"37-3011.00"</f>
        <v>37-3011.00</v>
      </c>
      <c r="H618" t="s">
        <v>429</v>
      </c>
      <c r="I618">
        <v>60</v>
      </c>
      <c r="J618">
        <v>60</v>
      </c>
      <c r="K618" s="1">
        <v>45323</v>
      </c>
      <c r="L618" s="1">
        <v>45585</v>
      </c>
      <c r="M618" s="1">
        <v>45323</v>
      </c>
      <c r="N618" s="1">
        <v>45585</v>
      </c>
      <c r="O618" t="s">
        <v>116</v>
      </c>
      <c r="P618" t="s">
        <v>16548</v>
      </c>
      <c r="R618" t="s">
        <v>5506</v>
      </c>
      <c r="T618" t="s">
        <v>4139</v>
      </c>
      <c r="U618" t="s">
        <v>543</v>
      </c>
      <c r="V618" s="8" t="str">
        <f>"45241"</f>
        <v>45241</v>
      </c>
      <c r="W618" t="s">
        <v>118</v>
      </c>
      <c r="Y618" s="10">
        <v>18005700213</v>
      </c>
      <c r="AA618">
        <v>56173</v>
      </c>
      <c r="AB618" t="s">
        <v>5437</v>
      </c>
      <c r="AC618" t="s">
        <v>2787</v>
      </c>
      <c r="AD618" t="s">
        <v>5507</v>
      </c>
      <c r="AE618" t="s">
        <v>5508</v>
      </c>
      <c r="AF618" t="s">
        <v>5506</v>
      </c>
      <c r="AH618" t="s">
        <v>4139</v>
      </c>
      <c r="AI618" t="s">
        <v>543</v>
      </c>
      <c r="AJ618" s="8" t="str">
        <f>"45241"</f>
        <v>45241</v>
      </c>
      <c r="AK618" t="s">
        <v>118</v>
      </c>
      <c r="AM618" s="10">
        <v>18005700213</v>
      </c>
      <c r="AO618" t="s">
        <v>132</v>
      </c>
      <c r="AP618" t="s">
        <v>248</v>
      </c>
      <c r="AQ618" t="s">
        <v>2132</v>
      </c>
      <c r="AR618" t="s">
        <v>2133</v>
      </c>
      <c r="AT618" t="s">
        <v>1350</v>
      </c>
      <c r="AU618" t="s">
        <v>1351</v>
      </c>
      <c r="AV618" t="s">
        <v>1352</v>
      </c>
      <c r="AW618" t="s">
        <v>581</v>
      </c>
      <c r="AX618" s="8" t="str">
        <f>"22949"</f>
        <v>22949</v>
      </c>
      <c r="AY618" t="s">
        <v>118</v>
      </c>
      <c r="BA618" s="10">
        <v>14342634300</v>
      </c>
      <c r="BC618" t="s">
        <v>16549</v>
      </c>
      <c r="BD618" t="s">
        <v>583</v>
      </c>
      <c r="BG618" t="s">
        <v>543</v>
      </c>
      <c r="BH618" s="1">
        <v>45232.833333333336</v>
      </c>
      <c r="BI618">
        <v>40</v>
      </c>
      <c r="BJ618">
        <v>0</v>
      </c>
      <c r="BK618">
        <v>8</v>
      </c>
      <c r="BL618">
        <v>8</v>
      </c>
      <c r="BM618">
        <v>8</v>
      </c>
      <c r="BN618">
        <v>8</v>
      </c>
      <c r="BO618">
        <v>8</v>
      </c>
      <c r="BP618">
        <v>0</v>
      </c>
      <c r="BQ618" t="str">
        <f>"7:00 AM"</f>
        <v>7:00 AM</v>
      </c>
      <c r="BR618" t="str">
        <f>"3:30 PM"</f>
        <v>3:30 PM</v>
      </c>
      <c r="BS618" t="s">
        <v>131</v>
      </c>
      <c r="BT618">
        <v>0</v>
      </c>
      <c r="BU618">
        <v>0</v>
      </c>
      <c r="BV618" t="s">
        <v>114</v>
      </c>
      <c r="BX618" s="2" t="s">
        <v>5509</v>
      </c>
      <c r="BY618" t="s">
        <v>16550</v>
      </c>
      <c r="CA618" t="s">
        <v>4139</v>
      </c>
      <c r="CB618" t="s">
        <v>543</v>
      </c>
      <c r="CC618" s="8" t="str">
        <f>"45241"</f>
        <v>45241</v>
      </c>
      <c r="CD618" t="s">
        <v>4144</v>
      </c>
      <c r="CE618" t="s">
        <v>3443</v>
      </c>
      <c r="CF618" s="12">
        <v>16.690000000000001</v>
      </c>
      <c r="CG618" s="12">
        <v>16.690000000000001</v>
      </c>
      <c r="CH618" s="12">
        <v>25.04</v>
      </c>
      <c r="CI618" s="12">
        <v>25.04</v>
      </c>
      <c r="CJ618" t="s">
        <v>135</v>
      </c>
      <c r="CK618" t="s">
        <v>590</v>
      </c>
      <c r="CL618" t="s">
        <v>16551</v>
      </c>
      <c r="CO618" t="s">
        <v>132</v>
      </c>
      <c r="CP618" t="s">
        <v>136</v>
      </c>
      <c r="CQ618" t="s">
        <v>114</v>
      </c>
      <c r="CR618" t="s">
        <v>136</v>
      </c>
      <c r="CS618" t="s">
        <v>136</v>
      </c>
      <c r="CT618" t="s">
        <v>136</v>
      </c>
      <c r="CU618" t="s">
        <v>136</v>
      </c>
      <c r="CV618" t="s">
        <v>16552</v>
      </c>
      <c r="CW618" s="10" t="str">
        <f>"+15135155114"</f>
        <v>+15135155114</v>
      </c>
      <c r="CX618" t="s">
        <v>132</v>
      </c>
      <c r="CY618" t="s">
        <v>2025</v>
      </c>
      <c r="CZ618" t="s">
        <v>137</v>
      </c>
      <c r="DA618" t="s">
        <v>114</v>
      </c>
      <c r="DB618" t="s">
        <v>136</v>
      </c>
      <c r="DC618" t="s">
        <v>136</v>
      </c>
      <c r="DD618" t="s">
        <v>114</v>
      </c>
      <c r="DE618" t="s">
        <v>1361</v>
      </c>
      <c r="DF618" t="s">
        <v>1362</v>
      </c>
      <c r="DH618" t="s">
        <v>583</v>
      </c>
      <c r="DI618" t="s">
        <v>1353</v>
      </c>
    </row>
    <row r="619" spans="1:113" ht="15" customHeight="1" x14ac:dyDescent="0.25">
      <c r="A619" t="s">
        <v>10891</v>
      </c>
      <c r="B619" t="s">
        <v>152</v>
      </c>
      <c r="C619" s="1">
        <v>45233.48960763889</v>
      </c>
      <c r="D619" s="1">
        <v>45259</v>
      </c>
      <c r="E619" t="s">
        <v>132</v>
      </c>
      <c r="F619" t="s">
        <v>1595</v>
      </c>
      <c r="G619" t="str">
        <f>"37-3011.00"</f>
        <v>37-3011.00</v>
      </c>
      <c r="H619" t="s">
        <v>429</v>
      </c>
      <c r="I619">
        <v>15</v>
      </c>
      <c r="J619">
        <v>15</v>
      </c>
      <c r="K619" s="1">
        <v>45323</v>
      </c>
      <c r="L619" s="1">
        <v>45626</v>
      </c>
      <c r="M619" s="1">
        <v>45323</v>
      </c>
      <c r="N619" s="1">
        <v>45626</v>
      </c>
      <c r="O619" t="s">
        <v>116</v>
      </c>
      <c r="P619" t="s">
        <v>10892</v>
      </c>
      <c r="R619" t="s">
        <v>10893</v>
      </c>
      <c r="S619" t="s">
        <v>132</v>
      </c>
      <c r="T619" t="s">
        <v>126</v>
      </c>
      <c r="U619" t="s">
        <v>127</v>
      </c>
      <c r="V619" s="8" t="str">
        <f>"78249"</f>
        <v>78249</v>
      </c>
      <c r="W619" t="s">
        <v>118</v>
      </c>
      <c r="Y619" s="10">
        <v>12104087010</v>
      </c>
      <c r="AA619">
        <v>561730</v>
      </c>
      <c r="AB619" t="s">
        <v>10894</v>
      </c>
      <c r="AC619" t="s">
        <v>10895</v>
      </c>
      <c r="AD619" t="s">
        <v>132</v>
      </c>
      <c r="AE619" t="s">
        <v>5347</v>
      </c>
      <c r="AF619" t="s">
        <v>10893</v>
      </c>
      <c r="AG619" t="s">
        <v>132</v>
      </c>
      <c r="AH619" t="s">
        <v>126</v>
      </c>
      <c r="AI619" t="s">
        <v>127</v>
      </c>
      <c r="AJ619" s="8" t="str">
        <f>"78249"</f>
        <v>78249</v>
      </c>
      <c r="AK619" t="s">
        <v>118</v>
      </c>
      <c r="AM619" s="10">
        <v>12104087010</v>
      </c>
      <c r="AN619">
        <v>204</v>
      </c>
      <c r="AO619" t="s">
        <v>10896</v>
      </c>
      <c r="AP619" t="s">
        <v>248</v>
      </c>
      <c r="AQ619" t="s">
        <v>3428</v>
      </c>
      <c r="AR619" t="s">
        <v>3429</v>
      </c>
      <c r="AS619" t="s">
        <v>132</v>
      </c>
      <c r="AT619" t="s">
        <v>1584</v>
      </c>
      <c r="AU619" t="s">
        <v>132</v>
      </c>
      <c r="AV619" t="s">
        <v>1585</v>
      </c>
      <c r="AW619" t="s">
        <v>127</v>
      </c>
      <c r="AX619" s="8" t="str">
        <f>"77414"</f>
        <v>77414</v>
      </c>
      <c r="AY619" t="s">
        <v>118</v>
      </c>
      <c r="BA619" s="10">
        <v>19793187279</v>
      </c>
      <c r="BC619" t="s">
        <v>3430</v>
      </c>
      <c r="BD619" t="s">
        <v>1587</v>
      </c>
      <c r="BG619" t="s">
        <v>127</v>
      </c>
      <c r="BH619" s="1">
        <v>45232.833333333336</v>
      </c>
      <c r="BI619">
        <v>45</v>
      </c>
      <c r="BJ619">
        <v>0</v>
      </c>
      <c r="BK619">
        <v>9</v>
      </c>
      <c r="BL619">
        <v>9</v>
      </c>
      <c r="BM619">
        <v>9</v>
      </c>
      <c r="BN619">
        <v>9</v>
      </c>
      <c r="BO619">
        <v>9</v>
      </c>
      <c r="BP619">
        <v>0</v>
      </c>
      <c r="BQ619" t="str">
        <f>"7:30 AM"</f>
        <v>7:30 AM</v>
      </c>
      <c r="BR619" t="str">
        <f>"5:00 PM"</f>
        <v>5:00 PM</v>
      </c>
      <c r="BS619" t="s">
        <v>131</v>
      </c>
      <c r="BT619">
        <v>0</v>
      </c>
      <c r="BU619">
        <v>0</v>
      </c>
      <c r="BV619" t="s">
        <v>114</v>
      </c>
      <c r="BX619" s="2" t="s">
        <v>10897</v>
      </c>
      <c r="BY619" t="s">
        <v>10893</v>
      </c>
      <c r="BZ619" t="s">
        <v>132</v>
      </c>
      <c r="CA619" t="s">
        <v>126</v>
      </c>
      <c r="CB619" t="s">
        <v>127</v>
      </c>
      <c r="CC619" s="8" t="str">
        <f>"78249"</f>
        <v>78249</v>
      </c>
      <c r="CD619" t="s">
        <v>1941</v>
      </c>
      <c r="CE619" t="s">
        <v>1287</v>
      </c>
      <c r="CF619" s="12">
        <v>15.69</v>
      </c>
      <c r="CH619" s="12">
        <v>23.54</v>
      </c>
      <c r="CJ619" t="s">
        <v>135</v>
      </c>
      <c r="CK619" t="s">
        <v>10898</v>
      </c>
      <c r="CL619" t="s">
        <v>10899</v>
      </c>
      <c r="CO619" t="s">
        <v>132</v>
      </c>
      <c r="CP619" t="s">
        <v>136</v>
      </c>
      <c r="CQ619" t="s">
        <v>136</v>
      </c>
      <c r="CR619" t="s">
        <v>136</v>
      </c>
      <c r="CS619" t="s">
        <v>136</v>
      </c>
      <c r="CT619" t="s">
        <v>136</v>
      </c>
      <c r="CU619" t="s">
        <v>114</v>
      </c>
      <c r="CV619" t="s">
        <v>2225</v>
      </c>
      <c r="CW619" s="10" t="str">
        <f>"+12104087010"</f>
        <v>+12104087010</v>
      </c>
      <c r="CX619" t="s">
        <v>10900</v>
      </c>
      <c r="CY619" t="s">
        <v>132</v>
      </c>
      <c r="CZ619" t="s">
        <v>137</v>
      </c>
      <c r="DA619" t="s">
        <v>114</v>
      </c>
      <c r="DB619" t="s">
        <v>114</v>
      </c>
      <c r="DC619" t="s">
        <v>136</v>
      </c>
      <c r="DD619" t="s">
        <v>114</v>
      </c>
    </row>
    <row r="620" spans="1:113" ht="15" customHeight="1" x14ac:dyDescent="0.25">
      <c r="A620" t="s">
        <v>12296</v>
      </c>
      <c r="B620" t="s">
        <v>152</v>
      </c>
      <c r="C620" s="1">
        <v>45233.46325335648</v>
      </c>
      <c r="D620" s="1">
        <v>45259</v>
      </c>
      <c r="E620" t="s">
        <v>132</v>
      </c>
      <c r="F620" t="s">
        <v>3098</v>
      </c>
      <c r="G620" t="str">
        <f>"39-3091.00"</f>
        <v>39-3091.00</v>
      </c>
      <c r="H620" t="s">
        <v>237</v>
      </c>
      <c r="I620">
        <v>35</v>
      </c>
      <c r="J620">
        <v>35</v>
      </c>
      <c r="K620" s="1">
        <v>45323</v>
      </c>
      <c r="L620" s="1">
        <v>45626</v>
      </c>
      <c r="M620" s="1">
        <v>45323</v>
      </c>
      <c r="N620" s="1">
        <v>45626</v>
      </c>
      <c r="O620" t="s">
        <v>238</v>
      </c>
      <c r="P620" t="s">
        <v>12297</v>
      </c>
      <c r="R620" t="s">
        <v>12298</v>
      </c>
      <c r="S620" t="s">
        <v>12299</v>
      </c>
      <c r="T620" t="s">
        <v>7800</v>
      </c>
      <c r="U620" t="s">
        <v>402</v>
      </c>
      <c r="V620" s="8" t="str">
        <f>"90630"</f>
        <v>90630</v>
      </c>
      <c r="W620" t="s">
        <v>118</v>
      </c>
      <c r="Y620" s="10">
        <v>17148206226</v>
      </c>
      <c r="Z620" s="3" t="s">
        <v>256</v>
      </c>
      <c r="AA620">
        <v>711190</v>
      </c>
      <c r="AB620" t="s">
        <v>12300</v>
      </c>
      <c r="AC620" t="s">
        <v>2022</v>
      </c>
      <c r="AD620" t="s">
        <v>2057</v>
      </c>
      <c r="AE620" t="s">
        <v>12301</v>
      </c>
      <c r="AF620" t="s">
        <v>12298</v>
      </c>
      <c r="AG620" t="s">
        <v>12299</v>
      </c>
      <c r="AH620" t="s">
        <v>7800</v>
      </c>
      <c r="AI620" t="s">
        <v>402</v>
      </c>
      <c r="AJ620" s="8" t="str">
        <f>"90630"</f>
        <v>90630</v>
      </c>
      <c r="AK620" t="s">
        <v>118</v>
      </c>
      <c r="AM620" s="10">
        <v>17143138063</v>
      </c>
      <c r="AN620" s="3" t="s">
        <v>256</v>
      </c>
      <c r="AO620" t="s">
        <v>12302</v>
      </c>
      <c r="AP620" t="s">
        <v>248</v>
      </c>
      <c r="AQ620" t="s">
        <v>249</v>
      </c>
      <c r="AR620" t="s">
        <v>250</v>
      </c>
      <c r="AS620" t="s">
        <v>251</v>
      </c>
      <c r="AT620" t="s">
        <v>252</v>
      </c>
      <c r="AU620" t="s">
        <v>253</v>
      </c>
      <c r="AV620" t="s">
        <v>254</v>
      </c>
      <c r="AW620" t="s">
        <v>127</v>
      </c>
      <c r="AX620" s="8" t="str">
        <f>"78550"</f>
        <v>78550</v>
      </c>
      <c r="AY620" t="s">
        <v>118</v>
      </c>
      <c r="AZ620" t="s">
        <v>255</v>
      </c>
      <c r="BA620" s="10">
        <v>19564408720</v>
      </c>
      <c r="BB620" s="3" t="s">
        <v>256</v>
      </c>
      <c r="BC620" t="s">
        <v>338</v>
      </c>
      <c r="BD620" t="s">
        <v>258</v>
      </c>
      <c r="BG620" t="s">
        <v>402</v>
      </c>
      <c r="BH620" s="1">
        <v>45232.833333333336</v>
      </c>
      <c r="BI620">
        <v>40</v>
      </c>
      <c r="BJ620">
        <v>8</v>
      </c>
      <c r="BK620">
        <v>0</v>
      </c>
      <c r="BL620">
        <v>0</v>
      </c>
      <c r="BM620">
        <v>8</v>
      </c>
      <c r="BN620">
        <v>8</v>
      </c>
      <c r="BO620">
        <v>8</v>
      </c>
      <c r="BP620">
        <v>8</v>
      </c>
      <c r="BQ620" t="str">
        <f>"1:00 PM"</f>
        <v>1:00 PM</v>
      </c>
      <c r="BR620" t="str">
        <f>"10:00 PM"</f>
        <v>10:00 PM</v>
      </c>
      <c r="BS620" t="s">
        <v>131</v>
      </c>
      <c r="BT620">
        <v>0</v>
      </c>
      <c r="BU620">
        <v>0</v>
      </c>
      <c r="BV620" t="s">
        <v>114</v>
      </c>
      <c r="BX620" s="2" t="s">
        <v>2396</v>
      </c>
      <c r="BY620" t="s">
        <v>12298</v>
      </c>
      <c r="CA620" t="s">
        <v>7800</v>
      </c>
      <c r="CB620" t="s">
        <v>402</v>
      </c>
      <c r="CC620" s="8" t="str">
        <f>"90630"</f>
        <v>90630</v>
      </c>
      <c r="CD620" t="s">
        <v>2274</v>
      </c>
      <c r="CE620" t="s">
        <v>2969</v>
      </c>
      <c r="CF620" s="12">
        <v>12.02</v>
      </c>
      <c r="CG620" s="12">
        <v>17.25</v>
      </c>
      <c r="CJ620" t="s">
        <v>135</v>
      </c>
      <c r="CK620" t="s">
        <v>342</v>
      </c>
      <c r="CL620" t="s">
        <v>12303</v>
      </c>
      <c r="CO620" t="s">
        <v>132</v>
      </c>
      <c r="CP620" t="s">
        <v>136</v>
      </c>
      <c r="CQ620" t="s">
        <v>136</v>
      </c>
      <c r="CR620" t="s">
        <v>114</v>
      </c>
      <c r="CS620" t="s">
        <v>136</v>
      </c>
      <c r="CT620" t="s">
        <v>136</v>
      </c>
      <c r="CU620" t="s">
        <v>136</v>
      </c>
      <c r="CV620" t="s">
        <v>344</v>
      </c>
      <c r="CW620" s="10" t="str">
        <f>"+19092412809"</f>
        <v>+19092412809</v>
      </c>
      <c r="CX620" t="s">
        <v>12302</v>
      </c>
      <c r="CY620" t="s">
        <v>132</v>
      </c>
      <c r="CZ620" t="s">
        <v>137</v>
      </c>
      <c r="DA620" t="s">
        <v>114</v>
      </c>
      <c r="DB620" t="s">
        <v>114</v>
      </c>
      <c r="DC620" t="s">
        <v>136</v>
      </c>
      <c r="DD620" t="s">
        <v>114</v>
      </c>
    </row>
    <row r="621" spans="1:113" ht="15" customHeight="1" x14ac:dyDescent="0.25">
      <c r="A621" t="s">
        <v>19162</v>
      </c>
      <c r="B621" t="s">
        <v>152</v>
      </c>
      <c r="C621" s="1">
        <v>45233.449018055559</v>
      </c>
      <c r="D621" s="1">
        <v>45259</v>
      </c>
      <c r="E621" t="s">
        <v>132</v>
      </c>
      <c r="F621" t="s">
        <v>1595</v>
      </c>
      <c r="G621" t="str">
        <f>"37-3011.00"</f>
        <v>37-3011.00</v>
      </c>
      <c r="H621" t="s">
        <v>429</v>
      </c>
      <c r="I621">
        <v>15</v>
      </c>
      <c r="J621">
        <v>15</v>
      </c>
      <c r="K621" s="1">
        <v>45323</v>
      </c>
      <c r="L621" s="1">
        <v>45626</v>
      </c>
      <c r="M621" s="1">
        <v>45323</v>
      </c>
      <c r="N621" s="1">
        <v>45626</v>
      </c>
      <c r="O621" t="s">
        <v>238</v>
      </c>
      <c r="P621" t="s">
        <v>19163</v>
      </c>
      <c r="Q621" t="s">
        <v>19164</v>
      </c>
      <c r="R621" t="s">
        <v>19165</v>
      </c>
      <c r="S621" t="s">
        <v>19166</v>
      </c>
      <c r="T621" t="s">
        <v>19167</v>
      </c>
      <c r="U621" t="s">
        <v>127</v>
      </c>
      <c r="V621" s="8" t="str">
        <f>"77437"</f>
        <v>77437</v>
      </c>
      <c r="W621" t="s">
        <v>118</v>
      </c>
      <c r="Y621" s="10">
        <v>19795439494</v>
      </c>
      <c r="AA621">
        <v>561730</v>
      </c>
      <c r="AB621" t="s">
        <v>12295</v>
      </c>
      <c r="AC621" t="s">
        <v>708</v>
      </c>
      <c r="AD621" t="s">
        <v>3976</v>
      </c>
      <c r="AE621" t="s">
        <v>776</v>
      </c>
      <c r="AF621" t="s">
        <v>19165</v>
      </c>
      <c r="AG621" t="s">
        <v>19166</v>
      </c>
      <c r="AH621" t="s">
        <v>19167</v>
      </c>
      <c r="AI621" t="s">
        <v>127</v>
      </c>
      <c r="AJ621" s="8" t="str">
        <f>"77437"</f>
        <v>77437</v>
      </c>
      <c r="AK621" t="s">
        <v>118</v>
      </c>
      <c r="AM621" s="10">
        <v>19795439494</v>
      </c>
      <c r="AO621" t="s">
        <v>19168</v>
      </c>
      <c r="AP621" t="s">
        <v>248</v>
      </c>
      <c r="AQ621" t="s">
        <v>1582</v>
      </c>
      <c r="AR621" t="s">
        <v>1583</v>
      </c>
      <c r="AS621" t="s">
        <v>631</v>
      </c>
      <c r="AT621" t="s">
        <v>1584</v>
      </c>
      <c r="AU621" t="s">
        <v>132</v>
      </c>
      <c r="AV621" t="s">
        <v>1585</v>
      </c>
      <c r="AW621" t="s">
        <v>127</v>
      </c>
      <c r="AX621" s="8" t="str">
        <f>"77414"</f>
        <v>77414</v>
      </c>
      <c r="AY621" t="s">
        <v>118</v>
      </c>
      <c r="BA621" s="10">
        <v>19793187280</v>
      </c>
      <c r="BC621" t="s">
        <v>1586</v>
      </c>
      <c r="BD621" t="s">
        <v>1587</v>
      </c>
      <c r="BG621" t="s">
        <v>127</v>
      </c>
      <c r="BH621" s="1">
        <v>45232.833333333336</v>
      </c>
      <c r="BI621">
        <v>47</v>
      </c>
      <c r="BJ621">
        <v>0</v>
      </c>
      <c r="BK621">
        <v>10</v>
      </c>
      <c r="BL621">
        <v>9</v>
      </c>
      <c r="BM621">
        <v>9</v>
      </c>
      <c r="BN621">
        <v>9</v>
      </c>
      <c r="BO621">
        <v>10</v>
      </c>
      <c r="BP621">
        <v>0</v>
      </c>
      <c r="BQ621" t="str">
        <f>"7:00 AM"</f>
        <v>7:00 AM</v>
      </c>
      <c r="BR621" t="str">
        <f>"4:00 PM"</f>
        <v>4:00 PM</v>
      </c>
      <c r="BS621" t="s">
        <v>131</v>
      </c>
      <c r="BT621">
        <v>0</v>
      </c>
      <c r="BU621">
        <v>0</v>
      </c>
      <c r="BV621" t="s">
        <v>114</v>
      </c>
      <c r="BX621" s="2" t="s">
        <v>19169</v>
      </c>
      <c r="BY621" t="s">
        <v>19165</v>
      </c>
      <c r="BZ621" t="s">
        <v>132</v>
      </c>
      <c r="CA621" t="s">
        <v>19167</v>
      </c>
      <c r="CB621" t="s">
        <v>127</v>
      </c>
      <c r="CC621" s="8" t="str">
        <f>"77437"</f>
        <v>77437</v>
      </c>
      <c r="CD621" t="s">
        <v>19170</v>
      </c>
      <c r="CE621" t="s">
        <v>1590</v>
      </c>
      <c r="CF621" s="12">
        <v>14.61</v>
      </c>
      <c r="CH621" s="12">
        <v>21.92</v>
      </c>
      <c r="CJ621" t="s">
        <v>135</v>
      </c>
      <c r="CK621" t="s">
        <v>11294</v>
      </c>
      <c r="CL621" t="s">
        <v>19171</v>
      </c>
      <c r="CO621" t="s">
        <v>132</v>
      </c>
      <c r="CP621" t="s">
        <v>136</v>
      </c>
      <c r="CQ621" t="s">
        <v>136</v>
      </c>
      <c r="CR621" t="s">
        <v>136</v>
      </c>
      <c r="CS621" t="s">
        <v>136</v>
      </c>
      <c r="CT621" t="s">
        <v>136</v>
      </c>
      <c r="CU621" t="s">
        <v>114</v>
      </c>
      <c r="CV621" t="s">
        <v>131</v>
      </c>
      <c r="CW621" s="10" t="str">
        <f>"+19795439494"</f>
        <v>+19795439494</v>
      </c>
      <c r="CX621" t="s">
        <v>19168</v>
      </c>
      <c r="CY621" t="s">
        <v>132</v>
      </c>
      <c r="CZ621" t="s">
        <v>137</v>
      </c>
      <c r="DA621" t="s">
        <v>114</v>
      </c>
      <c r="DB621" t="s">
        <v>114</v>
      </c>
      <c r="DC621" t="s">
        <v>136</v>
      </c>
      <c r="DD621" t="s">
        <v>114</v>
      </c>
    </row>
    <row r="622" spans="1:113" ht="15" customHeight="1" x14ac:dyDescent="0.25">
      <c r="A622" t="s">
        <v>11176</v>
      </c>
      <c r="B622" t="s">
        <v>152</v>
      </c>
      <c r="C622" s="1">
        <v>45233.395640046299</v>
      </c>
      <c r="D622" s="1">
        <v>45259</v>
      </c>
      <c r="E622" t="s">
        <v>132</v>
      </c>
      <c r="F622" t="s">
        <v>11177</v>
      </c>
      <c r="G622" t="str">
        <f>"53-7062.00"</f>
        <v>53-7062.00</v>
      </c>
      <c r="H622" t="s">
        <v>2078</v>
      </c>
      <c r="I622">
        <v>4</v>
      </c>
      <c r="J622">
        <v>4</v>
      </c>
      <c r="K622" s="1">
        <v>45323</v>
      </c>
      <c r="L622" s="1">
        <v>45611</v>
      </c>
      <c r="M622" s="1">
        <v>45323</v>
      </c>
      <c r="N622" s="1">
        <v>45611</v>
      </c>
      <c r="O622" t="s">
        <v>116</v>
      </c>
      <c r="P622" t="s">
        <v>11178</v>
      </c>
      <c r="R622" t="s">
        <v>11179</v>
      </c>
      <c r="S622" t="s">
        <v>11180</v>
      </c>
      <c r="T622" t="s">
        <v>11181</v>
      </c>
      <c r="U622" t="s">
        <v>333</v>
      </c>
      <c r="V622" s="8" t="str">
        <f>"71334"</f>
        <v>71334</v>
      </c>
      <c r="W622" t="s">
        <v>118</v>
      </c>
      <c r="Y622" s="10">
        <v>13183364292</v>
      </c>
      <c r="AA622">
        <v>44422</v>
      </c>
      <c r="AB622" t="s">
        <v>11182</v>
      </c>
      <c r="AC622" t="s">
        <v>3581</v>
      </c>
      <c r="AD622" t="s">
        <v>150</v>
      </c>
      <c r="AE622" t="s">
        <v>120</v>
      </c>
      <c r="AF622" t="s">
        <v>11183</v>
      </c>
      <c r="AH622" t="s">
        <v>11184</v>
      </c>
      <c r="AI622" t="s">
        <v>333</v>
      </c>
      <c r="AJ622" s="8" t="str">
        <f>"71334"</f>
        <v>71334</v>
      </c>
      <c r="AK622" t="s">
        <v>118</v>
      </c>
      <c r="AM622" s="10">
        <v>13183364292</v>
      </c>
      <c r="AO622" t="s">
        <v>11185</v>
      </c>
      <c r="AP622" t="s">
        <v>248</v>
      </c>
      <c r="AQ622" t="s">
        <v>4257</v>
      </c>
      <c r="AR622" t="s">
        <v>4258</v>
      </c>
      <c r="AS622" t="s">
        <v>1829</v>
      </c>
      <c r="AT622" t="s">
        <v>4259</v>
      </c>
      <c r="AU622" t="s">
        <v>4260</v>
      </c>
      <c r="AV622" t="s">
        <v>4261</v>
      </c>
      <c r="AW622" t="s">
        <v>333</v>
      </c>
      <c r="AX622" s="8" t="str">
        <f>"70754"</f>
        <v>70754</v>
      </c>
      <c r="AY622" t="s">
        <v>118</v>
      </c>
      <c r="AZ622" t="s">
        <v>4262</v>
      </c>
      <c r="BA622" s="10">
        <v>12256863033</v>
      </c>
      <c r="BC622" t="s">
        <v>4263</v>
      </c>
      <c r="BD622" t="s">
        <v>4264</v>
      </c>
      <c r="BG622" t="s">
        <v>333</v>
      </c>
      <c r="BH622" s="1">
        <v>45232.833333333336</v>
      </c>
      <c r="BI622">
        <v>35</v>
      </c>
      <c r="BJ622">
        <v>0</v>
      </c>
      <c r="BK622">
        <v>6</v>
      </c>
      <c r="BL622">
        <v>6</v>
      </c>
      <c r="BM622">
        <v>6</v>
      </c>
      <c r="BN622">
        <v>6</v>
      </c>
      <c r="BO622">
        <v>6</v>
      </c>
      <c r="BP622">
        <v>5</v>
      </c>
      <c r="BQ622" t="str">
        <f>"7:00 AM"</f>
        <v>7:00 AM</v>
      </c>
      <c r="BR622" t="str">
        <f>"4:00 PM"</f>
        <v>4:00 PM</v>
      </c>
      <c r="BS622" t="s">
        <v>131</v>
      </c>
      <c r="BT622">
        <v>0</v>
      </c>
      <c r="BU622">
        <v>3</v>
      </c>
      <c r="BV622" t="s">
        <v>114</v>
      </c>
      <c r="BX622" s="2" t="s">
        <v>11186</v>
      </c>
      <c r="BY622" t="s">
        <v>11187</v>
      </c>
      <c r="BZ622" t="s">
        <v>11188</v>
      </c>
      <c r="CA622" t="s">
        <v>11181</v>
      </c>
      <c r="CB622" t="s">
        <v>333</v>
      </c>
      <c r="CC622" s="8" t="str">
        <f>"71373"</f>
        <v>71373</v>
      </c>
      <c r="CD622" t="s">
        <v>11189</v>
      </c>
      <c r="CE622" t="s">
        <v>11190</v>
      </c>
      <c r="CF622" s="12">
        <v>17.53</v>
      </c>
      <c r="CG622" s="12">
        <v>17.53</v>
      </c>
      <c r="CH622" s="12">
        <v>26.3</v>
      </c>
      <c r="CI622" s="12">
        <v>26.3</v>
      </c>
      <c r="CJ622" t="s">
        <v>135</v>
      </c>
      <c r="CK622" t="s">
        <v>4269</v>
      </c>
      <c r="CL622" t="s">
        <v>11191</v>
      </c>
      <c r="CO622" t="s">
        <v>132</v>
      </c>
      <c r="CP622" t="s">
        <v>136</v>
      </c>
      <c r="CQ622" t="s">
        <v>136</v>
      </c>
      <c r="CR622" t="s">
        <v>136</v>
      </c>
      <c r="CS622" t="s">
        <v>136</v>
      </c>
      <c r="CT622" t="s">
        <v>136</v>
      </c>
      <c r="CU622" t="s">
        <v>136</v>
      </c>
      <c r="CV622" s="2" t="s">
        <v>11192</v>
      </c>
      <c r="CW622" s="10" t="str">
        <f>"+13183364292"</f>
        <v>+13183364292</v>
      </c>
      <c r="CX622" t="s">
        <v>11185</v>
      </c>
      <c r="CY622" t="s">
        <v>11193</v>
      </c>
      <c r="CZ622" t="s">
        <v>137</v>
      </c>
      <c r="DA622" t="s">
        <v>114</v>
      </c>
      <c r="DB622" t="s">
        <v>114</v>
      </c>
      <c r="DC622" t="s">
        <v>136</v>
      </c>
      <c r="DD622" t="s">
        <v>114</v>
      </c>
    </row>
    <row r="623" spans="1:113" ht="15" customHeight="1" x14ac:dyDescent="0.25">
      <c r="A623" t="s">
        <v>18840</v>
      </c>
      <c r="B623" t="s">
        <v>152</v>
      </c>
      <c r="C623" s="1">
        <v>45233.391297453702</v>
      </c>
      <c r="D623" s="1">
        <v>45259</v>
      </c>
      <c r="E623" t="s">
        <v>132</v>
      </c>
      <c r="F623" t="s">
        <v>293</v>
      </c>
      <c r="G623" t="str">
        <f>"37-2012.00"</f>
        <v>37-2012.00</v>
      </c>
      <c r="H623" t="s">
        <v>205</v>
      </c>
      <c r="I623">
        <v>60</v>
      </c>
      <c r="J623">
        <v>60</v>
      </c>
      <c r="K623" s="1">
        <v>45323</v>
      </c>
      <c r="L623" s="1">
        <v>45627</v>
      </c>
      <c r="M623" s="1">
        <v>45323</v>
      </c>
      <c r="N623" s="1">
        <v>45627</v>
      </c>
      <c r="O623" t="s">
        <v>116</v>
      </c>
      <c r="P623" t="s">
        <v>18841</v>
      </c>
      <c r="Q623" t="s">
        <v>18842</v>
      </c>
      <c r="R623" t="s">
        <v>18843</v>
      </c>
      <c r="T623" t="s">
        <v>8020</v>
      </c>
      <c r="U623" t="s">
        <v>140</v>
      </c>
      <c r="V623" s="8" t="str">
        <f>"32548"</f>
        <v>32548</v>
      </c>
      <c r="W623" t="s">
        <v>118</v>
      </c>
      <c r="Y623" s="10">
        <v>18502439161</v>
      </c>
      <c r="Z623">
        <v>7503</v>
      </c>
      <c r="AA623">
        <v>72111</v>
      </c>
      <c r="AB623" t="s">
        <v>18844</v>
      </c>
      <c r="AC623" t="s">
        <v>250</v>
      </c>
      <c r="AD623" t="s">
        <v>425</v>
      </c>
      <c r="AE623" t="s">
        <v>18845</v>
      </c>
      <c r="AF623" t="s">
        <v>18843</v>
      </c>
      <c r="AH623" t="s">
        <v>8020</v>
      </c>
      <c r="AI623" t="s">
        <v>140</v>
      </c>
      <c r="AJ623" s="8" t="str">
        <f>"32548"</f>
        <v>32548</v>
      </c>
      <c r="AK623" t="s">
        <v>118</v>
      </c>
      <c r="AM623" s="10">
        <v>18502439161</v>
      </c>
      <c r="AN623">
        <v>7503</v>
      </c>
      <c r="AO623" t="s">
        <v>18846</v>
      </c>
      <c r="AX623" s="8" t="str">
        <f>""</f>
        <v/>
      </c>
      <c r="BG623" t="s">
        <v>140</v>
      </c>
      <c r="BH623" s="1">
        <v>45216.833333333336</v>
      </c>
      <c r="BI623">
        <v>40</v>
      </c>
      <c r="BJ623">
        <v>8</v>
      </c>
      <c r="BK623">
        <v>8</v>
      </c>
      <c r="BL623">
        <v>0</v>
      </c>
      <c r="BM623">
        <v>0</v>
      </c>
      <c r="BN623">
        <v>8</v>
      </c>
      <c r="BO623">
        <v>8</v>
      </c>
      <c r="BP623">
        <v>8</v>
      </c>
      <c r="BQ623" t="str">
        <f>"7:30 AM"</f>
        <v>7:30 AM</v>
      </c>
      <c r="BR623" t="str">
        <f>"4:00 PM"</f>
        <v>4:00 PM</v>
      </c>
      <c r="BS623" t="s">
        <v>147</v>
      </c>
      <c r="BT623">
        <v>0</v>
      </c>
      <c r="BU623">
        <v>0</v>
      </c>
      <c r="BV623" t="s">
        <v>114</v>
      </c>
      <c r="BX623" t="s">
        <v>132</v>
      </c>
      <c r="BY623" t="s">
        <v>18843</v>
      </c>
      <c r="CA623" t="s">
        <v>8020</v>
      </c>
      <c r="CB623" t="s">
        <v>140</v>
      </c>
      <c r="CC623" s="8" t="str">
        <f>"32548"</f>
        <v>32548</v>
      </c>
      <c r="CD623" t="s">
        <v>5061</v>
      </c>
      <c r="CE623" t="s">
        <v>3314</v>
      </c>
      <c r="CF623" s="12">
        <v>14.14</v>
      </c>
      <c r="CG623" s="12">
        <v>14.14</v>
      </c>
      <c r="CJ623" t="s">
        <v>135</v>
      </c>
      <c r="CK623" t="s">
        <v>132</v>
      </c>
      <c r="CL623" t="s">
        <v>18847</v>
      </c>
      <c r="CO623" t="s">
        <v>132</v>
      </c>
      <c r="CP623" t="s">
        <v>114</v>
      </c>
      <c r="CQ623" t="s">
        <v>114</v>
      </c>
      <c r="CR623" t="s">
        <v>114</v>
      </c>
      <c r="CS623" t="s">
        <v>136</v>
      </c>
      <c r="CT623" t="s">
        <v>136</v>
      </c>
      <c r="CU623" t="s">
        <v>136</v>
      </c>
      <c r="CV623" s="2" t="s">
        <v>18848</v>
      </c>
      <c r="CW623" s="10" t="str">
        <f>"+18508337587"</f>
        <v>+18508337587</v>
      </c>
      <c r="CX623" t="s">
        <v>132</v>
      </c>
      <c r="CY623" t="s">
        <v>18849</v>
      </c>
      <c r="CZ623" t="s">
        <v>137</v>
      </c>
      <c r="DA623" t="s">
        <v>114</v>
      </c>
      <c r="DB623" t="s">
        <v>114</v>
      </c>
      <c r="DC623" t="s">
        <v>136</v>
      </c>
      <c r="DD623" t="s">
        <v>114</v>
      </c>
      <c r="DE623" t="s">
        <v>132</v>
      </c>
      <c r="DF623" t="s">
        <v>132</v>
      </c>
      <c r="DG623" t="s">
        <v>132</v>
      </c>
      <c r="DH623" t="s">
        <v>18842</v>
      </c>
      <c r="DI623" t="s">
        <v>132</v>
      </c>
    </row>
    <row r="624" spans="1:113" ht="15" customHeight="1" x14ac:dyDescent="0.25">
      <c r="A624" t="s">
        <v>19117</v>
      </c>
      <c r="B624" t="s">
        <v>152</v>
      </c>
      <c r="C624" s="1">
        <v>45233.377161226854</v>
      </c>
      <c r="D624" s="1">
        <v>45259</v>
      </c>
      <c r="E624" t="s">
        <v>132</v>
      </c>
      <c r="F624" t="s">
        <v>1059</v>
      </c>
      <c r="G624" t="str">
        <f>"35-2014.00"</f>
        <v>35-2014.00</v>
      </c>
      <c r="H624" t="s">
        <v>154</v>
      </c>
      <c r="I624">
        <v>12</v>
      </c>
      <c r="J624">
        <v>12</v>
      </c>
      <c r="K624" s="1">
        <v>45323</v>
      </c>
      <c r="L624" s="1">
        <v>45626</v>
      </c>
      <c r="M624" s="1">
        <v>45323</v>
      </c>
      <c r="N624" s="1">
        <v>45626</v>
      </c>
      <c r="O624" t="s">
        <v>116</v>
      </c>
      <c r="P624" t="s">
        <v>11351</v>
      </c>
      <c r="Q624" t="s">
        <v>11352</v>
      </c>
      <c r="R624" t="s">
        <v>11353</v>
      </c>
      <c r="T624" t="s">
        <v>3413</v>
      </c>
      <c r="U624" t="s">
        <v>1691</v>
      </c>
      <c r="V624" s="8" t="str">
        <f>"29928"</f>
        <v>29928</v>
      </c>
      <c r="W624" t="s">
        <v>118</v>
      </c>
      <c r="Y624" s="10">
        <v>18433411833</v>
      </c>
      <c r="AA624">
        <v>72111</v>
      </c>
      <c r="AB624" t="s">
        <v>11354</v>
      </c>
      <c r="AC624" t="s">
        <v>2754</v>
      </c>
      <c r="AD624" t="s">
        <v>962</v>
      </c>
      <c r="AE624" t="s">
        <v>1189</v>
      </c>
      <c r="AF624" t="s">
        <v>11353</v>
      </c>
      <c r="AH624" t="s">
        <v>3413</v>
      </c>
      <c r="AI624" t="s">
        <v>1691</v>
      </c>
      <c r="AJ624" s="8" t="str">
        <f>"29928"</f>
        <v>29928</v>
      </c>
      <c r="AK624" t="s">
        <v>118</v>
      </c>
      <c r="AM624" s="10">
        <v>18438422400</v>
      </c>
      <c r="AO624" t="s">
        <v>11355</v>
      </c>
      <c r="AP624" t="s">
        <v>248</v>
      </c>
      <c r="AQ624" t="s">
        <v>960</v>
      </c>
      <c r="AR624" t="s">
        <v>961</v>
      </c>
      <c r="AS624" t="s">
        <v>962</v>
      </c>
      <c r="AT624" t="s">
        <v>963</v>
      </c>
      <c r="AU624" t="s">
        <v>296</v>
      </c>
      <c r="AV624" t="s">
        <v>964</v>
      </c>
      <c r="AW624" t="s">
        <v>127</v>
      </c>
      <c r="AX624" s="8" t="str">
        <f>"75033"</f>
        <v>75033</v>
      </c>
      <c r="AY624" t="s">
        <v>118</v>
      </c>
      <c r="BA624" s="10">
        <v>19727789690</v>
      </c>
      <c r="BC624" t="s">
        <v>1939</v>
      </c>
      <c r="BD624" t="s">
        <v>966</v>
      </c>
      <c r="BG624" t="s">
        <v>1691</v>
      </c>
      <c r="BH624" s="1">
        <v>45232.833333333336</v>
      </c>
      <c r="BI624">
        <v>40</v>
      </c>
      <c r="BJ624">
        <v>8</v>
      </c>
      <c r="BK624">
        <v>8</v>
      </c>
      <c r="BL624">
        <v>0</v>
      </c>
      <c r="BM624">
        <v>0</v>
      </c>
      <c r="BN624">
        <v>8</v>
      </c>
      <c r="BO624">
        <v>8</v>
      </c>
      <c r="BP624">
        <v>8</v>
      </c>
      <c r="BQ624" t="str">
        <f>"7:00 AM"</f>
        <v>7:00 AM</v>
      </c>
      <c r="BR624" t="str">
        <f>"3:30 PM"</f>
        <v>3:30 PM</v>
      </c>
      <c r="BS624" t="s">
        <v>131</v>
      </c>
      <c r="BT624">
        <v>0</v>
      </c>
      <c r="BU624">
        <v>0</v>
      </c>
      <c r="BV624" t="s">
        <v>114</v>
      </c>
      <c r="BX624" s="2" t="s">
        <v>19118</v>
      </c>
      <c r="BY624" t="s">
        <v>11357</v>
      </c>
      <c r="CA624" t="s">
        <v>3415</v>
      </c>
      <c r="CB624" t="s">
        <v>1691</v>
      </c>
      <c r="CC624" s="8" t="str">
        <f>"29928"</f>
        <v>29928</v>
      </c>
      <c r="CD624" t="s">
        <v>3136</v>
      </c>
      <c r="CE624" t="s">
        <v>2584</v>
      </c>
      <c r="CF624" s="12">
        <v>15.25</v>
      </c>
      <c r="CH624" s="12">
        <v>22.88</v>
      </c>
      <c r="CJ624" t="s">
        <v>305</v>
      </c>
      <c r="CK624" t="s">
        <v>1840</v>
      </c>
      <c r="CL624" t="s">
        <v>19119</v>
      </c>
      <c r="CO624" t="s">
        <v>132</v>
      </c>
      <c r="CP624" t="s">
        <v>114</v>
      </c>
      <c r="CQ624" t="s">
        <v>136</v>
      </c>
      <c r="CR624" t="s">
        <v>136</v>
      </c>
      <c r="CS624" t="s">
        <v>136</v>
      </c>
      <c r="CT624" t="s">
        <v>136</v>
      </c>
      <c r="CU624" t="s">
        <v>136</v>
      </c>
      <c r="CV624" s="2" t="s">
        <v>11359</v>
      </c>
      <c r="CW624" s="10" t="str">
        <f>"+18438422400"</f>
        <v>+18438422400</v>
      </c>
      <c r="CX624" t="s">
        <v>132</v>
      </c>
      <c r="CY624" t="s">
        <v>3524</v>
      </c>
      <c r="CZ624" t="s">
        <v>137</v>
      </c>
      <c r="DA624" t="s">
        <v>114</v>
      </c>
      <c r="DB624" t="s">
        <v>136</v>
      </c>
      <c r="DC624" t="s">
        <v>136</v>
      </c>
      <c r="DD624" t="s">
        <v>114</v>
      </c>
    </row>
    <row r="625" spans="1:113" ht="15" customHeight="1" x14ac:dyDescent="0.25">
      <c r="A625" t="s">
        <v>18804</v>
      </c>
      <c r="B625" t="s">
        <v>152</v>
      </c>
      <c r="C625" s="1">
        <v>45233.37036296296</v>
      </c>
      <c r="D625" s="1">
        <v>45259</v>
      </c>
      <c r="E625" t="s">
        <v>132</v>
      </c>
      <c r="F625" t="s">
        <v>18805</v>
      </c>
      <c r="G625" t="str">
        <f>"53-7062.00"</f>
        <v>53-7062.00</v>
      </c>
      <c r="H625" t="s">
        <v>2078</v>
      </c>
      <c r="I625">
        <v>4</v>
      </c>
      <c r="J625">
        <v>4</v>
      </c>
      <c r="K625" s="1">
        <v>45323</v>
      </c>
      <c r="L625" s="1">
        <v>45611</v>
      </c>
      <c r="M625" s="1">
        <v>45323</v>
      </c>
      <c r="N625" s="1">
        <v>45611</v>
      </c>
      <c r="O625" t="s">
        <v>116</v>
      </c>
      <c r="P625" t="s">
        <v>18806</v>
      </c>
      <c r="R625" t="s">
        <v>18807</v>
      </c>
      <c r="T625" t="s">
        <v>18808</v>
      </c>
      <c r="U625" t="s">
        <v>1691</v>
      </c>
      <c r="V625" s="8" t="str">
        <f>"29829"</f>
        <v>29829</v>
      </c>
      <c r="W625" t="s">
        <v>118</v>
      </c>
      <c r="Y625" s="10">
        <v>18036495402</v>
      </c>
      <c r="AA625">
        <v>53228</v>
      </c>
      <c r="AB625" t="s">
        <v>18809</v>
      </c>
      <c r="AC625" t="s">
        <v>1826</v>
      </c>
      <c r="AE625" t="s">
        <v>378</v>
      </c>
      <c r="AF625" t="s">
        <v>18807</v>
      </c>
      <c r="AH625" t="s">
        <v>18808</v>
      </c>
      <c r="AI625" t="s">
        <v>1691</v>
      </c>
      <c r="AJ625" s="8" t="str">
        <f>"29829"</f>
        <v>29829</v>
      </c>
      <c r="AK625" t="s">
        <v>118</v>
      </c>
      <c r="AM625" s="10">
        <v>18036458243</v>
      </c>
      <c r="AO625" t="s">
        <v>18810</v>
      </c>
      <c r="AP625" t="s">
        <v>248</v>
      </c>
      <c r="AQ625" t="s">
        <v>249</v>
      </c>
      <c r="AR625" t="s">
        <v>250</v>
      </c>
      <c r="AS625" t="s">
        <v>251</v>
      </c>
      <c r="AT625" t="s">
        <v>252</v>
      </c>
      <c r="AU625" t="s">
        <v>253</v>
      </c>
      <c r="AV625" t="s">
        <v>254</v>
      </c>
      <c r="AW625" t="s">
        <v>127</v>
      </c>
      <c r="AX625" s="8" t="str">
        <f>"78550"</f>
        <v>78550</v>
      </c>
      <c r="AY625" t="s">
        <v>118</v>
      </c>
      <c r="AZ625" t="s">
        <v>255</v>
      </c>
      <c r="BA625" s="10">
        <v>19564408720</v>
      </c>
      <c r="BB625" s="3" t="s">
        <v>256</v>
      </c>
      <c r="BC625" t="s">
        <v>257</v>
      </c>
      <c r="BD625" t="s">
        <v>258</v>
      </c>
      <c r="BG625" t="s">
        <v>1691</v>
      </c>
      <c r="BH625" s="1">
        <v>45232.833333333336</v>
      </c>
      <c r="BI625">
        <v>40</v>
      </c>
      <c r="BJ625">
        <v>0</v>
      </c>
      <c r="BK625">
        <v>8</v>
      </c>
      <c r="BL625">
        <v>8</v>
      </c>
      <c r="BM625">
        <v>8</v>
      </c>
      <c r="BN625">
        <v>8</v>
      </c>
      <c r="BO625">
        <v>8</v>
      </c>
      <c r="BP625">
        <v>0</v>
      </c>
      <c r="BQ625" t="str">
        <f>"8:00 AM"</f>
        <v>8:00 AM</v>
      </c>
      <c r="BR625" t="str">
        <f>"5:00 PM"</f>
        <v>5:00 PM</v>
      </c>
      <c r="BS625" t="s">
        <v>131</v>
      </c>
      <c r="BT625">
        <v>0</v>
      </c>
      <c r="BU625">
        <v>0</v>
      </c>
      <c r="BV625" t="s">
        <v>114</v>
      </c>
      <c r="BX625" s="2" t="s">
        <v>18811</v>
      </c>
      <c r="BY625" t="s">
        <v>18812</v>
      </c>
      <c r="CA625" t="s">
        <v>18808</v>
      </c>
      <c r="CB625" t="s">
        <v>1691</v>
      </c>
      <c r="CC625" s="8" t="str">
        <f>"29829"</f>
        <v>29829</v>
      </c>
      <c r="CD625" t="s">
        <v>16074</v>
      </c>
      <c r="CE625" t="s">
        <v>3543</v>
      </c>
      <c r="CF625" s="12">
        <v>17.989999999999998</v>
      </c>
      <c r="CG625" s="12">
        <v>17.989999999999998</v>
      </c>
      <c r="CH625" s="12">
        <v>26.99</v>
      </c>
      <c r="CI625" s="12">
        <v>26.99</v>
      </c>
      <c r="CJ625" t="s">
        <v>135</v>
      </c>
      <c r="CK625" t="s">
        <v>18813</v>
      </c>
      <c r="CL625" t="s">
        <v>18814</v>
      </c>
      <c r="CO625" t="s">
        <v>132</v>
      </c>
      <c r="CP625" t="s">
        <v>136</v>
      </c>
      <c r="CQ625" t="s">
        <v>136</v>
      </c>
      <c r="CR625" t="s">
        <v>136</v>
      </c>
      <c r="CS625" t="s">
        <v>136</v>
      </c>
      <c r="CT625" t="s">
        <v>136</v>
      </c>
      <c r="CU625" t="s">
        <v>136</v>
      </c>
      <c r="CV625" s="2" t="s">
        <v>18815</v>
      </c>
      <c r="CW625" s="10" t="str">
        <f>"+18036495402"</f>
        <v>+18036495402</v>
      </c>
      <c r="CX625" t="s">
        <v>18816</v>
      </c>
      <c r="CY625" t="s">
        <v>132</v>
      </c>
      <c r="CZ625" t="s">
        <v>137</v>
      </c>
      <c r="DA625" t="s">
        <v>114</v>
      </c>
      <c r="DB625" t="s">
        <v>136</v>
      </c>
      <c r="DC625" t="s">
        <v>136</v>
      </c>
      <c r="DD625" t="s">
        <v>114</v>
      </c>
    </row>
    <row r="626" spans="1:113" ht="15" customHeight="1" x14ac:dyDescent="0.25">
      <c r="A626" t="s">
        <v>22049</v>
      </c>
      <c r="B626" t="s">
        <v>152</v>
      </c>
      <c r="C626" s="1">
        <v>45233.333627546293</v>
      </c>
      <c r="D626" s="1">
        <v>45259</v>
      </c>
      <c r="E626" t="s">
        <v>132</v>
      </c>
      <c r="F626" t="s">
        <v>236</v>
      </c>
      <c r="G626" t="str">
        <f>"39-3091.00"</f>
        <v>39-3091.00</v>
      </c>
      <c r="H626" t="s">
        <v>237</v>
      </c>
      <c r="I626">
        <v>7</v>
      </c>
      <c r="J626">
        <v>7</v>
      </c>
      <c r="K626" s="1">
        <v>45323</v>
      </c>
      <c r="L626" s="1">
        <v>45596</v>
      </c>
      <c r="M626" s="1">
        <v>45323</v>
      </c>
      <c r="N626" s="1">
        <v>45596</v>
      </c>
      <c r="O626" t="s">
        <v>238</v>
      </c>
      <c r="P626" t="s">
        <v>22050</v>
      </c>
      <c r="Q626" t="s">
        <v>22051</v>
      </c>
      <c r="R626" t="s">
        <v>22052</v>
      </c>
      <c r="T626" t="s">
        <v>22053</v>
      </c>
      <c r="U626" t="s">
        <v>158</v>
      </c>
      <c r="V626" s="8" t="str">
        <f>"48616"</f>
        <v>48616</v>
      </c>
      <c r="W626" t="s">
        <v>118</v>
      </c>
      <c r="Y626" s="10">
        <v>19897372222</v>
      </c>
      <c r="AA626">
        <v>71399</v>
      </c>
      <c r="AB626" t="s">
        <v>9918</v>
      </c>
      <c r="AC626" t="s">
        <v>22054</v>
      </c>
      <c r="AD626" t="s">
        <v>1410</v>
      </c>
      <c r="AE626" t="s">
        <v>561</v>
      </c>
      <c r="AF626" t="s">
        <v>22055</v>
      </c>
      <c r="AH626" t="s">
        <v>22053</v>
      </c>
      <c r="AI626" t="s">
        <v>158</v>
      </c>
      <c r="AJ626" s="8" t="str">
        <f>"48616"</f>
        <v>48616</v>
      </c>
      <c r="AK626" t="s">
        <v>118</v>
      </c>
      <c r="AM626" s="10">
        <v>19897372222</v>
      </c>
      <c r="AO626" t="s">
        <v>22056</v>
      </c>
      <c r="AP626" t="s">
        <v>248</v>
      </c>
      <c r="AQ626" t="s">
        <v>249</v>
      </c>
      <c r="AR626" t="s">
        <v>250</v>
      </c>
      <c r="AS626" t="s">
        <v>251</v>
      </c>
      <c r="AT626" t="s">
        <v>252</v>
      </c>
      <c r="AU626" t="s">
        <v>253</v>
      </c>
      <c r="AV626" t="s">
        <v>254</v>
      </c>
      <c r="AW626" t="s">
        <v>127</v>
      </c>
      <c r="AX626" s="8" t="str">
        <f>"78550"</f>
        <v>78550</v>
      </c>
      <c r="AY626" t="s">
        <v>118</v>
      </c>
      <c r="BA626" s="10">
        <v>19564408720</v>
      </c>
      <c r="BB626" s="3" t="s">
        <v>256</v>
      </c>
      <c r="BC626" t="s">
        <v>257</v>
      </c>
      <c r="BD626" t="s">
        <v>258</v>
      </c>
      <c r="BG626" t="s">
        <v>158</v>
      </c>
      <c r="BH626" s="1">
        <v>45232.833333333336</v>
      </c>
      <c r="BI626">
        <v>40</v>
      </c>
      <c r="BJ626">
        <v>8</v>
      </c>
      <c r="BK626">
        <v>0</v>
      </c>
      <c r="BL626">
        <v>0</v>
      </c>
      <c r="BM626">
        <v>8</v>
      </c>
      <c r="BN626">
        <v>8</v>
      </c>
      <c r="BO626">
        <v>8</v>
      </c>
      <c r="BP626">
        <v>8</v>
      </c>
      <c r="BQ626" t="str">
        <f>"1:00 PM"</f>
        <v>1:00 PM</v>
      </c>
      <c r="BR626" t="str">
        <f>"10:00 PM"</f>
        <v>10:00 PM</v>
      </c>
      <c r="BS626" t="s">
        <v>131</v>
      </c>
      <c r="BT626">
        <v>0</v>
      </c>
      <c r="BU626">
        <v>0</v>
      </c>
      <c r="BV626" t="s">
        <v>114</v>
      </c>
      <c r="BX626" s="2" t="s">
        <v>2255</v>
      </c>
      <c r="BY626" t="s">
        <v>22055</v>
      </c>
      <c r="CA626" t="s">
        <v>22053</v>
      </c>
      <c r="CB626" t="s">
        <v>158</v>
      </c>
      <c r="CC626" s="8" t="str">
        <f>"48616"</f>
        <v>48616</v>
      </c>
      <c r="CD626" t="s">
        <v>16018</v>
      </c>
      <c r="CE626" t="s">
        <v>16019</v>
      </c>
      <c r="CF626" s="12">
        <v>10.7</v>
      </c>
      <c r="CG626" s="12">
        <v>16.3</v>
      </c>
      <c r="CJ626" t="s">
        <v>135</v>
      </c>
      <c r="CK626" t="s">
        <v>264</v>
      </c>
      <c r="CL626" t="s">
        <v>22057</v>
      </c>
      <c r="CO626" t="s">
        <v>132</v>
      </c>
      <c r="CP626" t="s">
        <v>136</v>
      </c>
      <c r="CQ626" t="s">
        <v>136</v>
      </c>
      <c r="CR626" t="s">
        <v>114</v>
      </c>
      <c r="CS626" t="s">
        <v>136</v>
      </c>
      <c r="CT626" t="s">
        <v>136</v>
      </c>
      <c r="CU626" t="s">
        <v>136</v>
      </c>
      <c r="CV626" t="s">
        <v>266</v>
      </c>
      <c r="CW626" s="10" t="str">
        <f>"+19897372222"</f>
        <v>+19897372222</v>
      </c>
      <c r="CX626" t="s">
        <v>22056</v>
      </c>
      <c r="CY626" t="s">
        <v>132</v>
      </c>
      <c r="CZ626" t="s">
        <v>137</v>
      </c>
      <c r="DA626" t="s">
        <v>114</v>
      </c>
      <c r="DB626" t="s">
        <v>136</v>
      </c>
      <c r="DC626" t="s">
        <v>136</v>
      </c>
      <c r="DD626" t="s">
        <v>114</v>
      </c>
    </row>
    <row r="627" spans="1:113" ht="15" customHeight="1" x14ac:dyDescent="0.25">
      <c r="A627" t="s">
        <v>13726</v>
      </c>
      <c r="B627" t="s">
        <v>152</v>
      </c>
      <c r="C627" s="1">
        <v>45233.296030324076</v>
      </c>
      <c r="D627" s="1">
        <v>45259</v>
      </c>
      <c r="E627" t="s">
        <v>132</v>
      </c>
      <c r="F627" t="s">
        <v>2020</v>
      </c>
      <c r="G627" t="str">
        <f>"37-3011.00"</f>
        <v>37-3011.00</v>
      </c>
      <c r="H627" t="s">
        <v>429</v>
      </c>
      <c r="I627">
        <v>60</v>
      </c>
      <c r="J627">
        <v>60</v>
      </c>
      <c r="K627" s="1">
        <v>45323</v>
      </c>
      <c r="L627" s="1">
        <v>45627</v>
      </c>
      <c r="M627" s="1">
        <v>45323</v>
      </c>
      <c r="N627" s="1">
        <v>45627</v>
      </c>
      <c r="O627" t="s">
        <v>238</v>
      </c>
      <c r="P627" t="s">
        <v>13727</v>
      </c>
      <c r="R627" t="s">
        <v>13728</v>
      </c>
      <c r="T627" t="s">
        <v>11102</v>
      </c>
      <c r="U627" t="s">
        <v>434</v>
      </c>
      <c r="V627" s="8" t="str">
        <f>"19342"</f>
        <v>19342</v>
      </c>
      <c r="W627" t="s">
        <v>118</v>
      </c>
      <c r="Y627" s="10">
        <v>16104595857</v>
      </c>
      <c r="AA627">
        <v>56173</v>
      </c>
      <c r="AB627" t="s">
        <v>13729</v>
      </c>
      <c r="AC627" t="s">
        <v>2238</v>
      </c>
      <c r="AD627" t="s">
        <v>4795</v>
      </c>
      <c r="AE627" t="s">
        <v>629</v>
      </c>
      <c r="AF627" t="s">
        <v>13728</v>
      </c>
      <c r="AH627" t="s">
        <v>11102</v>
      </c>
      <c r="AI627" t="s">
        <v>434</v>
      </c>
      <c r="AJ627" s="8" t="str">
        <f>"19342"</f>
        <v>19342</v>
      </c>
      <c r="AK627" t="s">
        <v>118</v>
      </c>
      <c r="AM627" s="10">
        <v>16104595857</v>
      </c>
      <c r="AO627" t="s">
        <v>132</v>
      </c>
      <c r="AP627" t="s">
        <v>248</v>
      </c>
      <c r="AQ627" t="s">
        <v>673</v>
      </c>
      <c r="AR627" t="s">
        <v>674</v>
      </c>
      <c r="AT627" t="s">
        <v>579</v>
      </c>
      <c r="AV627" t="s">
        <v>580</v>
      </c>
      <c r="AW627" t="s">
        <v>581</v>
      </c>
      <c r="AX627" s="8" t="str">
        <f>"22903"</f>
        <v>22903</v>
      </c>
      <c r="AY627" t="s">
        <v>118</v>
      </c>
      <c r="BA627" s="10">
        <v>14342634300</v>
      </c>
      <c r="BC627" t="s">
        <v>675</v>
      </c>
      <c r="BD627" t="s">
        <v>583</v>
      </c>
      <c r="BG627" t="s">
        <v>1427</v>
      </c>
      <c r="BH627" s="1">
        <v>45232.833333333336</v>
      </c>
      <c r="BI627">
        <v>40</v>
      </c>
      <c r="BJ627">
        <v>0</v>
      </c>
      <c r="BK627">
        <v>8</v>
      </c>
      <c r="BL627">
        <v>8</v>
      </c>
      <c r="BM627">
        <v>8</v>
      </c>
      <c r="BN627">
        <v>8</v>
      </c>
      <c r="BO627">
        <v>8</v>
      </c>
      <c r="BP627">
        <v>0</v>
      </c>
      <c r="BQ627" t="str">
        <f>"7:30 AM"</f>
        <v>7:30 AM</v>
      </c>
      <c r="BR627" t="str">
        <f>"4:00 PM"</f>
        <v>4:00 PM</v>
      </c>
      <c r="BS627" t="s">
        <v>131</v>
      </c>
      <c r="BT627">
        <v>0</v>
      </c>
      <c r="BU627">
        <v>0</v>
      </c>
      <c r="BV627" t="s">
        <v>114</v>
      </c>
      <c r="BX627" s="2" t="s">
        <v>13730</v>
      </c>
      <c r="BY627" t="s">
        <v>13731</v>
      </c>
      <c r="CA627" t="s">
        <v>13732</v>
      </c>
      <c r="CB627" t="s">
        <v>1427</v>
      </c>
      <c r="CC627" s="8" t="str">
        <f>"19945"</f>
        <v>19945</v>
      </c>
      <c r="CD627" t="s">
        <v>5646</v>
      </c>
      <c r="CE627" t="s">
        <v>3831</v>
      </c>
      <c r="CF627" s="12">
        <v>16.149999999999999</v>
      </c>
      <c r="CH627" s="12">
        <v>24.23</v>
      </c>
      <c r="CJ627" t="s">
        <v>135</v>
      </c>
      <c r="CK627" t="s">
        <v>590</v>
      </c>
      <c r="CL627" t="s">
        <v>13733</v>
      </c>
      <c r="CO627" t="s">
        <v>132</v>
      </c>
      <c r="CP627" t="s">
        <v>136</v>
      </c>
      <c r="CQ627" t="s">
        <v>114</v>
      </c>
      <c r="CR627" t="s">
        <v>136</v>
      </c>
      <c r="CS627" t="s">
        <v>136</v>
      </c>
      <c r="CT627" t="s">
        <v>136</v>
      </c>
      <c r="CU627" t="s">
        <v>114</v>
      </c>
      <c r="CV627" t="s">
        <v>11101</v>
      </c>
      <c r="CW627" s="10" t="str">
        <f>"+16104595857"</f>
        <v>+16104595857</v>
      </c>
      <c r="CX627" t="s">
        <v>132</v>
      </c>
      <c r="CY627" t="s">
        <v>5647</v>
      </c>
      <c r="CZ627" t="s">
        <v>137</v>
      </c>
      <c r="DA627" t="s">
        <v>114</v>
      </c>
      <c r="DB627" t="s">
        <v>136</v>
      </c>
      <c r="DC627" t="s">
        <v>136</v>
      </c>
      <c r="DD627" t="s">
        <v>114</v>
      </c>
      <c r="DE627" t="s">
        <v>673</v>
      </c>
      <c r="DF627" t="s">
        <v>674</v>
      </c>
      <c r="DH627" t="s">
        <v>583</v>
      </c>
      <c r="DI627" t="s">
        <v>675</v>
      </c>
    </row>
    <row r="628" spans="1:113" ht="15" customHeight="1" x14ac:dyDescent="0.25">
      <c r="A628" t="s">
        <v>16167</v>
      </c>
      <c r="B628" t="s">
        <v>152</v>
      </c>
      <c r="C628" s="1">
        <v>45233.294328009259</v>
      </c>
      <c r="D628" s="1">
        <v>45259</v>
      </c>
      <c r="E628" t="s">
        <v>132</v>
      </c>
      <c r="F628" t="s">
        <v>2020</v>
      </c>
      <c r="G628" t="str">
        <f>"37-3011.00"</f>
        <v>37-3011.00</v>
      </c>
      <c r="H628" t="s">
        <v>429</v>
      </c>
      <c r="I628">
        <v>60</v>
      </c>
      <c r="J628">
        <v>60</v>
      </c>
      <c r="K628" s="1">
        <v>45323</v>
      </c>
      <c r="L628" s="1">
        <v>45627</v>
      </c>
      <c r="M628" s="1">
        <v>45323</v>
      </c>
      <c r="N628" s="1">
        <v>45627</v>
      </c>
      <c r="O628" t="s">
        <v>238</v>
      </c>
      <c r="P628" t="s">
        <v>16168</v>
      </c>
      <c r="R628" t="s">
        <v>13728</v>
      </c>
      <c r="T628" t="s">
        <v>11102</v>
      </c>
      <c r="U628" t="s">
        <v>434</v>
      </c>
      <c r="V628" s="8" t="str">
        <f>"19342"</f>
        <v>19342</v>
      </c>
      <c r="W628" t="s">
        <v>118</v>
      </c>
      <c r="Y628" s="10">
        <v>16104595857</v>
      </c>
      <c r="AA628">
        <v>56173</v>
      </c>
      <c r="AB628" t="s">
        <v>13729</v>
      </c>
      <c r="AC628" t="s">
        <v>2238</v>
      </c>
      <c r="AD628" t="s">
        <v>4795</v>
      </c>
      <c r="AE628" t="s">
        <v>629</v>
      </c>
      <c r="AF628" t="s">
        <v>13728</v>
      </c>
      <c r="AH628" t="s">
        <v>11102</v>
      </c>
      <c r="AI628" t="s">
        <v>434</v>
      </c>
      <c r="AJ628" s="8" t="str">
        <f>"19342"</f>
        <v>19342</v>
      </c>
      <c r="AK628" t="s">
        <v>118</v>
      </c>
      <c r="AM628" s="10">
        <v>16104595857</v>
      </c>
      <c r="AO628" t="s">
        <v>132</v>
      </c>
      <c r="AP628" t="s">
        <v>248</v>
      </c>
      <c r="AQ628" t="s">
        <v>673</v>
      </c>
      <c r="AR628" t="s">
        <v>674</v>
      </c>
      <c r="AT628" t="s">
        <v>579</v>
      </c>
      <c r="AV628" t="s">
        <v>580</v>
      </c>
      <c r="AW628" t="s">
        <v>581</v>
      </c>
      <c r="AX628" s="8" t="str">
        <f>"22903"</f>
        <v>22903</v>
      </c>
      <c r="AY628" t="s">
        <v>118</v>
      </c>
      <c r="BA628" s="10">
        <v>14342634300</v>
      </c>
      <c r="BC628" t="s">
        <v>675</v>
      </c>
      <c r="BD628" t="s">
        <v>583</v>
      </c>
      <c r="BG628" t="s">
        <v>434</v>
      </c>
      <c r="BH628" s="1">
        <v>45232.833333333336</v>
      </c>
      <c r="BI628">
        <v>40</v>
      </c>
      <c r="BJ628">
        <v>0</v>
      </c>
      <c r="BK628">
        <v>8</v>
      </c>
      <c r="BL628">
        <v>8</v>
      </c>
      <c r="BM628">
        <v>8</v>
      </c>
      <c r="BN628">
        <v>8</v>
      </c>
      <c r="BO628">
        <v>8</v>
      </c>
      <c r="BP628">
        <v>0</v>
      </c>
      <c r="BQ628" t="str">
        <f>"7:30 AM"</f>
        <v>7:30 AM</v>
      </c>
      <c r="BR628" t="str">
        <f>"4:00 PM"</f>
        <v>4:00 PM</v>
      </c>
      <c r="BS628" t="s">
        <v>131</v>
      </c>
      <c r="BT628">
        <v>0</v>
      </c>
      <c r="BU628">
        <v>0</v>
      </c>
      <c r="BV628" t="s">
        <v>114</v>
      </c>
      <c r="BX628" s="2" t="s">
        <v>13730</v>
      </c>
      <c r="BY628" t="s">
        <v>16169</v>
      </c>
      <c r="CA628" t="s">
        <v>11102</v>
      </c>
      <c r="CB628" t="s">
        <v>434</v>
      </c>
      <c r="CC628" s="8" t="str">
        <f>"19342"</f>
        <v>19342</v>
      </c>
      <c r="CD628" t="s">
        <v>442</v>
      </c>
      <c r="CE628" t="s">
        <v>443</v>
      </c>
      <c r="CF628" s="12">
        <v>18.71</v>
      </c>
      <c r="CH628" s="12">
        <v>28.07</v>
      </c>
      <c r="CJ628" t="s">
        <v>135</v>
      </c>
      <c r="CK628" t="s">
        <v>590</v>
      </c>
      <c r="CL628" t="s">
        <v>16170</v>
      </c>
      <c r="CO628" t="s">
        <v>132</v>
      </c>
      <c r="CP628" t="s">
        <v>136</v>
      </c>
      <c r="CQ628" t="s">
        <v>114</v>
      </c>
      <c r="CR628" t="s">
        <v>136</v>
      </c>
      <c r="CS628" t="s">
        <v>136</v>
      </c>
      <c r="CT628" t="s">
        <v>136</v>
      </c>
      <c r="CU628" t="s">
        <v>114</v>
      </c>
      <c r="CV628" t="s">
        <v>11101</v>
      </c>
      <c r="CW628" s="10" t="str">
        <f>"+16104595857"</f>
        <v>+16104595857</v>
      </c>
      <c r="CX628" t="s">
        <v>132</v>
      </c>
      <c r="CY628" t="s">
        <v>1997</v>
      </c>
      <c r="CZ628" t="s">
        <v>137</v>
      </c>
      <c r="DA628" t="s">
        <v>114</v>
      </c>
      <c r="DB628" t="s">
        <v>136</v>
      </c>
      <c r="DC628" t="s">
        <v>136</v>
      </c>
      <c r="DD628" t="s">
        <v>114</v>
      </c>
      <c r="DE628" t="s">
        <v>673</v>
      </c>
      <c r="DF628" t="s">
        <v>674</v>
      </c>
      <c r="DH628" t="s">
        <v>583</v>
      </c>
      <c r="DI628" t="s">
        <v>675</v>
      </c>
    </row>
    <row r="629" spans="1:113" ht="15" customHeight="1" x14ac:dyDescent="0.25">
      <c r="A629" t="s">
        <v>9478</v>
      </c>
      <c r="B629" t="s">
        <v>152</v>
      </c>
      <c r="C629" s="1">
        <v>45233.281326736113</v>
      </c>
      <c r="D629" s="1">
        <v>45259</v>
      </c>
      <c r="E629" t="s">
        <v>132</v>
      </c>
      <c r="F629" t="s">
        <v>2230</v>
      </c>
      <c r="G629" t="str">
        <f>"37-3011.00"</f>
        <v>37-3011.00</v>
      </c>
      <c r="H629" t="s">
        <v>429</v>
      </c>
      <c r="I629">
        <v>12</v>
      </c>
      <c r="J629">
        <v>12</v>
      </c>
      <c r="K629" s="1">
        <v>45323</v>
      </c>
      <c r="L629" s="1">
        <v>45626</v>
      </c>
      <c r="M629" s="1">
        <v>45323</v>
      </c>
      <c r="N629" s="1">
        <v>45626</v>
      </c>
      <c r="O629" t="s">
        <v>116</v>
      </c>
      <c r="P629" t="s">
        <v>9479</v>
      </c>
      <c r="R629" t="s">
        <v>9480</v>
      </c>
      <c r="T629" t="s">
        <v>9481</v>
      </c>
      <c r="U629" t="s">
        <v>1722</v>
      </c>
      <c r="V629" s="8" t="str">
        <f>"21035"</f>
        <v>21035</v>
      </c>
      <c r="W629" t="s">
        <v>118</v>
      </c>
      <c r="Y629" s="10">
        <v>17033789300</v>
      </c>
      <c r="AA629">
        <v>56173</v>
      </c>
      <c r="AB629" t="s">
        <v>9482</v>
      </c>
      <c r="AC629" t="s">
        <v>1616</v>
      </c>
      <c r="AE629" t="s">
        <v>9483</v>
      </c>
      <c r="AF629" t="s">
        <v>9484</v>
      </c>
      <c r="AH629" t="s">
        <v>9481</v>
      </c>
      <c r="AI629" t="s">
        <v>1722</v>
      </c>
      <c r="AJ629" s="8" t="str">
        <f>"21035"</f>
        <v>21035</v>
      </c>
      <c r="AK629" t="s">
        <v>118</v>
      </c>
      <c r="AM629" s="10">
        <v>17033789300</v>
      </c>
      <c r="AO629" t="s">
        <v>7702</v>
      </c>
      <c r="AP629" t="s">
        <v>248</v>
      </c>
      <c r="AQ629" t="s">
        <v>1860</v>
      </c>
      <c r="AR629" t="s">
        <v>1861</v>
      </c>
      <c r="AS629" t="s">
        <v>1862</v>
      </c>
      <c r="AT629" t="s">
        <v>1863</v>
      </c>
      <c r="AU629" t="s">
        <v>1864</v>
      </c>
      <c r="AV629" t="s">
        <v>1865</v>
      </c>
      <c r="AW629" t="s">
        <v>581</v>
      </c>
      <c r="AX629" s="8" t="str">
        <f>"24521"</f>
        <v>24521</v>
      </c>
      <c r="AY629" t="s">
        <v>118</v>
      </c>
      <c r="BA629" s="10">
        <v>14349460035</v>
      </c>
      <c r="BB629">
        <v>11</v>
      </c>
      <c r="BC629" t="s">
        <v>1866</v>
      </c>
      <c r="BD629" t="s">
        <v>1867</v>
      </c>
      <c r="BG629" t="s">
        <v>1722</v>
      </c>
      <c r="BH629" s="1">
        <v>45232.833333333336</v>
      </c>
      <c r="BI629">
        <v>35</v>
      </c>
      <c r="BJ629">
        <v>0</v>
      </c>
      <c r="BK629">
        <v>7</v>
      </c>
      <c r="BL629">
        <v>7</v>
      </c>
      <c r="BM629">
        <v>7</v>
      </c>
      <c r="BN629">
        <v>7</v>
      </c>
      <c r="BO629">
        <v>7</v>
      </c>
      <c r="BP629">
        <v>0</v>
      </c>
      <c r="BQ629" t="str">
        <f>"7:00 AM"</f>
        <v>7:00 AM</v>
      </c>
      <c r="BR629" t="str">
        <f>"2:30 PM"</f>
        <v>2:30 PM</v>
      </c>
      <c r="BS629" t="s">
        <v>131</v>
      </c>
      <c r="BT629">
        <v>0</v>
      </c>
      <c r="BU629">
        <v>0</v>
      </c>
      <c r="BV629" t="s">
        <v>114</v>
      </c>
      <c r="BX629" s="2" t="s">
        <v>9485</v>
      </c>
      <c r="BY629" t="s">
        <v>9480</v>
      </c>
      <c r="CA629" t="s">
        <v>9481</v>
      </c>
      <c r="CB629" t="s">
        <v>1722</v>
      </c>
      <c r="CC629" s="8" t="str">
        <f>"21035"</f>
        <v>21035</v>
      </c>
      <c r="CD629" t="s">
        <v>1991</v>
      </c>
      <c r="CE629" t="s">
        <v>1992</v>
      </c>
      <c r="CF629" s="12">
        <v>19.670000000000002</v>
      </c>
      <c r="CG629" s="12">
        <v>19.670000000000002</v>
      </c>
      <c r="CH629" s="12">
        <v>29.51</v>
      </c>
      <c r="CI629" s="12">
        <v>29.51</v>
      </c>
      <c r="CJ629" t="s">
        <v>135</v>
      </c>
      <c r="CK629" t="s">
        <v>9486</v>
      </c>
      <c r="CL629" t="s">
        <v>9487</v>
      </c>
      <c r="CO629" t="s">
        <v>132</v>
      </c>
      <c r="CP629" t="s">
        <v>136</v>
      </c>
      <c r="CQ629" t="s">
        <v>136</v>
      </c>
      <c r="CR629" t="s">
        <v>136</v>
      </c>
      <c r="CS629" t="s">
        <v>114</v>
      </c>
      <c r="CT629" t="s">
        <v>136</v>
      </c>
      <c r="CU629" t="s">
        <v>114</v>
      </c>
      <c r="CV629" t="s">
        <v>9488</v>
      </c>
      <c r="CW629" s="10" t="str">
        <f>"N/A"</f>
        <v>N/A</v>
      </c>
      <c r="CX629" t="s">
        <v>7702</v>
      </c>
      <c r="CY629" t="s">
        <v>9489</v>
      </c>
      <c r="CZ629" t="s">
        <v>137</v>
      </c>
      <c r="DA629" t="s">
        <v>114</v>
      </c>
      <c r="DB629" t="s">
        <v>136</v>
      </c>
      <c r="DC629" t="s">
        <v>136</v>
      </c>
      <c r="DD629" t="s">
        <v>114</v>
      </c>
    </row>
    <row r="630" spans="1:113" ht="15" customHeight="1" x14ac:dyDescent="0.25">
      <c r="A630" t="s">
        <v>21084</v>
      </c>
      <c r="B630" t="s">
        <v>152</v>
      </c>
      <c r="C630" s="1">
        <v>45233.017519560184</v>
      </c>
      <c r="D630" s="1">
        <v>45259</v>
      </c>
      <c r="E630" t="s">
        <v>132</v>
      </c>
      <c r="F630" t="s">
        <v>21085</v>
      </c>
      <c r="G630" t="str">
        <f>"37-3011.00"</f>
        <v>37-3011.00</v>
      </c>
      <c r="H630" t="s">
        <v>429</v>
      </c>
      <c r="I630">
        <v>12</v>
      </c>
      <c r="J630">
        <v>12</v>
      </c>
      <c r="K630" s="1">
        <v>45323</v>
      </c>
      <c r="L630" s="1">
        <v>45597</v>
      </c>
      <c r="M630" s="1">
        <v>45323</v>
      </c>
      <c r="N630" s="1">
        <v>45597</v>
      </c>
      <c r="O630" t="s">
        <v>116</v>
      </c>
      <c r="P630" t="s">
        <v>21086</v>
      </c>
      <c r="Q630" t="s">
        <v>21087</v>
      </c>
      <c r="R630" t="s">
        <v>21088</v>
      </c>
      <c r="T630" t="s">
        <v>12453</v>
      </c>
      <c r="U630" t="s">
        <v>333</v>
      </c>
      <c r="V630" s="8" t="str">
        <f>"70420"</f>
        <v>70420</v>
      </c>
      <c r="W630" t="s">
        <v>118</v>
      </c>
      <c r="Y630" s="10">
        <v>19857098428</v>
      </c>
      <c r="AA630">
        <v>71391</v>
      </c>
      <c r="AB630" t="s">
        <v>21089</v>
      </c>
      <c r="AC630" t="s">
        <v>335</v>
      </c>
      <c r="AE630" t="s">
        <v>1349</v>
      </c>
      <c r="AF630" t="s">
        <v>21088</v>
      </c>
      <c r="AH630" t="s">
        <v>12453</v>
      </c>
      <c r="AI630" t="s">
        <v>333</v>
      </c>
      <c r="AJ630" s="8" t="str">
        <f>"70420"</f>
        <v>70420</v>
      </c>
      <c r="AK630" t="s">
        <v>118</v>
      </c>
      <c r="AM630" s="10">
        <v>19857098428</v>
      </c>
      <c r="AO630" t="s">
        <v>21090</v>
      </c>
      <c r="AP630" t="s">
        <v>248</v>
      </c>
      <c r="AQ630" t="s">
        <v>3017</v>
      </c>
      <c r="AR630" t="s">
        <v>3018</v>
      </c>
      <c r="AS630" t="s">
        <v>631</v>
      </c>
      <c r="AT630" t="s">
        <v>3371</v>
      </c>
      <c r="AV630" t="s">
        <v>1168</v>
      </c>
      <c r="AW630" t="s">
        <v>127</v>
      </c>
      <c r="AX630" s="8" t="str">
        <f>"75098"</f>
        <v>75098</v>
      </c>
      <c r="AY630" t="s">
        <v>118</v>
      </c>
      <c r="BA630" s="10">
        <v>19724424244</v>
      </c>
      <c r="BC630" t="s">
        <v>3372</v>
      </c>
      <c r="BD630" t="s">
        <v>3021</v>
      </c>
      <c r="BG630" t="s">
        <v>333</v>
      </c>
      <c r="BH630" s="1">
        <v>45232.833333333336</v>
      </c>
      <c r="BI630">
        <v>40</v>
      </c>
      <c r="BJ630">
        <v>0</v>
      </c>
      <c r="BK630">
        <v>8</v>
      </c>
      <c r="BL630">
        <v>8</v>
      </c>
      <c r="BM630">
        <v>8</v>
      </c>
      <c r="BN630">
        <v>8</v>
      </c>
      <c r="BO630">
        <v>8</v>
      </c>
      <c r="BP630">
        <v>0</v>
      </c>
      <c r="BQ630" t="str">
        <f>"6:30 AM"</f>
        <v>6:30 AM</v>
      </c>
      <c r="BR630" t="str">
        <f>"2:30 PM"</f>
        <v>2:30 PM</v>
      </c>
      <c r="BS630" t="s">
        <v>131</v>
      </c>
      <c r="BT630">
        <v>0</v>
      </c>
      <c r="BU630">
        <v>0</v>
      </c>
      <c r="BV630" t="s">
        <v>114</v>
      </c>
      <c r="BX630" t="s">
        <v>131</v>
      </c>
      <c r="BY630" t="s">
        <v>21088</v>
      </c>
      <c r="CA630" t="s">
        <v>12453</v>
      </c>
      <c r="CB630" t="s">
        <v>333</v>
      </c>
      <c r="CC630" s="8" t="str">
        <f>"70420"</f>
        <v>70420</v>
      </c>
      <c r="CD630" t="s">
        <v>340</v>
      </c>
      <c r="CE630" t="s">
        <v>341</v>
      </c>
      <c r="CF630" s="12">
        <v>14.72</v>
      </c>
      <c r="CG630" s="12">
        <v>18</v>
      </c>
      <c r="CH630" s="12">
        <v>22.08</v>
      </c>
      <c r="CI630" s="12">
        <v>27</v>
      </c>
      <c r="CJ630" t="s">
        <v>135</v>
      </c>
      <c r="CK630" t="s">
        <v>132</v>
      </c>
      <c r="CL630" t="s">
        <v>21091</v>
      </c>
      <c r="CO630" t="s">
        <v>132</v>
      </c>
      <c r="CP630" t="s">
        <v>114</v>
      </c>
      <c r="CQ630" t="s">
        <v>114</v>
      </c>
      <c r="CR630" t="s">
        <v>136</v>
      </c>
      <c r="CS630" t="s">
        <v>136</v>
      </c>
      <c r="CT630" t="s">
        <v>136</v>
      </c>
      <c r="CU630" t="s">
        <v>136</v>
      </c>
      <c r="CV630" t="s">
        <v>21092</v>
      </c>
      <c r="CW630" s="10" t="str">
        <f>"+19857098428"</f>
        <v>+19857098428</v>
      </c>
      <c r="CX630" t="s">
        <v>132</v>
      </c>
      <c r="CY630" t="s">
        <v>4900</v>
      </c>
      <c r="CZ630" t="s">
        <v>137</v>
      </c>
      <c r="DA630" t="s">
        <v>114</v>
      </c>
      <c r="DB630" t="s">
        <v>114</v>
      </c>
      <c r="DC630" t="s">
        <v>136</v>
      </c>
      <c r="DD630" t="s">
        <v>114</v>
      </c>
    </row>
    <row r="631" spans="1:113" ht="15" customHeight="1" x14ac:dyDescent="0.25">
      <c r="A631" t="s">
        <v>23037</v>
      </c>
      <c r="B631" t="s">
        <v>152</v>
      </c>
      <c r="C631" s="1">
        <v>45233.008001736111</v>
      </c>
      <c r="D631" s="1">
        <v>45259</v>
      </c>
      <c r="E631" t="s">
        <v>132</v>
      </c>
      <c r="F631" t="s">
        <v>19793</v>
      </c>
      <c r="G631" t="str">
        <f>"37-3011.00"</f>
        <v>37-3011.00</v>
      </c>
      <c r="H631" t="s">
        <v>429</v>
      </c>
      <c r="I631">
        <v>10</v>
      </c>
      <c r="J631">
        <v>10</v>
      </c>
      <c r="K631" s="1">
        <v>45323</v>
      </c>
      <c r="L631" s="1">
        <v>45626</v>
      </c>
      <c r="M631" s="1">
        <v>45323</v>
      </c>
      <c r="N631" s="1">
        <v>45626</v>
      </c>
      <c r="O631" t="s">
        <v>238</v>
      </c>
      <c r="P631" t="s">
        <v>19794</v>
      </c>
      <c r="R631" t="s">
        <v>19795</v>
      </c>
      <c r="T631" t="s">
        <v>7961</v>
      </c>
      <c r="U631" t="s">
        <v>984</v>
      </c>
      <c r="V631" s="8" t="str">
        <f>"63146"</f>
        <v>63146</v>
      </c>
      <c r="W631" t="s">
        <v>118</v>
      </c>
      <c r="Y631" s="10">
        <v>13149975567</v>
      </c>
      <c r="AA631">
        <v>56173</v>
      </c>
      <c r="AB631" t="s">
        <v>19796</v>
      </c>
      <c r="AC631" t="s">
        <v>5106</v>
      </c>
      <c r="AE631" t="s">
        <v>438</v>
      </c>
      <c r="AF631" t="s">
        <v>19795</v>
      </c>
      <c r="AH631" t="s">
        <v>7961</v>
      </c>
      <c r="AI631" t="s">
        <v>984</v>
      </c>
      <c r="AJ631" s="8" t="str">
        <f>"63146"</f>
        <v>63146</v>
      </c>
      <c r="AK631" t="s">
        <v>118</v>
      </c>
      <c r="AM631" s="10">
        <v>13149975567</v>
      </c>
      <c r="AO631" t="s">
        <v>19797</v>
      </c>
      <c r="AP631" t="s">
        <v>248</v>
      </c>
      <c r="AQ631" t="s">
        <v>960</v>
      </c>
      <c r="AR631" t="s">
        <v>961</v>
      </c>
      <c r="AS631" t="s">
        <v>962</v>
      </c>
      <c r="AT631" t="s">
        <v>963</v>
      </c>
      <c r="AU631" t="s">
        <v>296</v>
      </c>
      <c r="AV631" t="s">
        <v>964</v>
      </c>
      <c r="AW631" t="s">
        <v>127</v>
      </c>
      <c r="AX631" s="8" t="str">
        <f>"75033"</f>
        <v>75033</v>
      </c>
      <c r="AY631" t="s">
        <v>118</v>
      </c>
      <c r="BA631" s="10">
        <v>19727789690</v>
      </c>
      <c r="BC631" t="s">
        <v>5860</v>
      </c>
      <c r="BD631" t="s">
        <v>966</v>
      </c>
      <c r="BG631" t="s">
        <v>984</v>
      </c>
      <c r="BH631" s="1">
        <v>45232.833333333336</v>
      </c>
      <c r="BI631">
        <v>48</v>
      </c>
      <c r="BJ631">
        <v>0</v>
      </c>
      <c r="BK631">
        <v>8</v>
      </c>
      <c r="BL631">
        <v>8</v>
      </c>
      <c r="BM631">
        <v>8</v>
      </c>
      <c r="BN631">
        <v>8</v>
      </c>
      <c r="BO631">
        <v>8</v>
      </c>
      <c r="BP631">
        <v>8</v>
      </c>
      <c r="BQ631" t="str">
        <f>"7:00 AM"</f>
        <v>7:00 AM</v>
      </c>
      <c r="BR631" t="str">
        <f>"3:30 PM"</f>
        <v>3:30 PM</v>
      </c>
      <c r="BS631" t="s">
        <v>131</v>
      </c>
      <c r="BT631">
        <v>0</v>
      </c>
      <c r="BU631">
        <v>0</v>
      </c>
      <c r="BV631" t="s">
        <v>114</v>
      </c>
      <c r="BX631" s="2" t="s">
        <v>23038</v>
      </c>
      <c r="BY631" t="s">
        <v>19798</v>
      </c>
      <c r="CA631" t="s">
        <v>2848</v>
      </c>
      <c r="CB631" t="s">
        <v>984</v>
      </c>
      <c r="CC631" s="8" t="str">
        <f>"63114"</f>
        <v>63114</v>
      </c>
      <c r="CD631" t="s">
        <v>2851</v>
      </c>
      <c r="CE631" t="s">
        <v>1856</v>
      </c>
      <c r="CF631" s="12">
        <v>17.579999999999998</v>
      </c>
      <c r="CG631" s="12">
        <v>17.579999999999998</v>
      </c>
      <c r="CH631" s="12">
        <v>26.37</v>
      </c>
      <c r="CI631" s="12">
        <v>26.37</v>
      </c>
      <c r="CJ631" t="s">
        <v>135</v>
      </c>
      <c r="CK631" t="s">
        <v>973</v>
      </c>
      <c r="CL631" t="s">
        <v>19799</v>
      </c>
      <c r="CO631" t="s">
        <v>132</v>
      </c>
      <c r="CP631" t="s">
        <v>136</v>
      </c>
      <c r="CQ631" t="s">
        <v>136</v>
      </c>
      <c r="CR631" t="s">
        <v>136</v>
      </c>
      <c r="CS631" t="s">
        <v>136</v>
      </c>
      <c r="CT631" t="s">
        <v>136</v>
      </c>
      <c r="CU631" t="s">
        <v>136</v>
      </c>
      <c r="CV631" s="2" t="s">
        <v>23039</v>
      </c>
      <c r="CW631" s="10" t="str">
        <f>"+13149975567"</f>
        <v>+13149975567</v>
      </c>
      <c r="CX631" t="s">
        <v>132</v>
      </c>
      <c r="CY631" t="s">
        <v>5346</v>
      </c>
      <c r="CZ631" t="s">
        <v>137</v>
      </c>
      <c r="DA631" t="s">
        <v>114</v>
      </c>
      <c r="DB631" t="s">
        <v>136</v>
      </c>
      <c r="DC631" t="s">
        <v>136</v>
      </c>
      <c r="DD631" t="s">
        <v>114</v>
      </c>
    </row>
    <row r="632" spans="1:113" ht="15" customHeight="1" x14ac:dyDescent="0.25">
      <c r="A632" t="s">
        <v>2957</v>
      </c>
      <c r="B632" t="s">
        <v>152</v>
      </c>
      <c r="C632" s="1">
        <v>45233.005158912034</v>
      </c>
      <c r="D632" s="1">
        <v>45259</v>
      </c>
      <c r="E632" t="s">
        <v>132</v>
      </c>
      <c r="F632" t="s">
        <v>2715</v>
      </c>
      <c r="G632" t="str">
        <f>"35-3023.00"</f>
        <v>35-3023.00</v>
      </c>
      <c r="H632" t="s">
        <v>1365</v>
      </c>
      <c r="I632">
        <v>30</v>
      </c>
      <c r="J632">
        <v>30</v>
      </c>
      <c r="K632" s="1">
        <v>45323</v>
      </c>
      <c r="L632" s="1">
        <v>45626</v>
      </c>
      <c r="M632" s="1">
        <v>45323</v>
      </c>
      <c r="N632" s="1">
        <v>45626</v>
      </c>
      <c r="O632" t="s">
        <v>238</v>
      </c>
      <c r="P632" t="s">
        <v>2958</v>
      </c>
      <c r="R632" t="s">
        <v>2959</v>
      </c>
      <c r="T632" t="s">
        <v>2960</v>
      </c>
      <c r="U632" t="s">
        <v>558</v>
      </c>
      <c r="V632" s="8" t="str">
        <f>"85040"</f>
        <v>85040</v>
      </c>
      <c r="W632" t="s">
        <v>118</v>
      </c>
      <c r="Y632" s="10">
        <v>14807483510</v>
      </c>
      <c r="AA632">
        <v>71399</v>
      </c>
      <c r="AB632" t="s">
        <v>2961</v>
      </c>
      <c r="AC632" t="s">
        <v>2604</v>
      </c>
      <c r="AE632" t="s">
        <v>561</v>
      </c>
      <c r="AF632" t="s">
        <v>2962</v>
      </c>
      <c r="AH632" t="s">
        <v>2960</v>
      </c>
      <c r="AI632" t="s">
        <v>558</v>
      </c>
      <c r="AJ632" s="8" t="str">
        <f>"85040"</f>
        <v>85040</v>
      </c>
      <c r="AK632" t="s">
        <v>118</v>
      </c>
      <c r="AM632" s="10">
        <v>14807483510</v>
      </c>
      <c r="AO632" t="s">
        <v>2963</v>
      </c>
      <c r="AP632" t="s">
        <v>248</v>
      </c>
      <c r="AQ632" t="s">
        <v>960</v>
      </c>
      <c r="AR632" t="s">
        <v>961</v>
      </c>
      <c r="AS632" t="s">
        <v>962</v>
      </c>
      <c r="AT632" t="s">
        <v>963</v>
      </c>
      <c r="AU632" t="s">
        <v>296</v>
      </c>
      <c r="AV632" t="s">
        <v>964</v>
      </c>
      <c r="AW632" t="s">
        <v>127</v>
      </c>
      <c r="AX632" s="8" t="str">
        <f>"75033"</f>
        <v>75033</v>
      </c>
      <c r="AY632" t="s">
        <v>118</v>
      </c>
      <c r="BA632" s="10">
        <v>19727789690</v>
      </c>
      <c r="BC632" t="s">
        <v>2964</v>
      </c>
      <c r="BD632" t="s">
        <v>966</v>
      </c>
      <c r="BG632" t="s">
        <v>558</v>
      </c>
      <c r="BH632" s="1">
        <v>45232.833333333336</v>
      </c>
      <c r="BI632">
        <v>40</v>
      </c>
      <c r="BJ632">
        <v>8</v>
      </c>
      <c r="BK632">
        <v>8</v>
      </c>
      <c r="BL632">
        <v>0</v>
      </c>
      <c r="BM632">
        <v>8</v>
      </c>
      <c r="BN632">
        <v>0</v>
      </c>
      <c r="BO632">
        <v>8</v>
      </c>
      <c r="BP632">
        <v>8</v>
      </c>
      <c r="BQ632" t="str">
        <f>"10:00 AM"</f>
        <v>10:00 AM</v>
      </c>
      <c r="BR632" t="str">
        <f>"7:00 PM"</f>
        <v>7:00 PM</v>
      </c>
      <c r="BS632" t="s">
        <v>131</v>
      </c>
      <c r="BT632">
        <v>0</v>
      </c>
      <c r="BU632">
        <v>0</v>
      </c>
      <c r="BV632" t="s">
        <v>114</v>
      </c>
      <c r="BX632" t="s">
        <v>2965</v>
      </c>
      <c r="BY632" t="s">
        <v>2966</v>
      </c>
      <c r="CA632" t="s">
        <v>2967</v>
      </c>
      <c r="CB632" t="s">
        <v>402</v>
      </c>
      <c r="CC632" s="8" t="str">
        <f>"91768"</f>
        <v>91768</v>
      </c>
      <c r="CD632" t="s">
        <v>2968</v>
      </c>
      <c r="CE632" t="s">
        <v>2969</v>
      </c>
      <c r="CF632" s="12">
        <v>11.85</v>
      </c>
      <c r="CG632" s="12">
        <v>16.649999999999999</v>
      </c>
      <c r="CH632" s="12">
        <v>17.78</v>
      </c>
      <c r="CI632" s="12">
        <v>32</v>
      </c>
      <c r="CJ632" t="s">
        <v>135</v>
      </c>
      <c r="CK632" t="s">
        <v>2970</v>
      </c>
      <c r="CL632" t="s">
        <v>2971</v>
      </c>
      <c r="CO632" t="s">
        <v>132</v>
      </c>
      <c r="CP632" t="s">
        <v>136</v>
      </c>
      <c r="CQ632" t="s">
        <v>136</v>
      </c>
      <c r="CR632" t="s">
        <v>136</v>
      </c>
      <c r="CS632" t="s">
        <v>136</v>
      </c>
      <c r="CT632" t="s">
        <v>136</v>
      </c>
      <c r="CU632" t="s">
        <v>136</v>
      </c>
      <c r="CV632" t="s">
        <v>2972</v>
      </c>
      <c r="CW632" s="10" t="str">
        <f>"+16027710630"</f>
        <v>+16027710630</v>
      </c>
      <c r="CX632" t="s">
        <v>132</v>
      </c>
      <c r="CY632" t="s">
        <v>1395</v>
      </c>
      <c r="CZ632" t="s">
        <v>137</v>
      </c>
      <c r="DA632" t="s">
        <v>114</v>
      </c>
      <c r="DB632" t="s">
        <v>136</v>
      </c>
      <c r="DC632" t="s">
        <v>136</v>
      </c>
      <c r="DD632" t="s">
        <v>114</v>
      </c>
    </row>
    <row r="633" spans="1:113" ht="15" customHeight="1" x14ac:dyDescent="0.25">
      <c r="A633" t="s">
        <v>21190</v>
      </c>
      <c r="B633" t="s">
        <v>152</v>
      </c>
      <c r="C633" s="1">
        <v>45233.004980092592</v>
      </c>
      <c r="D633" s="1">
        <v>45259</v>
      </c>
      <c r="E633" t="s">
        <v>132</v>
      </c>
      <c r="F633" t="s">
        <v>1381</v>
      </c>
      <c r="G633" t="str">
        <f>"39-3091.00"</f>
        <v>39-3091.00</v>
      </c>
      <c r="H633" t="s">
        <v>237</v>
      </c>
      <c r="I633">
        <v>10</v>
      </c>
      <c r="J633">
        <v>10</v>
      </c>
      <c r="K633" s="1">
        <v>45323</v>
      </c>
      <c r="L633" s="1">
        <v>45580</v>
      </c>
      <c r="M633" s="1">
        <v>45323</v>
      </c>
      <c r="N633" s="1">
        <v>45580</v>
      </c>
      <c r="O633" t="s">
        <v>238</v>
      </c>
      <c r="P633" t="s">
        <v>21191</v>
      </c>
      <c r="Q633" t="s">
        <v>21192</v>
      </c>
      <c r="R633" t="s">
        <v>21193</v>
      </c>
      <c r="S633" t="s">
        <v>21194</v>
      </c>
      <c r="T633" t="s">
        <v>18050</v>
      </c>
      <c r="U633" t="s">
        <v>127</v>
      </c>
      <c r="V633" s="8" t="str">
        <f>"75638"</f>
        <v>75638</v>
      </c>
      <c r="W633" t="s">
        <v>118</v>
      </c>
      <c r="Y633" s="10">
        <v>19034452499</v>
      </c>
      <c r="AA633">
        <v>7139</v>
      </c>
      <c r="AB633" t="s">
        <v>2718</v>
      </c>
      <c r="AC633" t="s">
        <v>487</v>
      </c>
      <c r="AE633" t="s">
        <v>561</v>
      </c>
      <c r="AF633" t="s">
        <v>21193</v>
      </c>
      <c r="AG633" t="s">
        <v>21194</v>
      </c>
      <c r="AH633" t="s">
        <v>18050</v>
      </c>
      <c r="AI633" t="s">
        <v>127</v>
      </c>
      <c r="AJ633" s="8" t="str">
        <f>"75638"</f>
        <v>75638</v>
      </c>
      <c r="AK633" t="s">
        <v>118</v>
      </c>
      <c r="AM633" s="10">
        <v>19034452499</v>
      </c>
      <c r="AO633" t="s">
        <v>21195</v>
      </c>
      <c r="AP633" t="s">
        <v>248</v>
      </c>
      <c r="AQ633" t="s">
        <v>960</v>
      </c>
      <c r="AR633" t="s">
        <v>961</v>
      </c>
      <c r="AS633" t="s">
        <v>962</v>
      </c>
      <c r="AT633" t="s">
        <v>963</v>
      </c>
      <c r="AU633" t="s">
        <v>296</v>
      </c>
      <c r="AV633" t="s">
        <v>964</v>
      </c>
      <c r="AW633" t="s">
        <v>127</v>
      </c>
      <c r="AX633" s="8" t="str">
        <f>"75033"</f>
        <v>75033</v>
      </c>
      <c r="AY633" t="s">
        <v>118</v>
      </c>
      <c r="BA633" s="10">
        <v>19727789690</v>
      </c>
      <c r="BC633" t="s">
        <v>1388</v>
      </c>
      <c r="BD633" t="s">
        <v>966</v>
      </c>
      <c r="BG633" t="s">
        <v>127</v>
      </c>
      <c r="BH633" s="1">
        <v>45232.833333333336</v>
      </c>
      <c r="BI633">
        <v>40</v>
      </c>
      <c r="BJ633">
        <v>8</v>
      </c>
      <c r="BK633">
        <v>8</v>
      </c>
      <c r="BL633">
        <v>0</v>
      </c>
      <c r="BM633">
        <v>8</v>
      </c>
      <c r="BN633">
        <v>0</v>
      </c>
      <c r="BO633">
        <v>8</v>
      </c>
      <c r="BP633">
        <v>8</v>
      </c>
      <c r="BQ633" t="str">
        <f>"10:00 AM"</f>
        <v>10:00 AM</v>
      </c>
      <c r="BR633" t="str">
        <f>"7:00 PM"</f>
        <v>7:00 PM</v>
      </c>
      <c r="BS633" t="s">
        <v>131</v>
      </c>
      <c r="BT633">
        <v>0</v>
      </c>
      <c r="BU633">
        <v>0</v>
      </c>
      <c r="BV633" t="s">
        <v>114</v>
      </c>
      <c r="BX633" t="s">
        <v>21196</v>
      </c>
      <c r="BY633" t="s">
        <v>21193</v>
      </c>
      <c r="CA633" t="s">
        <v>18050</v>
      </c>
      <c r="CB633" t="s">
        <v>127</v>
      </c>
      <c r="CC633" s="8" t="str">
        <f>"75638"</f>
        <v>75638</v>
      </c>
      <c r="CD633" t="s">
        <v>2776</v>
      </c>
      <c r="CE633" t="s">
        <v>2876</v>
      </c>
      <c r="CF633" s="12">
        <v>11</v>
      </c>
      <c r="CG633" s="12">
        <v>15.12</v>
      </c>
      <c r="CH633" s="12">
        <v>17.28</v>
      </c>
      <c r="CI633" s="12">
        <v>17.28</v>
      </c>
      <c r="CJ633" t="s">
        <v>135</v>
      </c>
      <c r="CK633" t="s">
        <v>3772</v>
      </c>
      <c r="CL633" t="s">
        <v>21197</v>
      </c>
      <c r="CM633" t="s">
        <v>21198</v>
      </c>
      <c r="CO633" t="s">
        <v>132</v>
      </c>
      <c r="CP633" t="s">
        <v>136</v>
      </c>
      <c r="CQ633" t="s">
        <v>136</v>
      </c>
      <c r="CR633" t="s">
        <v>136</v>
      </c>
      <c r="CS633" t="s">
        <v>136</v>
      </c>
      <c r="CT633" t="s">
        <v>136</v>
      </c>
      <c r="CU633" t="s">
        <v>136</v>
      </c>
      <c r="CV633" t="s">
        <v>2972</v>
      </c>
      <c r="CW633" s="10" t="str">
        <f>"+19034452499"</f>
        <v>+19034452499</v>
      </c>
      <c r="CX633" t="s">
        <v>132</v>
      </c>
      <c r="CY633" t="s">
        <v>1853</v>
      </c>
      <c r="CZ633" t="s">
        <v>137</v>
      </c>
      <c r="DA633" t="s">
        <v>114</v>
      </c>
      <c r="DB633" t="s">
        <v>136</v>
      </c>
      <c r="DC633" t="s">
        <v>136</v>
      </c>
      <c r="DD633" t="s">
        <v>114</v>
      </c>
    </row>
    <row r="634" spans="1:113" ht="15" customHeight="1" x14ac:dyDescent="0.25">
      <c r="A634" t="s">
        <v>13953</v>
      </c>
      <c r="B634" t="s">
        <v>152</v>
      </c>
      <c r="C634" s="1">
        <v>45233.004716550924</v>
      </c>
      <c r="D634" s="1">
        <v>45259</v>
      </c>
      <c r="E634" t="s">
        <v>132</v>
      </c>
      <c r="F634" t="s">
        <v>13954</v>
      </c>
      <c r="G634" t="str">
        <f>"37-3011.00"</f>
        <v>37-3011.00</v>
      </c>
      <c r="H634" t="s">
        <v>429</v>
      </c>
      <c r="I634">
        <v>57</v>
      </c>
      <c r="J634">
        <v>57</v>
      </c>
      <c r="K634" s="1">
        <v>45323</v>
      </c>
      <c r="L634" s="1">
        <v>45626</v>
      </c>
      <c r="M634" s="1">
        <v>45323</v>
      </c>
      <c r="N634" s="1">
        <v>45626</v>
      </c>
      <c r="O634" t="s">
        <v>116</v>
      </c>
      <c r="P634" t="s">
        <v>4924</v>
      </c>
      <c r="R634" t="s">
        <v>4925</v>
      </c>
      <c r="T634" t="s">
        <v>4926</v>
      </c>
      <c r="U634" t="s">
        <v>1722</v>
      </c>
      <c r="V634" s="8" t="str">
        <f>"20882"</f>
        <v>20882</v>
      </c>
      <c r="W634" t="s">
        <v>118</v>
      </c>
      <c r="Y634" s="10">
        <v>13014820300</v>
      </c>
      <c r="AA634">
        <v>56173</v>
      </c>
      <c r="AB634" t="s">
        <v>4927</v>
      </c>
      <c r="AC634" t="s">
        <v>4928</v>
      </c>
      <c r="AE634" t="s">
        <v>1104</v>
      </c>
      <c r="AF634" t="s">
        <v>4925</v>
      </c>
      <c r="AH634" t="s">
        <v>4926</v>
      </c>
      <c r="AI634" t="s">
        <v>1722</v>
      </c>
      <c r="AJ634" s="8" t="str">
        <f>"20882"</f>
        <v>20882</v>
      </c>
      <c r="AK634" t="s">
        <v>118</v>
      </c>
      <c r="AM634" s="10">
        <v>13014820300</v>
      </c>
      <c r="AO634" t="s">
        <v>4929</v>
      </c>
      <c r="AP634" t="s">
        <v>248</v>
      </c>
      <c r="AQ634" t="s">
        <v>2152</v>
      </c>
      <c r="AR634" t="s">
        <v>2153</v>
      </c>
      <c r="AS634" t="s">
        <v>1798</v>
      </c>
      <c r="AT634" t="s">
        <v>1253</v>
      </c>
      <c r="AU634" t="s">
        <v>852</v>
      </c>
      <c r="AV634" t="s">
        <v>853</v>
      </c>
      <c r="AW634" t="s">
        <v>854</v>
      </c>
      <c r="AX634" s="8" t="str">
        <f>"83814"</f>
        <v>83814</v>
      </c>
      <c r="AY634" t="s">
        <v>118</v>
      </c>
      <c r="BA634" s="10">
        <v>12087772654</v>
      </c>
      <c r="BC634" t="s">
        <v>2154</v>
      </c>
      <c r="BD634" t="s">
        <v>856</v>
      </c>
      <c r="BG634" t="s">
        <v>581</v>
      </c>
      <c r="BH634" s="1">
        <v>45229.833333333336</v>
      </c>
      <c r="BI634">
        <v>40</v>
      </c>
      <c r="BJ634">
        <v>0</v>
      </c>
      <c r="BK634">
        <v>8</v>
      </c>
      <c r="BL634">
        <v>8</v>
      </c>
      <c r="BM634">
        <v>8</v>
      </c>
      <c r="BN634">
        <v>8</v>
      </c>
      <c r="BO634">
        <v>8</v>
      </c>
      <c r="BP634">
        <v>0</v>
      </c>
      <c r="BQ634" t="str">
        <f>"6:30 AM"</f>
        <v>6:30 AM</v>
      </c>
      <c r="BR634" t="str">
        <f>"3:30 PM"</f>
        <v>3:30 PM</v>
      </c>
      <c r="BS634" t="s">
        <v>131</v>
      </c>
      <c r="BT634">
        <v>0</v>
      </c>
      <c r="BU634">
        <v>0</v>
      </c>
      <c r="BV634" t="s">
        <v>114</v>
      </c>
      <c r="BX634" t="s">
        <v>3304</v>
      </c>
      <c r="BY634" t="s">
        <v>13955</v>
      </c>
      <c r="CA634" t="s">
        <v>3438</v>
      </c>
      <c r="CB634" t="s">
        <v>581</v>
      </c>
      <c r="CC634" s="8" t="str">
        <f>"20155"</f>
        <v>20155</v>
      </c>
      <c r="CD634" t="s">
        <v>9453</v>
      </c>
      <c r="CE634" t="s">
        <v>1794</v>
      </c>
      <c r="CF634" s="12">
        <v>19.670000000000002</v>
      </c>
      <c r="CG634" s="12">
        <v>21.5</v>
      </c>
      <c r="CH634" s="12">
        <v>29.51</v>
      </c>
      <c r="CI634" s="12">
        <v>32.25</v>
      </c>
      <c r="CJ634" t="s">
        <v>135</v>
      </c>
      <c r="CK634" t="s">
        <v>1899</v>
      </c>
      <c r="CL634" t="s">
        <v>13956</v>
      </c>
      <c r="CO634" t="s">
        <v>132</v>
      </c>
      <c r="CP634" t="s">
        <v>136</v>
      </c>
      <c r="CQ634" t="s">
        <v>136</v>
      </c>
      <c r="CR634" t="s">
        <v>136</v>
      </c>
      <c r="CS634" t="s">
        <v>136</v>
      </c>
      <c r="CT634" t="s">
        <v>136</v>
      </c>
      <c r="CU634" t="s">
        <v>136</v>
      </c>
      <c r="CV634" s="2" t="s">
        <v>12573</v>
      </c>
      <c r="CW634" s="10" t="str">
        <f>"+15712484460"</f>
        <v>+15712484460</v>
      </c>
      <c r="CX634" t="s">
        <v>13957</v>
      </c>
      <c r="CY634" t="s">
        <v>132</v>
      </c>
      <c r="CZ634" t="s">
        <v>137</v>
      </c>
      <c r="DA634" t="s">
        <v>114</v>
      </c>
      <c r="DB634" t="s">
        <v>136</v>
      </c>
      <c r="DC634" t="s">
        <v>136</v>
      </c>
      <c r="DD634" t="s">
        <v>114</v>
      </c>
    </row>
    <row r="635" spans="1:113" ht="15" customHeight="1" x14ac:dyDescent="0.25">
      <c r="A635" t="s">
        <v>12570</v>
      </c>
      <c r="B635" t="s">
        <v>152</v>
      </c>
      <c r="C635" s="1">
        <v>45233.003101736111</v>
      </c>
      <c r="D635" s="1">
        <v>45259</v>
      </c>
      <c r="E635" t="s">
        <v>132</v>
      </c>
      <c r="F635" t="s">
        <v>4923</v>
      </c>
      <c r="G635" t="str">
        <f>"37-3011.00"</f>
        <v>37-3011.00</v>
      </c>
      <c r="H635" t="s">
        <v>429</v>
      </c>
      <c r="I635">
        <v>46</v>
      </c>
      <c r="J635">
        <v>46</v>
      </c>
      <c r="K635" s="1">
        <v>45323</v>
      </c>
      <c r="L635" s="1">
        <v>45626</v>
      </c>
      <c r="M635" s="1">
        <v>45323</v>
      </c>
      <c r="N635" s="1">
        <v>45626</v>
      </c>
      <c r="O635" t="s">
        <v>116</v>
      </c>
      <c r="P635" t="s">
        <v>4924</v>
      </c>
      <c r="R635" t="s">
        <v>4925</v>
      </c>
      <c r="T635" t="s">
        <v>4926</v>
      </c>
      <c r="U635" t="s">
        <v>1722</v>
      </c>
      <c r="V635" s="8" t="str">
        <f>"20882"</f>
        <v>20882</v>
      </c>
      <c r="W635" t="s">
        <v>118</v>
      </c>
      <c r="Y635" s="10">
        <v>13014820300</v>
      </c>
      <c r="AA635">
        <v>56173</v>
      </c>
      <c r="AB635" t="s">
        <v>4927</v>
      </c>
      <c r="AC635" t="s">
        <v>4928</v>
      </c>
      <c r="AE635" t="s">
        <v>1104</v>
      </c>
      <c r="AF635" t="s">
        <v>4925</v>
      </c>
      <c r="AH635" t="s">
        <v>4926</v>
      </c>
      <c r="AI635" t="s">
        <v>1722</v>
      </c>
      <c r="AJ635" s="8" t="str">
        <f>"20882"</f>
        <v>20882</v>
      </c>
      <c r="AK635" t="s">
        <v>118</v>
      </c>
      <c r="AM635" s="10">
        <v>13014820300</v>
      </c>
      <c r="AO635" t="s">
        <v>4929</v>
      </c>
      <c r="AP635" t="s">
        <v>248</v>
      </c>
      <c r="AQ635" t="s">
        <v>2152</v>
      </c>
      <c r="AR635" t="s">
        <v>2153</v>
      </c>
      <c r="AS635" t="s">
        <v>1798</v>
      </c>
      <c r="AT635" t="s">
        <v>1253</v>
      </c>
      <c r="AU635" t="s">
        <v>852</v>
      </c>
      <c r="AV635" t="s">
        <v>853</v>
      </c>
      <c r="AW635" t="s">
        <v>854</v>
      </c>
      <c r="AX635" s="8" t="str">
        <f>"83814"</f>
        <v>83814</v>
      </c>
      <c r="AY635" t="s">
        <v>118</v>
      </c>
      <c r="BA635" s="10">
        <v>12087772654</v>
      </c>
      <c r="BC635" t="s">
        <v>2154</v>
      </c>
      <c r="BD635" t="s">
        <v>856</v>
      </c>
      <c r="BG635" t="s">
        <v>581</v>
      </c>
      <c r="BH635" s="1">
        <v>45229.833333333336</v>
      </c>
      <c r="BI635">
        <v>40</v>
      </c>
      <c r="BJ635">
        <v>0</v>
      </c>
      <c r="BK635">
        <v>8</v>
      </c>
      <c r="BL635">
        <v>8</v>
      </c>
      <c r="BM635">
        <v>8</v>
      </c>
      <c r="BN635">
        <v>8</v>
      </c>
      <c r="BO635">
        <v>8</v>
      </c>
      <c r="BP635">
        <v>0</v>
      </c>
      <c r="BQ635" t="str">
        <f>"6:30 AM"</f>
        <v>6:30 AM</v>
      </c>
      <c r="BR635" t="str">
        <f>"3:30 PM"</f>
        <v>3:30 PM</v>
      </c>
      <c r="BS635" t="s">
        <v>131</v>
      </c>
      <c r="BT635">
        <v>0</v>
      </c>
      <c r="BU635">
        <v>0</v>
      </c>
      <c r="BV635" t="s">
        <v>114</v>
      </c>
      <c r="BX635" t="s">
        <v>3304</v>
      </c>
      <c r="BY635" t="s">
        <v>12571</v>
      </c>
      <c r="CA635" t="s">
        <v>4731</v>
      </c>
      <c r="CB635" t="s">
        <v>581</v>
      </c>
      <c r="CC635" s="8" t="str">
        <f>"22079"</f>
        <v>22079</v>
      </c>
      <c r="CD635" t="s">
        <v>2457</v>
      </c>
      <c r="CE635" t="s">
        <v>1794</v>
      </c>
      <c r="CF635" s="12">
        <v>19.670000000000002</v>
      </c>
      <c r="CG635" s="12">
        <v>21</v>
      </c>
      <c r="CH635" s="12">
        <v>29.51</v>
      </c>
      <c r="CI635" s="12">
        <v>31.5</v>
      </c>
      <c r="CJ635" t="s">
        <v>135</v>
      </c>
      <c r="CK635" t="s">
        <v>1899</v>
      </c>
      <c r="CL635" t="s">
        <v>12572</v>
      </c>
      <c r="CO635" t="s">
        <v>132</v>
      </c>
      <c r="CP635" t="s">
        <v>136</v>
      </c>
      <c r="CQ635" t="s">
        <v>136</v>
      </c>
      <c r="CR635" t="s">
        <v>136</v>
      </c>
      <c r="CS635" t="s">
        <v>136</v>
      </c>
      <c r="CT635" t="s">
        <v>136</v>
      </c>
      <c r="CU635" t="s">
        <v>136</v>
      </c>
      <c r="CV635" s="2" t="s">
        <v>12573</v>
      </c>
      <c r="CW635" s="10" t="str">
        <f>"+17033725795"</f>
        <v>+17033725795</v>
      </c>
      <c r="CX635" t="s">
        <v>12574</v>
      </c>
      <c r="CY635" t="s">
        <v>132</v>
      </c>
      <c r="CZ635" t="s">
        <v>137</v>
      </c>
      <c r="DA635" t="s">
        <v>114</v>
      </c>
      <c r="DB635" t="s">
        <v>136</v>
      </c>
      <c r="DC635" t="s">
        <v>136</v>
      </c>
      <c r="DD635" t="s">
        <v>114</v>
      </c>
    </row>
    <row r="636" spans="1:113" ht="15" customHeight="1" x14ac:dyDescent="0.25">
      <c r="A636" t="s">
        <v>22218</v>
      </c>
      <c r="B636" t="s">
        <v>152</v>
      </c>
      <c r="C636" s="1">
        <v>45233.003031597225</v>
      </c>
      <c r="D636" s="1">
        <v>45259</v>
      </c>
      <c r="E636" t="s">
        <v>132</v>
      </c>
      <c r="F636" t="s">
        <v>4923</v>
      </c>
      <c r="G636" t="str">
        <f>"37-3011.00"</f>
        <v>37-3011.00</v>
      </c>
      <c r="H636" t="s">
        <v>429</v>
      </c>
      <c r="I636">
        <v>31</v>
      </c>
      <c r="J636">
        <v>31</v>
      </c>
      <c r="K636" s="1">
        <v>45323</v>
      </c>
      <c r="L636" s="1">
        <v>45626</v>
      </c>
      <c r="M636" s="1">
        <v>45323</v>
      </c>
      <c r="N636" s="1">
        <v>45626</v>
      </c>
      <c r="O636" t="s">
        <v>116</v>
      </c>
      <c r="P636" t="s">
        <v>4924</v>
      </c>
      <c r="R636" t="s">
        <v>4925</v>
      </c>
      <c r="T636" t="s">
        <v>4926</v>
      </c>
      <c r="U636" t="s">
        <v>1722</v>
      </c>
      <c r="V636" s="8" t="str">
        <f>"20882"</f>
        <v>20882</v>
      </c>
      <c r="W636" t="s">
        <v>118</v>
      </c>
      <c r="Y636" s="10">
        <v>13014820300</v>
      </c>
      <c r="AA636">
        <v>56173</v>
      </c>
      <c r="AB636" t="s">
        <v>4927</v>
      </c>
      <c r="AC636" t="s">
        <v>4928</v>
      </c>
      <c r="AE636" t="s">
        <v>22219</v>
      </c>
      <c r="AF636" t="s">
        <v>4925</v>
      </c>
      <c r="AH636" t="s">
        <v>4926</v>
      </c>
      <c r="AI636" t="s">
        <v>1722</v>
      </c>
      <c r="AJ636" s="8" t="str">
        <f>"20882"</f>
        <v>20882</v>
      </c>
      <c r="AK636" t="s">
        <v>118</v>
      </c>
      <c r="AM636" s="10">
        <v>13014820300</v>
      </c>
      <c r="AO636" t="s">
        <v>4929</v>
      </c>
      <c r="AP636" t="s">
        <v>248</v>
      </c>
      <c r="AQ636" t="s">
        <v>2152</v>
      </c>
      <c r="AR636" t="s">
        <v>2153</v>
      </c>
      <c r="AS636" t="s">
        <v>1798</v>
      </c>
      <c r="AT636" t="s">
        <v>1253</v>
      </c>
      <c r="AU636" t="s">
        <v>852</v>
      </c>
      <c r="AV636" t="s">
        <v>853</v>
      </c>
      <c r="AW636" t="s">
        <v>854</v>
      </c>
      <c r="AX636" s="8" t="str">
        <f>"83814"</f>
        <v>83814</v>
      </c>
      <c r="AY636" t="s">
        <v>118</v>
      </c>
      <c r="BA636" s="10">
        <v>12087772654</v>
      </c>
      <c r="BC636" t="s">
        <v>2154</v>
      </c>
      <c r="BD636" t="s">
        <v>856</v>
      </c>
      <c r="BG636" t="s">
        <v>581</v>
      </c>
      <c r="BH636" s="1">
        <v>45229.833333333336</v>
      </c>
      <c r="BI636">
        <v>40</v>
      </c>
      <c r="BJ636">
        <v>0</v>
      </c>
      <c r="BK636">
        <v>8</v>
      </c>
      <c r="BL636">
        <v>8</v>
      </c>
      <c r="BM636">
        <v>8</v>
      </c>
      <c r="BN636">
        <v>8</v>
      </c>
      <c r="BO636">
        <v>8</v>
      </c>
      <c r="BP636">
        <v>0</v>
      </c>
      <c r="BQ636" t="str">
        <f>"6:30 AM"</f>
        <v>6:30 AM</v>
      </c>
      <c r="BR636" t="str">
        <f>"3:30 PM"</f>
        <v>3:30 PM</v>
      </c>
      <c r="BS636" t="s">
        <v>131</v>
      </c>
      <c r="BT636">
        <v>0</v>
      </c>
      <c r="BU636">
        <v>0</v>
      </c>
      <c r="BV636" t="s">
        <v>114</v>
      </c>
      <c r="BX636" t="s">
        <v>3304</v>
      </c>
      <c r="BY636" t="s">
        <v>22220</v>
      </c>
      <c r="CA636" t="s">
        <v>21279</v>
      </c>
      <c r="CB636" t="s">
        <v>581</v>
      </c>
      <c r="CC636" s="8" t="str">
        <f>"23228"</f>
        <v>23228</v>
      </c>
      <c r="CD636" t="s">
        <v>7704</v>
      </c>
      <c r="CE636" t="s">
        <v>1850</v>
      </c>
      <c r="CF636" s="12">
        <v>16.43</v>
      </c>
      <c r="CG636" s="12">
        <v>19</v>
      </c>
      <c r="CH636" s="12">
        <v>24.65</v>
      </c>
      <c r="CI636" s="12">
        <v>28.5</v>
      </c>
      <c r="CJ636" t="s">
        <v>135</v>
      </c>
      <c r="CK636" t="s">
        <v>1899</v>
      </c>
      <c r="CL636" t="s">
        <v>22221</v>
      </c>
      <c r="CO636" t="s">
        <v>132</v>
      </c>
      <c r="CP636" t="s">
        <v>136</v>
      </c>
      <c r="CQ636" t="s">
        <v>136</v>
      </c>
      <c r="CR636" t="s">
        <v>136</v>
      </c>
      <c r="CS636" t="s">
        <v>136</v>
      </c>
      <c r="CT636" t="s">
        <v>136</v>
      </c>
      <c r="CU636" t="s">
        <v>136</v>
      </c>
      <c r="CV636" s="2" t="s">
        <v>22222</v>
      </c>
      <c r="CW636" s="10" t="str">
        <f>"+18047162540"</f>
        <v>+18047162540</v>
      </c>
      <c r="CX636" t="s">
        <v>22223</v>
      </c>
      <c r="CY636" t="s">
        <v>132</v>
      </c>
      <c r="CZ636" t="s">
        <v>137</v>
      </c>
      <c r="DA636" t="s">
        <v>114</v>
      </c>
      <c r="DB636" t="s">
        <v>136</v>
      </c>
      <c r="DC636" t="s">
        <v>136</v>
      </c>
      <c r="DD636" t="s">
        <v>114</v>
      </c>
    </row>
    <row r="637" spans="1:113" ht="15" customHeight="1" x14ac:dyDescent="0.25">
      <c r="A637" t="s">
        <v>9221</v>
      </c>
      <c r="B637" t="s">
        <v>152</v>
      </c>
      <c r="C637" s="1">
        <v>45233.002878819447</v>
      </c>
      <c r="D637" s="1">
        <v>45259</v>
      </c>
      <c r="E637" t="s">
        <v>132</v>
      </c>
      <c r="F637" t="s">
        <v>2081</v>
      </c>
      <c r="G637" t="str">
        <f>"37-3011.00"</f>
        <v>37-3011.00</v>
      </c>
      <c r="H637" t="s">
        <v>429</v>
      </c>
      <c r="I637">
        <v>12</v>
      </c>
      <c r="J637">
        <v>12</v>
      </c>
      <c r="K637" s="1">
        <v>45323</v>
      </c>
      <c r="L637" s="1">
        <v>45626</v>
      </c>
      <c r="M637" s="1">
        <v>45323</v>
      </c>
      <c r="N637" s="1">
        <v>45626</v>
      </c>
      <c r="O637" t="s">
        <v>116</v>
      </c>
      <c r="P637" t="s">
        <v>4924</v>
      </c>
      <c r="R637" t="s">
        <v>4925</v>
      </c>
      <c r="T637" t="s">
        <v>4926</v>
      </c>
      <c r="U637" t="s">
        <v>1722</v>
      </c>
      <c r="V637" s="8" t="str">
        <f>"20882"</f>
        <v>20882</v>
      </c>
      <c r="W637" t="s">
        <v>118</v>
      </c>
      <c r="Y637" s="10">
        <v>13014820300</v>
      </c>
      <c r="AA637">
        <v>56173</v>
      </c>
      <c r="AB637" t="s">
        <v>4927</v>
      </c>
      <c r="AC637" t="s">
        <v>4928</v>
      </c>
      <c r="AE637" t="s">
        <v>1104</v>
      </c>
      <c r="AF637" t="s">
        <v>4925</v>
      </c>
      <c r="AH637" t="s">
        <v>4926</v>
      </c>
      <c r="AI637" t="s">
        <v>1722</v>
      </c>
      <c r="AJ637" s="8" t="str">
        <f>"20882"</f>
        <v>20882</v>
      </c>
      <c r="AK637" t="s">
        <v>118</v>
      </c>
      <c r="AM637" s="10">
        <v>13014820300</v>
      </c>
      <c r="AO637" t="s">
        <v>4929</v>
      </c>
      <c r="AP637" t="s">
        <v>248</v>
      </c>
      <c r="AQ637" t="s">
        <v>2152</v>
      </c>
      <c r="AR637" t="s">
        <v>2153</v>
      </c>
      <c r="AS637" t="s">
        <v>1798</v>
      </c>
      <c r="AT637" t="s">
        <v>1253</v>
      </c>
      <c r="AU637" t="s">
        <v>852</v>
      </c>
      <c r="AV637" t="s">
        <v>853</v>
      </c>
      <c r="AW637" t="s">
        <v>854</v>
      </c>
      <c r="AX637" s="8" t="str">
        <f>"83814"</f>
        <v>83814</v>
      </c>
      <c r="AY637" t="s">
        <v>118</v>
      </c>
      <c r="BA637" s="10">
        <v>12087772654</v>
      </c>
      <c r="BC637" t="s">
        <v>2154</v>
      </c>
      <c r="BD637" t="s">
        <v>856</v>
      </c>
      <c r="BG637" t="s">
        <v>386</v>
      </c>
      <c r="BH637" s="1">
        <v>45230.833333333336</v>
      </c>
      <c r="BI637">
        <v>40</v>
      </c>
      <c r="BJ637">
        <v>0</v>
      </c>
      <c r="BK637">
        <v>8</v>
      </c>
      <c r="BL637">
        <v>8</v>
      </c>
      <c r="BM637">
        <v>8</v>
      </c>
      <c r="BN637">
        <v>8</v>
      </c>
      <c r="BO637">
        <v>8</v>
      </c>
      <c r="BP637">
        <v>0</v>
      </c>
      <c r="BQ637" t="str">
        <f>"6:30 AM"</f>
        <v>6:30 AM</v>
      </c>
      <c r="BR637" t="str">
        <f>"3:30 PM"</f>
        <v>3:30 PM</v>
      </c>
      <c r="BS637" t="s">
        <v>131</v>
      </c>
      <c r="BT637">
        <v>0</v>
      </c>
      <c r="BU637">
        <v>0</v>
      </c>
      <c r="BV637" t="s">
        <v>114</v>
      </c>
      <c r="BX637" t="s">
        <v>3304</v>
      </c>
      <c r="BY637" t="s">
        <v>9222</v>
      </c>
      <c r="CA637" t="s">
        <v>9223</v>
      </c>
      <c r="CB637" t="s">
        <v>386</v>
      </c>
      <c r="CC637" s="8" t="str">
        <f>"37189"</f>
        <v>37189</v>
      </c>
      <c r="CD637" t="s">
        <v>4507</v>
      </c>
      <c r="CE637" t="s">
        <v>3752</v>
      </c>
      <c r="CF637" s="12">
        <v>17.05</v>
      </c>
      <c r="CG637" s="12">
        <v>21</v>
      </c>
      <c r="CH637" s="12">
        <v>25.58</v>
      </c>
      <c r="CI637" s="12">
        <v>31.5</v>
      </c>
      <c r="CJ637" t="s">
        <v>135</v>
      </c>
      <c r="CK637" t="s">
        <v>1899</v>
      </c>
      <c r="CL637" t="s">
        <v>9224</v>
      </c>
      <c r="CO637" t="s">
        <v>132</v>
      </c>
      <c r="CP637" t="s">
        <v>136</v>
      </c>
      <c r="CQ637" t="s">
        <v>136</v>
      </c>
      <c r="CR637" t="s">
        <v>136</v>
      </c>
      <c r="CS637" t="s">
        <v>136</v>
      </c>
      <c r="CT637" t="s">
        <v>136</v>
      </c>
      <c r="CU637" t="s">
        <v>136</v>
      </c>
      <c r="CV637" s="2" t="s">
        <v>9225</v>
      </c>
      <c r="CW637" s="10" t="str">
        <f>"+16159270790"</f>
        <v>+16159270790</v>
      </c>
      <c r="CX637" t="s">
        <v>9226</v>
      </c>
      <c r="CY637" t="s">
        <v>132</v>
      </c>
      <c r="CZ637" t="s">
        <v>137</v>
      </c>
      <c r="DA637" t="s">
        <v>114</v>
      </c>
      <c r="DB637" t="s">
        <v>136</v>
      </c>
      <c r="DC637" t="s">
        <v>136</v>
      </c>
      <c r="DD637" t="s">
        <v>114</v>
      </c>
    </row>
    <row r="638" spans="1:113" ht="15" customHeight="1" x14ac:dyDescent="0.25">
      <c r="A638" t="s">
        <v>11264</v>
      </c>
      <c r="B638" t="s">
        <v>152</v>
      </c>
      <c r="C638" s="1">
        <v>45233.002795486114</v>
      </c>
      <c r="D638" s="1">
        <v>45259</v>
      </c>
      <c r="E638" t="s">
        <v>132</v>
      </c>
      <c r="F638" t="s">
        <v>4923</v>
      </c>
      <c r="G638" t="str">
        <f>"37-3011.00"</f>
        <v>37-3011.00</v>
      </c>
      <c r="H638" t="s">
        <v>429</v>
      </c>
      <c r="I638">
        <v>10</v>
      </c>
      <c r="J638">
        <v>10</v>
      </c>
      <c r="K638" s="1">
        <v>45323</v>
      </c>
      <c r="L638" s="1">
        <v>45626</v>
      </c>
      <c r="M638" s="1">
        <v>45323</v>
      </c>
      <c r="N638" s="1">
        <v>45626</v>
      </c>
      <c r="O638" t="s">
        <v>116</v>
      </c>
      <c r="P638" t="s">
        <v>4924</v>
      </c>
      <c r="R638" t="s">
        <v>4925</v>
      </c>
      <c r="T638" t="s">
        <v>4926</v>
      </c>
      <c r="U638" t="s">
        <v>1722</v>
      </c>
      <c r="V638" s="8" t="str">
        <f>"20882"</f>
        <v>20882</v>
      </c>
      <c r="W638" t="s">
        <v>118</v>
      </c>
      <c r="Y638" s="10">
        <v>13014820300</v>
      </c>
      <c r="AA638">
        <v>56173</v>
      </c>
      <c r="AB638" t="s">
        <v>4927</v>
      </c>
      <c r="AC638" t="s">
        <v>4928</v>
      </c>
      <c r="AE638" t="s">
        <v>1104</v>
      </c>
      <c r="AF638" t="s">
        <v>4925</v>
      </c>
      <c r="AH638" t="s">
        <v>4926</v>
      </c>
      <c r="AI638" t="s">
        <v>1722</v>
      </c>
      <c r="AJ638" s="8" t="str">
        <f>"20882"</f>
        <v>20882</v>
      </c>
      <c r="AK638" t="s">
        <v>118</v>
      </c>
      <c r="AM638" s="10">
        <v>13014820300</v>
      </c>
      <c r="AO638" t="s">
        <v>4929</v>
      </c>
      <c r="AP638" t="s">
        <v>248</v>
      </c>
      <c r="AQ638" t="s">
        <v>2152</v>
      </c>
      <c r="AR638" t="s">
        <v>2153</v>
      </c>
      <c r="AS638" t="s">
        <v>1798</v>
      </c>
      <c r="AT638" t="s">
        <v>1253</v>
      </c>
      <c r="AU638" t="s">
        <v>852</v>
      </c>
      <c r="AV638" t="s">
        <v>853</v>
      </c>
      <c r="AW638" t="s">
        <v>854</v>
      </c>
      <c r="AX638" s="8" t="str">
        <f>"83814"</f>
        <v>83814</v>
      </c>
      <c r="AY638" t="s">
        <v>118</v>
      </c>
      <c r="BA638" s="10">
        <v>12087772654</v>
      </c>
      <c r="BC638" t="s">
        <v>2154</v>
      </c>
      <c r="BD638" t="s">
        <v>856</v>
      </c>
      <c r="BG638" t="s">
        <v>434</v>
      </c>
      <c r="BH638" s="1">
        <v>45230.833333333336</v>
      </c>
      <c r="BI638">
        <v>40</v>
      </c>
      <c r="BJ638">
        <v>0</v>
      </c>
      <c r="BK638">
        <v>8</v>
      </c>
      <c r="BL638">
        <v>8</v>
      </c>
      <c r="BM638">
        <v>8</v>
      </c>
      <c r="BN638">
        <v>8</v>
      </c>
      <c r="BO638">
        <v>8</v>
      </c>
      <c r="BP638">
        <v>0</v>
      </c>
      <c r="BQ638" t="str">
        <f>"6:30 AM"</f>
        <v>6:30 AM</v>
      </c>
      <c r="BR638" t="str">
        <f>"3:30 PM"</f>
        <v>3:30 PM</v>
      </c>
      <c r="BS638" t="s">
        <v>131</v>
      </c>
      <c r="BT638">
        <v>0</v>
      </c>
      <c r="BU638">
        <v>0</v>
      </c>
      <c r="BV638" t="s">
        <v>114</v>
      </c>
      <c r="BX638" t="s">
        <v>3304</v>
      </c>
      <c r="BY638" t="s">
        <v>11265</v>
      </c>
      <c r="CA638" t="s">
        <v>2224</v>
      </c>
      <c r="CB638" t="s">
        <v>434</v>
      </c>
      <c r="CC638" s="8" t="str">
        <f>"19406"</f>
        <v>19406</v>
      </c>
      <c r="CD638" t="s">
        <v>878</v>
      </c>
      <c r="CE638" t="s">
        <v>443</v>
      </c>
      <c r="CF638" s="12">
        <v>18.71</v>
      </c>
      <c r="CH638" s="12">
        <v>28.07</v>
      </c>
      <c r="CJ638" t="s">
        <v>135</v>
      </c>
      <c r="CK638" t="s">
        <v>132</v>
      </c>
      <c r="CL638" t="s">
        <v>11266</v>
      </c>
      <c r="CO638" t="s">
        <v>132</v>
      </c>
      <c r="CP638" t="s">
        <v>136</v>
      </c>
      <c r="CQ638" t="s">
        <v>136</v>
      </c>
      <c r="CR638" t="s">
        <v>136</v>
      </c>
      <c r="CS638" t="s">
        <v>136</v>
      </c>
      <c r="CT638" t="s">
        <v>136</v>
      </c>
      <c r="CU638" t="s">
        <v>136</v>
      </c>
      <c r="CV638" t="s">
        <v>11267</v>
      </c>
      <c r="CW638" s="10" t="str">
        <f>"+16102656300"</f>
        <v>+16102656300</v>
      </c>
      <c r="CX638" t="s">
        <v>11268</v>
      </c>
      <c r="CY638" t="s">
        <v>132</v>
      </c>
      <c r="CZ638" t="s">
        <v>137</v>
      </c>
      <c r="DA638" t="s">
        <v>114</v>
      </c>
      <c r="DB638" t="s">
        <v>136</v>
      </c>
      <c r="DC638" t="s">
        <v>136</v>
      </c>
      <c r="DD638" t="s">
        <v>114</v>
      </c>
    </row>
    <row r="639" spans="1:113" ht="15" customHeight="1" x14ac:dyDescent="0.25">
      <c r="A639" t="s">
        <v>4922</v>
      </c>
      <c r="B639" t="s">
        <v>152</v>
      </c>
      <c r="C639" s="1">
        <v>45233.002706481479</v>
      </c>
      <c r="D639" s="1">
        <v>45259</v>
      </c>
      <c r="E639" t="s">
        <v>132</v>
      </c>
      <c r="F639" t="s">
        <v>4923</v>
      </c>
      <c r="G639" t="str">
        <f>"37-3011.00"</f>
        <v>37-3011.00</v>
      </c>
      <c r="H639" t="s">
        <v>429</v>
      </c>
      <c r="I639">
        <v>10</v>
      </c>
      <c r="J639">
        <v>10</v>
      </c>
      <c r="K639" s="1">
        <v>45323</v>
      </c>
      <c r="L639" s="1">
        <v>45626</v>
      </c>
      <c r="M639" s="1">
        <v>45323</v>
      </c>
      <c r="N639" s="1">
        <v>45626</v>
      </c>
      <c r="O639" t="s">
        <v>116</v>
      </c>
      <c r="P639" t="s">
        <v>4924</v>
      </c>
      <c r="R639" t="s">
        <v>4925</v>
      </c>
      <c r="T639" t="s">
        <v>4926</v>
      </c>
      <c r="U639" t="s">
        <v>1722</v>
      </c>
      <c r="V639" s="8" t="str">
        <f>"20882"</f>
        <v>20882</v>
      </c>
      <c r="W639" t="s">
        <v>118</v>
      </c>
      <c r="Y639" s="10">
        <v>13014820300</v>
      </c>
      <c r="AA639">
        <v>56173</v>
      </c>
      <c r="AB639" t="s">
        <v>4927</v>
      </c>
      <c r="AC639" t="s">
        <v>4928</v>
      </c>
      <c r="AE639" t="s">
        <v>1104</v>
      </c>
      <c r="AF639" t="s">
        <v>4925</v>
      </c>
      <c r="AH639" t="s">
        <v>4926</v>
      </c>
      <c r="AI639" t="s">
        <v>1722</v>
      </c>
      <c r="AJ639" s="8" t="str">
        <f>"20882"</f>
        <v>20882</v>
      </c>
      <c r="AK639" t="s">
        <v>118</v>
      </c>
      <c r="AM639" s="10">
        <v>13014820300</v>
      </c>
      <c r="AO639" t="s">
        <v>4929</v>
      </c>
      <c r="AP639" t="s">
        <v>248</v>
      </c>
      <c r="AQ639" t="s">
        <v>2152</v>
      </c>
      <c r="AR639" t="s">
        <v>2153</v>
      </c>
      <c r="AS639" t="s">
        <v>1798</v>
      </c>
      <c r="AT639" t="s">
        <v>1253</v>
      </c>
      <c r="AU639" t="s">
        <v>852</v>
      </c>
      <c r="AV639" t="s">
        <v>853</v>
      </c>
      <c r="AW639" t="s">
        <v>854</v>
      </c>
      <c r="AX639" s="8" t="str">
        <f>"83814"</f>
        <v>83814</v>
      </c>
      <c r="AY639" t="s">
        <v>118</v>
      </c>
      <c r="BA639" s="10">
        <v>12087772654</v>
      </c>
      <c r="BC639" t="s">
        <v>2154</v>
      </c>
      <c r="BD639" t="s">
        <v>856</v>
      </c>
      <c r="BG639" t="s">
        <v>434</v>
      </c>
      <c r="BH639" s="1">
        <v>45231.833333333336</v>
      </c>
      <c r="BI639">
        <v>40</v>
      </c>
      <c r="BJ639">
        <v>0</v>
      </c>
      <c r="BK639">
        <v>8</v>
      </c>
      <c r="BL639">
        <v>8</v>
      </c>
      <c r="BM639">
        <v>8</v>
      </c>
      <c r="BN639">
        <v>8</v>
      </c>
      <c r="BO639">
        <v>8</v>
      </c>
      <c r="BP639">
        <v>0</v>
      </c>
      <c r="BQ639" t="str">
        <f>"6:30 AM"</f>
        <v>6:30 AM</v>
      </c>
      <c r="BR639" t="str">
        <f>"3:30 PM"</f>
        <v>3:30 PM</v>
      </c>
      <c r="BS639" t="s">
        <v>131</v>
      </c>
      <c r="BT639">
        <v>0</v>
      </c>
      <c r="BU639">
        <v>0</v>
      </c>
      <c r="BV639" t="s">
        <v>114</v>
      </c>
      <c r="BX639" t="s">
        <v>3304</v>
      </c>
      <c r="BY639" t="s">
        <v>4930</v>
      </c>
      <c r="CA639" t="s">
        <v>4931</v>
      </c>
      <c r="CB639" t="s">
        <v>434</v>
      </c>
      <c r="CC639" s="8" t="str">
        <f>"17055"</f>
        <v>17055</v>
      </c>
      <c r="CD639" t="s">
        <v>2424</v>
      </c>
      <c r="CE639" t="s">
        <v>4932</v>
      </c>
      <c r="CF639" s="12">
        <v>17.2</v>
      </c>
      <c r="CG639" s="12">
        <v>18.25</v>
      </c>
      <c r="CH639" s="12">
        <v>25.8</v>
      </c>
      <c r="CI639" s="12">
        <v>27.38</v>
      </c>
      <c r="CJ639" t="s">
        <v>135</v>
      </c>
      <c r="CK639" t="s">
        <v>1899</v>
      </c>
      <c r="CL639" t="s">
        <v>4933</v>
      </c>
      <c r="CO639" t="s">
        <v>132</v>
      </c>
      <c r="CP639" t="s">
        <v>136</v>
      </c>
      <c r="CQ639" t="s">
        <v>136</v>
      </c>
      <c r="CR639" t="s">
        <v>136</v>
      </c>
      <c r="CS639" t="s">
        <v>136</v>
      </c>
      <c r="CT639" t="s">
        <v>136</v>
      </c>
      <c r="CU639" t="s">
        <v>136</v>
      </c>
      <c r="CV639" t="s">
        <v>4934</v>
      </c>
      <c r="CW639" s="10" t="str">
        <f>"+17174094158"</f>
        <v>+17174094158</v>
      </c>
      <c r="CX639" t="s">
        <v>4935</v>
      </c>
      <c r="CY639" t="s">
        <v>132</v>
      </c>
      <c r="CZ639" t="s">
        <v>137</v>
      </c>
      <c r="DA639" t="s">
        <v>114</v>
      </c>
      <c r="DB639" t="s">
        <v>136</v>
      </c>
      <c r="DC639" t="s">
        <v>136</v>
      </c>
      <c r="DD639" t="s">
        <v>114</v>
      </c>
    </row>
    <row r="640" spans="1:113" ht="15" customHeight="1" x14ac:dyDescent="0.25">
      <c r="A640" t="s">
        <v>21185</v>
      </c>
      <c r="B640" t="s">
        <v>152</v>
      </c>
      <c r="C640" s="1">
        <v>45233.002638425925</v>
      </c>
      <c r="D640" s="1">
        <v>45259</v>
      </c>
      <c r="E640" t="s">
        <v>132</v>
      </c>
      <c r="F640" t="s">
        <v>4923</v>
      </c>
      <c r="G640" t="str">
        <f>"37-3011.00"</f>
        <v>37-3011.00</v>
      </c>
      <c r="H640" t="s">
        <v>429</v>
      </c>
      <c r="I640">
        <v>16</v>
      </c>
      <c r="J640">
        <v>16</v>
      </c>
      <c r="K640" s="1">
        <v>45323</v>
      </c>
      <c r="L640" s="1">
        <v>45626</v>
      </c>
      <c r="M640" s="1">
        <v>45323</v>
      </c>
      <c r="N640" s="1">
        <v>45626</v>
      </c>
      <c r="O640" t="s">
        <v>116</v>
      </c>
      <c r="P640" t="s">
        <v>4924</v>
      </c>
      <c r="R640" t="s">
        <v>4925</v>
      </c>
      <c r="T640" t="s">
        <v>4926</v>
      </c>
      <c r="U640" t="s">
        <v>1722</v>
      </c>
      <c r="V640" s="8" t="str">
        <f>"20882"</f>
        <v>20882</v>
      </c>
      <c r="W640" t="s">
        <v>118</v>
      </c>
      <c r="Y640" s="10">
        <v>13014820300</v>
      </c>
      <c r="AA640">
        <v>56173</v>
      </c>
      <c r="AB640" t="s">
        <v>4927</v>
      </c>
      <c r="AC640" t="s">
        <v>4928</v>
      </c>
      <c r="AE640" t="s">
        <v>1104</v>
      </c>
      <c r="AF640" t="s">
        <v>4925</v>
      </c>
      <c r="AH640" t="s">
        <v>4926</v>
      </c>
      <c r="AI640" t="s">
        <v>1722</v>
      </c>
      <c r="AJ640" s="8" t="str">
        <f>"20882"</f>
        <v>20882</v>
      </c>
      <c r="AK640" t="s">
        <v>118</v>
      </c>
      <c r="AM640" s="10">
        <v>13014820300</v>
      </c>
      <c r="AO640" t="s">
        <v>4929</v>
      </c>
      <c r="AP640" t="s">
        <v>248</v>
      </c>
      <c r="AQ640" t="s">
        <v>2152</v>
      </c>
      <c r="AR640" t="s">
        <v>2153</v>
      </c>
      <c r="AS640" t="s">
        <v>1798</v>
      </c>
      <c r="AT640" t="s">
        <v>1253</v>
      </c>
      <c r="AU640" t="s">
        <v>852</v>
      </c>
      <c r="AV640" t="s">
        <v>853</v>
      </c>
      <c r="AW640" t="s">
        <v>854</v>
      </c>
      <c r="AX640" s="8" t="str">
        <f>"83814"</f>
        <v>83814</v>
      </c>
      <c r="AY640" t="s">
        <v>118</v>
      </c>
      <c r="BA640" s="10">
        <v>12087772654</v>
      </c>
      <c r="BC640" t="s">
        <v>2154</v>
      </c>
      <c r="BD640" t="s">
        <v>856</v>
      </c>
      <c r="BG640" t="s">
        <v>434</v>
      </c>
      <c r="BH640" s="1">
        <v>45231.833333333336</v>
      </c>
      <c r="BI640">
        <v>40</v>
      </c>
      <c r="BJ640">
        <v>0</v>
      </c>
      <c r="BK640">
        <v>8</v>
      </c>
      <c r="BL640">
        <v>8</v>
      </c>
      <c r="BM640">
        <v>8</v>
      </c>
      <c r="BN640">
        <v>8</v>
      </c>
      <c r="BO640">
        <v>8</v>
      </c>
      <c r="BP640">
        <v>0</v>
      </c>
      <c r="BQ640" t="str">
        <f>"6:30 AM"</f>
        <v>6:30 AM</v>
      </c>
      <c r="BR640" t="str">
        <f>"3:30 PM"</f>
        <v>3:30 PM</v>
      </c>
      <c r="BS640" t="s">
        <v>131</v>
      </c>
      <c r="BT640">
        <v>0</v>
      </c>
      <c r="BU640">
        <v>0</v>
      </c>
      <c r="BV640" t="s">
        <v>114</v>
      </c>
      <c r="BX640" t="s">
        <v>3304</v>
      </c>
      <c r="BY640" t="s">
        <v>21186</v>
      </c>
      <c r="CA640" t="s">
        <v>21187</v>
      </c>
      <c r="CB640" t="s">
        <v>434</v>
      </c>
      <c r="CC640" s="8" t="str">
        <f>"19374"</f>
        <v>19374</v>
      </c>
      <c r="CD640" t="s">
        <v>1781</v>
      </c>
      <c r="CE640" t="s">
        <v>443</v>
      </c>
      <c r="CF640" s="12">
        <v>18.71</v>
      </c>
      <c r="CH640" s="12">
        <v>28.07</v>
      </c>
      <c r="CJ640" t="s">
        <v>135</v>
      </c>
      <c r="CK640" t="s">
        <v>132</v>
      </c>
      <c r="CL640" t="s">
        <v>21188</v>
      </c>
      <c r="CO640" t="s">
        <v>132</v>
      </c>
      <c r="CP640" t="s">
        <v>136</v>
      </c>
      <c r="CQ640" t="s">
        <v>136</v>
      </c>
      <c r="CR640" t="s">
        <v>136</v>
      </c>
      <c r="CS640" t="s">
        <v>136</v>
      </c>
      <c r="CT640" t="s">
        <v>136</v>
      </c>
      <c r="CU640" t="s">
        <v>136</v>
      </c>
      <c r="CV640" s="2" t="s">
        <v>9225</v>
      </c>
      <c r="CW640" s="10" t="str">
        <f>"+16109252711"</f>
        <v>+16109252711</v>
      </c>
      <c r="CX640" t="s">
        <v>21189</v>
      </c>
      <c r="CY640" t="s">
        <v>132</v>
      </c>
      <c r="CZ640" t="s">
        <v>137</v>
      </c>
      <c r="DA640" t="s">
        <v>114</v>
      </c>
      <c r="DB640" t="s">
        <v>136</v>
      </c>
      <c r="DC640" t="s">
        <v>136</v>
      </c>
      <c r="DD640" t="s">
        <v>114</v>
      </c>
    </row>
    <row r="641" spans="1:108" ht="15" customHeight="1" x14ac:dyDescent="0.25">
      <c r="A641" t="s">
        <v>22987</v>
      </c>
      <c r="B641" t="s">
        <v>152</v>
      </c>
      <c r="C641" s="1">
        <v>45233.002561921297</v>
      </c>
      <c r="D641" s="1">
        <v>45259</v>
      </c>
      <c r="E641" t="s">
        <v>132</v>
      </c>
      <c r="F641" t="s">
        <v>4923</v>
      </c>
      <c r="G641" t="str">
        <f>"37-3011.00"</f>
        <v>37-3011.00</v>
      </c>
      <c r="H641" t="s">
        <v>429</v>
      </c>
      <c r="I641">
        <v>10</v>
      </c>
      <c r="J641">
        <v>10</v>
      </c>
      <c r="K641" s="1">
        <v>45323</v>
      </c>
      <c r="L641" s="1">
        <v>45626</v>
      </c>
      <c r="M641" s="1">
        <v>45323</v>
      </c>
      <c r="N641" s="1">
        <v>45626</v>
      </c>
      <c r="O641" t="s">
        <v>116</v>
      </c>
      <c r="P641" t="s">
        <v>4924</v>
      </c>
      <c r="R641" t="s">
        <v>4925</v>
      </c>
      <c r="T641" t="s">
        <v>4926</v>
      </c>
      <c r="U641" t="s">
        <v>1722</v>
      </c>
      <c r="V641" s="8" t="str">
        <f>"20882"</f>
        <v>20882</v>
      </c>
      <c r="W641" t="s">
        <v>118</v>
      </c>
      <c r="Y641" s="10">
        <v>13014820300</v>
      </c>
      <c r="AA641">
        <v>56173</v>
      </c>
      <c r="AB641" t="s">
        <v>4927</v>
      </c>
      <c r="AC641" t="s">
        <v>4928</v>
      </c>
      <c r="AE641" t="s">
        <v>1104</v>
      </c>
      <c r="AF641" t="s">
        <v>4925</v>
      </c>
      <c r="AH641" t="s">
        <v>4926</v>
      </c>
      <c r="AI641" t="s">
        <v>1722</v>
      </c>
      <c r="AJ641" s="8" t="str">
        <f>"20882"</f>
        <v>20882</v>
      </c>
      <c r="AK641" t="s">
        <v>118</v>
      </c>
      <c r="AM641" s="10">
        <v>13014820300</v>
      </c>
      <c r="AO641" t="s">
        <v>4929</v>
      </c>
      <c r="AP641" t="s">
        <v>248</v>
      </c>
      <c r="AQ641" t="s">
        <v>2152</v>
      </c>
      <c r="AR641" t="s">
        <v>2153</v>
      </c>
      <c r="AS641" t="s">
        <v>1798</v>
      </c>
      <c r="AT641" t="s">
        <v>1253</v>
      </c>
      <c r="AU641" t="s">
        <v>852</v>
      </c>
      <c r="AV641" t="s">
        <v>853</v>
      </c>
      <c r="AW641" t="s">
        <v>854</v>
      </c>
      <c r="AX641" s="8" t="str">
        <f>"83814"</f>
        <v>83814</v>
      </c>
      <c r="AY641" t="s">
        <v>118</v>
      </c>
      <c r="BA641" s="10">
        <v>12087772654</v>
      </c>
      <c r="BC641" t="s">
        <v>2154</v>
      </c>
      <c r="BD641" t="s">
        <v>856</v>
      </c>
      <c r="BG641" t="s">
        <v>434</v>
      </c>
      <c r="BH641" s="1">
        <v>45230.833333333336</v>
      </c>
      <c r="BI641">
        <v>40</v>
      </c>
      <c r="BJ641">
        <v>0</v>
      </c>
      <c r="BK641">
        <v>8</v>
      </c>
      <c r="BL641">
        <v>8</v>
      </c>
      <c r="BM641">
        <v>8</v>
      </c>
      <c r="BN641">
        <v>8</v>
      </c>
      <c r="BO641">
        <v>8</v>
      </c>
      <c r="BP641">
        <v>0</v>
      </c>
      <c r="BQ641" t="str">
        <f>"6:30 AM"</f>
        <v>6:30 AM</v>
      </c>
      <c r="BR641" t="str">
        <f>"3:30 PM"</f>
        <v>3:30 PM</v>
      </c>
      <c r="BS641" t="s">
        <v>131</v>
      </c>
      <c r="BT641">
        <v>0</v>
      </c>
      <c r="BU641">
        <v>0</v>
      </c>
      <c r="BV641" t="s">
        <v>114</v>
      </c>
      <c r="BX641" t="s">
        <v>3304</v>
      </c>
      <c r="BY641" t="s">
        <v>22988</v>
      </c>
      <c r="CA641" t="s">
        <v>22989</v>
      </c>
      <c r="CB641" t="s">
        <v>434</v>
      </c>
      <c r="CC641" s="8" t="str">
        <f>"16828"</f>
        <v>16828</v>
      </c>
      <c r="CD641" t="s">
        <v>22990</v>
      </c>
      <c r="CE641" t="s">
        <v>22991</v>
      </c>
      <c r="CF641" s="12">
        <v>16.23</v>
      </c>
      <c r="CH641" s="12">
        <v>24.35</v>
      </c>
      <c r="CJ641" t="s">
        <v>135</v>
      </c>
      <c r="CK641" t="s">
        <v>132</v>
      </c>
      <c r="CL641" t="s">
        <v>22992</v>
      </c>
      <c r="CO641" t="s">
        <v>132</v>
      </c>
      <c r="CP641" t="s">
        <v>136</v>
      </c>
      <c r="CQ641" t="s">
        <v>136</v>
      </c>
      <c r="CR641" t="s">
        <v>136</v>
      </c>
      <c r="CS641" t="s">
        <v>136</v>
      </c>
      <c r="CT641" t="s">
        <v>136</v>
      </c>
      <c r="CU641" t="s">
        <v>136</v>
      </c>
      <c r="CV641" s="2" t="s">
        <v>9225</v>
      </c>
      <c r="CW641" s="10" t="str">
        <f>"+18143642100"</f>
        <v>+18143642100</v>
      </c>
      <c r="CX641" t="s">
        <v>22993</v>
      </c>
      <c r="CY641" t="s">
        <v>132</v>
      </c>
      <c r="CZ641" t="s">
        <v>137</v>
      </c>
      <c r="DA641" t="s">
        <v>114</v>
      </c>
      <c r="DB641" t="s">
        <v>136</v>
      </c>
      <c r="DC641" t="s">
        <v>136</v>
      </c>
      <c r="DD641" t="s">
        <v>114</v>
      </c>
    </row>
    <row r="642" spans="1:108" ht="15" customHeight="1" x14ac:dyDescent="0.25">
      <c r="A642" t="s">
        <v>21054</v>
      </c>
      <c r="B642" t="s">
        <v>152</v>
      </c>
      <c r="C642" s="1">
        <v>45233.002341435182</v>
      </c>
      <c r="D642" s="1">
        <v>45259</v>
      </c>
      <c r="E642" t="s">
        <v>132</v>
      </c>
      <c r="F642" t="s">
        <v>1595</v>
      </c>
      <c r="G642" t="str">
        <f>"37-3011.00"</f>
        <v>37-3011.00</v>
      </c>
      <c r="H642" t="s">
        <v>429</v>
      </c>
      <c r="I642">
        <v>4</v>
      </c>
      <c r="J642">
        <v>4</v>
      </c>
      <c r="K642" s="1">
        <v>45323</v>
      </c>
      <c r="L642" s="1">
        <v>45596</v>
      </c>
      <c r="M642" s="1">
        <v>45323</v>
      </c>
      <c r="N642" s="1">
        <v>45596</v>
      </c>
      <c r="O642" t="s">
        <v>116</v>
      </c>
      <c r="P642" t="s">
        <v>10814</v>
      </c>
      <c r="Q642" t="s">
        <v>10815</v>
      </c>
      <c r="R642" t="s">
        <v>21055</v>
      </c>
      <c r="T642" t="s">
        <v>2564</v>
      </c>
      <c r="U642" t="s">
        <v>127</v>
      </c>
      <c r="V642" s="8" t="str">
        <f>"77092"</f>
        <v>77092</v>
      </c>
      <c r="W642" t="s">
        <v>118</v>
      </c>
      <c r="Y642" s="10">
        <v>14052660540</v>
      </c>
      <c r="AA642">
        <v>56173</v>
      </c>
      <c r="AB642" t="s">
        <v>10817</v>
      </c>
      <c r="AC642" t="s">
        <v>10818</v>
      </c>
      <c r="AE642" t="s">
        <v>10819</v>
      </c>
      <c r="AF642" t="s">
        <v>21055</v>
      </c>
      <c r="AH642" t="s">
        <v>2564</v>
      </c>
      <c r="AI642" t="s">
        <v>127</v>
      </c>
      <c r="AJ642" s="8" t="str">
        <f>"77092"</f>
        <v>77092</v>
      </c>
      <c r="AK642" t="s">
        <v>118</v>
      </c>
      <c r="AM642" s="10">
        <v>14052660540</v>
      </c>
      <c r="AO642" t="s">
        <v>10820</v>
      </c>
      <c r="AP642" t="s">
        <v>248</v>
      </c>
      <c r="AQ642" t="s">
        <v>2732</v>
      </c>
      <c r="AR642" t="s">
        <v>2733</v>
      </c>
      <c r="AT642" t="s">
        <v>851</v>
      </c>
      <c r="AU642" t="s">
        <v>852</v>
      </c>
      <c r="AV642" t="s">
        <v>10821</v>
      </c>
      <c r="AW642" t="s">
        <v>854</v>
      </c>
      <c r="AX642" s="8" t="str">
        <f>"83814"</f>
        <v>83814</v>
      </c>
      <c r="AY642" t="s">
        <v>118</v>
      </c>
      <c r="BA642" s="10">
        <v>12087772654</v>
      </c>
      <c r="BC642" t="s">
        <v>2734</v>
      </c>
      <c r="BD642" t="s">
        <v>856</v>
      </c>
      <c r="BG642" t="s">
        <v>127</v>
      </c>
      <c r="BH642" s="1">
        <v>45231.833333333336</v>
      </c>
      <c r="BI642">
        <v>40</v>
      </c>
      <c r="BJ642">
        <v>0</v>
      </c>
      <c r="BK642">
        <v>8</v>
      </c>
      <c r="BL642">
        <v>8</v>
      </c>
      <c r="BM642">
        <v>8</v>
      </c>
      <c r="BN642">
        <v>8</v>
      </c>
      <c r="BO642">
        <v>8</v>
      </c>
      <c r="BP642">
        <v>0</v>
      </c>
      <c r="BQ642" t="str">
        <f>"7:30 AM"</f>
        <v>7:30 AM</v>
      </c>
      <c r="BR642" t="str">
        <f>"5:00 PM"</f>
        <v>5:00 PM</v>
      </c>
      <c r="BS642" t="s">
        <v>131</v>
      </c>
      <c r="BT642">
        <v>0</v>
      </c>
      <c r="BU642">
        <v>0</v>
      </c>
      <c r="BV642" t="s">
        <v>114</v>
      </c>
      <c r="BX642" s="2" t="s">
        <v>9802</v>
      </c>
      <c r="BY642" t="s">
        <v>21056</v>
      </c>
      <c r="CA642" t="s">
        <v>2564</v>
      </c>
      <c r="CB642" t="s">
        <v>127</v>
      </c>
      <c r="CC642" s="8" t="str">
        <f>"77092"</f>
        <v>77092</v>
      </c>
      <c r="CD642" t="s">
        <v>3327</v>
      </c>
      <c r="CE642" t="s">
        <v>879</v>
      </c>
      <c r="CF642" s="12">
        <v>16.29</v>
      </c>
      <c r="CH642" s="12">
        <v>24.44</v>
      </c>
      <c r="CJ642" t="s">
        <v>135</v>
      </c>
      <c r="CK642" t="s">
        <v>132</v>
      </c>
      <c r="CL642" t="s">
        <v>21057</v>
      </c>
      <c r="CO642" t="s">
        <v>132</v>
      </c>
      <c r="CP642" t="s">
        <v>136</v>
      </c>
      <c r="CQ642" t="s">
        <v>136</v>
      </c>
      <c r="CR642" t="s">
        <v>136</v>
      </c>
      <c r="CS642" t="s">
        <v>136</v>
      </c>
      <c r="CT642" t="s">
        <v>136</v>
      </c>
      <c r="CU642" t="s">
        <v>136</v>
      </c>
      <c r="CV642" t="s">
        <v>21058</v>
      </c>
      <c r="CW642" s="10" t="str">
        <f>"+19727071589"</f>
        <v>+19727071589</v>
      </c>
      <c r="CX642" t="s">
        <v>10826</v>
      </c>
      <c r="CY642" t="s">
        <v>132</v>
      </c>
      <c r="CZ642" t="s">
        <v>137</v>
      </c>
      <c r="DA642" t="s">
        <v>114</v>
      </c>
      <c r="DB642" t="s">
        <v>136</v>
      </c>
      <c r="DC642" t="s">
        <v>136</v>
      </c>
      <c r="DD642" t="s">
        <v>114</v>
      </c>
    </row>
    <row r="643" spans="1:108" ht="15" customHeight="1" x14ac:dyDescent="0.25">
      <c r="A643" t="s">
        <v>15054</v>
      </c>
      <c r="B643" t="s">
        <v>152</v>
      </c>
      <c r="C643" s="1">
        <v>45233.002071527779</v>
      </c>
      <c r="D643" s="1">
        <v>45259</v>
      </c>
      <c r="E643" t="s">
        <v>132</v>
      </c>
      <c r="F643" t="s">
        <v>2081</v>
      </c>
      <c r="G643" t="str">
        <f>"37-3011.00"</f>
        <v>37-3011.00</v>
      </c>
      <c r="H643" t="s">
        <v>429</v>
      </c>
      <c r="I643">
        <v>12</v>
      </c>
      <c r="J643">
        <v>12</v>
      </c>
      <c r="K643" s="1">
        <v>45323</v>
      </c>
      <c r="L643" s="1">
        <v>45626</v>
      </c>
      <c r="M643" s="1">
        <v>45323</v>
      </c>
      <c r="N643" s="1">
        <v>45626</v>
      </c>
      <c r="O643" t="s">
        <v>116</v>
      </c>
      <c r="P643" t="s">
        <v>4924</v>
      </c>
      <c r="R643" t="s">
        <v>4925</v>
      </c>
      <c r="T643" t="s">
        <v>4926</v>
      </c>
      <c r="U643" t="s">
        <v>1722</v>
      </c>
      <c r="V643" s="8" t="str">
        <f>"20882"</f>
        <v>20882</v>
      </c>
      <c r="W643" t="s">
        <v>118</v>
      </c>
      <c r="Y643" s="10">
        <v>13014820300</v>
      </c>
      <c r="AA643">
        <v>56173</v>
      </c>
      <c r="AB643" t="s">
        <v>4927</v>
      </c>
      <c r="AC643" t="s">
        <v>4928</v>
      </c>
      <c r="AE643" t="s">
        <v>1104</v>
      </c>
      <c r="AF643" t="s">
        <v>4925</v>
      </c>
      <c r="AH643" t="s">
        <v>4926</v>
      </c>
      <c r="AI643" t="s">
        <v>1722</v>
      </c>
      <c r="AJ643" s="8" t="str">
        <f>"20882"</f>
        <v>20882</v>
      </c>
      <c r="AK643" t="s">
        <v>118</v>
      </c>
      <c r="AM643" s="10">
        <v>13014820300</v>
      </c>
      <c r="AO643" t="s">
        <v>4929</v>
      </c>
      <c r="AP643" t="s">
        <v>248</v>
      </c>
      <c r="AQ643" t="s">
        <v>2152</v>
      </c>
      <c r="AR643" t="s">
        <v>2153</v>
      </c>
      <c r="AS643" t="s">
        <v>1798</v>
      </c>
      <c r="AT643" t="s">
        <v>1253</v>
      </c>
      <c r="AU643" t="s">
        <v>852</v>
      </c>
      <c r="AV643" t="s">
        <v>853</v>
      </c>
      <c r="AW643" t="s">
        <v>854</v>
      </c>
      <c r="AX643" s="8" t="str">
        <f>"83814"</f>
        <v>83814</v>
      </c>
      <c r="AY643" t="s">
        <v>118</v>
      </c>
      <c r="BA643" s="10">
        <v>12087772654</v>
      </c>
      <c r="BC643" t="s">
        <v>2154</v>
      </c>
      <c r="BD643" t="s">
        <v>856</v>
      </c>
      <c r="BG643" t="s">
        <v>375</v>
      </c>
      <c r="BH643" s="1">
        <v>45231.833333333336</v>
      </c>
      <c r="BI643">
        <v>40</v>
      </c>
      <c r="BJ643">
        <v>0</v>
      </c>
      <c r="BK643">
        <v>8</v>
      </c>
      <c r="BL643">
        <v>8</v>
      </c>
      <c r="BM643">
        <v>8</v>
      </c>
      <c r="BN643">
        <v>8</v>
      </c>
      <c r="BO643">
        <v>8</v>
      </c>
      <c r="BP643">
        <v>0</v>
      </c>
      <c r="BQ643" t="str">
        <f>"6:30 AM"</f>
        <v>6:30 AM</v>
      </c>
      <c r="BR643" t="str">
        <f>"3:30 PM"</f>
        <v>3:30 PM</v>
      </c>
      <c r="BS643" t="s">
        <v>131</v>
      </c>
      <c r="BT643">
        <v>0</v>
      </c>
      <c r="BU643">
        <v>0</v>
      </c>
      <c r="BV643" t="s">
        <v>114</v>
      </c>
      <c r="BX643" t="s">
        <v>3304</v>
      </c>
      <c r="BY643" t="s">
        <v>15055</v>
      </c>
      <c r="CA643" t="s">
        <v>374</v>
      </c>
      <c r="CB643" t="s">
        <v>375</v>
      </c>
      <c r="CC643" s="8" t="str">
        <f>"27529"</f>
        <v>27529</v>
      </c>
      <c r="CD643" t="s">
        <v>391</v>
      </c>
      <c r="CE643" t="s">
        <v>392</v>
      </c>
      <c r="CF643" s="12">
        <v>17.41</v>
      </c>
      <c r="CG643" s="12">
        <v>20.5</v>
      </c>
      <c r="CH643" s="12">
        <v>26.12</v>
      </c>
      <c r="CI643" s="12">
        <v>30.75</v>
      </c>
      <c r="CJ643" t="s">
        <v>135</v>
      </c>
      <c r="CK643" t="s">
        <v>1899</v>
      </c>
      <c r="CL643" t="s">
        <v>15056</v>
      </c>
      <c r="CO643" t="s">
        <v>132</v>
      </c>
      <c r="CP643" t="s">
        <v>136</v>
      </c>
      <c r="CQ643" t="s">
        <v>136</v>
      </c>
      <c r="CR643" t="s">
        <v>136</v>
      </c>
      <c r="CS643" t="s">
        <v>136</v>
      </c>
      <c r="CT643" t="s">
        <v>136</v>
      </c>
      <c r="CU643" t="s">
        <v>136</v>
      </c>
      <c r="CV643" s="2" t="s">
        <v>15057</v>
      </c>
      <c r="CW643" s="10" t="str">
        <f>"+19195960047"</f>
        <v>+19195960047</v>
      </c>
      <c r="CX643" t="s">
        <v>15058</v>
      </c>
      <c r="CY643" t="s">
        <v>132</v>
      </c>
      <c r="CZ643" t="s">
        <v>137</v>
      </c>
      <c r="DA643" t="s">
        <v>114</v>
      </c>
      <c r="DB643" t="s">
        <v>136</v>
      </c>
      <c r="DC643" t="s">
        <v>136</v>
      </c>
      <c r="DD643" t="s">
        <v>114</v>
      </c>
    </row>
    <row r="644" spans="1:108" ht="15" customHeight="1" x14ac:dyDescent="0.25">
      <c r="A644" t="s">
        <v>14889</v>
      </c>
      <c r="B644" t="s">
        <v>152</v>
      </c>
      <c r="C644" s="1">
        <v>45233.001983217589</v>
      </c>
      <c r="D644" s="1">
        <v>45259</v>
      </c>
      <c r="E644" t="s">
        <v>132</v>
      </c>
      <c r="F644" t="s">
        <v>4923</v>
      </c>
      <c r="G644" t="str">
        <f>"37-3011.00"</f>
        <v>37-3011.00</v>
      </c>
      <c r="H644" t="s">
        <v>429</v>
      </c>
      <c r="I644">
        <v>10</v>
      </c>
      <c r="J644">
        <v>10</v>
      </c>
      <c r="K644" s="1">
        <v>45323</v>
      </c>
      <c r="L644" s="1">
        <v>45626</v>
      </c>
      <c r="M644" s="1">
        <v>45323</v>
      </c>
      <c r="N644" s="1">
        <v>45626</v>
      </c>
      <c r="O644" t="s">
        <v>116</v>
      </c>
      <c r="P644" t="s">
        <v>4924</v>
      </c>
      <c r="R644" t="s">
        <v>4925</v>
      </c>
      <c r="T644" t="s">
        <v>4926</v>
      </c>
      <c r="U644" t="s">
        <v>1722</v>
      </c>
      <c r="V644" s="8" t="str">
        <f>"20882"</f>
        <v>20882</v>
      </c>
      <c r="W644" t="s">
        <v>118</v>
      </c>
      <c r="Y644" s="10">
        <v>13014820300</v>
      </c>
      <c r="AA644">
        <v>56173</v>
      </c>
      <c r="AB644" t="s">
        <v>4927</v>
      </c>
      <c r="AC644" t="s">
        <v>4928</v>
      </c>
      <c r="AE644" t="s">
        <v>1104</v>
      </c>
      <c r="AF644" t="s">
        <v>4925</v>
      </c>
      <c r="AH644" t="s">
        <v>4926</v>
      </c>
      <c r="AI644" t="s">
        <v>1722</v>
      </c>
      <c r="AJ644" s="8" t="str">
        <f>"20882"</f>
        <v>20882</v>
      </c>
      <c r="AK644" t="s">
        <v>118</v>
      </c>
      <c r="AM644" s="10">
        <v>13014820300</v>
      </c>
      <c r="AO644" t="s">
        <v>4929</v>
      </c>
      <c r="AP644" t="s">
        <v>248</v>
      </c>
      <c r="AQ644" t="s">
        <v>2152</v>
      </c>
      <c r="AR644" t="s">
        <v>2153</v>
      </c>
      <c r="AS644" t="s">
        <v>1798</v>
      </c>
      <c r="AT644" t="s">
        <v>1253</v>
      </c>
      <c r="AU644" t="s">
        <v>852</v>
      </c>
      <c r="AV644" t="s">
        <v>853</v>
      </c>
      <c r="AW644" t="s">
        <v>854</v>
      </c>
      <c r="AX644" s="8" t="str">
        <f>"83814"</f>
        <v>83814</v>
      </c>
      <c r="AY644" t="s">
        <v>118</v>
      </c>
      <c r="BA644" s="10">
        <v>12087772654</v>
      </c>
      <c r="BC644" t="s">
        <v>2154</v>
      </c>
      <c r="BD644" t="s">
        <v>856</v>
      </c>
      <c r="BG644" t="s">
        <v>581</v>
      </c>
      <c r="BH644" s="1">
        <v>45231.833333333336</v>
      </c>
      <c r="BI644">
        <v>40</v>
      </c>
      <c r="BJ644">
        <v>0</v>
      </c>
      <c r="BK644">
        <v>8</v>
      </c>
      <c r="BL644">
        <v>8</v>
      </c>
      <c r="BM644">
        <v>8</v>
      </c>
      <c r="BN644">
        <v>8</v>
      </c>
      <c r="BO644">
        <v>8</v>
      </c>
      <c r="BP644">
        <v>0</v>
      </c>
      <c r="BQ644" t="str">
        <f>"6:30 AM"</f>
        <v>6:30 AM</v>
      </c>
      <c r="BR644" t="str">
        <f>"3:30 PM"</f>
        <v>3:30 PM</v>
      </c>
      <c r="BS644" t="s">
        <v>131</v>
      </c>
      <c r="BT644">
        <v>0</v>
      </c>
      <c r="BU644">
        <v>0</v>
      </c>
      <c r="BV644" t="s">
        <v>114</v>
      </c>
      <c r="BX644" t="s">
        <v>3304</v>
      </c>
      <c r="BY644" t="s">
        <v>14890</v>
      </c>
      <c r="CA644" t="s">
        <v>9901</v>
      </c>
      <c r="CB644" t="s">
        <v>581</v>
      </c>
      <c r="CC644" s="8" t="str">
        <f>"22405"</f>
        <v>22405</v>
      </c>
      <c r="CD644" t="s">
        <v>12118</v>
      </c>
      <c r="CE644" t="s">
        <v>1794</v>
      </c>
      <c r="CF644" s="12">
        <v>19.670000000000002</v>
      </c>
      <c r="CH644" s="12">
        <v>29.51</v>
      </c>
      <c r="CJ644" t="s">
        <v>135</v>
      </c>
      <c r="CK644" t="s">
        <v>132</v>
      </c>
      <c r="CL644" t="s">
        <v>14891</v>
      </c>
      <c r="CO644" t="s">
        <v>132</v>
      </c>
      <c r="CP644" t="s">
        <v>136</v>
      </c>
      <c r="CQ644" t="s">
        <v>136</v>
      </c>
      <c r="CR644" t="s">
        <v>136</v>
      </c>
      <c r="CS644" t="s">
        <v>136</v>
      </c>
      <c r="CT644" t="s">
        <v>136</v>
      </c>
      <c r="CU644" t="s">
        <v>136</v>
      </c>
      <c r="CV644" s="2" t="s">
        <v>14892</v>
      </c>
      <c r="CW644" s="10" t="str">
        <f>"+15409350508"</f>
        <v>+15409350508</v>
      </c>
      <c r="CX644" t="s">
        <v>14893</v>
      </c>
      <c r="CY644" t="s">
        <v>132</v>
      </c>
      <c r="CZ644" t="s">
        <v>137</v>
      </c>
      <c r="DA644" t="s">
        <v>114</v>
      </c>
      <c r="DB644" t="s">
        <v>136</v>
      </c>
      <c r="DC644" t="s">
        <v>136</v>
      </c>
      <c r="DD644" t="s">
        <v>114</v>
      </c>
    </row>
    <row r="645" spans="1:108" ht="15" customHeight="1" x14ac:dyDescent="0.25">
      <c r="A645" t="s">
        <v>23925</v>
      </c>
      <c r="B645" t="s">
        <v>152</v>
      </c>
      <c r="C645" s="1">
        <v>45233.001842708334</v>
      </c>
      <c r="D645" s="1">
        <v>45259</v>
      </c>
      <c r="E645" t="s">
        <v>132</v>
      </c>
      <c r="F645" t="s">
        <v>1595</v>
      </c>
      <c r="G645" t="str">
        <f>"37-3011.00"</f>
        <v>37-3011.00</v>
      </c>
      <c r="H645" t="s">
        <v>429</v>
      </c>
      <c r="I645">
        <v>20</v>
      </c>
      <c r="J645">
        <v>20</v>
      </c>
      <c r="K645" s="1">
        <v>45323</v>
      </c>
      <c r="L645" s="1">
        <v>45626</v>
      </c>
      <c r="M645" s="1">
        <v>45323</v>
      </c>
      <c r="N645" s="1">
        <v>45626</v>
      </c>
      <c r="O645" t="s">
        <v>238</v>
      </c>
      <c r="P645" t="s">
        <v>23926</v>
      </c>
      <c r="Q645" t="s">
        <v>23927</v>
      </c>
      <c r="R645" t="s">
        <v>23928</v>
      </c>
      <c r="T645" t="s">
        <v>2663</v>
      </c>
      <c r="U645" t="s">
        <v>984</v>
      </c>
      <c r="V645" s="8" t="str">
        <f>"65202"</f>
        <v>65202</v>
      </c>
      <c r="W645" t="s">
        <v>118</v>
      </c>
      <c r="Y645" s="10">
        <v>15732898110</v>
      </c>
      <c r="AA645">
        <v>56173</v>
      </c>
      <c r="AB645" t="s">
        <v>2664</v>
      </c>
      <c r="AC645" t="s">
        <v>6102</v>
      </c>
      <c r="AE645" t="s">
        <v>2023</v>
      </c>
      <c r="AF645" t="s">
        <v>23928</v>
      </c>
      <c r="AH645" t="s">
        <v>2663</v>
      </c>
      <c r="AI645" t="s">
        <v>984</v>
      </c>
      <c r="AJ645" s="8" t="str">
        <f>"65202"</f>
        <v>65202</v>
      </c>
      <c r="AK645" t="s">
        <v>118</v>
      </c>
      <c r="AM645" s="10">
        <v>15732898110</v>
      </c>
      <c r="AO645" t="s">
        <v>132</v>
      </c>
      <c r="AP645" t="s">
        <v>248</v>
      </c>
      <c r="AQ645" t="s">
        <v>2667</v>
      </c>
      <c r="AR645" t="s">
        <v>2668</v>
      </c>
      <c r="AT645" t="s">
        <v>1253</v>
      </c>
      <c r="AU645" t="s">
        <v>852</v>
      </c>
      <c r="AV645" t="s">
        <v>853</v>
      </c>
      <c r="AW645" t="s">
        <v>854</v>
      </c>
      <c r="AX645" s="8" t="str">
        <f>"83814"</f>
        <v>83814</v>
      </c>
      <c r="AY645" t="s">
        <v>118</v>
      </c>
      <c r="BA645" s="10">
        <v>12087772654</v>
      </c>
      <c r="BC645" t="s">
        <v>2669</v>
      </c>
      <c r="BD645" t="s">
        <v>856</v>
      </c>
      <c r="BG645" t="s">
        <v>984</v>
      </c>
      <c r="BH645" s="1">
        <v>45231.833333333336</v>
      </c>
      <c r="BI645">
        <v>40</v>
      </c>
      <c r="BJ645">
        <v>0</v>
      </c>
      <c r="BK645">
        <v>8</v>
      </c>
      <c r="BL645">
        <v>8</v>
      </c>
      <c r="BM645">
        <v>8</v>
      </c>
      <c r="BN645">
        <v>8</v>
      </c>
      <c r="BO645">
        <v>8</v>
      </c>
      <c r="BP645">
        <v>0</v>
      </c>
      <c r="BQ645" t="str">
        <f>"7:30 AM"</f>
        <v>7:30 AM</v>
      </c>
      <c r="BR645" t="str">
        <f>"5:00 PM"</f>
        <v>5:00 PM</v>
      </c>
      <c r="BS645" t="s">
        <v>131</v>
      </c>
      <c r="BT645">
        <v>0</v>
      </c>
      <c r="BU645">
        <v>0</v>
      </c>
      <c r="BV645" t="s">
        <v>114</v>
      </c>
      <c r="BX645" t="s">
        <v>2670</v>
      </c>
      <c r="BY645" t="s">
        <v>23929</v>
      </c>
      <c r="CA645" t="s">
        <v>2663</v>
      </c>
      <c r="CB645" t="s">
        <v>984</v>
      </c>
      <c r="CC645" s="8" t="str">
        <f>"65202"</f>
        <v>65202</v>
      </c>
      <c r="CD645" t="s">
        <v>2672</v>
      </c>
      <c r="CE645" t="s">
        <v>2673</v>
      </c>
      <c r="CF645" s="12">
        <v>16.18</v>
      </c>
      <c r="CG645" s="12">
        <v>20</v>
      </c>
      <c r="CH645" s="12">
        <v>24.27</v>
      </c>
      <c r="CI645" s="12">
        <v>30</v>
      </c>
      <c r="CJ645" t="s">
        <v>135</v>
      </c>
      <c r="CK645" t="s">
        <v>1899</v>
      </c>
      <c r="CL645" t="s">
        <v>23930</v>
      </c>
      <c r="CO645" t="s">
        <v>132</v>
      </c>
      <c r="CP645" t="s">
        <v>136</v>
      </c>
      <c r="CQ645" t="s">
        <v>136</v>
      </c>
      <c r="CR645" t="s">
        <v>136</v>
      </c>
      <c r="CS645" t="s">
        <v>136</v>
      </c>
      <c r="CT645" t="s">
        <v>136</v>
      </c>
      <c r="CU645" t="s">
        <v>136</v>
      </c>
      <c r="CV645" t="s">
        <v>1040</v>
      </c>
      <c r="CW645" s="10" t="str">
        <f>"+15738755040"</f>
        <v>+15738755040</v>
      </c>
      <c r="CX645" t="s">
        <v>23931</v>
      </c>
      <c r="CY645" t="s">
        <v>132</v>
      </c>
      <c r="CZ645" t="s">
        <v>137</v>
      </c>
      <c r="DA645" t="s">
        <v>114</v>
      </c>
      <c r="DB645" t="s">
        <v>136</v>
      </c>
      <c r="DC645" t="s">
        <v>136</v>
      </c>
      <c r="DD645" t="s">
        <v>114</v>
      </c>
    </row>
    <row r="646" spans="1:108" ht="15" customHeight="1" x14ac:dyDescent="0.25">
      <c r="A646" t="s">
        <v>23040</v>
      </c>
      <c r="B646" t="s">
        <v>152</v>
      </c>
      <c r="C646" s="1">
        <v>45233.001720717592</v>
      </c>
      <c r="D646" s="1">
        <v>45259</v>
      </c>
      <c r="E646" t="s">
        <v>132</v>
      </c>
      <c r="F646" t="s">
        <v>4923</v>
      </c>
      <c r="G646" t="str">
        <f>"37-3011.00"</f>
        <v>37-3011.00</v>
      </c>
      <c r="H646" t="s">
        <v>429</v>
      </c>
      <c r="I646">
        <v>67</v>
      </c>
      <c r="J646">
        <v>67</v>
      </c>
      <c r="K646" s="1">
        <v>45323</v>
      </c>
      <c r="L646" s="1">
        <v>45626</v>
      </c>
      <c r="M646" s="1">
        <v>45323</v>
      </c>
      <c r="N646" s="1">
        <v>45626</v>
      </c>
      <c r="O646" t="s">
        <v>116</v>
      </c>
      <c r="P646" t="s">
        <v>4924</v>
      </c>
      <c r="R646" t="s">
        <v>4925</v>
      </c>
      <c r="T646" t="s">
        <v>4926</v>
      </c>
      <c r="U646" t="s">
        <v>1722</v>
      </c>
      <c r="V646" s="8" t="str">
        <f>"20882"</f>
        <v>20882</v>
      </c>
      <c r="W646" t="s">
        <v>118</v>
      </c>
      <c r="Y646" s="10">
        <v>13014820300</v>
      </c>
      <c r="AA646">
        <v>56173</v>
      </c>
      <c r="AB646" t="s">
        <v>4927</v>
      </c>
      <c r="AC646" t="s">
        <v>4928</v>
      </c>
      <c r="AE646" t="s">
        <v>1104</v>
      </c>
      <c r="AF646" t="s">
        <v>4925</v>
      </c>
      <c r="AH646" t="s">
        <v>4926</v>
      </c>
      <c r="AI646" t="s">
        <v>1722</v>
      </c>
      <c r="AJ646" s="8" t="str">
        <f>"20882"</f>
        <v>20882</v>
      </c>
      <c r="AK646" t="s">
        <v>118</v>
      </c>
      <c r="AM646" s="10">
        <v>13014820300</v>
      </c>
      <c r="AO646" t="s">
        <v>4929</v>
      </c>
      <c r="AP646" t="s">
        <v>248</v>
      </c>
      <c r="AQ646" t="s">
        <v>2152</v>
      </c>
      <c r="AR646" t="s">
        <v>2153</v>
      </c>
      <c r="AS646" t="s">
        <v>1798</v>
      </c>
      <c r="AT646" t="s">
        <v>1253</v>
      </c>
      <c r="AU646" t="s">
        <v>852</v>
      </c>
      <c r="AV646" t="s">
        <v>853</v>
      </c>
      <c r="AW646" t="s">
        <v>854</v>
      </c>
      <c r="AX646" s="8" t="str">
        <f>"83814"</f>
        <v>83814</v>
      </c>
      <c r="AY646" t="s">
        <v>118</v>
      </c>
      <c r="BA646" s="10">
        <v>12087772654</v>
      </c>
      <c r="BC646" t="s">
        <v>2154</v>
      </c>
      <c r="BD646" t="s">
        <v>856</v>
      </c>
      <c r="BG646" t="s">
        <v>1722</v>
      </c>
      <c r="BH646" s="1">
        <v>45229.833333333336</v>
      </c>
      <c r="BI646">
        <v>40</v>
      </c>
      <c r="BJ646">
        <v>0</v>
      </c>
      <c r="BK646">
        <v>8</v>
      </c>
      <c r="BL646">
        <v>8</v>
      </c>
      <c r="BM646">
        <v>8</v>
      </c>
      <c r="BN646">
        <v>8</v>
      </c>
      <c r="BO646">
        <v>8</v>
      </c>
      <c r="BP646">
        <v>0</v>
      </c>
      <c r="BQ646" t="str">
        <f>"6:30 AM"</f>
        <v>6:30 AM</v>
      </c>
      <c r="BR646" t="str">
        <f>"3:30 PM"</f>
        <v>3:30 PM</v>
      </c>
      <c r="BS646" t="s">
        <v>131</v>
      </c>
      <c r="BT646">
        <v>0</v>
      </c>
      <c r="BU646">
        <v>0</v>
      </c>
      <c r="BV646" t="s">
        <v>114</v>
      </c>
      <c r="BX646" t="s">
        <v>3304</v>
      </c>
      <c r="BY646" t="s">
        <v>23041</v>
      </c>
      <c r="CA646" t="s">
        <v>23042</v>
      </c>
      <c r="CB646" t="s">
        <v>1722</v>
      </c>
      <c r="CC646" s="8" t="str">
        <f>"20747"</f>
        <v>20747</v>
      </c>
      <c r="CD646" t="s">
        <v>1793</v>
      </c>
      <c r="CE646" t="s">
        <v>1794</v>
      </c>
      <c r="CF646" s="12">
        <v>19.670000000000002</v>
      </c>
      <c r="CG646" s="12">
        <v>20.75</v>
      </c>
      <c r="CH646" s="12">
        <v>29.51</v>
      </c>
      <c r="CI646" s="12">
        <v>31.13</v>
      </c>
      <c r="CJ646" t="s">
        <v>135</v>
      </c>
      <c r="CK646" t="s">
        <v>1899</v>
      </c>
      <c r="CL646" t="s">
        <v>23043</v>
      </c>
      <c r="CO646" t="s">
        <v>132</v>
      </c>
      <c r="CP646" t="s">
        <v>136</v>
      </c>
      <c r="CQ646" t="s">
        <v>136</v>
      </c>
      <c r="CR646" t="s">
        <v>136</v>
      </c>
      <c r="CS646" t="s">
        <v>136</v>
      </c>
      <c r="CT646" t="s">
        <v>136</v>
      </c>
      <c r="CU646" t="s">
        <v>136</v>
      </c>
      <c r="CV646" s="2" t="s">
        <v>23044</v>
      </c>
      <c r="CW646" s="10" t="str">
        <f>"+13014202091"</f>
        <v>+13014202091</v>
      </c>
      <c r="CX646" t="s">
        <v>23045</v>
      </c>
      <c r="CY646" t="s">
        <v>132</v>
      </c>
      <c r="CZ646" t="s">
        <v>137</v>
      </c>
      <c r="DA646" t="s">
        <v>114</v>
      </c>
      <c r="DB646" t="s">
        <v>136</v>
      </c>
      <c r="DC646" t="s">
        <v>136</v>
      </c>
      <c r="DD646" t="s">
        <v>114</v>
      </c>
    </row>
    <row r="647" spans="1:108" ht="15" customHeight="1" x14ac:dyDescent="0.25">
      <c r="A647" t="s">
        <v>14867</v>
      </c>
      <c r="B647" t="s">
        <v>152</v>
      </c>
      <c r="C647" s="1">
        <v>45233.001631018516</v>
      </c>
      <c r="D647" s="1">
        <v>45259</v>
      </c>
      <c r="E647" t="s">
        <v>132</v>
      </c>
      <c r="F647" t="s">
        <v>4923</v>
      </c>
      <c r="G647" t="str">
        <f>"37-3011.00"</f>
        <v>37-3011.00</v>
      </c>
      <c r="H647" t="s">
        <v>429</v>
      </c>
      <c r="I647">
        <v>24</v>
      </c>
      <c r="J647">
        <v>24</v>
      </c>
      <c r="K647" s="1">
        <v>45323</v>
      </c>
      <c r="L647" s="1">
        <v>45626</v>
      </c>
      <c r="M647" s="1">
        <v>45323</v>
      </c>
      <c r="N647" s="1">
        <v>45626</v>
      </c>
      <c r="O647" t="s">
        <v>116</v>
      </c>
      <c r="P647" t="s">
        <v>4924</v>
      </c>
      <c r="R647" t="s">
        <v>4925</v>
      </c>
      <c r="T647" t="s">
        <v>4926</v>
      </c>
      <c r="U647" t="s">
        <v>1722</v>
      </c>
      <c r="V647" s="8" t="str">
        <f>"20882"</f>
        <v>20882</v>
      </c>
      <c r="W647" t="s">
        <v>118</v>
      </c>
      <c r="Y647" s="10">
        <v>13014820300</v>
      </c>
      <c r="AA647">
        <v>56173</v>
      </c>
      <c r="AB647" t="s">
        <v>4927</v>
      </c>
      <c r="AC647" t="s">
        <v>4928</v>
      </c>
      <c r="AE647" t="s">
        <v>1104</v>
      </c>
      <c r="AF647" t="s">
        <v>4925</v>
      </c>
      <c r="AH647" t="s">
        <v>4926</v>
      </c>
      <c r="AI647" t="s">
        <v>1722</v>
      </c>
      <c r="AJ647" s="8" t="str">
        <f>"20882"</f>
        <v>20882</v>
      </c>
      <c r="AK647" t="s">
        <v>118</v>
      </c>
      <c r="AM647" s="10">
        <v>13014820300</v>
      </c>
      <c r="AO647" t="s">
        <v>4929</v>
      </c>
      <c r="AP647" t="s">
        <v>248</v>
      </c>
      <c r="AQ647" t="s">
        <v>2152</v>
      </c>
      <c r="AR647" t="s">
        <v>2153</v>
      </c>
      <c r="AS647" t="s">
        <v>1798</v>
      </c>
      <c r="AT647" t="s">
        <v>1253</v>
      </c>
      <c r="AU647" t="s">
        <v>852</v>
      </c>
      <c r="AV647" t="s">
        <v>853</v>
      </c>
      <c r="AW647" t="s">
        <v>854</v>
      </c>
      <c r="AX647" s="8" t="str">
        <f>"83814"</f>
        <v>83814</v>
      </c>
      <c r="AY647" t="s">
        <v>118</v>
      </c>
      <c r="BA647" s="10">
        <v>12087772654</v>
      </c>
      <c r="BC647" t="s">
        <v>2154</v>
      </c>
      <c r="BD647" t="s">
        <v>856</v>
      </c>
      <c r="BG647" t="s">
        <v>375</v>
      </c>
      <c r="BH647" s="1">
        <v>45231.833333333336</v>
      </c>
      <c r="BI647">
        <v>40</v>
      </c>
      <c r="BJ647">
        <v>0</v>
      </c>
      <c r="BK647">
        <v>8</v>
      </c>
      <c r="BL647">
        <v>8</v>
      </c>
      <c r="BM647">
        <v>8</v>
      </c>
      <c r="BN647">
        <v>8</v>
      </c>
      <c r="BO647">
        <v>8</v>
      </c>
      <c r="BP647">
        <v>0</v>
      </c>
      <c r="BQ647" t="str">
        <f>"6:30 AM"</f>
        <v>6:30 AM</v>
      </c>
      <c r="BR647" t="str">
        <f>"3:30 PM"</f>
        <v>3:30 PM</v>
      </c>
      <c r="BS647" t="s">
        <v>131</v>
      </c>
      <c r="BT647">
        <v>0</v>
      </c>
      <c r="BU647">
        <v>0</v>
      </c>
      <c r="BV647" t="s">
        <v>114</v>
      </c>
      <c r="BX647" t="s">
        <v>3304</v>
      </c>
      <c r="BY647" t="s">
        <v>14868</v>
      </c>
      <c r="CA647" t="s">
        <v>14869</v>
      </c>
      <c r="CB647" t="s">
        <v>375</v>
      </c>
      <c r="CC647" s="8" t="str">
        <f>"27703"</f>
        <v>27703</v>
      </c>
      <c r="CD647" t="s">
        <v>14870</v>
      </c>
      <c r="CE647" t="s">
        <v>2386</v>
      </c>
      <c r="CF647" s="12">
        <v>17.41</v>
      </c>
      <c r="CG647" s="12">
        <v>20</v>
      </c>
      <c r="CH647" s="12">
        <v>26.12</v>
      </c>
      <c r="CI647" s="12">
        <v>30</v>
      </c>
      <c r="CJ647" t="s">
        <v>135</v>
      </c>
      <c r="CK647" t="s">
        <v>1899</v>
      </c>
      <c r="CL647" t="s">
        <v>14871</v>
      </c>
      <c r="CO647" t="s">
        <v>132</v>
      </c>
      <c r="CP647" t="s">
        <v>136</v>
      </c>
      <c r="CQ647" t="s">
        <v>136</v>
      </c>
      <c r="CR647" t="s">
        <v>136</v>
      </c>
      <c r="CS647" t="s">
        <v>136</v>
      </c>
      <c r="CT647" t="s">
        <v>136</v>
      </c>
      <c r="CU647" t="s">
        <v>136</v>
      </c>
      <c r="CV647" s="2" t="s">
        <v>14872</v>
      </c>
      <c r="CW647" s="10" t="str">
        <f>"+19197946003"</f>
        <v>+19197946003</v>
      </c>
      <c r="CX647" t="s">
        <v>14873</v>
      </c>
      <c r="CY647" t="s">
        <v>132</v>
      </c>
      <c r="CZ647" t="s">
        <v>137</v>
      </c>
      <c r="DA647" t="s">
        <v>114</v>
      </c>
      <c r="DB647" t="s">
        <v>136</v>
      </c>
      <c r="DC647" t="s">
        <v>136</v>
      </c>
      <c r="DD647" t="s">
        <v>114</v>
      </c>
    </row>
    <row r="648" spans="1:108" ht="15" customHeight="1" x14ac:dyDescent="0.25">
      <c r="A648" t="s">
        <v>13921</v>
      </c>
      <c r="B648" t="s">
        <v>152</v>
      </c>
      <c r="C648" s="1">
        <v>45233.001377777779</v>
      </c>
      <c r="D648" s="1">
        <v>45259</v>
      </c>
      <c r="E648" t="s">
        <v>132</v>
      </c>
      <c r="F648" t="s">
        <v>4923</v>
      </c>
      <c r="G648" t="str">
        <f>"37-3011.00"</f>
        <v>37-3011.00</v>
      </c>
      <c r="H648" t="s">
        <v>429</v>
      </c>
      <c r="I648">
        <v>34</v>
      </c>
      <c r="J648">
        <v>34</v>
      </c>
      <c r="K648" s="1">
        <v>45323</v>
      </c>
      <c r="L648" s="1">
        <v>45626</v>
      </c>
      <c r="M648" s="1">
        <v>45323</v>
      </c>
      <c r="N648" s="1">
        <v>45626</v>
      </c>
      <c r="O648" t="s">
        <v>116</v>
      </c>
      <c r="P648" t="s">
        <v>4924</v>
      </c>
      <c r="R648" t="s">
        <v>4925</v>
      </c>
      <c r="T648" t="s">
        <v>4926</v>
      </c>
      <c r="U648" t="s">
        <v>1722</v>
      </c>
      <c r="V648" s="8" t="str">
        <f>"20882"</f>
        <v>20882</v>
      </c>
      <c r="W648" t="s">
        <v>118</v>
      </c>
      <c r="Y648" s="10">
        <v>13014820300</v>
      </c>
      <c r="AA648">
        <v>56173</v>
      </c>
      <c r="AB648" t="s">
        <v>4927</v>
      </c>
      <c r="AC648" t="s">
        <v>4928</v>
      </c>
      <c r="AE648" t="s">
        <v>1104</v>
      </c>
      <c r="AF648" t="s">
        <v>4925</v>
      </c>
      <c r="AH648" t="s">
        <v>4926</v>
      </c>
      <c r="AI648" t="s">
        <v>1722</v>
      </c>
      <c r="AJ648" s="8" t="str">
        <f>"20882"</f>
        <v>20882</v>
      </c>
      <c r="AK648" t="s">
        <v>118</v>
      </c>
      <c r="AM648" s="10">
        <v>13014820300</v>
      </c>
      <c r="AO648" t="s">
        <v>4929</v>
      </c>
      <c r="AP648" t="s">
        <v>248</v>
      </c>
      <c r="AQ648" t="s">
        <v>2152</v>
      </c>
      <c r="AR648" t="s">
        <v>2153</v>
      </c>
      <c r="AS648" t="s">
        <v>1798</v>
      </c>
      <c r="AT648" t="s">
        <v>1253</v>
      </c>
      <c r="AU648" t="s">
        <v>852</v>
      </c>
      <c r="AV648" t="s">
        <v>853</v>
      </c>
      <c r="AW648" t="s">
        <v>854</v>
      </c>
      <c r="AX648" s="8" t="str">
        <f>"83814"</f>
        <v>83814</v>
      </c>
      <c r="AY648" t="s">
        <v>118</v>
      </c>
      <c r="BA648" s="10">
        <v>12087772654</v>
      </c>
      <c r="BC648" t="s">
        <v>2154</v>
      </c>
      <c r="BD648" t="s">
        <v>856</v>
      </c>
      <c r="BG648" t="s">
        <v>550</v>
      </c>
      <c r="BH648" s="1">
        <v>45231.833333333336</v>
      </c>
      <c r="BI648">
        <v>40</v>
      </c>
      <c r="BJ648">
        <v>0</v>
      </c>
      <c r="BK648">
        <v>8</v>
      </c>
      <c r="BL648">
        <v>8</v>
      </c>
      <c r="BM648">
        <v>8</v>
      </c>
      <c r="BN648">
        <v>8</v>
      </c>
      <c r="BO648">
        <v>8</v>
      </c>
      <c r="BP648">
        <v>0</v>
      </c>
      <c r="BQ648" t="str">
        <f>"6:30 AM"</f>
        <v>6:30 AM</v>
      </c>
      <c r="BR648" t="str">
        <f>"3:30 PM"</f>
        <v>3:30 PM</v>
      </c>
      <c r="BS648" t="s">
        <v>131</v>
      </c>
      <c r="BT648">
        <v>0</v>
      </c>
      <c r="BU648">
        <v>0</v>
      </c>
      <c r="BV648" t="s">
        <v>114</v>
      </c>
      <c r="BX648" t="s">
        <v>3304</v>
      </c>
      <c r="BY648" t="s">
        <v>13922</v>
      </c>
      <c r="CA648" t="s">
        <v>13837</v>
      </c>
      <c r="CB648" t="s">
        <v>550</v>
      </c>
      <c r="CC648" s="8" t="str">
        <f>"30126"</f>
        <v>30126</v>
      </c>
      <c r="CD648" t="s">
        <v>7598</v>
      </c>
      <c r="CE648" t="s">
        <v>552</v>
      </c>
      <c r="CF648" s="12">
        <v>17.07</v>
      </c>
      <c r="CG648" s="12">
        <v>19</v>
      </c>
      <c r="CH648" s="12">
        <v>25.61</v>
      </c>
      <c r="CI648" s="12">
        <v>28.5</v>
      </c>
      <c r="CJ648" t="s">
        <v>135</v>
      </c>
      <c r="CK648" t="s">
        <v>1899</v>
      </c>
      <c r="CL648" t="s">
        <v>13923</v>
      </c>
      <c r="CO648" t="s">
        <v>132</v>
      </c>
      <c r="CP648" t="s">
        <v>136</v>
      </c>
      <c r="CQ648" t="s">
        <v>136</v>
      </c>
      <c r="CR648" t="s">
        <v>136</v>
      </c>
      <c r="CS648" t="s">
        <v>136</v>
      </c>
      <c r="CT648" t="s">
        <v>136</v>
      </c>
      <c r="CU648" t="s">
        <v>136</v>
      </c>
      <c r="CV648" s="2" t="s">
        <v>13924</v>
      </c>
      <c r="CW648" s="10" t="str">
        <f>"+16782742528"</f>
        <v>+16782742528</v>
      </c>
      <c r="CX648" t="s">
        <v>13925</v>
      </c>
      <c r="CY648" t="s">
        <v>132</v>
      </c>
      <c r="CZ648" t="s">
        <v>137</v>
      </c>
      <c r="DA648" t="s">
        <v>114</v>
      </c>
      <c r="DB648" t="s">
        <v>136</v>
      </c>
      <c r="DC648" t="s">
        <v>136</v>
      </c>
      <c r="DD648" t="s">
        <v>114</v>
      </c>
    </row>
    <row r="649" spans="1:108" ht="15" customHeight="1" x14ac:dyDescent="0.25">
      <c r="A649" t="s">
        <v>18796</v>
      </c>
      <c r="B649" t="s">
        <v>152</v>
      </c>
      <c r="C649" s="1">
        <v>45233.001290972221</v>
      </c>
      <c r="D649" s="1">
        <v>45259</v>
      </c>
      <c r="E649" t="s">
        <v>132</v>
      </c>
      <c r="F649" t="s">
        <v>4923</v>
      </c>
      <c r="G649" t="str">
        <f>"37-3011.00"</f>
        <v>37-3011.00</v>
      </c>
      <c r="H649" t="s">
        <v>429</v>
      </c>
      <c r="I649">
        <v>27</v>
      </c>
      <c r="J649">
        <v>27</v>
      </c>
      <c r="K649" s="1">
        <v>45323</v>
      </c>
      <c r="L649" s="1">
        <v>45626</v>
      </c>
      <c r="M649" s="1">
        <v>45323</v>
      </c>
      <c r="N649" s="1">
        <v>45626</v>
      </c>
      <c r="O649" t="s">
        <v>116</v>
      </c>
      <c r="P649" t="s">
        <v>4924</v>
      </c>
      <c r="R649" t="s">
        <v>4925</v>
      </c>
      <c r="T649" t="s">
        <v>4926</v>
      </c>
      <c r="U649" t="s">
        <v>1722</v>
      </c>
      <c r="V649" s="8" t="str">
        <f>"20882"</f>
        <v>20882</v>
      </c>
      <c r="W649" t="s">
        <v>118</v>
      </c>
      <c r="Y649" s="10">
        <v>13014820300</v>
      </c>
      <c r="AA649">
        <v>56173</v>
      </c>
      <c r="AB649" t="s">
        <v>4927</v>
      </c>
      <c r="AC649" t="s">
        <v>4928</v>
      </c>
      <c r="AE649" t="s">
        <v>1104</v>
      </c>
      <c r="AF649" t="s">
        <v>4925</v>
      </c>
      <c r="AH649" t="s">
        <v>4926</v>
      </c>
      <c r="AI649" t="s">
        <v>1722</v>
      </c>
      <c r="AJ649" s="8" t="str">
        <f>"20882"</f>
        <v>20882</v>
      </c>
      <c r="AK649" t="s">
        <v>118</v>
      </c>
      <c r="AM649" s="10">
        <v>13014820300</v>
      </c>
      <c r="AO649" t="s">
        <v>4929</v>
      </c>
      <c r="AP649" t="s">
        <v>248</v>
      </c>
      <c r="AQ649" t="s">
        <v>2152</v>
      </c>
      <c r="AR649" t="s">
        <v>2153</v>
      </c>
      <c r="AS649" t="s">
        <v>1798</v>
      </c>
      <c r="AT649" t="s">
        <v>1253</v>
      </c>
      <c r="AU649" t="s">
        <v>852</v>
      </c>
      <c r="AV649" t="s">
        <v>853</v>
      </c>
      <c r="AW649" t="s">
        <v>854</v>
      </c>
      <c r="AX649" s="8" t="str">
        <f>"83814"</f>
        <v>83814</v>
      </c>
      <c r="AY649" t="s">
        <v>118</v>
      </c>
      <c r="BA649" s="10">
        <v>12087772654</v>
      </c>
      <c r="BC649" t="s">
        <v>2154</v>
      </c>
      <c r="BD649" t="s">
        <v>856</v>
      </c>
      <c r="BG649" t="s">
        <v>550</v>
      </c>
      <c r="BH649" s="1">
        <v>45231.833333333336</v>
      </c>
      <c r="BI649">
        <v>40</v>
      </c>
      <c r="BJ649">
        <v>0</v>
      </c>
      <c r="BK649">
        <v>8</v>
      </c>
      <c r="BL649">
        <v>8</v>
      </c>
      <c r="BM649">
        <v>8</v>
      </c>
      <c r="BN649">
        <v>8</v>
      </c>
      <c r="BO649">
        <v>8</v>
      </c>
      <c r="BP649">
        <v>0</v>
      </c>
      <c r="BQ649" t="str">
        <f>"6:30 AM"</f>
        <v>6:30 AM</v>
      </c>
      <c r="BR649" t="str">
        <f>"3:30 PM"</f>
        <v>3:30 PM</v>
      </c>
      <c r="BS649" t="s">
        <v>131</v>
      </c>
      <c r="BT649">
        <v>0</v>
      </c>
      <c r="BU649">
        <v>0</v>
      </c>
      <c r="BV649" t="s">
        <v>114</v>
      </c>
      <c r="BX649" t="s">
        <v>3304</v>
      </c>
      <c r="BY649" t="s">
        <v>18797</v>
      </c>
      <c r="CA649" t="s">
        <v>18798</v>
      </c>
      <c r="CB649" t="s">
        <v>550</v>
      </c>
      <c r="CC649" s="8" t="str">
        <f>"30047"</f>
        <v>30047</v>
      </c>
      <c r="CD649" t="s">
        <v>4904</v>
      </c>
      <c r="CE649" t="s">
        <v>552</v>
      </c>
      <c r="CF649" s="12">
        <v>17.07</v>
      </c>
      <c r="CG649" s="12">
        <v>18.5</v>
      </c>
      <c r="CH649" s="12">
        <v>25.61</v>
      </c>
      <c r="CI649" s="12">
        <v>27.75</v>
      </c>
      <c r="CJ649" t="s">
        <v>135</v>
      </c>
      <c r="CK649" t="s">
        <v>1899</v>
      </c>
      <c r="CL649" t="s">
        <v>18799</v>
      </c>
      <c r="CO649" t="s">
        <v>132</v>
      </c>
      <c r="CP649" t="s">
        <v>136</v>
      </c>
      <c r="CQ649" t="s">
        <v>136</v>
      </c>
      <c r="CR649" t="s">
        <v>136</v>
      </c>
      <c r="CS649" t="s">
        <v>136</v>
      </c>
      <c r="CT649" t="s">
        <v>136</v>
      </c>
      <c r="CU649" t="s">
        <v>136</v>
      </c>
      <c r="CV649" s="2" t="s">
        <v>18800</v>
      </c>
      <c r="CW649" s="10" t="str">
        <f>"+17709319900"</f>
        <v>+17709319900</v>
      </c>
      <c r="CX649" t="s">
        <v>18801</v>
      </c>
      <c r="CY649" t="s">
        <v>132</v>
      </c>
      <c r="CZ649" t="s">
        <v>137</v>
      </c>
      <c r="DA649" t="s">
        <v>114</v>
      </c>
      <c r="DB649" t="s">
        <v>136</v>
      </c>
      <c r="DC649" t="s">
        <v>136</v>
      </c>
      <c r="DD649" t="s">
        <v>114</v>
      </c>
    </row>
    <row r="650" spans="1:108" ht="15" customHeight="1" x14ac:dyDescent="0.25">
      <c r="A650" t="s">
        <v>11410</v>
      </c>
      <c r="B650" t="s">
        <v>152</v>
      </c>
      <c r="C650" s="1">
        <v>45233.00111203704</v>
      </c>
      <c r="D650" s="1">
        <v>45259</v>
      </c>
      <c r="E650" t="s">
        <v>132</v>
      </c>
      <c r="F650" t="s">
        <v>4923</v>
      </c>
      <c r="G650" t="str">
        <f>"37-3011.00"</f>
        <v>37-3011.00</v>
      </c>
      <c r="H650" t="s">
        <v>429</v>
      </c>
      <c r="I650">
        <v>15</v>
      </c>
      <c r="J650">
        <v>15</v>
      </c>
      <c r="K650" s="1">
        <v>45323</v>
      </c>
      <c r="L650" s="1">
        <v>45626</v>
      </c>
      <c r="M650" s="1">
        <v>45323</v>
      </c>
      <c r="N650" s="1">
        <v>45626</v>
      </c>
      <c r="O650" t="s">
        <v>116</v>
      </c>
      <c r="P650" t="s">
        <v>4924</v>
      </c>
      <c r="R650" t="s">
        <v>4925</v>
      </c>
      <c r="T650" t="s">
        <v>4926</v>
      </c>
      <c r="U650" t="s">
        <v>1722</v>
      </c>
      <c r="V650" s="8" t="str">
        <f>"20882"</f>
        <v>20882</v>
      </c>
      <c r="W650" t="s">
        <v>118</v>
      </c>
      <c r="Y650" s="10">
        <v>13014820300</v>
      </c>
      <c r="AA650">
        <v>56173</v>
      </c>
      <c r="AB650" t="s">
        <v>4927</v>
      </c>
      <c r="AC650" t="s">
        <v>4928</v>
      </c>
      <c r="AE650" t="s">
        <v>1104</v>
      </c>
      <c r="AF650" t="s">
        <v>4925</v>
      </c>
      <c r="AH650" t="s">
        <v>4926</v>
      </c>
      <c r="AI650" t="s">
        <v>1722</v>
      </c>
      <c r="AJ650" s="8" t="str">
        <f>"20882"</f>
        <v>20882</v>
      </c>
      <c r="AK650" t="s">
        <v>118</v>
      </c>
      <c r="AM650" s="10">
        <v>13014820300</v>
      </c>
      <c r="AO650" t="s">
        <v>4929</v>
      </c>
      <c r="AP650" t="s">
        <v>248</v>
      </c>
      <c r="AQ650" t="s">
        <v>2152</v>
      </c>
      <c r="AR650" t="s">
        <v>2153</v>
      </c>
      <c r="AS650" t="s">
        <v>1798</v>
      </c>
      <c r="AT650" t="s">
        <v>1253</v>
      </c>
      <c r="AU650" t="s">
        <v>852</v>
      </c>
      <c r="AV650" t="s">
        <v>853</v>
      </c>
      <c r="AW650" t="s">
        <v>854</v>
      </c>
      <c r="AX650" s="8" t="str">
        <f>"83814"</f>
        <v>83814</v>
      </c>
      <c r="AY650" t="s">
        <v>118</v>
      </c>
      <c r="BA650" s="10">
        <v>12087772654</v>
      </c>
      <c r="BC650" t="s">
        <v>2154</v>
      </c>
      <c r="BD650" t="s">
        <v>856</v>
      </c>
      <c r="BG650" t="s">
        <v>1427</v>
      </c>
      <c r="BH650" s="1">
        <v>45229.833333333336</v>
      </c>
      <c r="BI650">
        <v>40</v>
      </c>
      <c r="BJ650">
        <v>0</v>
      </c>
      <c r="BK650">
        <v>8</v>
      </c>
      <c r="BL650">
        <v>8</v>
      </c>
      <c r="BM650">
        <v>8</v>
      </c>
      <c r="BN650">
        <v>8</v>
      </c>
      <c r="BO650">
        <v>8</v>
      </c>
      <c r="BP650">
        <v>0</v>
      </c>
      <c r="BQ650" t="str">
        <f>"6:30 AM"</f>
        <v>6:30 AM</v>
      </c>
      <c r="BR650" t="str">
        <f>"3:30 PM"</f>
        <v>3:30 PM</v>
      </c>
      <c r="BS650" t="s">
        <v>131</v>
      </c>
      <c r="BT650">
        <v>0</v>
      </c>
      <c r="BU650">
        <v>0</v>
      </c>
      <c r="BV650" t="s">
        <v>114</v>
      </c>
      <c r="BX650" t="s">
        <v>3304</v>
      </c>
      <c r="BY650" t="s">
        <v>11411</v>
      </c>
      <c r="CA650" t="s">
        <v>7360</v>
      </c>
      <c r="CB650" t="s">
        <v>1427</v>
      </c>
      <c r="CC650" s="8" t="str">
        <f>"19939"</f>
        <v>19939</v>
      </c>
      <c r="CD650" t="s">
        <v>5646</v>
      </c>
      <c r="CE650" t="s">
        <v>3831</v>
      </c>
      <c r="CF650" s="12">
        <v>16.149999999999999</v>
      </c>
      <c r="CG650" s="12">
        <v>20</v>
      </c>
      <c r="CH650" s="12">
        <v>24.23</v>
      </c>
      <c r="CI650" s="12">
        <v>30</v>
      </c>
      <c r="CJ650" t="s">
        <v>135</v>
      </c>
      <c r="CK650" t="s">
        <v>1899</v>
      </c>
      <c r="CL650" t="s">
        <v>11412</v>
      </c>
      <c r="CO650" t="s">
        <v>132</v>
      </c>
      <c r="CP650" t="s">
        <v>136</v>
      </c>
      <c r="CQ650" t="s">
        <v>136</v>
      </c>
      <c r="CR650" t="s">
        <v>136</v>
      </c>
      <c r="CS650" t="s">
        <v>136</v>
      </c>
      <c r="CT650" t="s">
        <v>136</v>
      </c>
      <c r="CU650" t="s">
        <v>136</v>
      </c>
      <c r="CV650" s="2" t="s">
        <v>11413</v>
      </c>
      <c r="CW650" s="10" t="str">
        <f>"+13025372771"</f>
        <v>+13025372771</v>
      </c>
      <c r="CX650" t="s">
        <v>11414</v>
      </c>
      <c r="CY650" t="s">
        <v>132</v>
      </c>
      <c r="CZ650" t="s">
        <v>137</v>
      </c>
      <c r="DA650" t="s">
        <v>114</v>
      </c>
      <c r="DB650" t="s">
        <v>136</v>
      </c>
      <c r="DC650" t="s">
        <v>136</v>
      </c>
      <c r="DD650" t="s">
        <v>114</v>
      </c>
    </row>
    <row r="651" spans="1:108" ht="15" customHeight="1" x14ac:dyDescent="0.25">
      <c r="A651" t="s">
        <v>16430</v>
      </c>
      <c r="B651" t="s">
        <v>152</v>
      </c>
      <c r="C651" s="1">
        <v>45231.323590046297</v>
      </c>
      <c r="D651" s="1">
        <v>45259</v>
      </c>
      <c r="E651" t="s">
        <v>132</v>
      </c>
      <c r="F651" t="s">
        <v>236</v>
      </c>
      <c r="G651" t="str">
        <f>"39-3091.00"</f>
        <v>39-3091.00</v>
      </c>
      <c r="H651" t="s">
        <v>237</v>
      </c>
      <c r="I651">
        <v>35</v>
      </c>
      <c r="J651">
        <v>35</v>
      </c>
      <c r="K651" s="1">
        <v>45321</v>
      </c>
      <c r="L651" s="1">
        <v>45625</v>
      </c>
      <c r="M651" s="1">
        <v>45321</v>
      </c>
      <c r="N651" s="1">
        <v>45625</v>
      </c>
      <c r="O651" t="s">
        <v>238</v>
      </c>
      <c r="P651" t="s">
        <v>16431</v>
      </c>
      <c r="R651" t="s">
        <v>16432</v>
      </c>
      <c r="S651" t="s">
        <v>16433</v>
      </c>
      <c r="T651" t="s">
        <v>126</v>
      </c>
      <c r="U651" t="s">
        <v>127</v>
      </c>
      <c r="V651" s="8" t="str">
        <f>"78260"</f>
        <v>78260</v>
      </c>
      <c r="W651" t="s">
        <v>118</v>
      </c>
      <c r="Y651" s="10">
        <v>12106022244</v>
      </c>
      <c r="AA651">
        <v>71399</v>
      </c>
      <c r="AB651" t="s">
        <v>16434</v>
      </c>
      <c r="AC651" t="s">
        <v>2947</v>
      </c>
      <c r="AE651" t="s">
        <v>629</v>
      </c>
      <c r="AF651" t="s">
        <v>16435</v>
      </c>
      <c r="AG651" t="s">
        <v>16433</v>
      </c>
      <c r="AH651" t="s">
        <v>126</v>
      </c>
      <c r="AI651" t="s">
        <v>127</v>
      </c>
      <c r="AJ651" s="8" t="str">
        <f>"78260"</f>
        <v>78260</v>
      </c>
      <c r="AK651" t="s">
        <v>118</v>
      </c>
      <c r="AM651" s="10">
        <v>12106022244</v>
      </c>
      <c r="AO651" t="s">
        <v>16436</v>
      </c>
      <c r="AP651" t="s">
        <v>248</v>
      </c>
      <c r="AQ651" t="s">
        <v>249</v>
      </c>
      <c r="AR651" t="s">
        <v>250</v>
      </c>
      <c r="AS651" t="s">
        <v>251</v>
      </c>
      <c r="AT651" t="s">
        <v>252</v>
      </c>
      <c r="AU651" t="s">
        <v>253</v>
      </c>
      <c r="AV651" t="s">
        <v>254</v>
      </c>
      <c r="AW651" t="s">
        <v>127</v>
      </c>
      <c r="AX651" s="8" t="str">
        <f>"78550"</f>
        <v>78550</v>
      </c>
      <c r="AY651" t="s">
        <v>118</v>
      </c>
      <c r="BA651" s="10">
        <v>19564408720</v>
      </c>
      <c r="BB651" s="3" t="s">
        <v>256</v>
      </c>
      <c r="BC651" t="s">
        <v>257</v>
      </c>
      <c r="BD651" t="s">
        <v>258</v>
      </c>
      <c r="BG651" t="s">
        <v>127</v>
      </c>
      <c r="BH651" s="1">
        <v>45230.833333333336</v>
      </c>
      <c r="BI651">
        <v>40</v>
      </c>
      <c r="BJ651">
        <v>8</v>
      </c>
      <c r="BK651">
        <v>0</v>
      </c>
      <c r="BL651">
        <v>0</v>
      </c>
      <c r="BM651">
        <v>8</v>
      </c>
      <c r="BN651">
        <v>8</v>
      </c>
      <c r="BO651">
        <v>8</v>
      </c>
      <c r="BP651">
        <v>8</v>
      </c>
      <c r="BQ651" t="str">
        <f>"1:00 PM"</f>
        <v>1:00 PM</v>
      </c>
      <c r="BR651" t="str">
        <f>"10:00 PM"</f>
        <v>10:00 PM</v>
      </c>
      <c r="BS651" t="s">
        <v>131</v>
      </c>
      <c r="BT651">
        <v>0</v>
      </c>
      <c r="BU651">
        <v>0</v>
      </c>
      <c r="BV651" t="s">
        <v>114</v>
      </c>
      <c r="BX651" s="2" t="s">
        <v>259</v>
      </c>
      <c r="BY651" t="s">
        <v>16437</v>
      </c>
      <c r="CA651" t="s">
        <v>16438</v>
      </c>
      <c r="CB651" t="s">
        <v>127</v>
      </c>
      <c r="CC651" s="8" t="str">
        <f>"78380"</f>
        <v>78380</v>
      </c>
      <c r="CD651" t="s">
        <v>2162</v>
      </c>
      <c r="CE651" t="s">
        <v>2163</v>
      </c>
      <c r="CF651" s="12">
        <v>9.8800000000000008</v>
      </c>
      <c r="CG651" s="12">
        <v>16.510000000000002</v>
      </c>
      <c r="CJ651" t="s">
        <v>135</v>
      </c>
      <c r="CK651" t="s">
        <v>264</v>
      </c>
      <c r="CL651" t="s">
        <v>16439</v>
      </c>
      <c r="CO651" t="s">
        <v>132</v>
      </c>
      <c r="CP651" t="s">
        <v>136</v>
      </c>
      <c r="CQ651" t="s">
        <v>136</v>
      </c>
      <c r="CR651" t="s">
        <v>114</v>
      </c>
      <c r="CS651" t="s">
        <v>136</v>
      </c>
      <c r="CT651" t="s">
        <v>136</v>
      </c>
      <c r="CU651" t="s">
        <v>136</v>
      </c>
      <c r="CV651" t="s">
        <v>2258</v>
      </c>
      <c r="CW651" s="10" t="str">
        <f>"+12106022244"</f>
        <v>+12106022244</v>
      </c>
      <c r="CX651" t="s">
        <v>16436</v>
      </c>
      <c r="CY651" t="s">
        <v>132</v>
      </c>
      <c r="CZ651" t="s">
        <v>137</v>
      </c>
      <c r="DA651" t="s">
        <v>114</v>
      </c>
      <c r="DB651" t="s">
        <v>136</v>
      </c>
      <c r="DC651" t="s">
        <v>136</v>
      </c>
      <c r="DD651" t="s">
        <v>114</v>
      </c>
    </row>
    <row r="652" spans="1:108" ht="15" customHeight="1" x14ac:dyDescent="0.25">
      <c r="A652" t="s">
        <v>17741</v>
      </c>
      <c r="B652" t="s">
        <v>152</v>
      </c>
      <c r="C652" s="1">
        <v>45230.58669837963</v>
      </c>
      <c r="D652" s="1">
        <v>45259</v>
      </c>
      <c r="E652" t="s">
        <v>132</v>
      </c>
      <c r="F652" t="s">
        <v>685</v>
      </c>
      <c r="G652" t="str">
        <f>"35-3023.00"</f>
        <v>35-3023.00</v>
      </c>
      <c r="H652" t="s">
        <v>1365</v>
      </c>
      <c r="I652">
        <v>40</v>
      </c>
      <c r="J652">
        <v>40</v>
      </c>
      <c r="K652" s="1">
        <v>45306</v>
      </c>
      <c r="L652" s="1">
        <v>45366</v>
      </c>
      <c r="M652" s="1">
        <v>45306</v>
      </c>
      <c r="N652" s="1">
        <v>45366</v>
      </c>
      <c r="O652" t="s">
        <v>238</v>
      </c>
      <c r="P652" t="s">
        <v>17742</v>
      </c>
      <c r="R652" t="s">
        <v>17743</v>
      </c>
      <c r="S652" t="s">
        <v>17744</v>
      </c>
      <c r="T652" t="s">
        <v>7366</v>
      </c>
      <c r="U652" t="s">
        <v>543</v>
      </c>
      <c r="V652" s="8" t="str">
        <f>"45342"</f>
        <v>45342</v>
      </c>
      <c r="W652" t="s">
        <v>118</v>
      </c>
      <c r="Y652" s="10">
        <v>19379019668</v>
      </c>
      <c r="Z652" s="3" t="s">
        <v>256</v>
      </c>
      <c r="AA652">
        <v>71399</v>
      </c>
      <c r="AB652" t="s">
        <v>2115</v>
      </c>
      <c r="AC652" t="s">
        <v>2899</v>
      </c>
      <c r="AE652" t="s">
        <v>561</v>
      </c>
      <c r="AF652" t="s">
        <v>17743</v>
      </c>
      <c r="AG652" t="s">
        <v>17745</v>
      </c>
      <c r="AH652" t="s">
        <v>7366</v>
      </c>
      <c r="AI652" t="s">
        <v>543</v>
      </c>
      <c r="AJ652" s="8" t="str">
        <f>"45342"</f>
        <v>45342</v>
      </c>
      <c r="AK652" t="s">
        <v>118</v>
      </c>
      <c r="AM652" s="10">
        <v>19379019668</v>
      </c>
      <c r="AN652" s="3" t="s">
        <v>256</v>
      </c>
      <c r="AO652" t="s">
        <v>17746</v>
      </c>
      <c r="AP652" t="s">
        <v>248</v>
      </c>
      <c r="AQ652" t="s">
        <v>249</v>
      </c>
      <c r="AR652" t="s">
        <v>250</v>
      </c>
      <c r="AS652" t="s">
        <v>251</v>
      </c>
      <c r="AT652" t="s">
        <v>252</v>
      </c>
      <c r="AU652" t="s">
        <v>253</v>
      </c>
      <c r="AV652" t="s">
        <v>254</v>
      </c>
      <c r="AW652" t="s">
        <v>127</v>
      </c>
      <c r="AX652" s="8" t="str">
        <f>"78550"</f>
        <v>78550</v>
      </c>
      <c r="AY652" t="s">
        <v>118</v>
      </c>
      <c r="AZ652" t="s">
        <v>255</v>
      </c>
      <c r="BA652" s="10">
        <v>19564408720</v>
      </c>
      <c r="BB652" s="3" t="s">
        <v>256</v>
      </c>
      <c r="BC652" t="s">
        <v>338</v>
      </c>
      <c r="BD652" t="s">
        <v>258</v>
      </c>
      <c r="BG652" t="s">
        <v>543</v>
      </c>
      <c r="BH652" s="1">
        <v>45229.833333333336</v>
      </c>
      <c r="BI652">
        <v>40</v>
      </c>
      <c r="BJ652">
        <v>8</v>
      </c>
      <c r="BK652">
        <v>0</v>
      </c>
      <c r="BL652">
        <v>0</v>
      </c>
      <c r="BM652">
        <v>8</v>
      </c>
      <c r="BN652">
        <v>8</v>
      </c>
      <c r="BO652">
        <v>8</v>
      </c>
      <c r="BP652">
        <v>8</v>
      </c>
      <c r="BQ652" t="str">
        <f>"1:00 PM"</f>
        <v>1:00 PM</v>
      </c>
      <c r="BR652" t="str">
        <f>"10:00 PM"</f>
        <v>10:00 PM</v>
      </c>
      <c r="BS652" t="s">
        <v>131</v>
      </c>
      <c r="BT652">
        <v>0</v>
      </c>
      <c r="BU652">
        <v>0</v>
      </c>
      <c r="BV652" t="s">
        <v>114</v>
      </c>
      <c r="BX652" s="2" t="s">
        <v>339</v>
      </c>
      <c r="BY652" t="s">
        <v>17747</v>
      </c>
      <c r="CA652" t="s">
        <v>17748</v>
      </c>
      <c r="CB652" t="s">
        <v>543</v>
      </c>
      <c r="CC652" s="8" t="str">
        <f>"45420"</f>
        <v>45420</v>
      </c>
      <c r="CD652" t="s">
        <v>878</v>
      </c>
      <c r="CE652" t="s">
        <v>3593</v>
      </c>
      <c r="CF652" s="12">
        <v>12.21</v>
      </c>
      <c r="CG652" s="12">
        <v>12.27</v>
      </c>
      <c r="CJ652" t="s">
        <v>135</v>
      </c>
      <c r="CK652" t="s">
        <v>342</v>
      </c>
      <c r="CL652" t="s">
        <v>17749</v>
      </c>
      <c r="CO652" t="s">
        <v>132</v>
      </c>
      <c r="CP652" t="s">
        <v>136</v>
      </c>
      <c r="CQ652" t="s">
        <v>136</v>
      </c>
      <c r="CR652" t="s">
        <v>114</v>
      </c>
      <c r="CS652" t="s">
        <v>136</v>
      </c>
      <c r="CT652" t="s">
        <v>136</v>
      </c>
      <c r="CU652" t="s">
        <v>136</v>
      </c>
      <c r="CV652" t="s">
        <v>344</v>
      </c>
      <c r="CW652" s="10" t="str">
        <f>"+19379019668"</f>
        <v>+19379019668</v>
      </c>
      <c r="CX652" t="s">
        <v>17746</v>
      </c>
      <c r="CY652" t="s">
        <v>132</v>
      </c>
      <c r="CZ652" t="s">
        <v>137</v>
      </c>
      <c r="DA652" t="s">
        <v>114</v>
      </c>
      <c r="DB652" t="s">
        <v>136</v>
      </c>
      <c r="DC652" t="s">
        <v>136</v>
      </c>
      <c r="DD652" t="s">
        <v>114</v>
      </c>
    </row>
    <row r="653" spans="1:108" ht="15" customHeight="1" x14ac:dyDescent="0.25">
      <c r="A653" t="s">
        <v>17487</v>
      </c>
      <c r="B653" t="s">
        <v>152</v>
      </c>
      <c r="C653" s="1">
        <v>45228.501464236113</v>
      </c>
      <c r="D653" s="1">
        <v>45259</v>
      </c>
      <c r="E653" t="s">
        <v>132</v>
      </c>
      <c r="F653" t="s">
        <v>1595</v>
      </c>
      <c r="G653" t="str">
        <f>"37-3011.00"</f>
        <v>37-3011.00</v>
      </c>
      <c r="H653" t="s">
        <v>429</v>
      </c>
      <c r="I653">
        <v>15</v>
      </c>
      <c r="J653">
        <v>15</v>
      </c>
      <c r="K653" s="1">
        <v>45306</v>
      </c>
      <c r="L653" s="1">
        <v>45610</v>
      </c>
      <c r="M653" s="1">
        <v>45306</v>
      </c>
      <c r="N653" s="1">
        <v>45610</v>
      </c>
      <c r="O653" t="s">
        <v>116</v>
      </c>
      <c r="P653" t="s">
        <v>17488</v>
      </c>
      <c r="R653" t="s">
        <v>17489</v>
      </c>
      <c r="T653" t="s">
        <v>17490</v>
      </c>
      <c r="U653" t="s">
        <v>169</v>
      </c>
      <c r="V653" s="8" t="str">
        <f>"55357"</f>
        <v>55357</v>
      </c>
      <c r="W653" t="s">
        <v>118</v>
      </c>
      <c r="Y653" s="10">
        <v>17634641123</v>
      </c>
      <c r="AA653">
        <v>56173</v>
      </c>
      <c r="AB653" t="s">
        <v>17491</v>
      </c>
      <c r="AC653" t="s">
        <v>4170</v>
      </c>
      <c r="AE653" t="s">
        <v>561</v>
      </c>
      <c r="AF653" t="s">
        <v>17489</v>
      </c>
      <c r="AH653" t="s">
        <v>17490</v>
      </c>
      <c r="AI653" t="s">
        <v>169</v>
      </c>
      <c r="AJ653" s="8" t="str">
        <f>"55357"</f>
        <v>55357</v>
      </c>
      <c r="AK653" t="s">
        <v>118</v>
      </c>
      <c r="AM653" s="10">
        <v>17634641123</v>
      </c>
      <c r="AO653" t="s">
        <v>796</v>
      </c>
      <c r="AP653" t="s">
        <v>248</v>
      </c>
      <c r="AQ653" t="s">
        <v>5249</v>
      </c>
      <c r="AR653" t="s">
        <v>5250</v>
      </c>
      <c r="AT653" t="s">
        <v>3691</v>
      </c>
      <c r="AU653" t="s">
        <v>3692</v>
      </c>
      <c r="AV653" t="s">
        <v>2814</v>
      </c>
      <c r="AW653" t="s">
        <v>2608</v>
      </c>
      <c r="AX653" s="8" t="str">
        <f>"74136"</f>
        <v>74136</v>
      </c>
      <c r="AY653" t="s">
        <v>118</v>
      </c>
      <c r="BA653" s="10">
        <v>19189065212</v>
      </c>
      <c r="BC653" t="s">
        <v>5251</v>
      </c>
      <c r="BD653" t="s">
        <v>3695</v>
      </c>
      <c r="BG653" t="s">
        <v>169</v>
      </c>
      <c r="BH653" s="1">
        <v>45189.833333333336</v>
      </c>
      <c r="BI653">
        <v>40</v>
      </c>
      <c r="BJ653">
        <v>0</v>
      </c>
      <c r="BK653">
        <v>7</v>
      </c>
      <c r="BL653">
        <v>7</v>
      </c>
      <c r="BM653">
        <v>7</v>
      </c>
      <c r="BN653">
        <v>7</v>
      </c>
      <c r="BO653">
        <v>7</v>
      </c>
      <c r="BP653">
        <v>5</v>
      </c>
      <c r="BQ653" t="str">
        <f>"7:00 AM"</f>
        <v>7:00 AM</v>
      </c>
      <c r="BR653" t="str">
        <f>"5:00 PM"</f>
        <v>5:00 PM</v>
      </c>
      <c r="BS653" t="s">
        <v>131</v>
      </c>
      <c r="BT653">
        <v>0</v>
      </c>
      <c r="BU653">
        <v>0</v>
      </c>
      <c r="BV653" t="s">
        <v>114</v>
      </c>
      <c r="BX653" s="2" t="s">
        <v>17492</v>
      </c>
      <c r="BY653" t="s">
        <v>17489</v>
      </c>
      <c r="CA653" t="s">
        <v>17490</v>
      </c>
      <c r="CB653" t="s">
        <v>169</v>
      </c>
      <c r="CC653" s="8" t="str">
        <f>"55357"</f>
        <v>55357</v>
      </c>
      <c r="CD653" t="s">
        <v>1909</v>
      </c>
      <c r="CE653" t="s">
        <v>1910</v>
      </c>
      <c r="CF653" s="12">
        <v>19.96</v>
      </c>
      <c r="CG653" s="12">
        <v>19.96</v>
      </c>
      <c r="CH653" s="12">
        <v>29.94</v>
      </c>
      <c r="CI653" s="12">
        <v>29.94</v>
      </c>
      <c r="CJ653" t="s">
        <v>135</v>
      </c>
      <c r="CK653" t="s">
        <v>3699</v>
      </c>
      <c r="CL653" t="s">
        <v>17493</v>
      </c>
      <c r="CO653" t="s">
        <v>132</v>
      </c>
      <c r="CP653" t="s">
        <v>136</v>
      </c>
      <c r="CQ653" t="s">
        <v>136</v>
      </c>
      <c r="CR653" t="s">
        <v>136</v>
      </c>
      <c r="CS653" t="s">
        <v>136</v>
      </c>
      <c r="CT653" t="s">
        <v>136</v>
      </c>
      <c r="CU653" t="s">
        <v>136</v>
      </c>
      <c r="CV653" s="2" t="s">
        <v>17494</v>
      </c>
      <c r="CW653" s="10" t="str">
        <f>"+17634641123"</f>
        <v>+17634641123</v>
      </c>
      <c r="CX653" t="s">
        <v>132</v>
      </c>
      <c r="CY653" t="s">
        <v>5252</v>
      </c>
      <c r="CZ653" t="s">
        <v>137</v>
      </c>
      <c r="DA653" t="s">
        <v>114</v>
      </c>
      <c r="DB653" t="s">
        <v>136</v>
      </c>
      <c r="DC653" t="s">
        <v>136</v>
      </c>
      <c r="DD653" t="s">
        <v>114</v>
      </c>
    </row>
    <row r="654" spans="1:108" ht="15" customHeight="1" x14ac:dyDescent="0.25">
      <c r="A654" t="s">
        <v>2333</v>
      </c>
      <c r="B654" t="s">
        <v>152</v>
      </c>
      <c r="C654" s="1">
        <v>45223.383423842592</v>
      </c>
      <c r="D654" s="1">
        <v>45259</v>
      </c>
      <c r="E654" t="s">
        <v>132</v>
      </c>
      <c r="F654" t="s">
        <v>2334</v>
      </c>
      <c r="G654" t="str">
        <f>"35-3023.00"</f>
        <v>35-3023.00</v>
      </c>
      <c r="H654" t="s">
        <v>1365</v>
      </c>
      <c r="I654">
        <v>30</v>
      </c>
      <c r="J654">
        <v>30</v>
      </c>
      <c r="K654" s="1">
        <v>45313</v>
      </c>
      <c r="L654" s="1">
        <v>45586</v>
      </c>
      <c r="M654" s="1">
        <v>45313</v>
      </c>
      <c r="N654" s="1">
        <v>45586</v>
      </c>
      <c r="O654" t="s">
        <v>238</v>
      </c>
      <c r="P654" t="s">
        <v>2335</v>
      </c>
      <c r="R654" t="s">
        <v>2336</v>
      </c>
      <c r="T654" t="s">
        <v>2337</v>
      </c>
      <c r="U654" t="s">
        <v>140</v>
      </c>
      <c r="V654" s="8" t="str">
        <f>"33579"</f>
        <v>33579</v>
      </c>
      <c r="W654" t="s">
        <v>118</v>
      </c>
      <c r="Y654" s="10">
        <v>18133995001</v>
      </c>
      <c r="AA654">
        <v>71399</v>
      </c>
      <c r="AB654" t="s">
        <v>2123</v>
      </c>
      <c r="AC654" t="s">
        <v>1069</v>
      </c>
      <c r="AE654" t="s">
        <v>629</v>
      </c>
      <c r="AF654" t="s">
        <v>2336</v>
      </c>
      <c r="AH654" t="s">
        <v>2337</v>
      </c>
      <c r="AI654" t="s">
        <v>140</v>
      </c>
      <c r="AJ654" s="8" t="str">
        <f>"33579"</f>
        <v>33579</v>
      </c>
      <c r="AK654" t="s">
        <v>118</v>
      </c>
      <c r="AM654" s="10">
        <v>18133995001</v>
      </c>
      <c r="AO654" t="s">
        <v>2338</v>
      </c>
      <c r="AP654" t="s">
        <v>121</v>
      </c>
      <c r="AQ654" t="s">
        <v>1718</v>
      </c>
      <c r="AR654" t="s">
        <v>708</v>
      </c>
      <c r="AS654" t="s">
        <v>1719</v>
      </c>
      <c r="AT654" t="s">
        <v>1720</v>
      </c>
      <c r="AU654" t="s">
        <v>799</v>
      </c>
      <c r="AV654" t="s">
        <v>1721</v>
      </c>
      <c r="AW654" t="s">
        <v>1722</v>
      </c>
      <c r="AX654" s="8" t="str">
        <f>"21401"</f>
        <v>21401</v>
      </c>
      <c r="AY654" t="s">
        <v>118</v>
      </c>
      <c r="BA654" s="10">
        <v>14105739955</v>
      </c>
      <c r="BB654">
        <v>0</v>
      </c>
      <c r="BC654" t="s">
        <v>1723</v>
      </c>
      <c r="BD654" t="s">
        <v>1724</v>
      </c>
      <c r="BE654" t="s">
        <v>1722</v>
      </c>
      <c r="BF654" t="s">
        <v>1725</v>
      </c>
      <c r="BG654" t="s">
        <v>140</v>
      </c>
      <c r="BH654" s="1">
        <v>45183.833333333336</v>
      </c>
      <c r="BI654">
        <v>35</v>
      </c>
      <c r="BJ654">
        <v>7</v>
      </c>
      <c r="BK654">
        <v>0</v>
      </c>
      <c r="BL654">
        <v>0</v>
      </c>
      <c r="BM654">
        <v>7</v>
      </c>
      <c r="BN654">
        <v>7</v>
      </c>
      <c r="BO654">
        <v>7</v>
      </c>
      <c r="BP654">
        <v>7</v>
      </c>
      <c r="BQ654" t="str">
        <f>"4:00 PM"</f>
        <v>4:00 PM</v>
      </c>
      <c r="BR654" t="str">
        <f>"11:00 PM"</f>
        <v>11:00 PM</v>
      </c>
      <c r="BS654" t="s">
        <v>131</v>
      </c>
      <c r="BT654">
        <v>0</v>
      </c>
      <c r="BU654">
        <v>0</v>
      </c>
      <c r="BV654" t="s">
        <v>114</v>
      </c>
      <c r="BX654" s="2" t="s">
        <v>2339</v>
      </c>
      <c r="BY654" t="s">
        <v>2340</v>
      </c>
      <c r="CA654" t="s">
        <v>2341</v>
      </c>
      <c r="CB654" t="s">
        <v>140</v>
      </c>
      <c r="CC654" s="8" t="str">
        <f>"32113"</f>
        <v>32113</v>
      </c>
      <c r="CD654" t="s">
        <v>1257</v>
      </c>
      <c r="CE654" t="s">
        <v>2342</v>
      </c>
      <c r="CF654" s="12">
        <v>10.56</v>
      </c>
      <c r="CG654" s="12">
        <v>15.12</v>
      </c>
      <c r="CJ654" t="s">
        <v>135</v>
      </c>
      <c r="CK654" t="s">
        <v>2343</v>
      </c>
      <c r="CL654" t="s">
        <v>2344</v>
      </c>
      <c r="CO654" t="s">
        <v>132</v>
      </c>
      <c r="CP654" t="s">
        <v>136</v>
      </c>
      <c r="CQ654" t="s">
        <v>114</v>
      </c>
      <c r="CR654" t="s">
        <v>114</v>
      </c>
      <c r="CS654" t="s">
        <v>136</v>
      </c>
      <c r="CT654" t="s">
        <v>136</v>
      </c>
      <c r="CU654" t="s">
        <v>136</v>
      </c>
      <c r="CV654" t="s">
        <v>2345</v>
      </c>
      <c r="CW654" s="10" t="str">
        <f>"+18133995001"</f>
        <v>+18133995001</v>
      </c>
      <c r="CX654" t="s">
        <v>2338</v>
      </c>
      <c r="CY654" t="s">
        <v>132</v>
      </c>
      <c r="CZ654" t="s">
        <v>137</v>
      </c>
      <c r="DA654" t="s">
        <v>114</v>
      </c>
      <c r="DB654" t="s">
        <v>136</v>
      </c>
      <c r="DC654" t="s">
        <v>136</v>
      </c>
      <c r="DD654" t="s">
        <v>114</v>
      </c>
    </row>
    <row r="655" spans="1:108" ht="15" customHeight="1" x14ac:dyDescent="0.25">
      <c r="A655" t="s">
        <v>7447</v>
      </c>
      <c r="B655" t="s">
        <v>152</v>
      </c>
      <c r="C655" s="1">
        <v>45221.347325578703</v>
      </c>
      <c r="D655" s="1">
        <v>45259</v>
      </c>
      <c r="E655" t="s">
        <v>132</v>
      </c>
      <c r="F655" t="s">
        <v>2324</v>
      </c>
      <c r="G655" t="str">
        <f>"35-3023.00"</f>
        <v>35-3023.00</v>
      </c>
      <c r="H655" t="s">
        <v>1365</v>
      </c>
      <c r="I655">
        <v>14</v>
      </c>
      <c r="J655">
        <v>14</v>
      </c>
      <c r="K655" s="1">
        <v>45311</v>
      </c>
      <c r="L655" s="1">
        <v>45609</v>
      </c>
      <c r="M655" s="1">
        <v>45311</v>
      </c>
      <c r="N655" s="1">
        <v>45609</v>
      </c>
      <c r="O655" t="s">
        <v>238</v>
      </c>
      <c r="P655" t="s">
        <v>7448</v>
      </c>
      <c r="R655" t="s">
        <v>7449</v>
      </c>
      <c r="S655" t="s">
        <v>7450</v>
      </c>
      <c r="T655" t="s">
        <v>7451</v>
      </c>
      <c r="U655" t="s">
        <v>127</v>
      </c>
      <c r="V655" s="8" t="str">
        <f>"75656"</f>
        <v>75656</v>
      </c>
      <c r="W655" t="s">
        <v>118</v>
      </c>
      <c r="Y655" s="10">
        <v>19036392040</v>
      </c>
      <c r="AA655">
        <v>71399</v>
      </c>
      <c r="AB655" t="s">
        <v>7452</v>
      </c>
      <c r="AC655" t="s">
        <v>4993</v>
      </c>
      <c r="AE655" t="s">
        <v>629</v>
      </c>
      <c r="AF655" t="s">
        <v>7449</v>
      </c>
      <c r="AG655" t="s">
        <v>7450</v>
      </c>
      <c r="AH655" t="s">
        <v>7451</v>
      </c>
      <c r="AI655" t="s">
        <v>127</v>
      </c>
      <c r="AJ655" s="8" t="str">
        <f>"75656"</f>
        <v>75656</v>
      </c>
      <c r="AK655" t="s">
        <v>118</v>
      </c>
      <c r="AM655" s="10">
        <v>19032357934</v>
      </c>
      <c r="AO655" t="s">
        <v>7453</v>
      </c>
      <c r="AP655" t="s">
        <v>248</v>
      </c>
      <c r="AQ655" t="s">
        <v>249</v>
      </c>
      <c r="AR655" t="s">
        <v>250</v>
      </c>
      <c r="AS655" t="s">
        <v>251</v>
      </c>
      <c r="AT655" t="s">
        <v>252</v>
      </c>
      <c r="AU655" t="s">
        <v>253</v>
      </c>
      <c r="AV655" t="s">
        <v>254</v>
      </c>
      <c r="AW655" t="s">
        <v>127</v>
      </c>
      <c r="AX655" s="8" t="str">
        <f>"78550"</f>
        <v>78550</v>
      </c>
      <c r="AY655" t="s">
        <v>118</v>
      </c>
      <c r="AZ655" t="s">
        <v>255</v>
      </c>
      <c r="BA655" s="10">
        <v>19564408720</v>
      </c>
      <c r="BB655" s="3" t="s">
        <v>256</v>
      </c>
      <c r="BC655" t="s">
        <v>257</v>
      </c>
      <c r="BD655" t="s">
        <v>258</v>
      </c>
      <c r="BG655" t="s">
        <v>127</v>
      </c>
      <c r="BH655" s="1">
        <v>45220.833333333336</v>
      </c>
      <c r="BI655">
        <v>40</v>
      </c>
      <c r="BJ655">
        <v>8</v>
      </c>
      <c r="BK655">
        <v>0</v>
      </c>
      <c r="BL655">
        <v>0</v>
      </c>
      <c r="BM655">
        <v>8</v>
      </c>
      <c r="BN655">
        <v>8</v>
      </c>
      <c r="BO655">
        <v>8</v>
      </c>
      <c r="BP655">
        <v>8</v>
      </c>
      <c r="BQ655" t="str">
        <f>"1:00 PM"</f>
        <v>1:00 PM</v>
      </c>
      <c r="BR655" t="str">
        <f>"10:00 PM"</f>
        <v>10:00 PM</v>
      </c>
      <c r="BS655" t="s">
        <v>131</v>
      </c>
      <c r="BT655">
        <v>0</v>
      </c>
      <c r="BU655">
        <v>0</v>
      </c>
      <c r="BV655" t="s">
        <v>114</v>
      </c>
      <c r="BX655" s="2" t="s">
        <v>259</v>
      </c>
      <c r="BY655" t="s">
        <v>7449</v>
      </c>
      <c r="CA655" t="s">
        <v>7451</v>
      </c>
      <c r="CB655" t="s">
        <v>127</v>
      </c>
      <c r="CC655" s="8" t="str">
        <f>"75656"</f>
        <v>75656</v>
      </c>
      <c r="CD655" t="s">
        <v>2776</v>
      </c>
      <c r="CE655" t="s">
        <v>2876</v>
      </c>
      <c r="CF655" s="12">
        <v>10.23</v>
      </c>
      <c r="CG655" s="12">
        <v>14.79</v>
      </c>
      <c r="CJ655" t="s">
        <v>135</v>
      </c>
      <c r="CK655" t="s">
        <v>264</v>
      </c>
      <c r="CL655" t="s">
        <v>7454</v>
      </c>
      <c r="CO655" t="s">
        <v>132</v>
      </c>
      <c r="CP655" t="s">
        <v>136</v>
      </c>
      <c r="CQ655" t="s">
        <v>136</v>
      </c>
      <c r="CR655" t="s">
        <v>114</v>
      </c>
      <c r="CS655" t="s">
        <v>136</v>
      </c>
      <c r="CT655" t="s">
        <v>136</v>
      </c>
      <c r="CU655" t="s">
        <v>136</v>
      </c>
      <c r="CV655" t="s">
        <v>266</v>
      </c>
      <c r="CW655" s="10" t="str">
        <f>"+19036392040"</f>
        <v>+19036392040</v>
      </c>
      <c r="CX655" t="s">
        <v>7453</v>
      </c>
      <c r="CY655" t="s">
        <v>132</v>
      </c>
      <c r="CZ655" t="s">
        <v>137</v>
      </c>
      <c r="DA655" t="s">
        <v>114</v>
      </c>
      <c r="DB655" t="s">
        <v>136</v>
      </c>
      <c r="DC655" t="s">
        <v>136</v>
      </c>
      <c r="DD655" t="s">
        <v>114</v>
      </c>
    </row>
    <row r="656" spans="1:108" ht="15" customHeight="1" x14ac:dyDescent="0.25">
      <c r="A656" t="s">
        <v>21177</v>
      </c>
      <c r="B656" t="s">
        <v>152</v>
      </c>
      <c r="C656" s="1">
        <v>45217.493446875</v>
      </c>
      <c r="D656" s="1">
        <v>45259</v>
      </c>
      <c r="E656" t="s">
        <v>132</v>
      </c>
      <c r="F656" t="s">
        <v>1595</v>
      </c>
      <c r="G656" t="str">
        <f>"37-3011.00"</f>
        <v>37-3011.00</v>
      </c>
      <c r="H656" t="s">
        <v>429</v>
      </c>
      <c r="I656">
        <v>35</v>
      </c>
      <c r="J656">
        <v>35</v>
      </c>
      <c r="K656" s="1">
        <v>45307</v>
      </c>
      <c r="L656" s="1">
        <v>45611</v>
      </c>
      <c r="M656" s="1">
        <v>45307</v>
      </c>
      <c r="N656" s="1">
        <v>45611</v>
      </c>
      <c r="O656" t="s">
        <v>116</v>
      </c>
      <c r="P656" t="s">
        <v>21178</v>
      </c>
      <c r="R656" t="s">
        <v>21179</v>
      </c>
      <c r="T656" t="s">
        <v>5557</v>
      </c>
      <c r="U656" t="s">
        <v>819</v>
      </c>
      <c r="V656" s="8" t="str">
        <f>"46203"</f>
        <v>46203</v>
      </c>
      <c r="W656" t="s">
        <v>118</v>
      </c>
      <c r="Y656" s="10">
        <v>13177845296</v>
      </c>
      <c r="AA656">
        <v>56173</v>
      </c>
      <c r="AB656" t="s">
        <v>21180</v>
      </c>
      <c r="AC656" t="s">
        <v>17750</v>
      </c>
      <c r="AE656" t="s">
        <v>3588</v>
      </c>
      <c r="AF656" t="s">
        <v>21179</v>
      </c>
      <c r="AH656" t="s">
        <v>5557</v>
      </c>
      <c r="AI656" t="s">
        <v>819</v>
      </c>
      <c r="AJ656" s="8" t="str">
        <f>"46203"</f>
        <v>46203</v>
      </c>
      <c r="AK656" t="s">
        <v>118</v>
      </c>
      <c r="AM656" s="10">
        <v>13177845296</v>
      </c>
      <c r="AO656" t="s">
        <v>796</v>
      </c>
      <c r="AP656" t="s">
        <v>248</v>
      </c>
      <c r="AQ656" t="s">
        <v>3690</v>
      </c>
      <c r="AR656" t="s">
        <v>2158</v>
      </c>
      <c r="AT656" t="s">
        <v>3691</v>
      </c>
      <c r="AU656" t="s">
        <v>3692</v>
      </c>
      <c r="AV656" t="s">
        <v>2814</v>
      </c>
      <c r="AW656" t="s">
        <v>2608</v>
      </c>
      <c r="AX656" s="8" t="str">
        <f>"74136"</f>
        <v>74136</v>
      </c>
      <c r="AY656" t="s">
        <v>118</v>
      </c>
      <c r="AZ656" t="s">
        <v>3693</v>
      </c>
      <c r="BA656" s="10">
        <v>19189065212</v>
      </c>
      <c r="BC656" t="s">
        <v>3694</v>
      </c>
      <c r="BD656" t="s">
        <v>3695</v>
      </c>
      <c r="BG656" t="s">
        <v>819</v>
      </c>
      <c r="BH656" s="1">
        <v>45214.833333333336</v>
      </c>
      <c r="BI656">
        <v>45</v>
      </c>
      <c r="BJ656">
        <v>0</v>
      </c>
      <c r="BK656">
        <v>9</v>
      </c>
      <c r="BL656">
        <v>9</v>
      </c>
      <c r="BM656">
        <v>9</v>
      </c>
      <c r="BN656">
        <v>9</v>
      </c>
      <c r="BO656">
        <v>9</v>
      </c>
      <c r="BP656">
        <v>0</v>
      </c>
      <c r="BQ656" t="str">
        <f>"7:00 AM"</f>
        <v>7:00 AM</v>
      </c>
      <c r="BR656" t="str">
        <f>"5:00 PM"</f>
        <v>5:00 PM</v>
      </c>
      <c r="BS656" t="s">
        <v>131</v>
      </c>
      <c r="BT656">
        <v>0</v>
      </c>
      <c r="BU656">
        <v>3</v>
      </c>
      <c r="BV656" t="s">
        <v>114</v>
      </c>
      <c r="BX656" s="2" t="s">
        <v>21181</v>
      </c>
      <c r="BY656" t="s">
        <v>21179</v>
      </c>
      <c r="CA656" t="s">
        <v>5557</v>
      </c>
      <c r="CB656" t="s">
        <v>819</v>
      </c>
      <c r="CC656" s="8" t="str">
        <f>"46203"</f>
        <v>46203</v>
      </c>
      <c r="CD656" t="s">
        <v>1257</v>
      </c>
      <c r="CE656" t="s">
        <v>2111</v>
      </c>
      <c r="CF656" s="12">
        <v>17.190000000000001</v>
      </c>
      <c r="CG656" s="12">
        <v>17.190000000000001</v>
      </c>
      <c r="CH656" s="12">
        <v>25.79</v>
      </c>
      <c r="CI656" s="12">
        <v>25.79</v>
      </c>
      <c r="CJ656" t="s">
        <v>135</v>
      </c>
      <c r="CK656" t="s">
        <v>3699</v>
      </c>
      <c r="CL656" t="s">
        <v>21182</v>
      </c>
      <c r="CO656" t="s">
        <v>132</v>
      </c>
      <c r="CP656" t="s">
        <v>136</v>
      </c>
      <c r="CQ656" t="s">
        <v>136</v>
      </c>
      <c r="CR656" t="s">
        <v>136</v>
      </c>
      <c r="CS656" t="s">
        <v>136</v>
      </c>
      <c r="CT656" t="s">
        <v>136</v>
      </c>
      <c r="CU656" t="s">
        <v>136</v>
      </c>
      <c r="CV656" s="2" t="s">
        <v>21183</v>
      </c>
      <c r="CW656" s="10" t="str">
        <f>"+13177845296"</f>
        <v>+13177845296</v>
      </c>
      <c r="CX656" t="s">
        <v>132</v>
      </c>
      <c r="CY656" t="s">
        <v>21184</v>
      </c>
      <c r="CZ656" t="s">
        <v>137</v>
      </c>
      <c r="DA656" t="s">
        <v>114</v>
      </c>
      <c r="DB656" t="s">
        <v>136</v>
      </c>
      <c r="DC656" t="s">
        <v>136</v>
      </c>
      <c r="DD656" t="s">
        <v>114</v>
      </c>
    </row>
    <row r="657" spans="1:113" ht="15" customHeight="1" x14ac:dyDescent="0.25">
      <c r="A657" t="s">
        <v>16245</v>
      </c>
      <c r="B657" t="s">
        <v>152</v>
      </c>
      <c r="C657" s="1">
        <v>45216.679335995374</v>
      </c>
      <c r="D657" s="1">
        <v>45259</v>
      </c>
      <c r="E657" t="s">
        <v>132</v>
      </c>
      <c r="F657" t="s">
        <v>16246</v>
      </c>
      <c r="G657" t="str">
        <f>"37-3011.00"</f>
        <v>37-3011.00</v>
      </c>
      <c r="H657" t="s">
        <v>429</v>
      </c>
      <c r="I657">
        <v>15</v>
      </c>
      <c r="J657">
        <v>15</v>
      </c>
      <c r="K657" s="1">
        <v>45306</v>
      </c>
      <c r="L657" s="1">
        <v>45611</v>
      </c>
      <c r="M657" s="1">
        <v>45306</v>
      </c>
      <c r="N657" s="1">
        <v>45611</v>
      </c>
      <c r="O657" t="s">
        <v>116</v>
      </c>
      <c r="P657" t="s">
        <v>16247</v>
      </c>
      <c r="R657" t="s">
        <v>16248</v>
      </c>
      <c r="T657" t="s">
        <v>2292</v>
      </c>
      <c r="U657" t="s">
        <v>333</v>
      </c>
      <c r="V657" s="8" t="str">
        <f>"70403"</f>
        <v>70403</v>
      </c>
      <c r="W657" t="s">
        <v>118</v>
      </c>
      <c r="Y657" s="10">
        <v>19858931928</v>
      </c>
      <c r="AA657">
        <v>561730</v>
      </c>
      <c r="AB657" t="s">
        <v>16249</v>
      </c>
      <c r="AC657" t="s">
        <v>16250</v>
      </c>
      <c r="AE657" t="s">
        <v>743</v>
      </c>
      <c r="AF657" t="s">
        <v>16248</v>
      </c>
      <c r="AH657" t="s">
        <v>2292</v>
      </c>
      <c r="AI657" t="s">
        <v>333</v>
      </c>
      <c r="AJ657" s="8" t="str">
        <f>"70403"</f>
        <v>70403</v>
      </c>
      <c r="AK657" t="s">
        <v>118</v>
      </c>
      <c r="AM657" s="10">
        <v>19058931928</v>
      </c>
      <c r="AO657" t="s">
        <v>16251</v>
      </c>
      <c r="AP657" t="s">
        <v>248</v>
      </c>
      <c r="AQ657" t="s">
        <v>3290</v>
      </c>
      <c r="AR657" t="s">
        <v>2001</v>
      </c>
      <c r="AT657" t="s">
        <v>3291</v>
      </c>
      <c r="AV657" t="s">
        <v>3292</v>
      </c>
      <c r="AW657" t="s">
        <v>402</v>
      </c>
      <c r="AX657" s="8" t="str">
        <f>"93446"</f>
        <v>93446</v>
      </c>
      <c r="AY657" t="s">
        <v>118</v>
      </c>
      <c r="AZ657" t="s">
        <v>3293</v>
      </c>
      <c r="BA657" s="10">
        <v>13217042589</v>
      </c>
      <c r="BC657" t="s">
        <v>3294</v>
      </c>
      <c r="BD657" t="s">
        <v>3295</v>
      </c>
      <c r="BG657" t="s">
        <v>333</v>
      </c>
      <c r="BH657" s="1">
        <v>45208.833333333336</v>
      </c>
      <c r="BI657">
        <v>40</v>
      </c>
      <c r="BJ657">
        <v>0</v>
      </c>
      <c r="BK657">
        <v>8</v>
      </c>
      <c r="BL657">
        <v>8</v>
      </c>
      <c r="BM657">
        <v>8</v>
      </c>
      <c r="BN657">
        <v>8</v>
      </c>
      <c r="BO657">
        <v>8</v>
      </c>
      <c r="BP657">
        <v>0</v>
      </c>
      <c r="BQ657" t="str">
        <f>"7:00 AM"</f>
        <v>7:00 AM</v>
      </c>
      <c r="BR657" t="str">
        <f>"4:00 PM"</f>
        <v>4:00 PM</v>
      </c>
      <c r="BS657" t="s">
        <v>131</v>
      </c>
      <c r="BT657">
        <v>0</v>
      </c>
      <c r="BU657">
        <v>0</v>
      </c>
      <c r="BV657" t="s">
        <v>114</v>
      </c>
      <c r="BX657" s="2" t="s">
        <v>16252</v>
      </c>
      <c r="BY657" t="s">
        <v>16253</v>
      </c>
      <c r="CA657" t="s">
        <v>2327</v>
      </c>
      <c r="CB657" t="s">
        <v>333</v>
      </c>
      <c r="CC657" s="8" t="str">
        <f>"70434"</f>
        <v>70434</v>
      </c>
      <c r="CD657" t="s">
        <v>340</v>
      </c>
      <c r="CE657" t="s">
        <v>341</v>
      </c>
      <c r="CF657" s="12">
        <v>14.92</v>
      </c>
      <c r="CG657" s="12">
        <v>14.92</v>
      </c>
      <c r="CH657" s="12">
        <v>22.38</v>
      </c>
      <c r="CI657" s="12">
        <v>22.38</v>
      </c>
      <c r="CJ657" t="s">
        <v>135</v>
      </c>
      <c r="CK657" t="s">
        <v>5469</v>
      </c>
      <c r="CL657" t="s">
        <v>16254</v>
      </c>
      <c r="CO657" t="s">
        <v>132</v>
      </c>
      <c r="CP657" t="s">
        <v>136</v>
      </c>
      <c r="CQ657" t="s">
        <v>136</v>
      </c>
      <c r="CR657" t="s">
        <v>136</v>
      </c>
      <c r="CS657" t="s">
        <v>136</v>
      </c>
      <c r="CT657" t="s">
        <v>136</v>
      </c>
      <c r="CU657" t="s">
        <v>136</v>
      </c>
      <c r="CV657" t="s">
        <v>16255</v>
      </c>
      <c r="CW657" s="10" t="str">
        <f>"+19858931928"</f>
        <v>+19858931928</v>
      </c>
      <c r="CX657" t="s">
        <v>16256</v>
      </c>
      <c r="CY657" t="s">
        <v>132</v>
      </c>
      <c r="CZ657" t="s">
        <v>137</v>
      </c>
      <c r="DA657" t="s">
        <v>114</v>
      </c>
      <c r="DB657" t="s">
        <v>114</v>
      </c>
      <c r="DC657" t="s">
        <v>136</v>
      </c>
      <c r="DD657" t="s">
        <v>114</v>
      </c>
    </row>
    <row r="658" spans="1:113" ht="15" customHeight="1" x14ac:dyDescent="0.25">
      <c r="A658" t="s">
        <v>19848</v>
      </c>
      <c r="B658" t="s">
        <v>152</v>
      </c>
      <c r="C658" s="1">
        <v>45215.317280324074</v>
      </c>
      <c r="D658" s="1">
        <v>45259</v>
      </c>
      <c r="E658" t="s">
        <v>132</v>
      </c>
      <c r="F658" t="s">
        <v>236</v>
      </c>
      <c r="G658" t="str">
        <f>"35-3023.00"</f>
        <v>35-3023.00</v>
      </c>
      <c r="H658" t="s">
        <v>1365</v>
      </c>
      <c r="I658">
        <v>60</v>
      </c>
      <c r="J658">
        <v>60</v>
      </c>
      <c r="K658" s="1">
        <v>45305</v>
      </c>
      <c r="L658" s="1">
        <v>45609</v>
      </c>
      <c r="M658" s="1">
        <v>45305</v>
      </c>
      <c r="N658" s="1">
        <v>45609</v>
      </c>
      <c r="O658" t="s">
        <v>238</v>
      </c>
      <c r="P658" t="s">
        <v>19849</v>
      </c>
      <c r="R658" t="s">
        <v>19850</v>
      </c>
      <c r="S658" t="s">
        <v>19851</v>
      </c>
      <c r="T658" t="s">
        <v>8048</v>
      </c>
      <c r="U658" t="s">
        <v>550</v>
      </c>
      <c r="V658" s="8" t="str">
        <f>"31601"</f>
        <v>31601</v>
      </c>
      <c r="W658" t="s">
        <v>118</v>
      </c>
      <c r="Y658" s="10">
        <v>18136253787</v>
      </c>
      <c r="AA658">
        <v>71399</v>
      </c>
      <c r="AB658" t="s">
        <v>19852</v>
      </c>
      <c r="AC658" t="s">
        <v>1862</v>
      </c>
      <c r="AE658" t="s">
        <v>561</v>
      </c>
      <c r="AF658" t="s">
        <v>19850</v>
      </c>
      <c r="AG658" t="s">
        <v>19851</v>
      </c>
      <c r="AH658" t="s">
        <v>8048</v>
      </c>
      <c r="AI658" t="s">
        <v>550</v>
      </c>
      <c r="AJ658" s="8" t="str">
        <f>"31601"</f>
        <v>31601</v>
      </c>
      <c r="AK658" t="s">
        <v>118</v>
      </c>
      <c r="AM658" s="10">
        <v>18136253787</v>
      </c>
      <c r="AO658" t="s">
        <v>19853</v>
      </c>
      <c r="AP658" t="s">
        <v>248</v>
      </c>
      <c r="AQ658" t="s">
        <v>249</v>
      </c>
      <c r="AR658" t="s">
        <v>250</v>
      </c>
      <c r="AS658" t="s">
        <v>251</v>
      </c>
      <c r="AT658" t="s">
        <v>252</v>
      </c>
      <c r="AU658" t="s">
        <v>253</v>
      </c>
      <c r="AV658" t="s">
        <v>254</v>
      </c>
      <c r="AW658" t="s">
        <v>127</v>
      </c>
      <c r="AX658" s="8" t="str">
        <f>"78550"</f>
        <v>78550</v>
      </c>
      <c r="AY658" t="s">
        <v>118</v>
      </c>
      <c r="AZ658" t="s">
        <v>255</v>
      </c>
      <c r="BA658" s="10">
        <v>19564408720</v>
      </c>
      <c r="BB658" s="3" t="s">
        <v>256</v>
      </c>
      <c r="BC658" t="s">
        <v>257</v>
      </c>
      <c r="BD658" t="s">
        <v>258</v>
      </c>
      <c r="BG658" t="s">
        <v>550</v>
      </c>
      <c r="BH658" s="1">
        <v>45214.833333333336</v>
      </c>
      <c r="BI658">
        <v>40</v>
      </c>
      <c r="BJ658">
        <v>8</v>
      </c>
      <c r="BK658">
        <v>0</v>
      </c>
      <c r="BL658">
        <v>0</v>
      </c>
      <c r="BM658">
        <v>8</v>
      </c>
      <c r="BN658">
        <v>8</v>
      </c>
      <c r="BO658">
        <v>8</v>
      </c>
      <c r="BP658">
        <v>8</v>
      </c>
      <c r="BQ658" t="str">
        <f>"1:00 PM"</f>
        <v>1:00 PM</v>
      </c>
      <c r="BR658" t="str">
        <f>"10:00 PM"</f>
        <v>10:00 PM</v>
      </c>
      <c r="BS658" t="s">
        <v>131</v>
      </c>
      <c r="BT658">
        <v>0</v>
      </c>
      <c r="BU658">
        <v>0</v>
      </c>
      <c r="BV658" t="s">
        <v>114</v>
      </c>
      <c r="BX658" s="2" t="s">
        <v>259</v>
      </c>
      <c r="BY658" t="s">
        <v>19854</v>
      </c>
      <c r="CA658" t="s">
        <v>19855</v>
      </c>
      <c r="CB658" t="s">
        <v>550</v>
      </c>
      <c r="CC658" s="8" t="str">
        <f>"31643"</f>
        <v>31643</v>
      </c>
      <c r="CD658" t="s">
        <v>19856</v>
      </c>
      <c r="CE658" t="s">
        <v>19857</v>
      </c>
      <c r="CF658" s="12">
        <v>10.06</v>
      </c>
      <c r="CG658" s="12">
        <v>13.14</v>
      </c>
      <c r="CJ658" t="s">
        <v>135</v>
      </c>
      <c r="CK658" t="s">
        <v>264</v>
      </c>
      <c r="CL658" t="s">
        <v>19858</v>
      </c>
      <c r="CO658" t="s">
        <v>132</v>
      </c>
      <c r="CP658" t="s">
        <v>136</v>
      </c>
      <c r="CQ658" t="s">
        <v>136</v>
      </c>
      <c r="CR658" t="s">
        <v>114</v>
      </c>
      <c r="CS658" t="s">
        <v>136</v>
      </c>
      <c r="CT658" t="s">
        <v>136</v>
      </c>
      <c r="CU658" t="s">
        <v>136</v>
      </c>
      <c r="CV658" t="s">
        <v>2258</v>
      </c>
      <c r="CW658" s="10" t="str">
        <f>"+18136253787"</f>
        <v>+18136253787</v>
      </c>
      <c r="CX658" t="s">
        <v>19859</v>
      </c>
      <c r="CY658" t="s">
        <v>132</v>
      </c>
      <c r="CZ658" t="s">
        <v>137</v>
      </c>
      <c r="DA658" t="s">
        <v>114</v>
      </c>
      <c r="DB658" t="s">
        <v>136</v>
      </c>
      <c r="DC658" t="s">
        <v>136</v>
      </c>
      <c r="DD658" t="s">
        <v>114</v>
      </c>
    </row>
    <row r="659" spans="1:113" ht="15" customHeight="1" x14ac:dyDescent="0.25">
      <c r="A659" t="s">
        <v>9737</v>
      </c>
      <c r="B659" t="s">
        <v>152</v>
      </c>
      <c r="C659" s="1">
        <v>45213.48397465278</v>
      </c>
      <c r="D659" s="1">
        <v>45259</v>
      </c>
      <c r="E659" t="s">
        <v>132</v>
      </c>
      <c r="F659" t="s">
        <v>3098</v>
      </c>
      <c r="G659" t="str">
        <f>"39-3091.00"</f>
        <v>39-3091.00</v>
      </c>
      <c r="H659" t="s">
        <v>237</v>
      </c>
      <c r="I659">
        <v>10</v>
      </c>
      <c r="J659">
        <v>10</v>
      </c>
      <c r="K659" s="1">
        <v>45303</v>
      </c>
      <c r="L659" s="1">
        <v>45606</v>
      </c>
      <c r="M659" s="1">
        <v>45303</v>
      </c>
      <c r="N659" s="1">
        <v>45606</v>
      </c>
      <c r="O659" t="s">
        <v>238</v>
      </c>
      <c r="P659" t="s">
        <v>9738</v>
      </c>
      <c r="R659" t="s">
        <v>9739</v>
      </c>
      <c r="S659" t="s">
        <v>9740</v>
      </c>
      <c r="T659" t="s">
        <v>9741</v>
      </c>
      <c r="U659" t="s">
        <v>2608</v>
      </c>
      <c r="V659" s="8" t="str">
        <f>"73018"</f>
        <v>73018</v>
      </c>
      <c r="W659" t="s">
        <v>118</v>
      </c>
      <c r="Y659" s="10">
        <v>14058330012</v>
      </c>
      <c r="Z659" s="3" t="s">
        <v>256</v>
      </c>
      <c r="AA659">
        <v>71399</v>
      </c>
      <c r="AB659" t="s">
        <v>5831</v>
      </c>
      <c r="AC659" t="s">
        <v>1872</v>
      </c>
      <c r="AE659" t="s">
        <v>561</v>
      </c>
      <c r="AF659" t="s">
        <v>9739</v>
      </c>
      <c r="AG659" t="s">
        <v>9740</v>
      </c>
      <c r="AH659" t="s">
        <v>9741</v>
      </c>
      <c r="AI659" t="s">
        <v>2608</v>
      </c>
      <c r="AJ659" s="8" t="str">
        <f>"73018"</f>
        <v>73018</v>
      </c>
      <c r="AK659" t="s">
        <v>118</v>
      </c>
      <c r="AM659" s="10">
        <v>14058330012</v>
      </c>
      <c r="AN659" s="3" t="s">
        <v>256</v>
      </c>
      <c r="AO659" t="s">
        <v>9742</v>
      </c>
      <c r="AP659" t="s">
        <v>248</v>
      </c>
      <c r="AQ659" t="s">
        <v>249</v>
      </c>
      <c r="AR659" t="s">
        <v>250</v>
      </c>
      <c r="AS659" t="s">
        <v>251</v>
      </c>
      <c r="AT659" t="s">
        <v>252</v>
      </c>
      <c r="AU659" t="s">
        <v>253</v>
      </c>
      <c r="AV659" t="s">
        <v>254</v>
      </c>
      <c r="AW659" t="s">
        <v>127</v>
      </c>
      <c r="AX659" s="8" t="str">
        <f>"78550"</f>
        <v>78550</v>
      </c>
      <c r="AY659" t="s">
        <v>118</v>
      </c>
      <c r="AZ659" t="s">
        <v>255</v>
      </c>
      <c r="BA659" s="10">
        <v>19564408720</v>
      </c>
      <c r="BB659" s="3" t="s">
        <v>256</v>
      </c>
      <c r="BC659" t="s">
        <v>338</v>
      </c>
      <c r="BD659" t="s">
        <v>258</v>
      </c>
      <c r="BG659" t="s">
        <v>2608</v>
      </c>
      <c r="BH659" s="1">
        <v>45212.833333333336</v>
      </c>
      <c r="BI659">
        <v>40</v>
      </c>
      <c r="BJ659">
        <v>8</v>
      </c>
      <c r="BK659">
        <v>0</v>
      </c>
      <c r="BL659">
        <v>0</v>
      </c>
      <c r="BM659">
        <v>8</v>
      </c>
      <c r="BN659">
        <v>8</v>
      </c>
      <c r="BO659">
        <v>8</v>
      </c>
      <c r="BP659">
        <v>8</v>
      </c>
      <c r="BQ659" t="str">
        <f>"1:00 PM"</f>
        <v>1:00 PM</v>
      </c>
      <c r="BR659" t="str">
        <f>"10:00 PM"</f>
        <v>10:00 PM</v>
      </c>
      <c r="BS659" t="s">
        <v>131</v>
      </c>
      <c r="BT659">
        <v>0</v>
      </c>
      <c r="BU659">
        <v>0</v>
      </c>
      <c r="BV659" t="s">
        <v>114</v>
      </c>
      <c r="BX659" s="2" t="s">
        <v>2396</v>
      </c>
      <c r="BY659" t="s">
        <v>9743</v>
      </c>
      <c r="CA659" t="s">
        <v>9741</v>
      </c>
      <c r="CB659" t="s">
        <v>2608</v>
      </c>
      <c r="CC659" s="8" t="str">
        <f>"73018"</f>
        <v>73018</v>
      </c>
      <c r="CD659" t="s">
        <v>5836</v>
      </c>
      <c r="CE659" t="s">
        <v>3577</v>
      </c>
      <c r="CF659" s="12">
        <v>9.1</v>
      </c>
      <c r="CG659" s="12">
        <v>12.36</v>
      </c>
      <c r="CJ659" t="s">
        <v>135</v>
      </c>
      <c r="CK659" t="s">
        <v>342</v>
      </c>
      <c r="CL659" t="s">
        <v>9744</v>
      </c>
      <c r="CO659" t="s">
        <v>132</v>
      </c>
      <c r="CP659" t="s">
        <v>136</v>
      </c>
      <c r="CQ659" t="s">
        <v>136</v>
      </c>
      <c r="CR659" t="s">
        <v>114</v>
      </c>
      <c r="CS659" t="s">
        <v>136</v>
      </c>
      <c r="CT659" t="s">
        <v>136</v>
      </c>
      <c r="CU659" t="s">
        <v>136</v>
      </c>
      <c r="CV659" t="s">
        <v>9745</v>
      </c>
      <c r="CW659" s="10" t="str">
        <f>"+14058330012"</f>
        <v>+14058330012</v>
      </c>
      <c r="CX659" t="s">
        <v>9742</v>
      </c>
      <c r="CY659" t="s">
        <v>132</v>
      </c>
      <c r="CZ659" t="s">
        <v>137</v>
      </c>
      <c r="DA659" t="s">
        <v>114</v>
      </c>
      <c r="DB659" t="s">
        <v>136</v>
      </c>
      <c r="DC659" t="s">
        <v>136</v>
      </c>
      <c r="DD659" t="s">
        <v>114</v>
      </c>
    </row>
    <row r="660" spans="1:113" ht="15" customHeight="1" x14ac:dyDescent="0.25">
      <c r="A660" t="s">
        <v>2832</v>
      </c>
      <c r="B660" t="s">
        <v>152</v>
      </c>
      <c r="C660" s="1">
        <v>45212.600971412037</v>
      </c>
      <c r="D660" s="1">
        <v>45259</v>
      </c>
      <c r="E660" t="s">
        <v>132</v>
      </c>
      <c r="F660" t="s">
        <v>2833</v>
      </c>
      <c r="G660" t="str">
        <f>"37-2011.00"</f>
        <v>37-2011.00</v>
      </c>
      <c r="H660" t="s">
        <v>1089</v>
      </c>
      <c r="I660">
        <v>15</v>
      </c>
      <c r="J660">
        <v>15</v>
      </c>
      <c r="K660" s="1">
        <v>45292</v>
      </c>
      <c r="L660" s="1">
        <v>45382</v>
      </c>
      <c r="M660" s="1">
        <v>45292</v>
      </c>
      <c r="N660" s="1">
        <v>45382</v>
      </c>
      <c r="O660" t="s">
        <v>238</v>
      </c>
      <c r="P660" t="s">
        <v>2834</v>
      </c>
      <c r="R660" t="s">
        <v>2835</v>
      </c>
      <c r="T660" t="s">
        <v>2836</v>
      </c>
      <c r="U660" t="s">
        <v>543</v>
      </c>
      <c r="V660" s="8" t="str">
        <f>"44111"</f>
        <v>44111</v>
      </c>
      <c r="W660" t="s">
        <v>118</v>
      </c>
      <c r="Y660" s="10">
        <v>12163895625</v>
      </c>
      <c r="AA660">
        <v>5311</v>
      </c>
      <c r="AB660" t="s">
        <v>2837</v>
      </c>
      <c r="AC660" t="s">
        <v>2838</v>
      </c>
      <c r="AE660" t="s">
        <v>629</v>
      </c>
      <c r="AF660" t="s">
        <v>2839</v>
      </c>
      <c r="AH660" t="s">
        <v>2836</v>
      </c>
      <c r="AI660" t="s">
        <v>543</v>
      </c>
      <c r="AJ660" s="8" t="str">
        <f>"44111"</f>
        <v>44111</v>
      </c>
      <c r="AK660" t="s">
        <v>118</v>
      </c>
      <c r="AM660" s="10">
        <v>12163895625</v>
      </c>
      <c r="AO660" t="s">
        <v>2840</v>
      </c>
      <c r="AP660" t="s">
        <v>121</v>
      </c>
      <c r="AQ660" t="s">
        <v>929</v>
      </c>
      <c r="AR660" t="s">
        <v>930</v>
      </c>
      <c r="AS660" t="s">
        <v>931</v>
      </c>
      <c r="AT660" t="s">
        <v>932</v>
      </c>
      <c r="AU660" t="s">
        <v>132</v>
      </c>
      <c r="AV660" t="s">
        <v>933</v>
      </c>
      <c r="AW660" t="s">
        <v>740</v>
      </c>
      <c r="AX660" s="8" t="str">
        <f>"50010"</f>
        <v>50010</v>
      </c>
      <c r="AY660" t="s">
        <v>118</v>
      </c>
      <c r="BA660" s="10">
        <v>15152324444</v>
      </c>
      <c r="BB660">
        <v>0</v>
      </c>
      <c r="BC660" t="s">
        <v>934</v>
      </c>
      <c r="BD660" t="s">
        <v>935</v>
      </c>
      <c r="BE660" t="s">
        <v>740</v>
      </c>
      <c r="BF660" t="s">
        <v>172</v>
      </c>
      <c r="BG660" t="s">
        <v>543</v>
      </c>
      <c r="BH660" s="1">
        <v>45211.833333333336</v>
      </c>
      <c r="BI660">
        <v>40</v>
      </c>
      <c r="BJ660">
        <v>0</v>
      </c>
      <c r="BK660">
        <v>8</v>
      </c>
      <c r="BL660">
        <v>8</v>
      </c>
      <c r="BM660">
        <v>8</v>
      </c>
      <c r="BN660">
        <v>8</v>
      </c>
      <c r="BO660">
        <v>8</v>
      </c>
      <c r="BP660">
        <v>0</v>
      </c>
      <c r="BQ660" t="str">
        <f>"9:00 AM"</f>
        <v>9:00 AM</v>
      </c>
      <c r="BR660" t="str">
        <f>"5:00 PM"</f>
        <v>5:00 PM</v>
      </c>
      <c r="BS660" t="s">
        <v>131</v>
      </c>
      <c r="BT660">
        <v>0</v>
      </c>
      <c r="BU660">
        <v>0</v>
      </c>
      <c r="BV660" t="s">
        <v>114</v>
      </c>
      <c r="BX660" s="2" t="s">
        <v>2841</v>
      </c>
      <c r="BY660" t="s">
        <v>2839</v>
      </c>
      <c r="CA660" t="s">
        <v>2836</v>
      </c>
      <c r="CB660" t="s">
        <v>543</v>
      </c>
      <c r="CC660" s="8" t="str">
        <f>"44111"</f>
        <v>44111</v>
      </c>
      <c r="CD660" t="s">
        <v>1838</v>
      </c>
      <c r="CE660" t="s">
        <v>1839</v>
      </c>
      <c r="CF660" s="12">
        <v>16.170000000000002</v>
      </c>
      <c r="CH660" s="12">
        <v>24.26</v>
      </c>
      <c r="CJ660" t="s">
        <v>135</v>
      </c>
      <c r="CK660" t="s">
        <v>2842</v>
      </c>
      <c r="CL660" t="s">
        <v>2843</v>
      </c>
      <c r="CO660" t="s">
        <v>132</v>
      </c>
      <c r="CP660" t="s">
        <v>114</v>
      </c>
      <c r="CQ660" t="s">
        <v>136</v>
      </c>
      <c r="CR660" t="s">
        <v>136</v>
      </c>
      <c r="CS660" t="s">
        <v>136</v>
      </c>
      <c r="CT660" t="s">
        <v>136</v>
      </c>
      <c r="CU660" t="s">
        <v>136</v>
      </c>
      <c r="CV660" t="s">
        <v>2844</v>
      </c>
      <c r="CW660" s="10" t="str">
        <f>"+12163895625"</f>
        <v>+12163895625</v>
      </c>
      <c r="CX660" t="s">
        <v>2845</v>
      </c>
      <c r="CY660" t="s">
        <v>132</v>
      </c>
      <c r="CZ660" t="s">
        <v>137</v>
      </c>
      <c r="DA660" t="s">
        <v>114</v>
      </c>
      <c r="DB660" t="s">
        <v>136</v>
      </c>
      <c r="DC660" t="s">
        <v>136</v>
      </c>
      <c r="DD660" t="s">
        <v>114</v>
      </c>
    </row>
    <row r="661" spans="1:113" ht="15" customHeight="1" x14ac:dyDescent="0.25">
      <c r="A661" t="s">
        <v>21231</v>
      </c>
      <c r="B661" t="s">
        <v>152</v>
      </c>
      <c r="C661" s="1">
        <v>45210.452541435188</v>
      </c>
      <c r="D661" s="1">
        <v>45259</v>
      </c>
      <c r="E661" t="s">
        <v>132</v>
      </c>
      <c r="F661" t="s">
        <v>1059</v>
      </c>
      <c r="G661" t="str">
        <f>"35-2014.00"</f>
        <v>35-2014.00</v>
      </c>
      <c r="H661" t="s">
        <v>154</v>
      </c>
      <c r="I661">
        <v>10</v>
      </c>
      <c r="J661">
        <v>10</v>
      </c>
      <c r="K661" s="1">
        <v>45285</v>
      </c>
      <c r="L661" s="1">
        <v>45443</v>
      </c>
      <c r="M661" s="1">
        <v>45285</v>
      </c>
      <c r="N661" s="1">
        <v>45443</v>
      </c>
      <c r="O661" t="s">
        <v>116</v>
      </c>
      <c r="P661" t="s">
        <v>21232</v>
      </c>
      <c r="Q661" t="s">
        <v>21233</v>
      </c>
      <c r="R661" t="s">
        <v>21234</v>
      </c>
      <c r="T661" t="s">
        <v>1764</v>
      </c>
      <c r="U661" t="s">
        <v>1434</v>
      </c>
      <c r="V661" s="8" t="str">
        <f>"40507"</f>
        <v>40507</v>
      </c>
      <c r="W661" t="s">
        <v>118</v>
      </c>
      <c r="Y661" s="10">
        <v>15617146019</v>
      </c>
      <c r="AA661">
        <v>722513</v>
      </c>
      <c r="AB661" t="s">
        <v>21235</v>
      </c>
      <c r="AC661" t="s">
        <v>21236</v>
      </c>
      <c r="AE661" t="s">
        <v>561</v>
      </c>
      <c r="AF661" t="s">
        <v>21234</v>
      </c>
      <c r="AH661" t="s">
        <v>1764</v>
      </c>
      <c r="AI661" t="s">
        <v>1434</v>
      </c>
      <c r="AJ661" s="8" t="str">
        <f>"40507"</f>
        <v>40507</v>
      </c>
      <c r="AK661" t="s">
        <v>118</v>
      </c>
      <c r="AM661" s="10">
        <v>15617146019</v>
      </c>
      <c r="AO661" t="s">
        <v>21237</v>
      </c>
      <c r="AP661" t="s">
        <v>121</v>
      </c>
      <c r="AQ661" t="s">
        <v>3854</v>
      </c>
      <c r="AR661" t="s">
        <v>144</v>
      </c>
      <c r="AS661" t="s">
        <v>3855</v>
      </c>
      <c r="AT661" t="s">
        <v>2605</v>
      </c>
      <c r="AU661" t="s">
        <v>2606</v>
      </c>
      <c r="AV661" t="s">
        <v>2607</v>
      </c>
      <c r="AW661" t="s">
        <v>2608</v>
      </c>
      <c r="AX661" s="8" t="str">
        <f>"73069"</f>
        <v>73069</v>
      </c>
      <c r="AY661" t="s">
        <v>118</v>
      </c>
      <c r="BA661" s="10">
        <v>14053642525</v>
      </c>
      <c r="BC661" t="s">
        <v>2609</v>
      </c>
      <c r="BD661" t="s">
        <v>2610</v>
      </c>
      <c r="BE661" t="s">
        <v>2608</v>
      </c>
      <c r="BF661" t="s">
        <v>2611</v>
      </c>
      <c r="BG661" t="s">
        <v>1434</v>
      </c>
      <c r="BH661" s="1">
        <v>45209.833333333336</v>
      </c>
      <c r="BI661">
        <v>56</v>
      </c>
      <c r="BJ661">
        <v>8</v>
      </c>
      <c r="BK661">
        <v>8</v>
      </c>
      <c r="BL661">
        <v>8</v>
      </c>
      <c r="BM661">
        <v>8</v>
      </c>
      <c r="BN661">
        <v>8</v>
      </c>
      <c r="BO661">
        <v>8</v>
      </c>
      <c r="BP661">
        <v>8</v>
      </c>
      <c r="BQ661" t="str">
        <f>"7:00 AM"</f>
        <v>7:00 AM</v>
      </c>
      <c r="BR661" t="str">
        <f>"7:00 PM"</f>
        <v>7:00 PM</v>
      </c>
      <c r="BS661" t="s">
        <v>131</v>
      </c>
      <c r="BT661">
        <v>0</v>
      </c>
      <c r="BU661">
        <v>1</v>
      </c>
      <c r="BV661" t="s">
        <v>114</v>
      </c>
      <c r="BX661" t="s">
        <v>132</v>
      </c>
      <c r="BY661" t="s">
        <v>21234</v>
      </c>
      <c r="CA661" t="s">
        <v>1764</v>
      </c>
      <c r="CB661" t="s">
        <v>1434</v>
      </c>
      <c r="CC661" s="8" t="str">
        <f>"40507"</f>
        <v>40507</v>
      </c>
      <c r="CD661" t="s">
        <v>2868</v>
      </c>
      <c r="CE661" t="s">
        <v>4946</v>
      </c>
      <c r="CF661" s="12">
        <v>14.54</v>
      </c>
      <c r="CG661" s="12">
        <v>14.54</v>
      </c>
      <c r="CH661" s="12">
        <v>21.81</v>
      </c>
      <c r="CI661" s="12">
        <v>21.81</v>
      </c>
      <c r="CJ661" t="s">
        <v>135</v>
      </c>
      <c r="CL661" t="s">
        <v>21238</v>
      </c>
      <c r="CO661" t="s">
        <v>132</v>
      </c>
      <c r="CP661" t="s">
        <v>114</v>
      </c>
      <c r="CQ661" t="s">
        <v>114</v>
      </c>
      <c r="CR661" t="s">
        <v>136</v>
      </c>
      <c r="CS661" t="s">
        <v>114</v>
      </c>
      <c r="CT661" t="s">
        <v>136</v>
      </c>
      <c r="CU661" t="s">
        <v>114</v>
      </c>
      <c r="CV661" t="s">
        <v>21239</v>
      </c>
      <c r="CW661" s="10" t="str">
        <f>"+15617146019"</f>
        <v>+15617146019</v>
      </c>
      <c r="CX661" t="s">
        <v>21237</v>
      </c>
      <c r="CY661" t="s">
        <v>132</v>
      </c>
      <c r="CZ661" t="s">
        <v>137</v>
      </c>
      <c r="DA661" t="s">
        <v>114</v>
      </c>
      <c r="DB661" t="s">
        <v>114</v>
      </c>
      <c r="DC661" t="s">
        <v>136</v>
      </c>
      <c r="DD661" t="s">
        <v>114</v>
      </c>
    </row>
    <row r="662" spans="1:113" ht="15" customHeight="1" x14ac:dyDescent="0.25">
      <c r="A662" t="s">
        <v>17924</v>
      </c>
      <c r="B662" t="s">
        <v>152</v>
      </c>
      <c r="C662" s="1">
        <v>45204.757260532409</v>
      </c>
      <c r="D662" s="1">
        <v>45259</v>
      </c>
      <c r="E662" t="s">
        <v>132</v>
      </c>
      <c r="F662" t="s">
        <v>685</v>
      </c>
      <c r="G662" t="str">
        <f>"35-3023.00"</f>
        <v>35-3023.00</v>
      </c>
      <c r="H662" t="s">
        <v>1365</v>
      </c>
      <c r="I662">
        <v>13</v>
      </c>
      <c r="J662">
        <v>13</v>
      </c>
      <c r="K662" s="1">
        <v>45292</v>
      </c>
      <c r="L662" s="1">
        <v>45596</v>
      </c>
      <c r="M662" s="1">
        <v>45292</v>
      </c>
      <c r="N662" s="1">
        <v>45596</v>
      </c>
      <c r="O662" t="s">
        <v>238</v>
      </c>
      <c r="P662" t="s">
        <v>17742</v>
      </c>
      <c r="R662" t="s">
        <v>17743</v>
      </c>
      <c r="S662" t="s">
        <v>17744</v>
      </c>
      <c r="T662" t="s">
        <v>7366</v>
      </c>
      <c r="U662" t="s">
        <v>543</v>
      </c>
      <c r="V662" s="8" t="str">
        <f>"45342"</f>
        <v>45342</v>
      </c>
      <c r="W662" t="s">
        <v>118</v>
      </c>
      <c r="Y662" s="10">
        <v>19379019668</v>
      </c>
      <c r="Z662" s="3" t="s">
        <v>256</v>
      </c>
      <c r="AA662">
        <v>71399</v>
      </c>
      <c r="AB662" t="s">
        <v>2115</v>
      </c>
      <c r="AC662" t="s">
        <v>2899</v>
      </c>
      <c r="AE662" t="s">
        <v>561</v>
      </c>
      <c r="AF662" t="s">
        <v>17743</v>
      </c>
      <c r="AG662" t="s">
        <v>17745</v>
      </c>
      <c r="AH662" t="s">
        <v>7366</v>
      </c>
      <c r="AI662" t="s">
        <v>543</v>
      </c>
      <c r="AJ662" s="8" t="str">
        <f>"45342"</f>
        <v>45342</v>
      </c>
      <c r="AK662" t="s">
        <v>118</v>
      </c>
      <c r="AM662" s="10">
        <v>19379019668</v>
      </c>
      <c r="AN662" s="3" t="s">
        <v>256</v>
      </c>
      <c r="AO662" t="s">
        <v>17746</v>
      </c>
      <c r="AP662" t="s">
        <v>248</v>
      </c>
      <c r="AQ662" t="s">
        <v>249</v>
      </c>
      <c r="AR662" t="s">
        <v>250</v>
      </c>
      <c r="AS662" t="s">
        <v>251</v>
      </c>
      <c r="AT662" t="s">
        <v>252</v>
      </c>
      <c r="AU662" t="s">
        <v>253</v>
      </c>
      <c r="AV662" t="s">
        <v>254</v>
      </c>
      <c r="AW662" t="s">
        <v>127</v>
      </c>
      <c r="AX662" s="8" t="str">
        <f>"78550"</f>
        <v>78550</v>
      </c>
      <c r="AY662" t="s">
        <v>118</v>
      </c>
      <c r="AZ662" t="s">
        <v>255</v>
      </c>
      <c r="BA662" s="10">
        <v>19564408720</v>
      </c>
      <c r="BB662" s="3" t="s">
        <v>256</v>
      </c>
      <c r="BC662" t="s">
        <v>338</v>
      </c>
      <c r="BD662" t="s">
        <v>258</v>
      </c>
      <c r="BG662" t="s">
        <v>543</v>
      </c>
      <c r="BH662" s="1">
        <v>45203.833333333336</v>
      </c>
      <c r="BI662">
        <v>40</v>
      </c>
      <c r="BJ662">
        <v>8</v>
      </c>
      <c r="BK662">
        <v>0</v>
      </c>
      <c r="BL662">
        <v>0</v>
      </c>
      <c r="BM662">
        <v>8</v>
      </c>
      <c r="BN662">
        <v>8</v>
      </c>
      <c r="BO662">
        <v>8</v>
      </c>
      <c r="BP662">
        <v>8</v>
      </c>
      <c r="BQ662" t="str">
        <f>"1:00 PM"</f>
        <v>1:00 PM</v>
      </c>
      <c r="BR662" t="str">
        <f>"10:00 PM"</f>
        <v>10:00 PM</v>
      </c>
      <c r="BS662" t="s">
        <v>131</v>
      </c>
      <c r="BT662">
        <v>0</v>
      </c>
      <c r="BU662">
        <v>0</v>
      </c>
      <c r="BV662" t="s">
        <v>114</v>
      </c>
      <c r="BX662" s="2" t="s">
        <v>339</v>
      </c>
      <c r="BY662" t="s">
        <v>17747</v>
      </c>
      <c r="CA662" t="s">
        <v>17748</v>
      </c>
      <c r="CB662" t="s">
        <v>543</v>
      </c>
      <c r="CC662" s="8" t="str">
        <f>"45420"</f>
        <v>45420</v>
      </c>
      <c r="CD662" t="s">
        <v>878</v>
      </c>
      <c r="CE662" t="s">
        <v>3593</v>
      </c>
      <c r="CF662" s="12">
        <v>10.28</v>
      </c>
      <c r="CG662" s="12">
        <v>16.010000000000002</v>
      </c>
      <c r="CJ662" t="s">
        <v>135</v>
      </c>
      <c r="CK662" t="s">
        <v>342</v>
      </c>
      <c r="CL662" t="s">
        <v>17749</v>
      </c>
      <c r="CO662" t="s">
        <v>132</v>
      </c>
      <c r="CP662" t="s">
        <v>136</v>
      </c>
      <c r="CQ662" t="s">
        <v>136</v>
      </c>
      <c r="CR662" t="s">
        <v>114</v>
      </c>
      <c r="CS662" t="s">
        <v>136</v>
      </c>
      <c r="CT662" t="s">
        <v>136</v>
      </c>
      <c r="CU662" t="s">
        <v>136</v>
      </c>
      <c r="CV662" t="s">
        <v>344</v>
      </c>
      <c r="CW662" s="10" t="str">
        <f>"+19379019668"</f>
        <v>+19379019668</v>
      </c>
      <c r="CX662" t="s">
        <v>17746</v>
      </c>
      <c r="CY662" t="s">
        <v>132</v>
      </c>
      <c r="CZ662" t="s">
        <v>137</v>
      </c>
      <c r="DA662" t="s">
        <v>114</v>
      </c>
      <c r="DB662" t="s">
        <v>136</v>
      </c>
      <c r="DC662" t="s">
        <v>136</v>
      </c>
      <c r="DD662" t="s">
        <v>114</v>
      </c>
    </row>
    <row r="663" spans="1:113" ht="15" customHeight="1" x14ac:dyDescent="0.25">
      <c r="A663" t="s">
        <v>16124</v>
      </c>
      <c r="B663" t="s">
        <v>152</v>
      </c>
      <c r="C663" s="1">
        <v>45201.806569675929</v>
      </c>
      <c r="D663" s="1">
        <v>45259</v>
      </c>
      <c r="E663" t="s">
        <v>132</v>
      </c>
      <c r="F663" t="s">
        <v>3992</v>
      </c>
      <c r="G663" t="str">
        <f>"37-2011.00"</f>
        <v>37-2011.00</v>
      </c>
      <c r="H663" t="s">
        <v>1089</v>
      </c>
      <c r="I663">
        <v>10</v>
      </c>
      <c r="J663">
        <v>10</v>
      </c>
      <c r="K663" s="1">
        <v>45276</v>
      </c>
      <c r="L663" s="1">
        <v>45382</v>
      </c>
      <c r="M663" s="1">
        <v>45276</v>
      </c>
      <c r="N663" s="1">
        <v>45382</v>
      </c>
      <c r="O663" t="s">
        <v>238</v>
      </c>
      <c r="P663" t="s">
        <v>16125</v>
      </c>
      <c r="R663" t="s">
        <v>13892</v>
      </c>
      <c r="T663" t="s">
        <v>3995</v>
      </c>
      <c r="U663" t="s">
        <v>211</v>
      </c>
      <c r="V663" s="8" t="str">
        <f>"84003"</f>
        <v>84003</v>
      </c>
      <c r="W663" t="s">
        <v>118</v>
      </c>
      <c r="Y663" s="10">
        <v>18017967739</v>
      </c>
      <c r="AA663">
        <v>561730</v>
      </c>
      <c r="AB663" t="s">
        <v>16126</v>
      </c>
      <c r="AC663" t="s">
        <v>12712</v>
      </c>
      <c r="AE663" t="s">
        <v>561</v>
      </c>
      <c r="AF663" t="s">
        <v>13892</v>
      </c>
      <c r="AH663" t="s">
        <v>3995</v>
      </c>
      <c r="AI663" t="s">
        <v>211</v>
      </c>
      <c r="AJ663" s="8" t="str">
        <f>"84003"</f>
        <v>84003</v>
      </c>
      <c r="AK663" t="s">
        <v>118</v>
      </c>
      <c r="AM663" s="10">
        <v>18017967739</v>
      </c>
      <c r="AO663" t="s">
        <v>16127</v>
      </c>
      <c r="AP663" t="s">
        <v>248</v>
      </c>
      <c r="AQ663" t="s">
        <v>1700</v>
      </c>
      <c r="AR663" t="s">
        <v>1701</v>
      </c>
      <c r="AT663" t="s">
        <v>1702</v>
      </c>
      <c r="AV663" t="s">
        <v>2467</v>
      </c>
      <c r="AW663" t="s">
        <v>211</v>
      </c>
      <c r="AX663" s="8" t="str">
        <f>"84059"</f>
        <v>84059</v>
      </c>
      <c r="AY663" t="s">
        <v>118</v>
      </c>
      <c r="BA663" s="10">
        <v>18013677097</v>
      </c>
      <c r="BC663" t="s">
        <v>4601</v>
      </c>
      <c r="BD663" t="s">
        <v>4602</v>
      </c>
      <c r="BG663" t="s">
        <v>211</v>
      </c>
      <c r="BH663" s="1">
        <v>45197.833333333336</v>
      </c>
      <c r="BI663">
        <v>35</v>
      </c>
      <c r="BJ663">
        <v>0</v>
      </c>
      <c r="BK663">
        <v>7</v>
      </c>
      <c r="BL663">
        <v>7</v>
      </c>
      <c r="BM663">
        <v>7</v>
      </c>
      <c r="BN663">
        <v>7</v>
      </c>
      <c r="BO663">
        <v>7</v>
      </c>
      <c r="BP663">
        <v>0</v>
      </c>
      <c r="BQ663" t="str">
        <f>"8:00 AM"</f>
        <v>8:00 AM</v>
      </c>
      <c r="BR663" t="str">
        <f>"4:00 PM"</f>
        <v>4:00 PM</v>
      </c>
      <c r="BS663" t="s">
        <v>131</v>
      </c>
      <c r="BT663">
        <v>0</v>
      </c>
      <c r="BU663">
        <v>0</v>
      </c>
      <c r="BV663" t="s">
        <v>114</v>
      </c>
      <c r="BX663" s="2" t="s">
        <v>16128</v>
      </c>
      <c r="BY663" t="s">
        <v>13892</v>
      </c>
      <c r="CA663" t="s">
        <v>3995</v>
      </c>
      <c r="CB663" t="s">
        <v>211</v>
      </c>
      <c r="CC663" s="8" t="str">
        <f>"84003"</f>
        <v>84003</v>
      </c>
      <c r="CD663" t="s">
        <v>2468</v>
      </c>
      <c r="CE663" t="s">
        <v>2469</v>
      </c>
      <c r="CF663" s="12">
        <v>13.8</v>
      </c>
      <c r="CH663" s="12">
        <v>20.7</v>
      </c>
      <c r="CJ663" t="s">
        <v>135</v>
      </c>
      <c r="CK663" t="s">
        <v>4604</v>
      </c>
      <c r="CL663" t="s">
        <v>16129</v>
      </c>
      <c r="CO663" t="s">
        <v>132</v>
      </c>
      <c r="CP663" t="s">
        <v>136</v>
      </c>
      <c r="CQ663" t="s">
        <v>136</v>
      </c>
      <c r="CR663" t="s">
        <v>136</v>
      </c>
      <c r="CS663" t="s">
        <v>114</v>
      </c>
      <c r="CT663" t="s">
        <v>136</v>
      </c>
      <c r="CU663" t="s">
        <v>114</v>
      </c>
      <c r="CV663" t="s">
        <v>2470</v>
      </c>
      <c r="CW663" s="10" t="str">
        <f>"+18017967739"</f>
        <v>+18017967739</v>
      </c>
      <c r="CX663" t="s">
        <v>16127</v>
      </c>
      <c r="CY663" t="s">
        <v>132</v>
      </c>
      <c r="CZ663" t="s">
        <v>137</v>
      </c>
      <c r="DA663" t="s">
        <v>114</v>
      </c>
      <c r="DB663" t="s">
        <v>114</v>
      </c>
      <c r="DC663" t="s">
        <v>136</v>
      </c>
      <c r="DD663" t="s">
        <v>114</v>
      </c>
    </row>
    <row r="664" spans="1:113" ht="15" customHeight="1" x14ac:dyDescent="0.25">
      <c r="A664" t="s">
        <v>22248</v>
      </c>
      <c r="B664" t="s">
        <v>152</v>
      </c>
      <c r="C664" s="1">
        <v>45191.58275775463</v>
      </c>
      <c r="D664" s="1">
        <v>45259</v>
      </c>
      <c r="E664" t="s">
        <v>132</v>
      </c>
      <c r="F664" t="s">
        <v>2417</v>
      </c>
      <c r="G664" t="str">
        <f>"37-2012.00"</f>
        <v>37-2012.00</v>
      </c>
      <c r="H664" t="s">
        <v>205</v>
      </c>
      <c r="I664">
        <v>24</v>
      </c>
      <c r="J664">
        <v>24</v>
      </c>
      <c r="K664" s="1">
        <v>45269</v>
      </c>
      <c r="L664" s="1">
        <v>45543</v>
      </c>
      <c r="M664" s="1">
        <v>45269</v>
      </c>
      <c r="N664" s="1">
        <v>45543</v>
      </c>
      <c r="O664" t="s">
        <v>116</v>
      </c>
      <c r="P664" t="s">
        <v>2418</v>
      </c>
      <c r="R664" t="s">
        <v>2419</v>
      </c>
      <c r="T664" t="s">
        <v>2420</v>
      </c>
      <c r="U664" t="s">
        <v>386</v>
      </c>
      <c r="V664" s="8" t="str">
        <f>"38555"</f>
        <v>38555</v>
      </c>
      <c r="W664" t="s">
        <v>118</v>
      </c>
      <c r="Y664" s="10">
        <v>18004891718</v>
      </c>
      <c r="AA664">
        <v>56172</v>
      </c>
      <c r="AB664" t="s">
        <v>6839</v>
      </c>
      <c r="AC664" t="s">
        <v>6840</v>
      </c>
      <c r="AE664" t="s">
        <v>6841</v>
      </c>
      <c r="AF664" t="s">
        <v>2419</v>
      </c>
      <c r="AH664" t="s">
        <v>2420</v>
      </c>
      <c r="AI664" t="s">
        <v>386</v>
      </c>
      <c r="AJ664" s="8" t="str">
        <f>"38555"</f>
        <v>38555</v>
      </c>
      <c r="AK664" t="s">
        <v>118</v>
      </c>
      <c r="AM664" s="10">
        <v>14077231164</v>
      </c>
      <c r="AO664" t="s">
        <v>2422</v>
      </c>
      <c r="AX664" s="8" t="str">
        <f>""</f>
        <v/>
      </c>
      <c r="BG664" t="s">
        <v>402</v>
      </c>
      <c r="BH664" s="1">
        <v>45188.833333333336</v>
      </c>
      <c r="BI664">
        <v>35</v>
      </c>
      <c r="BJ664">
        <v>7</v>
      </c>
      <c r="BK664">
        <v>0</v>
      </c>
      <c r="BL664">
        <v>0</v>
      </c>
      <c r="BM664">
        <v>7</v>
      </c>
      <c r="BN664">
        <v>7</v>
      </c>
      <c r="BO664">
        <v>7</v>
      </c>
      <c r="BP664">
        <v>7</v>
      </c>
      <c r="BQ664" t="str">
        <f>"9:00 AM"</f>
        <v>9:00 AM</v>
      </c>
      <c r="BR664" t="str">
        <f>"4:00 PM"</f>
        <v>4:00 PM</v>
      </c>
      <c r="BS664" t="s">
        <v>131</v>
      </c>
      <c r="BT664">
        <v>0</v>
      </c>
      <c r="BU664">
        <v>3</v>
      </c>
      <c r="BV664" t="s">
        <v>114</v>
      </c>
      <c r="BX664" s="2" t="s">
        <v>2423</v>
      </c>
      <c r="BY664" t="s">
        <v>22249</v>
      </c>
      <c r="CA664" t="s">
        <v>6627</v>
      </c>
      <c r="CB664" t="s">
        <v>402</v>
      </c>
      <c r="CC664" s="8" t="str">
        <f>"96161"</f>
        <v>96161</v>
      </c>
      <c r="CD664" t="s">
        <v>4745</v>
      </c>
      <c r="CE664" t="s">
        <v>728</v>
      </c>
      <c r="CF664" s="12">
        <v>20.36</v>
      </c>
      <c r="CG664" s="12">
        <v>20.36</v>
      </c>
      <c r="CH664" s="12">
        <v>30.54</v>
      </c>
      <c r="CI664" s="12">
        <v>30.54</v>
      </c>
      <c r="CJ664" t="s">
        <v>135</v>
      </c>
      <c r="CL664" t="s">
        <v>22250</v>
      </c>
      <c r="CO664" t="s">
        <v>132</v>
      </c>
      <c r="CP664" t="s">
        <v>136</v>
      </c>
      <c r="CQ664" t="s">
        <v>136</v>
      </c>
      <c r="CR664" t="s">
        <v>136</v>
      </c>
      <c r="CS664" t="s">
        <v>136</v>
      </c>
      <c r="CT664" t="s">
        <v>136</v>
      </c>
      <c r="CU664" t="s">
        <v>136</v>
      </c>
      <c r="CV664" t="s">
        <v>22251</v>
      </c>
      <c r="CW664" s="10" t="str">
        <f>"+14077231139"</f>
        <v>+14077231139</v>
      </c>
      <c r="CX664" t="s">
        <v>2427</v>
      </c>
      <c r="CY664" t="s">
        <v>132</v>
      </c>
      <c r="CZ664" t="s">
        <v>137</v>
      </c>
      <c r="DA664" t="s">
        <v>114</v>
      </c>
      <c r="DB664" t="s">
        <v>114</v>
      </c>
      <c r="DC664" t="s">
        <v>136</v>
      </c>
      <c r="DD664" t="s">
        <v>114</v>
      </c>
    </row>
    <row r="665" spans="1:113" ht="15" customHeight="1" x14ac:dyDescent="0.25">
      <c r="A665" t="s">
        <v>23097</v>
      </c>
      <c r="B665" t="s">
        <v>152</v>
      </c>
      <c r="C665" s="1">
        <v>45190.644923958331</v>
      </c>
      <c r="D665" s="1">
        <v>45259</v>
      </c>
      <c r="E665" t="s">
        <v>132</v>
      </c>
      <c r="F665" t="s">
        <v>23098</v>
      </c>
      <c r="G665" t="str">
        <f>"51-6062.00"</f>
        <v>51-6062.00</v>
      </c>
      <c r="H665" t="s">
        <v>23099</v>
      </c>
      <c r="I665">
        <v>60</v>
      </c>
      <c r="J665">
        <v>60</v>
      </c>
      <c r="K665" s="1">
        <v>45275</v>
      </c>
      <c r="L665" s="1">
        <v>45579</v>
      </c>
      <c r="M665" s="1">
        <v>45275</v>
      </c>
      <c r="N665" s="1">
        <v>45579</v>
      </c>
      <c r="O665" t="s">
        <v>116</v>
      </c>
      <c r="P665" t="s">
        <v>23100</v>
      </c>
      <c r="Q665" t="s">
        <v>23101</v>
      </c>
      <c r="R665" t="s">
        <v>23102</v>
      </c>
      <c r="T665" t="s">
        <v>17550</v>
      </c>
      <c r="U665" t="s">
        <v>550</v>
      </c>
      <c r="V665" s="8" t="str">
        <f>"30601"</f>
        <v>30601</v>
      </c>
      <c r="W665" t="s">
        <v>118</v>
      </c>
      <c r="Y665" s="10">
        <v>1706354370</v>
      </c>
      <c r="AA665">
        <v>313210</v>
      </c>
      <c r="AB665" t="s">
        <v>23103</v>
      </c>
      <c r="AC665" t="s">
        <v>23104</v>
      </c>
      <c r="AE665" t="s">
        <v>3349</v>
      </c>
      <c r="AF665" t="s">
        <v>23102</v>
      </c>
      <c r="AH665" t="s">
        <v>17550</v>
      </c>
      <c r="AI665" t="s">
        <v>550</v>
      </c>
      <c r="AJ665" s="8" t="str">
        <f>"30601"</f>
        <v>30601</v>
      </c>
      <c r="AK665" t="s">
        <v>118</v>
      </c>
      <c r="AM665" s="10">
        <v>17063543700</v>
      </c>
      <c r="AO665" t="s">
        <v>23105</v>
      </c>
      <c r="AP665" t="s">
        <v>121</v>
      </c>
      <c r="AQ665" t="s">
        <v>23106</v>
      </c>
      <c r="AR665" t="s">
        <v>23107</v>
      </c>
      <c r="AS665" t="s">
        <v>2998</v>
      </c>
      <c r="AT665" t="s">
        <v>23108</v>
      </c>
      <c r="AU665" t="s">
        <v>12346</v>
      </c>
      <c r="AV665" t="s">
        <v>23109</v>
      </c>
      <c r="AW665" t="s">
        <v>2262</v>
      </c>
      <c r="AX665" s="8" t="str">
        <f>"06611"</f>
        <v>06611</v>
      </c>
      <c r="AY665" t="s">
        <v>118</v>
      </c>
      <c r="BA665" s="10">
        <v>12034165300</v>
      </c>
      <c r="BB665">
        <v>104</v>
      </c>
      <c r="BC665" t="s">
        <v>23110</v>
      </c>
      <c r="BD665" t="s">
        <v>23111</v>
      </c>
      <c r="BE665" t="s">
        <v>358</v>
      </c>
      <c r="BF665" t="s">
        <v>23112</v>
      </c>
      <c r="BG665" t="s">
        <v>550</v>
      </c>
      <c r="BH665" s="1">
        <v>45188.833333333336</v>
      </c>
      <c r="BI665">
        <v>84</v>
      </c>
      <c r="BJ665">
        <v>12</v>
      </c>
      <c r="BK665">
        <v>12</v>
      </c>
      <c r="BL665">
        <v>12</v>
      </c>
      <c r="BM665">
        <v>12</v>
      </c>
      <c r="BN665">
        <v>12</v>
      </c>
      <c r="BO665">
        <v>12</v>
      </c>
      <c r="BP665">
        <v>12</v>
      </c>
      <c r="BQ665" t="str">
        <f>"8:00 AM"</f>
        <v>8:00 AM</v>
      </c>
      <c r="BR665" t="str">
        <f>"8:00 PM"</f>
        <v>8:00 PM</v>
      </c>
      <c r="BS665" t="s">
        <v>131</v>
      </c>
      <c r="BT665">
        <v>0</v>
      </c>
      <c r="BU665">
        <v>0</v>
      </c>
      <c r="BV665" t="s">
        <v>114</v>
      </c>
      <c r="BX665" t="s">
        <v>23113</v>
      </c>
      <c r="BY665" t="s">
        <v>23114</v>
      </c>
      <c r="CA665" t="s">
        <v>13382</v>
      </c>
      <c r="CB665" t="s">
        <v>550</v>
      </c>
      <c r="CC665" s="8" t="str">
        <f>"30601"</f>
        <v>30601</v>
      </c>
      <c r="CD665" t="s">
        <v>1606</v>
      </c>
      <c r="CE665" t="s">
        <v>23115</v>
      </c>
      <c r="CF665" s="12">
        <v>17.100000000000001</v>
      </c>
      <c r="CG665" s="12">
        <v>17.100000000000001</v>
      </c>
      <c r="CH665" s="12">
        <v>25.65</v>
      </c>
      <c r="CI665" s="12">
        <v>25.65</v>
      </c>
      <c r="CJ665" t="s">
        <v>135</v>
      </c>
      <c r="CK665" t="s">
        <v>132</v>
      </c>
      <c r="CL665" t="s">
        <v>23116</v>
      </c>
      <c r="CO665" t="s">
        <v>132</v>
      </c>
      <c r="CP665" t="s">
        <v>114</v>
      </c>
      <c r="CQ665" t="s">
        <v>114</v>
      </c>
      <c r="CR665" t="s">
        <v>136</v>
      </c>
      <c r="CS665" t="s">
        <v>136</v>
      </c>
      <c r="CT665" t="s">
        <v>136</v>
      </c>
      <c r="CU665" t="s">
        <v>114</v>
      </c>
      <c r="CV665" t="s">
        <v>23117</v>
      </c>
      <c r="CW665" s="10" t="str">
        <f>"+17033543700"</f>
        <v>+17033543700</v>
      </c>
      <c r="CX665" t="s">
        <v>23118</v>
      </c>
      <c r="CY665" t="s">
        <v>23119</v>
      </c>
      <c r="CZ665" t="s">
        <v>137</v>
      </c>
      <c r="DA665" t="s">
        <v>114</v>
      </c>
      <c r="DB665" t="s">
        <v>114</v>
      </c>
      <c r="DC665" t="s">
        <v>136</v>
      </c>
      <c r="DD665" t="s">
        <v>114</v>
      </c>
    </row>
    <row r="666" spans="1:113" ht="15" customHeight="1" x14ac:dyDescent="0.25">
      <c r="A666" t="s">
        <v>16360</v>
      </c>
      <c r="B666" t="s">
        <v>152</v>
      </c>
      <c r="C666" s="1">
        <v>45189.630439004628</v>
      </c>
      <c r="D666" s="1">
        <v>45259</v>
      </c>
      <c r="E666" t="s">
        <v>132</v>
      </c>
      <c r="F666" t="s">
        <v>3992</v>
      </c>
      <c r="G666" t="str">
        <f>"37-2011.00"</f>
        <v>37-2011.00</v>
      </c>
      <c r="H666" t="s">
        <v>1089</v>
      </c>
      <c r="I666">
        <v>12</v>
      </c>
      <c r="J666">
        <v>12</v>
      </c>
      <c r="K666" s="1">
        <v>45264</v>
      </c>
      <c r="L666" s="1">
        <v>45382</v>
      </c>
      <c r="M666" s="1">
        <v>45264</v>
      </c>
      <c r="N666" s="1">
        <v>45382</v>
      </c>
      <c r="O666" t="s">
        <v>238</v>
      </c>
      <c r="P666" t="s">
        <v>16361</v>
      </c>
      <c r="R666" t="s">
        <v>16362</v>
      </c>
      <c r="T666" t="s">
        <v>2114</v>
      </c>
      <c r="U666" t="s">
        <v>211</v>
      </c>
      <c r="V666" s="8" t="str">
        <f>"84601"</f>
        <v>84601</v>
      </c>
      <c r="W666" t="s">
        <v>118</v>
      </c>
      <c r="Y666" s="10">
        <v>18018744711</v>
      </c>
      <c r="AA666">
        <v>56173</v>
      </c>
      <c r="AB666" t="s">
        <v>8233</v>
      </c>
      <c r="AC666" t="s">
        <v>5954</v>
      </c>
      <c r="AE666" t="s">
        <v>120</v>
      </c>
      <c r="AF666" t="s">
        <v>16362</v>
      </c>
      <c r="AH666" t="s">
        <v>2114</v>
      </c>
      <c r="AI666" t="s">
        <v>211</v>
      </c>
      <c r="AJ666" s="8" t="str">
        <f>"84601"</f>
        <v>84601</v>
      </c>
      <c r="AK666" t="s">
        <v>118</v>
      </c>
      <c r="AM666" s="10">
        <v>18018744711</v>
      </c>
      <c r="AO666" t="s">
        <v>16363</v>
      </c>
      <c r="AP666" t="s">
        <v>248</v>
      </c>
      <c r="AQ666" t="s">
        <v>1700</v>
      </c>
      <c r="AR666" t="s">
        <v>1701</v>
      </c>
      <c r="AT666" t="s">
        <v>1702</v>
      </c>
      <c r="AV666" t="s">
        <v>1703</v>
      </c>
      <c r="AW666" t="s">
        <v>211</v>
      </c>
      <c r="AX666" s="8" t="str">
        <f>"84059"</f>
        <v>84059</v>
      </c>
      <c r="AY666" t="s">
        <v>118</v>
      </c>
      <c r="BA666" s="10">
        <v>18013677097</v>
      </c>
      <c r="BC666" t="s">
        <v>4601</v>
      </c>
      <c r="BD666" t="s">
        <v>4602</v>
      </c>
      <c r="BG666" t="s">
        <v>211</v>
      </c>
      <c r="BH666" s="1">
        <v>45188.833333333336</v>
      </c>
      <c r="BI666">
        <v>35</v>
      </c>
      <c r="BJ666">
        <v>0</v>
      </c>
      <c r="BK666">
        <v>7</v>
      </c>
      <c r="BL666">
        <v>7</v>
      </c>
      <c r="BM666">
        <v>7</v>
      </c>
      <c r="BN666">
        <v>7</v>
      </c>
      <c r="BO666">
        <v>7</v>
      </c>
      <c r="BP666">
        <v>0</v>
      </c>
      <c r="BQ666" t="str">
        <f>"8:00 AM"</f>
        <v>8:00 AM</v>
      </c>
      <c r="BR666" t="str">
        <f>"3:30 PM"</f>
        <v>3:30 PM</v>
      </c>
      <c r="BS666" t="s">
        <v>131</v>
      </c>
      <c r="BT666">
        <v>0</v>
      </c>
      <c r="BU666">
        <v>0</v>
      </c>
      <c r="BV666" t="s">
        <v>114</v>
      </c>
      <c r="BX666" s="2" t="s">
        <v>16364</v>
      </c>
      <c r="BY666" t="s">
        <v>16365</v>
      </c>
      <c r="CA666" t="s">
        <v>2114</v>
      </c>
      <c r="CB666" t="s">
        <v>211</v>
      </c>
      <c r="CC666" s="8" t="str">
        <f>"84601"</f>
        <v>84601</v>
      </c>
      <c r="CD666" t="s">
        <v>2468</v>
      </c>
      <c r="CE666" t="s">
        <v>2469</v>
      </c>
      <c r="CF666" s="12">
        <v>13.8</v>
      </c>
      <c r="CH666" s="12">
        <v>20.7</v>
      </c>
      <c r="CJ666" t="s">
        <v>135</v>
      </c>
      <c r="CK666" t="s">
        <v>4604</v>
      </c>
      <c r="CL666" t="s">
        <v>16366</v>
      </c>
      <c r="CO666" t="s">
        <v>132</v>
      </c>
      <c r="CP666" t="s">
        <v>136</v>
      </c>
      <c r="CQ666" t="s">
        <v>136</v>
      </c>
      <c r="CR666" t="s">
        <v>136</v>
      </c>
      <c r="CS666" t="s">
        <v>114</v>
      </c>
      <c r="CT666" t="s">
        <v>136</v>
      </c>
      <c r="CU666" t="s">
        <v>114</v>
      </c>
      <c r="CV666" t="s">
        <v>2470</v>
      </c>
      <c r="CW666" s="10" t="str">
        <f>"+18018744711"</f>
        <v>+18018744711</v>
      </c>
      <c r="CX666" t="s">
        <v>16363</v>
      </c>
      <c r="CY666" t="s">
        <v>132</v>
      </c>
      <c r="CZ666" t="s">
        <v>137</v>
      </c>
      <c r="DA666" t="s">
        <v>114</v>
      </c>
      <c r="DB666" t="s">
        <v>114</v>
      </c>
      <c r="DC666" t="s">
        <v>136</v>
      </c>
      <c r="DD666" t="s">
        <v>114</v>
      </c>
    </row>
    <row r="667" spans="1:113" ht="15" customHeight="1" x14ac:dyDescent="0.25">
      <c r="A667" t="s">
        <v>17526</v>
      </c>
      <c r="B667" t="s">
        <v>152</v>
      </c>
      <c r="C667" s="1">
        <v>45187.595000925925</v>
      </c>
      <c r="D667" s="1">
        <v>45259</v>
      </c>
      <c r="E667" t="s">
        <v>132</v>
      </c>
      <c r="F667" t="s">
        <v>1595</v>
      </c>
      <c r="G667" t="str">
        <f>"37-3011.00"</f>
        <v>37-3011.00</v>
      </c>
      <c r="H667" t="s">
        <v>429</v>
      </c>
      <c r="I667">
        <v>50</v>
      </c>
      <c r="J667">
        <v>50</v>
      </c>
      <c r="K667" s="1">
        <v>45275</v>
      </c>
      <c r="L667" s="1">
        <v>45565</v>
      </c>
      <c r="M667" s="1">
        <v>45275</v>
      </c>
      <c r="N667" s="1">
        <v>45565</v>
      </c>
      <c r="O667" t="s">
        <v>238</v>
      </c>
      <c r="P667" t="s">
        <v>17527</v>
      </c>
      <c r="R667" t="s">
        <v>17528</v>
      </c>
      <c r="T667" t="s">
        <v>7290</v>
      </c>
      <c r="U667" t="s">
        <v>1825</v>
      </c>
      <c r="V667" s="8" t="str">
        <f>"72823"</f>
        <v>72823</v>
      </c>
      <c r="W667" t="s">
        <v>118</v>
      </c>
      <c r="Y667" s="10">
        <v>14797471841</v>
      </c>
      <c r="AA667">
        <v>56173</v>
      </c>
      <c r="AB667" t="s">
        <v>12831</v>
      </c>
      <c r="AC667" t="s">
        <v>124</v>
      </c>
      <c r="AE667" t="s">
        <v>120</v>
      </c>
      <c r="AF667" t="s">
        <v>17528</v>
      </c>
      <c r="AH667" t="s">
        <v>7290</v>
      </c>
      <c r="AI667" t="s">
        <v>1825</v>
      </c>
      <c r="AJ667" s="8" t="str">
        <f>"72823"</f>
        <v>72823</v>
      </c>
      <c r="AK667" t="s">
        <v>118</v>
      </c>
      <c r="AM667" s="10">
        <v>14797471841</v>
      </c>
      <c r="AO667" t="s">
        <v>17529</v>
      </c>
      <c r="AP667" t="s">
        <v>248</v>
      </c>
      <c r="AQ667" t="s">
        <v>849</v>
      </c>
      <c r="AR667" t="s">
        <v>850</v>
      </c>
      <c r="AS667" t="s">
        <v>132</v>
      </c>
      <c r="AT667" t="s">
        <v>851</v>
      </c>
      <c r="AU667" t="s">
        <v>852</v>
      </c>
      <c r="AV667" t="s">
        <v>853</v>
      </c>
      <c r="AW667" t="s">
        <v>854</v>
      </c>
      <c r="AX667" s="8" t="str">
        <f>"83814"</f>
        <v>83814</v>
      </c>
      <c r="AY667" t="s">
        <v>118</v>
      </c>
      <c r="BA667" s="10">
        <v>12087772654</v>
      </c>
      <c r="BC667" t="s">
        <v>855</v>
      </c>
      <c r="BD667" t="s">
        <v>856</v>
      </c>
      <c r="BG667" t="s">
        <v>1825</v>
      </c>
      <c r="BH667" s="1">
        <v>45187.833333333336</v>
      </c>
      <c r="BI667">
        <v>40</v>
      </c>
      <c r="BJ667">
        <v>0</v>
      </c>
      <c r="BK667">
        <v>8</v>
      </c>
      <c r="BL667">
        <v>8</v>
      </c>
      <c r="BM667">
        <v>8</v>
      </c>
      <c r="BN667">
        <v>8</v>
      </c>
      <c r="BO667">
        <v>8</v>
      </c>
      <c r="BP667">
        <v>0</v>
      </c>
      <c r="BQ667" t="str">
        <f>"8:00 AM"</f>
        <v>8:00 AM</v>
      </c>
      <c r="BR667" t="str">
        <f>"5:00 PM"</f>
        <v>5:00 PM</v>
      </c>
      <c r="BS667" t="s">
        <v>131</v>
      </c>
      <c r="BT667">
        <v>0</v>
      </c>
      <c r="BU667">
        <v>0</v>
      </c>
      <c r="BV667" t="s">
        <v>114</v>
      </c>
      <c r="BX667" s="2" t="s">
        <v>17530</v>
      </c>
      <c r="BY667" t="s">
        <v>17531</v>
      </c>
      <c r="CA667" t="s">
        <v>17532</v>
      </c>
      <c r="CB667" t="s">
        <v>1825</v>
      </c>
      <c r="CC667" s="8" t="str">
        <f>"71832"</f>
        <v>71832</v>
      </c>
      <c r="CD667" t="s">
        <v>1985</v>
      </c>
      <c r="CE667" t="s">
        <v>3741</v>
      </c>
      <c r="CF667" s="12">
        <v>12.79</v>
      </c>
      <c r="CG667" s="12">
        <v>16.39</v>
      </c>
      <c r="CH667" s="12">
        <v>19.190000000000001</v>
      </c>
      <c r="CI667" s="12">
        <v>24.59</v>
      </c>
      <c r="CJ667" t="s">
        <v>135</v>
      </c>
      <c r="CK667" t="s">
        <v>861</v>
      </c>
      <c r="CL667" t="s">
        <v>17533</v>
      </c>
      <c r="CO667" t="s">
        <v>132</v>
      </c>
      <c r="CP667" t="s">
        <v>136</v>
      </c>
      <c r="CQ667" t="s">
        <v>136</v>
      </c>
      <c r="CR667" t="s">
        <v>136</v>
      </c>
      <c r="CS667" t="s">
        <v>136</v>
      </c>
      <c r="CT667" t="s">
        <v>136</v>
      </c>
      <c r="CU667" t="s">
        <v>136</v>
      </c>
      <c r="CV667" t="s">
        <v>1040</v>
      </c>
      <c r="CW667" s="10" t="str">
        <f>"+14797471841"</f>
        <v>+14797471841</v>
      </c>
      <c r="CX667" t="s">
        <v>17529</v>
      </c>
      <c r="CY667" t="s">
        <v>132</v>
      </c>
      <c r="CZ667" t="s">
        <v>137</v>
      </c>
      <c r="DA667" t="s">
        <v>114</v>
      </c>
      <c r="DB667" t="s">
        <v>114</v>
      </c>
      <c r="DC667" t="s">
        <v>136</v>
      </c>
      <c r="DD667" t="s">
        <v>114</v>
      </c>
    </row>
    <row r="668" spans="1:113" ht="15" customHeight="1" x14ac:dyDescent="0.25">
      <c r="A668" t="s">
        <v>15104</v>
      </c>
      <c r="B668" t="s">
        <v>152</v>
      </c>
      <c r="C668" s="1">
        <v>45184.717515162039</v>
      </c>
      <c r="D668" s="1">
        <v>45259</v>
      </c>
      <c r="E668" t="s">
        <v>132</v>
      </c>
      <c r="F668" t="s">
        <v>2417</v>
      </c>
      <c r="G668" t="str">
        <f>"37-2012.00"</f>
        <v>37-2012.00</v>
      </c>
      <c r="H668" t="s">
        <v>205</v>
      </c>
      <c r="I668">
        <v>20</v>
      </c>
      <c r="J668">
        <v>20</v>
      </c>
      <c r="K668" s="1">
        <v>45269</v>
      </c>
      <c r="L668" s="1">
        <v>45543</v>
      </c>
      <c r="M668" s="1">
        <v>45269</v>
      </c>
      <c r="N668" s="1">
        <v>45543</v>
      </c>
      <c r="O668" t="s">
        <v>116</v>
      </c>
      <c r="P668" t="s">
        <v>2418</v>
      </c>
      <c r="R668" t="s">
        <v>2419</v>
      </c>
      <c r="T668" t="s">
        <v>2420</v>
      </c>
      <c r="U668" t="s">
        <v>386</v>
      </c>
      <c r="V668" s="8" t="str">
        <f>"38555"</f>
        <v>38555</v>
      </c>
      <c r="W668" t="s">
        <v>118</v>
      </c>
      <c r="Y668" s="10">
        <v>18004891718</v>
      </c>
      <c r="AA668">
        <v>56172</v>
      </c>
      <c r="AB668" t="s">
        <v>6839</v>
      </c>
      <c r="AC668" t="s">
        <v>6840</v>
      </c>
      <c r="AE668" t="s">
        <v>6841</v>
      </c>
      <c r="AF668" t="s">
        <v>2419</v>
      </c>
      <c r="AH668" t="s">
        <v>2420</v>
      </c>
      <c r="AI668" t="s">
        <v>386</v>
      </c>
      <c r="AJ668" s="8" t="str">
        <f>"38555"</f>
        <v>38555</v>
      </c>
      <c r="AK668" t="s">
        <v>118</v>
      </c>
      <c r="AM668" s="10">
        <v>14077231164</v>
      </c>
      <c r="AO668" t="s">
        <v>2422</v>
      </c>
      <c r="AX668" s="8" t="str">
        <f>""</f>
        <v/>
      </c>
      <c r="BG668" t="s">
        <v>188</v>
      </c>
      <c r="BH668" s="1">
        <v>45180.833333333336</v>
      </c>
      <c r="BI668">
        <v>35</v>
      </c>
      <c r="BJ668">
        <v>7</v>
      </c>
      <c r="BK668">
        <v>0</v>
      </c>
      <c r="BL668">
        <v>0</v>
      </c>
      <c r="BM668">
        <v>7</v>
      </c>
      <c r="BN668">
        <v>7</v>
      </c>
      <c r="BO668">
        <v>7</v>
      </c>
      <c r="BP668">
        <v>7</v>
      </c>
      <c r="BQ668" t="str">
        <f>"9:00 AM"</f>
        <v>9:00 AM</v>
      </c>
      <c r="BR668" t="str">
        <f>"4:00 PM"</f>
        <v>4:00 PM</v>
      </c>
      <c r="BS668" t="s">
        <v>131</v>
      </c>
      <c r="BT668">
        <v>0</v>
      </c>
      <c r="BU668">
        <v>3</v>
      </c>
      <c r="BV668" t="s">
        <v>114</v>
      </c>
      <c r="BX668" s="2" t="s">
        <v>2423</v>
      </c>
      <c r="BY668" t="s">
        <v>15105</v>
      </c>
      <c r="CA668" t="s">
        <v>13962</v>
      </c>
      <c r="CB668" t="s">
        <v>188</v>
      </c>
      <c r="CC668" s="8" t="str">
        <f>"81147"</f>
        <v>81147</v>
      </c>
      <c r="CD668" t="s">
        <v>13963</v>
      </c>
      <c r="CE668" t="s">
        <v>4724</v>
      </c>
      <c r="CF668" s="12">
        <v>16.37</v>
      </c>
      <c r="CH668" s="12">
        <v>24.56</v>
      </c>
      <c r="CJ668" t="s">
        <v>305</v>
      </c>
      <c r="CK668" t="s">
        <v>15106</v>
      </c>
      <c r="CL668" t="s">
        <v>15107</v>
      </c>
      <c r="CO668" t="s">
        <v>132</v>
      </c>
      <c r="CP668" t="s">
        <v>114</v>
      </c>
      <c r="CQ668" t="s">
        <v>136</v>
      </c>
      <c r="CR668" t="s">
        <v>136</v>
      </c>
      <c r="CS668" t="s">
        <v>136</v>
      </c>
      <c r="CT668" t="s">
        <v>136</v>
      </c>
      <c r="CU668" t="s">
        <v>136</v>
      </c>
      <c r="CV668" t="s">
        <v>2426</v>
      </c>
      <c r="CW668" s="10" t="str">
        <f>"+14077231139"</f>
        <v>+14077231139</v>
      </c>
      <c r="CX668" t="s">
        <v>2427</v>
      </c>
      <c r="CY668" t="s">
        <v>132</v>
      </c>
      <c r="CZ668" t="s">
        <v>137</v>
      </c>
      <c r="DA668" t="s">
        <v>114</v>
      </c>
      <c r="DB668" t="s">
        <v>136</v>
      </c>
      <c r="DC668" t="s">
        <v>136</v>
      </c>
      <c r="DD668" t="s">
        <v>114</v>
      </c>
    </row>
    <row r="669" spans="1:113" ht="15" customHeight="1" x14ac:dyDescent="0.25">
      <c r="A669" t="s">
        <v>15038</v>
      </c>
      <c r="B669" t="s">
        <v>152</v>
      </c>
      <c r="C669" s="1">
        <v>45171.643479976854</v>
      </c>
      <c r="D669" s="1">
        <v>45259</v>
      </c>
      <c r="E669" t="s">
        <v>132</v>
      </c>
      <c r="F669" t="s">
        <v>3245</v>
      </c>
      <c r="G669" t="str">
        <f>"53-7062.00"</f>
        <v>53-7062.00</v>
      </c>
      <c r="H669" t="s">
        <v>2078</v>
      </c>
      <c r="I669">
        <v>2</v>
      </c>
      <c r="J669">
        <v>2</v>
      </c>
      <c r="K669" s="1">
        <v>45261</v>
      </c>
      <c r="L669" s="1">
        <v>45373</v>
      </c>
      <c r="M669" s="1">
        <v>45261</v>
      </c>
      <c r="N669" s="1">
        <v>45373</v>
      </c>
      <c r="O669" t="s">
        <v>238</v>
      </c>
      <c r="P669" t="s">
        <v>15039</v>
      </c>
      <c r="R669" t="s">
        <v>15040</v>
      </c>
      <c r="T669" t="s">
        <v>15041</v>
      </c>
      <c r="U669" t="s">
        <v>819</v>
      </c>
      <c r="V669" s="8" t="str">
        <f>"46568"</f>
        <v>46568</v>
      </c>
      <c r="W669" t="s">
        <v>118</v>
      </c>
      <c r="Y669" s="10">
        <v>13174074852</v>
      </c>
      <c r="AA669">
        <v>561790</v>
      </c>
      <c r="AB669" t="s">
        <v>15042</v>
      </c>
      <c r="AC669" t="s">
        <v>15043</v>
      </c>
      <c r="AE669" t="s">
        <v>561</v>
      </c>
      <c r="AF669" t="s">
        <v>15044</v>
      </c>
      <c r="AH669" t="s">
        <v>5557</v>
      </c>
      <c r="AI669" t="s">
        <v>819</v>
      </c>
      <c r="AJ669" s="8" t="str">
        <f>"46268"</f>
        <v>46268</v>
      </c>
      <c r="AK669" t="s">
        <v>118</v>
      </c>
      <c r="AM669" s="10">
        <v>13174074852</v>
      </c>
      <c r="AO669" t="s">
        <v>796</v>
      </c>
      <c r="AP669" t="s">
        <v>248</v>
      </c>
      <c r="AQ669" t="s">
        <v>5249</v>
      </c>
      <c r="AR669" t="s">
        <v>5250</v>
      </c>
      <c r="AT669" t="s">
        <v>3691</v>
      </c>
      <c r="AU669" t="s">
        <v>3692</v>
      </c>
      <c r="AV669" t="s">
        <v>2814</v>
      </c>
      <c r="AW669" t="s">
        <v>2608</v>
      </c>
      <c r="AX669" s="8" t="str">
        <f>"74136"</f>
        <v>74136</v>
      </c>
      <c r="AY669" t="s">
        <v>118</v>
      </c>
      <c r="BA669" s="10">
        <v>19189065212</v>
      </c>
      <c r="BC669" t="s">
        <v>5251</v>
      </c>
      <c r="BD669" t="s">
        <v>3695</v>
      </c>
      <c r="BG669" t="s">
        <v>819</v>
      </c>
      <c r="BH669" s="1">
        <v>45169.833333333336</v>
      </c>
      <c r="BI669">
        <v>40</v>
      </c>
      <c r="BJ669">
        <v>0</v>
      </c>
      <c r="BK669">
        <v>8</v>
      </c>
      <c r="BL669">
        <v>8</v>
      </c>
      <c r="BM669">
        <v>8</v>
      </c>
      <c r="BN669">
        <v>8</v>
      </c>
      <c r="BO669">
        <v>8</v>
      </c>
      <c r="BP669">
        <v>0</v>
      </c>
      <c r="BQ669" t="str">
        <f>"8:00 AM"</f>
        <v>8:00 AM</v>
      </c>
      <c r="BR669" t="str">
        <f>"5:00 PM"</f>
        <v>5:00 PM</v>
      </c>
      <c r="BS669" t="s">
        <v>131</v>
      </c>
      <c r="BT669">
        <v>0</v>
      </c>
      <c r="BU669">
        <v>0</v>
      </c>
      <c r="BV669" t="s">
        <v>114</v>
      </c>
      <c r="BX669" s="2" t="s">
        <v>15045</v>
      </c>
      <c r="BY669" t="s">
        <v>15040</v>
      </c>
      <c r="CA669" t="s">
        <v>15046</v>
      </c>
      <c r="CB669" t="s">
        <v>819</v>
      </c>
      <c r="CC669" s="8" t="str">
        <f>"46268"</f>
        <v>46268</v>
      </c>
      <c r="CD669" t="s">
        <v>1257</v>
      </c>
      <c r="CE669" t="s">
        <v>2111</v>
      </c>
      <c r="CF669" s="12">
        <v>18.510000000000002</v>
      </c>
      <c r="CG669" s="12">
        <v>18.510000000000002</v>
      </c>
      <c r="CH669" s="12">
        <v>27.77</v>
      </c>
      <c r="CI669" s="12">
        <v>27.77</v>
      </c>
      <c r="CJ669" t="s">
        <v>135</v>
      </c>
      <c r="CK669" t="s">
        <v>3699</v>
      </c>
      <c r="CL669" t="s">
        <v>15047</v>
      </c>
      <c r="CO669" t="s">
        <v>132</v>
      </c>
      <c r="CP669" t="s">
        <v>136</v>
      </c>
      <c r="CQ669" t="s">
        <v>114</v>
      </c>
      <c r="CR669" t="s">
        <v>136</v>
      </c>
      <c r="CS669" t="s">
        <v>114</v>
      </c>
      <c r="CT669" t="s">
        <v>136</v>
      </c>
      <c r="CU669" t="s">
        <v>114</v>
      </c>
      <c r="CV669" t="s">
        <v>9276</v>
      </c>
      <c r="CW669" s="10" t="str">
        <f>"+13172573000"</f>
        <v>+13172573000</v>
      </c>
      <c r="CX669" t="s">
        <v>132</v>
      </c>
      <c r="CY669" t="s">
        <v>15048</v>
      </c>
      <c r="CZ669" t="s">
        <v>137</v>
      </c>
      <c r="DA669" t="s">
        <v>114</v>
      </c>
      <c r="DB669" t="s">
        <v>136</v>
      </c>
      <c r="DC669" t="s">
        <v>136</v>
      </c>
      <c r="DD669" t="s">
        <v>114</v>
      </c>
    </row>
    <row r="670" spans="1:113" ht="15" customHeight="1" x14ac:dyDescent="0.25">
      <c r="A670" t="s">
        <v>22308</v>
      </c>
      <c r="B670" t="s">
        <v>152</v>
      </c>
      <c r="C670" s="1">
        <v>45125.844704861112</v>
      </c>
      <c r="D670" s="1">
        <v>45259</v>
      </c>
      <c r="E670" t="s">
        <v>136</v>
      </c>
      <c r="F670" t="s">
        <v>22309</v>
      </c>
      <c r="G670" t="str">
        <f>"47-2061.00"</f>
        <v>47-2061.00</v>
      </c>
      <c r="H670" t="s">
        <v>570</v>
      </c>
      <c r="I670">
        <v>10</v>
      </c>
      <c r="J670">
        <v>10</v>
      </c>
      <c r="K670" s="1">
        <v>45201</v>
      </c>
      <c r="L670" s="1">
        <v>45474</v>
      </c>
      <c r="M670" s="1">
        <v>45201</v>
      </c>
      <c r="N670" s="1">
        <v>45474</v>
      </c>
      <c r="O670" t="s">
        <v>116</v>
      </c>
      <c r="P670" t="s">
        <v>22310</v>
      </c>
      <c r="R670" t="s">
        <v>22311</v>
      </c>
      <c r="T670" t="s">
        <v>2115</v>
      </c>
      <c r="U670" t="s">
        <v>1598</v>
      </c>
      <c r="V670" s="8" t="str">
        <f>"35116"</f>
        <v>35116</v>
      </c>
      <c r="W670" t="s">
        <v>118</v>
      </c>
      <c r="Y670" s="10">
        <v>18007417366</v>
      </c>
      <c r="AA670">
        <v>327120</v>
      </c>
      <c r="AB670" t="s">
        <v>8118</v>
      </c>
      <c r="AC670" t="s">
        <v>22312</v>
      </c>
      <c r="AD670" t="s">
        <v>22313</v>
      </c>
      <c r="AE670" t="s">
        <v>3588</v>
      </c>
      <c r="AF670" t="s">
        <v>22311</v>
      </c>
      <c r="AH670" t="s">
        <v>2115</v>
      </c>
      <c r="AI670" t="s">
        <v>1598</v>
      </c>
      <c r="AJ670" s="8" t="str">
        <f>"35116"</f>
        <v>35116</v>
      </c>
      <c r="AK670" t="s">
        <v>118</v>
      </c>
      <c r="AM670" s="10">
        <v>18007417366</v>
      </c>
      <c r="AO670" t="s">
        <v>22314</v>
      </c>
      <c r="AP670" t="s">
        <v>121</v>
      </c>
      <c r="AQ670" t="s">
        <v>2869</v>
      </c>
      <c r="AR670" t="s">
        <v>22315</v>
      </c>
      <c r="AT670" t="s">
        <v>22316</v>
      </c>
      <c r="AU670" t="s">
        <v>22317</v>
      </c>
      <c r="AV670" t="s">
        <v>2029</v>
      </c>
      <c r="AW670" t="s">
        <v>581</v>
      </c>
      <c r="AX670" s="8" t="str">
        <f>"22201"</f>
        <v>22201</v>
      </c>
      <c r="AY670" t="s">
        <v>118</v>
      </c>
      <c r="BA670" s="10">
        <v>18888534833</v>
      </c>
      <c r="BC670" t="s">
        <v>22318</v>
      </c>
      <c r="BD670" t="s">
        <v>22319</v>
      </c>
      <c r="BE670" t="s">
        <v>358</v>
      </c>
      <c r="BF670" t="s">
        <v>22320</v>
      </c>
      <c r="BG670" t="s">
        <v>1598</v>
      </c>
      <c r="BH670" s="1">
        <v>45124.833333333336</v>
      </c>
      <c r="BI670">
        <v>40</v>
      </c>
      <c r="BJ670">
        <v>0</v>
      </c>
      <c r="BK670">
        <v>8</v>
      </c>
      <c r="BL670">
        <v>8</v>
      </c>
      <c r="BM670">
        <v>8</v>
      </c>
      <c r="BN670">
        <v>8</v>
      </c>
      <c r="BO670">
        <v>8</v>
      </c>
      <c r="BP670">
        <v>0</v>
      </c>
      <c r="BQ670" t="str">
        <f>"8:00 AM"</f>
        <v>8:00 AM</v>
      </c>
      <c r="BR670" t="str">
        <f>"5:00 PM"</f>
        <v>5:00 PM</v>
      </c>
      <c r="BS670" t="s">
        <v>131</v>
      </c>
      <c r="BT670">
        <v>0</v>
      </c>
      <c r="BU670">
        <v>0</v>
      </c>
      <c r="BV670" t="s">
        <v>114</v>
      </c>
      <c r="BX670" t="s">
        <v>132</v>
      </c>
      <c r="BY670" t="s">
        <v>22321</v>
      </c>
      <c r="CA670" t="s">
        <v>2115</v>
      </c>
      <c r="CB670" t="s">
        <v>1598</v>
      </c>
      <c r="CC670" s="8" t="str">
        <f>"35116"</f>
        <v>35116</v>
      </c>
      <c r="CD670" t="s">
        <v>1767</v>
      </c>
      <c r="CE670" t="s">
        <v>2413</v>
      </c>
      <c r="CF670" s="12">
        <v>16.62</v>
      </c>
      <c r="CJ670" t="s">
        <v>135</v>
      </c>
      <c r="CL670" t="s">
        <v>22322</v>
      </c>
      <c r="CO670" t="s">
        <v>132</v>
      </c>
      <c r="CP670" t="s">
        <v>114</v>
      </c>
      <c r="CQ670" t="s">
        <v>114</v>
      </c>
      <c r="CR670" t="s">
        <v>114</v>
      </c>
      <c r="CS670" t="s">
        <v>136</v>
      </c>
      <c r="CT670" t="s">
        <v>136</v>
      </c>
      <c r="CU670" t="s">
        <v>114</v>
      </c>
      <c r="CV670" t="s">
        <v>22323</v>
      </c>
      <c r="CW670" s="10" t="str">
        <f>"+18007417366"</f>
        <v>+18007417366</v>
      </c>
      <c r="CX670" t="s">
        <v>22324</v>
      </c>
      <c r="CY670" t="s">
        <v>132</v>
      </c>
      <c r="CZ670" t="s">
        <v>137</v>
      </c>
      <c r="DA670" t="s">
        <v>114</v>
      </c>
      <c r="DB670" t="s">
        <v>114</v>
      </c>
      <c r="DC670" t="s">
        <v>136</v>
      </c>
      <c r="DD670" t="s">
        <v>114</v>
      </c>
      <c r="DE670" t="s">
        <v>2869</v>
      </c>
      <c r="DF670" t="s">
        <v>22315</v>
      </c>
      <c r="DH670" t="s">
        <v>22319</v>
      </c>
      <c r="DI670" t="s">
        <v>22318</v>
      </c>
    </row>
    <row r="671" spans="1:113" ht="15" customHeight="1" x14ac:dyDescent="0.25">
      <c r="A671" t="s">
        <v>21017</v>
      </c>
      <c r="B671" t="s">
        <v>152</v>
      </c>
      <c r="C671" s="1">
        <v>45233.690982638887</v>
      </c>
      <c r="D671" s="1">
        <v>45258</v>
      </c>
      <c r="E671" t="s">
        <v>132</v>
      </c>
      <c r="F671" t="s">
        <v>1059</v>
      </c>
      <c r="G671" t="str">
        <f>"35-2014.00"</f>
        <v>35-2014.00</v>
      </c>
      <c r="H671" t="s">
        <v>154</v>
      </c>
      <c r="I671">
        <v>10</v>
      </c>
      <c r="J671">
        <v>10</v>
      </c>
      <c r="K671" s="1">
        <v>45323</v>
      </c>
      <c r="L671" s="1">
        <v>45537</v>
      </c>
      <c r="M671" s="1">
        <v>45323</v>
      </c>
      <c r="N671" s="1">
        <v>45537</v>
      </c>
      <c r="O671" t="s">
        <v>116</v>
      </c>
      <c r="P671" t="s">
        <v>2041</v>
      </c>
      <c r="R671" t="s">
        <v>2042</v>
      </c>
      <c r="T671" t="s">
        <v>2043</v>
      </c>
      <c r="U671" t="s">
        <v>140</v>
      </c>
      <c r="V671" s="8" t="str">
        <f>"34747"</f>
        <v>34747</v>
      </c>
      <c r="W671" t="s">
        <v>118</v>
      </c>
      <c r="Y671" s="10">
        <v>14074777025</v>
      </c>
      <c r="AA671">
        <v>72111</v>
      </c>
      <c r="AB671" t="s">
        <v>2044</v>
      </c>
      <c r="AC671" t="s">
        <v>2045</v>
      </c>
      <c r="AE671" t="s">
        <v>2046</v>
      </c>
      <c r="AF671" t="s">
        <v>954</v>
      </c>
      <c r="AH671" t="s">
        <v>955</v>
      </c>
      <c r="AI671" t="s">
        <v>140</v>
      </c>
      <c r="AJ671" s="8" t="str">
        <f>"32819"</f>
        <v>32819</v>
      </c>
      <c r="AK671" t="s">
        <v>118</v>
      </c>
      <c r="AM671" s="10">
        <v>14073956456</v>
      </c>
      <c r="AO671" t="s">
        <v>959</v>
      </c>
      <c r="AP671" t="s">
        <v>248</v>
      </c>
      <c r="AQ671" t="s">
        <v>960</v>
      </c>
      <c r="AR671" t="s">
        <v>961</v>
      </c>
      <c r="AS671" t="s">
        <v>962</v>
      </c>
      <c r="AT671" t="s">
        <v>963</v>
      </c>
      <c r="AU671" t="s">
        <v>296</v>
      </c>
      <c r="AV671" t="s">
        <v>964</v>
      </c>
      <c r="AW671" t="s">
        <v>127</v>
      </c>
      <c r="AX671" s="8" t="str">
        <f>"75033"</f>
        <v>75033</v>
      </c>
      <c r="AY671" t="s">
        <v>118</v>
      </c>
      <c r="BA671" s="10">
        <v>19727789690</v>
      </c>
      <c r="BC671" t="s">
        <v>2047</v>
      </c>
      <c r="BD671" t="s">
        <v>966</v>
      </c>
      <c r="BG671" t="s">
        <v>140</v>
      </c>
      <c r="BH671" s="1">
        <v>45232.833333333336</v>
      </c>
      <c r="BI671">
        <v>40</v>
      </c>
      <c r="BJ671">
        <v>8</v>
      </c>
      <c r="BK671">
        <v>0</v>
      </c>
      <c r="BL671">
        <v>8</v>
      </c>
      <c r="BM671">
        <v>0</v>
      </c>
      <c r="BN671">
        <v>8</v>
      </c>
      <c r="BO671">
        <v>8</v>
      </c>
      <c r="BP671">
        <v>8</v>
      </c>
      <c r="BQ671" t="str">
        <f>"9:00 AM"</f>
        <v>9:00 AM</v>
      </c>
      <c r="BR671" t="str">
        <f>"5:30 PM"</f>
        <v>5:30 PM</v>
      </c>
      <c r="BS671" t="s">
        <v>131</v>
      </c>
      <c r="BT671">
        <v>0</v>
      </c>
      <c r="BU671">
        <v>0</v>
      </c>
      <c r="BV671" t="s">
        <v>114</v>
      </c>
      <c r="BX671" s="2" t="s">
        <v>21018</v>
      </c>
      <c r="BY671" t="s">
        <v>2049</v>
      </c>
      <c r="CA671" t="s">
        <v>2050</v>
      </c>
      <c r="CB671" t="s">
        <v>140</v>
      </c>
      <c r="CC671" s="8" t="str">
        <f>"34747"</f>
        <v>34747</v>
      </c>
      <c r="CD671" t="s">
        <v>2051</v>
      </c>
      <c r="CE671" t="s">
        <v>2052</v>
      </c>
      <c r="CF671" s="12">
        <v>17.07</v>
      </c>
      <c r="CH671" s="12">
        <v>25.61</v>
      </c>
      <c r="CJ671" t="s">
        <v>135</v>
      </c>
      <c r="CK671" t="s">
        <v>1840</v>
      </c>
      <c r="CL671" t="s">
        <v>21019</v>
      </c>
      <c r="CO671" t="s">
        <v>132</v>
      </c>
      <c r="CP671" t="s">
        <v>114</v>
      </c>
      <c r="CQ671" t="s">
        <v>114</v>
      </c>
      <c r="CR671" t="s">
        <v>136</v>
      </c>
      <c r="CS671" t="s">
        <v>136</v>
      </c>
      <c r="CT671" t="s">
        <v>136</v>
      </c>
      <c r="CU671" t="s">
        <v>136</v>
      </c>
      <c r="CV671" s="2" t="s">
        <v>21020</v>
      </c>
      <c r="CW671" s="10" t="str">
        <f>"+14074777025"</f>
        <v>+14074777025</v>
      </c>
      <c r="CX671" t="s">
        <v>132</v>
      </c>
      <c r="CY671" t="s">
        <v>1876</v>
      </c>
      <c r="CZ671" t="s">
        <v>137</v>
      </c>
      <c r="DA671" t="s">
        <v>114</v>
      </c>
      <c r="DB671" t="s">
        <v>114</v>
      </c>
      <c r="DC671" t="s">
        <v>136</v>
      </c>
      <c r="DD671" t="s">
        <v>114</v>
      </c>
    </row>
    <row r="672" spans="1:113" ht="15" customHeight="1" x14ac:dyDescent="0.25">
      <c r="A672" t="s">
        <v>18961</v>
      </c>
      <c r="B672" t="s">
        <v>152</v>
      </c>
      <c r="C672" s="1">
        <v>45233.462637384262</v>
      </c>
      <c r="D672" s="1">
        <v>45258</v>
      </c>
      <c r="E672" t="s">
        <v>132</v>
      </c>
      <c r="F672" t="s">
        <v>700</v>
      </c>
      <c r="G672" t="str">
        <f>"37-3011.00"</f>
        <v>37-3011.00</v>
      </c>
      <c r="H672" t="s">
        <v>429</v>
      </c>
      <c r="I672">
        <v>6</v>
      </c>
      <c r="J672">
        <v>6</v>
      </c>
      <c r="K672" s="1">
        <v>45323</v>
      </c>
      <c r="L672" s="1">
        <v>45626</v>
      </c>
      <c r="M672" s="1">
        <v>45323</v>
      </c>
      <c r="N672" s="1">
        <v>45626</v>
      </c>
      <c r="O672" t="s">
        <v>116</v>
      </c>
      <c r="P672" t="s">
        <v>18962</v>
      </c>
      <c r="R672" t="s">
        <v>18963</v>
      </c>
      <c r="T672" t="s">
        <v>7836</v>
      </c>
      <c r="U672" t="s">
        <v>1434</v>
      </c>
      <c r="V672" s="8" t="str">
        <f>"41048"</f>
        <v>41048</v>
      </c>
      <c r="W672" t="s">
        <v>118</v>
      </c>
      <c r="Y672" s="10">
        <v>15132001837</v>
      </c>
      <c r="AA672">
        <v>2389</v>
      </c>
      <c r="AB672" t="s">
        <v>2101</v>
      </c>
      <c r="AC672" t="s">
        <v>1616</v>
      </c>
      <c r="AD672" t="s">
        <v>5584</v>
      </c>
      <c r="AE672" t="s">
        <v>2907</v>
      </c>
      <c r="AF672" t="s">
        <v>18963</v>
      </c>
      <c r="AG672" t="s">
        <v>18964</v>
      </c>
      <c r="AH672" t="s">
        <v>7836</v>
      </c>
      <c r="AI672" t="s">
        <v>1434</v>
      </c>
      <c r="AJ672" s="8" t="str">
        <f>"41048"</f>
        <v>41048</v>
      </c>
      <c r="AK672" t="s">
        <v>118</v>
      </c>
      <c r="AM672" s="10">
        <v>15132001837</v>
      </c>
      <c r="AO672" t="s">
        <v>132</v>
      </c>
      <c r="AP672" t="s">
        <v>248</v>
      </c>
      <c r="AQ672" t="s">
        <v>2132</v>
      </c>
      <c r="AR672" t="s">
        <v>2133</v>
      </c>
      <c r="AT672" t="s">
        <v>1350</v>
      </c>
      <c r="AU672" t="s">
        <v>1351</v>
      </c>
      <c r="AV672" t="s">
        <v>1352</v>
      </c>
      <c r="AW672" t="s">
        <v>581</v>
      </c>
      <c r="AX672" s="8" t="str">
        <f>"22949"</f>
        <v>22949</v>
      </c>
      <c r="AY672" t="s">
        <v>118</v>
      </c>
      <c r="BA672" s="10">
        <v>14342634300</v>
      </c>
      <c r="BC672" t="s">
        <v>1353</v>
      </c>
      <c r="BD672" t="s">
        <v>583</v>
      </c>
      <c r="BG672" t="s">
        <v>1434</v>
      </c>
      <c r="BH672" s="1">
        <v>45232.833333333336</v>
      </c>
      <c r="BI672">
        <v>40</v>
      </c>
      <c r="BJ672">
        <v>0</v>
      </c>
      <c r="BK672">
        <v>8</v>
      </c>
      <c r="BL672">
        <v>8</v>
      </c>
      <c r="BM672">
        <v>8</v>
      </c>
      <c r="BN672">
        <v>8</v>
      </c>
      <c r="BO672">
        <v>8</v>
      </c>
      <c r="BP672">
        <v>0</v>
      </c>
      <c r="BQ672" t="str">
        <f>"7:00 AM"</f>
        <v>7:00 AM</v>
      </c>
      <c r="BR672" t="str">
        <f>"3:30 PM"</f>
        <v>3:30 PM</v>
      </c>
      <c r="BS672" t="s">
        <v>131</v>
      </c>
      <c r="BT672">
        <v>0</v>
      </c>
      <c r="BU672">
        <v>0</v>
      </c>
      <c r="BV672" t="s">
        <v>114</v>
      </c>
      <c r="BX672" s="2" t="s">
        <v>5616</v>
      </c>
      <c r="BY672" t="s">
        <v>18963</v>
      </c>
      <c r="CA672" t="s">
        <v>7836</v>
      </c>
      <c r="CB672" t="s">
        <v>1434</v>
      </c>
      <c r="CC672" s="8" t="str">
        <f>"41048"</f>
        <v>41048</v>
      </c>
      <c r="CD672" t="s">
        <v>2672</v>
      </c>
      <c r="CE672" t="s">
        <v>3443</v>
      </c>
      <c r="CF672" s="12">
        <v>16.690000000000001</v>
      </c>
      <c r="CG672" s="12">
        <v>16.690000000000001</v>
      </c>
      <c r="CH672" s="12">
        <v>25.04</v>
      </c>
      <c r="CI672" s="12">
        <v>25.04</v>
      </c>
      <c r="CJ672" t="s">
        <v>135</v>
      </c>
      <c r="CK672" t="s">
        <v>590</v>
      </c>
      <c r="CL672" t="s">
        <v>18965</v>
      </c>
      <c r="CO672" t="s">
        <v>132</v>
      </c>
      <c r="CP672" t="s">
        <v>136</v>
      </c>
      <c r="CQ672" t="s">
        <v>136</v>
      </c>
      <c r="CR672" t="s">
        <v>136</v>
      </c>
      <c r="CS672" t="s">
        <v>136</v>
      </c>
      <c r="CT672" t="s">
        <v>136</v>
      </c>
      <c r="CU672" t="s">
        <v>136</v>
      </c>
      <c r="CV672" t="s">
        <v>13766</v>
      </c>
      <c r="CW672" s="10" t="str">
        <f>"+18597430429"</f>
        <v>+18597430429</v>
      </c>
      <c r="CX672" t="s">
        <v>132</v>
      </c>
      <c r="CY672" t="s">
        <v>10541</v>
      </c>
      <c r="CZ672" t="s">
        <v>137</v>
      </c>
      <c r="DA672" t="s">
        <v>114</v>
      </c>
      <c r="DB672" t="s">
        <v>136</v>
      </c>
      <c r="DC672" t="s">
        <v>136</v>
      </c>
      <c r="DD672" t="s">
        <v>114</v>
      </c>
      <c r="DE672" t="s">
        <v>1361</v>
      </c>
      <c r="DF672" t="s">
        <v>1362</v>
      </c>
      <c r="DH672" t="s">
        <v>583</v>
      </c>
      <c r="DI672" t="s">
        <v>1353</v>
      </c>
    </row>
    <row r="673" spans="1:113" ht="15" customHeight="1" x14ac:dyDescent="0.25">
      <c r="A673" t="s">
        <v>3528</v>
      </c>
      <c r="B673" t="s">
        <v>152</v>
      </c>
      <c r="C673" s="1">
        <v>45233.427706944443</v>
      </c>
      <c r="D673" s="1">
        <v>45258</v>
      </c>
      <c r="E673" t="s">
        <v>132</v>
      </c>
      <c r="F673" t="s">
        <v>2020</v>
      </c>
      <c r="G673" t="str">
        <f>"37-3011.00"</f>
        <v>37-3011.00</v>
      </c>
      <c r="H673" t="s">
        <v>429</v>
      </c>
      <c r="I673">
        <v>6</v>
      </c>
      <c r="J673">
        <v>6</v>
      </c>
      <c r="K673" s="1">
        <v>45323</v>
      </c>
      <c r="L673" s="1">
        <v>45626</v>
      </c>
      <c r="M673" s="1">
        <v>45323</v>
      </c>
      <c r="N673" s="1">
        <v>45626</v>
      </c>
      <c r="O673" t="s">
        <v>116</v>
      </c>
      <c r="P673" t="s">
        <v>3529</v>
      </c>
      <c r="R673" t="s">
        <v>3530</v>
      </c>
      <c r="T673" t="s">
        <v>3531</v>
      </c>
      <c r="U673" t="s">
        <v>1776</v>
      </c>
      <c r="V673" s="8" t="str">
        <f>"07932"</f>
        <v>07932</v>
      </c>
      <c r="W673" t="s">
        <v>118</v>
      </c>
      <c r="Y673" s="10">
        <v>19738222008</v>
      </c>
      <c r="AA673">
        <v>56173</v>
      </c>
      <c r="AB673" t="s">
        <v>3532</v>
      </c>
      <c r="AC673" t="s">
        <v>2865</v>
      </c>
      <c r="AE673" t="s">
        <v>629</v>
      </c>
      <c r="AF673" t="s">
        <v>3530</v>
      </c>
      <c r="AH673" t="s">
        <v>3531</v>
      </c>
      <c r="AI673" t="s">
        <v>1776</v>
      </c>
      <c r="AJ673" s="8" t="str">
        <f>"07932"</f>
        <v>07932</v>
      </c>
      <c r="AK673" t="s">
        <v>118</v>
      </c>
      <c r="AM673" s="10">
        <v>19738222008</v>
      </c>
      <c r="AO673" t="s">
        <v>132</v>
      </c>
      <c r="AP673" t="s">
        <v>248</v>
      </c>
      <c r="AQ673" t="s">
        <v>577</v>
      </c>
      <c r="AR673" t="s">
        <v>578</v>
      </c>
      <c r="AT673" t="s">
        <v>579</v>
      </c>
      <c r="AV673" t="s">
        <v>580</v>
      </c>
      <c r="AW673" t="s">
        <v>581</v>
      </c>
      <c r="AX673" s="8" t="str">
        <f>"22903"</f>
        <v>22903</v>
      </c>
      <c r="AY673" t="s">
        <v>118</v>
      </c>
      <c r="BA673" s="10">
        <v>14342634300</v>
      </c>
      <c r="BC673" t="s">
        <v>1996</v>
      </c>
      <c r="BD673" t="s">
        <v>583</v>
      </c>
      <c r="BG673" t="s">
        <v>1776</v>
      </c>
      <c r="BH673" s="1">
        <v>45232.833333333336</v>
      </c>
      <c r="BI673">
        <v>40</v>
      </c>
      <c r="BJ673">
        <v>0</v>
      </c>
      <c r="BK673">
        <v>8</v>
      </c>
      <c r="BL673">
        <v>8</v>
      </c>
      <c r="BM673">
        <v>8</v>
      </c>
      <c r="BN673">
        <v>8</v>
      </c>
      <c r="BO673">
        <v>8</v>
      </c>
      <c r="BP673">
        <v>0</v>
      </c>
      <c r="BQ673" t="str">
        <f>"7:00 AM"</f>
        <v>7:00 AM</v>
      </c>
      <c r="BR673" t="str">
        <f>"3:30 PM"</f>
        <v>3:30 PM</v>
      </c>
      <c r="BS673" t="s">
        <v>131</v>
      </c>
      <c r="BT673">
        <v>0</v>
      </c>
      <c r="BU673">
        <v>0</v>
      </c>
      <c r="BV673" t="s">
        <v>114</v>
      </c>
      <c r="BX673" s="2" t="s">
        <v>3533</v>
      </c>
      <c r="BY673" t="s">
        <v>3530</v>
      </c>
      <c r="CA673" t="s">
        <v>3531</v>
      </c>
      <c r="CB673" t="s">
        <v>1776</v>
      </c>
      <c r="CC673" s="8" t="str">
        <f>"07932"</f>
        <v>07932</v>
      </c>
      <c r="CD673" t="s">
        <v>3534</v>
      </c>
      <c r="CE673" t="s">
        <v>1418</v>
      </c>
      <c r="CF673" s="12">
        <v>20.81</v>
      </c>
      <c r="CH673" s="12">
        <v>31.22</v>
      </c>
      <c r="CJ673" t="s">
        <v>135</v>
      </c>
      <c r="CL673" t="s">
        <v>3535</v>
      </c>
      <c r="CO673" t="s">
        <v>132</v>
      </c>
      <c r="CP673" t="s">
        <v>136</v>
      </c>
      <c r="CQ673" t="s">
        <v>136</v>
      </c>
      <c r="CR673" t="s">
        <v>136</v>
      </c>
      <c r="CS673" t="s">
        <v>136</v>
      </c>
      <c r="CT673" t="s">
        <v>136</v>
      </c>
      <c r="CU673" t="s">
        <v>136</v>
      </c>
      <c r="CV673" t="s">
        <v>3536</v>
      </c>
      <c r="CW673" s="10" t="str">
        <f>"+16092925879"</f>
        <v>+16092925879</v>
      </c>
      <c r="CX673" t="s">
        <v>3537</v>
      </c>
      <c r="CY673" t="s">
        <v>132</v>
      </c>
      <c r="CZ673" t="s">
        <v>137</v>
      </c>
      <c r="DA673" t="s">
        <v>114</v>
      </c>
      <c r="DB673" t="s">
        <v>136</v>
      </c>
      <c r="DC673" t="s">
        <v>136</v>
      </c>
      <c r="DD673" t="s">
        <v>114</v>
      </c>
      <c r="DE673" t="s">
        <v>1998</v>
      </c>
      <c r="DF673" t="s">
        <v>1999</v>
      </c>
      <c r="DH673" t="s">
        <v>583</v>
      </c>
      <c r="DI673" t="s">
        <v>1996</v>
      </c>
    </row>
    <row r="674" spans="1:113" ht="15" customHeight="1" x14ac:dyDescent="0.25">
      <c r="A674" t="s">
        <v>11378</v>
      </c>
      <c r="B674" t="s">
        <v>152</v>
      </c>
      <c r="C674" s="1">
        <v>45233.426803819442</v>
      </c>
      <c r="D674" s="1">
        <v>45258</v>
      </c>
      <c r="E674" t="s">
        <v>132</v>
      </c>
      <c r="F674" t="s">
        <v>449</v>
      </c>
      <c r="G674" t="str">
        <f>"37-2012.00"</f>
        <v>37-2012.00</v>
      </c>
      <c r="H674" t="s">
        <v>205</v>
      </c>
      <c r="I674">
        <v>18</v>
      </c>
      <c r="J674">
        <v>18</v>
      </c>
      <c r="K674" s="1">
        <v>45323</v>
      </c>
      <c r="L674" s="1">
        <v>45611</v>
      </c>
      <c r="M674" s="1">
        <v>45323</v>
      </c>
      <c r="N674" s="1">
        <v>45611</v>
      </c>
      <c r="O674" t="s">
        <v>116</v>
      </c>
      <c r="P674" t="s">
        <v>11379</v>
      </c>
      <c r="Q674" t="s">
        <v>11380</v>
      </c>
      <c r="R674" t="s">
        <v>11381</v>
      </c>
      <c r="T674" t="s">
        <v>11382</v>
      </c>
      <c r="U674" t="s">
        <v>127</v>
      </c>
      <c r="V674" s="8" t="str">
        <f>"76102"</f>
        <v>76102</v>
      </c>
      <c r="W674" t="s">
        <v>118</v>
      </c>
      <c r="Y674" s="10">
        <v>18173504060</v>
      </c>
      <c r="AA674">
        <v>72111</v>
      </c>
      <c r="AB674" t="s">
        <v>2072</v>
      </c>
      <c r="AC674" t="s">
        <v>11383</v>
      </c>
      <c r="AE674" t="s">
        <v>4291</v>
      </c>
      <c r="AF674" t="s">
        <v>11381</v>
      </c>
      <c r="AH674" t="s">
        <v>11382</v>
      </c>
      <c r="AI674" t="s">
        <v>127</v>
      </c>
      <c r="AJ674" s="8" t="str">
        <f>"76102"</f>
        <v>76102</v>
      </c>
      <c r="AK674" t="s">
        <v>118</v>
      </c>
      <c r="AM674" s="10">
        <v>18173504060</v>
      </c>
      <c r="AO674" t="s">
        <v>11384</v>
      </c>
      <c r="AP674" t="s">
        <v>248</v>
      </c>
      <c r="AQ674" t="s">
        <v>960</v>
      </c>
      <c r="AR674" t="s">
        <v>961</v>
      </c>
      <c r="AS674" t="s">
        <v>962</v>
      </c>
      <c r="AT674" t="s">
        <v>963</v>
      </c>
      <c r="AU674" t="s">
        <v>296</v>
      </c>
      <c r="AV674" t="s">
        <v>964</v>
      </c>
      <c r="AW674" t="s">
        <v>127</v>
      </c>
      <c r="AX674" s="8" t="str">
        <f>"75033"</f>
        <v>75033</v>
      </c>
      <c r="AY674" t="s">
        <v>118</v>
      </c>
      <c r="BA674" s="10">
        <v>19727789690</v>
      </c>
      <c r="BC674" t="s">
        <v>1919</v>
      </c>
      <c r="BD674" t="s">
        <v>966</v>
      </c>
      <c r="BG674" t="s">
        <v>1691</v>
      </c>
      <c r="BH674" s="1">
        <v>45232.833333333336</v>
      </c>
      <c r="BI674">
        <v>40</v>
      </c>
      <c r="BJ674">
        <v>8</v>
      </c>
      <c r="BK674">
        <v>0</v>
      </c>
      <c r="BL674">
        <v>0</v>
      </c>
      <c r="BM674">
        <v>8</v>
      </c>
      <c r="BN674">
        <v>8</v>
      </c>
      <c r="BO674">
        <v>8</v>
      </c>
      <c r="BP674">
        <v>8</v>
      </c>
      <c r="BQ674" t="str">
        <f>"8:00 AM"</f>
        <v>8:00 AM</v>
      </c>
      <c r="BR674" t="str">
        <f>"4:30 PM"</f>
        <v>4:30 PM</v>
      </c>
      <c r="BS674" t="s">
        <v>131</v>
      </c>
      <c r="BT674">
        <v>0</v>
      </c>
      <c r="BU674">
        <v>0</v>
      </c>
      <c r="BV674" t="s">
        <v>114</v>
      </c>
      <c r="BX674" s="2" t="s">
        <v>11385</v>
      </c>
      <c r="BY674" t="s">
        <v>11381</v>
      </c>
      <c r="CA674" t="s">
        <v>11382</v>
      </c>
      <c r="CB674" t="s">
        <v>127</v>
      </c>
      <c r="CC674" s="8" t="str">
        <f>"76102"</f>
        <v>76102</v>
      </c>
      <c r="CD674" t="s">
        <v>262</v>
      </c>
      <c r="CE674" t="s">
        <v>263</v>
      </c>
      <c r="CF674" s="12">
        <v>16.649999999999999</v>
      </c>
      <c r="CH674" s="12">
        <v>24.97</v>
      </c>
      <c r="CJ674" t="s">
        <v>135</v>
      </c>
      <c r="CK674" t="s">
        <v>5877</v>
      </c>
      <c r="CL674" t="s">
        <v>11386</v>
      </c>
      <c r="CO674" t="s">
        <v>132</v>
      </c>
      <c r="CP674" t="s">
        <v>114</v>
      </c>
      <c r="CQ674" t="s">
        <v>136</v>
      </c>
      <c r="CR674" t="s">
        <v>136</v>
      </c>
      <c r="CS674" t="s">
        <v>136</v>
      </c>
      <c r="CT674" t="s">
        <v>136</v>
      </c>
      <c r="CU674" t="s">
        <v>136</v>
      </c>
      <c r="CV674" s="2" t="s">
        <v>11387</v>
      </c>
      <c r="CW674" s="10" t="str">
        <f>"+18173504060"</f>
        <v>+18173504060</v>
      </c>
      <c r="CX674" t="s">
        <v>132</v>
      </c>
      <c r="CY674" t="s">
        <v>1853</v>
      </c>
      <c r="CZ674" t="s">
        <v>137</v>
      </c>
      <c r="DA674" t="s">
        <v>114</v>
      </c>
      <c r="DB674" t="s">
        <v>114</v>
      </c>
      <c r="DC674" t="s">
        <v>136</v>
      </c>
      <c r="DD674" t="s">
        <v>114</v>
      </c>
    </row>
    <row r="675" spans="1:113" ht="15" customHeight="1" x14ac:dyDescent="0.25">
      <c r="A675" t="s">
        <v>7847</v>
      </c>
      <c r="B675" t="s">
        <v>152</v>
      </c>
      <c r="C675" s="1">
        <v>45233.422238888888</v>
      </c>
      <c r="D675" s="1">
        <v>45258</v>
      </c>
      <c r="E675" t="s">
        <v>132</v>
      </c>
      <c r="F675" t="s">
        <v>3098</v>
      </c>
      <c r="G675" t="str">
        <f>"35-3023.00"</f>
        <v>35-3023.00</v>
      </c>
      <c r="H675" t="s">
        <v>1365</v>
      </c>
      <c r="I675">
        <v>30</v>
      </c>
      <c r="J675">
        <v>30</v>
      </c>
      <c r="K675" s="1">
        <v>45323</v>
      </c>
      <c r="L675" s="1">
        <v>45596</v>
      </c>
      <c r="M675" s="1">
        <v>45323</v>
      </c>
      <c r="N675" s="1">
        <v>45596</v>
      </c>
      <c r="O675" t="s">
        <v>238</v>
      </c>
      <c r="P675" t="s">
        <v>7848</v>
      </c>
      <c r="R675" t="s">
        <v>7849</v>
      </c>
      <c r="T675" t="s">
        <v>7850</v>
      </c>
      <c r="U675" t="s">
        <v>117</v>
      </c>
      <c r="V675" s="8" t="str">
        <f>"62061"</f>
        <v>62061</v>
      </c>
      <c r="W675" t="s">
        <v>118</v>
      </c>
      <c r="Y675" s="10">
        <v>16185419516</v>
      </c>
      <c r="Z675" s="3" t="s">
        <v>256</v>
      </c>
      <c r="AA675">
        <v>711190</v>
      </c>
      <c r="AB675" t="s">
        <v>7851</v>
      </c>
      <c r="AC675" t="s">
        <v>1945</v>
      </c>
      <c r="AD675" t="s">
        <v>2291</v>
      </c>
      <c r="AE675" t="s">
        <v>629</v>
      </c>
      <c r="AF675" t="s">
        <v>7849</v>
      </c>
      <c r="AH675" t="s">
        <v>7850</v>
      </c>
      <c r="AI675" t="s">
        <v>117</v>
      </c>
      <c r="AJ675" s="8" t="str">
        <f>"62061"</f>
        <v>62061</v>
      </c>
      <c r="AK675" t="s">
        <v>118</v>
      </c>
      <c r="AM675" s="10">
        <v>16185419517</v>
      </c>
      <c r="AN675" s="3" t="s">
        <v>256</v>
      </c>
      <c r="AO675" t="s">
        <v>7852</v>
      </c>
      <c r="AP675" t="s">
        <v>248</v>
      </c>
      <c r="AQ675" t="s">
        <v>249</v>
      </c>
      <c r="AR675" t="s">
        <v>250</v>
      </c>
      <c r="AS675" t="s">
        <v>251</v>
      </c>
      <c r="AT675" t="s">
        <v>252</v>
      </c>
      <c r="AU675" t="s">
        <v>253</v>
      </c>
      <c r="AV675" t="s">
        <v>254</v>
      </c>
      <c r="AW675" t="s">
        <v>127</v>
      </c>
      <c r="AX675" s="8" t="str">
        <f>"78550"</f>
        <v>78550</v>
      </c>
      <c r="AY675" t="s">
        <v>118</v>
      </c>
      <c r="AZ675" t="s">
        <v>255</v>
      </c>
      <c r="BA675" s="10">
        <v>19564408720</v>
      </c>
      <c r="BB675" s="3" t="s">
        <v>256</v>
      </c>
      <c r="BC675" t="s">
        <v>338</v>
      </c>
      <c r="BD675" t="s">
        <v>258</v>
      </c>
      <c r="BG675" t="s">
        <v>117</v>
      </c>
      <c r="BH675" s="1">
        <v>45232.833333333336</v>
      </c>
      <c r="BI675">
        <v>40</v>
      </c>
      <c r="BJ675">
        <v>8</v>
      </c>
      <c r="BK675">
        <v>0</v>
      </c>
      <c r="BL675">
        <v>0</v>
      </c>
      <c r="BM675">
        <v>8</v>
      </c>
      <c r="BN675">
        <v>8</v>
      </c>
      <c r="BO675">
        <v>8</v>
      </c>
      <c r="BP675">
        <v>8</v>
      </c>
      <c r="BQ675" t="str">
        <f>"1:00 PM"</f>
        <v>1:00 PM</v>
      </c>
      <c r="BR675" t="str">
        <f>"10:00 PM"</f>
        <v>10:00 PM</v>
      </c>
      <c r="BS675" t="s">
        <v>131</v>
      </c>
      <c r="BT675">
        <v>0</v>
      </c>
      <c r="BU675">
        <v>0</v>
      </c>
      <c r="BV675" t="s">
        <v>114</v>
      </c>
      <c r="BX675" s="2" t="s">
        <v>2396</v>
      </c>
      <c r="BY675" t="s">
        <v>7849</v>
      </c>
      <c r="CA675" t="s">
        <v>7850</v>
      </c>
      <c r="CB675" t="s">
        <v>117</v>
      </c>
      <c r="CC675" s="8" t="str">
        <f>"62061"</f>
        <v>62061</v>
      </c>
      <c r="CD675" t="s">
        <v>908</v>
      </c>
      <c r="CE675" t="s">
        <v>1856</v>
      </c>
      <c r="CF675" s="12">
        <v>10.119999999999999</v>
      </c>
      <c r="CG675" s="12">
        <v>14.8</v>
      </c>
      <c r="CJ675" t="s">
        <v>135</v>
      </c>
      <c r="CK675" t="s">
        <v>342</v>
      </c>
      <c r="CL675" t="s">
        <v>7853</v>
      </c>
      <c r="CO675" t="s">
        <v>132</v>
      </c>
      <c r="CP675" t="s">
        <v>136</v>
      </c>
      <c r="CQ675" t="s">
        <v>136</v>
      </c>
      <c r="CR675" t="s">
        <v>114</v>
      </c>
      <c r="CS675" t="s">
        <v>136</v>
      </c>
      <c r="CT675" t="s">
        <v>136</v>
      </c>
      <c r="CU675" t="s">
        <v>136</v>
      </c>
      <c r="CV675" t="s">
        <v>4970</v>
      </c>
      <c r="CW675" s="10" t="str">
        <f>"+16185419516"</f>
        <v>+16185419516</v>
      </c>
      <c r="CX675" t="s">
        <v>7852</v>
      </c>
      <c r="CY675" t="s">
        <v>132</v>
      </c>
      <c r="CZ675" t="s">
        <v>137</v>
      </c>
      <c r="DA675" t="s">
        <v>114</v>
      </c>
      <c r="DB675" t="s">
        <v>136</v>
      </c>
      <c r="DC675" t="s">
        <v>136</v>
      </c>
      <c r="DD675" t="s">
        <v>114</v>
      </c>
    </row>
    <row r="676" spans="1:113" ht="15" customHeight="1" x14ac:dyDescent="0.25">
      <c r="A676" t="s">
        <v>9858</v>
      </c>
      <c r="B676" t="s">
        <v>152</v>
      </c>
      <c r="C676" s="1">
        <v>45233.406216782409</v>
      </c>
      <c r="D676" s="1">
        <v>45258</v>
      </c>
      <c r="E676" t="s">
        <v>132</v>
      </c>
      <c r="F676" t="s">
        <v>9859</v>
      </c>
      <c r="G676" t="str">
        <f>"39-3091.00"</f>
        <v>39-3091.00</v>
      </c>
      <c r="H676" t="s">
        <v>237</v>
      </c>
      <c r="I676">
        <v>10</v>
      </c>
      <c r="J676">
        <v>10</v>
      </c>
      <c r="K676" s="1">
        <v>45323</v>
      </c>
      <c r="L676" s="1">
        <v>45397</v>
      </c>
      <c r="M676" s="1">
        <v>45323</v>
      </c>
      <c r="N676" s="1">
        <v>45397</v>
      </c>
      <c r="O676" t="s">
        <v>238</v>
      </c>
      <c r="P676" t="s">
        <v>9860</v>
      </c>
      <c r="Q676" t="s">
        <v>9861</v>
      </c>
      <c r="R676" t="s">
        <v>9862</v>
      </c>
      <c r="T676" t="s">
        <v>9863</v>
      </c>
      <c r="U676" t="s">
        <v>506</v>
      </c>
      <c r="V676" s="8" t="str">
        <f>"05751"</f>
        <v>05751</v>
      </c>
      <c r="W676" t="s">
        <v>118</v>
      </c>
      <c r="Y676" s="10">
        <v>18024226100</v>
      </c>
      <c r="AA676">
        <v>721110</v>
      </c>
      <c r="AB676" t="s">
        <v>7695</v>
      </c>
      <c r="AC676" t="s">
        <v>1808</v>
      </c>
      <c r="AE676" t="s">
        <v>9864</v>
      </c>
      <c r="AF676" t="s">
        <v>9862</v>
      </c>
      <c r="AH676" t="s">
        <v>9863</v>
      </c>
      <c r="AI676" t="s">
        <v>506</v>
      </c>
      <c r="AJ676" s="8" t="str">
        <f>"05751"</f>
        <v>05751</v>
      </c>
      <c r="AK676" t="s">
        <v>118</v>
      </c>
      <c r="AM676" s="10">
        <v>18024226100</v>
      </c>
      <c r="AO676" t="s">
        <v>9865</v>
      </c>
      <c r="AP676" t="s">
        <v>121</v>
      </c>
      <c r="AQ676" t="s">
        <v>276</v>
      </c>
      <c r="AR676" t="s">
        <v>277</v>
      </c>
      <c r="AS676" t="s">
        <v>278</v>
      </c>
      <c r="AT676" t="s">
        <v>279</v>
      </c>
      <c r="AU676" t="s">
        <v>280</v>
      </c>
      <c r="AV676" t="s">
        <v>281</v>
      </c>
      <c r="AW676" t="s">
        <v>222</v>
      </c>
      <c r="AX676" s="8" t="str">
        <f>"01701"</f>
        <v>01701</v>
      </c>
      <c r="AY676" t="s">
        <v>118</v>
      </c>
      <c r="BA676" s="10">
        <v>16179399444</v>
      </c>
      <c r="BC676" t="s">
        <v>282</v>
      </c>
      <c r="BD676" t="s">
        <v>283</v>
      </c>
      <c r="BE676" t="s">
        <v>222</v>
      </c>
      <c r="BF676" t="s">
        <v>284</v>
      </c>
      <c r="BG676" t="s">
        <v>506</v>
      </c>
      <c r="BH676" s="1">
        <v>45232.833333333336</v>
      </c>
      <c r="BI676">
        <v>35</v>
      </c>
      <c r="BJ676">
        <v>0</v>
      </c>
      <c r="BK676">
        <v>7</v>
      </c>
      <c r="BL676">
        <v>7</v>
      </c>
      <c r="BM676">
        <v>7</v>
      </c>
      <c r="BN676">
        <v>7</v>
      </c>
      <c r="BO676">
        <v>7</v>
      </c>
      <c r="BP676">
        <v>0</v>
      </c>
      <c r="BQ676" t="str">
        <f>"6:00 AM"</f>
        <v>6:00 AM</v>
      </c>
      <c r="BR676" t="str">
        <f>"1:00 PM"</f>
        <v>1:00 PM</v>
      </c>
      <c r="BS676" t="s">
        <v>131</v>
      </c>
      <c r="BT676">
        <v>0</v>
      </c>
      <c r="BU676">
        <v>3</v>
      </c>
      <c r="BV676" t="s">
        <v>114</v>
      </c>
      <c r="BX676" s="2" t="s">
        <v>9866</v>
      </c>
      <c r="BY676" t="s">
        <v>9862</v>
      </c>
      <c r="CA676" t="s">
        <v>9863</v>
      </c>
      <c r="CB676" t="s">
        <v>506</v>
      </c>
      <c r="CC676" s="8" t="str">
        <f>"05751"</f>
        <v>05751</v>
      </c>
      <c r="CD676" t="s">
        <v>8124</v>
      </c>
      <c r="CE676" t="s">
        <v>523</v>
      </c>
      <c r="CF676" s="12">
        <v>17.2</v>
      </c>
      <c r="CG676" s="12">
        <v>35</v>
      </c>
      <c r="CH676" s="12">
        <v>25.8</v>
      </c>
      <c r="CI676" s="12">
        <v>52.5</v>
      </c>
      <c r="CJ676" t="s">
        <v>135</v>
      </c>
      <c r="CK676" t="s">
        <v>9867</v>
      </c>
      <c r="CL676" t="s">
        <v>9868</v>
      </c>
      <c r="CO676" t="s">
        <v>132</v>
      </c>
      <c r="CP676" t="s">
        <v>136</v>
      </c>
      <c r="CQ676" t="s">
        <v>114</v>
      </c>
      <c r="CR676" t="s">
        <v>136</v>
      </c>
      <c r="CS676" t="s">
        <v>136</v>
      </c>
      <c r="CT676" t="s">
        <v>136</v>
      </c>
      <c r="CU676" t="s">
        <v>136</v>
      </c>
      <c r="CV676" t="s">
        <v>9869</v>
      </c>
      <c r="CW676" s="10" t="str">
        <f>"+18024226100"</f>
        <v>+18024226100</v>
      </c>
      <c r="CX676" t="s">
        <v>9865</v>
      </c>
      <c r="CY676" t="s">
        <v>132</v>
      </c>
      <c r="CZ676" t="s">
        <v>137</v>
      </c>
      <c r="DA676" t="s">
        <v>114</v>
      </c>
      <c r="DB676" t="s">
        <v>114</v>
      </c>
      <c r="DC676" t="s">
        <v>136</v>
      </c>
      <c r="DD676" t="s">
        <v>114</v>
      </c>
    </row>
    <row r="677" spans="1:113" ht="15" customHeight="1" x14ac:dyDescent="0.25">
      <c r="A677" t="s">
        <v>22949</v>
      </c>
      <c r="B677" t="s">
        <v>152</v>
      </c>
      <c r="C677" s="1">
        <v>45233.385622106478</v>
      </c>
      <c r="D677" s="1">
        <v>45258</v>
      </c>
      <c r="E677" t="s">
        <v>132</v>
      </c>
      <c r="F677" t="s">
        <v>1595</v>
      </c>
      <c r="G677" t="str">
        <f>"37-3011.00"</f>
        <v>37-3011.00</v>
      </c>
      <c r="H677" t="s">
        <v>429</v>
      </c>
      <c r="I677">
        <v>25</v>
      </c>
      <c r="J677">
        <v>25</v>
      </c>
      <c r="K677" s="1">
        <v>45323</v>
      </c>
      <c r="L677" s="1">
        <v>45626</v>
      </c>
      <c r="M677" s="1">
        <v>45323</v>
      </c>
      <c r="N677" s="1">
        <v>45626</v>
      </c>
      <c r="O677" t="s">
        <v>116</v>
      </c>
      <c r="P677" t="s">
        <v>22950</v>
      </c>
      <c r="R677" t="s">
        <v>22951</v>
      </c>
      <c r="S677" t="s">
        <v>22952</v>
      </c>
      <c r="T677" t="s">
        <v>17910</v>
      </c>
      <c r="U677" t="s">
        <v>127</v>
      </c>
      <c r="V677" s="8" t="str">
        <f>"76053"</f>
        <v>76053</v>
      </c>
      <c r="W677" t="s">
        <v>118</v>
      </c>
      <c r="Y677" s="10">
        <v>18172310290</v>
      </c>
      <c r="AA677">
        <v>561730</v>
      </c>
      <c r="AB677" t="s">
        <v>2296</v>
      </c>
      <c r="AC677" t="s">
        <v>2404</v>
      </c>
      <c r="AE677" t="s">
        <v>1799</v>
      </c>
      <c r="AF677" t="s">
        <v>22951</v>
      </c>
      <c r="AG677" t="s">
        <v>22952</v>
      </c>
      <c r="AH677" t="s">
        <v>17910</v>
      </c>
      <c r="AI677" t="s">
        <v>127</v>
      </c>
      <c r="AJ677" s="8" t="str">
        <f>"76053"</f>
        <v>76053</v>
      </c>
      <c r="AK677" t="s">
        <v>118</v>
      </c>
      <c r="AM677" s="10">
        <v>18172310290</v>
      </c>
      <c r="AO677" t="s">
        <v>22953</v>
      </c>
      <c r="AP677" t="s">
        <v>248</v>
      </c>
      <c r="AQ677" t="s">
        <v>3539</v>
      </c>
      <c r="AR677" t="s">
        <v>3540</v>
      </c>
      <c r="AT677" t="s">
        <v>1584</v>
      </c>
      <c r="AV677" t="s">
        <v>1585</v>
      </c>
      <c r="AW677" t="s">
        <v>127</v>
      </c>
      <c r="AX677" s="8" t="str">
        <f>"77414"</f>
        <v>77414</v>
      </c>
      <c r="AY677" t="s">
        <v>118</v>
      </c>
      <c r="BA677" s="10">
        <v>19793187290</v>
      </c>
      <c r="BC677" t="s">
        <v>3541</v>
      </c>
      <c r="BD677" t="s">
        <v>1587</v>
      </c>
      <c r="BG677" t="s">
        <v>127</v>
      </c>
      <c r="BH677" s="1">
        <v>45232.833333333336</v>
      </c>
      <c r="BI677">
        <v>40</v>
      </c>
      <c r="BJ677">
        <v>0</v>
      </c>
      <c r="BK677">
        <v>8</v>
      </c>
      <c r="BL677">
        <v>8</v>
      </c>
      <c r="BM677">
        <v>8</v>
      </c>
      <c r="BN677">
        <v>8</v>
      </c>
      <c r="BO677">
        <v>8</v>
      </c>
      <c r="BP677">
        <v>0</v>
      </c>
      <c r="BQ677" t="str">
        <f>"7:00 AM"</f>
        <v>7:00 AM</v>
      </c>
      <c r="BR677" t="str">
        <f>"4:00 PM"</f>
        <v>4:00 PM</v>
      </c>
      <c r="BS677" t="s">
        <v>131</v>
      </c>
      <c r="BT677">
        <v>0</v>
      </c>
      <c r="BU677">
        <v>0</v>
      </c>
      <c r="BV677" t="s">
        <v>114</v>
      </c>
      <c r="BX677" s="2" t="s">
        <v>22954</v>
      </c>
      <c r="BY677" t="s">
        <v>22951</v>
      </c>
      <c r="CA677" t="s">
        <v>17910</v>
      </c>
      <c r="CB677" t="s">
        <v>127</v>
      </c>
      <c r="CC677" s="8" t="str">
        <f>"76053"</f>
        <v>76053</v>
      </c>
      <c r="CD677" t="s">
        <v>262</v>
      </c>
      <c r="CE677" t="s">
        <v>263</v>
      </c>
      <c r="CF677" s="12">
        <v>16.86</v>
      </c>
      <c r="CG677" s="12">
        <v>17.5</v>
      </c>
      <c r="CH677" s="12">
        <v>25.29</v>
      </c>
      <c r="CI677" s="12">
        <v>26.25</v>
      </c>
      <c r="CJ677" t="s">
        <v>135</v>
      </c>
      <c r="CK677" t="s">
        <v>3584</v>
      </c>
      <c r="CL677" t="s">
        <v>22955</v>
      </c>
      <c r="CO677" t="s">
        <v>132</v>
      </c>
      <c r="CP677" t="s">
        <v>136</v>
      </c>
      <c r="CQ677" t="s">
        <v>136</v>
      </c>
      <c r="CR677" t="s">
        <v>136</v>
      </c>
      <c r="CS677" t="s">
        <v>136</v>
      </c>
      <c r="CT677" t="s">
        <v>136</v>
      </c>
      <c r="CU677" t="s">
        <v>114</v>
      </c>
      <c r="CV677" s="2" t="s">
        <v>22956</v>
      </c>
      <c r="CW677" s="10" t="str">
        <f>"+18172310290"</f>
        <v>+18172310290</v>
      </c>
      <c r="CX677" t="s">
        <v>22953</v>
      </c>
      <c r="CY677" t="s">
        <v>132</v>
      </c>
      <c r="CZ677" t="s">
        <v>137</v>
      </c>
      <c r="DA677" t="s">
        <v>114</v>
      </c>
      <c r="DB677" t="s">
        <v>114</v>
      </c>
      <c r="DC677" t="s">
        <v>136</v>
      </c>
      <c r="DD677" t="s">
        <v>114</v>
      </c>
    </row>
    <row r="678" spans="1:113" ht="15" customHeight="1" x14ac:dyDescent="0.25">
      <c r="A678" t="s">
        <v>13580</v>
      </c>
      <c r="B678" t="s">
        <v>152</v>
      </c>
      <c r="C678" s="1">
        <v>45233.282094328701</v>
      </c>
      <c r="D678" s="1">
        <v>45258</v>
      </c>
      <c r="E678" t="s">
        <v>132</v>
      </c>
      <c r="F678" t="s">
        <v>2230</v>
      </c>
      <c r="G678" t="str">
        <f>"37-3011.00"</f>
        <v>37-3011.00</v>
      </c>
      <c r="H678" t="s">
        <v>429</v>
      </c>
      <c r="I678">
        <v>16</v>
      </c>
      <c r="J678">
        <v>16</v>
      </c>
      <c r="K678" s="1">
        <v>45323</v>
      </c>
      <c r="L678" s="1">
        <v>45618</v>
      </c>
      <c r="M678" s="1">
        <v>45323</v>
      </c>
      <c r="N678" s="1">
        <v>45618</v>
      </c>
      <c r="O678" t="s">
        <v>116</v>
      </c>
      <c r="P678" t="s">
        <v>13581</v>
      </c>
      <c r="Q678" t="s">
        <v>13582</v>
      </c>
      <c r="R678" t="s">
        <v>13583</v>
      </c>
      <c r="T678" t="s">
        <v>3273</v>
      </c>
      <c r="U678" t="s">
        <v>375</v>
      </c>
      <c r="V678" s="8" t="str">
        <f>"28216"</f>
        <v>28216</v>
      </c>
      <c r="W678" t="s">
        <v>118</v>
      </c>
      <c r="X678" t="s">
        <v>132</v>
      </c>
      <c r="Y678" s="10">
        <v>17045860201</v>
      </c>
      <c r="AA678">
        <v>56173</v>
      </c>
      <c r="AB678" t="s">
        <v>13584</v>
      </c>
      <c r="AC678" t="s">
        <v>1945</v>
      </c>
      <c r="AE678" t="s">
        <v>378</v>
      </c>
      <c r="AF678" t="s">
        <v>13583</v>
      </c>
      <c r="AH678" t="s">
        <v>3273</v>
      </c>
      <c r="AI678" t="s">
        <v>375</v>
      </c>
      <c r="AJ678" s="8" t="str">
        <f>"28216"</f>
        <v>28216</v>
      </c>
      <c r="AK678" t="s">
        <v>118</v>
      </c>
      <c r="AM678" s="10">
        <v>17045860201</v>
      </c>
      <c r="AO678" t="s">
        <v>13585</v>
      </c>
      <c r="AP678" t="s">
        <v>248</v>
      </c>
      <c r="AQ678" t="s">
        <v>1860</v>
      </c>
      <c r="AR678" t="s">
        <v>1861</v>
      </c>
      <c r="AS678" t="s">
        <v>1862</v>
      </c>
      <c r="AT678" t="s">
        <v>1863</v>
      </c>
      <c r="AU678" t="s">
        <v>1864</v>
      </c>
      <c r="AV678" t="s">
        <v>1865</v>
      </c>
      <c r="AW678" t="s">
        <v>581</v>
      </c>
      <c r="AX678" s="8" t="str">
        <f>"24521"</f>
        <v>24521</v>
      </c>
      <c r="AY678" t="s">
        <v>118</v>
      </c>
      <c r="BA678" s="10">
        <v>14349460035</v>
      </c>
      <c r="BB678">
        <v>11</v>
      </c>
      <c r="BC678" t="s">
        <v>1866</v>
      </c>
      <c r="BD678" t="s">
        <v>1867</v>
      </c>
      <c r="BG678" t="s">
        <v>375</v>
      </c>
      <c r="BH678" s="1">
        <v>45232.833333333336</v>
      </c>
      <c r="BI678">
        <v>40</v>
      </c>
      <c r="BJ678">
        <v>0</v>
      </c>
      <c r="BK678">
        <v>8</v>
      </c>
      <c r="BL678">
        <v>8</v>
      </c>
      <c r="BM678">
        <v>8</v>
      </c>
      <c r="BN678">
        <v>8</v>
      </c>
      <c r="BO678">
        <v>8</v>
      </c>
      <c r="BP678">
        <v>0</v>
      </c>
      <c r="BQ678" t="str">
        <f>"6:30 AM"</f>
        <v>6:30 AM</v>
      </c>
      <c r="BR678" t="str">
        <f>"3:30 PM"</f>
        <v>3:30 PM</v>
      </c>
      <c r="BS678" t="s">
        <v>131</v>
      </c>
      <c r="BT678">
        <v>0</v>
      </c>
      <c r="BU678">
        <v>3</v>
      </c>
      <c r="BV678" t="s">
        <v>114</v>
      </c>
      <c r="BX678" s="2" t="s">
        <v>13586</v>
      </c>
      <c r="BY678" t="s">
        <v>13587</v>
      </c>
      <c r="CA678" t="s">
        <v>3273</v>
      </c>
      <c r="CB678" t="s">
        <v>375</v>
      </c>
      <c r="CC678" s="8" t="str">
        <f>"28216"</f>
        <v>28216</v>
      </c>
      <c r="CD678" t="s">
        <v>3275</v>
      </c>
      <c r="CE678" t="s">
        <v>2940</v>
      </c>
      <c r="CF678" s="12">
        <v>17</v>
      </c>
      <c r="CG678" s="12">
        <v>17</v>
      </c>
      <c r="CH678" s="12">
        <v>25.5</v>
      </c>
      <c r="CI678" s="12">
        <v>25.5</v>
      </c>
      <c r="CJ678" t="s">
        <v>135</v>
      </c>
      <c r="CK678" t="s">
        <v>3394</v>
      </c>
      <c r="CL678" t="s">
        <v>13588</v>
      </c>
      <c r="CO678" t="s">
        <v>132</v>
      </c>
      <c r="CP678" t="s">
        <v>136</v>
      </c>
      <c r="CQ678" t="s">
        <v>136</v>
      </c>
      <c r="CR678" t="s">
        <v>136</v>
      </c>
      <c r="CS678" t="s">
        <v>114</v>
      </c>
      <c r="CT678" t="s">
        <v>136</v>
      </c>
      <c r="CU678" t="s">
        <v>136</v>
      </c>
      <c r="CV678" t="s">
        <v>13589</v>
      </c>
      <c r="CW678" s="10" t="str">
        <f>"N/A"</f>
        <v>N/A</v>
      </c>
      <c r="CX678" t="s">
        <v>13590</v>
      </c>
      <c r="CY678" t="s">
        <v>13591</v>
      </c>
      <c r="CZ678" t="s">
        <v>137</v>
      </c>
      <c r="DA678" t="s">
        <v>114</v>
      </c>
      <c r="DB678" t="s">
        <v>136</v>
      </c>
      <c r="DC678" t="s">
        <v>136</v>
      </c>
      <c r="DD678" t="s">
        <v>114</v>
      </c>
    </row>
    <row r="679" spans="1:113" ht="15" customHeight="1" x14ac:dyDescent="0.25">
      <c r="A679" t="s">
        <v>7730</v>
      </c>
      <c r="B679" t="s">
        <v>152</v>
      </c>
      <c r="C679" s="1">
        <v>45233.019227430559</v>
      </c>
      <c r="D679" s="1">
        <v>45258</v>
      </c>
      <c r="E679" t="s">
        <v>132</v>
      </c>
      <c r="F679" t="s">
        <v>7731</v>
      </c>
      <c r="G679" t="str">
        <f>"53-7064.00"</f>
        <v>53-7064.00</v>
      </c>
      <c r="H679" t="s">
        <v>3138</v>
      </c>
      <c r="I679">
        <v>4</v>
      </c>
      <c r="J679">
        <v>4</v>
      </c>
      <c r="K679" s="1">
        <v>45323</v>
      </c>
      <c r="L679" s="1">
        <v>45597</v>
      </c>
      <c r="M679" s="1">
        <v>45323</v>
      </c>
      <c r="N679" s="1">
        <v>45597</v>
      </c>
      <c r="O679" t="s">
        <v>116</v>
      </c>
      <c r="P679" t="s">
        <v>7732</v>
      </c>
      <c r="Q679" t="s">
        <v>7733</v>
      </c>
      <c r="R679" t="s">
        <v>7734</v>
      </c>
      <c r="T679" t="s">
        <v>3738</v>
      </c>
      <c r="U679" t="s">
        <v>1825</v>
      </c>
      <c r="V679" s="8" t="str">
        <f>"71730"</f>
        <v>71730</v>
      </c>
      <c r="W679" t="s">
        <v>118</v>
      </c>
      <c r="Y679" s="10">
        <v>18708635707</v>
      </c>
      <c r="AA679">
        <v>212325</v>
      </c>
      <c r="AB679" t="s">
        <v>7735</v>
      </c>
      <c r="AC679" t="s">
        <v>2138</v>
      </c>
      <c r="AE679" t="s">
        <v>629</v>
      </c>
      <c r="AF679" t="s">
        <v>7734</v>
      </c>
      <c r="AH679" t="s">
        <v>3738</v>
      </c>
      <c r="AI679" t="s">
        <v>1825</v>
      </c>
      <c r="AJ679" s="8" t="str">
        <f>"71730"</f>
        <v>71730</v>
      </c>
      <c r="AK679" t="s">
        <v>118</v>
      </c>
      <c r="AM679" s="10">
        <v>18708635707</v>
      </c>
      <c r="AO679" t="s">
        <v>7736</v>
      </c>
      <c r="AP679" t="s">
        <v>248</v>
      </c>
      <c r="AQ679" t="s">
        <v>3017</v>
      </c>
      <c r="AR679" t="s">
        <v>3018</v>
      </c>
      <c r="AT679" t="s">
        <v>3019</v>
      </c>
      <c r="AV679" t="s">
        <v>1168</v>
      </c>
      <c r="AW679" t="s">
        <v>127</v>
      </c>
      <c r="AX679" s="8" t="str">
        <f>"75098"</f>
        <v>75098</v>
      </c>
      <c r="AY679" t="s">
        <v>118</v>
      </c>
      <c r="BA679" s="10">
        <v>19724424244</v>
      </c>
      <c r="BC679" t="s">
        <v>3020</v>
      </c>
      <c r="BD679" t="s">
        <v>3021</v>
      </c>
      <c r="BG679" t="s">
        <v>127</v>
      </c>
      <c r="BH679" s="1">
        <v>45232.833333333336</v>
      </c>
      <c r="BI679">
        <v>40</v>
      </c>
      <c r="BJ679">
        <v>0</v>
      </c>
      <c r="BK679">
        <v>8</v>
      </c>
      <c r="BL679">
        <v>8</v>
      </c>
      <c r="BM679">
        <v>8</v>
      </c>
      <c r="BN679">
        <v>8</v>
      </c>
      <c r="BO679">
        <v>8</v>
      </c>
      <c r="BP679">
        <v>0</v>
      </c>
      <c r="BQ679" t="str">
        <f>"7:00 AM"</f>
        <v>7:00 AM</v>
      </c>
      <c r="BR679" t="str">
        <f>"4:00 PM"</f>
        <v>4:00 PM</v>
      </c>
      <c r="BS679" t="s">
        <v>131</v>
      </c>
      <c r="BT679">
        <v>0</v>
      </c>
      <c r="BU679">
        <v>0</v>
      </c>
      <c r="BV679" t="s">
        <v>114</v>
      </c>
      <c r="BX679" t="s">
        <v>131</v>
      </c>
      <c r="BY679" t="s">
        <v>7737</v>
      </c>
      <c r="CA679" t="s">
        <v>7738</v>
      </c>
      <c r="CB679" t="s">
        <v>127</v>
      </c>
      <c r="CC679" s="8" t="str">
        <f>"79830"</f>
        <v>79830</v>
      </c>
      <c r="CD679" t="s">
        <v>5976</v>
      </c>
      <c r="CE679" t="s">
        <v>660</v>
      </c>
      <c r="CF679" s="12">
        <v>16.13</v>
      </c>
      <c r="CG679" s="12">
        <v>18.13</v>
      </c>
      <c r="CH679" s="12">
        <v>24.2</v>
      </c>
      <c r="CI679" s="12">
        <v>27.2</v>
      </c>
      <c r="CJ679" t="s">
        <v>135</v>
      </c>
      <c r="CK679" t="s">
        <v>132</v>
      </c>
      <c r="CL679" t="s">
        <v>7739</v>
      </c>
      <c r="CO679" t="s">
        <v>132</v>
      </c>
      <c r="CP679" t="s">
        <v>114</v>
      </c>
      <c r="CQ679" t="s">
        <v>114</v>
      </c>
      <c r="CR679" t="s">
        <v>136</v>
      </c>
      <c r="CS679" t="s">
        <v>136</v>
      </c>
      <c r="CT679" t="s">
        <v>136</v>
      </c>
      <c r="CU679" t="s">
        <v>136</v>
      </c>
      <c r="CV679" t="s">
        <v>5345</v>
      </c>
      <c r="CW679" s="10" t="str">
        <f>"+18708635707"</f>
        <v>+18708635707</v>
      </c>
      <c r="CX679" t="s">
        <v>132</v>
      </c>
      <c r="CY679" t="s">
        <v>3190</v>
      </c>
      <c r="CZ679" t="s">
        <v>137</v>
      </c>
      <c r="DA679" t="s">
        <v>114</v>
      </c>
      <c r="DB679" t="s">
        <v>114</v>
      </c>
      <c r="DC679" t="s">
        <v>136</v>
      </c>
      <c r="DD679" t="s">
        <v>114</v>
      </c>
    </row>
    <row r="680" spans="1:113" ht="15" customHeight="1" x14ac:dyDescent="0.25">
      <c r="A680" t="s">
        <v>3363</v>
      </c>
      <c r="B680" t="s">
        <v>152</v>
      </c>
      <c r="C680" s="1">
        <v>45233.016195254633</v>
      </c>
      <c r="D680" s="1">
        <v>45258</v>
      </c>
      <c r="E680" t="s">
        <v>132</v>
      </c>
      <c r="F680" t="s">
        <v>1595</v>
      </c>
      <c r="G680" t="str">
        <f>"37-3011.00"</f>
        <v>37-3011.00</v>
      </c>
      <c r="H680" t="s">
        <v>429</v>
      </c>
      <c r="I680">
        <v>11</v>
      </c>
      <c r="J680">
        <v>11</v>
      </c>
      <c r="K680" s="1">
        <v>45323</v>
      </c>
      <c r="L680" s="1">
        <v>45627</v>
      </c>
      <c r="M680" s="1">
        <v>45323</v>
      </c>
      <c r="N680" s="1">
        <v>45627</v>
      </c>
      <c r="O680" t="s">
        <v>116</v>
      </c>
      <c r="P680" t="s">
        <v>3364</v>
      </c>
      <c r="Q680" t="s">
        <v>3365</v>
      </c>
      <c r="R680" t="s">
        <v>3366</v>
      </c>
      <c r="T680" t="s">
        <v>3367</v>
      </c>
      <c r="U680" t="s">
        <v>127</v>
      </c>
      <c r="V680" s="8" t="str">
        <f>"75077"</f>
        <v>75077</v>
      </c>
      <c r="W680" t="s">
        <v>118</v>
      </c>
      <c r="Y680" s="10">
        <v>12147620005</v>
      </c>
      <c r="AA680">
        <v>56173</v>
      </c>
      <c r="AB680" t="s">
        <v>3368</v>
      </c>
      <c r="AC680" t="s">
        <v>3369</v>
      </c>
      <c r="AE680" t="s">
        <v>561</v>
      </c>
      <c r="AF680" t="s">
        <v>3366</v>
      </c>
      <c r="AH680" t="s">
        <v>3367</v>
      </c>
      <c r="AI680" t="s">
        <v>127</v>
      </c>
      <c r="AJ680" s="8" t="str">
        <f>"75077"</f>
        <v>75077</v>
      </c>
      <c r="AK680" t="s">
        <v>118</v>
      </c>
      <c r="AM680" s="10">
        <v>12147620005</v>
      </c>
      <c r="AO680" t="s">
        <v>3370</v>
      </c>
      <c r="AP680" t="s">
        <v>248</v>
      </c>
      <c r="AQ680" t="s">
        <v>3017</v>
      </c>
      <c r="AR680" t="s">
        <v>3018</v>
      </c>
      <c r="AT680" t="s">
        <v>3371</v>
      </c>
      <c r="AV680" t="s">
        <v>1168</v>
      </c>
      <c r="AW680" t="s">
        <v>127</v>
      </c>
      <c r="AX680" s="8" t="str">
        <f>"75098"</f>
        <v>75098</v>
      </c>
      <c r="AY680" t="s">
        <v>118</v>
      </c>
      <c r="BA680" s="10">
        <v>19724424244</v>
      </c>
      <c r="BC680" t="s">
        <v>3372</v>
      </c>
      <c r="BD680" t="s">
        <v>3021</v>
      </c>
      <c r="BG680" t="s">
        <v>127</v>
      </c>
      <c r="BH680" s="1">
        <v>45232.833333333336</v>
      </c>
      <c r="BI680">
        <v>40</v>
      </c>
      <c r="BJ680">
        <v>0</v>
      </c>
      <c r="BK680">
        <v>8</v>
      </c>
      <c r="BL680">
        <v>8</v>
      </c>
      <c r="BM680">
        <v>8</v>
      </c>
      <c r="BN680">
        <v>8</v>
      </c>
      <c r="BO680">
        <v>8</v>
      </c>
      <c r="BP680">
        <v>0</v>
      </c>
      <c r="BQ680" t="str">
        <f>"8:00 AM"</f>
        <v>8:00 AM</v>
      </c>
      <c r="BR680" t="str">
        <f>"4:30 PM"</f>
        <v>4:30 PM</v>
      </c>
      <c r="BS680" t="s">
        <v>131</v>
      </c>
      <c r="BT680">
        <v>0</v>
      </c>
      <c r="BU680">
        <v>0</v>
      </c>
      <c r="BV680" t="s">
        <v>114</v>
      </c>
      <c r="BX680" t="s">
        <v>131</v>
      </c>
      <c r="BY680" t="s">
        <v>3366</v>
      </c>
      <c r="CA680" t="s">
        <v>3367</v>
      </c>
      <c r="CB680" t="s">
        <v>127</v>
      </c>
      <c r="CC680" s="8" t="str">
        <f>"75077"</f>
        <v>75077</v>
      </c>
      <c r="CD680" t="s">
        <v>3259</v>
      </c>
      <c r="CE680" t="s">
        <v>263</v>
      </c>
      <c r="CF680" s="12">
        <v>16.86</v>
      </c>
      <c r="CG680" s="12">
        <v>18.86</v>
      </c>
      <c r="CH680" s="12">
        <v>25.29</v>
      </c>
      <c r="CI680" s="12">
        <v>28.29</v>
      </c>
      <c r="CJ680" t="s">
        <v>135</v>
      </c>
      <c r="CK680" t="s">
        <v>132</v>
      </c>
      <c r="CL680" t="s">
        <v>3373</v>
      </c>
      <c r="CO680" t="s">
        <v>132</v>
      </c>
      <c r="CP680" t="s">
        <v>136</v>
      </c>
      <c r="CQ680" t="s">
        <v>136</v>
      </c>
      <c r="CR680" t="s">
        <v>136</v>
      </c>
      <c r="CS680" t="s">
        <v>136</v>
      </c>
      <c r="CT680" t="s">
        <v>136</v>
      </c>
      <c r="CU680" t="s">
        <v>136</v>
      </c>
      <c r="CV680" t="s">
        <v>3374</v>
      </c>
      <c r="CW680" s="10" t="str">
        <f>"+12147620005"</f>
        <v>+12147620005</v>
      </c>
      <c r="CX680" t="s">
        <v>132</v>
      </c>
      <c r="CY680" t="s">
        <v>3190</v>
      </c>
      <c r="CZ680" t="s">
        <v>137</v>
      </c>
      <c r="DA680" t="s">
        <v>114</v>
      </c>
      <c r="DB680" t="s">
        <v>114</v>
      </c>
      <c r="DC680" t="s">
        <v>136</v>
      </c>
      <c r="DD680" t="s">
        <v>114</v>
      </c>
    </row>
    <row r="681" spans="1:113" ht="15" customHeight="1" x14ac:dyDescent="0.25">
      <c r="A681" t="s">
        <v>18870</v>
      </c>
      <c r="B681" t="s">
        <v>152</v>
      </c>
      <c r="C681" s="1">
        <v>45233.006551851853</v>
      </c>
      <c r="D681" s="1">
        <v>45258</v>
      </c>
      <c r="E681" t="s">
        <v>132</v>
      </c>
      <c r="F681" t="s">
        <v>1595</v>
      </c>
      <c r="G681" t="str">
        <f>"37-3011.00"</f>
        <v>37-3011.00</v>
      </c>
      <c r="H681" t="s">
        <v>429</v>
      </c>
      <c r="I681">
        <v>11</v>
      </c>
      <c r="J681">
        <v>11</v>
      </c>
      <c r="K681" s="1">
        <v>45323</v>
      </c>
      <c r="L681" s="1">
        <v>45596</v>
      </c>
      <c r="M681" s="1">
        <v>45323</v>
      </c>
      <c r="N681" s="1">
        <v>45596</v>
      </c>
      <c r="O681" t="s">
        <v>238</v>
      </c>
      <c r="P681" t="s">
        <v>18871</v>
      </c>
      <c r="Q681" t="s">
        <v>18872</v>
      </c>
      <c r="R681" t="s">
        <v>18873</v>
      </c>
      <c r="T681" t="s">
        <v>6090</v>
      </c>
      <c r="U681" t="s">
        <v>1722</v>
      </c>
      <c r="V681" s="8" t="str">
        <f>"21921"</f>
        <v>21921</v>
      </c>
      <c r="W681" t="s">
        <v>118</v>
      </c>
      <c r="Y681" s="10">
        <v>14103980880</v>
      </c>
      <c r="AA681">
        <v>56173</v>
      </c>
      <c r="AB681" t="s">
        <v>18874</v>
      </c>
      <c r="AC681" t="s">
        <v>144</v>
      </c>
      <c r="AE681" t="s">
        <v>378</v>
      </c>
      <c r="AF681" t="s">
        <v>18873</v>
      </c>
      <c r="AG681" t="s">
        <v>18875</v>
      </c>
      <c r="AH681" t="s">
        <v>6090</v>
      </c>
      <c r="AI681" t="s">
        <v>1722</v>
      </c>
      <c r="AJ681" s="8" t="str">
        <f>"21921"</f>
        <v>21921</v>
      </c>
      <c r="AK681" t="s">
        <v>118</v>
      </c>
      <c r="AM681" s="10">
        <v>14103980880</v>
      </c>
      <c r="AO681" t="s">
        <v>18876</v>
      </c>
      <c r="AP681" t="s">
        <v>248</v>
      </c>
      <c r="AQ681" t="s">
        <v>960</v>
      </c>
      <c r="AR681" t="s">
        <v>961</v>
      </c>
      <c r="AS681" t="s">
        <v>962</v>
      </c>
      <c r="AT681" t="s">
        <v>963</v>
      </c>
      <c r="AU681" t="s">
        <v>296</v>
      </c>
      <c r="AV681" t="s">
        <v>964</v>
      </c>
      <c r="AW681" t="s">
        <v>127</v>
      </c>
      <c r="AX681" s="8" t="str">
        <f>"75033"</f>
        <v>75033</v>
      </c>
      <c r="AY681" t="s">
        <v>118</v>
      </c>
      <c r="BA681" s="10">
        <v>19727789690</v>
      </c>
      <c r="BC681" t="s">
        <v>1951</v>
      </c>
      <c r="BD681" t="s">
        <v>966</v>
      </c>
      <c r="BG681" t="s">
        <v>1722</v>
      </c>
      <c r="BH681" s="1">
        <v>45232.833333333336</v>
      </c>
      <c r="BI681">
        <v>40</v>
      </c>
      <c r="BJ681">
        <v>0</v>
      </c>
      <c r="BK681">
        <v>8</v>
      </c>
      <c r="BL681">
        <v>8</v>
      </c>
      <c r="BM681">
        <v>8</v>
      </c>
      <c r="BN681">
        <v>8</v>
      </c>
      <c r="BO681">
        <v>8</v>
      </c>
      <c r="BP681">
        <v>0</v>
      </c>
      <c r="BQ681" t="str">
        <f>"7:00 AM"</f>
        <v>7:00 AM</v>
      </c>
      <c r="BR681" t="str">
        <f>"4:00 PM"</f>
        <v>4:00 PM</v>
      </c>
      <c r="BS681" t="s">
        <v>131</v>
      </c>
      <c r="BT681">
        <v>0</v>
      </c>
      <c r="BU681">
        <v>0</v>
      </c>
      <c r="BV681" t="s">
        <v>114</v>
      </c>
      <c r="BX681" s="2" t="s">
        <v>18877</v>
      </c>
      <c r="BY681" t="s">
        <v>18873</v>
      </c>
      <c r="CA681" t="s">
        <v>6090</v>
      </c>
      <c r="CB681" t="s">
        <v>1722</v>
      </c>
      <c r="CC681" s="8" t="str">
        <f>"21921"</f>
        <v>21921</v>
      </c>
      <c r="CD681" t="s">
        <v>5658</v>
      </c>
      <c r="CE681" t="s">
        <v>443</v>
      </c>
      <c r="CF681" s="12">
        <v>18.71</v>
      </c>
      <c r="CG681" s="12">
        <v>18.71</v>
      </c>
      <c r="CH681" s="12">
        <v>28.07</v>
      </c>
      <c r="CI681" s="12">
        <v>28.07</v>
      </c>
      <c r="CJ681" t="s">
        <v>135</v>
      </c>
      <c r="CK681" t="s">
        <v>973</v>
      </c>
      <c r="CL681" t="s">
        <v>18878</v>
      </c>
      <c r="CO681" t="s">
        <v>132</v>
      </c>
      <c r="CP681" t="s">
        <v>136</v>
      </c>
      <c r="CQ681" t="s">
        <v>136</v>
      </c>
      <c r="CR681" t="s">
        <v>136</v>
      </c>
      <c r="CS681" t="s">
        <v>136</v>
      </c>
      <c r="CT681" t="s">
        <v>136</v>
      </c>
      <c r="CU681" t="s">
        <v>136</v>
      </c>
      <c r="CV681" s="2" t="s">
        <v>18879</v>
      </c>
      <c r="CW681" s="10" t="str">
        <f>"+14103980880"</f>
        <v>+14103980880</v>
      </c>
      <c r="CX681" t="s">
        <v>132</v>
      </c>
      <c r="CY681" t="s">
        <v>2220</v>
      </c>
      <c r="CZ681" t="s">
        <v>137</v>
      </c>
      <c r="DA681" t="s">
        <v>114</v>
      </c>
      <c r="DB681" t="s">
        <v>136</v>
      </c>
      <c r="DC681" t="s">
        <v>136</v>
      </c>
      <c r="DD681" t="s">
        <v>114</v>
      </c>
    </row>
    <row r="682" spans="1:113" ht="15" customHeight="1" x14ac:dyDescent="0.25">
      <c r="A682" t="s">
        <v>21061</v>
      </c>
      <c r="B682" t="s">
        <v>152</v>
      </c>
      <c r="C682" s="1">
        <v>45233.004905902781</v>
      </c>
      <c r="D682" s="1">
        <v>45258</v>
      </c>
      <c r="E682" t="s">
        <v>132</v>
      </c>
      <c r="F682" t="s">
        <v>1595</v>
      </c>
      <c r="G682" t="str">
        <f>"37-3011.00"</f>
        <v>37-3011.00</v>
      </c>
      <c r="H682" t="s">
        <v>429</v>
      </c>
      <c r="I682">
        <v>12</v>
      </c>
      <c r="J682">
        <v>12</v>
      </c>
      <c r="K682" s="1">
        <v>45323</v>
      </c>
      <c r="L682" s="1">
        <v>45626</v>
      </c>
      <c r="M682" s="1">
        <v>45323</v>
      </c>
      <c r="N682" s="1">
        <v>45626</v>
      </c>
      <c r="O682" t="s">
        <v>238</v>
      </c>
      <c r="P682" t="s">
        <v>21062</v>
      </c>
      <c r="R682" t="s">
        <v>21063</v>
      </c>
      <c r="T682" t="s">
        <v>7693</v>
      </c>
      <c r="U682" t="s">
        <v>984</v>
      </c>
      <c r="V682" s="8" t="str">
        <f>"63301"</f>
        <v>63301</v>
      </c>
      <c r="W682" t="s">
        <v>118</v>
      </c>
      <c r="Y682" s="10">
        <v>16369161881</v>
      </c>
      <c r="AA682">
        <v>56173</v>
      </c>
      <c r="AB682" t="s">
        <v>21064</v>
      </c>
      <c r="AC682" t="s">
        <v>4928</v>
      </c>
      <c r="AE682" t="s">
        <v>1799</v>
      </c>
      <c r="AF682" t="s">
        <v>21063</v>
      </c>
      <c r="AH682" t="s">
        <v>7693</v>
      </c>
      <c r="AI682" t="s">
        <v>984</v>
      </c>
      <c r="AJ682" s="8" t="str">
        <f>"63301"</f>
        <v>63301</v>
      </c>
      <c r="AK682" t="s">
        <v>118</v>
      </c>
      <c r="AM682" s="10">
        <v>16369161881</v>
      </c>
      <c r="AO682" t="s">
        <v>21065</v>
      </c>
      <c r="AP682" t="s">
        <v>248</v>
      </c>
      <c r="AQ682" t="s">
        <v>2732</v>
      </c>
      <c r="AR682" t="s">
        <v>2733</v>
      </c>
      <c r="AT682" t="s">
        <v>1253</v>
      </c>
      <c r="AU682" t="s">
        <v>852</v>
      </c>
      <c r="AV682" t="s">
        <v>853</v>
      </c>
      <c r="AW682" t="s">
        <v>854</v>
      </c>
      <c r="AX682" s="8" t="str">
        <f>"83814"</f>
        <v>83814</v>
      </c>
      <c r="AY682" t="s">
        <v>118</v>
      </c>
      <c r="BA682" s="10">
        <v>12087772654</v>
      </c>
      <c r="BC682" t="s">
        <v>2734</v>
      </c>
      <c r="BD682" t="s">
        <v>856</v>
      </c>
      <c r="BG682" t="s">
        <v>984</v>
      </c>
      <c r="BH682" s="1">
        <v>45231.833333333336</v>
      </c>
      <c r="BI682">
        <v>40</v>
      </c>
      <c r="BJ682">
        <v>0</v>
      </c>
      <c r="BK682">
        <v>8</v>
      </c>
      <c r="BL682">
        <v>8</v>
      </c>
      <c r="BM682">
        <v>8</v>
      </c>
      <c r="BN682">
        <v>8</v>
      </c>
      <c r="BO682">
        <v>8</v>
      </c>
      <c r="BP682">
        <v>0</v>
      </c>
      <c r="BQ682" t="str">
        <f>"7:00 AM"</f>
        <v>7:00 AM</v>
      </c>
      <c r="BR682" t="str">
        <f>"5:00 PM"</f>
        <v>5:00 PM</v>
      </c>
      <c r="BS682" t="s">
        <v>131</v>
      </c>
      <c r="BT682">
        <v>0</v>
      </c>
      <c r="BU682">
        <v>0</v>
      </c>
      <c r="BV682" t="s">
        <v>114</v>
      </c>
      <c r="BX682" t="s">
        <v>2670</v>
      </c>
      <c r="BY682" t="s">
        <v>21066</v>
      </c>
      <c r="CA682" t="s">
        <v>7693</v>
      </c>
      <c r="CB682" t="s">
        <v>984</v>
      </c>
      <c r="CC682" s="8" t="str">
        <f>"63301"</f>
        <v>63301</v>
      </c>
      <c r="CD682" t="s">
        <v>1855</v>
      </c>
      <c r="CE682" t="s">
        <v>1856</v>
      </c>
      <c r="CF682" s="12">
        <v>17.579999999999998</v>
      </c>
      <c r="CG682" s="12">
        <v>22.58</v>
      </c>
      <c r="CH682" s="12">
        <v>26.37</v>
      </c>
      <c r="CI682" s="12">
        <v>33.869999999999997</v>
      </c>
      <c r="CJ682" t="s">
        <v>135</v>
      </c>
      <c r="CK682" t="s">
        <v>1899</v>
      </c>
      <c r="CL682" t="s">
        <v>21067</v>
      </c>
      <c r="CO682" t="s">
        <v>132</v>
      </c>
      <c r="CP682" t="s">
        <v>136</v>
      </c>
      <c r="CQ682" t="s">
        <v>136</v>
      </c>
      <c r="CR682" t="s">
        <v>136</v>
      </c>
      <c r="CS682" t="s">
        <v>136</v>
      </c>
      <c r="CT682" t="s">
        <v>136</v>
      </c>
      <c r="CU682" t="s">
        <v>136</v>
      </c>
      <c r="CV682" t="s">
        <v>132</v>
      </c>
      <c r="CW682" s="10" t="str">
        <f>"+16369161881"</f>
        <v>+16369161881</v>
      </c>
      <c r="CX682" t="s">
        <v>21065</v>
      </c>
      <c r="CY682" t="s">
        <v>132</v>
      </c>
      <c r="CZ682" t="s">
        <v>137</v>
      </c>
      <c r="DA682" t="s">
        <v>114</v>
      </c>
      <c r="DB682" t="s">
        <v>136</v>
      </c>
      <c r="DC682" t="s">
        <v>136</v>
      </c>
      <c r="DD682" t="s">
        <v>114</v>
      </c>
    </row>
    <row r="683" spans="1:113" ht="15" customHeight="1" x14ac:dyDescent="0.25">
      <c r="A683" t="s">
        <v>10840</v>
      </c>
      <c r="B683" t="s">
        <v>152</v>
      </c>
      <c r="C683" s="1">
        <v>45233.004615972219</v>
      </c>
      <c r="D683" s="1">
        <v>45258</v>
      </c>
      <c r="E683" t="s">
        <v>132</v>
      </c>
      <c r="F683" t="s">
        <v>1595</v>
      </c>
      <c r="G683" t="str">
        <f>"37-3011.00"</f>
        <v>37-3011.00</v>
      </c>
      <c r="H683" t="s">
        <v>429</v>
      </c>
      <c r="I683">
        <v>58</v>
      </c>
      <c r="J683">
        <v>58</v>
      </c>
      <c r="K683" s="1">
        <v>45323</v>
      </c>
      <c r="L683" s="1">
        <v>45626</v>
      </c>
      <c r="M683" s="1">
        <v>45323</v>
      </c>
      <c r="N683" s="1">
        <v>45626</v>
      </c>
      <c r="O683" t="s">
        <v>116</v>
      </c>
      <c r="P683" t="s">
        <v>9636</v>
      </c>
      <c r="R683" t="s">
        <v>9637</v>
      </c>
      <c r="T683" t="s">
        <v>9638</v>
      </c>
      <c r="U683" t="s">
        <v>581</v>
      </c>
      <c r="V683" s="8" t="str">
        <f>"20109"</f>
        <v>20109</v>
      </c>
      <c r="W683" t="s">
        <v>118</v>
      </c>
      <c r="Y683" s="10">
        <v>18667187188</v>
      </c>
      <c r="AA683">
        <v>56173</v>
      </c>
      <c r="AB683" t="s">
        <v>990</v>
      </c>
      <c r="AC683" t="s">
        <v>10841</v>
      </c>
      <c r="AE683" t="s">
        <v>629</v>
      </c>
      <c r="AF683" t="s">
        <v>9637</v>
      </c>
      <c r="AH683" t="s">
        <v>9638</v>
      </c>
      <c r="AI683" t="s">
        <v>581</v>
      </c>
      <c r="AJ683" s="8" t="str">
        <f>"20109"</f>
        <v>20109</v>
      </c>
      <c r="AK683" t="s">
        <v>118</v>
      </c>
      <c r="AM683" s="10">
        <v>18667187188</v>
      </c>
      <c r="AO683" t="s">
        <v>9640</v>
      </c>
      <c r="AP683" t="s">
        <v>248</v>
      </c>
      <c r="AQ683" t="s">
        <v>2667</v>
      </c>
      <c r="AR683" t="s">
        <v>2668</v>
      </c>
      <c r="AT683" t="s">
        <v>1253</v>
      </c>
      <c r="AU683" t="s">
        <v>852</v>
      </c>
      <c r="AV683" t="s">
        <v>853</v>
      </c>
      <c r="AW683" t="s">
        <v>854</v>
      </c>
      <c r="AX683" s="8" t="str">
        <f>"83814"</f>
        <v>83814</v>
      </c>
      <c r="AY683" t="s">
        <v>118</v>
      </c>
      <c r="BA683" s="10">
        <v>12087772654</v>
      </c>
      <c r="BC683" t="s">
        <v>2669</v>
      </c>
      <c r="BD683" t="s">
        <v>856</v>
      </c>
      <c r="BG683" t="s">
        <v>581</v>
      </c>
      <c r="BH683" s="1">
        <v>45231.833333333336</v>
      </c>
      <c r="BI683">
        <v>40</v>
      </c>
      <c r="BJ683">
        <v>0</v>
      </c>
      <c r="BK683">
        <v>8</v>
      </c>
      <c r="BL683">
        <v>8</v>
      </c>
      <c r="BM683">
        <v>8</v>
      </c>
      <c r="BN683">
        <v>8</v>
      </c>
      <c r="BO683">
        <v>8</v>
      </c>
      <c r="BP683">
        <v>0</v>
      </c>
      <c r="BQ683" t="str">
        <f>"7:00 AM"</f>
        <v>7:00 AM</v>
      </c>
      <c r="BR683" t="str">
        <f>"4:00 PM"</f>
        <v>4:00 PM</v>
      </c>
      <c r="BS683" t="s">
        <v>131</v>
      </c>
      <c r="BT683">
        <v>0</v>
      </c>
      <c r="BU683">
        <v>0</v>
      </c>
      <c r="BV683" t="s">
        <v>114</v>
      </c>
      <c r="BX683" t="s">
        <v>2088</v>
      </c>
      <c r="BY683" t="s">
        <v>10842</v>
      </c>
      <c r="BZ683" t="s">
        <v>5960</v>
      </c>
      <c r="CA683" t="s">
        <v>9638</v>
      </c>
      <c r="CB683" t="s">
        <v>581</v>
      </c>
      <c r="CC683" s="8" t="str">
        <f>"20109"</f>
        <v>20109</v>
      </c>
      <c r="CD683" t="s">
        <v>9453</v>
      </c>
      <c r="CE683" t="s">
        <v>1794</v>
      </c>
      <c r="CF683" s="12">
        <v>19.670000000000002</v>
      </c>
      <c r="CH683" s="12">
        <v>29.51</v>
      </c>
      <c r="CJ683" t="s">
        <v>135</v>
      </c>
      <c r="CK683" t="s">
        <v>132</v>
      </c>
      <c r="CL683" t="s">
        <v>10843</v>
      </c>
      <c r="CO683" t="s">
        <v>132</v>
      </c>
      <c r="CP683" t="s">
        <v>136</v>
      </c>
      <c r="CQ683" t="s">
        <v>136</v>
      </c>
      <c r="CR683" t="s">
        <v>136</v>
      </c>
      <c r="CS683" t="s">
        <v>136</v>
      </c>
      <c r="CT683" t="s">
        <v>136</v>
      </c>
      <c r="CU683" t="s">
        <v>136</v>
      </c>
      <c r="CV683" t="s">
        <v>9646</v>
      </c>
      <c r="CW683" s="10" t="str">
        <f>"+18667187188"</f>
        <v>+18667187188</v>
      </c>
      <c r="CX683" t="s">
        <v>9640</v>
      </c>
      <c r="CY683" t="s">
        <v>132</v>
      </c>
      <c r="CZ683" t="s">
        <v>137</v>
      </c>
      <c r="DA683" t="s">
        <v>114</v>
      </c>
      <c r="DB683" t="s">
        <v>136</v>
      </c>
      <c r="DC683" t="s">
        <v>136</v>
      </c>
      <c r="DD683" t="s">
        <v>114</v>
      </c>
    </row>
    <row r="684" spans="1:113" ht="15" customHeight="1" x14ac:dyDescent="0.25">
      <c r="A684" t="s">
        <v>3703</v>
      </c>
      <c r="B684" t="s">
        <v>152</v>
      </c>
      <c r="C684" s="1">
        <v>45233.004598495369</v>
      </c>
      <c r="D684" s="1">
        <v>45258</v>
      </c>
      <c r="E684" t="s">
        <v>132</v>
      </c>
      <c r="F684" t="s">
        <v>1595</v>
      </c>
      <c r="G684" t="str">
        <f>"37-3011.00"</f>
        <v>37-3011.00</v>
      </c>
      <c r="H684" t="s">
        <v>429</v>
      </c>
      <c r="I684">
        <v>20</v>
      </c>
      <c r="J684">
        <v>20</v>
      </c>
      <c r="K684" s="1">
        <v>45323</v>
      </c>
      <c r="L684" s="1">
        <v>45626</v>
      </c>
      <c r="M684" s="1">
        <v>45323</v>
      </c>
      <c r="N684" s="1">
        <v>45626</v>
      </c>
      <c r="O684" t="s">
        <v>238</v>
      </c>
      <c r="P684" t="s">
        <v>3704</v>
      </c>
      <c r="R684" t="s">
        <v>3705</v>
      </c>
      <c r="T684" t="s">
        <v>3706</v>
      </c>
      <c r="U684" t="s">
        <v>1722</v>
      </c>
      <c r="V684" s="8" t="str">
        <f>"21701"</f>
        <v>21701</v>
      </c>
      <c r="W684" t="s">
        <v>118</v>
      </c>
      <c r="Y684" s="10">
        <v>13016983220</v>
      </c>
      <c r="AA684">
        <v>56173</v>
      </c>
      <c r="AB684" t="s">
        <v>3707</v>
      </c>
      <c r="AC684" t="s">
        <v>3708</v>
      </c>
      <c r="AE684" t="s">
        <v>629</v>
      </c>
      <c r="AF684" t="s">
        <v>3705</v>
      </c>
      <c r="AH684" t="s">
        <v>3706</v>
      </c>
      <c r="AI684" t="s">
        <v>1722</v>
      </c>
      <c r="AJ684" s="8" t="str">
        <f>"21701"</f>
        <v>21701</v>
      </c>
      <c r="AK684" t="s">
        <v>118</v>
      </c>
      <c r="AM684" s="10">
        <v>13016983220</v>
      </c>
      <c r="AO684" t="s">
        <v>3709</v>
      </c>
      <c r="AP684" t="s">
        <v>248</v>
      </c>
      <c r="AQ684" t="s">
        <v>2732</v>
      </c>
      <c r="AR684" t="s">
        <v>2733</v>
      </c>
      <c r="AT684" t="s">
        <v>1253</v>
      </c>
      <c r="AU684" t="s">
        <v>852</v>
      </c>
      <c r="AV684" t="s">
        <v>853</v>
      </c>
      <c r="AW684" t="s">
        <v>854</v>
      </c>
      <c r="AX684" s="8" t="str">
        <f>"83814"</f>
        <v>83814</v>
      </c>
      <c r="AY684" t="s">
        <v>118</v>
      </c>
      <c r="BA684" s="10">
        <v>12087772654</v>
      </c>
      <c r="BC684" t="s">
        <v>2734</v>
      </c>
      <c r="BD684" t="s">
        <v>856</v>
      </c>
      <c r="BG684" t="s">
        <v>1722</v>
      </c>
      <c r="BH684" s="1">
        <v>45231.833333333336</v>
      </c>
      <c r="BI684">
        <v>40</v>
      </c>
      <c r="BJ684">
        <v>0</v>
      </c>
      <c r="BK684">
        <v>8</v>
      </c>
      <c r="BL684">
        <v>8</v>
      </c>
      <c r="BM684">
        <v>8</v>
      </c>
      <c r="BN684">
        <v>8</v>
      </c>
      <c r="BO684">
        <v>8</v>
      </c>
      <c r="BP684">
        <v>0</v>
      </c>
      <c r="BQ684" t="str">
        <f>"7:00 AM"</f>
        <v>7:00 AM</v>
      </c>
      <c r="BR684" t="str">
        <f>"5:00 PM"</f>
        <v>5:00 PM</v>
      </c>
      <c r="BS684" t="s">
        <v>131</v>
      </c>
      <c r="BT684">
        <v>0</v>
      </c>
      <c r="BU684">
        <v>0</v>
      </c>
      <c r="BV684" t="s">
        <v>114</v>
      </c>
      <c r="BX684" t="s">
        <v>2088</v>
      </c>
      <c r="BY684" t="s">
        <v>3710</v>
      </c>
      <c r="CA684" t="s">
        <v>3706</v>
      </c>
      <c r="CB684" t="s">
        <v>1722</v>
      </c>
      <c r="CC684" s="8" t="str">
        <f>"21701"</f>
        <v>21701</v>
      </c>
      <c r="CD684" t="s">
        <v>3711</v>
      </c>
      <c r="CE684" t="s">
        <v>1794</v>
      </c>
      <c r="CF684" s="12">
        <v>19.670000000000002</v>
      </c>
      <c r="CH684" s="12">
        <v>29.51</v>
      </c>
      <c r="CJ684" t="s">
        <v>135</v>
      </c>
      <c r="CK684" t="s">
        <v>132</v>
      </c>
      <c r="CL684" t="s">
        <v>3712</v>
      </c>
      <c r="CO684" t="s">
        <v>132</v>
      </c>
      <c r="CP684" t="s">
        <v>136</v>
      </c>
      <c r="CQ684" t="s">
        <v>136</v>
      </c>
      <c r="CR684" t="s">
        <v>136</v>
      </c>
      <c r="CS684" t="s">
        <v>136</v>
      </c>
      <c r="CT684" t="s">
        <v>136</v>
      </c>
      <c r="CU684" t="s">
        <v>114</v>
      </c>
      <c r="CV684" t="s">
        <v>1040</v>
      </c>
      <c r="CW684" s="10" t="str">
        <f>"+13016983220"</f>
        <v>+13016983220</v>
      </c>
      <c r="CX684" t="s">
        <v>3713</v>
      </c>
      <c r="CY684" t="s">
        <v>132</v>
      </c>
      <c r="CZ684" t="s">
        <v>137</v>
      </c>
      <c r="DA684" t="s">
        <v>114</v>
      </c>
      <c r="DB684" t="s">
        <v>114</v>
      </c>
      <c r="DC684" t="s">
        <v>136</v>
      </c>
      <c r="DD684" t="s">
        <v>114</v>
      </c>
    </row>
    <row r="685" spans="1:113" ht="15" customHeight="1" x14ac:dyDescent="0.25">
      <c r="A685" t="s">
        <v>19823</v>
      </c>
      <c r="B685" t="s">
        <v>152</v>
      </c>
      <c r="C685" s="1">
        <v>45233.003254398151</v>
      </c>
      <c r="D685" s="1">
        <v>45258</v>
      </c>
      <c r="E685" t="s">
        <v>132</v>
      </c>
      <c r="F685" t="s">
        <v>1595</v>
      </c>
      <c r="G685" t="str">
        <f>"37-3011.00"</f>
        <v>37-3011.00</v>
      </c>
      <c r="H685" t="s">
        <v>429</v>
      </c>
      <c r="I685">
        <v>44</v>
      </c>
      <c r="J685">
        <v>44</v>
      </c>
      <c r="K685" s="1">
        <v>45323</v>
      </c>
      <c r="L685" s="1">
        <v>45626</v>
      </c>
      <c r="M685" s="1">
        <v>45323</v>
      </c>
      <c r="N685" s="1">
        <v>45626</v>
      </c>
      <c r="O685" t="s">
        <v>116</v>
      </c>
      <c r="P685" t="s">
        <v>10814</v>
      </c>
      <c r="Q685" t="s">
        <v>10815</v>
      </c>
      <c r="R685" t="s">
        <v>19824</v>
      </c>
      <c r="T685" t="s">
        <v>19825</v>
      </c>
      <c r="U685" t="s">
        <v>127</v>
      </c>
      <c r="V685" s="8" t="str">
        <f>"76092"</f>
        <v>76092</v>
      </c>
      <c r="W685" t="s">
        <v>118</v>
      </c>
      <c r="Y685" s="10">
        <v>18176080660</v>
      </c>
      <c r="AA685">
        <v>56173</v>
      </c>
      <c r="AB685" t="s">
        <v>10817</v>
      </c>
      <c r="AC685" t="s">
        <v>10818</v>
      </c>
      <c r="AE685" t="s">
        <v>10819</v>
      </c>
      <c r="AF685" t="s">
        <v>19824</v>
      </c>
      <c r="AH685" t="s">
        <v>19825</v>
      </c>
      <c r="AI685" t="s">
        <v>127</v>
      </c>
      <c r="AJ685" s="8" t="str">
        <f>"76092"</f>
        <v>76092</v>
      </c>
      <c r="AK685" t="s">
        <v>118</v>
      </c>
      <c r="AM685" s="10">
        <v>18176080660</v>
      </c>
      <c r="AO685" t="s">
        <v>10820</v>
      </c>
      <c r="AP685" t="s">
        <v>248</v>
      </c>
      <c r="AQ685" t="s">
        <v>2732</v>
      </c>
      <c r="AR685" t="s">
        <v>2733</v>
      </c>
      <c r="AT685" t="s">
        <v>851</v>
      </c>
      <c r="AU685" t="s">
        <v>852</v>
      </c>
      <c r="AV685" t="s">
        <v>10821</v>
      </c>
      <c r="AW685" t="s">
        <v>854</v>
      </c>
      <c r="AX685" s="8" t="str">
        <f>"83814"</f>
        <v>83814</v>
      </c>
      <c r="AY685" t="s">
        <v>118</v>
      </c>
      <c r="BA685" s="10">
        <v>12087772654</v>
      </c>
      <c r="BC685" t="s">
        <v>2734</v>
      </c>
      <c r="BD685" t="s">
        <v>856</v>
      </c>
      <c r="BG685" t="s">
        <v>127</v>
      </c>
      <c r="BH685" s="1">
        <v>45231.833333333336</v>
      </c>
      <c r="BI685">
        <v>40</v>
      </c>
      <c r="BJ685">
        <v>0</v>
      </c>
      <c r="BK685">
        <v>8</v>
      </c>
      <c r="BL685">
        <v>8</v>
      </c>
      <c r="BM685">
        <v>8</v>
      </c>
      <c r="BN685">
        <v>8</v>
      </c>
      <c r="BO685">
        <v>8</v>
      </c>
      <c r="BP685">
        <v>0</v>
      </c>
      <c r="BQ685" t="str">
        <f>"7:30 AM"</f>
        <v>7:30 AM</v>
      </c>
      <c r="BR685" t="str">
        <f>"5:00 PM"</f>
        <v>5:00 PM</v>
      </c>
      <c r="BS685" t="s">
        <v>131</v>
      </c>
      <c r="BT685">
        <v>0</v>
      </c>
      <c r="BU685">
        <v>0</v>
      </c>
      <c r="BV685" t="s">
        <v>114</v>
      </c>
      <c r="BX685" s="2" t="s">
        <v>9802</v>
      </c>
      <c r="BY685" t="s">
        <v>19826</v>
      </c>
      <c r="CA685" t="s">
        <v>19825</v>
      </c>
      <c r="CB685" t="s">
        <v>127</v>
      </c>
      <c r="CC685" s="8" t="str">
        <f>"76092"</f>
        <v>76092</v>
      </c>
      <c r="CD685" t="s">
        <v>262</v>
      </c>
      <c r="CE685" t="s">
        <v>263</v>
      </c>
      <c r="CF685" s="12">
        <v>16.86</v>
      </c>
      <c r="CG685" s="12">
        <v>21</v>
      </c>
      <c r="CH685" s="12">
        <v>25.29</v>
      </c>
      <c r="CI685" s="12">
        <v>31.5</v>
      </c>
      <c r="CJ685" t="s">
        <v>135</v>
      </c>
      <c r="CK685" t="s">
        <v>10823</v>
      </c>
      <c r="CL685" t="s">
        <v>19827</v>
      </c>
      <c r="CO685" t="s">
        <v>132</v>
      </c>
      <c r="CP685" t="s">
        <v>136</v>
      </c>
      <c r="CQ685" t="s">
        <v>136</v>
      </c>
      <c r="CR685" t="s">
        <v>136</v>
      </c>
      <c r="CS685" t="s">
        <v>136</v>
      </c>
      <c r="CT685" t="s">
        <v>136</v>
      </c>
      <c r="CU685" t="s">
        <v>136</v>
      </c>
      <c r="CV685" t="s">
        <v>15000</v>
      </c>
      <c r="CW685" s="10" t="str">
        <f>"+19727071589"</f>
        <v>+19727071589</v>
      </c>
      <c r="CX685" t="s">
        <v>10826</v>
      </c>
      <c r="CY685" t="s">
        <v>132</v>
      </c>
      <c r="CZ685" t="s">
        <v>137</v>
      </c>
      <c r="DA685" t="s">
        <v>114</v>
      </c>
      <c r="DB685" t="s">
        <v>136</v>
      </c>
      <c r="DC685" t="s">
        <v>136</v>
      </c>
      <c r="DD685" t="s">
        <v>114</v>
      </c>
    </row>
    <row r="686" spans="1:113" ht="15" customHeight="1" x14ac:dyDescent="0.25">
      <c r="A686" t="s">
        <v>14731</v>
      </c>
      <c r="B686" t="s">
        <v>152</v>
      </c>
      <c r="C686" s="1">
        <v>45233.002926851848</v>
      </c>
      <c r="D686" s="1">
        <v>45258</v>
      </c>
      <c r="E686" t="s">
        <v>132</v>
      </c>
      <c r="F686" t="s">
        <v>1595</v>
      </c>
      <c r="G686" t="str">
        <f>"37-3011.00"</f>
        <v>37-3011.00</v>
      </c>
      <c r="H686" t="s">
        <v>429</v>
      </c>
      <c r="I686">
        <v>4</v>
      </c>
      <c r="J686">
        <v>4</v>
      </c>
      <c r="K686" s="1">
        <v>45323</v>
      </c>
      <c r="L686" s="1">
        <v>45596</v>
      </c>
      <c r="M686" s="1">
        <v>45323</v>
      </c>
      <c r="N686" s="1">
        <v>45596</v>
      </c>
      <c r="O686" t="s">
        <v>116</v>
      </c>
      <c r="P686" t="s">
        <v>10814</v>
      </c>
      <c r="Q686" t="s">
        <v>10815</v>
      </c>
      <c r="R686" t="s">
        <v>14732</v>
      </c>
      <c r="T686" t="s">
        <v>11088</v>
      </c>
      <c r="U686" t="s">
        <v>127</v>
      </c>
      <c r="V686" s="8" t="str">
        <f>"76712"</f>
        <v>76712</v>
      </c>
      <c r="W686" t="s">
        <v>118</v>
      </c>
      <c r="Y686" s="10">
        <v>12548293800</v>
      </c>
      <c r="AA686">
        <v>56173</v>
      </c>
      <c r="AB686" t="s">
        <v>10817</v>
      </c>
      <c r="AC686" t="s">
        <v>10818</v>
      </c>
      <c r="AE686" t="s">
        <v>10819</v>
      </c>
      <c r="AF686" t="s">
        <v>14733</v>
      </c>
      <c r="AH686" t="s">
        <v>11088</v>
      </c>
      <c r="AI686" t="s">
        <v>127</v>
      </c>
      <c r="AJ686" s="8" t="str">
        <f>"76712"</f>
        <v>76712</v>
      </c>
      <c r="AK686" t="s">
        <v>118</v>
      </c>
      <c r="AM686" s="10">
        <v>12548293800</v>
      </c>
      <c r="AO686" t="s">
        <v>10820</v>
      </c>
      <c r="AP686" t="s">
        <v>248</v>
      </c>
      <c r="AQ686" t="s">
        <v>2732</v>
      </c>
      <c r="AR686" t="s">
        <v>2733</v>
      </c>
      <c r="AT686" t="s">
        <v>851</v>
      </c>
      <c r="AU686" t="s">
        <v>852</v>
      </c>
      <c r="AV686" t="s">
        <v>10821</v>
      </c>
      <c r="AW686" t="s">
        <v>854</v>
      </c>
      <c r="AX686" s="8" t="str">
        <f>"83814"</f>
        <v>83814</v>
      </c>
      <c r="AY686" t="s">
        <v>118</v>
      </c>
      <c r="BA686" s="10">
        <v>12087772654</v>
      </c>
      <c r="BC686" t="s">
        <v>2734</v>
      </c>
      <c r="BD686" t="s">
        <v>856</v>
      </c>
      <c r="BG686" t="s">
        <v>127</v>
      </c>
      <c r="BH686" s="1">
        <v>45231.833333333336</v>
      </c>
      <c r="BI686">
        <v>40</v>
      </c>
      <c r="BJ686">
        <v>0</v>
      </c>
      <c r="BK686">
        <v>8</v>
      </c>
      <c r="BL686">
        <v>8</v>
      </c>
      <c r="BM686">
        <v>8</v>
      </c>
      <c r="BN686">
        <v>8</v>
      </c>
      <c r="BO686">
        <v>8</v>
      </c>
      <c r="BP686">
        <v>0</v>
      </c>
      <c r="BQ686" t="str">
        <f>"7:30 AM"</f>
        <v>7:30 AM</v>
      </c>
      <c r="BR686" t="str">
        <f>"5:00 PM"</f>
        <v>5:00 PM</v>
      </c>
      <c r="BS686" t="s">
        <v>131</v>
      </c>
      <c r="BT686">
        <v>0</v>
      </c>
      <c r="BU686">
        <v>0</v>
      </c>
      <c r="BV686" t="s">
        <v>114</v>
      </c>
      <c r="BX686" s="2" t="s">
        <v>9802</v>
      </c>
      <c r="BY686" t="s">
        <v>14734</v>
      </c>
      <c r="CA686" t="s">
        <v>11088</v>
      </c>
      <c r="CB686" t="s">
        <v>127</v>
      </c>
      <c r="CC686" s="8" t="str">
        <f>"76712"</f>
        <v>76712</v>
      </c>
      <c r="CD686" t="s">
        <v>14735</v>
      </c>
      <c r="CE686" t="s">
        <v>14736</v>
      </c>
      <c r="CF686" s="12">
        <v>15.32</v>
      </c>
      <c r="CH686" s="12">
        <v>22.98</v>
      </c>
      <c r="CJ686" t="s">
        <v>135</v>
      </c>
      <c r="CK686" t="s">
        <v>132</v>
      </c>
      <c r="CL686" t="s">
        <v>14737</v>
      </c>
      <c r="CO686" t="s">
        <v>132</v>
      </c>
      <c r="CP686" t="s">
        <v>136</v>
      </c>
      <c r="CQ686" t="s">
        <v>136</v>
      </c>
      <c r="CR686" t="s">
        <v>136</v>
      </c>
      <c r="CS686" t="s">
        <v>136</v>
      </c>
      <c r="CT686" t="s">
        <v>136</v>
      </c>
      <c r="CU686" t="s">
        <v>136</v>
      </c>
      <c r="CV686" t="s">
        <v>14738</v>
      </c>
      <c r="CW686" s="10" t="str">
        <f>"+19727071589"</f>
        <v>+19727071589</v>
      </c>
      <c r="CX686" t="s">
        <v>10826</v>
      </c>
      <c r="CY686" t="s">
        <v>132</v>
      </c>
      <c r="CZ686" t="s">
        <v>137</v>
      </c>
      <c r="DA686" t="s">
        <v>114</v>
      </c>
      <c r="DB686" t="s">
        <v>136</v>
      </c>
      <c r="DC686" t="s">
        <v>136</v>
      </c>
      <c r="DD686" t="s">
        <v>114</v>
      </c>
    </row>
    <row r="687" spans="1:113" ht="15" customHeight="1" x14ac:dyDescent="0.25">
      <c r="A687" t="s">
        <v>2694</v>
      </c>
      <c r="B687" t="s">
        <v>152</v>
      </c>
      <c r="C687" s="1">
        <v>45233.00203541667</v>
      </c>
      <c r="D687" s="1">
        <v>45258</v>
      </c>
      <c r="E687" t="s">
        <v>132</v>
      </c>
      <c r="F687" t="s">
        <v>1595</v>
      </c>
      <c r="G687" t="str">
        <f>"37-3011.00"</f>
        <v>37-3011.00</v>
      </c>
      <c r="H687" t="s">
        <v>429</v>
      </c>
      <c r="I687">
        <v>17</v>
      </c>
      <c r="J687">
        <v>17</v>
      </c>
      <c r="K687" s="1">
        <v>45323</v>
      </c>
      <c r="L687" s="1">
        <v>45626</v>
      </c>
      <c r="M687" s="1">
        <v>45323</v>
      </c>
      <c r="N687" s="1">
        <v>45626</v>
      </c>
      <c r="O687" t="s">
        <v>238</v>
      </c>
      <c r="P687" t="s">
        <v>2695</v>
      </c>
      <c r="R687" t="s">
        <v>2696</v>
      </c>
      <c r="T687" t="s">
        <v>1814</v>
      </c>
      <c r="U687" t="s">
        <v>333</v>
      </c>
      <c r="V687" s="8" t="str">
        <f>"70816"</f>
        <v>70816</v>
      </c>
      <c r="W687" t="s">
        <v>118</v>
      </c>
      <c r="Y687" s="10">
        <v>12258064081</v>
      </c>
      <c r="AA687">
        <v>56173</v>
      </c>
      <c r="AB687" t="s">
        <v>2697</v>
      </c>
      <c r="AC687" t="s">
        <v>931</v>
      </c>
      <c r="AE687" t="s">
        <v>629</v>
      </c>
      <c r="AF687" t="s">
        <v>2696</v>
      </c>
      <c r="AH687" t="s">
        <v>1814</v>
      </c>
      <c r="AI687" t="s">
        <v>333</v>
      </c>
      <c r="AJ687" s="8" t="str">
        <f>"70816"</f>
        <v>70816</v>
      </c>
      <c r="AK687" t="s">
        <v>118</v>
      </c>
      <c r="AM687" s="10">
        <v>12258064081</v>
      </c>
      <c r="AO687" t="s">
        <v>2698</v>
      </c>
      <c r="AP687" t="s">
        <v>248</v>
      </c>
      <c r="AQ687" t="s">
        <v>2699</v>
      </c>
      <c r="AR687" t="s">
        <v>2700</v>
      </c>
      <c r="AT687" t="s">
        <v>1253</v>
      </c>
      <c r="AU687" t="s">
        <v>852</v>
      </c>
      <c r="AV687" t="s">
        <v>853</v>
      </c>
      <c r="AW687" t="s">
        <v>854</v>
      </c>
      <c r="AX687" s="8" t="str">
        <f>"83814"</f>
        <v>83814</v>
      </c>
      <c r="AY687" t="s">
        <v>118</v>
      </c>
      <c r="BA687" s="10">
        <v>12087772654</v>
      </c>
      <c r="BC687" t="s">
        <v>2701</v>
      </c>
      <c r="BD687" t="s">
        <v>856</v>
      </c>
      <c r="BG687" t="s">
        <v>333</v>
      </c>
      <c r="BH687" s="1">
        <v>45231.833333333336</v>
      </c>
      <c r="BI687">
        <v>40</v>
      </c>
      <c r="BJ687">
        <v>0</v>
      </c>
      <c r="BK687">
        <v>8</v>
      </c>
      <c r="BL687">
        <v>8</v>
      </c>
      <c r="BM687">
        <v>8</v>
      </c>
      <c r="BN687">
        <v>8</v>
      </c>
      <c r="BO687">
        <v>8</v>
      </c>
      <c r="BP687">
        <v>0</v>
      </c>
      <c r="BQ687" t="str">
        <f>"7:00 AM"</f>
        <v>7:00 AM</v>
      </c>
      <c r="BR687" t="str">
        <f>"4:00 PM"</f>
        <v>4:00 PM</v>
      </c>
      <c r="BS687" t="s">
        <v>131</v>
      </c>
      <c r="BT687">
        <v>0</v>
      </c>
      <c r="BU687">
        <v>0</v>
      </c>
      <c r="BV687" t="s">
        <v>114</v>
      </c>
      <c r="BX687" t="s">
        <v>2088</v>
      </c>
      <c r="BY687" t="s">
        <v>2702</v>
      </c>
      <c r="CA687" t="s">
        <v>1814</v>
      </c>
      <c r="CB687" t="s">
        <v>333</v>
      </c>
      <c r="CC687" s="8" t="str">
        <f>"70816"</f>
        <v>70816</v>
      </c>
      <c r="CD687" t="s">
        <v>1929</v>
      </c>
      <c r="CE687" t="s">
        <v>1930</v>
      </c>
      <c r="CF687" s="12">
        <v>15.19</v>
      </c>
      <c r="CG687" s="12">
        <v>27</v>
      </c>
      <c r="CH687" s="12">
        <v>22.79</v>
      </c>
      <c r="CI687" s="12">
        <v>40.5</v>
      </c>
      <c r="CJ687" t="s">
        <v>135</v>
      </c>
      <c r="CK687" t="s">
        <v>1899</v>
      </c>
      <c r="CL687" t="s">
        <v>2703</v>
      </c>
      <c r="CO687" t="s">
        <v>132</v>
      </c>
      <c r="CP687" t="s">
        <v>136</v>
      </c>
      <c r="CQ687" t="s">
        <v>136</v>
      </c>
      <c r="CR687" t="s">
        <v>136</v>
      </c>
      <c r="CS687" t="s">
        <v>136</v>
      </c>
      <c r="CT687" t="s">
        <v>136</v>
      </c>
      <c r="CU687" t="s">
        <v>136</v>
      </c>
      <c r="CV687" t="s">
        <v>2704</v>
      </c>
      <c r="CW687" s="10" t="str">
        <f>"+12258064081"</f>
        <v>+12258064081</v>
      </c>
      <c r="CX687" t="s">
        <v>2698</v>
      </c>
      <c r="CY687" t="s">
        <v>132</v>
      </c>
      <c r="CZ687" t="s">
        <v>137</v>
      </c>
      <c r="DA687" t="s">
        <v>114</v>
      </c>
      <c r="DB687" t="s">
        <v>136</v>
      </c>
      <c r="DC687" t="s">
        <v>136</v>
      </c>
      <c r="DD687" t="s">
        <v>114</v>
      </c>
    </row>
    <row r="688" spans="1:113" ht="15" customHeight="1" x14ac:dyDescent="0.25">
      <c r="A688" t="s">
        <v>14996</v>
      </c>
      <c r="B688" t="s">
        <v>152</v>
      </c>
      <c r="C688" s="1">
        <v>45233.002021412038</v>
      </c>
      <c r="D688" s="1">
        <v>45258</v>
      </c>
      <c r="E688" t="s">
        <v>132</v>
      </c>
      <c r="F688" t="s">
        <v>1595</v>
      </c>
      <c r="G688" t="str">
        <f>"37-3011.00"</f>
        <v>37-3011.00</v>
      </c>
      <c r="H688" t="s">
        <v>429</v>
      </c>
      <c r="I688">
        <v>48</v>
      </c>
      <c r="J688">
        <v>48</v>
      </c>
      <c r="K688" s="1">
        <v>45323</v>
      </c>
      <c r="L688" s="1">
        <v>45626</v>
      </c>
      <c r="M688" s="1">
        <v>45323</v>
      </c>
      <c r="N688" s="1">
        <v>45626</v>
      </c>
      <c r="O688" t="s">
        <v>116</v>
      </c>
      <c r="P688" t="s">
        <v>10814</v>
      </c>
      <c r="Q688" t="s">
        <v>10815</v>
      </c>
      <c r="R688" t="s">
        <v>14997</v>
      </c>
      <c r="T688" t="s">
        <v>4917</v>
      </c>
      <c r="U688" t="s">
        <v>127</v>
      </c>
      <c r="V688" s="8" t="str">
        <f>"75006"</f>
        <v>75006</v>
      </c>
      <c r="W688" t="s">
        <v>118</v>
      </c>
      <c r="Y688" s="10">
        <v>19724186998</v>
      </c>
      <c r="AA688">
        <v>56173</v>
      </c>
      <c r="AB688" t="s">
        <v>10817</v>
      </c>
      <c r="AC688" t="s">
        <v>10818</v>
      </c>
      <c r="AE688" t="s">
        <v>10819</v>
      </c>
      <c r="AF688" t="s">
        <v>14997</v>
      </c>
      <c r="AH688" t="s">
        <v>4917</v>
      </c>
      <c r="AI688" t="s">
        <v>127</v>
      </c>
      <c r="AJ688" s="8" t="str">
        <f>"75006"</f>
        <v>75006</v>
      </c>
      <c r="AK688" t="s">
        <v>118</v>
      </c>
      <c r="AM688" s="10">
        <v>19724186998</v>
      </c>
      <c r="AO688" t="s">
        <v>10820</v>
      </c>
      <c r="AP688" t="s">
        <v>248</v>
      </c>
      <c r="AQ688" t="s">
        <v>2732</v>
      </c>
      <c r="AR688" t="s">
        <v>2733</v>
      </c>
      <c r="AT688" t="s">
        <v>851</v>
      </c>
      <c r="AU688" t="s">
        <v>852</v>
      </c>
      <c r="AV688" t="s">
        <v>10821</v>
      </c>
      <c r="AW688" t="s">
        <v>854</v>
      </c>
      <c r="AX688" s="8" t="str">
        <f>"83814"</f>
        <v>83814</v>
      </c>
      <c r="AY688" t="s">
        <v>118</v>
      </c>
      <c r="BA688" s="10">
        <v>12087772654</v>
      </c>
      <c r="BC688" t="s">
        <v>2734</v>
      </c>
      <c r="BD688" t="s">
        <v>856</v>
      </c>
      <c r="BG688" t="s">
        <v>127</v>
      </c>
      <c r="BH688" s="1">
        <v>45231.833333333336</v>
      </c>
      <c r="BI688">
        <v>40</v>
      </c>
      <c r="BJ688">
        <v>0</v>
      </c>
      <c r="BK688">
        <v>8</v>
      </c>
      <c r="BL688">
        <v>8</v>
      </c>
      <c r="BM688">
        <v>8</v>
      </c>
      <c r="BN688">
        <v>8</v>
      </c>
      <c r="BO688">
        <v>8</v>
      </c>
      <c r="BP688">
        <v>0</v>
      </c>
      <c r="BQ688" t="str">
        <f>"7:30 AM"</f>
        <v>7:30 AM</v>
      </c>
      <c r="BR688" t="str">
        <f>"5:00 PM"</f>
        <v>5:00 PM</v>
      </c>
      <c r="BS688" t="s">
        <v>131</v>
      </c>
      <c r="BT688">
        <v>0</v>
      </c>
      <c r="BU688">
        <v>0</v>
      </c>
      <c r="BV688" t="s">
        <v>114</v>
      </c>
      <c r="BX688" s="2" t="s">
        <v>9802</v>
      </c>
      <c r="BY688" t="s">
        <v>14998</v>
      </c>
      <c r="CA688" t="s">
        <v>4917</v>
      </c>
      <c r="CB688" t="s">
        <v>127</v>
      </c>
      <c r="CC688" s="8" t="str">
        <f>"75006"</f>
        <v>75006</v>
      </c>
      <c r="CD688" t="s">
        <v>2301</v>
      </c>
      <c r="CE688" t="s">
        <v>263</v>
      </c>
      <c r="CF688" s="12">
        <v>16.86</v>
      </c>
      <c r="CG688" s="12">
        <v>19</v>
      </c>
      <c r="CH688" s="12">
        <v>25.29</v>
      </c>
      <c r="CI688" s="12">
        <v>28.5</v>
      </c>
      <c r="CJ688" t="s">
        <v>135</v>
      </c>
      <c r="CK688" t="s">
        <v>10823</v>
      </c>
      <c r="CL688" t="s">
        <v>14999</v>
      </c>
      <c r="CO688" t="s">
        <v>132</v>
      </c>
      <c r="CP688" t="s">
        <v>136</v>
      </c>
      <c r="CQ688" t="s">
        <v>136</v>
      </c>
      <c r="CR688" t="s">
        <v>136</v>
      </c>
      <c r="CS688" t="s">
        <v>136</v>
      </c>
      <c r="CT688" t="s">
        <v>136</v>
      </c>
      <c r="CU688" t="s">
        <v>136</v>
      </c>
      <c r="CV688" t="s">
        <v>15000</v>
      </c>
      <c r="CW688" s="10" t="str">
        <f>"+19727071589"</f>
        <v>+19727071589</v>
      </c>
      <c r="CX688" t="s">
        <v>10826</v>
      </c>
      <c r="CY688" t="s">
        <v>132</v>
      </c>
      <c r="CZ688" t="s">
        <v>137</v>
      </c>
      <c r="DA688" t="s">
        <v>114</v>
      </c>
      <c r="DB688" t="s">
        <v>136</v>
      </c>
      <c r="DC688" t="s">
        <v>136</v>
      </c>
      <c r="DD688" t="s">
        <v>114</v>
      </c>
    </row>
    <row r="689" spans="1:108" ht="15" customHeight="1" x14ac:dyDescent="0.25">
      <c r="A689" t="s">
        <v>20148</v>
      </c>
      <c r="B689" t="s">
        <v>152</v>
      </c>
      <c r="C689" s="1">
        <v>45233.001481712963</v>
      </c>
      <c r="D689" s="1">
        <v>45258</v>
      </c>
      <c r="E689" t="s">
        <v>132</v>
      </c>
      <c r="F689" t="s">
        <v>1595</v>
      </c>
      <c r="G689" t="str">
        <f>"37-3011.00"</f>
        <v>37-3011.00</v>
      </c>
      <c r="H689" t="s">
        <v>429</v>
      </c>
      <c r="I689">
        <v>90</v>
      </c>
      <c r="J689">
        <v>90</v>
      </c>
      <c r="K689" s="1">
        <v>45323</v>
      </c>
      <c r="L689" s="1">
        <v>45626</v>
      </c>
      <c r="M689" s="1">
        <v>45323</v>
      </c>
      <c r="N689" s="1">
        <v>45626</v>
      </c>
      <c r="O689" t="s">
        <v>238</v>
      </c>
      <c r="P689" t="s">
        <v>20149</v>
      </c>
      <c r="R689" t="s">
        <v>20150</v>
      </c>
      <c r="T689" t="s">
        <v>2848</v>
      </c>
      <c r="U689" t="s">
        <v>984</v>
      </c>
      <c r="V689" s="8" t="str">
        <f>"63103"</f>
        <v>63103</v>
      </c>
      <c r="W689" t="s">
        <v>118</v>
      </c>
      <c r="Y689" s="10">
        <v>13147765296</v>
      </c>
      <c r="AA689">
        <v>56173</v>
      </c>
      <c r="AB689" t="s">
        <v>20151</v>
      </c>
      <c r="AC689" t="s">
        <v>708</v>
      </c>
      <c r="AE689" t="s">
        <v>629</v>
      </c>
      <c r="AF689" t="s">
        <v>20150</v>
      </c>
      <c r="AH689" t="s">
        <v>2848</v>
      </c>
      <c r="AI689" t="s">
        <v>984</v>
      </c>
      <c r="AJ689" s="8" t="str">
        <f>"63103"</f>
        <v>63103</v>
      </c>
      <c r="AK689" t="s">
        <v>118</v>
      </c>
      <c r="AM689" s="10">
        <v>13147765296</v>
      </c>
      <c r="AO689" t="s">
        <v>20152</v>
      </c>
      <c r="AP689" t="s">
        <v>248</v>
      </c>
      <c r="AQ689" t="s">
        <v>2699</v>
      </c>
      <c r="AR689" t="s">
        <v>2700</v>
      </c>
      <c r="AT689" t="s">
        <v>1253</v>
      </c>
      <c r="AU689" t="s">
        <v>852</v>
      </c>
      <c r="AV689" t="s">
        <v>853</v>
      </c>
      <c r="AW689" t="s">
        <v>854</v>
      </c>
      <c r="AX689" s="8" t="str">
        <f>"83814"</f>
        <v>83814</v>
      </c>
      <c r="AY689" t="s">
        <v>118</v>
      </c>
      <c r="BA689" s="10">
        <v>12087772654</v>
      </c>
      <c r="BC689" t="s">
        <v>2701</v>
      </c>
      <c r="BD689" t="s">
        <v>856</v>
      </c>
      <c r="BG689" t="s">
        <v>984</v>
      </c>
      <c r="BH689" s="1">
        <v>45231.833333333336</v>
      </c>
      <c r="BI689">
        <v>40</v>
      </c>
      <c r="BJ689">
        <v>0</v>
      </c>
      <c r="BK689">
        <v>8</v>
      </c>
      <c r="BL689">
        <v>8</v>
      </c>
      <c r="BM689">
        <v>8</v>
      </c>
      <c r="BN689">
        <v>8</v>
      </c>
      <c r="BO689">
        <v>8</v>
      </c>
      <c r="BP689">
        <v>0</v>
      </c>
      <c r="BQ689" t="str">
        <f>"7:00 AM"</f>
        <v>7:00 AM</v>
      </c>
      <c r="BR689" t="str">
        <f>"4:00 PM"</f>
        <v>4:00 PM</v>
      </c>
      <c r="BS689" t="s">
        <v>131</v>
      </c>
      <c r="BT689">
        <v>0</v>
      </c>
      <c r="BU689">
        <v>0</v>
      </c>
      <c r="BV689" t="s">
        <v>114</v>
      </c>
      <c r="BX689" t="s">
        <v>2088</v>
      </c>
      <c r="BY689" t="s">
        <v>20153</v>
      </c>
      <c r="CA689" t="s">
        <v>2848</v>
      </c>
      <c r="CB689" t="s">
        <v>984</v>
      </c>
      <c r="CC689" s="8" t="str">
        <f>"63103"</f>
        <v>63103</v>
      </c>
      <c r="CD689" t="s">
        <v>2851</v>
      </c>
      <c r="CE689" t="s">
        <v>1856</v>
      </c>
      <c r="CF689" s="12">
        <v>17.579999999999998</v>
      </c>
      <c r="CG689" s="12">
        <v>25</v>
      </c>
      <c r="CH689" s="12">
        <v>26.37</v>
      </c>
      <c r="CI689" s="12">
        <v>37.5</v>
      </c>
      <c r="CJ689" t="s">
        <v>135</v>
      </c>
      <c r="CK689" t="s">
        <v>1899</v>
      </c>
      <c r="CL689" t="s">
        <v>20154</v>
      </c>
      <c r="CO689" t="s">
        <v>132</v>
      </c>
      <c r="CP689" t="s">
        <v>136</v>
      </c>
      <c r="CQ689" t="s">
        <v>136</v>
      </c>
      <c r="CR689" t="s">
        <v>136</v>
      </c>
      <c r="CS689" t="s">
        <v>136</v>
      </c>
      <c r="CT689" t="s">
        <v>136</v>
      </c>
      <c r="CU689" t="s">
        <v>114</v>
      </c>
      <c r="CV689" t="s">
        <v>1040</v>
      </c>
      <c r="CW689" s="10" t="str">
        <f>"+13147765296"</f>
        <v>+13147765296</v>
      </c>
      <c r="CX689" t="s">
        <v>20155</v>
      </c>
      <c r="CY689" t="s">
        <v>132</v>
      </c>
      <c r="CZ689" t="s">
        <v>137</v>
      </c>
      <c r="DA689" t="s">
        <v>114</v>
      </c>
      <c r="DB689" t="s">
        <v>136</v>
      </c>
      <c r="DC689" t="s">
        <v>136</v>
      </c>
      <c r="DD689" t="s">
        <v>114</v>
      </c>
    </row>
    <row r="690" spans="1:108" ht="15" customHeight="1" x14ac:dyDescent="0.25">
      <c r="A690" t="s">
        <v>13703</v>
      </c>
      <c r="B690" t="s">
        <v>152</v>
      </c>
      <c r="C690" s="1">
        <v>45233.000715046299</v>
      </c>
      <c r="D690" s="1">
        <v>45258</v>
      </c>
      <c r="E690" t="s">
        <v>132</v>
      </c>
      <c r="F690" t="s">
        <v>1595</v>
      </c>
      <c r="G690" t="str">
        <f>"37-3011.00"</f>
        <v>37-3011.00</v>
      </c>
      <c r="H690" t="s">
        <v>429</v>
      </c>
      <c r="I690">
        <v>26</v>
      </c>
      <c r="J690">
        <v>26</v>
      </c>
      <c r="K690" s="1">
        <v>45323</v>
      </c>
      <c r="L690" s="1">
        <v>45626</v>
      </c>
      <c r="M690" s="1">
        <v>45323</v>
      </c>
      <c r="N690" s="1">
        <v>45626</v>
      </c>
      <c r="O690" t="s">
        <v>238</v>
      </c>
      <c r="P690" t="s">
        <v>13704</v>
      </c>
      <c r="R690" t="s">
        <v>13705</v>
      </c>
      <c r="T690" t="s">
        <v>13706</v>
      </c>
      <c r="U690" t="s">
        <v>1722</v>
      </c>
      <c r="V690" s="8" t="str">
        <f>"21078"</f>
        <v>21078</v>
      </c>
      <c r="W690" t="s">
        <v>118</v>
      </c>
      <c r="Y690" s="10">
        <v>14107340228</v>
      </c>
      <c r="AA690">
        <v>56173</v>
      </c>
      <c r="AB690" t="s">
        <v>13707</v>
      </c>
      <c r="AC690" t="s">
        <v>1555</v>
      </c>
      <c r="AE690" t="s">
        <v>629</v>
      </c>
      <c r="AF690" t="s">
        <v>13705</v>
      </c>
      <c r="AH690" t="s">
        <v>13706</v>
      </c>
      <c r="AI690" t="s">
        <v>1722</v>
      </c>
      <c r="AJ690" s="8" t="str">
        <f>"21078"</f>
        <v>21078</v>
      </c>
      <c r="AK690" t="s">
        <v>118</v>
      </c>
      <c r="AM690" s="10">
        <v>14107340228</v>
      </c>
      <c r="AO690" t="s">
        <v>13708</v>
      </c>
      <c r="AP690" t="s">
        <v>248</v>
      </c>
      <c r="AQ690" t="s">
        <v>2667</v>
      </c>
      <c r="AR690" t="s">
        <v>2668</v>
      </c>
      <c r="AT690" t="s">
        <v>1253</v>
      </c>
      <c r="AU690" t="s">
        <v>852</v>
      </c>
      <c r="AV690" t="s">
        <v>853</v>
      </c>
      <c r="AW690" t="s">
        <v>854</v>
      </c>
      <c r="AX690" s="8" t="str">
        <f>"83814"</f>
        <v>83814</v>
      </c>
      <c r="AY690" t="s">
        <v>118</v>
      </c>
      <c r="BA690" s="10">
        <v>12087772654</v>
      </c>
      <c r="BC690" t="s">
        <v>2669</v>
      </c>
      <c r="BD690" t="s">
        <v>856</v>
      </c>
      <c r="BG690" t="s">
        <v>1722</v>
      </c>
      <c r="BH690" s="1">
        <v>45231.833333333336</v>
      </c>
      <c r="BI690">
        <v>40</v>
      </c>
      <c r="BJ690">
        <v>0</v>
      </c>
      <c r="BK690">
        <v>8</v>
      </c>
      <c r="BL690">
        <v>8</v>
      </c>
      <c r="BM690">
        <v>8</v>
      </c>
      <c r="BN690">
        <v>8</v>
      </c>
      <c r="BO690">
        <v>8</v>
      </c>
      <c r="BP690">
        <v>0</v>
      </c>
      <c r="BQ690" t="str">
        <f>"7:00 AM"</f>
        <v>7:00 AM</v>
      </c>
      <c r="BR690" t="str">
        <f>"4:00 PM"</f>
        <v>4:00 PM</v>
      </c>
      <c r="BS690" t="s">
        <v>131</v>
      </c>
      <c r="BT690">
        <v>0</v>
      </c>
      <c r="BU690">
        <v>0</v>
      </c>
      <c r="BV690" t="s">
        <v>114</v>
      </c>
      <c r="BX690" t="s">
        <v>2670</v>
      </c>
      <c r="BY690" t="s">
        <v>13709</v>
      </c>
      <c r="CA690" t="s">
        <v>13706</v>
      </c>
      <c r="CB690" t="s">
        <v>1722</v>
      </c>
      <c r="CC690" s="8" t="str">
        <f>"21078"</f>
        <v>21078</v>
      </c>
      <c r="CD690" t="s">
        <v>2847</v>
      </c>
      <c r="CE690" t="s">
        <v>1992</v>
      </c>
      <c r="CF690" s="12">
        <v>18.71</v>
      </c>
      <c r="CG690" s="12">
        <v>21</v>
      </c>
      <c r="CH690" s="12">
        <v>28.07</v>
      </c>
      <c r="CI690" s="12">
        <v>31.5</v>
      </c>
      <c r="CJ690" t="s">
        <v>135</v>
      </c>
      <c r="CK690" t="s">
        <v>1899</v>
      </c>
      <c r="CL690" t="s">
        <v>13710</v>
      </c>
      <c r="CO690" t="s">
        <v>132</v>
      </c>
      <c r="CP690" t="s">
        <v>136</v>
      </c>
      <c r="CQ690" t="s">
        <v>136</v>
      </c>
      <c r="CR690" t="s">
        <v>136</v>
      </c>
      <c r="CS690" t="s">
        <v>136</v>
      </c>
      <c r="CT690" t="s">
        <v>136</v>
      </c>
      <c r="CU690" t="s">
        <v>136</v>
      </c>
      <c r="CV690" t="s">
        <v>13711</v>
      </c>
      <c r="CW690" s="10" t="str">
        <f>"+14107340228"</f>
        <v>+14107340228</v>
      </c>
      <c r="CX690" t="s">
        <v>13708</v>
      </c>
      <c r="CY690" t="s">
        <v>132</v>
      </c>
      <c r="CZ690" t="s">
        <v>137</v>
      </c>
      <c r="DA690" t="s">
        <v>114</v>
      </c>
      <c r="DB690" t="s">
        <v>136</v>
      </c>
      <c r="DC690" t="s">
        <v>136</v>
      </c>
      <c r="DD690" t="s">
        <v>114</v>
      </c>
    </row>
    <row r="691" spans="1:108" ht="15" customHeight="1" x14ac:dyDescent="0.25">
      <c r="A691" t="s">
        <v>14878</v>
      </c>
      <c r="B691" t="s">
        <v>152</v>
      </c>
      <c r="C691" s="1">
        <v>45232.98500601852</v>
      </c>
      <c r="D691" s="1">
        <v>45258</v>
      </c>
      <c r="E691" t="s">
        <v>132</v>
      </c>
      <c r="F691" t="s">
        <v>14879</v>
      </c>
      <c r="G691" t="str">
        <f>"53-7064.00"</f>
        <v>53-7064.00</v>
      </c>
      <c r="H691" t="s">
        <v>3138</v>
      </c>
      <c r="I691">
        <v>4</v>
      </c>
      <c r="J691">
        <v>4</v>
      </c>
      <c r="K691" s="1">
        <v>45307</v>
      </c>
      <c r="L691" s="1">
        <v>45578</v>
      </c>
      <c r="M691" s="1">
        <v>45307</v>
      </c>
      <c r="N691" s="1">
        <v>45578</v>
      </c>
      <c r="O691" t="s">
        <v>116</v>
      </c>
      <c r="P691" t="s">
        <v>14880</v>
      </c>
      <c r="R691" t="s">
        <v>14881</v>
      </c>
      <c r="T691" t="s">
        <v>6540</v>
      </c>
      <c r="U691" t="s">
        <v>333</v>
      </c>
      <c r="V691" s="8" t="str">
        <f>"70360"</f>
        <v>70360</v>
      </c>
      <c r="W691" t="s">
        <v>118</v>
      </c>
      <c r="Y691" s="10">
        <v>19858688809</v>
      </c>
      <c r="AA691">
        <v>42446</v>
      </c>
      <c r="AB691" t="s">
        <v>14882</v>
      </c>
      <c r="AC691" t="s">
        <v>14883</v>
      </c>
      <c r="AE691" t="s">
        <v>120</v>
      </c>
      <c r="AF691" t="s">
        <v>14881</v>
      </c>
      <c r="AH691" t="s">
        <v>6540</v>
      </c>
      <c r="AI691" t="s">
        <v>333</v>
      </c>
      <c r="AJ691" s="8" t="str">
        <f>"70360"</f>
        <v>70360</v>
      </c>
      <c r="AK691" t="s">
        <v>118</v>
      </c>
      <c r="AM691" s="10">
        <v>19858688809</v>
      </c>
      <c r="AO691" t="s">
        <v>14884</v>
      </c>
      <c r="AP691" t="s">
        <v>248</v>
      </c>
      <c r="AQ691" t="s">
        <v>3017</v>
      </c>
      <c r="AR691" t="s">
        <v>3018</v>
      </c>
      <c r="AS691" t="s">
        <v>631</v>
      </c>
      <c r="AT691" t="s">
        <v>3371</v>
      </c>
      <c r="AV691" t="s">
        <v>1168</v>
      </c>
      <c r="AW691" t="s">
        <v>127</v>
      </c>
      <c r="AX691" s="8" t="str">
        <f>"75098"</f>
        <v>75098</v>
      </c>
      <c r="AY691" t="s">
        <v>118</v>
      </c>
      <c r="BA691" s="10">
        <v>19724424244</v>
      </c>
      <c r="BC691" t="s">
        <v>3372</v>
      </c>
      <c r="BD691" t="s">
        <v>3021</v>
      </c>
      <c r="BG691" t="s">
        <v>333</v>
      </c>
      <c r="BH691" s="1">
        <v>45231.833333333336</v>
      </c>
      <c r="BI691">
        <v>42</v>
      </c>
      <c r="BJ691">
        <v>0</v>
      </c>
      <c r="BK691">
        <v>7</v>
      </c>
      <c r="BL691">
        <v>7</v>
      </c>
      <c r="BM691">
        <v>7</v>
      </c>
      <c r="BN691">
        <v>7</v>
      </c>
      <c r="BO691">
        <v>7</v>
      </c>
      <c r="BP691">
        <v>7</v>
      </c>
      <c r="BQ691" t="str">
        <f>"5:00 AM"</f>
        <v>5:00 AM</v>
      </c>
      <c r="BR691" t="str">
        <f>"1:00 PM"</f>
        <v>1:00 PM</v>
      </c>
      <c r="BS691" t="s">
        <v>131</v>
      </c>
      <c r="BT691">
        <v>0</v>
      </c>
      <c r="BU691">
        <v>0</v>
      </c>
      <c r="BV691" t="s">
        <v>114</v>
      </c>
      <c r="BX691" t="s">
        <v>1480</v>
      </c>
      <c r="BY691" t="s">
        <v>14881</v>
      </c>
      <c r="CA691" t="s">
        <v>6540</v>
      </c>
      <c r="CB691" t="s">
        <v>333</v>
      </c>
      <c r="CC691" s="8" t="str">
        <f>"70360"</f>
        <v>70360</v>
      </c>
      <c r="CD691" t="s">
        <v>6546</v>
      </c>
      <c r="CE691" t="s">
        <v>6547</v>
      </c>
      <c r="CF691" s="12">
        <v>11.28</v>
      </c>
      <c r="CG691" s="12">
        <v>13.28</v>
      </c>
      <c r="CH691" s="12">
        <v>16.920000000000002</v>
      </c>
      <c r="CI691" s="12">
        <v>19.920000000000002</v>
      </c>
      <c r="CJ691" t="s">
        <v>135</v>
      </c>
      <c r="CL691" t="s">
        <v>14885</v>
      </c>
      <c r="CO691" t="s">
        <v>132</v>
      </c>
      <c r="CP691" t="s">
        <v>114</v>
      </c>
      <c r="CQ691" t="s">
        <v>136</v>
      </c>
      <c r="CR691" t="s">
        <v>136</v>
      </c>
      <c r="CS691" t="s">
        <v>136</v>
      </c>
      <c r="CT691" t="s">
        <v>136</v>
      </c>
      <c r="CU691" t="s">
        <v>136</v>
      </c>
      <c r="CV691" t="s">
        <v>5345</v>
      </c>
      <c r="CW691" s="10" t="str">
        <f>"+19858688809"</f>
        <v>+19858688809</v>
      </c>
      <c r="CX691" t="s">
        <v>132</v>
      </c>
      <c r="CY691" t="s">
        <v>4900</v>
      </c>
      <c r="CZ691" t="s">
        <v>137</v>
      </c>
      <c r="DA691" t="s">
        <v>114</v>
      </c>
      <c r="DB691" t="s">
        <v>114</v>
      </c>
      <c r="DC691" t="s">
        <v>136</v>
      </c>
      <c r="DD691" t="s">
        <v>114</v>
      </c>
    </row>
    <row r="692" spans="1:108" ht="15" customHeight="1" x14ac:dyDescent="0.25">
      <c r="A692" t="s">
        <v>22280</v>
      </c>
      <c r="B692" t="s">
        <v>152</v>
      </c>
      <c r="C692" s="1">
        <v>45230.752968171299</v>
      </c>
      <c r="D692" s="1">
        <v>45258</v>
      </c>
      <c r="E692" t="s">
        <v>132</v>
      </c>
      <c r="F692" t="s">
        <v>3098</v>
      </c>
      <c r="G692" t="str">
        <f>"35-3023.00"</f>
        <v>35-3023.00</v>
      </c>
      <c r="H692" t="s">
        <v>1365</v>
      </c>
      <c r="I692">
        <v>60</v>
      </c>
      <c r="J692">
        <v>60</v>
      </c>
      <c r="K692" s="1">
        <v>45311</v>
      </c>
      <c r="L692" s="1">
        <v>45596</v>
      </c>
      <c r="M692" s="1">
        <v>45311</v>
      </c>
      <c r="N692" s="1">
        <v>45596</v>
      </c>
      <c r="O692" t="s">
        <v>238</v>
      </c>
      <c r="P692" t="s">
        <v>22281</v>
      </c>
      <c r="R692" t="s">
        <v>22282</v>
      </c>
      <c r="S692" t="s">
        <v>22283</v>
      </c>
      <c r="T692" t="s">
        <v>22104</v>
      </c>
      <c r="U692" t="s">
        <v>543</v>
      </c>
      <c r="V692" s="8" t="str">
        <f>"43315"</f>
        <v>43315</v>
      </c>
      <c r="W692" t="s">
        <v>118</v>
      </c>
      <c r="Y692" s="10">
        <v>13524083664</v>
      </c>
      <c r="Z692" s="3" t="s">
        <v>256</v>
      </c>
      <c r="AA692">
        <v>71399</v>
      </c>
      <c r="AB692" t="s">
        <v>16566</v>
      </c>
      <c r="AC692" t="s">
        <v>6097</v>
      </c>
      <c r="AE692" t="s">
        <v>561</v>
      </c>
      <c r="AF692" t="s">
        <v>22282</v>
      </c>
      <c r="AG692" t="s">
        <v>22284</v>
      </c>
      <c r="AH692" t="s">
        <v>22104</v>
      </c>
      <c r="AI692" t="s">
        <v>543</v>
      </c>
      <c r="AJ692" s="8" t="str">
        <f>"43315"</f>
        <v>43315</v>
      </c>
      <c r="AK692" t="s">
        <v>118</v>
      </c>
      <c r="AM692" s="10">
        <v>13524083664</v>
      </c>
      <c r="AN692" s="3" t="s">
        <v>256</v>
      </c>
      <c r="AO692" t="s">
        <v>22285</v>
      </c>
      <c r="AP692" t="s">
        <v>248</v>
      </c>
      <c r="AQ692" t="s">
        <v>249</v>
      </c>
      <c r="AR692" t="s">
        <v>250</v>
      </c>
      <c r="AS692" t="s">
        <v>251</v>
      </c>
      <c r="AT692" t="s">
        <v>252</v>
      </c>
      <c r="AU692" t="s">
        <v>253</v>
      </c>
      <c r="AV692" t="s">
        <v>254</v>
      </c>
      <c r="AW692" t="s">
        <v>127</v>
      </c>
      <c r="AX692" s="8" t="str">
        <f>"78550"</f>
        <v>78550</v>
      </c>
      <c r="AY692" t="s">
        <v>118</v>
      </c>
      <c r="AZ692" t="s">
        <v>255</v>
      </c>
      <c r="BA692" s="10">
        <v>19564408720</v>
      </c>
      <c r="BB692" s="3" t="s">
        <v>256</v>
      </c>
      <c r="BC692" t="s">
        <v>338</v>
      </c>
      <c r="BD692" t="s">
        <v>258</v>
      </c>
      <c r="BG692" t="s">
        <v>543</v>
      </c>
      <c r="BH692" s="1">
        <v>45229.833333333336</v>
      </c>
      <c r="BI692">
        <v>40</v>
      </c>
      <c r="BJ692">
        <v>8</v>
      </c>
      <c r="BK692">
        <v>0</v>
      </c>
      <c r="BL692">
        <v>0</v>
      </c>
      <c r="BM692">
        <v>8</v>
      </c>
      <c r="BN692">
        <v>8</v>
      </c>
      <c r="BO692">
        <v>8</v>
      </c>
      <c r="BP692">
        <v>8</v>
      </c>
      <c r="BQ692" t="str">
        <f>"1:00 PM"</f>
        <v>1:00 PM</v>
      </c>
      <c r="BR692" t="str">
        <f>"10:00 PM"</f>
        <v>10:00 PM</v>
      </c>
      <c r="BS692" t="s">
        <v>131</v>
      </c>
      <c r="BT692">
        <v>0</v>
      </c>
      <c r="BU692">
        <v>0</v>
      </c>
      <c r="BV692" t="s">
        <v>114</v>
      </c>
      <c r="BX692" s="2" t="s">
        <v>2396</v>
      </c>
      <c r="BY692" t="s">
        <v>22103</v>
      </c>
      <c r="CA692" t="s">
        <v>22104</v>
      </c>
      <c r="CB692" t="s">
        <v>543</v>
      </c>
      <c r="CC692" s="8" t="str">
        <f>"43315"</f>
        <v>43315</v>
      </c>
      <c r="CD692" t="s">
        <v>22105</v>
      </c>
      <c r="CE692" t="s">
        <v>2272</v>
      </c>
      <c r="CF692" s="12">
        <v>11.25</v>
      </c>
      <c r="CG692" s="12">
        <v>14.08</v>
      </c>
      <c r="CJ692" t="s">
        <v>135</v>
      </c>
      <c r="CK692" t="s">
        <v>342</v>
      </c>
      <c r="CL692" t="s">
        <v>22286</v>
      </c>
      <c r="CO692" t="s">
        <v>132</v>
      </c>
      <c r="CP692" t="s">
        <v>136</v>
      </c>
      <c r="CQ692" t="s">
        <v>136</v>
      </c>
      <c r="CR692" t="s">
        <v>114</v>
      </c>
      <c r="CS692" t="s">
        <v>136</v>
      </c>
      <c r="CT692" t="s">
        <v>136</v>
      </c>
      <c r="CU692" t="s">
        <v>136</v>
      </c>
      <c r="CV692" t="s">
        <v>344</v>
      </c>
      <c r="CW692" s="10" t="str">
        <f>"+13524083664"</f>
        <v>+13524083664</v>
      </c>
      <c r="CX692" t="s">
        <v>22285</v>
      </c>
      <c r="CY692" t="s">
        <v>132</v>
      </c>
      <c r="CZ692" t="s">
        <v>137</v>
      </c>
      <c r="DA692" t="s">
        <v>114</v>
      </c>
      <c r="DB692" t="s">
        <v>136</v>
      </c>
      <c r="DC692" t="s">
        <v>136</v>
      </c>
      <c r="DD692" t="s">
        <v>114</v>
      </c>
    </row>
    <row r="693" spans="1:108" ht="15" customHeight="1" x14ac:dyDescent="0.25">
      <c r="A693" t="s">
        <v>3506</v>
      </c>
      <c r="B693" t="s">
        <v>152</v>
      </c>
      <c r="C693" s="1">
        <v>45230.41314016204</v>
      </c>
      <c r="D693" s="1">
        <v>45258</v>
      </c>
      <c r="E693" t="s">
        <v>132</v>
      </c>
      <c r="F693" t="s">
        <v>1595</v>
      </c>
      <c r="G693" t="str">
        <f>"37-3011.00"</f>
        <v>37-3011.00</v>
      </c>
      <c r="H693" t="s">
        <v>429</v>
      </c>
      <c r="I693">
        <v>4</v>
      </c>
      <c r="J693">
        <v>4</v>
      </c>
      <c r="K693" s="1">
        <v>45319</v>
      </c>
      <c r="L693" s="1">
        <v>45623</v>
      </c>
      <c r="M693" s="1">
        <v>45319</v>
      </c>
      <c r="N693" s="1">
        <v>45623</v>
      </c>
      <c r="O693" t="s">
        <v>238</v>
      </c>
      <c r="P693" t="s">
        <v>3507</v>
      </c>
      <c r="Q693" t="s">
        <v>3508</v>
      </c>
      <c r="R693" t="s">
        <v>3509</v>
      </c>
      <c r="T693" t="s">
        <v>3380</v>
      </c>
      <c r="U693" t="s">
        <v>543</v>
      </c>
      <c r="V693" s="8" t="str">
        <f>"44256"</f>
        <v>44256</v>
      </c>
      <c r="W693" t="s">
        <v>118</v>
      </c>
      <c r="Y693" s="10">
        <v>13303500271</v>
      </c>
      <c r="AA693">
        <v>56173</v>
      </c>
      <c r="AB693" t="s">
        <v>3510</v>
      </c>
      <c r="AC693" t="s">
        <v>1945</v>
      </c>
      <c r="AE693" t="s">
        <v>629</v>
      </c>
      <c r="AF693" t="s">
        <v>3509</v>
      </c>
      <c r="AH693" t="s">
        <v>3380</v>
      </c>
      <c r="AI693" t="s">
        <v>543</v>
      </c>
      <c r="AJ693" s="8" t="str">
        <f>"44526"</f>
        <v>44526</v>
      </c>
      <c r="AK693" t="s">
        <v>118</v>
      </c>
      <c r="AM693" s="10">
        <v>13303500271</v>
      </c>
      <c r="AO693" t="s">
        <v>3511</v>
      </c>
      <c r="AP693" t="s">
        <v>121</v>
      </c>
      <c r="AQ693" t="s">
        <v>1771</v>
      </c>
      <c r="AR693" t="s">
        <v>1772</v>
      </c>
      <c r="AS693" t="s">
        <v>1410</v>
      </c>
      <c r="AT693" t="s">
        <v>1773</v>
      </c>
      <c r="AU693" t="s">
        <v>1774</v>
      </c>
      <c r="AV693" t="s">
        <v>1775</v>
      </c>
      <c r="AW693" t="s">
        <v>1776</v>
      </c>
      <c r="AX693" s="8" t="str">
        <f>"08034"</f>
        <v>08034</v>
      </c>
      <c r="AY693" t="s">
        <v>118</v>
      </c>
      <c r="AZ693" t="s">
        <v>1777</v>
      </c>
      <c r="BA693" s="10">
        <v>18562819750</v>
      </c>
      <c r="BC693" t="s">
        <v>1778</v>
      </c>
      <c r="BD693" t="s">
        <v>1779</v>
      </c>
      <c r="BE693" t="s">
        <v>1776</v>
      </c>
      <c r="BF693" t="s">
        <v>1780</v>
      </c>
      <c r="BG693" t="s">
        <v>543</v>
      </c>
      <c r="BH693" s="1">
        <v>45210.833333333336</v>
      </c>
      <c r="BI693">
        <v>40</v>
      </c>
      <c r="BJ693">
        <v>0</v>
      </c>
      <c r="BK693">
        <v>8</v>
      </c>
      <c r="BL693">
        <v>8</v>
      </c>
      <c r="BM693">
        <v>8</v>
      </c>
      <c r="BN693">
        <v>8</v>
      </c>
      <c r="BO693">
        <v>8</v>
      </c>
      <c r="BP693">
        <v>0</v>
      </c>
      <c r="BQ693" t="str">
        <f>"7:30 AM"</f>
        <v>7:30 AM</v>
      </c>
      <c r="BR693" t="str">
        <f>"4:00 PM"</f>
        <v>4:00 PM</v>
      </c>
      <c r="BS693" t="s">
        <v>131</v>
      </c>
      <c r="BT693">
        <v>0</v>
      </c>
      <c r="BU693">
        <v>0</v>
      </c>
      <c r="BV693" t="s">
        <v>114</v>
      </c>
      <c r="BX693" s="2" t="s">
        <v>3512</v>
      </c>
      <c r="BY693" t="s">
        <v>3513</v>
      </c>
      <c r="CA693" t="s">
        <v>2927</v>
      </c>
      <c r="CB693" t="s">
        <v>543</v>
      </c>
      <c r="CC693" s="8" t="str">
        <f>"43162"</f>
        <v>43162</v>
      </c>
      <c r="CD693" t="s">
        <v>908</v>
      </c>
      <c r="CE693" t="s">
        <v>2272</v>
      </c>
      <c r="CF693" s="12">
        <v>17.46</v>
      </c>
      <c r="CG693" s="12">
        <v>17.46</v>
      </c>
      <c r="CH693" s="12">
        <v>26.19</v>
      </c>
      <c r="CI693" s="12">
        <v>26.19</v>
      </c>
      <c r="CJ693" t="s">
        <v>135</v>
      </c>
      <c r="CK693" t="s">
        <v>3514</v>
      </c>
      <c r="CL693" t="s">
        <v>3515</v>
      </c>
      <c r="CO693" t="s">
        <v>132</v>
      </c>
      <c r="CP693" t="s">
        <v>136</v>
      </c>
      <c r="CQ693" t="s">
        <v>136</v>
      </c>
      <c r="CR693" t="s">
        <v>136</v>
      </c>
      <c r="CS693" t="s">
        <v>136</v>
      </c>
      <c r="CT693" t="s">
        <v>136</v>
      </c>
      <c r="CU693" t="s">
        <v>136</v>
      </c>
      <c r="CV693" t="s">
        <v>3516</v>
      </c>
      <c r="CW693" s="10" t="str">
        <f>"+13303500271"</f>
        <v>+13303500271</v>
      </c>
      <c r="CX693" t="s">
        <v>3511</v>
      </c>
      <c r="CY693" t="s">
        <v>132</v>
      </c>
      <c r="CZ693" t="s">
        <v>137</v>
      </c>
      <c r="DA693" t="s">
        <v>114</v>
      </c>
      <c r="DB693" t="s">
        <v>136</v>
      </c>
      <c r="DC693" t="s">
        <v>136</v>
      </c>
      <c r="DD693" t="s">
        <v>114</v>
      </c>
    </row>
    <row r="694" spans="1:108" ht="15" customHeight="1" x14ac:dyDescent="0.25">
      <c r="A694" t="s">
        <v>13893</v>
      </c>
      <c r="B694" t="s">
        <v>152</v>
      </c>
      <c r="C694" s="1">
        <v>45230.412177777776</v>
      </c>
      <c r="D694" s="1">
        <v>45258</v>
      </c>
      <c r="E694" t="s">
        <v>132</v>
      </c>
      <c r="F694" t="s">
        <v>1595</v>
      </c>
      <c r="G694" t="str">
        <f>"37-3011.00"</f>
        <v>37-3011.00</v>
      </c>
      <c r="H694" t="s">
        <v>429</v>
      </c>
      <c r="I694">
        <v>24</v>
      </c>
      <c r="J694">
        <v>24</v>
      </c>
      <c r="K694" s="1">
        <v>45319</v>
      </c>
      <c r="L694" s="1">
        <v>45623</v>
      </c>
      <c r="M694" s="1">
        <v>45319</v>
      </c>
      <c r="N694" s="1">
        <v>45623</v>
      </c>
      <c r="O694" t="s">
        <v>238</v>
      </c>
      <c r="P694" t="s">
        <v>3507</v>
      </c>
      <c r="Q694" t="s">
        <v>3508</v>
      </c>
      <c r="R694" t="s">
        <v>3509</v>
      </c>
      <c r="T694" t="s">
        <v>3380</v>
      </c>
      <c r="U694" t="s">
        <v>543</v>
      </c>
      <c r="V694" s="8" t="str">
        <f>"44256"</f>
        <v>44256</v>
      </c>
      <c r="W694" t="s">
        <v>118</v>
      </c>
      <c r="Y694" s="10">
        <v>13303500271</v>
      </c>
      <c r="AA694">
        <v>56173</v>
      </c>
      <c r="AB694" t="s">
        <v>3510</v>
      </c>
      <c r="AC694" t="s">
        <v>1945</v>
      </c>
      <c r="AE694" t="s">
        <v>629</v>
      </c>
      <c r="AF694" t="s">
        <v>3509</v>
      </c>
      <c r="AH694" t="s">
        <v>3380</v>
      </c>
      <c r="AI694" t="s">
        <v>543</v>
      </c>
      <c r="AJ694" s="8" t="str">
        <f>"44526"</f>
        <v>44526</v>
      </c>
      <c r="AK694" t="s">
        <v>118</v>
      </c>
      <c r="AM694" s="10">
        <v>13303500271</v>
      </c>
      <c r="AO694" t="s">
        <v>3511</v>
      </c>
      <c r="AP694" t="s">
        <v>121</v>
      </c>
      <c r="AQ694" t="s">
        <v>1771</v>
      </c>
      <c r="AR694" t="s">
        <v>1772</v>
      </c>
      <c r="AS694" t="s">
        <v>1410</v>
      </c>
      <c r="AT694" t="s">
        <v>1773</v>
      </c>
      <c r="AU694" t="s">
        <v>1774</v>
      </c>
      <c r="AV694" t="s">
        <v>1775</v>
      </c>
      <c r="AW694" t="s">
        <v>1776</v>
      </c>
      <c r="AX694" s="8" t="str">
        <f>"08034"</f>
        <v>08034</v>
      </c>
      <c r="AY694" t="s">
        <v>118</v>
      </c>
      <c r="AZ694" t="s">
        <v>1777</v>
      </c>
      <c r="BA694" s="10">
        <v>18562819750</v>
      </c>
      <c r="BC694" t="s">
        <v>1778</v>
      </c>
      <c r="BD694" t="s">
        <v>1779</v>
      </c>
      <c r="BE694" t="s">
        <v>1776</v>
      </c>
      <c r="BF694" t="s">
        <v>1780</v>
      </c>
      <c r="BG694" t="s">
        <v>543</v>
      </c>
      <c r="BH694" s="1">
        <v>45210.833333333336</v>
      </c>
      <c r="BI694">
        <v>40</v>
      </c>
      <c r="BJ694">
        <v>0</v>
      </c>
      <c r="BK694">
        <v>8</v>
      </c>
      <c r="BL694">
        <v>8</v>
      </c>
      <c r="BM694">
        <v>8</v>
      </c>
      <c r="BN694">
        <v>8</v>
      </c>
      <c r="BO694">
        <v>8</v>
      </c>
      <c r="BP694">
        <v>0</v>
      </c>
      <c r="BQ694" t="str">
        <f>"7:30 AM"</f>
        <v>7:30 AM</v>
      </c>
      <c r="BR694" t="str">
        <f>"4:00 PM"</f>
        <v>4:00 PM</v>
      </c>
      <c r="BS694" t="s">
        <v>131</v>
      </c>
      <c r="BT694">
        <v>0</v>
      </c>
      <c r="BU694">
        <v>0</v>
      </c>
      <c r="BV694" t="s">
        <v>114</v>
      </c>
      <c r="BX694" s="2" t="s">
        <v>13894</v>
      </c>
      <c r="BY694" t="s">
        <v>3509</v>
      </c>
      <c r="CA694" t="s">
        <v>3380</v>
      </c>
      <c r="CB694" t="s">
        <v>543</v>
      </c>
      <c r="CC694" s="8" t="str">
        <f>"44256"</f>
        <v>44256</v>
      </c>
      <c r="CD694" t="s">
        <v>2024</v>
      </c>
      <c r="CE694" t="s">
        <v>1839</v>
      </c>
      <c r="CF694" s="12">
        <v>17.23</v>
      </c>
      <c r="CG694" s="12">
        <v>17.23</v>
      </c>
      <c r="CH694" s="12">
        <v>25.85</v>
      </c>
      <c r="CI694" s="12">
        <v>25.85</v>
      </c>
      <c r="CJ694" t="s">
        <v>135</v>
      </c>
      <c r="CK694" t="s">
        <v>3514</v>
      </c>
      <c r="CL694" t="s">
        <v>13895</v>
      </c>
      <c r="CO694" t="s">
        <v>132</v>
      </c>
      <c r="CP694" t="s">
        <v>136</v>
      </c>
      <c r="CQ694" t="s">
        <v>136</v>
      </c>
      <c r="CR694" t="s">
        <v>136</v>
      </c>
      <c r="CS694" t="s">
        <v>136</v>
      </c>
      <c r="CT694" t="s">
        <v>136</v>
      </c>
      <c r="CU694" t="s">
        <v>136</v>
      </c>
      <c r="CV694" t="s">
        <v>3516</v>
      </c>
      <c r="CW694" s="10" t="str">
        <f>"+13303500271"</f>
        <v>+13303500271</v>
      </c>
      <c r="CX694" t="s">
        <v>3511</v>
      </c>
      <c r="CY694" t="s">
        <v>132</v>
      </c>
      <c r="CZ694" t="s">
        <v>137</v>
      </c>
      <c r="DA694" t="s">
        <v>114</v>
      </c>
      <c r="DB694" t="s">
        <v>136</v>
      </c>
      <c r="DC694" t="s">
        <v>136</v>
      </c>
      <c r="DD694" t="s">
        <v>114</v>
      </c>
    </row>
    <row r="695" spans="1:108" ht="15" customHeight="1" x14ac:dyDescent="0.25">
      <c r="A695" t="s">
        <v>18018</v>
      </c>
      <c r="B695" t="s">
        <v>152</v>
      </c>
      <c r="C695" s="1">
        <v>45230.359161574073</v>
      </c>
      <c r="D695" s="1">
        <v>45258</v>
      </c>
      <c r="E695" t="s">
        <v>132</v>
      </c>
      <c r="F695" t="s">
        <v>2324</v>
      </c>
      <c r="G695" t="str">
        <f>"35-3023.00"</f>
        <v>35-3023.00</v>
      </c>
      <c r="H695" t="s">
        <v>1365</v>
      </c>
      <c r="I695">
        <v>8</v>
      </c>
      <c r="J695">
        <v>8</v>
      </c>
      <c r="K695" s="1">
        <v>45320</v>
      </c>
      <c r="L695" s="1">
        <v>45613</v>
      </c>
      <c r="M695" s="1">
        <v>45320</v>
      </c>
      <c r="N695" s="1">
        <v>45613</v>
      </c>
      <c r="O695" t="s">
        <v>238</v>
      </c>
      <c r="P695" t="s">
        <v>18019</v>
      </c>
      <c r="Q695" t="s">
        <v>2308</v>
      </c>
      <c r="R695" t="s">
        <v>18020</v>
      </c>
      <c r="T695" t="s">
        <v>18021</v>
      </c>
      <c r="U695" t="s">
        <v>2608</v>
      </c>
      <c r="V695" s="8" t="str">
        <f>"74470"</f>
        <v>74470</v>
      </c>
      <c r="W695" t="s">
        <v>118</v>
      </c>
      <c r="Y695" s="10">
        <v>19188557775</v>
      </c>
      <c r="AA695">
        <v>71399</v>
      </c>
      <c r="AB695" t="s">
        <v>18022</v>
      </c>
      <c r="AC695" t="s">
        <v>18023</v>
      </c>
      <c r="AE695" t="s">
        <v>561</v>
      </c>
      <c r="AF695" t="s">
        <v>18024</v>
      </c>
      <c r="AH695" t="s">
        <v>18025</v>
      </c>
      <c r="AI695" t="s">
        <v>2608</v>
      </c>
      <c r="AJ695" s="8" t="str">
        <f>"74470"</f>
        <v>74470</v>
      </c>
      <c r="AK695" t="s">
        <v>118</v>
      </c>
      <c r="AM695" s="10">
        <v>19188557775</v>
      </c>
      <c r="AO695" t="s">
        <v>18026</v>
      </c>
      <c r="AP695" t="s">
        <v>248</v>
      </c>
      <c r="AQ695" t="s">
        <v>249</v>
      </c>
      <c r="AR695" t="s">
        <v>250</v>
      </c>
      <c r="AS695" t="s">
        <v>251</v>
      </c>
      <c r="AT695" t="s">
        <v>252</v>
      </c>
      <c r="AU695" t="s">
        <v>253</v>
      </c>
      <c r="AV695" t="s">
        <v>254</v>
      </c>
      <c r="AW695" t="s">
        <v>127</v>
      </c>
      <c r="AX695" s="8" t="str">
        <f>"78550"</f>
        <v>78550</v>
      </c>
      <c r="AY695" t="s">
        <v>118</v>
      </c>
      <c r="AZ695" t="s">
        <v>255</v>
      </c>
      <c r="BA695" s="10">
        <v>19564408720</v>
      </c>
      <c r="BB695" s="3" t="s">
        <v>256</v>
      </c>
      <c r="BC695" t="s">
        <v>257</v>
      </c>
      <c r="BD695" t="s">
        <v>258</v>
      </c>
      <c r="BG695" t="s">
        <v>2608</v>
      </c>
      <c r="BH695" s="1">
        <v>45229.833333333336</v>
      </c>
      <c r="BI695">
        <v>40</v>
      </c>
      <c r="BJ695">
        <v>8</v>
      </c>
      <c r="BK695">
        <v>0</v>
      </c>
      <c r="BL695">
        <v>0</v>
      </c>
      <c r="BM695">
        <v>8</v>
      </c>
      <c r="BN695">
        <v>8</v>
      </c>
      <c r="BO695">
        <v>8</v>
      </c>
      <c r="BP695">
        <v>8</v>
      </c>
      <c r="BQ695" t="str">
        <f>"1:00 PM"</f>
        <v>1:00 PM</v>
      </c>
      <c r="BR695" t="str">
        <f>"10:00 PM"</f>
        <v>10:00 PM</v>
      </c>
      <c r="BS695" t="s">
        <v>131</v>
      </c>
      <c r="BT695">
        <v>0</v>
      </c>
      <c r="BU695">
        <v>0</v>
      </c>
      <c r="BV695" t="s">
        <v>114</v>
      </c>
      <c r="BX695" s="2" t="s">
        <v>259</v>
      </c>
      <c r="BY695" t="s">
        <v>18020</v>
      </c>
      <c r="CA695" t="s">
        <v>18025</v>
      </c>
      <c r="CB695" t="s">
        <v>2608</v>
      </c>
      <c r="CC695" s="8" t="str">
        <f>"74470"</f>
        <v>74470</v>
      </c>
      <c r="CD695" t="s">
        <v>18027</v>
      </c>
      <c r="CE695" t="s">
        <v>7664</v>
      </c>
      <c r="CF695" s="12">
        <v>10.210000000000001</v>
      </c>
      <c r="CG695" s="12">
        <v>12.8</v>
      </c>
      <c r="CJ695" t="s">
        <v>135</v>
      </c>
      <c r="CK695" t="s">
        <v>264</v>
      </c>
      <c r="CL695" t="s">
        <v>18028</v>
      </c>
      <c r="CO695" t="s">
        <v>132</v>
      </c>
      <c r="CP695" t="s">
        <v>136</v>
      </c>
      <c r="CQ695" t="s">
        <v>136</v>
      </c>
      <c r="CR695" t="s">
        <v>114</v>
      </c>
      <c r="CS695" t="s">
        <v>136</v>
      </c>
      <c r="CT695" t="s">
        <v>136</v>
      </c>
      <c r="CU695" t="s">
        <v>136</v>
      </c>
      <c r="CV695" t="s">
        <v>18029</v>
      </c>
      <c r="CW695" s="10" t="str">
        <f>"+19188557775"</f>
        <v>+19188557775</v>
      </c>
      <c r="CX695" t="s">
        <v>18026</v>
      </c>
      <c r="CY695" t="s">
        <v>132</v>
      </c>
      <c r="CZ695" t="s">
        <v>137</v>
      </c>
      <c r="DA695" t="s">
        <v>114</v>
      </c>
      <c r="DB695" t="s">
        <v>136</v>
      </c>
      <c r="DC695" t="s">
        <v>136</v>
      </c>
      <c r="DD695" t="s">
        <v>114</v>
      </c>
    </row>
    <row r="696" spans="1:108" ht="15" customHeight="1" x14ac:dyDescent="0.25">
      <c r="A696" t="s">
        <v>17985</v>
      </c>
      <c r="B696" t="s">
        <v>152</v>
      </c>
      <c r="C696" s="1">
        <v>45230.000329513889</v>
      </c>
      <c r="D696" s="1">
        <v>45258</v>
      </c>
      <c r="E696" t="s">
        <v>132</v>
      </c>
      <c r="F696" t="s">
        <v>1595</v>
      </c>
      <c r="G696" t="str">
        <f>"37-3011.00"</f>
        <v>37-3011.00</v>
      </c>
      <c r="H696" t="s">
        <v>429</v>
      </c>
      <c r="I696">
        <v>9</v>
      </c>
      <c r="J696">
        <v>9</v>
      </c>
      <c r="K696" s="1">
        <v>45320</v>
      </c>
      <c r="L696" s="1">
        <v>45619</v>
      </c>
      <c r="M696" s="1">
        <v>45320</v>
      </c>
      <c r="N696" s="1">
        <v>45619</v>
      </c>
      <c r="O696" t="s">
        <v>238</v>
      </c>
      <c r="P696" t="s">
        <v>17986</v>
      </c>
      <c r="R696" t="s">
        <v>17987</v>
      </c>
      <c r="T696" t="s">
        <v>10845</v>
      </c>
      <c r="U696" t="s">
        <v>984</v>
      </c>
      <c r="V696" s="8" t="str">
        <f>"63051"</f>
        <v>63051</v>
      </c>
      <c r="W696" t="s">
        <v>118</v>
      </c>
      <c r="Y696" s="10">
        <v>16362824140</v>
      </c>
      <c r="AA696">
        <v>56173</v>
      </c>
      <c r="AB696" t="s">
        <v>2479</v>
      </c>
      <c r="AC696" t="s">
        <v>1282</v>
      </c>
      <c r="AD696" t="s">
        <v>132</v>
      </c>
      <c r="AE696" t="s">
        <v>561</v>
      </c>
      <c r="AF696" t="s">
        <v>17987</v>
      </c>
      <c r="AH696" t="s">
        <v>10845</v>
      </c>
      <c r="AI696" t="s">
        <v>854</v>
      </c>
      <c r="AJ696" s="8" t="str">
        <f>"63051"</f>
        <v>63051</v>
      </c>
      <c r="AK696" t="s">
        <v>118</v>
      </c>
      <c r="AM696" s="10">
        <v>16362824140</v>
      </c>
      <c r="AO696" t="s">
        <v>17988</v>
      </c>
      <c r="AP696" t="s">
        <v>248</v>
      </c>
      <c r="AQ696" t="s">
        <v>4335</v>
      </c>
      <c r="AR696" t="s">
        <v>4336</v>
      </c>
      <c r="AS696" t="s">
        <v>1798</v>
      </c>
      <c r="AT696" t="s">
        <v>3080</v>
      </c>
      <c r="AU696" t="s">
        <v>3081</v>
      </c>
      <c r="AV696" t="s">
        <v>3082</v>
      </c>
      <c r="AW696" t="s">
        <v>854</v>
      </c>
      <c r="AX696" s="8" t="str">
        <f>"83814"</f>
        <v>83814</v>
      </c>
      <c r="AY696" t="s">
        <v>118</v>
      </c>
      <c r="BA696" s="10">
        <v>12087772654</v>
      </c>
      <c r="BC696" t="s">
        <v>2154</v>
      </c>
      <c r="BD696" t="s">
        <v>856</v>
      </c>
      <c r="BG696" t="s">
        <v>984</v>
      </c>
      <c r="BH696" s="1">
        <v>45229.833333333336</v>
      </c>
      <c r="BI696">
        <v>40</v>
      </c>
      <c r="BJ696">
        <v>0</v>
      </c>
      <c r="BK696">
        <v>8</v>
      </c>
      <c r="BL696">
        <v>8</v>
      </c>
      <c r="BM696">
        <v>8</v>
      </c>
      <c r="BN696">
        <v>8</v>
      </c>
      <c r="BO696">
        <v>8</v>
      </c>
      <c r="BP696">
        <v>0</v>
      </c>
      <c r="BQ696" t="str">
        <f>"6:00 AM"</f>
        <v>6:00 AM</v>
      </c>
      <c r="BR696" t="str">
        <f>"5:00 PM"</f>
        <v>5:00 PM</v>
      </c>
      <c r="BS696" t="s">
        <v>5177</v>
      </c>
      <c r="BT696">
        <v>0</v>
      </c>
      <c r="BU696">
        <v>0</v>
      </c>
      <c r="BV696" t="s">
        <v>114</v>
      </c>
      <c r="BX696" t="s">
        <v>3304</v>
      </c>
      <c r="BY696" t="s">
        <v>17989</v>
      </c>
      <c r="CA696" t="s">
        <v>10845</v>
      </c>
      <c r="CB696" t="s">
        <v>984</v>
      </c>
      <c r="CC696" s="8" t="str">
        <f>"63051"</f>
        <v>63051</v>
      </c>
      <c r="CD696" t="s">
        <v>1767</v>
      </c>
      <c r="CE696" t="s">
        <v>1856</v>
      </c>
      <c r="CF696" s="12">
        <v>17.579999999999998</v>
      </c>
      <c r="CG696" s="12">
        <v>22</v>
      </c>
      <c r="CH696" s="12">
        <v>26.37</v>
      </c>
      <c r="CI696" s="12">
        <v>33</v>
      </c>
      <c r="CJ696" t="s">
        <v>135</v>
      </c>
      <c r="CK696" t="s">
        <v>1899</v>
      </c>
      <c r="CL696" t="s">
        <v>17990</v>
      </c>
      <c r="CO696" t="s">
        <v>132</v>
      </c>
      <c r="CP696" t="s">
        <v>136</v>
      </c>
      <c r="CQ696" t="s">
        <v>136</v>
      </c>
      <c r="CR696" t="s">
        <v>136</v>
      </c>
      <c r="CS696" t="s">
        <v>136</v>
      </c>
      <c r="CT696" t="s">
        <v>136</v>
      </c>
      <c r="CU696" t="s">
        <v>136</v>
      </c>
      <c r="CV696" t="s">
        <v>17991</v>
      </c>
      <c r="CW696" s="10" t="str">
        <f>"+16362824140"</f>
        <v>+16362824140</v>
      </c>
      <c r="CX696" t="s">
        <v>17992</v>
      </c>
      <c r="CY696" t="s">
        <v>132</v>
      </c>
      <c r="CZ696" t="s">
        <v>137</v>
      </c>
      <c r="DA696" t="s">
        <v>114</v>
      </c>
      <c r="DB696" t="s">
        <v>136</v>
      </c>
      <c r="DC696" t="s">
        <v>136</v>
      </c>
      <c r="DD696" t="s">
        <v>114</v>
      </c>
    </row>
    <row r="697" spans="1:108" ht="15" customHeight="1" x14ac:dyDescent="0.25">
      <c r="A697" t="s">
        <v>8033</v>
      </c>
      <c r="B697" t="s">
        <v>152</v>
      </c>
      <c r="C697" s="1">
        <v>45225.734515277778</v>
      </c>
      <c r="D697" s="1">
        <v>45258</v>
      </c>
      <c r="E697" t="s">
        <v>132</v>
      </c>
      <c r="F697" t="s">
        <v>3098</v>
      </c>
      <c r="G697" t="str">
        <f>"39-3091.00"</f>
        <v>39-3091.00</v>
      </c>
      <c r="H697" t="s">
        <v>237</v>
      </c>
      <c r="I697">
        <v>16</v>
      </c>
      <c r="J697">
        <v>16</v>
      </c>
      <c r="K697" s="1">
        <v>45300</v>
      </c>
      <c r="L697" s="1">
        <v>45409</v>
      </c>
      <c r="M697" s="1">
        <v>45300</v>
      </c>
      <c r="N697" s="1">
        <v>45409</v>
      </c>
      <c r="O697" t="s">
        <v>238</v>
      </c>
      <c r="P697" t="s">
        <v>8034</v>
      </c>
      <c r="R697" t="s">
        <v>8035</v>
      </c>
      <c r="S697" t="s">
        <v>8036</v>
      </c>
      <c r="T697" t="s">
        <v>8037</v>
      </c>
      <c r="U697" t="s">
        <v>140</v>
      </c>
      <c r="V697" s="8" t="str">
        <f>"34957"</f>
        <v>34957</v>
      </c>
      <c r="W697" t="s">
        <v>118</v>
      </c>
      <c r="Y697" s="10">
        <v>17722250300</v>
      </c>
      <c r="Z697" s="3" t="s">
        <v>256</v>
      </c>
      <c r="AA697">
        <v>711190</v>
      </c>
      <c r="AB697" t="s">
        <v>8038</v>
      </c>
      <c r="AC697" t="s">
        <v>1826</v>
      </c>
      <c r="AE697" t="s">
        <v>629</v>
      </c>
      <c r="AF697" t="s">
        <v>8035</v>
      </c>
      <c r="AG697" t="s">
        <v>8036</v>
      </c>
      <c r="AH697" t="s">
        <v>8037</v>
      </c>
      <c r="AI697" t="s">
        <v>140</v>
      </c>
      <c r="AJ697" s="8" t="str">
        <f>"34957"</f>
        <v>34957</v>
      </c>
      <c r="AK697" t="s">
        <v>118</v>
      </c>
      <c r="AM697" s="10">
        <v>17722852208</v>
      </c>
      <c r="AN697" s="3" t="s">
        <v>256</v>
      </c>
      <c r="AO697" t="s">
        <v>8039</v>
      </c>
      <c r="AP697" t="s">
        <v>248</v>
      </c>
      <c r="AQ697" t="s">
        <v>249</v>
      </c>
      <c r="AR697" t="s">
        <v>250</v>
      </c>
      <c r="AS697" t="s">
        <v>251</v>
      </c>
      <c r="AT697" t="s">
        <v>252</v>
      </c>
      <c r="AU697" t="s">
        <v>253</v>
      </c>
      <c r="AV697" t="s">
        <v>254</v>
      </c>
      <c r="AW697" t="s">
        <v>127</v>
      </c>
      <c r="AX697" s="8" t="str">
        <f>"78550"</f>
        <v>78550</v>
      </c>
      <c r="AY697" t="s">
        <v>118</v>
      </c>
      <c r="AZ697" t="s">
        <v>255</v>
      </c>
      <c r="BA697" s="10">
        <v>19564408720</v>
      </c>
      <c r="BB697" s="3" t="s">
        <v>256</v>
      </c>
      <c r="BC697" t="s">
        <v>338</v>
      </c>
      <c r="BD697" t="s">
        <v>258</v>
      </c>
      <c r="BG697" t="s">
        <v>140</v>
      </c>
      <c r="BH697" s="1">
        <v>45224.833333333336</v>
      </c>
      <c r="BI697">
        <v>40</v>
      </c>
      <c r="BJ697">
        <v>8</v>
      </c>
      <c r="BK697">
        <v>0</v>
      </c>
      <c r="BL697">
        <v>0</v>
      </c>
      <c r="BM697">
        <v>8</v>
      </c>
      <c r="BN697">
        <v>8</v>
      </c>
      <c r="BO697">
        <v>8</v>
      </c>
      <c r="BP697">
        <v>8</v>
      </c>
      <c r="BQ697" t="str">
        <f>"1:00 PM"</f>
        <v>1:00 PM</v>
      </c>
      <c r="BR697" t="str">
        <f>"10:00 PM"</f>
        <v>10:00 PM</v>
      </c>
      <c r="BS697" t="s">
        <v>131</v>
      </c>
      <c r="BT697">
        <v>0</v>
      </c>
      <c r="BU697">
        <v>0</v>
      </c>
      <c r="BV697" t="s">
        <v>114</v>
      </c>
      <c r="BX697" s="2" t="s">
        <v>2396</v>
      </c>
      <c r="BY697" t="s">
        <v>8035</v>
      </c>
      <c r="CA697" t="s">
        <v>8037</v>
      </c>
      <c r="CB697" t="s">
        <v>140</v>
      </c>
      <c r="CC697" s="8" t="str">
        <f>"34957"</f>
        <v>34957</v>
      </c>
      <c r="CD697" t="s">
        <v>695</v>
      </c>
      <c r="CE697" t="s">
        <v>696</v>
      </c>
      <c r="CF697" s="12">
        <v>12.02</v>
      </c>
      <c r="CG697" s="12">
        <v>13.89</v>
      </c>
      <c r="CJ697" t="s">
        <v>135</v>
      </c>
      <c r="CK697" t="s">
        <v>342</v>
      </c>
      <c r="CL697" t="s">
        <v>8040</v>
      </c>
      <c r="CO697" t="s">
        <v>132</v>
      </c>
      <c r="CP697" t="s">
        <v>136</v>
      </c>
      <c r="CQ697" t="s">
        <v>136</v>
      </c>
      <c r="CR697" t="s">
        <v>114</v>
      </c>
      <c r="CS697" t="s">
        <v>136</v>
      </c>
      <c r="CT697" t="s">
        <v>136</v>
      </c>
      <c r="CU697" t="s">
        <v>136</v>
      </c>
      <c r="CV697" t="s">
        <v>344</v>
      </c>
      <c r="CW697" s="10" t="str">
        <f>"+17722250300"</f>
        <v>+17722250300</v>
      </c>
      <c r="CX697" t="s">
        <v>8039</v>
      </c>
      <c r="CY697" t="s">
        <v>132</v>
      </c>
      <c r="CZ697" t="s">
        <v>137</v>
      </c>
      <c r="DA697" t="s">
        <v>114</v>
      </c>
      <c r="DB697" t="s">
        <v>136</v>
      </c>
      <c r="DC697" t="s">
        <v>136</v>
      </c>
      <c r="DD697" t="s">
        <v>114</v>
      </c>
    </row>
    <row r="698" spans="1:108" ht="15" customHeight="1" x14ac:dyDescent="0.25">
      <c r="A698" t="s">
        <v>9914</v>
      </c>
      <c r="B698" t="s">
        <v>152</v>
      </c>
      <c r="C698" s="1">
        <v>45221.345111226852</v>
      </c>
      <c r="D698" s="1">
        <v>45258</v>
      </c>
      <c r="E698" t="s">
        <v>132</v>
      </c>
      <c r="F698" t="s">
        <v>236</v>
      </c>
      <c r="G698" t="str">
        <f>"39-3091.00"</f>
        <v>39-3091.00</v>
      </c>
      <c r="H698" t="s">
        <v>237</v>
      </c>
      <c r="I698">
        <v>66</v>
      </c>
      <c r="J698">
        <v>66</v>
      </c>
      <c r="K698" s="1">
        <v>45311</v>
      </c>
      <c r="L698" s="1">
        <v>45615</v>
      </c>
      <c r="M698" s="1">
        <v>45311</v>
      </c>
      <c r="N698" s="1">
        <v>45615</v>
      </c>
      <c r="O698" t="s">
        <v>238</v>
      </c>
      <c r="P698" t="s">
        <v>9915</v>
      </c>
      <c r="Q698" t="s">
        <v>132</v>
      </c>
      <c r="R698" t="s">
        <v>9916</v>
      </c>
      <c r="T698" t="s">
        <v>9917</v>
      </c>
      <c r="U698" t="s">
        <v>140</v>
      </c>
      <c r="V698" s="8" t="str">
        <f>"34292"</f>
        <v>34292</v>
      </c>
      <c r="W698" t="s">
        <v>118</v>
      </c>
      <c r="X698" t="s">
        <v>132</v>
      </c>
      <c r="Y698" s="10">
        <v>19892395703</v>
      </c>
      <c r="Z698" s="3" t="s">
        <v>256</v>
      </c>
      <c r="AA698">
        <v>71399</v>
      </c>
      <c r="AB698" t="s">
        <v>9918</v>
      </c>
      <c r="AC698" t="s">
        <v>218</v>
      </c>
      <c r="AD698" t="s">
        <v>132</v>
      </c>
      <c r="AE698" t="s">
        <v>561</v>
      </c>
      <c r="AF698" t="s">
        <v>9916</v>
      </c>
      <c r="AH698" t="s">
        <v>9917</v>
      </c>
      <c r="AI698" t="s">
        <v>140</v>
      </c>
      <c r="AJ698" s="8" t="str">
        <f>"34292"</f>
        <v>34292</v>
      </c>
      <c r="AK698" t="s">
        <v>118</v>
      </c>
      <c r="AM698" s="10">
        <v>19892395703</v>
      </c>
      <c r="AN698" s="3" t="s">
        <v>256</v>
      </c>
      <c r="AO698" t="s">
        <v>9919</v>
      </c>
      <c r="AP698" t="s">
        <v>248</v>
      </c>
      <c r="AQ698" t="s">
        <v>249</v>
      </c>
      <c r="AR698" t="s">
        <v>250</v>
      </c>
      <c r="AS698" t="s">
        <v>251</v>
      </c>
      <c r="AT698" t="s">
        <v>252</v>
      </c>
      <c r="AU698" t="s">
        <v>253</v>
      </c>
      <c r="AV698" t="s">
        <v>254</v>
      </c>
      <c r="AW698" t="s">
        <v>127</v>
      </c>
      <c r="AX698" s="8" t="str">
        <f>"78550"</f>
        <v>78550</v>
      </c>
      <c r="AY698" t="s">
        <v>118</v>
      </c>
      <c r="AZ698" t="s">
        <v>255</v>
      </c>
      <c r="BA698" s="10">
        <v>19564408720</v>
      </c>
      <c r="BB698" s="3" t="s">
        <v>256</v>
      </c>
      <c r="BC698" t="s">
        <v>257</v>
      </c>
      <c r="BD698" t="s">
        <v>258</v>
      </c>
      <c r="BG698" t="s">
        <v>140</v>
      </c>
      <c r="BH698" s="1">
        <v>45220.833333333336</v>
      </c>
      <c r="BI698">
        <v>40</v>
      </c>
      <c r="BJ698">
        <v>8</v>
      </c>
      <c r="BK698">
        <v>0</v>
      </c>
      <c r="BL698">
        <v>0</v>
      </c>
      <c r="BM698">
        <v>8</v>
      </c>
      <c r="BN698">
        <v>8</v>
      </c>
      <c r="BO698">
        <v>8</v>
      </c>
      <c r="BP698">
        <v>8</v>
      </c>
      <c r="BQ698" t="str">
        <f>"1:00 PM"</f>
        <v>1:00 PM</v>
      </c>
      <c r="BR698" t="str">
        <f>"10:00 PM"</f>
        <v>10:00 PM</v>
      </c>
      <c r="BS698" t="s">
        <v>131</v>
      </c>
      <c r="BT698">
        <v>0</v>
      </c>
      <c r="BU698">
        <v>0</v>
      </c>
      <c r="BV698" t="s">
        <v>114</v>
      </c>
      <c r="BX698" s="2" t="s">
        <v>259</v>
      </c>
      <c r="BY698" t="s">
        <v>9920</v>
      </c>
      <c r="CA698" t="s">
        <v>9917</v>
      </c>
      <c r="CB698" t="s">
        <v>140</v>
      </c>
      <c r="CC698" s="8" t="str">
        <f>"34292"</f>
        <v>34292</v>
      </c>
      <c r="CD698" t="s">
        <v>6059</v>
      </c>
      <c r="CE698" t="s">
        <v>1730</v>
      </c>
      <c r="CF698" s="12">
        <v>9.27</v>
      </c>
      <c r="CG698" s="12">
        <v>13.24</v>
      </c>
      <c r="CJ698" t="s">
        <v>135</v>
      </c>
      <c r="CK698" t="s">
        <v>264</v>
      </c>
      <c r="CL698" t="s">
        <v>9921</v>
      </c>
      <c r="CO698" t="s">
        <v>132</v>
      </c>
      <c r="CP698" t="s">
        <v>136</v>
      </c>
      <c r="CQ698" t="s">
        <v>136</v>
      </c>
      <c r="CR698" t="s">
        <v>114</v>
      </c>
      <c r="CS698" t="s">
        <v>136</v>
      </c>
      <c r="CT698" t="s">
        <v>136</v>
      </c>
      <c r="CU698" t="s">
        <v>136</v>
      </c>
      <c r="CV698" t="s">
        <v>9922</v>
      </c>
      <c r="CW698" s="10" t="str">
        <f>"+19892395703"</f>
        <v>+19892395703</v>
      </c>
      <c r="CX698" t="s">
        <v>9919</v>
      </c>
      <c r="CY698" t="s">
        <v>132</v>
      </c>
      <c r="CZ698" t="s">
        <v>137</v>
      </c>
      <c r="DA698" t="s">
        <v>114</v>
      </c>
      <c r="DB698" t="s">
        <v>136</v>
      </c>
      <c r="DC698" t="s">
        <v>136</v>
      </c>
      <c r="DD698" t="s">
        <v>114</v>
      </c>
    </row>
    <row r="699" spans="1:108" ht="15" customHeight="1" x14ac:dyDescent="0.25">
      <c r="A699" t="s">
        <v>9675</v>
      </c>
      <c r="B699" t="s">
        <v>152</v>
      </c>
      <c r="C699" s="1">
        <v>45218.813125231478</v>
      </c>
      <c r="D699" s="1">
        <v>45258</v>
      </c>
      <c r="E699" t="s">
        <v>132</v>
      </c>
      <c r="F699" t="s">
        <v>9676</v>
      </c>
      <c r="G699" t="str">
        <f>"51-3022.00"</f>
        <v>51-3022.00</v>
      </c>
      <c r="H699" t="s">
        <v>1004</v>
      </c>
      <c r="I699">
        <v>3</v>
      </c>
      <c r="J699">
        <v>3</v>
      </c>
      <c r="K699" s="1">
        <v>45301</v>
      </c>
      <c r="L699" s="1">
        <v>45412</v>
      </c>
      <c r="M699" s="1">
        <v>45301</v>
      </c>
      <c r="N699" s="1">
        <v>45412</v>
      </c>
      <c r="O699" t="s">
        <v>238</v>
      </c>
      <c r="P699" t="s">
        <v>9677</v>
      </c>
      <c r="R699" t="s">
        <v>9678</v>
      </c>
      <c r="T699" t="s">
        <v>3673</v>
      </c>
      <c r="U699" t="s">
        <v>792</v>
      </c>
      <c r="V699" s="8" t="str">
        <f>"98107"</f>
        <v>98107</v>
      </c>
      <c r="W699" t="s">
        <v>118</v>
      </c>
      <c r="Y699" s="10">
        <v>12062976496</v>
      </c>
      <c r="AA699">
        <v>311710</v>
      </c>
      <c r="AB699" t="s">
        <v>9679</v>
      </c>
      <c r="AC699" t="s">
        <v>9680</v>
      </c>
      <c r="AE699" t="s">
        <v>9681</v>
      </c>
      <c r="AF699" t="s">
        <v>9682</v>
      </c>
      <c r="AH699" t="s">
        <v>3673</v>
      </c>
      <c r="AI699" t="s">
        <v>792</v>
      </c>
      <c r="AJ699" s="8" t="str">
        <f>"98107"</f>
        <v>98107</v>
      </c>
      <c r="AK699" t="s">
        <v>118</v>
      </c>
      <c r="AM699" s="10">
        <v>12062976496</v>
      </c>
      <c r="AO699" t="s">
        <v>9683</v>
      </c>
      <c r="AP699" t="s">
        <v>121</v>
      </c>
      <c r="AQ699" t="s">
        <v>2739</v>
      </c>
      <c r="AR699" t="s">
        <v>9684</v>
      </c>
      <c r="AS699" t="s">
        <v>2709</v>
      </c>
      <c r="AT699" t="s">
        <v>9685</v>
      </c>
      <c r="AU699" t="s">
        <v>1071</v>
      </c>
      <c r="AV699" t="s">
        <v>3673</v>
      </c>
      <c r="AW699" t="s">
        <v>792</v>
      </c>
      <c r="AX699" s="8" t="str">
        <f>"98104"</f>
        <v>98104</v>
      </c>
      <c r="AY699" t="s">
        <v>118</v>
      </c>
      <c r="BA699" s="10">
        <v>12067578354</v>
      </c>
      <c r="BC699" t="s">
        <v>9686</v>
      </c>
      <c r="BD699" t="s">
        <v>9687</v>
      </c>
      <c r="BE699" t="s">
        <v>792</v>
      </c>
      <c r="BF699" t="s">
        <v>2142</v>
      </c>
      <c r="BG699" t="s">
        <v>2706</v>
      </c>
      <c r="BH699" s="1">
        <v>45217.833333333336</v>
      </c>
      <c r="BI699">
        <v>72</v>
      </c>
      <c r="BJ699">
        <v>0</v>
      </c>
      <c r="BK699">
        <v>12</v>
      </c>
      <c r="BL699">
        <v>12</v>
      </c>
      <c r="BM699">
        <v>12</v>
      </c>
      <c r="BN699">
        <v>12</v>
      </c>
      <c r="BO699">
        <v>12</v>
      </c>
      <c r="BP699">
        <v>12</v>
      </c>
      <c r="BQ699" t="str">
        <f>"6:00 AM"</f>
        <v>6:00 AM</v>
      </c>
      <c r="BR699" t="str">
        <f>"6:00 PM"</f>
        <v>6:00 PM</v>
      </c>
      <c r="BS699" t="s">
        <v>131</v>
      </c>
      <c r="BT699">
        <v>0</v>
      </c>
      <c r="BU699">
        <v>24</v>
      </c>
      <c r="BV699" t="s">
        <v>114</v>
      </c>
      <c r="BX699" t="s">
        <v>9688</v>
      </c>
      <c r="BY699" t="s">
        <v>9689</v>
      </c>
      <c r="CA699" t="s">
        <v>9690</v>
      </c>
      <c r="CB699" t="s">
        <v>2706</v>
      </c>
      <c r="CC699" s="8" t="str">
        <f>"99553"</f>
        <v>99553</v>
      </c>
      <c r="CD699" t="s">
        <v>9691</v>
      </c>
      <c r="CE699" t="s">
        <v>2714</v>
      </c>
      <c r="CF699" s="12">
        <v>23.99</v>
      </c>
      <c r="CH699" s="12">
        <v>35.99</v>
      </c>
      <c r="CJ699" t="s">
        <v>135</v>
      </c>
      <c r="CK699" t="s">
        <v>9692</v>
      </c>
      <c r="CL699" t="s">
        <v>9693</v>
      </c>
      <c r="CO699" t="s">
        <v>132</v>
      </c>
      <c r="CP699" t="s">
        <v>136</v>
      </c>
      <c r="CQ699" t="s">
        <v>136</v>
      </c>
      <c r="CR699" t="s">
        <v>136</v>
      </c>
      <c r="CS699" t="s">
        <v>114</v>
      </c>
      <c r="CT699" t="s">
        <v>136</v>
      </c>
      <c r="CU699" t="s">
        <v>136</v>
      </c>
      <c r="CV699" t="s">
        <v>9694</v>
      </c>
      <c r="CW699" s="10" t="str">
        <f>"N/A"</f>
        <v>N/A</v>
      </c>
      <c r="CX699" t="s">
        <v>9695</v>
      </c>
      <c r="CY699" t="s">
        <v>9696</v>
      </c>
      <c r="CZ699" t="s">
        <v>137</v>
      </c>
      <c r="DA699" t="s">
        <v>114</v>
      </c>
      <c r="DB699" t="s">
        <v>114</v>
      </c>
      <c r="DC699" t="s">
        <v>136</v>
      </c>
      <c r="DD699" t="s">
        <v>114</v>
      </c>
    </row>
    <row r="700" spans="1:108" ht="15" customHeight="1" x14ac:dyDescent="0.25">
      <c r="A700" t="s">
        <v>12471</v>
      </c>
      <c r="B700" t="s">
        <v>152</v>
      </c>
      <c r="C700" s="1">
        <v>45218.643202314815</v>
      </c>
      <c r="D700" s="1">
        <v>45258</v>
      </c>
      <c r="E700" t="s">
        <v>132</v>
      </c>
      <c r="F700" t="s">
        <v>685</v>
      </c>
      <c r="G700" t="str">
        <f>"39-3091.00"</f>
        <v>39-3091.00</v>
      </c>
      <c r="H700" t="s">
        <v>237</v>
      </c>
      <c r="I700">
        <v>35</v>
      </c>
      <c r="J700">
        <v>35</v>
      </c>
      <c r="K700" s="1">
        <v>45307</v>
      </c>
      <c r="L700" s="1">
        <v>45611</v>
      </c>
      <c r="M700" s="1">
        <v>45307</v>
      </c>
      <c r="N700" s="1">
        <v>45611</v>
      </c>
      <c r="O700" t="s">
        <v>238</v>
      </c>
      <c r="P700" t="s">
        <v>12472</v>
      </c>
      <c r="R700" t="s">
        <v>12473</v>
      </c>
      <c r="S700" t="s">
        <v>12474</v>
      </c>
      <c r="T700" t="s">
        <v>4353</v>
      </c>
      <c r="U700" t="s">
        <v>140</v>
      </c>
      <c r="V700" s="8" t="str">
        <f>"33598"</f>
        <v>33598</v>
      </c>
      <c r="W700" t="s">
        <v>118</v>
      </c>
      <c r="Y700" s="10">
        <v>15613071917</v>
      </c>
      <c r="Z700" s="3" t="s">
        <v>256</v>
      </c>
      <c r="AA700">
        <v>71399</v>
      </c>
      <c r="AB700" t="s">
        <v>12475</v>
      </c>
      <c r="AC700" t="s">
        <v>486</v>
      </c>
      <c r="AE700" t="s">
        <v>987</v>
      </c>
      <c r="AF700" t="s">
        <v>12473</v>
      </c>
      <c r="AG700" t="s">
        <v>12474</v>
      </c>
      <c r="AH700" t="s">
        <v>4353</v>
      </c>
      <c r="AI700" t="s">
        <v>140</v>
      </c>
      <c r="AJ700" s="8" t="str">
        <f>"33598"</f>
        <v>33598</v>
      </c>
      <c r="AK700" t="s">
        <v>118</v>
      </c>
      <c r="AM700" s="10">
        <v>15613071917</v>
      </c>
      <c r="AN700" s="3" t="s">
        <v>256</v>
      </c>
      <c r="AO700" t="s">
        <v>12476</v>
      </c>
      <c r="AP700" t="s">
        <v>248</v>
      </c>
      <c r="AQ700" t="s">
        <v>249</v>
      </c>
      <c r="AR700" t="s">
        <v>250</v>
      </c>
      <c r="AS700" t="s">
        <v>251</v>
      </c>
      <c r="AT700" t="s">
        <v>252</v>
      </c>
      <c r="AU700" t="s">
        <v>253</v>
      </c>
      <c r="AV700" t="s">
        <v>254</v>
      </c>
      <c r="AW700" t="s">
        <v>127</v>
      </c>
      <c r="AX700" s="8" t="str">
        <f>"78550"</f>
        <v>78550</v>
      </c>
      <c r="AY700" t="s">
        <v>118</v>
      </c>
      <c r="AZ700" t="s">
        <v>255</v>
      </c>
      <c r="BA700" s="10">
        <v>19564408720</v>
      </c>
      <c r="BB700" s="3" t="s">
        <v>256</v>
      </c>
      <c r="BC700" t="s">
        <v>338</v>
      </c>
      <c r="BD700" t="s">
        <v>258</v>
      </c>
      <c r="BG700" t="s">
        <v>140</v>
      </c>
      <c r="BH700" s="1">
        <v>45217.833333333336</v>
      </c>
      <c r="BI700">
        <v>40</v>
      </c>
      <c r="BJ700">
        <v>8</v>
      </c>
      <c r="BK700">
        <v>0</v>
      </c>
      <c r="BL700">
        <v>0</v>
      </c>
      <c r="BM700">
        <v>8</v>
      </c>
      <c r="BN700">
        <v>8</v>
      </c>
      <c r="BO700">
        <v>8</v>
      </c>
      <c r="BP700">
        <v>8</v>
      </c>
      <c r="BQ700" t="str">
        <f>"1:00 PM"</f>
        <v>1:00 PM</v>
      </c>
      <c r="BR700" t="str">
        <f>"10:00 PM"</f>
        <v>10:00 PM</v>
      </c>
      <c r="BS700" t="s">
        <v>131</v>
      </c>
      <c r="BT700">
        <v>0</v>
      </c>
      <c r="BU700">
        <v>0</v>
      </c>
      <c r="BV700" t="s">
        <v>114</v>
      </c>
      <c r="BX700" s="2" t="s">
        <v>339</v>
      </c>
      <c r="BY700" t="s">
        <v>12473</v>
      </c>
      <c r="CA700" t="s">
        <v>4353</v>
      </c>
      <c r="CB700" t="s">
        <v>140</v>
      </c>
      <c r="CC700" s="8" t="str">
        <f>"33598"</f>
        <v>33598</v>
      </c>
      <c r="CD700" t="s">
        <v>781</v>
      </c>
      <c r="CE700" t="s">
        <v>467</v>
      </c>
      <c r="CF700" s="12">
        <v>10.87</v>
      </c>
      <c r="CG700" s="12">
        <v>16.3</v>
      </c>
      <c r="CJ700" t="s">
        <v>135</v>
      </c>
      <c r="CK700" t="s">
        <v>342</v>
      </c>
      <c r="CL700" t="s">
        <v>12477</v>
      </c>
      <c r="CM700" t="s">
        <v>12478</v>
      </c>
      <c r="CO700" t="s">
        <v>132</v>
      </c>
      <c r="CP700" t="s">
        <v>136</v>
      </c>
      <c r="CQ700" t="s">
        <v>136</v>
      </c>
      <c r="CR700" t="s">
        <v>114</v>
      </c>
      <c r="CS700" t="s">
        <v>136</v>
      </c>
      <c r="CT700" t="s">
        <v>136</v>
      </c>
      <c r="CU700" t="s">
        <v>136</v>
      </c>
      <c r="CV700" t="s">
        <v>12479</v>
      </c>
      <c r="CW700" s="10" t="str">
        <f>"+18134070316"</f>
        <v>+18134070316</v>
      </c>
      <c r="CX700" t="s">
        <v>12476</v>
      </c>
      <c r="CY700" t="s">
        <v>132</v>
      </c>
      <c r="CZ700" t="s">
        <v>137</v>
      </c>
      <c r="DA700" t="s">
        <v>114</v>
      </c>
      <c r="DB700" t="s">
        <v>136</v>
      </c>
      <c r="DC700" t="s">
        <v>136</v>
      </c>
      <c r="DD700" t="s">
        <v>114</v>
      </c>
    </row>
    <row r="701" spans="1:108" ht="15" customHeight="1" x14ac:dyDescent="0.25">
      <c r="A701" t="s">
        <v>13677</v>
      </c>
      <c r="B701" t="s">
        <v>152</v>
      </c>
      <c r="C701" s="1">
        <v>45216.8497712963</v>
      </c>
      <c r="D701" s="1">
        <v>45258</v>
      </c>
      <c r="E701" t="s">
        <v>132</v>
      </c>
      <c r="F701" t="s">
        <v>4846</v>
      </c>
      <c r="G701" t="str">
        <f>"37-3011.00"</f>
        <v>37-3011.00</v>
      </c>
      <c r="H701" t="s">
        <v>429</v>
      </c>
      <c r="I701">
        <v>60</v>
      </c>
      <c r="J701">
        <v>60</v>
      </c>
      <c r="K701" s="1">
        <v>45306</v>
      </c>
      <c r="L701" s="1">
        <v>45610</v>
      </c>
      <c r="M701" s="1">
        <v>45306</v>
      </c>
      <c r="N701" s="1">
        <v>45610</v>
      </c>
      <c r="O701" t="s">
        <v>116</v>
      </c>
      <c r="P701" t="s">
        <v>13678</v>
      </c>
      <c r="Q701" t="s">
        <v>13679</v>
      </c>
      <c r="R701" t="s">
        <v>13680</v>
      </c>
      <c r="S701" t="s">
        <v>132</v>
      </c>
      <c r="T701" t="s">
        <v>5514</v>
      </c>
      <c r="U701" t="s">
        <v>333</v>
      </c>
      <c r="V701" s="8" t="str">
        <f>"70460"</f>
        <v>70460</v>
      </c>
      <c r="W701" t="s">
        <v>118</v>
      </c>
      <c r="X701" t="s">
        <v>132</v>
      </c>
      <c r="Y701" s="10">
        <v>19856432427</v>
      </c>
      <c r="AA701">
        <v>56173</v>
      </c>
      <c r="AB701" t="s">
        <v>13681</v>
      </c>
      <c r="AC701" t="s">
        <v>6096</v>
      </c>
      <c r="AE701" t="s">
        <v>161</v>
      </c>
      <c r="AF701" t="s">
        <v>13680</v>
      </c>
      <c r="AH701" t="s">
        <v>5514</v>
      </c>
      <c r="AI701" t="s">
        <v>333</v>
      </c>
      <c r="AJ701" s="8" t="str">
        <f>"70460"</f>
        <v>70460</v>
      </c>
      <c r="AK701" t="s">
        <v>118</v>
      </c>
      <c r="AM701" s="10">
        <v>19856432427</v>
      </c>
      <c r="AN701">
        <v>132</v>
      </c>
      <c r="AO701" t="s">
        <v>13682</v>
      </c>
      <c r="AP701" t="s">
        <v>248</v>
      </c>
      <c r="AQ701" t="s">
        <v>13683</v>
      </c>
      <c r="AR701" t="s">
        <v>3496</v>
      </c>
      <c r="AT701" t="s">
        <v>13684</v>
      </c>
      <c r="AU701" t="s">
        <v>13685</v>
      </c>
      <c r="AV701" t="s">
        <v>2960</v>
      </c>
      <c r="AW701" t="s">
        <v>558</v>
      </c>
      <c r="AX701" s="8" t="str">
        <f>"85048"</f>
        <v>85048</v>
      </c>
      <c r="AY701" t="s">
        <v>118</v>
      </c>
      <c r="BA701" s="10">
        <v>14809411885</v>
      </c>
      <c r="BC701" t="s">
        <v>13686</v>
      </c>
      <c r="BD701" t="s">
        <v>13687</v>
      </c>
      <c r="BG701" t="s">
        <v>140</v>
      </c>
      <c r="BH701" s="1">
        <v>45215.833333333336</v>
      </c>
      <c r="BI701">
        <v>40</v>
      </c>
      <c r="BJ701">
        <v>0</v>
      </c>
      <c r="BK701">
        <v>8</v>
      </c>
      <c r="BL701">
        <v>8</v>
      </c>
      <c r="BM701">
        <v>8</v>
      </c>
      <c r="BN701">
        <v>8</v>
      </c>
      <c r="BO701">
        <v>8</v>
      </c>
      <c r="BP701">
        <v>0</v>
      </c>
      <c r="BQ701" t="str">
        <f>"6:00 AM"</f>
        <v>6:00 AM</v>
      </c>
      <c r="BR701" t="str">
        <f>"2:30 PM"</f>
        <v>2:30 PM</v>
      </c>
      <c r="BS701" t="s">
        <v>131</v>
      </c>
      <c r="BT701">
        <v>0</v>
      </c>
      <c r="BU701">
        <v>3</v>
      </c>
      <c r="BV701" t="s">
        <v>114</v>
      </c>
      <c r="BX701" s="2" t="s">
        <v>13688</v>
      </c>
      <c r="BY701" t="s">
        <v>13689</v>
      </c>
      <c r="CA701" t="s">
        <v>3309</v>
      </c>
      <c r="CB701" t="s">
        <v>140</v>
      </c>
      <c r="CC701" s="8" t="str">
        <f>"32459"</f>
        <v>32459</v>
      </c>
      <c r="CD701" t="s">
        <v>3313</v>
      </c>
      <c r="CE701" t="s">
        <v>3314</v>
      </c>
      <c r="CF701" s="12">
        <v>16.25</v>
      </c>
      <c r="CG701" s="12">
        <v>16.25</v>
      </c>
      <c r="CH701" s="12">
        <v>24.38</v>
      </c>
      <c r="CI701" s="12">
        <v>24.38</v>
      </c>
      <c r="CJ701" t="s">
        <v>135</v>
      </c>
      <c r="CK701" t="s">
        <v>13690</v>
      </c>
      <c r="CL701" t="s">
        <v>13691</v>
      </c>
      <c r="CO701" t="s">
        <v>132</v>
      </c>
      <c r="CP701" t="s">
        <v>136</v>
      </c>
      <c r="CQ701" t="s">
        <v>136</v>
      </c>
      <c r="CR701" t="s">
        <v>136</v>
      </c>
      <c r="CS701" t="s">
        <v>136</v>
      </c>
      <c r="CT701" t="s">
        <v>136</v>
      </c>
      <c r="CU701" t="s">
        <v>136</v>
      </c>
      <c r="CV701" t="s">
        <v>13692</v>
      </c>
      <c r="CW701" s="10" t="str">
        <f>"+19856432427"</f>
        <v>+19856432427</v>
      </c>
      <c r="CX701" t="s">
        <v>13682</v>
      </c>
      <c r="CY701" t="s">
        <v>132</v>
      </c>
      <c r="CZ701" t="s">
        <v>137</v>
      </c>
      <c r="DA701" t="s">
        <v>114</v>
      </c>
      <c r="DB701" t="s">
        <v>136</v>
      </c>
      <c r="DC701" t="s">
        <v>136</v>
      </c>
      <c r="DD701" t="s">
        <v>114</v>
      </c>
    </row>
    <row r="702" spans="1:108" ht="15" customHeight="1" x14ac:dyDescent="0.25">
      <c r="A702" t="s">
        <v>22228</v>
      </c>
      <c r="B702" t="s">
        <v>152</v>
      </c>
      <c r="C702" s="1">
        <v>45216.848141203707</v>
      </c>
      <c r="D702" s="1">
        <v>45258</v>
      </c>
      <c r="E702" t="s">
        <v>132</v>
      </c>
      <c r="F702" t="s">
        <v>4846</v>
      </c>
      <c r="G702" t="str">
        <f>"37-3011.00"</f>
        <v>37-3011.00</v>
      </c>
      <c r="H702" t="s">
        <v>429</v>
      </c>
      <c r="I702">
        <v>150</v>
      </c>
      <c r="J702">
        <v>150</v>
      </c>
      <c r="K702" s="1">
        <v>45306</v>
      </c>
      <c r="L702" s="1">
        <v>45610</v>
      </c>
      <c r="M702" s="1">
        <v>45306</v>
      </c>
      <c r="N702" s="1">
        <v>45610</v>
      </c>
      <c r="O702" t="s">
        <v>116</v>
      </c>
      <c r="P702" t="s">
        <v>13678</v>
      </c>
      <c r="Q702" t="s">
        <v>13679</v>
      </c>
      <c r="R702" t="s">
        <v>13680</v>
      </c>
      <c r="S702" t="s">
        <v>132</v>
      </c>
      <c r="T702" t="s">
        <v>5514</v>
      </c>
      <c r="U702" t="s">
        <v>333</v>
      </c>
      <c r="V702" s="8" t="str">
        <f>"70460"</f>
        <v>70460</v>
      </c>
      <c r="W702" t="s">
        <v>118</v>
      </c>
      <c r="X702" t="s">
        <v>132</v>
      </c>
      <c r="Y702" s="10">
        <v>19856432427</v>
      </c>
      <c r="AA702">
        <v>56173</v>
      </c>
      <c r="AB702" t="s">
        <v>13681</v>
      </c>
      <c r="AC702" t="s">
        <v>6096</v>
      </c>
      <c r="AE702" t="s">
        <v>161</v>
      </c>
      <c r="AF702" t="s">
        <v>13680</v>
      </c>
      <c r="AH702" t="s">
        <v>5514</v>
      </c>
      <c r="AI702" t="s">
        <v>333</v>
      </c>
      <c r="AJ702" s="8" t="str">
        <f>"70460"</f>
        <v>70460</v>
      </c>
      <c r="AK702" t="s">
        <v>118</v>
      </c>
      <c r="AM702" s="10">
        <v>19856432427</v>
      </c>
      <c r="AN702">
        <v>132</v>
      </c>
      <c r="AO702" t="s">
        <v>13682</v>
      </c>
      <c r="AP702" t="s">
        <v>248</v>
      </c>
      <c r="AQ702" t="s">
        <v>13683</v>
      </c>
      <c r="AR702" t="s">
        <v>3496</v>
      </c>
      <c r="AT702" t="s">
        <v>13684</v>
      </c>
      <c r="AU702" t="s">
        <v>13685</v>
      </c>
      <c r="AV702" t="s">
        <v>2960</v>
      </c>
      <c r="AW702" t="s">
        <v>558</v>
      </c>
      <c r="AX702" s="8" t="str">
        <f>"85048"</f>
        <v>85048</v>
      </c>
      <c r="AY702" t="s">
        <v>118</v>
      </c>
      <c r="BA702" s="10">
        <v>14809411885</v>
      </c>
      <c r="BC702" t="s">
        <v>13686</v>
      </c>
      <c r="BD702" t="s">
        <v>13687</v>
      </c>
      <c r="BG702" t="s">
        <v>140</v>
      </c>
      <c r="BH702" s="1">
        <v>45215.833333333336</v>
      </c>
      <c r="BI702">
        <v>40</v>
      </c>
      <c r="BJ702">
        <v>0</v>
      </c>
      <c r="BK702">
        <v>8</v>
      </c>
      <c r="BL702">
        <v>8</v>
      </c>
      <c r="BM702">
        <v>8</v>
      </c>
      <c r="BN702">
        <v>8</v>
      </c>
      <c r="BO702">
        <v>8</v>
      </c>
      <c r="BP702">
        <v>0</v>
      </c>
      <c r="BQ702" t="str">
        <f>"6:00 AM"</f>
        <v>6:00 AM</v>
      </c>
      <c r="BR702" t="str">
        <f>"2:30 PM"</f>
        <v>2:30 PM</v>
      </c>
      <c r="BS702" t="s">
        <v>131</v>
      </c>
      <c r="BT702">
        <v>0</v>
      </c>
      <c r="BU702">
        <v>3</v>
      </c>
      <c r="BV702" t="s">
        <v>114</v>
      </c>
      <c r="BX702" s="2" t="s">
        <v>13688</v>
      </c>
      <c r="BY702" t="s">
        <v>22229</v>
      </c>
      <c r="CA702" t="s">
        <v>2724</v>
      </c>
      <c r="CB702" t="s">
        <v>140</v>
      </c>
      <c r="CC702" s="8" t="str">
        <f>"32413"</f>
        <v>32413</v>
      </c>
      <c r="CD702" t="s">
        <v>2727</v>
      </c>
      <c r="CE702" t="s">
        <v>2728</v>
      </c>
      <c r="CF702" s="12">
        <v>15.6</v>
      </c>
      <c r="CG702" s="12">
        <v>15.6</v>
      </c>
      <c r="CH702" s="12">
        <v>23.4</v>
      </c>
      <c r="CI702" s="12">
        <v>23.4</v>
      </c>
      <c r="CJ702" t="s">
        <v>135</v>
      </c>
      <c r="CK702" t="s">
        <v>13690</v>
      </c>
      <c r="CL702" t="s">
        <v>22230</v>
      </c>
      <c r="CO702" t="s">
        <v>132</v>
      </c>
      <c r="CP702" t="s">
        <v>136</v>
      </c>
      <c r="CQ702" t="s">
        <v>136</v>
      </c>
      <c r="CR702" t="s">
        <v>136</v>
      </c>
      <c r="CS702" t="s">
        <v>136</v>
      </c>
      <c r="CT702" t="s">
        <v>136</v>
      </c>
      <c r="CU702" t="s">
        <v>136</v>
      </c>
      <c r="CV702" t="s">
        <v>13692</v>
      </c>
      <c r="CW702" s="10" t="str">
        <f>"+19856432427"</f>
        <v>+19856432427</v>
      </c>
      <c r="CX702" t="s">
        <v>13682</v>
      </c>
      <c r="CY702" t="s">
        <v>132</v>
      </c>
      <c r="CZ702" t="s">
        <v>137</v>
      </c>
      <c r="DA702" t="s">
        <v>114</v>
      </c>
      <c r="DB702" t="s">
        <v>136</v>
      </c>
      <c r="DC702" t="s">
        <v>136</v>
      </c>
      <c r="DD702" t="s">
        <v>114</v>
      </c>
    </row>
    <row r="703" spans="1:108" ht="15" customHeight="1" x14ac:dyDescent="0.25">
      <c r="A703" t="s">
        <v>21243</v>
      </c>
      <c r="B703" t="s">
        <v>152</v>
      </c>
      <c r="C703" s="1">
        <v>45216.846431944447</v>
      </c>
      <c r="D703" s="1">
        <v>45258</v>
      </c>
      <c r="E703" t="s">
        <v>132</v>
      </c>
      <c r="F703" t="s">
        <v>4846</v>
      </c>
      <c r="G703" t="str">
        <f>"37-3011.00"</f>
        <v>37-3011.00</v>
      </c>
      <c r="H703" t="s">
        <v>429</v>
      </c>
      <c r="I703">
        <v>150</v>
      </c>
      <c r="J703">
        <v>150</v>
      </c>
      <c r="K703" s="1">
        <v>45306</v>
      </c>
      <c r="L703" s="1">
        <v>45610</v>
      </c>
      <c r="M703" s="1">
        <v>45306</v>
      </c>
      <c r="N703" s="1">
        <v>45610</v>
      </c>
      <c r="O703" t="s">
        <v>116</v>
      </c>
      <c r="P703" t="s">
        <v>13678</v>
      </c>
      <c r="Q703" t="s">
        <v>13679</v>
      </c>
      <c r="R703" t="s">
        <v>13680</v>
      </c>
      <c r="S703" t="s">
        <v>132</v>
      </c>
      <c r="T703" t="s">
        <v>5514</v>
      </c>
      <c r="U703" t="s">
        <v>333</v>
      </c>
      <c r="V703" s="8" t="str">
        <f>"70460"</f>
        <v>70460</v>
      </c>
      <c r="W703" t="s">
        <v>118</v>
      </c>
      <c r="X703" t="s">
        <v>132</v>
      </c>
      <c r="Y703" s="10">
        <v>19856432427</v>
      </c>
      <c r="AA703">
        <v>56173</v>
      </c>
      <c r="AB703" t="s">
        <v>13681</v>
      </c>
      <c r="AC703" t="s">
        <v>6096</v>
      </c>
      <c r="AE703" t="s">
        <v>161</v>
      </c>
      <c r="AF703" t="s">
        <v>13680</v>
      </c>
      <c r="AH703" t="s">
        <v>5514</v>
      </c>
      <c r="AI703" t="s">
        <v>333</v>
      </c>
      <c r="AJ703" s="8" t="str">
        <f>"70460"</f>
        <v>70460</v>
      </c>
      <c r="AK703" t="s">
        <v>118</v>
      </c>
      <c r="AM703" s="10">
        <v>19856432427</v>
      </c>
      <c r="AN703">
        <v>132</v>
      </c>
      <c r="AO703" t="s">
        <v>13682</v>
      </c>
      <c r="AP703" t="s">
        <v>248</v>
      </c>
      <c r="AQ703" t="s">
        <v>13683</v>
      </c>
      <c r="AR703" t="s">
        <v>3496</v>
      </c>
      <c r="AT703" t="s">
        <v>13684</v>
      </c>
      <c r="AU703" t="s">
        <v>13685</v>
      </c>
      <c r="AV703" t="s">
        <v>2960</v>
      </c>
      <c r="AW703" t="s">
        <v>558</v>
      </c>
      <c r="AX703" s="8" t="str">
        <f>"85048"</f>
        <v>85048</v>
      </c>
      <c r="AY703" t="s">
        <v>118</v>
      </c>
      <c r="BA703" s="10">
        <v>14809411885</v>
      </c>
      <c r="BC703" t="s">
        <v>13686</v>
      </c>
      <c r="BD703" t="s">
        <v>13687</v>
      </c>
      <c r="BG703" t="s">
        <v>1598</v>
      </c>
      <c r="BH703" s="1">
        <v>45215.833333333336</v>
      </c>
      <c r="BI703">
        <v>40</v>
      </c>
      <c r="BJ703">
        <v>0</v>
      </c>
      <c r="BK703">
        <v>8</v>
      </c>
      <c r="BL703">
        <v>8</v>
      </c>
      <c r="BM703">
        <v>8</v>
      </c>
      <c r="BN703">
        <v>8</v>
      </c>
      <c r="BO703">
        <v>8</v>
      </c>
      <c r="BP703">
        <v>0</v>
      </c>
      <c r="BQ703" t="str">
        <f>"6:00 AM"</f>
        <v>6:00 AM</v>
      </c>
      <c r="BR703" t="str">
        <f>"2:30 PM"</f>
        <v>2:30 PM</v>
      </c>
      <c r="BS703" t="s">
        <v>131</v>
      </c>
      <c r="BT703">
        <v>0</v>
      </c>
      <c r="BU703">
        <v>3</v>
      </c>
      <c r="BV703" t="s">
        <v>114</v>
      </c>
      <c r="BX703" s="2" t="s">
        <v>13688</v>
      </c>
      <c r="BY703" t="s">
        <v>21244</v>
      </c>
      <c r="BZ703" t="s">
        <v>5434</v>
      </c>
      <c r="CA703" t="s">
        <v>17425</v>
      </c>
      <c r="CB703" t="s">
        <v>1598</v>
      </c>
      <c r="CC703" s="8" t="str">
        <f>"35010"</f>
        <v>35010</v>
      </c>
      <c r="CD703" t="s">
        <v>1897</v>
      </c>
      <c r="CE703" t="s">
        <v>1898</v>
      </c>
      <c r="CF703" s="12">
        <v>13.71</v>
      </c>
      <c r="CG703" s="12">
        <v>13.71</v>
      </c>
      <c r="CH703" s="12">
        <v>20.57</v>
      </c>
      <c r="CI703" s="12">
        <v>20.57</v>
      </c>
      <c r="CJ703" t="s">
        <v>135</v>
      </c>
      <c r="CK703" t="s">
        <v>13690</v>
      </c>
      <c r="CL703" t="s">
        <v>21245</v>
      </c>
      <c r="CO703" t="s">
        <v>132</v>
      </c>
      <c r="CP703" t="s">
        <v>136</v>
      </c>
      <c r="CQ703" t="s">
        <v>136</v>
      </c>
      <c r="CR703" t="s">
        <v>136</v>
      </c>
      <c r="CS703" t="s">
        <v>136</v>
      </c>
      <c r="CT703" t="s">
        <v>136</v>
      </c>
      <c r="CU703" t="s">
        <v>136</v>
      </c>
      <c r="CV703" t="s">
        <v>13692</v>
      </c>
      <c r="CW703" s="10" t="str">
        <f>"+19856432427"</f>
        <v>+19856432427</v>
      </c>
      <c r="CX703" t="s">
        <v>13682</v>
      </c>
      <c r="CY703" t="s">
        <v>132</v>
      </c>
      <c r="CZ703" t="s">
        <v>137</v>
      </c>
      <c r="DA703" t="s">
        <v>114</v>
      </c>
      <c r="DB703" t="s">
        <v>136</v>
      </c>
      <c r="DC703" t="s">
        <v>136</v>
      </c>
      <c r="DD703" t="s">
        <v>114</v>
      </c>
    </row>
    <row r="704" spans="1:108" ht="15" customHeight="1" x14ac:dyDescent="0.25">
      <c r="A704" t="s">
        <v>23896</v>
      </c>
      <c r="B704" t="s">
        <v>152</v>
      </c>
      <c r="C704" s="1">
        <v>45216.844540046295</v>
      </c>
      <c r="D704" s="1">
        <v>45258</v>
      </c>
      <c r="E704" t="s">
        <v>132</v>
      </c>
      <c r="F704" t="s">
        <v>4846</v>
      </c>
      <c r="G704" t="str">
        <f>"37-3011.00"</f>
        <v>37-3011.00</v>
      </c>
      <c r="H704" t="s">
        <v>429</v>
      </c>
      <c r="I704">
        <v>150</v>
      </c>
      <c r="J704">
        <v>150</v>
      </c>
      <c r="K704" s="1">
        <v>45306</v>
      </c>
      <c r="L704" s="1">
        <v>45610</v>
      </c>
      <c r="M704" s="1">
        <v>45306</v>
      </c>
      <c r="N704" s="1">
        <v>45610</v>
      </c>
      <c r="O704" t="s">
        <v>116</v>
      </c>
      <c r="P704" t="s">
        <v>13678</v>
      </c>
      <c r="Q704" t="s">
        <v>13679</v>
      </c>
      <c r="R704" t="s">
        <v>13680</v>
      </c>
      <c r="S704" t="s">
        <v>132</v>
      </c>
      <c r="T704" t="s">
        <v>5514</v>
      </c>
      <c r="U704" t="s">
        <v>333</v>
      </c>
      <c r="V704" s="8" t="str">
        <f>"70460"</f>
        <v>70460</v>
      </c>
      <c r="W704" t="s">
        <v>118</v>
      </c>
      <c r="X704" t="s">
        <v>132</v>
      </c>
      <c r="Y704" s="10">
        <v>19856432427</v>
      </c>
      <c r="AA704">
        <v>561730</v>
      </c>
      <c r="AB704" t="s">
        <v>13681</v>
      </c>
      <c r="AC704" t="s">
        <v>6096</v>
      </c>
      <c r="AE704" t="s">
        <v>161</v>
      </c>
      <c r="AF704" t="s">
        <v>13680</v>
      </c>
      <c r="AH704" t="s">
        <v>5514</v>
      </c>
      <c r="AI704" t="s">
        <v>333</v>
      </c>
      <c r="AJ704" s="8" t="str">
        <f>"70460"</f>
        <v>70460</v>
      </c>
      <c r="AK704" t="s">
        <v>118</v>
      </c>
      <c r="AM704" s="10">
        <v>19856432427</v>
      </c>
      <c r="AN704">
        <v>132</v>
      </c>
      <c r="AO704" t="s">
        <v>13682</v>
      </c>
      <c r="AP704" t="s">
        <v>248</v>
      </c>
      <c r="AQ704" t="s">
        <v>13683</v>
      </c>
      <c r="AR704" t="s">
        <v>3496</v>
      </c>
      <c r="AT704" t="s">
        <v>13684</v>
      </c>
      <c r="AU704" t="s">
        <v>13685</v>
      </c>
      <c r="AV704" t="s">
        <v>2960</v>
      </c>
      <c r="AW704" t="s">
        <v>558</v>
      </c>
      <c r="AX704" s="8" t="str">
        <f>"85048"</f>
        <v>85048</v>
      </c>
      <c r="AY704" t="s">
        <v>118</v>
      </c>
      <c r="BA704" s="10">
        <v>14809411885</v>
      </c>
      <c r="BC704" t="s">
        <v>13686</v>
      </c>
      <c r="BD704" t="s">
        <v>13687</v>
      </c>
      <c r="BG704" t="s">
        <v>333</v>
      </c>
      <c r="BH704" s="1">
        <v>45215.833333333336</v>
      </c>
      <c r="BI704">
        <v>40</v>
      </c>
      <c r="BJ704">
        <v>0</v>
      </c>
      <c r="BK704">
        <v>8</v>
      </c>
      <c r="BL704">
        <v>8</v>
      </c>
      <c r="BM704">
        <v>8</v>
      </c>
      <c r="BN704">
        <v>8</v>
      </c>
      <c r="BO704">
        <v>8</v>
      </c>
      <c r="BP704">
        <v>0</v>
      </c>
      <c r="BQ704" t="str">
        <f>"6:00 AM"</f>
        <v>6:00 AM</v>
      </c>
      <c r="BR704" t="str">
        <f>"2:30 PM"</f>
        <v>2:30 PM</v>
      </c>
      <c r="BS704" t="s">
        <v>131</v>
      </c>
      <c r="BT704">
        <v>0</v>
      </c>
      <c r="BU704">
        <v>3</v>
      </c>
      <c r="BV704" t="s">
        <v>114</v>
      </c>
      <c r="BX704" s="2" t="s">
        <v>13688</v>
      </c>
      <c r="BY704" t="s">
        <v>23897</v>
      </c>
      <c r="CA704" t="s">
        <v>21368</v>
      </c>
      <c r="CB704" t="s">
        <v>333</v>
      </c>
      <c r="CC704" s="8" t="str">
        <f>"70665"</f>
        <v>70665</v>
      </c>
      <c r="CD704" t="s">
        <v>6094</v>
      </c>
      <c r="CE704" t="s">
        <v>6095</v>
      </c>
      <c r="CF704" s="12">
        <v>14.35</v>
      </c>
      <c r="CG704" s="12">
        <v>14.35</v>
      </c>
      <c r="CH704" s="12">
        <v>21.53</v>
      </c>
      <c r="CI704" s="12">
        <v>21.53</v>
      </c>
      <c r="CJ704" t="s">
        <v>135</v>
      </c>
      <c r="CK704" t="s">
        <v>13690</v>
      </c>
      <c r="CL704" t="s">
        <v>23898</v>
      </c>
      <c r="CO704" t="s">
        <v>132</v>
      </c>
      <c r="CP704" t="s">
        <v>136</v>
      </c>
      <c r="CQ704" t="s">
        <v>136</v>
      </c>
      <c r="CR704" t="s">
        <v>136</v>
      </c>
      <c r="CS704" t="s">
        <v>136</v>
      </c>
      <c r="CT704" t="s">
        <v>136</v>
      </c>
      <c r="CU704" t="s">
        <v>136</v>
      </c>
      <c r="CV704" t="s">
        <v>13692</v>
      </c>
      <c r="CW704" s="10" t="str">
        <f>"+19856432427"</f>
        <v>+19856432427</v>
      </c>
      <c r="CX704" t="s">
        <v>13682</v>
      </c>
      <c r="CY704" t="s">
        <v>132</v>
      </c>
      <c r="CZ704" t="s">
        <v>137</v>
      </c>
      <c r="DA704" t="s">
        <v>114</v>
      </c>
      <c r="DB704" t="s">
        <v>136</v>
      </c>
      <c r="DC704" t="s">
        <v>136</v>
      </c>
      <c r="DD704" t="s">
        <v>114</v>
      </c>
    </row>
    <row r="705" spans="1:108" ht="15" customHeight="1" x14ac:dyDescent="0.25">
      <c r="A705" t="s">
        <v>14874</v>
      </c>
      <c r="B705" t="s">
        <v>152</v>
      </c>
      <c r="C705" s="1">
        <v>45216.741314004626</v>
      </c>
      <c r="D705" s="1">
        <v>45258</v>
      </c>
      <c r="E705" t="s">
        <v>132</v>
      </c>
      <c r="F705" t="s">
        <v>4846</v>
      </c>
      <c r="G705" t="str">
        <f>"37-3011.00"</f>
        <v>37-3011.00</v>
      </c>
      <c r="H705" t="s">
        <v>429</v>
      </c>
      <c r="I705">
        <v>160</v>
      </c>
      <c r="J705">
        <v>160</v>
      </c>
      <c r="K705" s="1">
        <v>45306</v>
      </c>
      <c r="L705" s="1">
        <v>45610</v>
      </c>
      <c r="M705" s="1">
        <v>45306</v>
      </c>
      <c r="N705" s="1">
        <v>45610</v>
      </c>
      <c r="O705" t="s">
        <v>116</v>
      </c>
      <c r="P705" t="s">
        <v>13678</v>
      </c>
      <c r="Q705" t="s">
        <v>13679</v>
      </c>
      <c r="R705" t="s">
        <v>13680</v>
      </c>
      <c r="S705" t="s">
        <v>132</v>
      </c>
      <c r="T705" t="s">
        <v>5514</v>
      </c>
      <c r="U705" t="s">
        <v>333</v>
      </c>
      <c r="V705" s="8" t="str">
        <f>"70460"</f>
        <v>70460</v>
      </c>
      <c r="W705" t="s">
        <v>118</v>
      </c>
      <c r="X705" t="s">
        <v>132</v>
      </c>
      <c r="Y705" s="10">
        <v>19856432427</v>
      </c>
      <c r="AA705">
        <v>56173</v>
      </c>
      <c r="AB705" t="s">
        <v>13681</v>
      </c>
      <c r="AC705" t="s">
        <v>6096</v>
      </c>
      <c r="AE705" t="s">
        <v>161</v>
      </c>
      <c r="AF705" t="s">
        <v>13680</v>
      </c>
      <c r="AH705" t="s">
        <v>5514</v>
      </c>
      <c r="AI705" t="s">
        <v>333</v>
      </c>
      <c r="AJ705" s="8" t="str">
        <f>"70460"</f>
        <v>70460</v>
      </c>
      <c r="AK705" t="s">
        <v>118</v>
      </c>
      <c r="AM705" s="10">
        <v>19856432427</v>
      </c>
      <c r="AN705">
        <v>132</v>
      </c>
      <c r="AO705" t="s">
        <v>13682</v>
      </c>
      <c r="AP705" t="s">
        <v>248</v>
      </c>
      <c r="AQ705" t="s">
        <v>13683</v>
      </c>
      <c r="AR705" t="s">
        <v>3496</v>
      </c>
      <c r="AT705" t="s">
        <v>13684</v>
      </c>
      <c r="AU705" t="s">
        <v>13685</v>
      </c>
      <c r="AV705" t="s">
        <v>2960</v>
      </c>
      <c r="AW705" t="s">
        <v>558</v>
      </c>
      <c r="AX705" s="8" t="str">
        <f>"85048"</f>
        <v>85048</v>
      </c>
      <c r="AY705" t="s">
        <v>118</v>
      </c>
      <c r="BA705" s="10">
        <v>14809411885</v>
      </c>
      <c r="BC705" t="s">
        <v>13686</v>
      </c>
      <c r="BD705" t="s">
        <v>13687</v>
      </c>
      <c r="BG705" t="s">
        <v>333</v>
      </c>
      <c r="BH705" s="1">
        <v>45215.833333333336</v>
      </c>
      <c r="BI705">
        <v>40</v>
      </c>
      <c r="BJ705">
        <v>0</v>
      </c>
      <c r="BK705">
        <v>8</v>
      </c>
      <c r="BL705">
        <v>8</v>
      </c>
      <c r="BM705">
        <v>8</v>
      </c>
      <c r="BN705">
        <v>8</v>
      </c>
      <c r="BO705">
        <v>8</v>
      </c>
      <c r="BP705">
        <v>0</v>
      </c>
      <c r="BQ705" t="str">
        <f>"6:00 AM"</f>
        <v>6:00 AM</v>
      </c>
      <c r="BR705" t="str">
        <f>"2:30 PM"</f>
        <v>2:30 PM</v>
      </c>
      <c r="BS705" t="s">
        <v>131</v>
      </c>
      <c r="BT705">
        <v>0</v>
      </c>
      <c r="BU705">
        <v>3</v>
      </c>
      <c r="BV705" t="s">
        <v>114</v>
      </c>
      <c r="BX705" s="2" t="s">
        <v>13688</v>
      </c>
      <c r="BY705" t="s">
        <v>14875</v>
      </c>
      <c r="CA705" t="s">
        <v>2189</v>
      </c>
      <c r="CB705" t="s">
        <v>333</v>
      </c>
      <c r="CC705" s="8" t="str">
        <f>"70506"</f>
        <v>70506</v>
      </c>
      <c r="CD705" t="s">
        <v>2900</v>
      </c>
      <c r="CE705" t="s">
        <v>1818</v>
      </c>
      <c r="CF705" s="12">
        <v>14.42</v>
      </c>
      <c r="CG705" s="12">
        <v>14.42</v>
      </c>
      <c r="CH705" s="12">
        <v>21.63</v>
      </c>
      <c r="CI705" s="12">
        <v>21.63</v>
      </c>
      <c r="CJ705" t="s">
        <v>135</v>
      </c>
      <c r="CK705" t="s">
        <v>13690</v>
      </c>
      <c r="CL705" t="s">
        <v>14876</v>
      </c>
      <c r="CO705" t="s">
        <v>132</v>
      </c>
      <c r="CP705" t="s">
        <v>136</v>
      </c>
      <c r="CQ705" t="s">
        <v>136</v>
      </c>
      <c r="CR705" t="s">
        <v>136</v>
      </c>
      <c r="CS705" t="s">
        <v>136</v>
      </c>
      <c r="CT705" t="s">
        <v>136</v>
      </c>
      <c r="CU705" t="s">
        <v>136</v>
      </c>
      <c r="CV705" s="2" t="s">
        <v>14877</v>
      </c>
      <c r="CW705" s="10" t="str">
        <f>"+19856432427"</f>
        <v>+19856432427</v>
      </c>
      <c r="CX705" t="s">
        <v>13682</v>
      </c>
      <c r="CY705" t="s">
        <v>132</v>
      </c>
      <c r="CZ705" t="s">
        <v>137</v>
      </c>
      <c r="DA705" t="s">
        <v>114</v>
      </c>
      <c r="DB705" t="s">
        <v>136</v>
      </c>
      <c r="DC705" t="s">
        <v>136</v>
      </c>
      <c r="DD705" t="s">
        <v>114</v>
      </c>
    </row>
    <row r="706" spans="1:108" ht="15" customHeight="1" x14ac:dyDescent="0.25">
      <c r="A706" t="s">
        <v>2388</v>
      </c>
      <c r="B706" t="s">
        <v>152</v>
      </c>
      <c r="C706" s="1">
        <v>45210.620678587962</v>
      </c>
      <c r="D706" s="1">
        <v>45258</v>
      </c>
      <c r="E706" t="s">
        <v>132</v>
      </c>
      <c r="F706" t="s">
        <v>944</v>
      </c>
      <c r="G706" t="str">
        <f>"49-9098.00"</f>
        <v>49-9098.00</v>
      </c>
      <c r="H706" t="s">
        <v>945</v>
      </c>
      <c r="I706">
        <v>10</v>
      </c>
      <c r="J706">
        <v>10</v>
      </c>
      <c r="K706" s="1">
        <v>45292</v>
      </c>
      <c r="L706" s="1">
        <v>45383</v>
      </c>
      <c r="M706" s="1">
        <v>45292</v>
      </c>
      <c r="N706" s="1">
        <v>45383</v>
      </c>
      <c r="O706" t="s">
        <v>238</v>
      </c>
      <c r="P706" t="s">
        <v>2389</v>
      </c>
      <c r="Q706" t="s">
        <v>2390</v>
      </c>
      <c r="R706" t="s">
        <v>2391</v>
      </c>
      <c r="T706" t="s">
        <v>1948</v>
      </c>
      <c r="U706" t="s">
        <v>222</v>
      </c>
      <c r="V706" s="8" t="str">
        <f>"01887"</f>
        <v>01887</v>
      </c>
      <c r="W706" t="s">
        <v>118</v>
      </c>
      <c r="Y706" s="10">
        <v>19786583928</v>
      </c>
      <c r="Z706" s="3" t="s">
        <v>256</v>
      </c>
      <c r="AA706">
        <v>71119</v>
      </c>
      <c r="AB706" t="s">
        <v>2392</v>
      </c>
      <c r="AC706" t="s">
        <v>2393</v>
      </c>
      <c r="AD706" t="s">
        <v>2394</v>
      </c>
      <c r="AE706" t="s">
        <v>1283</v>
      </c>
      <c r="AF706" t="s">
        <v>2391</v>
      </c>
      <c r="AH706" t="s">
        <v>1948</v>
      </c>
      <c r="AI706" t="s">
        <v>222</v>
      </c>
      <c r="AJ706" s="8" t="str">
        <f>"01887"</f>
        <v>01887</v>
      </c>
      <c r="AK706" t="s">
        <v>118</v>
      </c>
      <c r="AM706" s="10">
        <v>19786040183</v>
      </c>
      <c r="AN706" s="3" t="s">
        <v>256</v>
      </c>
      <c r="AO706" t="s">
        <v>2395</v>
      </c>
      <c r="AP706" t="s">
        <v>248</v>
      </c>
      <c r="AQ706" t="s">
        <v>249</v>
      </c>
      <c r="AR706" t="s">
        <v>250</v>
      </c>
      <c r="AS706" t="s">
        <v>251</v>
      </c>
      <c r="AT706" t="s">
        <v>252</v>
      </c>
      <c r="AU706" t="s">
        <v>253</v>
      </c>
      <c r="AV706" t="s">
        <v>254</v>
      </c>
      <c r="AW706" t="s">
        <v>127</v>
      </c>
      <c r="AX706" s="8" t="str">
        <f>"78550"</f>
        <v>78550</v>
      </c>
      <c r="AY706" t="s">
        <v>118</v>
      </c>
      <c r="AZ706" t="s">
        <v>692</v>
      </c>
      <c r="BA706" s="10">
        <v>19564408720</v>
      </c>
      <c r="BB706" s="3" t="s">
        <v>256</v>
      </c>
      <c r="BC706" t="s">
        <v>338</v>
      </c>
      <c r="BD706" t="s">
        <v>258</v>
      </c>
      <c r="BG706" t="s">
        <v>222</v>
      </c>
      <c r="BH706" s="1">
        <v>45209.833333333336</v>
      </c>
      <c r="BI706">
        <v>40</v>
      </c>
      <c r="BJ706">
        <v>0</v>
      </c>
      <c r="BK706">
        <v>8</v>
      </c>
      <c r="BL706">
        <v>8</v>
      </c>
      <c r="BM706">
        <v>8</v>
      </c>
      <c r="BN706">
        <v>8</v>
      </c>
      <c r="BO706">
        <v>8</v>
      </c>
      <c r="BP706">
        <v>0</v>
      </c>
      <c r="BQ706" t="str">
        <f>"8:00 AM"</f>
        <v>8:00 AM</v>
      </c>
      <c r="BR706" t="str">
        <f>"5:00 PM"</f>
        <v>5:00 PM</v>
      </c>
      <c r="BS706" t="s">
        <v>131</v>
      </c>
      <c r="BT706">
        <v>0</v>
      </c>
      <c r="BU706">
        <v>0</v>
      </c>
      <c r="BV706" t="s">
        <v>114</v>
      </c>
      <c r="BX706" s="2" t="s">
        <v>2396</v>
      </c>
      <c r="BY706" t="s">
        <v>2397</v>
      </c>
      <c r="CA706" t="s">
        <v>1948</v>
      </c>
      <c r="CB706" t="s">
        <v>222</v>
      </c>
      <c r="CC706" s="8" t="str">
        <f>"01887"</f>
        <v>01887</v>
      </c>
      <c r="CD706" t="s">
        <v>2398</v>
      </c>
      <c r="CE706" t="s">
        <v>2399</v>
      </c>
      <c r="CF706" s="12">
        <v>21.73</v>
      </c>
      <c r="CG706" s="12">
        <v>21.73</v>
      </c>
      <c r="CJ706" t="s">
        <v>135</v>
      </c>
      <c r="CK706" t="s">
        <v>342</v>
      </c>
      <c r="CL706" t="s">
        <v>2400</v>
      </c>
      <c r="CO706" t="s">
        <v>132</v>
      </c>
      <c r="CP706" t="s">
        <v>114</v>
      </c>
      <c r="CQ706" t="s">
        <v>136</v>
      </c>
      <c r="CR706" t="s">
        <v>114</v>
      </c>
      <c r="CS706" t="s">
        <v>136</v>
      </c>
      <c r="CT706" t="s">
        <v>136</v>
      </c>
      <c r="CU706" t="s">
        <v>136</v>
      </c>
      <c r="CV706" t="s">
        <v>344</v>
      </c>
      <c r="CW706" s="10" t="str">
        <f>"+19782733858"</f>
        <v>+19782733858</v>
      </c>
      <c r="CX706" t="s">
        <v>2401</v>
      </c>
      <c r="CY706" t="s">
        <v>132</v>
      </c>
      <c r="CZ706" t="s">
        <v>137</v>
      </c>
      <c r="DA706" t="s">
        <v>114</v>
      </c>
      <c r="DB706" t="s">
        <v>136</v>
      </c>
      <c r="DC706" t="s">
        <v>136</v>
      </c>
      <c r="DD706" t="s">
        <v>114</v>
      </c>
    </row>
    <row r="707" spans="1:108" ht="15" customHeight="1" x14ac:dyDescent="0.25">
      <c r="A707" t="s">
        <v>21059</v>
      </c>
      <c r="B707" t="s">
        <v>152</v>
      </c>
      <c r="C707" s="1">
        <v>45206.463976273146</v>
      </c>
      <c r="D707" s="1">
        <v>45258</v>
      </c>
      <c r="E707" t="s">
        <v>132</v>
      </c>
      <c r="F707" t="s">
        <v>685</v>
      </c>
      <c r="G707" t="str">
        <f>"39-3091.00"</f>
        <v>39-3091.00</v>
      </c>
      <c r="H707" t="s">
        <v>237</v>
      </c>
      <c r="I707">
        <v>25</v>
      </c>
      <c r="J707">
        <v>25</v>
      </c>
      <c r="K707" s="1">
        <v>45296</v>
      </c>
      <c r="L707" s="1">
        <v>45600</v>
      </c>
      <c r="M707" s="1">
        <v>45296</v>
      </c>
      <c r="N707" s="1">
        <v>45600</v>
      </c>
      <c r="O707" t="s">
        <v>238</v>
      </c>
      <c r="P707" t="s">
        <v>4350</v>
      </c>
      <c r="R707" t="s">
        <v>4351</v>
      </c>
      <c r="S707" t="s">
        <v>4352</v>
      </c>
      <c r="T707" t="s">
        <v>4353</v>
      </c>
      <c r="U707" t="s">
        <v>140</v>
      </c>
      <c r="V707" s="8" t="str">
        <f>"33598"</f>
        <v>33598</v>
      </c>
      <c r="W707" t="s">
        <v>118</v>
      </c>
      <c r="Y707" s="10">
        <v>18133407395</v>
      </c>
      <c r="Z707" s="3" t="s">
        <v>256</v>
      </c>
      <c r="AA707">
        <v>71399</v>
      </c>
      <c r="AB707" t="s">
        <v>4354</v>
      </c>
      <c r="AC707" t="s">
        <v>3077</v>
      </c>
      <c r="AE707" t="s">
        <v>561</v>
      </c>
      <c r="AF707" t="s">
        <v>4351</v>
      </c>
      <c r="AG707" t="s">
        <v>4352</v>
      </c>
      <c r="AH707" t="s">
        <v>4353</v>
      </c>
      <c r="AI707" t="s">
        <v>140</v>
      </c>
      <c r="AJ707" s="8" t="str">
        <f>"33598"</f>
        <v>33598</v>
      </c>
      <c r="AK707" t="s">
        <v>118</v>
      </c>
      <c r="AM707" s="10">
        <v>18133407395</v>
      </c>
      <c r="AN707" s="3" t="s">
        <v>256</v>
      </c>
      <c r="AO707" t="s">
        <v>4355</v>
      </c>
      <c r="AP707" t="s">
        <v>248</v>
      </c>
      <c r="AQ707" t="s">
        <v>249</v>
      </c>
      <c r="AR707" t="s">
        <v>250</v>
      </c>
      <c r="AS707" t="s">
        <v>251</v>
      </c>
      <c r="AT707" t="s">
        <v>252</v>
      </c>
      <c r="AU707" t="s">
        <v>253</v>
      </c>
      <c r="AV707" t="s">
        <v>254</v>
      </c>
      <c r="AW707" t="s">
        <v>127</v>
      </c>
      <c r="AX707" s="8" t="str">
        <f>"78550"</f>
        <v>78550</v>
      </c>
      <c r="AY707" t="s">
        <v>118</v>
      </c>
      <c r="AZ707" t="s">
        <v>255</v>
      </c>
      <c r="BA707" s="10">
        <v>19564408720</v>
      </c>
      <c r="BB707" s="3" t="s">
        <v>256</v>
      </c>
      <c r="BC707" t="s">
        <v>338</v>
      </c>
      <c r="BD707" t="s">
        <v>258</v>
      </c>
      <c r="BG707" t="s">
        <v>140</v>
      </c>
      <c r="BH707" s="1">
        <v>45205.833333333336</v>
      </c>
      <c r="BI707">
        <v>40</v>
      </c>
      <c r="BJ707">
        <v>8</v>
      </c>
      <c r="BK707">
        <v>0</v>
      </c>
      <c r="BL707">
        <v>0</v>
      </c>
      <c r="BM707">
        <v>8</v>
      </c>
      <c r="BN707">
        <v>8</v>
      </c>
      <c r="BO707">
        <v>8</v>
      </c>
      <c r="BP707">
        <v>8</v>
      </c>
      <c r="BQ707" t="str">
        <f>"1:00 PM"</f>
        <v>1:00 PM</v>
      </c>
      <c r="BR707" t="str">
        <f>"10:00 PM"</f>
        <v>10:00 PM</v>
      </c>
      <c r="BS707" t="s">
        <v>131</v>
      </c>
      <c r="BT707">
        <v>0</v>
      </c>
      <c r="BU707">
        <v>0</v>
      </c>
      <c r="BV707" t="s">
        <v>114</v>
      </c>
      <c r="BX707" s="2" t="s">
        <v>339</v>
      </c>
      <c r="BY707" t="s">
        <v>4351</v>
      </c>
      <c r="CA707" t="s">
        <v>4353</v>
      </c>
      <c r="CB707" t="s">
        <v>140</v>
      </c>
      <c r="CC707" s="8" t="str">
        <f>"33598"</f>
        <v>33598</v>
      </c>
      <c r="CD707" t="s">
        <v>781</v>
      </c>
      <c r="CE707" t="s">
        <v>467</v>
      </c>
      <c r="CF707" s="12">
        <v>10.87</v>
      </c>
      <c r="CG707" s="12">
        <v>16.3</v>
      </c>
      <c r="CJ707" t="s">
        <v>135</v>
      </c>
      <c r="CK707" t="s">
        <v>342</v>
      </c>
      <c r="CL707" t="s">
        <v>21060</v>
      </c>
      <c r="CO707" t="s">
        <v>132</v>
      </c>
      <c r="CP707" t="s">
        <v>136</v>
      </c>
      <c r="CQ707" t="s">
        <v>136</v>
      </c>
      <c r="CR707" t="s">
        <v>114</v>
      </c>
      <c r="CS707" t="s">
        <v>136</v>
      </c>
      <c r="CT707" t="s">
        <v>136</v>
      </c>
      <c r="CU707" t="s">
        <v>136</v>
      </c>
      <c r="CV707" t="s">
        <v>698</v>
      </c>
      <c r="CW707" s="10" t="str">
        <f>"+18133407395"</f>
        <v>+18133407395</v>
      </c>
      <c r="CX707" t="s">
        <v>4355</v>
      </c>
      <c r="CY707" t="s">
        <v>132</v>
      </c>
      <c r="CZ707" t="s">
        <v>137</v>
      </c>
      <c r="DA707" t="s">
        <v>114</v>
      </c>
      <c r="DB707" t="s">
        <v>136</v>
      </c>
      <c r="DC707" t="s">
        <v>136</v>
      </c>
      <c r="DD707" t="s">
        <v>114</v>
      </c>
    </row>
    <row r="708" spans="1:108" ht="15" customHeight="1" x14ac:dyDescent="0.25">
      <c r="A708" t="s">
        <v>24050</v>
      </c>
      <c r="B708" t="s">
        <v>152</v>
      </c>
      <c r="C708" s="1">
        <v>45202.961162847219</v>
      </c>
      <c r="D708" s="1">
        <v>45258</v>
      </c>
      <c r="E708" t="s">
        <v>132</v>
      </c>
      <c r="F708" t="s">
        <v>449</v>
      </c>
      <c r="G708" t="str">
        <f>"37-2012.00"</f>
        <v>37-2012.00</v>
      </c>
      <c r="H708" t="s">
        <v>205</v>
      </c>
      <c r="I708">
        <v>30</v>
      </c>
      <c r="J708">
        <v>30</v>
      </c>
      <c r="K708" s="1">
        <v>45292</v>
      </c>
      <c r="L708" s="1">
        <v>45596</v>
      </c>
      <c r="M708" s="1">
        <v>45292</v>
      </c>
      <c r="N708" s="1">
        <v>45596</v>
      </c>
      <c r="O708" t="s">
        <v>116</v>
      </c>
      <c r="P708" t="s">
        <v>13597</v>
      </c>
      <c r="Q708" t="s">
        <v>13598</v>
      </c>
      <c r="R708" t="s">
        <v>13599</v>
      </c>
      <c r="T708" t="s">
        <v>3825</v>
      </c>
      <c r="U708" t="s">
        <v>993</v>
      </c>
      <c r="V708" s="8" t="str">
        <f>"53965"</f>
        <v>53965</v>
      </c>
      <c r="W708" t="s">
        <v>118</v>
      </c>
      <c r="Y708" s="10">
        <v>16082548366</v>
      </c>
      <c r="AA708">
        <v>721110</v>
      </c>
      <c r="AB708" t="s">
        <v>13600</v>
      </c>
      <c r="AC708" t="s">
        <v>5374</v>
      </c>
      <c r="AE708" t="s">
        <v>629</v>
      </c>
      <c r="AF708" t="s">
        <v>13599</v>
      </c>
      <c r="AH708" t="s">
        <v>3825</v>
      </c>
      <c r="AI708" t="s">
        <v>993</v>
      </c>
      <c r="AJ708" s="8" t="str">
        <f>"53965"</f>
        <v>53965</v>
      </c>
      <c r="AK708" t="s">
        <v>118</v>
      </c>
      <c r="AM708" s="10">
        <v>16082548366</v>
      </c>
      <c r="AN708">
        <v>5255</v>
      </c>
      <c r="AO708" t="s">
        <v>13601</v>
      </c>
      <c r="AP708" t="s">
        <v>121</v>
      </c>
      <c r="AQ708" t="s">
        <v>1122</v>
      </c>
      <c r="AR708" t="s">
        <v>1123</v>
      </c>
      <c r="AS708" t="s">
        <v>1124</v>
      </c>
      <c r="AT708" t="s">
        <v>1125</v>
      </c>
      <c r="AU708" t="s">
        <v>1126</v>
      </c>
      <c r="AV708" t="s">
        <v>139</v>
      </c>
      <c r="AW708" t="s">
        <v>140</v>
      </c>
      <c r="AX708" s="8" t="str">
        <f>"33186"</f>
        <v>33186</v>
      </c>
      <c r="AY708" t="s">
        <v>118</v>
      </c>
      <c r="BA708" s="10">
        <v>13056706767</v>
      </c>
      <c r="BC708" t="s">
        <v>1127</v>
      </c>
      <c r="BD708" t="s">
        <v>1128</v>
      </c>
      <c r="BE708" t="s">
        <v>140</v>
      </c>
      <c r="BF708" t="s">
        <v>1129</v>
      </c>
      <c r="BG708" t="s">
        <v>993</v>
      </c>
      <c r="BH708" s="1">
        <v>45201.833333333336</v>
      </c>
      <c r="BI708">
        <v>56</v>
      </c>
      <c r="BJ708">
        <v>8</v>
      </c>
      <c r="BK708">
        <v>8</v>
      </c>
      <c r="BL708">
        <v>8</v>
      </c>
      <c r="BM708">
        <v>8</v>
      </c>
      <c r="BN708">
        <v>8</v>
      </c>
      <c r="BO708">
        <v>8</v>
      </c>
      <c r="BP708">
        <v>8</v>
      </c>
      <c r="BQ708" t="str">
        <f>"9:00 AM"</f>
        <v>9:00 AM</v>
      </c>
      <c r="BR708" t="str">
        <f>"5:00 PM"</f>
        <v>5:00 PM</v>
      </c>
      <c r="BS708" t="s">
        <v>131</v>
      </c>
      <c r="BT708">
        <v>0</v>
      </c>
      <c r="BU708">
        <v>0</v>
      </c>
      <c r="BV708" t="s">
        <v>114</v>
      </c>
      <c r="BX708" s="2" t="s">
        <v>24051</v>
      </c>
      <c r="BY708" t="s">
        <v>13603</v>
      </c>
      <c r="CA708" t="s">
        <v>7182</v>
      </c>
      <c r="CB708" t="s">
        <v>993</v>
      </c>
      <c r="CC708" s="8" t="str">
        <f>"53965"</f>
        <v>53965</v>
      </c>
      <c r="CD708" t="s">
        <v>3191</v>
      </c>
      <c r="CE708" t="s">
        <v>3358</v>
      </c>
      <c r="CF708" s="12">
        <v>12.63</v>
      </c>
      <c r="CG708" s="12">
        <v>14</v>
      </c>
      <c r="CH708" s="12">
        <v>18.95</v>
      </c>
      <c r="CI708" s="12">
        <v>21</v>
      </c>
      <c r="CJ708" t="s">
        <v>135</v>
      </c>
      <c r="CL708" t="s">
        <v>24052</v>
      </c>
      <c r="CO708" t="s">
        <v>132</v>
      </c>
      <c r="CP708" t="s">
        <v>114</v>
      </c>
      <c r="CQ708" t="s">
        <v>114</v>
      </c>
      <c r="CR708" t="s">
        <v>136</v>
      </c>
      <c r="CS708" t="s">
        <v>136</v>
      </c>
      <c r="CT708" t="s">
        <v>136</v>
      </c>
      <c r="CU708" t="s">
        <v>114</v>
      </c>
      <c r="CV708" s="2" t="s">
        <v>13605</v>
      </c>
      <c r="CW708" s="10" t="str">
        <f>"+16082548366"</f>
        <v>+16082548366</v>
      </c>
      <c r="CX708" t="s">
        <v>13606</v>
      </c>
      <c r="CY708" t="s">
        <v>132</v>
      </c>
      <c r="CZ708" t="s">
        <v>137</v>
      </c>
      <c r="DA708" t="s">
        <v>114</v>
      </c>
      <c r="DB708" t="s">
        <v>136</v>
      </c>
      <c r="DC708" t="s">
        <v>136</v>
      </c>
      <c r="DD708" t="s">
        <v>114</v>
      </c>
    </row>
    <row r="709" spans="1:108" ht="15" customHeight="1" x14ac:dyDescent="0.25">
      <c r="A709" t="s">
        <v>13596</v>
      </c>
      <c r="B709" t="s">
        <v>152</v>
      </c>
      <c r="C709" s="1">
        <v>45202.960779745372</v>
      </c>
      <c r="D709" s="1">
        <v>45258</v>
      </c>
      <c r="E709" t="s">
        <v>132</v>
      </c>
      <c r="F709" t="s">
        <v>5974</v>
      </c>
      <c r="G709" t="str">
        <f>"33-9092.00"</f>
        <v>33-9092.00</v>
      </c>
      <c r="H709" t="s">
        <v>5975</v>
      </c>
      <c r="I709">
        <v>24</v>
      </c>
      <c r="J709">
        <v>24</v>
      </c>
      <c r="K709" s="1">
        <v>45292</v>
      </c>
      <c r="L709" s="1">
        <v>45596</v>
      </c>
      <c r="M709" s="1">
        <v>45292</v>
      </c>
      <c r="N709" s="1">
        <v>45596</v>
      </c>
      <c r="O709" t="s">
        <v>116</v>
      </c>
      <c r="P709" t="s">
        <v>13597</v>
      </c>
      <c r="Q709" t="s">
        <v>13598</v>
      </c>
      <c r="R709" t="s">
        <v>13599</v>
      </c>
      <c r="T709" t="s">
        <v>3825</v>
      </c>
      <c r="U709" t="s">
        <v>993</v>
      </c>
      <c r="V709" s="8" t="str">
        <f>"53965"</f>
        <v>53965</v>
      </c>
      <c r="W709" t="s">
        <v>118</v>
      </c>
      <c r="Y709" s="10">
        <v>16082548366</v>
      </c>
      <c r="AA709">
        <v>721110</v>
      </c>
      <c r="AB709" t="s">
        <v>13600</v>
      </c>
      <c r="AC709" t="s">
        <v>5374</v>
      </c>
      <c r="AE709" t="s">
        <v>629</v>
      </c>
      <c r="AF709" t="s">
        <v>13599</v>
      </c>
      <c r="AH709" t="s">
        <v>3825</v>
      </c>
      <c r="AI709" t="s">
        <v>993</v>
      </c>
      <c r="AJ709" s="8" t="str">
        <f>"53965"</f>
        <v>53965</v>
      </c>
      <c r="AK709" t="s">
        <v>118</v>
      </c>
      <c r="AM709" s="10">
        <v>16082548366</v>
      </c>
      <c r="AN709">
        <v>5255</v>
      </c>
      <c r="AO709" t="s">
        <v>13601</v>
      </c>
      <c r="AP709" t="s">
        <v>121</v>
      </c>
      <c r="AQ709" t="s">
        <v>1122</v>
      </c>
      <c r="AR709" t="s">
        <v>1123</v>
      </c>
      <c r="AS709" t="s">
        <v>1124</v>
      </c>
      <c r="AT709" t="s">
        <v>1125</v>
      </c>
      <c r="AU709" t="s">
        <v>1126</v>
      </c>
      <c r="AV709" t="s">
        <v>139</v>
      </c>
      <c r="AW709" t="s">
        <v>140</v>
      </c>
      <c r="AX709" s="8" t="str">
        <f>"33186"</f>
        <v>33186</v>
      </c>
      <c r="AY709" t="s">
        <v>118</v>
      </c>
      <c r="BA709" s="10">
        <v>13056706767</v>
      </c>
      <c r="BC709" t="s">
        <v>1127</v>
      </c>
      <c r="BD709" t="s">
        <v>1128</v>
      </c>
      <c r="BE709" t="s">
        <v>140</v>
      </c>
      <c r="BF709" t="s">
        <v>1129</v>
      </c>
      <c r="BG709" t="s">
        <v>993</v>
      </c>
      <c r="BH709" s="1">
        <v>45201.833333333336</v>
      </c>
      <c r="BI709">
        <v>56</v>
      </c>
      <c r="BJ709">
        <v>8</v>
      </c>
      <c r="BK709">
        <v>8</v>
      </c>
      <c r="BL709">
        <v>8</v>
      </c>
      <c r="BM709">
        <v>8</v>
      </c>
      <c r="BN709">
        <v>8</v>
      </c>
      <c r="BO709">
        <v>8</v>
      </c>
      <c r="BP709">
        <v>8</v>
      </c>
      <c r="BQ709" t="str">
        <f>"9:00 AM"</f>
        <v>9:00 AM</v>
      </c>
      <c r="BR709" t="str">
        <f>"5:00 PM"</f>
        <v>5:00 PM</v>
      </c>
      <c r="BS709" t="s">
        <v>131</v>
      </c>
      <c r="BT709">
        <v>0</v>
      </c>
      <c r="BU709">
        <v>0</v>
      </c>
      <c r="BV709" t="s">
        <v>114</v>
      </c>
      <c r="BX709" s="2" t="s">
        <v>13602</v>
      </c>
      <c r="BY709" t="s">
        <v>13603</v>
      </c>
      <c r="CA709" t="s">
        <v>7182</v>
      </c>
      <c r="CB709" t="s">
        <v>993</v>
      </c>
      <c r="CC709" s="8" t="str">
        <f>"53965"</f>
        <v>53965</v>
      </c>
      <c r="CD709" t="s">
        <v>3191</v>
      </c>
      <c r="CE709" t="s">
        <v>3358</v>
      </c>
      <c r="CF709" s="12">
        <v>10.55</v>
      </c>
      <c r="CG709" s="12">
        <v>20</v>
      </c>
      <c r="CH709" s="12">
        <v>15.83</v>
      </c>
      <c r="CI709" s="12">
        <v>30</v>
      </c>
      <c r="CJ709" t="s">
        <v>135</v>
      </c>
      <c r="CL709" t="s">
        <v>13604</v>
      </c>
      <c r="CO709" t="s">
        <v>132</v>
      </c>
      <c r="CP709" t="s">
        <v>114</v>
      </c>
      <c r="CQ709" t="s">
        <v>114</v>
      </c>
      <c r="CR709" t="s">
        <v>136</v>
      </c>
      <c r="CS709" t="s">
        <v>136</v>
      </c>
      <c r="CT709" t="s">
        <v>136</v>
      </c>
      <c r="CU709" t="s">
        <v>114</v>
      </c>
      <c r="CV709" s="2" t="s">
        <v>13605</v>
      </c>
      <c r="CW709" s="10" t="str">
        <f>"+16082548366"</f>
        <v>+16082548366</v>
      </c>
      <c r="CX709" t="s">
        <v>13606</v>
      </c>
      <c r="CY709" t="s">
        <v>132</v>
      </c>
      <c r="CZ709" t="s">
        <v>137</v>
      </c>
      <c r="DA709" t="s">
        <v>114</v>
      </c>
      <c r="DB709" t="s">
        <v>136</v>
      </c>
      <c r="DC709" t="s">
        <v>136</v>
      </c>
      <c r="DD709" t="s">
        <v>114</v>
      </c>
    </row>
    <row r="710" spans="1:108" ht="15" customHeight="1" x14ac:dyDescent="0.25">
      <c r="A710" t="s">
        <v>5747</v>
      </c>
      <c r="B710" t="s">
        <v>152</v>
      </c>
      <c r="C710" s="1">
        <v>45201.748284143519</v>
      </c>
      <c r="D710" s="1">
        <v>45258</v>
      </c>
      <c r="E710" t="s">
        <v>132</v>
      </c>
      <c r="F710" t="s">
        <v>700</v>
      </c>
      <c r="G710" t="str">
        <f>"37-2011.00"</f>
        <v>37-2011.00</v>
      </c>
      <c r="H710" t="s">
        <v>1089</v>
      </c>
      <c r="I710">
        <v>5</v>
      </c>
      <c r="J710">
        <v>5</v>
      </c>
      <c r="K710" s="1">
        <v>45276</v>
      </c>
      <c r="L710" s="1">
        <v>45366</v>
      </c>
      <c r="M710" s="1">
        <v>45276</v>
      </c>
      <c r="N710" s="1">
        <v>45366</v>
      </c>
      <c r="O710" t="s">
        <v>238</v>
      </c>
      <c r="P710" t="s">
        <v>5748</v>
      </c>
      <c r="R710" t="s">
        <v>5749</v>
      </c>
      <c r="T710" t="s">
        <v>5750</v>
      </c>
      <c r="U710" t="s">
        <v>211</v>
      </c>
      <c r="V710" s="8" t="str">
        <f>"84401"</f>
        <v>84401</v>
      </c>
      <c r="W710" t="s">
        <v>118</v>
      </c>
      <c r="Y710" s="10">
        <v>18018662359</v>
      </c>
      <c r="AA710">
        <v>56173</v>
      </c>
      <c r="AB710" t="s">
        <v>2008</v>
      </c>
      <c r="AC710" t="s">
        <v>5751</v>
      </c>
      <c r="AD710" t="s">
        <v>3743</v>
      </c>
      <c r="AE710" t="s">
        <v>561</v>
      </c>
      <c r="AF710" t="s">
        <v>5749</v>
      </c>
      <c r="AH710" t="s">
        <v>5750</v>
      </c>
      <c r="AI710" t="s">
        <v>211</v>
      </c>
      <c r="AJ710" s="8" t="str">
        <f>"84401"</f>
        <v>84401</v>
      </c>
      <c r="AK710" t="s">
        <v>118</v>
      </c>
      <c r="AM710" s="10">
        <v>18018662359</v>
      </c>
      <c r="AO710" t="s">
        <v>132</v>
      </c>
      <c r="AP710" t="s">
        <v>121</v>
      </c>
      <c r="AQ710" t="s">
        <v>1172</v>
      </c>
      <c r="AR710" t="s">
        <v>1173</v>
      </c>
      <c r="AS710" t="s">
        <v>708</v>
      </c>
      <c r="AT710" t="s">
        <v>3325</v>
      </c>
      <c r="AV710" t="s">
        <v>603</v>
      </c>
      <c r="AW710" t="s">
        <v>127</v>
      </c>
      <c r="AX710" s="8" t="str">
        <f>"78705"</f>
        <v>78705</v>
      </c>
      <c r="AY710" t="s">
        <v>118</v>
      </c>
      <c r="BA710" s="10">
        <v>15123470007</v>
      </c>
      <c r="BC710" t="s">
        <v>1175</v>
      </c>
      <c r="BD710" t="s">
        <v>1176</v>
      </c>
      <c r="BE710" t="s">
        <v>127</v>
      </c>
      <c r="BF710" t="s">
        <v>750</v>
      </c>
      <c r="BG710" t="s">
        <v>211</v>
      </c>
      <c r="BH710" s="1">
        <v>45200.833333333336</v>
      </c>
      <c r="BI710">
        <v>40</v>
      </c>
      <c r="BJ710">
        <v>0</v>
      </c>
      <c r="BK710">
        <v>8</v>
      </c>
      <c r="BL710">
        <v>8</v>
      </c>
      <c r="BM710">
        <v>8</v>
      </c>
      <c r="BN710">
        <v>8</v>
      </c>
      <c r="BO710">
        <v>8</v>
      </c>
      <c r="BP710">
        <v>0</v>
      </c>
      <c r="BQ710" t="str">
        <f>"8:00 AM"</f>
        <v>8:00 AM</v>
      </c>
      <c r="BR710" t="str">
        <f>"5:00 PM"</f>
        <v>5:00 PM</v>
      </c>
      <c r="BS710" t="s">
        <v>131</v>
      </c>
      <c r="BT710">
        <v>0</v>
      </c>
      <c r="BU710">
        <v>0</v>
      </c>
      <c r="BV710" t="s">
        <v>114</v>
      </c>
      <c r="BX710" t="s">
        <v>131</v>
      </c>
      <c r="BY710" t="s">
        <v>5749</v>
      </c>
      <c r="CA710" t="s">
        <v>5750</v>
      </c>
      <c r="CB710" t="s">
        <v>211</v>
      </c>
      <c r="CC710" s="8" t="str">
        <f>"84401"</f>
        <v>84401</v>
      </c>
      <c r="CD710" t="s">
        <v>1481</v>
      </c>
      <c r="CE710" t="s">
        <v>1482</v>
      </c>
      <c r="CF710" s="12">
        <v>14.13</v>
      </c>
      <c r="CG710" s="12">
        <v>14.13</v>
      </c>
      <c r="CH710" s="12">
        <v>21.2</v>
      </c>
      <c r="CI710" s="12">
        <v>21.2</v>
      </c>
      <c r="CJ710" t="s">
        <v>135</v>
      </c>
      <c r="CL710" t="s">
        <v>5752</v>
      </c>
      <c r="CO710" t="s">
        <v>132</v>
      </c>
      <c r="CP710" t="s">
        <v>136</v>
      </c>
      <c r="CQ710" t="s">
        <v>136</v>
      </c>
      <c r="CR710" t="s">
        <v>136</v>
      </c>
      <c r="CS710" t="s">
        <v>136</v>
      </c>
      <c r="CT710" t="s">
        <v>136</v>
      </c>
      <c r="CU710" t="s">
        <v>114</v>
      </c>
      <c r="CV710" t="s">
        <v>1705</v>
      </c>
      <c r="CW710" s="10" t="str">
        <f>"+18018662359"</f>
        <v>+18018662359</v>
      </c>
      <c r="CX710" t="s">
        <v>5753</v>
      </c>
      <c r="CY710" t="s">
        <v>132</v>
      </c>
      <c r="CZ710" t="s">
        <v>137</v>
      </c>
      <c r="DA710" t="s">
        <v>114</v>
      </c>
      <c r="DB710" t="s">
        <v>114</v>
      </c>
      <c r="DC710" t="s">
        <v>136</v>
      </c>
      <c r="DD710" t="s">
        <v>114</v>
      </c>
    </row>
    <row r="711" spans="1:108" ht="15" customHeight="1" x14ac:dyDescent="0.25">
      <c r="A711" t="s">
        <v>13946</v>
      </c>
      <c r="B711" t="s">
        <v>152</v>
      </c>
      <c r="C711" s="1">
        <v>45189.620575578701</v>
      </c>
      <c r="D711" s="1">
        <v>45258</v>
      </c>
      <c r="E711" t="s">
        <v>132</v>
      </c>
      <c r="F711" t="s">
        <v>3847</v>
      </c>
      <c r="G711" t="str">
        <f>"39-2021.00"</f>
        <v>39-2021.00</v>
      </c>
      <c r="H711" t="s">
        <v>2895</v>
      </c>
      <c r="I711">
        <v>26</v>
      </c>
      <c r="J711">
        <v>26</v>
      </c>
      <c r="K711" s="1">
        <v>45275</v>
      </c>
      <c r="L711" s="1">
        <v>45412</v>
      </c>
      <c r="M711" s="1">
        <v>45275</v>
      </c>
      <c r="N711" s="1">
        <v>45412</v>
      </c>
      <c r="O711" t="s">
        <v>238</v>
      </c>
      <c r="P711" t="s">
        <v>13947</v>
      </c>
      <c r="R711" t="s">
        <v>13948</v>
      </c>
      <c r="T711" t="s">
        <v>6090</v>
      </c>
      <c r="U711" t="s">
        <v>1722</v>
      </c>
      <c r="V711" s="8" t="str">
        <f>"21921"</f>
        <v>21921</v>
      </c>
      <c r="W711" t="s">
        <v>118</v>
      </c>
      <c r="Y711" s="10">
        <v>14103980090</v>
      </c>
      <c r="AA711">
        <v>711212</v>
      </c>
      <c r="AB711" t="s">
        <v>3124</v>
      </c>
      <c r="AC711" t="s">
        <v>5865</v>
      </c>
      <c r="AE711" t="s">
        <v>1799</v>
      </c>
      <c r="AF711" t="s">
        <v>13948</v>
      </c>
      <c r="AH711" t="s">
        <v>6090</v>
      </c>
      <c r="AI711" t="s">
        <v>1722</v>
      </c>
      <c r="AJ711" s="8" t="str">
        <f>"21921"</f>
        <v>21921</v>
      </c>
      <c r="AK711" t="s">
        <v>118</v>
      </c>
      <c r="AM711" s="10">
        <v>14103980090</v>
      </c>
      <c r="AO711" t="s">
        <v>13949</v>
      </c>
      <c r="AP711" t="s">
        <v>121</v>
      </c>
      <c r="AQ711" t="s">
        <v>3854</v>
      </c>
      <c r="AR711" t="s">
        <v>144</v>
      </c>
      <c r="AS711" t="s">
        <v>3855</v>
      </c>
      <c r="AT711" t="s">
        <v>2605</v>
      </c>
      <c r="AU711" t="s">
        <v>2606</v>
      </c>
      <c r="AV711" t="s">
        <v>2607</v>
      </c>
      <c r="AW711" t="s">
        <v>2608</v>
      </c>
      <c r="AX711" s="8" t="str">
        <f>"73069"</f>
        <v>73069</v>
      </c>
      <c r="AY711" t="s">
        <v>118</v>
      </c>
      <c r="BA711" s="10">
        <v>14053642525</v>
      </c>
      <c r="BC711" t="s">
        <v>2609</v>
      </c>
      <c r="BD711" t="s">
        <v>2610</v>
      </c>
      <c r="BE711" t="s">
        <v>2608</v>
      </c>
      <c r="BF711" t="s">
        <v>2611</v>
      </c>
      <c r="BG711" t="s">
        <v>140</v>
      </c>
      <c r="BH711" s="1">
        <v>45186.833333333336</v>
      </c>
      <c r="BI711">
        <v>56</v>
      </c>
      <c r="BJ711">
        <v>8</v>
      </c>
      <c r="BK711">
        <v>8</v>
      </c>
      <c r="BL711">
        <v>8</v>
      </c>
      <c r="BM711">
        <v>8</v>
      </c>
      <c r="BN711">
        <v>8</v>
      </c>
      <c r="BO711">
        <v>8</v>
      </c>
      <c r="BP711">
        <v>8</v>
      </c>
      <c r="BQ711" t="str">
        <f>"5:00 AM"</f>
        <v>5:00 AM</v>
      </c>
      <c r="BR711" t="str">
        <f>"5:00 PM"</f>
        <v>5:00 PM</v>
      </c>
      <c r="BS711" t="s">
        <v>131</v>
      </c>
      <c r="BT711">
        <v>0</v>
      </c>
      <c r="BU711">
        <v>1</v>
      </c>
      <c r="BV711" t="s">
        <v>114</v>
      </c>
      <c r="BX711" s="2" t="s">
        <v>3116</v>
      </c>
      <c r="BY711" t="s">
        <v>4025</v>
      </c>
      <c r="BZ711" t="s">
        <v>4026</v>
      </c>
      <c r="CA711" t="s">
        <v>4027</v>
      </c>
      <c r="CB711" t="s">
        <v>140</v>
      </c>
      <c r="CC711" s="8" t="str">
        <f>"33009"</f>
        <v>33009</v>
      </c>
      <c r="CD711" t="s">
        <v>287</v>
      </c>
      <c r="CE711" t="s">
        <v>149</v>
      </c>
      <c r="CF711" s="12">
        <v>16.510000000000002</v>
      </c>
      <c r="CG711" s="12">
        <v>16.510000000000002</v>
      </c>
      <c r="CH711" s="12">
        <v>28.43</v>
      </c>
      <c r="CI711" s="12">
        <v>28.43</v>
      </c>
      <c r="CJ711" t="s">
        <v>135</v>
      </c>
      <c r="CL711" t="s">
        <v>13950</v>
      </c>
      <c r="CO711" t="s">
        <v>132</v>
      </c>
      <c r="CP711" t="s">
        <v>114</v>
      </c>
      <c r="CQ711" t="s">
        <v>114</v>
      </c>
      <c r="CR711" t="s">
        <v>136</v>
      </c>
      <c r="CS711" t="s">
        <v>114</v>
      </c>
      <c r="CT711" t="s">
        <v>136</v>
      </c>
      <c r="CU711" t="s">
        <v>136</v>
      </c>
      <c r="CV711" t="s">
        <v>13951</v>
      </c>
      <c r="CW711" s="10" t="str">
        <f>"+14103980090"</f>
        <v>+14103980090</v>
      </c>
      <c r="CX711" t="s">
        <v>13952</v>
      </c>
      <c r="CY711" t="s">
        <v>132</v>
      </c>
      <c r="CZ711" t="s">
        <v>137</v>
      </c>
      <c r="DA711" t="s">
        <v>114</v>
      </c>
      <c r="DB711" t="s">
        <v>114</v>
      </c>
      <c r="DC711" t="s">
        <v>136</v>
      </c>
      <c r="DD711" t="s">
        <v>114</v>
      </c>
    </row>
    <row r="712" spans="1:108" ht="15" customHeight="1" x14ac:dyDescent="0.25">
      <c r="A712" t="s">
        <v>12819</v>
      </c>
      <c r="B712" t="s">
        <v>152</v>
      </c>
      <c r="C712" s="1">
        <v>45110.577733796294</v>
      </c>
      <c r="D712" s="1">
        <v>45258</v>
      </c>
      <c r="E712" t="s">
        <v>114</v>
      </c>
      <c r="F712" t="s">
        <v>293</v>
      </c>
      <c r="G712" t="str">
        <f>"37-2012.00"</f>
        <v>37-2012.00</v>
      </c>
      <c r="H712" t="s">
        <v>205</v>
      </c>
      <c r="I712">
        <v>5</v>
      </c>
      <c r="J712">
        <v>5</v>
      </c>
      <c r="K712" s="1">
        <v>45200</v>
      </c>
      <c r="L712" s="1">
        <v>45473</v>
      </c>
      <c r="M712" s="1">
        <v>45200</v>
      </c>
      <c r="N712" s="1">
        <v>45473</v>
      </c>
      <c r="O712" t="s">
        <v>116</v>
      </c>
      <c r="P712" t="s">
        <v>10363</v>
      </c>
      <c r="Q712" t="s">
        <v>5100</v>
      </c>
      <c r="R712" t="s">
        <v>5101</v>
      </c>
      <c r="T712" t="s">
        <v>12820</v>
      </c>
      <c r="U712" t="s">
        <v>333</v>
      </c>
      <c r="V712" s="8" t="str">
        <f>"70130"</f>
        <v>70130</v>
      </c>
      <c r="W712" t="s">
        <v>118</v>
      </c>
      <c r="Y712" s="10">
        <v>15045256000</v>
      </c>
      <c r="AA712">
        <v>721110</v>
      </c>
      <c r="AB712" t="s">
        <v>2823</v>
      </c>
      <c r="AC712" t="s">
        <v>5103</v>
      </c>
      <c r="AE712" t="s">
        <v>161</v>
      </c>
      <c r="AF712" t="s">
        <v>5101</v>
      </c>
      <c r="AH712" t="s">
        <v>5102</v>
      </c>
      <c r="AI712" t="s">
        <v>333</v>
      </c>
      <c r="AJ712" s="8" t="str">
        <f>"70130"</f>
        <v>70130</v>
      </c>
      <c r="AK712" t="s">
        <v>118</v>
      </c>
      <c r="AM712" s="10">
        <v>15047171201</v>
      </c>
      <c r="AO712" t="s">
        <v>5104</v>
      </c>
      <c r="AP712" t="s">
        <v>121</v>
      </c>
      <c r="AQ712" t="s">
        <v>4300</v>
      </c>
      <c r="AR712" t="s">
        <v>5105</v>
      </c>
      <c r="AS712" t="s">
        <v>5106</v>
      </c>
      <c r="AT712" t="s">
        <v>5107</v>
      </c>
      <c r="AU712" t="s">
        <v>5108</v>
      </c>
      <c r="AV712" t="s">
        <v>5109</v>
      </c>
      <c r="AW712" t="s">
        <v>333</v>
      </c>
      <c r="AX712" s="8" t="str">
        <f>"70130"</f>
        <v>70130</v>
      </c>
      <c r="AY712" t="s">
        <v>118</v>
      </c>
      <c r="AZ712" t="s">
        <v>5110</v>
      </c>
      <c r="BA712" s="10">
        <v>15045849312</v>
      </c>
      <c r="BC712" t="s">
        <v>5111</v>
      </c>
      <c r="BD712" t="s">
        <v>5112</v>
      </c>
      <c r="BE712" t="s">
        <v>333</v>
      </c>
      <c r="BF712" t="s">
        <v>10364</v>
      </c>
      <c r="BG712" t="s">
        <v>333</v>
      </c>
      <c r="BH712" s="1">
        <v>45109.833333333336</v>
      </c>
      <c r="BI712">
        <v>40</v>
      </c>
      <c r="BJ712">
        <v>0</v>
      </c>
      <c r="BK712">
        <v>8</v>
      </c>
      <c r="BL712">
        <v>8</v>
      </c>
      <c r="BM712">
        <v>8</v>
      </c>
      <c r="BN712">
        <v>8</v>
      </c>
      <c r="BO712">
        <v>8</v>
      </c>
      <c r="BP712">
        <v>0</v>
      </c>
      <c r="BQ712" t="str">
        <f>"9:00 AM"</f>
        <v>9:00 AM</v>
      </c>
      <c r="BR712" t="str">
        <f>"5:00 PM"</f>
        <v>5:00 PM</v>
      </c>
      <c r="BS712" t="s">
        <v>131</v>
      </c>
      <c r="BT712">
        <v>0</v>
      </c>
      <c r="BU712">
        <v>0</v>
      </c>
      <c r="BV712" t="s">
        <v>114</v>
      </c>
      <c r="BX712" t="s">
        <v>131</v>
      </c>
      <c r="BY712" t="s">
        <v>5101</v>
      </c>
      <c r="CA712" t="s">
        <v>5102</v>
      </c>
      <c r="CB712" t="s">
        <v>333</v>
      </c>
      <c r="CC712" s="8" t="str">
        <f>"70130"</f>
        <v>70130</v>
      </c>
      <c r="CD712" t="s">
        <v>679</v>
      </c>
      <c r="CE712" t="s">
        <v>341</v>
      </c>
      <c r="CF712" s="12">
        <v>14</v>
      </c>
      <c r="CH712" s="12">
        <v>21</v>
      </c>
      <c r="CJ712" t="s">
        <v>135</v>
      </c>
      <c r="CL712" t="s">
        <v>12821</v>
      </c>
      <c r="CO712" t="s">
        <v>132</v>
      </c>
      <c r="CP712" t="s">
        <v>114</v>
      </c>
      <c r="CQ712" t="s">
        <v>114</v>
      </c>
      <c r="CR712" t="s">
        <v>136</v>
      </c>
      <c r="CS712" t="s">
        <v>136</v>
      </c>
      <c r="CT712" t="s">
        <v>136</v>
      </c>
      <c r="CU712" t="s">
        <v>136</v>
      </c>
      <c r="CV712" s="2" t="s">
        <v>12822</v>
      </c>
      <c r="CW712" s="10" t="str">
        <f>"+15045964761"</f>
        <v>+15045964761</v>
      </c>
      <c r="CX712" t="s">
        <v>5115</v>
      </c>
      <c r="CY712" t="s">
        <v>132</v>
      </c>
      <c r="CZ712" t="s">
        <v>137</v>
      </c>
      <c r="DA712" t="s">
        <v>114</v>
      </c>
      <c r="DB712" t="s">
        <v>136</v>
      </c>
      <c r="DC712" t="s">
        <v>136</v>
      </c>
      <c r="DD712" t="s">
        <v>114</v>
      </c>
    </row>
    <row r="713" spans="1:108" ht="15" customHeight="1" x14ac:dyDescent="0.25">
      <c r="A713" t="s">
        <v>9715</v>
      </c>
      <c r="B713" t="s">
        <v>152</v>
      </c>
      <c r="C713" s="1">
        <v>45233.526669675928</v>
      </c>
      <c r="D713" s="1">
        <v>45257</v>
      </c>
      <c r="E713" t="s">
        <v>132</v>
      </c>
      <c r="F713" t="s">
        <v>1595</v>
      </c>
      <c r="G713" t="str">
        <f>"37-3011.00"</f>
        <v>37-3011.00</v>
      </c>
      <c r="H713" t="s">
        <v>429</v>
      </c>
      <c r="I713">
        <v>30</v>
      </c>
      <c r="J713">
        <v>30</v>
      </c>
      <c r="K713" s="1">
        <v>45323</v>
      </c>
      <c r="L713" s="1">
        <v>45626</v>
      </c>
      <c r="M713" s="1">
        <v>45323</v>
      </c>
      <c r="N713" s="1">
        <v>45626</v>
      </c>
      <c r="O713" t="s">
        <v>238</v>
      </c>
      <c r="P713" t="s">
        <v>9716</v>
      </c>
      <c r="R713" t="s">
        <v>9717</v>
      </c>
      <c r="S713" t="s">
        <v>132</v>
      </c>
      <c r="T713" t="s">
        <v>3072</v>
      </c>
      <c r="U713" t="s">
        <v>434</v>
      </c>
      <c r="V713" s="8" t="str">
        <f>"18914"</f>
        <v>18914</v>
      </c>
      <c r="W713" t="s">
        <v>118</v>
      </c>
      <c r="Y713" s="10">
        <v>12678800890</v>
      </c>
      <c r="AA713">
        <v>561730</v>
      </c>
      <c r="AB713" t="s">
        <v>4173</v>
      </c>
      <c r="AC713" t="s">
        <v>9718</v>
      </c>
      <c r="AD713" t="s">
        <v>132</v>
      </c>
      <c r="AE713" t="s">
        <v>629</v>
      </c>
      <c r="AF713" t="s">
        <v>9717</v>
      </c>
      <c r="AG713" t="s">
        <v>132</v>
      </c>
      <c r="AH713" t="s">
        <v>3072</v>
      </c>
      <c r="AI713" t="s">
        <v>434</v>
      </c>
      <c r="AJ713" s="8" t="str">
        <f>"18914"</f>
        <v>18914</v>
      </c>
      <c r="AK713" t="s">
        <v>118</v>
      </c>
      <c r="AM713" s="10">
        <v>12678800890</v>
      </c>
      <c r="AO713" t="s">
        <v>9719</v>
      </c>
      <c r="AP713" t="s">
        <v>248</v>
      </c>
      <c r="AQ713" t="s">
        <v>1820</v>
      </c>
      <c r="AR713" t="s">
        <v>1828</v>
      </c>
      <c r="AS713" t="s">
        <v>132</v>
      </c>
      <c r="AT713" t="s">
        <v>1584</v>
      </c>
      <c r="AU713" t="s">
        <v>132</v>
      </c>
      <c r="AV713" t="s">
        <v>1585</v>
      </c>
      <c r="AW713" t="s">
        <v>127</v>
      </c>
      <c r="AX713" s="8" t="str">
        <f>"77414"</f>
        <v>77414</v>
      </c>
      <c r="AY713" t="s">
        <v>118</v>
      </c>
      <c r="BA713" s="10">
        <v>19793187285</v>
      </c>
      <c r="BC713" t="s">
        <v>2430</v>
      </c>
      <c r="BD713" t="s">
        <v>1587</v>
      </c>
      <c r="BG713" t="s">
        <v>434</v>
      </c>
      <c r="BH713" s="1">
        <v>45232.833333333336</v>
      </c>
      <c r="BI713">
        <v>40</v>
      </c>
      <c r="BJ713">
        <v>0</v>
      </c>
      <c r="BK713">
        <v>8</v>
      </c>
      <c r="BL713">
        <v>8</v>
      </c>
      <c r="BM713">
        <v>8</v>
      </c>
      <c r="BN713">
        <v>8</v>
      </c>
      <c r="BO713">
        <v>8</v>
      </c>
      <c r="BP713">
        <v>0</v>
      </c>
      <c r="BQ713" t="str">
        <f>"6:30 AM"</f>
        <v>6:30 AM</v>
      </c>
      <c r="BR713" t="str">
        <f>"3:30 PM"</f>
        <v>3:30 PM</v>
      </c>
      <c r="BS713" t="s">
        <v>131</v>
      </c>
      <c r="BT713">
        <v>0</v>
      </c>
      <c r="BU713">
        <v>0</v>
      </c>
      <c r="BV713" t="s">
        <v>114</v>
      </c>
      <c r="BX713" s="2" t="s">
        <v>9720</v>
      </c>
      <c r="BY713" t="s">
        <v>9721</v>
      </c>
      <c r="BZ713" t="s">
        <v>132</v>
      </c>
      <c r="CA713" t="s">
        <v>3072</v>
      </c>
      <c r="CB713" t="s">
        <v>434</v>
      </c>
      <c r="CC713" s="8" t="str">
        <f>"18914"</f>
        <v>18914</v>
      </c>
      <c r="CD713" t="s">
        <v>3073</v>
      </c>
      <c r="CE713" t="s">
        <v>443</v>
      </c>
      <c r="CF713" s="12">
        <v>18.71</v>
      </c>
      <c r="CG713" s="12">
        <v>22</v>
      </c>
      <c r="CH713" s="12">
        <v>28.07</v>
      </c>
      <c r="CI713" s="12">
        <v>33</v>
      </c>
      <c r="CJ713" t="s">
        <v>135</v>
      </c>
      <c r="CK713" t="s">
        <v>9722</v>
      </c>
      <c r="CL713" t="s">
        <v>9723</v>
      </c>
      <c r="CO713" t="s">
        <v>132</v>
      </c>
      <c r="CP713" t="s">
        <v>136</v>
      </c>
      <c r="CQ713" t="s">
        <v>136</v>
      </c>
      <c r="CR713" t="s">
        <v>136</v>
      </c>
      <c r="CS713" t="s">
        <v>136</v>
      </c>
      <c r="CT713" t="s">
        <v>136</v>
      </c>
      <c r="CU713" t="s">
        <v>136</v>
      </c>
      <c r="CV713" t="s">
        <v>9724</v>
      </c>
      <c r="CW713" s="10" t="str">
        <f>"+12678800890"</f>
        <v>+12678800890</v>
      </c>
      <c r="CX713" t="s">
        <v>9719</v>
      </c>
      <c r="CY713" t="s">
        <v>132</v>
      </c>
      <c r="CZ713" t="s">
        <v>137</v>
      </c>
      <c r="DA713" t="s">
        <v>114</v>
      </c>
      <c r="DB713" t="s">
        <v>114</v>
      </c>
      <c r="DC713" t="s">
        <v>136</v>
      </c>
      <c r="DD713" t="s">
        <v>114</v>
      </c>
    </row>
    <row r="714" spans="1:108" ht="15" customHeight="1" x14ac:dyDescent="0.25">
      <c r="A714" t="s">
        <v>18747</v>
      </c>
      <c r="B714" t="s">
        <v>152</v>
      </c>
      <c r="C714" s="1">
        <v>45233.500408796295</v>
      </c>
      <c r="D714" s="1">
        <v>45257</v>
      </c>
      <c r="E714" t="s">
        <v>132</v>
      </c>
      <c r="F714" t="s">
        <v>1595</v>
      </c>
      <c r="G714" t="str">
        <f>"37-3011.00"</f>
        <v>37-3011.00</v>
      </c>
      <c r="H714" t="s">
        <v>429</v>
      </c>
      <c r="I714">
        <v>45</v>
      </c>
      <c r="J714">
        <v>45</v>
      </c>
      <c r="K714" s="1">
        <v>45323</v>
      </c>
      <c r="L714" s="1">
        <v>45626</v>
      </c>
      <c r="M714" s="1">
        <v>45323</v>
      </c>
      <c r="N714" s="1">
        <v>45626</v>
      </c>
      <c r="O714" t="s">
        <v>116</v>
      </c>
      <c r="P714" t="s">
        <v>18748</v>
      </c>
      <c r="R714" t="s">
        <v>18749</v>
      </c>
      <c r="T714" t="s">
        <v>7307</v>
      </c>
      <c r="U714" t="s">
        <v>127</v>
      </c>
      <c r="V714" s="8" t="str">
        <f>"76571"</f>
        <v>76571</v>
      </c>
      <c r="W714" t="s">
        <v>118</v>
      </c>
      <c r="Y714" s="10">
        <v>12549479150</v>
      </c>
      <c r="AA714">
        <v>56173</v>
      </c>
      <c r="AB714" t="s">
        <v>18750</v>
      </c>
      <c r="AC714" t="s">
        <v>18751</v>
      </c>
      <c r="AE714" t="s">
        <v>629</v>
      </c>
      <c r="AF714" t="s">
        <v>7306</v>
      </c>
      <c r="AH714" t="s">
        <v>7307</v>
      </c>
      <c r="AI714" t="s">
        <v>127</v>
      </c>
      <c r="AJ714" s="8" t="str">
        <f>"76571"</f>
        <v>76571</v>
      </c>
      <c r="AK714" t="s">
        <v>118</v>
      </c>
      <c r="AM714" s="10">
        <v>12549479150</v>
      </c>
      <c r="AO714" t="s">
        <v>796</v>
      </c>
      <c r="AP714" t="s">
        <v>248</v>
      </c>
      <c r="AQ714" t="s">
        <v>2101</v>
      </c>
      <c r="AR714" t="s">
        <v>2309</v>
      </c>
      <c r="AT714" t="s">
        <v>2883</v>
      </c>
      <c r="AV714" t="s">
        <v>2884</v>
      </c>
      <c r="AW714" t="s">
        <v>127</v>
      </c>
      <c r="AX714" s="8" t="str">
        <f>"75442"</f>
        <v>75442</v>
      </c>
      <c r="AY714" t="s">
        <v>118</v>
      </c>
      <c r="BA714" s="10">
        <v>14692388392</v>
      </c>
      <c r="BC714" t="s">
        <v>3257</v>
      </c>
      <c r="BD714" t="s">
        <v>2886</v>
      </c>
      <c r="BG714" t="s">
        <v>127</v>
      </c>
      <c r="BH714" s="1">
        <v>45232.833333333336</v>
      </c>
      <c r="BI714">
        <v>40</v>
      </c>
      <c r="BJ714">
        <v>0</v>
      </c>
      <c r="BK714">
        <v>8</v>
      </c>
      <c r="BL714">
        <v>8</v>
      </c>
      <c r="BM714">
        <v>8</v>
      </c>
      <c r="BN714">
        <v>8</v>
      </c>
      <c r="BO714">
        <v>8</v>
      </c>
      <c r="BP714">
        <v>0</v>
      </c>
      <c r="BQ714" t="str">
        <f>"7:00 AM"</f>
        <v>7:00 AM</v>
      </c>
      <c r="BR714" t="str">
        <f>"5:30 PM"</f>
        <v>5:30 PM</v>
      </c>
      <c r="BS714" t="s">
        <v>131</v>
      </c>
      <c r="BT714">
        <v>0</v>
      </c>
      <c r="BU714">
        <v>0</v>
      </c>
      <c r="BV714" t="s">
        <v>114</v>
      </c>
      <c r="BX714" t="s">
        <v>18752</v>
      </c>
      <c r="BY714" t="s">
        <v>7306</v>
      </c>
      <c r="CA714" t="s">
        <v>7307</v>
      </c>
      <c r="CB714" t="s">
        <v>127</v>
      </c>
      <c r="CC714" s="8" t="str">
        <f>"76571"</f>
        <v>76571</v>
      </c>
      <c r="CD714" t="s">
        <v>3250</v>
      </c>
      <c r="CE714" t="s">
        <v>3251</v>
      </c>
      <c r="CF714" s="12">
        <v>15.22</v>
      </c>
      <c r="CH714" s="12">
        <v>22.83</v>
      </c>
      <c r="CJ714" t="s">
        <v>135</v>
      </c>
      <c r="CK714" t="s">
        <v>2888</v>
      </c>
      <c r="CL714" t="s">
        <v>18753</v>
      </c>
      <c r="CO714" t="s">
        <v>132</v>
      </c>
      <c r="CP714" t="s">
        <v>136</v>
      </c>
      <c r="CQ714" t="s">
        <v>136</v>
      </c>
      <c r="CR714" t="s">
        <v>136</v>
      </c>
      <c r="CS714" t="s">
        <v>136</v>
      </c>
      <c r="CT714" t="s">
        <v>136</v>
      </c>
      <c r="CU714" t="s">
        <v>114</v>
      </c>
      <c r="CV714" t="s">
        <v>18754</v>
      </c>
      <c r="CW714" s="10" t="str">
        <f>"+12549479150"</f>
        <v>+12549479150</v>
      </c>
      <c r="CX714" t="s">
        <v>18755</v>
      </c>
      <c r="CY714" t="s">
        <v>132</v>
      </c>
      <c r="CZ714" t="s">
        <v>137</v>
      </c>
      <c r="DA714" t="s">
        <v>114</v>
      </c>
      <c r="DB714" t="s">
        <v>114</v>
      </c>
      <c r="DC714" t="s">
        <v>136</v>
      </c>
      <c r="DD714" t="s">
        <v>114</v>
      </c>
    </row>
    <row r="715" spans="1:108" ht="15" customHeight="1" x14ac:dyDescent="0.25">
      <c r="A715" t="s">
        <v>12506</v>
      </c>
      <c r="B715" t="s">
        <v>152</v>
      </c>
      <c r="C715" s="1">
        <v>45233.473407407408</v>
      </c>
      <c r="D715" s="1">
        <v>45257</v>
      </c>
      <c r="E715" t="s">
        <v>132</v>
      </c>
      <c r="F715" t="s">
        <v>1595</v>
      </c>
      <c r="G715" t="str">
        <f>"37-3011.00"</f>
        <v>37-3011.00</v>
      </c>
      <c r="H715" t="s">
        <v>429</v>
      </c>
      <c r="I715">
        <v>20</v>
      </c>
      <c r="J715">
        <v>20</v>
      </c>
      <c r="K715" s="1">
        <v>45323</v>
      </c>
      <c r="L715" s="1">
        <v>45623</v>
      </c>
      <c r="M715" s="1">
        <v>45323</v>
      </c>
      <c r="N715" s="1">
        <v>45623</v>
      </c>
      <c r="O715" t="s">
        <v>116</v>
      </c>
      <c r="P715" t="s">
        <v>12507</v>
      </c>
      <c r="R715" t="s">
        <v>12508</v>
      </c>
      <c r="S715" t="s">
        <v>12509</v>
      </c>
      <c r="T715" t="s">
        <v>12510</v>
      </c>
      <c r="U715" t="s">
        <v>581</v>
      </c>
      <c r="V715" s="8" t="str">
        <f>"22003"</f>
        <v>22003</v>
      </c>
      <c r="W715" t="s">
        <v>118</v>
      </c>
      <c r="X715" t="s">
        <v>132</v>
      </c>
      <c r="Y715" s="10">
        <v>17036420146</v>
      </c>
      <c r="AA715">
        <v>561730</v>
      </c>
      <c r="AB715" t="s">
        <v>12511</v>
      </c>
      <c r="AC715" t="s">
        <v>12512</v>
      </c>
      <c r="AD715" t="s">
        <v>1829</v>
      </c>
      <c r="AE715" t="s">
        <v>537</v>
      </c>
      <c r="AF715" t="s">
        <v>12508</v>
      </c>
      <c r="AG715" t="s">
        <v>12509</v>
      </c>
      <c r="AH715" t="s">
        <v>12510</v>
      </c>
      <c r="AI715" t="s">
        <v>581</v>
      </c>
      <c r="AJ715" s="8" t="str">
        <f>"22003"</f>
        <v>22003</v>
      </c>
      <c r="AK715" t="s">
        <v>118</v>
      </c>
      <c r="AM715" s="10">
        <v>17036420146</v>
      </c>
      <c r="AO715" t="s">
        <v>12513</v>
      </c>
      <c r="AP715" t="s">
        <v>248</v>
      </c>
      <c r="AQ715" t="s">
        <v>5000</v>
      </c>
      <c r="AR715" t="s">
        <v>4889</v>
      </c>
      <c r="AS715" t="s">
        <v>2998</v>
      </c>
      <c r="AT715" t="s">
        <v>1584</v>
      </c>
      <c r="AU715" t="s">
        <v>132</v>
      </c>
      <c r="AV715" t="s">
        <v>1585</v>
      </c>
      <c r="AW715" t="s">
        <v>127</v>
      </c>
      <c r="AX715" s="8" t="str">
        <f>"77414"</f>
        <v>77414</v>
      </c>
      <c r="AY715" t="s">
        <v>118</v>
      </c>
      <c r="BA715" s="10">
        <v>19793187277</v>
      </c>
      <c r="BC715" t="s">
        <v>5001</v>
      </c>
      <c r="BD715" t="s">
        <v>1587</v>
      </c>
      <c r="BG715" t="s">
        <v>1722</v>
      </c>
      <c r="BH715" s="1">
        <v>45232.833333333336</v>
      </c>
      <c r="BI715">
        <v>40</v>
      </c>
      <c r="BJ715">
        <v>0</v>
      </c>
      <c r="BK715">
        <v>8</v>
      </c>
      <c r="BL715">
        <v>8</v>
      </c>
      <c r="BM715">
        <v>8</v>
      </c>
      <c r="BN715">
        <v>8</v>
      </c>
      <c r="BO715">
        <v>8</v>
      </c>
      <c r="BP715">
        <v>0</v>
      </c>
      <c r="BQ715" t="str">
        <f>"7:00 AM"</f>
        <v>7:00 AM</v>
      </c>
      <c r="BR715" t="str">
        <f>"4:00 PM"</f>
        <v>4:00 PM</v>
      </c>
      <c r="BS715" t="s">
        <v>131</v>
      </c>
      <c r="BT715">
        <v>0</v>
      </c>
      <c r="BU715">
        <v>0</v>
      </c>
      <c r="BV715" t="s">
        <v>114</v>
      </c>
      <c r="BX715" s="2" t="s">
        <v>12514</v>
      </c>
      <c r="BY715" t="s">
        <v>12515</v>
      </c>
      <c r="BZ715" t="s">
        <v>132</v>
      </c>
      <c r="CA715" t="s">
        <v>12516</v>
      </c>
      <c r="CB715" t="s">
        <v>1722</v>
      </c>
      <c r="CC715" s="8" t="str">
        <f>"20833"</f>
        <v>20833</v>
      </c>
      <c r="CD715" t="s">
        <v>878</v>
      </c>
      <c r="CE715" t="s">
        <v>1794</v>
      </c>
      <c r="CF715" s="12">
        <v>19.670000000000002</v>
      </c>
      <c r="CH715" s="12">
        <v>29.51</v>
      </c>
      <c r="CJ715" t="s">
        <v>135</v>
      </c>
      <c r="CK715" t="s">
        <v>2642</v>
      </c>
      <c r="CL715" t="s">
        <v>12517</v>
      </c>
      <c r="CO715" t="s">
        <v>132</v>
      </c>
      <c r="CP715" t="s">
        <v>136</v>
      </c>
      <c r="CQ715" t="s">
        <v>136</v>
      </c>
      <c r="CR715" t="s">
        <v>136</v>
      </c>
      <c r="CS715" t="s">
        <v>136</v>
      </c>
      <c r="CT715" t="s">
        <v>136</v>
      </c>
      <c r="CU715" t="s">
        <v>136</v>
      </c>
      <c r="CV715" t="s">
        <v>12518</v>
      </c>
      <c r="CW715" s="10" t="str">
        <f>"+13019240110"</f>
        <v>+13019240110</v>
      </c>
      <c r="CX715" t="s">
        <v>12519</v>
      </c>
      <c r="CY715" t="s">
        <v>132</v>
      </c>
      <c r="CZ715" t="s">
        <v>137</v>
      </c>
      <c r="DA715" t="s">
        <v>114</v>
      </c>
      <c r="DB715" t="s">
        <v>114</v>
      </c>
      <c r="DC715" t="s">
        <v>136</v>
      </c>
      <c r="DD715" t="s">
        <v>114</v>
      </c>
    </row>
    <row r="716" spans="1:108" ht="15" customHeight="1" x14ac:dyDescent="0.25">
      <c r="A716" t="s">
        <v>20048</v>
      </c>
      <c r="B716" t="s">
        <v>152</v>
      </c>
      <c r="C716" s="1">
        <v>45233.455006481483</v>
      </c>
      <c r="D716" s="1">
        <v>45257</v>
      </c>
      <c r="E716" t="s">
        <v>132</v>
      </c>
      <c r="F716" t="s">
        <v>1595</v>
      </c>
      <c r="G716" t="str">
        <f>"37-3011.00"</f>
        <v>37-3011.00</v>
      </c>
      <c r="H716" t="s">
        <v>429</v>
      </c>
      <c r="I716">
        <v>20</v>
      </c>
      <c r="J716">
        <v>20</v>
      </c>
      <c r="K716" s="1">
        <v>45323</v>
      </c>
      <c r="L716" s="1">
        <v>45626</v>
      </c>
      <c r="M716" s="1">
        <v>45323</v>
      </c>
      <c r="N716" s="1">
        <v>45626</v>
      </c>
      <c r="O716" t="s">
        <v>116</v>
      </c>
      <c r="P716" t="s">
        <v>20049</v>
      </c>
      <c r="Q716" t="s">
        <v>20050</v>
      </c>
      <c r="R716" t="s">
        <v>20051</v>
      </c>
      <c r="S716" t="s">
        <v>132</v>
      </c>
      <c r="T716" t="s">
        <v>2008</v>
      </c>
      <c r="U716" t="s">
        <v>2608</v>
      </c>
      <c r="V716" s="8" t="str">
        <f>"73049"</f>
        <v>73049</v>
      </c>
      <c r="W716" t="s">
        <v>118</v>
      </c>
      <c r="Y716" s="10">
        <v>14057715300</v>
      </c>
      <c r="AA716">
        <v>561730</v>
      </c>
      <c r="AB716" t="s">
        <v>20052</v>
      </c>
      <c r="AC716" t="s">
        <v>6102</v>
      </c>
      <c r="AD716" t="s">
        <v>628</v>
      </c>
      <c r="AE716" t="s">
        <v>3590</v>
      </c>
      <c r="AF716" t="s">
        <v>20051</v>
      </c>
      <c r="AG716" t="s">
        <v>132</v>
      </c>
      <c r="AH716" t="s">
        <v>2008</v>
      </c>
      <c r="AI716" t="s">
        <v>2608</v>
      </c>
      <c r="AJ716" s="8" t="str">
        <f>"73049"</f>
        <v>73049</v>
      </c>
      <c r="AK716" t="s">
        <v>118</v>
      </c>
      <c r="AM716" s="10">
        <v>14057715300</v>
      </c>
      <c r="AO716" t="s">
        <v>20053</v>
      </c>
      <c r="AP716" t="s">
        <v>248</v>
      </c>
      <c r="AQ716" t="s">
        <v>1820</v>
      </c>
      <c r="AR716" t="s">
        <v>1828</v>
      </c>
      <c r="AS716" t="s">
        <v>132</v>
      </c>
      <c r="AT716" t="s">
        <v>1584</v>
      </c>
      <c r="AU716" t="s">
        <v>132</v>
      </c>
      <c r="AV716" t="s">
        <v>1585</v>
      </c>
      <c r="AW716" t="s">
        <v>127</v>
      </c>
      <c r="AX716" s="8" t="str">
        <f>"77414"</f>
        <v>77414</v>
      </c>
      <c r="AY716" t="s">
        <v>118</v>
      </c>
      <c r="BA716" s="10">
        <v>19793187285</v>
      </c>
      <c r="BC716" t="s">
        <v>2430</v>
      </c>
      <c r="BD716" t="s">
        <v>1587</v>
      </c>
      <c r="BG716" t="s">
        <v>2608</v>
      </c>
      <c r="BH716" s="1">
        <v>45232.833333333336</v>
      </c>
      <c r="BI716">
        <v>40</v>
      </c>
      <c r="BJ716">
        <v>0</v>
      </c>
      <c r="BK716">
        <v>8</v>
      </c>
      <c r="BL716">
        <v>8</v>
      </c>
      <c r="BM716">
        <v>8</v>
      </c>
      <c r="BN716">
        <v>8</v>
      </c>
      <c r="BO716">
        <v>8</v>
      </c>
      <c r="BP716">
        <v>0</v>
      </c>
      <c r="BQ716" t="str">
        <f>"8:00 AM"</f>
        <v>8:00 AM</v>
      </c>
      <c r="BR716" t="str">
        <f>"5:00 PM"</f>
        <v>5:00 PM</v>
      </c>
      <c r="BS716" t="s">
        <v>131</v>
      </c>
      <c r="BT716">
        <v>0</v>
      </c>
      <c r="BU716">
        <v>0</v>
      </c>
      <c r="BV716" t="s">
        <v>114</v>
      </c>
      <c r="BX716" s="2" t="s">
        <v>20054</v>
      </c>
      <c r="BY716" t="s">
        <v>20051</v>
      </c>
      <c r="BZ716" t="s">
        <v>132</v>
      </c>
      <c r="CA716" t="s">
        <v>2008</v>
      </c>
      <c r="CB716" t="s">
        <v>2608</v>
      </c>
      <c r="CC716" s="8" t="str">
        <f>"73049"</f>
        <v>73049</v>
      </c>
      <c r="CD716" t="s">
        <v>3576</v>
      </c>
      <c r="CE716" t="s">
        <v>3577</v>
      </c>
      <c r="CF716" s="12">
        <v>16.149999999999999</v>
      </c>
      <c r="CH716" s="12">
        <v>24.23</v>
      </c>
      <c r="CJ716" t="s">
        <v>135</v>
      </c>
      <c r="CK716" t="s">
        <v>20055</v>
      </c>
      <c r="CL716" t="s">
        <v>20056</v>
      </c>
      <c r="CO716" t="s">
        <v>132</v>
      </c>
      <c r="CP716" t="s">
        <v>136</v>
      </c>
      <c r="CQ716" t="s">
        <v>136</v>
      </c>
      <c r="CR716" t="s">
        <v>136</v>
      </c>
      <c r="CS716" t="s">
        <v>136</v>
      </c>
      <c r="CT716" t="s">
        <v>136</v>
      </c>
      <c r="CU716" t="s">
        <v>114</v>
      </c>
      <c r="CV716" t="s">
        <v>11307</v>
      </c>
      <c r="CW716" s="10" t="str">
        <f>"+14057715300"</f>
        <v>+14057715300</v>
      </c>
      <c r="CX716" t="s">
        <v>20053</v>
      </c>
      <c r="CY716" t="s">
        <v>132</v>
      </c>
      <c r="CZ716" t="s">
        <v>137</v>
      </c>
      <c r="DA716" t="s">
        <v>114</v>
      </c>
      <c r="DB716" t="s">
        <v>114</v>
      </c>
      <c r="DC716" t="s">
        <v>136</v>
      </c>
      <c r="DD716" t="s">
        <v>114</v>
      </c>
    </row>
    <row r="717" spans="1:108" ht="15" customHeight="1" x14ac:dyDescent="0.25">
      <c r="A717" t="s">
        <v>21360</v>
      </c>
      <c r="B717" t="s">
        <v>152</v>
      </c>
      <c r="C717" s="1">
        <v>45233.439322800928</v>
      </c>
      <c r="D717" s="1">
        <v>45257</v>
      </c>
      <c r="E717" t="s">
        <v>132</v>
      </c>
      <c r="F717" t="s">
        <v>1595</v>
      </c>
      <c r="G717" t="str">
        <f>"37-3011.00"</f>
        <v>37-3011.00</v>
      </c>
      <c r="H717" t="s">
        <v>429</v>
      </c>
      <c r="I717">
        <v>4</v>
      </c>
      <c r="J717">
        <v>4</v>
      </c>
      <c r="K717" s="1">
        <v>45323</v>
      </c>
      <c r="L717" s="1">
        <v>45611</v>
      </c>
      <c r="M717" s="1">
        <v>45323</v>
      </c>
      <c r="N717" s="1">
        <v>45611</v>
      </c>
      <c r="O717" t="s">
        <v>238</v>
      </c>
      <c r="P717" t="s">
        <v>21361</v>
      </c>
      <c r="R717" t="s">
        <v>21362</v>
      </c>
      <c r="S717" t="s">
        <v>21363</v>
      </c>
      <c r="T717" t="s">
        <v>7693</v>
      </c>
      <c r="U717" t="s">
        <v>984</v>
      </c>
      <c r="V717" s="8" t="str">
        <f>"63304"</f>
        <v>63304</v>
      </c>
      <c r="W717" t="s">
        <v>118</v>
      </c>
      <c r="Y717" s="10">
        <v>13148140104</v>
      </c>
      <c r="AA717">
        <v>561730</v>
      </c>
      <c r="AB717" t="s">
        <v>17905</v>
      </c>
      <c r="AC717" t="s">
        <v>250</v>
      </c>
      <c r="AE717" t="s">
        <v>561</v>
      </c>
      <c r="AF717" t="s">
        <v>21362</v>
      </c>
      <c r="AG717" t="s">
        <v>21363</v>
      </c>
      <c r="AH717" t="s">
        <v>7693</v>
      </c>
      <c r="AI717" t="s">
        <v>984</v>
      </c>
      <c r="AJ717" s="8" t="str">
        <f>"63304"</f>
        <v>63304</v>
      </c>
      <c r="AK717" t="s">
        <v>118</v>
      </c>
      <c r="AM717" s="10">
        <v>13148140104</v>
      </c>
      <c r="AO717" t="s">
        <v>21364</v>
      </c>
      <c r="AP717" t="s">
        <v>248</v>
      </c>
      <c r="AQ717" t="s">
        <v>1582</v>
      </c>
      <c r="AR717" t="s">
        <v>1583</v>
      </c>
      <c r="AS717" t="s">
        <v>631</v>
      </c>
      <c r="AT717" t="s">
        <v>1584</v>
      </c>
      <c r="AU717" t="s">
        <v>132</v>
      </c>
      <c r="AV717" t="s">
        <v>1585</v>
      </c>
      <c r="AW717" t="s">
        <v>127</v>
      </c>
      <c r="AX717" s="8" t="str">
        <f>"77414"</f>
        <v>77414</v>
      </c>
      <c r="AY717" t="s">
        <v>118</v>
      </c>
      <c r="BA717" s="10">
        <v>19793187280</v>
      </c>
      <c r="BC717" t="s">
        <v>1586</v>
      </c>
      <c r="BD717" t="s">
        <v>1587</v>
      </c>
      <c r="BG717" t="s">
        <v>984</v>
      </c>
      <c r="BH717" s="1">
        <v>45232.833333333336</v>
      </c>
      <c r="BI717">
        <v>58</v>
      </c>
      <c r="BJ717">
        <v>0</v>
      </c>
      <c r="BK717">
        <v>10</v>
      </c>
      <c r="BL717">
        <v>10</v>
      </c>
      <c r="BM717">
        <v>10</v>
      </c>
      <c r="BN717">
        <v>10</v>
      </c>
      <c r="BO717">
        <v>10</v>
      </c>
      <c r="BP717">
        <v>8</v>
      </c>
      <c r="BQ717" t="str">
        <f>"7:30 AM"</f>
        <v>7:30 AM</v>
      </c>
      <c r="BR717" t="str">
        <f>"4:30 PM"</f>
        <v>4:30 PM</v>
      </c>
      <c r="BS717" t="s">
        <v>131</v>
      </c>
      <c r="BT717">
        <v>0</v>
      </c>
      <c r="BU717">
        <v>0</v>
      </c>
      <c r="BV717" t="s">
        <v>114</v>
      </c>
      <c r="BX717" s="2" t="s">
        <v>21365</v>
      </c>
      <c r="BY717" t="s">
        <v>21366</v>
      </c>
      <c r="BZ717" t="s">
        <v>132</v>
      </c>
      <c r="CA717" t="s">
        <v>1854</v>
      </c>
      <c r="CB717" t="s">
        <v>984</v>
      </c>
      <c r="CC717" s="8" t="str">
        <f>"63366"</f>
        <v>63366</v>
      </c>
      <c r="CD717" t="s">
        <v>1855</v>
      </c>
      <c r="CE717" t="s">
        <v>1856</v>
      </c>
      <c r="CF717" s="12">
        <v>17.579999999999998</v>
      </c>
      <c r="CH717" s="12">
        <v>26.37</v>
      </c>
      <c r="CJ717" t="s">
        <v>135</v>
      </c>
      <c r="CK717" t="s">
        <v>7694</v>
      </c>
      <c r="CL717" t="s">
        <v>21367</v>
      </c>
      <c r="CO717" t="s">
        <v>132</v>
      </c>
      <c r="CP717" t="s">
        <v>136</v>
      </c>
      <c r="CQ717" t="s">
        <v>136</v>
      </c>
      <c r="CR717" t="s">
        <v>136</v>
      </c>
      <c r="CS717" t="s">
        <v>136</v>
      </c>
      <c r="CT717" t="s">
        <v>136</v>
      </c>
      <c r="CU717" t="s">
        <v>114</v>
      </c>
      <c r="CV717" t="s">
        <v>2171</v>
      </c>
      <c r="CW717" s="10" t="str">
        <f>"+13148140104"</f>
        <v>+13148140104</v>
      </c>
      <c r="CX717" t="s">
        <v>21364</v>
      </c>
      <c r="CY717" t="s">
        <v>132</v>
      </c>
      <c r="CZ717" t="s">
        <v>137</v>
      </c>
      <c r="DA717" t="s">
        <v>114</v>
      </c>
      <c r="DB717" t="s">
        <v>114</v>
      </c>
      <c r="DC717" t="s">
        <v>136</v>
      </c>
      <c r="DD717" t="s">
        <v>114</v>
      </c>
    </row>
    <row r="718" spans="1:108" ht="15" customHeight="1" x14ac:dyDescent="0.25">
      <c r="A718" t="s">
        <v>2323</v>
      </c>
      <c r="B718" t="s">
        <v>152</v>
      </c>
      <c r="C718" s="1">
        <v>45233.35819953704</v>
      </c>
      <c r="D718" s="1">
        <v>45257</v>
      </c>
      <c r="E718" t="s">
        <v>132</v>
      </c>
      <c r="F718" t="s">
        <v>2324</v>
      </c>
      <c r="G718" t="str">
        <f>"35-3023.00"</f>
        <v>35-3023.00</v>
      </c>
      <c r="H718" t="s">
        <v>1365</v>
      </c>
      <c r="I718">
        <v>15</v>
      </c>
      <c r="J718">
        <v>15</v>
      </c>
      <c r="K718" s="1">
        <v>45323</v>
      </c>
      <c r="L718" s="1">
        <v>45609</v>
      </c>
      <c r="M718" s="1">
        <v>45323</v>
      </c>
      <c r="N718" s="1">
        <v>45609</v>
      </c>
      <c r="O718" t="s">
        <v>238</v>
      </c>
      <c r="P718" t="s">
        <v>2325</v>
      </c>
      <c r="R718" t="s">
        <v>2326</v>
      </c>
      <c r="T718" t="s">
        <v>2327</v>
      </c>
      <c r="U718" t="s">
        <v>581</v>
      </c>
      <c r="V718" s="8" t="str">
        <f>"24426"</f>
        <v>24426</v>
      </c>
      <c r="W718" t="s">
        <v>118</v>
      </c>
      <c r="Y718" s="10">
        <v>15409654553</v>
      </c>
      <c r="AA718">
        <v>71399</v>
      </c>
      <c r="AB718" t="s">
        <v>2328</v>
      </c>
      <c r="AC718" t="s">
        <v>2188</v>
      </c>
      <c r="AE718" t="s">
        <v>561</v>
      </c>
      <c r="AF718" t="s">
        <v>2326</v>
      </c>
      <c r="AH718" t="s">
        <v>2327</v>
      </c>
      <c r="AI718" t="s">
        <v>581</v>
      </c>
      <c r="AJ718" s="8" t="str">
        <f>"24426"</f>
        <v>24426</v>
      </c>
      <c r="AK718" t="s">
        <v>118</v>
      </c>
      <c r="AM718" s="10">
        <v>15409697276</v>
      </c>
      <c r="AO718" t="s">
        <v>2329</v>
      </c>
      <c r="AP718" t="s">
        <v>248</v>
      </c>
      <c r="AQ718" t="s">
        <v>249</v>
      </c>
      <c r="AR718" t="s">
        <v>250</v>
      </c>
      <c r="AS718" t="s">
        <v>251</v>
      </c>
      <c r="AT718" t="s">
        <v>252</v>
      </c>
      <c r="AU718" t="s">
        <v>253</v>
      </c>
      <c r="AV718" t="s">
        <v>254</v>
      </c>
      <c r="AW718" t="s">
        <v>127</v>
      </c>
      <c r="AX718" s="8" t="str">
        <f>"78550"</f>
        <v>78550</v>
      </c>
      <c r="AY718" t="s">
        <v>118</v>
      </c>
      <c r="AZ718" t="s">
        <v>255</v>
      </c>
      <c r="BA718" s="10">
        <v>19564408720</v>
      </c>
      <c r="BB718" s="3" t="s">
        <v>256</v>
      </c>
      <c r="BC718" t="s">
        <v>257</v>
      </c>
      <c r="BD718" t="s">
        <v>258</v>
      </c>
      <c r="BG718" t="s">
        <v>581</v>
      </c>
      <c r="BH718" s="1">
        <v>45232.833333333336</v>
      </c>
      <c r="BI718">
        <v>40</v>
      </c>
      <c r="BJ718">
        <v>8</v>
      </c>
      <c r="BK718">
        <v>0</v>
      </c>
      <c r="BL718">
        <v>0</v>
      </c>
      <c r="BM718">
        <v>8</v>
      </c>
      <c r="BN718">
        <v>8</v>
      </c>
      <c r="BO718">
        <v>8</v>
      </c>
      <c r="BP718">
        <v>8</v>
      </c>
      <c r="BQ718" t="str">
        <f>"1:00 PM"</f>
        <v>1:00 PM</v>
      </c>
      <c r="BR718" t="str">
        <f>"10:00 PM"</f>
        <v>10:00 PM</v>
      </c>
      <c r="BS718" t="s">
        <v>131</v>
      </c>
      <c r="BT718">
        <v>0</v>
      </c>
      <c r="BU718">
        <v>0</v>
      </c>
      <c r="BV718" t="s">
        <v>114</v>
      </c>
      <c r="BX718" s="2" t="s">
        <v>259</v>
      </c>
      <c r="BY718" t="s">
        <v>2326</v>
      </c>
      <c r="CA718" t="s">
        <v>2327</v>
      </c>
      <c r="CB718" t="s">
        <v>581</v>
      </c>
      <c r="CC718" s="8" t="str">
        <f>"24426"</f>
        <v>24426</v>
      </c>
      <c r="CD718" t="s">
        <v>2330</v>
      </c>
      <c r="CE718" t="s">
        <v>2331</v>
      </c>
      <c r="CF718" s="12">
        <v>10.98</v>
      </c>
      <c r="CG718" s="12">
        <v>15.12</v>
      </c>
      <c r="CJ718" t="s">
        <v>135</v>
      </c>
      <c r="CK718" t="s">
        <v>264</v>
      </c>
      <c r="CL718" t="s">
        <v>2332</v>
      </c>
      <c r="CO718" t="s">
        <v>132</v>
      </c>
      <c r="CP718" t="s">
        <v>136</v>
      </c>
      <c r="CQ718" t="s">
        <v>136</v>
      </c>
      <c r="CR718" t="s">
        <v>114</v>
      </c>
      <c r="CS718" t="s">
        <v>136</v>
      </c>
      <c r="CT718" t="s">
        <v>136</v>
      </c>
      <c r="CU718" t="s">
        <v>136</v>
      </c>
      <c r="CV718" t="s">
        <v>2258</v>
      </c>
      <c r="CW718" s="10" t="str">
        <f>"+15409654553"</f>
        <v>+15409654553</v>
      </c>
      <c r="CX718" t="s">
        <v>2329</v>
      </c>
      <c r="CY718" t="s">
        <v>132</v>
      </c>
      <c r="CZ718" t="s">
        <v>137</v>
      </c>
      <c r="DA718" t="s">
        <v>114</v>
      </c>
      <c r="DB718" t="s">
        <v>136</v>
      </c>
      <c r="DC718" t="s">
        <v>136</v>
      </c>
      <c r="DD718" t="s">
        <v>114</v>
      </c>
    </row>
    <row r="719" spans="1:108" ht="15" customHeight="1" x14ac:dyDescent="0.25">
      <c r="A719" t="s">
        <v>7696</v>
      </c>
      <c r="B719" t="s">
        <v>152</v>
      </c>
      <c r="C719" s="1">
        <v>45233.335910648151</v>
      </c>
      <c r="D719" s="1">
        <v>45257</v>
      </c>
      <c r="E719" t="s">
        <v>132</v>
      </c>
      <c r="F719" t="s">
        <v>2230</v>
      </c>
      <c r="G719" t="str">
        <f>"37-3011.00"</f>
        <v>37-3011.00</v>
      </c>
      <c r="H719" t="s">
        <v>429</v>
      </c>
      <c r="I719">
        <v>34</v>
      </c>
      <c r="J719">
        <v>34</v>
      </c>
      <c r="K719" s="1">
        <v>45323</v>
      </c>
      <c r="L719" s="1">
        <v>45626</v>
      </c>
      <c r="M719" s="1">
        <v>45323</v>
      </c>
      <c r="N719" s="1">
        <v>45626</v>
      </c>
      <c r="O719" t="s">
        <v>116</v>
      </c>
      <c r="P719" t="s">
        <v>7697</v>
      </c>
      <c r="R719" t="s">
        <v>7698</v>
      </c>
      <c r="T719" t="s">
        <v>7699</v>
      </c>
      <c r="U719" t="s">
        <v>581</v>
      </c>
      <c r="V719" s="8" t="str">
        <f>"23059"</f>
        <v>23059</v>
      </c>
      <c r="W719" t="s">
        <v>118</v>
      </c>
      <c r="Y719" s="10">
        <v>18045503500</v>
      </c>
      <c r="AA719">
        <v>56173</v>
      </c>
      <c r="AB719" t="s">
        <v>7676</v>
      </c>
      <c r="AC719" t="s">
        <v>6662</v>
      </c>
      <c r="AD719" t="s">
        <v>1798</v>
      </c>
      <c r="AE719" t="s">
        <v>7700</v>
      </c>
      <c r="AF719" t="s">
        <v>7701</v>
      </c>
      <c r="AH719" t="s">
        <v>7699</v>
      </c>
      <c r="AI719" t="s">
        <v>581</v>
      </c>
      <c r="AJ719" s="8" t="str">
        <f>"23059"</f>
        <v>23059</v>
      </c>
      <c r="AK719" t="s">
        <v>118</v>
      </c>
      <c r="AM719" s="10">
        <v>18045503500</v>
      </c>
      <c r="AO719" t="s">
        <v>7702</v>
      </c>
      <c r="AP719" t="s">
        <v>248</v>
      </c>
      <c r="AQ719" t="s">
        <v>1860</v>
      </c>
      <c r="AR719" t="s">
        <v>1861</v>
      </c>
      <c r="AS719" t="s">
        <v>1862</v>
      </c>
      <c r="AT719" t="s">
        <v>1863</v>
      </c>
      <c r="AU719" t="s">
        <v>1864</v>
      </c>
      <c r="AV719" t="s">
        <v>1865</v>
      </c>
      <c r="AW719" t="s">
        <v>581</v>
      </c>
      <c r="AX719" s="8" t="str">
        <f>"24521"</f>
        <v>24521</v>
      </c>
      <c r="AY719" t="s">
        <v>118</v>
      </c>
      <c r="BA719" s="10">
        <v>14349460035</v>
      </c>
      <c r="BB719">
        <v>11</v>
      </c>
      <c r="BC719" t="s">
        <v>1866</v>
      </c>
      <c r="BD719" t="s">
        <v>1867</v>
      </c>
      <c r="BG719" t="s">
        <v>581</v>
      </c>
      <c r="BH719" s="1">
        <v>45232.833333333336</v>
      </c>
      <c r="BI719">
        <v>35</v>
      </c>
      <c r="BJ719">
        <v>0</v>
      </c>
      <c r="BK719">
        <v>7</v>
      </c>
      <c r="BL719">
        <v>7</v>
      </c>
      <c r="BM719">
        <v>7</v>
      </c>
      <c r="BN719">
        <v>7</v>
      </c>
      <c r="BO719">
        <v>7</v>
      </c>
      <c r="BP719">
        <v>0</v>
      </c>
      <c r="BQ719" t="str">
        <f>"7:00 AM"</f>
        <v>7:00 AM</v>
      </c>
      <c r="BR719" t="str">
        <f>"4:00 PM"</f>
        <v>4:00 PM</v>
      </c>
      <c r="BS719" t="s">
        <v>131</v>
      </c>
      <c r="BT719">
        <v>0</v>
      </c>
      <c r="BU719">
        <v>3</v>
      </c>
      <c r="BV719" t="s">
        <v>114</v>
      </c>
      <c r="BX719" s="2" t="s">
        <v>7703</v>
      </c>
      <c r="BY719" t="s">
        <v>7698</v>
      </c>
      <c r="CA719" t="s">
        <v>7699</v>
      </c>
      <c r="CB719" t="s">
        <v>581</v>
      </c>
      <c r="CC719" s="8" t="str">
        <f>"23059"</f>
        <v>23059</v>
      </c>
      <c r="CD719" t="s">
        <v>7704</v>
      </c>
      <c r="CE719" t="s">
        <v>1850</v>
      </c>
      <c r="CF719" s="12">
        <v>16.43</v>
      </c>
      <c r="CG719" s="12">
        <v>16.43</v>
      </c>
      <c r="CH719" s="12">
        <v>24.65</v>
      </c>
      <c r="CI719" s="12">
        <v>24.65</v>
      </c>
      <c r="CJ719" t="s">
        <v>135</v>
      </c>
      <c r="CK719" t="s">
        <v>7705</v>
      </c>
      <c r="CL719" t="s">
        <v>7706</v>
      </c>
      <c r="CO719" t="s">
        <v>132</v>
      </c>
      <c r="CP719" t="s">
        <v>136</v>
      </c>
      <c r="CQ719" t="s">
        <v>136</v>
      </c>
      <c r="CR719" t="s">
        <v>136</v>
      </c>
      <c r="CS719" t="s">
        <v>114</v>
      </c>
      <c r="CT719" t="s">
        <v>136</v>
      </c>
      <c r="CU719" t="s">
        <v>136</v>
      </c>
      <c r="CV719" s="2" t="s">
        <v>7707</v>
      </c>
      <c r="CW719" s="10" t="str">
        <f>"N/A"</f>
        <v>N/A</v>
      </c>
      <c r="CX719" t="s">
        <v>7708</v>
      </c>
      <c r="CY719" t="s">
        <v>7709</v>
      </c>
      <c r="CZ719" t="s">
        <v>137</v>
      </c>
      <c r="DA719" t="s">
        <v>114</v>
      </c>
      <c r="DB719" t="s">
        <v>136</v>
      </c>
      <c r="DC719" t="s">
        <v>136</v>
      </c>
      <c r="DD719" t="s">
        <v>114</v>
      </c>
    </row>
    <row r="720" spans="1:108" ht="15" customHeight="1" x14ac:dyDescent="0.25">
      <c r="A720" t="s">
        <v>19037</v>
      </c>
      <c r="B720" t="s">
        <v>152</v>
      </c>
      <c r="C720" s="1">
        <v>45233.334632060185</v>
      </c>
      <c r="D720" s="1">
        <v>45257</v>
      </c>
      <c r="E720" t="s">
        <v>132</v>
      </c>
      <c r="F720" t="s">
        <v>2230</v>
      </c>
      <c r="G720" t="str">
        <f>"37-3011.00"</f>
        <v>37-3011.00</v>
      </c>
      <c r="H720" t="s">
        <v>429</v>
      </c>
      <c r="I720">
        <v>34</v>
      </c>
      <c r="J720">
        <v>34</v>
      </c>
      <c r="K720" s="1">
        <v>45323</v>
      </c>
      <c r="L720" s="1">
        <v>45626</v>
      </c>
      <c r="M720" s="1">
        <v>45323</v>
      </c>
      <c r="N720" s="1">
        <v>45626</v>
      </c>
      <c r="O720" t="s">
        <v>116</v>
      </c>
      <c r="P720" t="s">
        <v>19038</v>
      </c>
      <c r="R720" t="s">
        <v>19039</v>
      </c>
      <c r="T720" t="s">
        <v>3909</v>
      </c>
      <c r="U720" t="s">
        <v>581</v>
      </c>
      <c r="V720" s="8" t="str">
        <f>"23701"</f>
        <v>23701</v>
      </c>
      <c r="W720" t="s">
        <v>118</v>
      </c>
      <c r="Y720" s="10">
        <v>17574888600</v>
      </c>
      <c r="AA720">
        <v>56173</v>
      </c>
      <c r="AB720" t="s">
        <v>7676</v>
      </c>
      <c r="AC720" t="s">
        <v>6662</v>
      </c>
      <c r="AD720" t="s">
        <v>1798</v>
      </c>
      <c r="AE720" t="s">
        <v>7700</v>
      </c>
      <c r="AF720" t="s">
        <v>7701</v>
      </c>
      <c r="AH720" t="s">
        <v>7699</v>
      </c>
      <c r="AI720" t="s">
        <v>581</v>
      </c>
      <c r="AJ720" s="8" t="str">
        <f>"23059"</f>
        <v>23059</v>
      </c>
      <c r="AK720" t="s">
        <v>118</v>
      </c>
      <c r="AM720" s="10">
        <v>18045503500</v>
      </c>
      <c r="AO720" t="s">
        <v>7702</v>
      </c>
      <c r="AP720" t="s">
        <v>248</v>
      </c>
      <c r="AQ720" t="s">
        <v>1860</v>
      </c>
      <c r="AR720" t="s">
        <v>1861</v>
      </c>
      <c r="AS720" t="s">
        <v>1862</v>
      </c>
      <c r="AT720" t="s">
        <v>1863</v>
      </c>
      <c r="AU720" t="s">
        <v>1864</v>
      </c>
      <c r="AV720" t="s">
        <v>1865</v>
      </c>
      <c r="AW720" t="s">
        <v>581</v>
      </c>
      <c r="AX720" s="8" t="str">
        <f>"24521"</f>
        <v>24521</v>
      </c>
      <c r="AY720" t="s">
        <v>118</v>
      </c>
      <c r="BA720" s="10">
        <v>14349460035</v>
      </c>
      <c r="BB720">
        <v>11</v>
      </c>
      <c r="BC720" t="s">
        <v>1866</v>
      </c>
      <c r="BD720" t="s">
        <v>1867</v>
      </c>
      <c r="BG720" t="s">
        <v>581</v>
      </c>
      <c r="BH720" s="1">
        <v>45232.833333333336</v>
      </c>
      <c r="BI720">
        <v>35</v>
      </c>
      <c r="BJ720">
        <v>0</v>
      </c>
      <c r="BK720">
        <v>7</v>
      </c>
      <c r="BL720">
        <v>7</v>
      </c>
      <c r="BM720">
        <v>7</v>
      </c>
      <c r="BN720">
        <v>7</v>
      </c>
      <c r="BO720">
        <v>7</v>
      </c>
      <c r="BP720">
        <v>0</v>
      </c>
      <c r="BQ720" t="str">
        <f>"7:00 AM"</f>
        <v>7:00 AM</v>
      </c>
      <c r="BR720" t="str">
        <f>"4:00 PM"</f>
        <v>4:00 PM</v>
      </c>
      <c r="BS720" t="s">
        <v>131</v>
      </c>
      <c r="BT720">
        <v>0</v>
      </c>
      <c r="BU720">
        <v>3</v>
      </c>
      <c r="BV720" t="s">
        <v>114</v>
      </c>
      <c r="BX720" s="2" t="s">
        <v>19040</v>
      </c>
      <c r="BY720" t="s">
        <v>19039</v>
      </c>
      <c r="CA720" t="s">
        <v>3909</v>
      </c>
      <c r="CB720" t="s">
        <v>581</v>
      </c>
      <c r="CC720" s="8" t="str">
        <f>"23701"</f>
        <v>23701</v>
      </c>
      <c r="CD720" t="s">
        <v>5348</v>
      </c>
      <c r="CE720" t="s">
        <v>2145</v>
      </c>
      <c r="CF720" s="12">
        <v>16.350000000000001</v>
      </c>
      <c r="CG720" s="12">
        <v>16.350000000000001</v>
      </c>
      <c r="CH720" s="12">
        <v>24.53</v>
      </c>
      <c r="CI720" s="12">
        <v>24.53</v>
      </c>
      <c r="CJ720" t="s">
        <v>135</v>
      </c>
      <c r="CK720" t="s">
        <v>19041</v>
      </c>
      <c r="CL720" t="s">
        <v>19042</v>
      </c>
      <c r="CO720" t="s">
        <v>132</v>
      </c>
      <c r="CP720" t="s">
        <v>136</v>
      </c>
      <c r="CQ720" t="s">
        <v>136</v>
      </c>
      <c r="CR720" t="s">
        <v>136</v>
      </c>
      <c r="CS720" t="s">
        <v>114</v>
      </c>
      <c r="CT720" t="s">
        <v>136</v>
      </c>
      <c r="CU720" t="s">
        <v>136</v>
      </c>
      <c r="CV720" t="s">
        <v>19043</v>
      </c>
      <c r="CW720" s="10" t="str">
        <f>"N/A"</f>
        <v>N/A</v>
      </c>
      <c r="CX720" t="s">
        <v>7708</v>
      </c>
      <c r="CY720" t="s">
        <v>19044</v>
      </c>
      <c r="CZ720" t="s">
        <v>137</v>
      </c>
      <c r="DA720" t="s">
        <v>114</v>
      </c>
      <c r="DB720" t="s">
        <v>136</v>
      </c>
      <c r="DC720" t="s">
        <v>136</v>
      </c>
      <c r="DD720" t="s">
        <v>114</v>
      </c>
    </row>
    <row r="721" spans="1:108" ht="15" customHeight="1" x14ac:dyDescent="0.25">
      <c r="A721" t="s">
        <v>2660</v>
      </c>
      <c r="B721" t="s">
        <v>152</v>
      </c>
      <c r="C721" s="1">
        <v>45233.024565509259</v>
      </c>
      <c r="D721" s="1">
        <v>45257</v>
      </c>
      <c r="E721" t="s">
        <v>132</v>
      </c>
      <c r="F721" t="s">
        <v>1595</v>
      </c>
      <c r="G721" t="str">
        <f>"37-3011.00"</f>
        <v>37-3011.00</v>
      </c>
      <c r="H721" t="s">
        <v>429</v>
      </c>
      <c r="I721">
        <v>20</v>
      </c>
      <c r="J721">
        <v>20</v>
      </c>
      <c r="K721" s="1">
        <v>45323</v>
      </c>
      <c r="L721" s="1">
        <v>45626</v>
      </c>
      <c r="M721" s="1">
        <v>45323</v>
      </c>
      <c r="N721" s="1">
        <v>45626</v>
      </c>
      <c r="O721" t="s">
        <v>238</v>
      </c>
      <c r="P721" t="s">
        <v>2661</v>
      </c>
      <c r="R721" t="s">
        <v>2662</v>
      </c>
      <c r="T721" t="s">
        <v>2663</v>
      </c>
      <c r="U721" t="s">
        <v>984</v>
      </c>
      <c r="V721" s="8" t="str">
        <f>"65202"</f>
        <v>65202</v>
      </c>
      <c r="W721" t="s">
        <v>118</v>
      </c>
      <c r="Y721" s="10">
        <v>15734454465</v>
      </c>
      <c r="AA721">
        <v>56173</v>
      </c>
      <c r="AB721" t="s">
        <v>2664</v>
      </c>
      <c r="AC721" t="s">
        <v>2665</v>
      </c>
      <c r="AE721" t="s">
        <v>629</v>
      </c>
      <c r="AF721" t="s">
        <v>2662</v>
      </c>
      <c r="AH721" t="s">
        <v>2663</v>
      </c>
      <c r="AI721" t="s">
        <v>984</v>
      </c>
      <c r="AJ721" s="8" t="str">
        <f>"65202"</f>
        <v>65202</v>
      </c>
      <c r="AK721" t="s">
        <v>118</v>
      </c>
      <c r="AM721" s="10">
        <v>15734454465</v>
      </c>
      <c r="AO721" t="s">
        <v>2666</v>
      </c>
      <c r="AP721" t="s">
        <v>248</v>
      </c>
      <c r="AQ721" t="s">
        <v>2667</v>
      </c>
      <c r="AR721" t="s">
        <v>2668</v>
      </c>
      <c r="AT721" t="s">
        <v>1253</v>
      </c>
      <c r="AU721" t="s">
        <v>852</v>
      </c>
      <c r="AV721" t="s">
        <v>853</v>
      </c>
      <c r="AW721" t="s">
        <v>854</v>
      </c>
      <c r="AX721" s="8" t="str">
        <f>"83814"</f>
        <v>83814</v>
      </c>
      <c r="AY721" t="s">
        <v>118</v>
      </c>
      <c r="BA721" s="10">
        <v>12087772654</v>
      </c>
      <c r="BC721" t="s">
        <v>2669</v>
      </c>
      <c r="BD721" t="s">
        <v>856</v>
      </c>
      <c r="BG721" t="s">
        <v>984</v>
      </c>
      <c r="BH721" s="1">
        <v>45231.833333333336</v>
      </c>
      <c r="BI721">
        <v>40</v>
      </c>
      <c r="BJ721">
        <v>0</v>
      </c>
      <c r="BK721">
        <v>8</v>
      </c>
      <c r="BL721">
        <v>8</v>
      </c>
      <c r="BM721">
        <v>8</v>
      </c>
      <c r="BN721">
        <v>8</v>
      </c>
      <c r="BO721">
        <v>8</v>
      </c>
      <c r="BP721">
        <v>0</v>
      </c>
      <c r="BQ721" t="str">
        <f>"7:30 AM"</f>
        <v>7:30 AM</v>
      </c>
      <c r="BR721" t="str">
        <f>"5:00 PM"</f>
        <v>5:00 PM</v>
      </c>
      <c r="BS721" t="s">
        <v>131</v>
      </c>
      <c r="BT721">
        <v>0</v>
      </c>
      <c r="BU721">
        <v>0</v>
      </c>
      <c r="BV721" t="s">
        <v>114</v>
      </c>
      <c r="BX721" t="s">
        <v>2670</v>
      </c>
      <c r="BY721" t="s">
        <v>2671</v>
      </c>
      <c r="CA721" t="s">
        <v>2663</v>
      </c>
      <c r="CB721" t="s">
        <v>984</v>
      </c>
      <c r="CC721" s="8" t="str">
        <f>"65202"</f>
        <v>65202</v>
      </c>
      <c r="CD721" t="s">
        <v>2672</v>
      </c>
      <c r="CE721" t="s">
        <v>2673</v>
      </c>
      <c r="CF721" s="12">
        <v>16.18</v>
      </c>
      <c r="CG721" s="12">
        <v>19</v>
      </c>
      <c r="CH721" s="12">
        <v>24.27</v>
      </c>
      <c r="CI721" s="12">
        <v>28.5</v>
      </c>
      <c r="CJ721" t="s">
        <v>135</v>
      </c>
      <c r="CK721" t="s">
        <v>1899</v>
      </c>
      <c r="CL721" t="s">
        <v>2674</v>
      </c>
      <c r="CO721" t="s">
        <v>132</v>
      </c>
      <c r="CP721" t="s">
        <v>136</v>
      </c>
      <c r="CQ721" t="s">
        <v>136</v>
      </c>
      <c r="CR721" t="s">
        <v>136</v>
      </c>
      <c r="CS721" t="s">
        <v>136</v>
      </c>
      <c r="CT721" t="s">
        <v>136</v>
      </c>
      <c r="CU721" t="s">
        <v>136</v>
      </c>
      <c r="CV721" t="s">
        <v>1040</v>
      </c>
      <c r="CW721" s="10" t="str">
        <f>"+15734454465"</f>
        <v>+15734454465</v>
      </c>
      <c r="CX721" t="s">
        <v>2666</v>
      </c>
      <c r="CY721" t="s">
        <v>132</v>
      </c>
      <c r="CZ721" t="s">
        <v>137</v>
      </c>
      <c r="DA721" t="s">
        <v>114</v>
      </c>
      <c r="DB721" t="s">
        <v>136</v>
      </c>
      <c r="DC721" t="s">
        <v>136</v>
      </c>
      <c r="DD721" t="s">
        <v>114</v>
      </c>
    </row>
    <row r="722" spans="1:108" ht="15" customHeight="1" x14ac:dyDescent="0.25">
      <c r="A722" t="s">
        <v>3150</v>
      </c>
      <c r="B722" t="s">
        <v>152</v>
      </c>
      <c r="C722" s="1">
        <v>45233.020075578701</v>
      </c>
      <c r="D722" s="1">
        <v>45257</v>
      </c>
      <c r="E722" t="s">
        <v>132</v>
      </c>
      <c r="F722" t="s">
        <v>1595</v>
      </c>
      <c r="G722" t="str">
        <f>"37-3011.00"</f>
        <v>37-3011.00</v>
      </c>
      <c r="H722" t="s">
        <v>429</v>
      </c>
      <c r="I722">
        <v>60</v>
      </c>
      <c r="J722">
        <v>60</v>
      </c>
      <c r="K722" s="1">
        <v>45323</v>
      </c>
      <c r="L722" s="1">
        <v>45596</v>
      </c>
      <c r="M722" s="1">
        <v>45323</v>
      </c>
      <c r="N722" s="1">
        <v>45596</v>
      </c>
      <c r="O722" t="s">
        <v>238</v>
      </c>
      <c r="P722" t="s">
        <v>3151</v>
      </c>
      <c r="R722" t="s">
        <v>3152</v>
      </c>
      <c r="T722" t="s">
        <v>3153</v>
      </c>
      <c r="U722" t="s">
        <v>1734</v>
      </c>
      <c r="V722" s="8" t="str">
        <f>"66030"</f>
        <v>66030</v>
      </c>
      <c r="W722" t="s">
        <v>118</v>
      </c>
      <c r="Y722" s="10">
        <v>19138973858</v>
      </c>
      <c r="AA722">
        <v>56173</v>
      </c>
      <c r="AB722" t="s">
        <v>3154</v>
      </c>
      <c r="AC722" t="s">
        <v>3155</v>
      </c>
      <c r="AD722" t="s">
        <v>132</v>
      </c>
      <c r="AE722" t="s">
        <v>3156</v>
      </c>
      <c r="AF722" t="s">
        <v>3152</v>
      </c>
      <c r="AH722" t="s">
        <v>3153</v>
      </c>
      <c r="AI722" t="s">
        <v>1734</v>
      </c>
      <c r="AJ722" s="8" t="str">
        <f>"66030"</f>
        <v>66030</v>
      </c>
      <c r="AK722" t="s">
        <v>118</v>
      </c>
      <c r="AM722" s="10">
        <v>19138973858</v>
      </c>
      <c r="AO722" t="s">
        <v>3157</v>
      </c>
      <c r="AP722" t="s">
        <v>248</v>
      </c>
      <c r="AQ722" t="s">
        <v>1030</v>
      </c>
      <c r="AR722" t="s">
        <v>1031</v>
      </c>
      <c r="AS722" t="s">
        <v>132</v>
      </c>
      <c r="AT722" t="s">
        <v>1253</v>
      </c>
      <c r="AU722" t="s">
        <v>852</v>
      </c>
      <c r="AV722" t="s">
        <v>853</v>
      </c>
      <c r="AW722" t="s">
        <v>854</v>
      </c>
      <c r="AX722" s="8" t="str">
        <f>"83814"</f>
        <v>83814</v>
      </c>
      <c r="AY722" t="s">
        <v>118</v>
      </c>
      <c r="BA722" s="10">
        <v>12087772654</v>
      </c>
      <c r="BC722" t="s">
        <v>2080</v>
      </c>
      <c r="BD722" t="s">
        <v>856</v>
      </c>
      <c r="BG722" t="s">
        <v>1734</v>
      </c>
      <c r="BH722" s="1">
        <v>45222.833333333336</v>
      </c>
      <c r="BI722">
        <v>40</v>
      </c>
      <c r="BJ722">
        <v>0</v>
      </c>
      <c r="BK722">
        <v>8</v>
      </c>
      <c r="BL722">
        <v>8</v>
      </c>
      <c r="BM722">
        <v>8</v>
      </c>
      <c r="BN722">
        <v>8</v>
      </c>
      <c r="BO722">
        <v>8</v>
      </c>
      <c r="BP722">
        <v>0</v>
      </c>
      <c r="BQ722" t="str">
        <f>"7:30 AM"</f>
        <v>7:30 AM</v>
      </c>
      <c r="BR722" t="str">
        <f>"4:30 PM"</f>
        <v>4:30 PM</v>
      </c>
      <c r="BS722" t="s">
        <v>131</v>
      </c>
      <c r="BT722">
        <v>0</v>
      </c>
      <c r="BU722">
        <v>3</v>
      </c>
      <c r="BV722" t="s">
        <v>114</v>
      </c>
      <c r="BX722" t="s">
        <v>3158</v>
      </c>
      <c r="BY722" t="s">
        <v>3159</v>
      </c>
      <c r="CA722" t="s">
        <v>3153</v>
      </c>
      <c r="CB722" t="s">
        <v>1734</v>
      </c>
      <c r="CC722" s="8" t="str">
        <f>"66030"</f>
        <v>66030</v>
      </c>
      <c r="CD722" t="s">
        <v>1969</v>
      </c>
      <c r="CE722" t="s">
        <v>2431</v>
      </c>
      <c r="CF722" s="12">
        <v>17.47</v>
      </c>
      <c r="CG722" s="12">
        <v>24</v>
      </c>
      <c r="CH722" s="12">
        <v>26.21</v>
      </c>
      <c r="CI722" s="12">
        <v>36</v>
      </c>
      <c r="CJ722" t="s">
        <v>135</v>
      </c>
      <c r="CK722" t="s">
        <v>1899</v>
      </c>
      <c r="CL722" t="s">
        <v>3160</v>
      </c>
      <c r="CO722" t="s">
        <v>132</v>
      </c>
      <c r="CP722" t="s">
        <v>136</v>
      </c>
      <c r="CQ722" t="s">
        <v>136</v>
      </c>
      <c r="CR722" t="s">
        <v>136</v>
      </c>
      <c r="CS722" t="s">
        <v>114</v>
      </c>
      <c r="CT722" t="s">
        <v>136</v>
      </c>
      <c r="CU722" t="s">
        <v>114</v>
      </c>
      <c r="CV722" t="s">
        <v>1040</v>
      </c>
      <c r="CW722" s="10" t="str">
        <f>"+19138973858"</f>
        <v>+19138973858</v>
      </c>
      <c r="CX722" t="s">
        <v>3157</v>
      </c>
      <c r="CY722" t="s">
        <v>132</v>
      </c>
      <c r="CZ722" t="s">
        <v>137</v>
      </c>
      <c r="DA722" t="s">
        <v>114</v>
      </c>
      <c r="DB722" t="s">
        <v>114</v>
      </c>
      <c r="DC722" t="s">
        <v>136</v>
      </c>
      <c r="DD722" t="s">
        <v>114</v>
      </c>
    </row>
    <row r="723" spans="1:108" ht="15" customHeight="1" x14ac:dyDescent="0.25">
      <c r="A723" t="s">
        <v>5272</v>
      </c>
      <c r="B723" t="s">
        <v>152</v>
      </c>
      <c r="C723" s="1">
        <v>45233.006420254627</v>
      </c>
      <c r="D723" s="1">
        <v>45257</v>
      </c>
      <c r="E723" t="s">
        <v>132</v>
      </c>
      <c r="F723" t="s">
        <v>4863</v>
      </c>
      <c r="G723" t="str">
        <f>"37-3011.00"</f>
        <v>37-3011.00</v>
      </c>
      <c r="H723" t="s">
        <v>429</v>
      </c>
      <c r="I723">
        <v>32</v>
      </c>
      <c r="J723">
        <v>32</v>
      </c>
      <c r="K723" s="1">
        <v>45323</v>
      </c>
      <c r="L723" s="1">
        <v>45626</v>
      </c>
      <c r="M723" s="1">
        <v>45323</v>
      </c>
      <c r="N723" s="1">
        <v>45626</v>
      </c>
      <c r="O723" t="s">
        <v>116</v>
      </c>
      <c r="P723" t="s">
        <v>5273</v>
      </c>
      <c r="R723" t="s">
        <v>5274</v>
      </c>
      <c r="T723" t="s">
        <v>5275</v>
      </c>
      <c r="U723" t="s">
        <v>984</v>
      </c>
      <c r="V723" s="8" t="str">
        <f>"65109"</f>
        <v>65109</v>
      </c>
      <c r="W723" t="s">
        <v>118</v>
      </c>
      <c r="Y723" s="10">
        <v>15738932896</v>
      </c>
      <c r="AA723">
        <v>56173</v>
      </c>
      <c r="AB723" t="s">
        <v>5276</v>
      </c>
      <c r="AC723" t="s">
        <v>250</v>
      </c>
      <c r="AE723" t="s">
        <v>629</v>
      </c>
      <c r="AF723" t="s">
        <v>5274</v>
      </c>
      <c r="AH723" t="s">
        <v>5275</v>
      </c>
      <c r="AI723" t="s">
        <v>984</v>
      </c>
      <c r="AJ723" s="8" t="str">
        <f>"65109"</f>
        <v>65109</v>
      </c>
      <c r="AK723" t="s">
        <v>118</v>
      </c>
      <c r="AM723" s="10">
        <v>15738932896</v>
      </c>
      <c r="AO723" t="s">
        <v>5277</v>
      </c>
      <c r="AP723" t="s">
        <v>248</v>
      </c>
      <c r="AQ723" t="s">
        <v>2699</v>
      </c>
      <c r="AR723" t="s">
        <v>2700</v>
      </c>
      <c r="AT723" t="s">
        <v>3080</v>
      </c>
      <c r="AU723" t="s">
        <v>3081</v>
      </c>
      <c r="AV723" t="s">
        <v>3082</v>
      </c>
      <c r="AW723" t="s">
        <v>854</v>
      </c>
      <c r="AX723" s="8" t="str">
        <f>"83814"</f>
        <v>83814</v>
      </c>
      <c r="AY723" t="s">
        <v>118</v>
      </c>
      <c r="BA723" s="10">
        <v>12087772654</v>
      </c>
      <c r="BC723" t="s">
        <v>2701</v>
      </c>
      <c r="BD723" t="s">
        <v>856</v>
      </c>
      <c r="BG723" t="s">
        <v>984</v>
      </c>
      <c r="BH723" s="1">
        <v>45231.833333333336</v>
      </c>
      <c r="BI723">
        <v>40</v>
      </c>
      <c r="BJ723">
        <v>0</v>
      </c>
      <c r="BK723">
        <v>8</v>
      </c>
      <c r="BL723">
        <v>8</v>
      </c>
      <c r="BM723">
        <v>8</v>
      </c>
      <c r="BN723">
        <v>8</v>
      </c>
      <c r="BO723">
        <v>8</v>
      </c>
      <c r="BP723">
        <v>0</v>
      </c>
      <c r="BQ723" t="str">
        <f>"6:30 AM"</f>
        <v>6:30 AM</v>
      </c>
      <c r="BR723" t="str">
        <f>"5:00 PM"</f>
        <v>5:00 PM</v>
      </c>
      <c r="BS723" t="s">
        <v>131</v>
      </c>
      <c r="BT723">
        <v>0</v>
      </c>
      <c r="BU723">
        <v>0</v>
      </c>
      <c r="BV723" t="s">
        <v>114</v>
      </c>
      <c r="BX723" s="2" t="s">
        <v>5278</v>
      </c>
      <c r="BY723" t="s">
        <v>5279</v>
      </c>
      <c r="CA723" t="s">
        <v>5275</v>
      </c>
      <c r="CB723" t="s">
        <v>984</v>
      </c>
      <c r="CC723" s="8" t="str">
        <f>"65109"</f>
        <v>65109</v>
      </c>
      <c r="CD723" t="s">
        <v>5280</v>
      </c>
      <c r="CE723" t="s">
        <v>5281</v>
      </c>
      <c r="CF723" s="12">
        <v>17.579999999999998</v>
      </c>
      <c r="CG723" s="12">
        <v>32</v>
      </c>
      <c r="CH723" s="12">
        <v>26.37</v>
      </c>
      <c r="CI723" s="12">
        <v>48</v>
      </c>
      <c r="CJ723" t="s">
        <v>135</v>
      </c>
      <c r="CK723" t="s">
        <v>1899</v>
      </c>
      <c r="CL723" t="s">
        <v>5282</v>
      </c>
      <c r="CO723" t="s">
        <v>132</v>
      </c>
      <c r="CP723" t="s">
        <v>136</v>
      </c>
      <c r="CQ723" t="s">
        <v>136</v>
      </c>
      <c r="CR723" t="s">
        <v>136</v>
      </c>
      <c r="CS723" t="s">
        <v>136</v>
      </c>
      <c r="CT723" t="s">
        <v>136</v>
      </c>
      <c r="CU723" t="s">
        <v>136</v>
      </c>
      <c r="CV723" t="s">
        <v>5283</v>
      </c>
      <c r="CW723" s="10" t="str">
        <f>"+15738932896"</f>
        <v>+15738932896</v>
      </c>
      <c r="CX723" t="s">
        <v>5284</v>
      </c>
      <c r="CY723" t="s">
        <v>132</v>
      </c>
      <c r="CZ723" t="s">
        <v>137</v>
      </c>
      <c r="DA723" t="s">
        <v>114</v>
      </c>
      <c r="DB723" t="s">
        <v>136</v>
      </c>
      <c r="DC723" t="s">
        <v>136</v>
      </c>
      <c r="DD723" t="s">
        <v>114</v>
      </c>
    </row>
    <row r="724" spans="1:108" ht="15" customHeight="1" x14ac:dyDescent="0.25">
      <c r="A724" t="s">
        <v>5320</v>
      </c>
      <c r="B724" t="s">
        <v>152</v>
      </c>
      <c r="C724" s="1">
        <v>45233.0052125</v>
      </c>
      <c r="D724" s="1">
        <v>45257</v>
      </c>
      <c r="E724" t="s">
        <v>132</v>
      </c>
      <c r="F724" t="s">
        <v>1595</v>
      </c>
      <c r="G724" t="str">
        <f>"37-3011.00"</f>
        <v>37-3011.00</v>
      </c>
      <c r="H724" t="s">
        <v>429</v>
      </c>
      <c r="I724">
        <v>50</v>
      </c>
      <c r="J724">
        <v>50</v>
      </c>
      <c r="K724" s="1">
        <v>45323</v>
      </c>
      <c r="L724" s="1">
        <v>45626</v>
      </c>
      <c r="M724" s="1">
        <v>45323</v>
      </c>
      <c r="N724" s="1">
        <v>45626</v>
      </c>
      <c r="O724" t="s">
        <v>238</v>
      </c>
      <c r="P724" t="s">
        <v>5321</v>
      </c>
      <c r="R724" t="s">
        <v>5322</v>
      </c>
      <c r="T724" t="s">
        <v>5323</v>
      </c>
      <c r="U724" t="s">
        <v>984</v>
      </c>
      <c r="V724" s="8" t="str">
        <f>"63385"</f>
        <v>63385</v>
      </c>
      <c r="W724" t="s">
        <v>118</v>
      </c>
      <c r="Y724" s="10">
        <v>16363988800</v>
      </c>
      <c r="AA724">
        <v>56173</v>
      </c>
      <c r="AB724" t="s">
        <v>5324</v>
      </c>
      <c r="AC724" t="s">
        <v>5325</v>
      </c>
      <c r="AE724" t="s">
        <v>5326</v>
      </c>
      <c r="AF724" t="s">
        <v>5322</v>
      </c>
      <c r="AH724" t="s">
        <v>5323</v>
      </c>
      <c r="AI724" t="s">
        <v>984</v>
      </c>
      <c r="AJ724" s="8" t="str">
        <f>"63385"</f>
        <v>63385</v>
      </c>
      <c r="AK724" t="s">
        <v>118</v>
      </c>
      <c r="AM724" s="10">
        <v>16363988800</v>
      </c>
      <c r="AO724" t="s">
        <v>5327</v>
      </c>
      <c r="AP724" t="s">
        <v>248</v>
      </c>
      <c r="AQ724" t="s">
        <v>2732</v>
      </c>
      <c r="AR724" t="s">
        <v>2733</v>
      </c>
      <c r="AT724" t="s">
        <v>1253</v>
      </c>
      <c r="AU724" t="s">
        <v>852</v>
      </c>
      <c r="AV724" t="s">
        <v>853</v>
      </c>
      <c r="AW724" t="s">
        <v>854</v>
      </c>
      <c r="AX724" s="8" t="str">
        <f>"83814"</f>
        <v>83814</v>
      </c>
      <c r="AY724" t="s">
        <v>118</v>
      </c>
      <c r="BA724" s="10">
        <v>12087772654</v>
      </c>
      <c r="BC724" t="s">
        <v>2734</v>
      </c>
      <c r="BD724" t="s">
        <v>856</v>
      </c>
      <c r="BG724" t="s">
        <v>984</v>
      </c>
      <c r="BH724" s="1">
        <v>45231.833333333336</v>
      </c>
      <c r="BI724">
        <v>40</v>
      </c>
      <c r="BJ724">
        <v>0</v>
      </c>
      <c r="BK724">
        <v>8</v>
      </c>
      <c r="BL724">
        <v>8</v>
      </c>
      <c r="BM724">
        <v>8</v>
      </c>
      <c r="BN724">
        <v>8</v>
      </c>
      <c r="BO724">
        <v>8</v>
      </c>
      <c r="BP724">
        <v>0</v>
      </c>
      <c r="BQ724" t="str">
        <f>"7:00 AM"</f>
        <v>7:00 AM</v>
      </c>
      <c r="BR724" t="str">
        <f>"4:00 PM"</f>
        <v>4:00 PM</v>
      </c>
      <c r="BS724" t="s">
        <v>131</v>
      </c>
      <c r="BT724">
        <v>0</v>
      </c>
      <c r="BU724">
        <v>0</v>
      </c>
      <c r="BV724" t="s">
        <v>114</v>
      </c>
      <c r="BX724" t="s">
        <v>1604</v>
      </c>
      <c r="BY724" t="s">
        <v>5328</v>
      </c>
      <c r="CA724" t="s">
        <v>5323</v>
      </c>
      <c r="CB724" t="s">
        <v>984</v>
      </c>
      <c r="CC724" s="8" t="str">
        <f>"63385"</f>
        <v>63385</v>
      </c>
      <c r="CD724" t="s">
        <v>1855</v>
      </c>
      <c r="CE724" t="s">
        <v>1856</v>
      </c>
      <c r="CF724" s="12">
        <v>17.579999999999998</v>
      </c>
      <c r="CH724" s="12">
        <v>26.37</v>
      </c>
      <c r="CJ724" t="s">
        <v>135</v>
      </c>
      <c r="CK724" t="s">
        <v>132</v>
      </c>
      <c r="CL724" t="s">
        <v>5329</v>
      </c>
      <c r="CO724" t="s">
        <v>132</v>
      </c>
      <c r="CP724" t="s">
        <v>136</v>
      </c>
      <c r="CQ724" t="s">
        <v>136</v>
      </c>
      <c r="CR724" t="s">
        <v>136</v>
      </c>
      <c r="CS724" t="s">
        <v>136</v>
      </c>
      <c r="CT724" t="s">
        <v>136</v>
      </c>
      <c r="CU724" t="s">
        <v>136</v>
      </c>
      <c r="CV724" t="s">
        <v>5330</v>
      </c>
      <c r="CW724" s="10" t="str">
        <f>"+16363988800"</f>
        <v>+16363988800</v>
      </c>
      <c r="CX724" t="s">
        <v>5331</v>
      </c>
      <c r="CY724" t="s">
        <v>132</v>
      </c>
      <c r="CZ724" t="s">
        <v>137</v>
      </c>
      <c r="DA724" t="s">
        <v>114</v>
      </c>
      <c r="DB724" t="s">
        <v>136</v>
      </c>
      <c r="DC724" t="s">
        <v>136</v>
      </c>
      <c r="DD724" t="s">
        <v>114</v>
      </c>
    </row>
    <row r="725" spans="1:108" ht="15" customHeight="1" x14ac:dyDescent="0.25">
      <c r="A725" t="s">
        <v>3472</v>
      </c>
      <c r="B725" t="s">
        <v>152</v>
      </c>
      <c r="C725" s="1">
        <v>45233.005090740742</v>
      </c>
      <c r="D725" s="1">
        <v>45257</v>
      </c>
      <c r="E725" t="s">
        <v>132</v>
      </c>
      <c r="F725" t="s">
        <v>1595</v>
      </c>
      <c r="G725" t="str">
        <f>"37-3011.00"</f>
        <v>37-3011.00</v>
      </c>
      <c r="H725" t="s">
        <v>429</v>
      </c>
      <c r="I725">
        <v>4</v>
      </c>
      <c r="J725">
        <v>4</v>
      </c>
      <c r="K725" s="1">
        <v>45323</v>
      </c>
      <c r="L725" s="1">
        <v>45622</v>
      </c>
      <c r="M725" s="1">
        <v>45323</v>
      </c>
      <c r="N725" s="1">
        <v>45622</v>
      </c>
      <c r="O725" t="s">
        <v>116</v>
      </c>
      <c r="P725" t="s">
        <v>3473</v>
      </c>
      <c r="R725" t="s">
        <v>3474</v>
      </c>
      <c r="T725" t="s">
        <v>1948</v>
      </c>
      <c r="U725" t="s">
        <v>1427</v>
      </c>
      <c r="V725" s="8" t="str">
        <f>"19804"</f>
        <v>19804</v>
      </c>
      <c r="W725" t="s">
        <v>118</v>
      </c>
      <c r="Y725" s="10">
        <v>13027640408</v>
      </c>
      <c r="AA725">
        <v>56173</v>
      </c>
      <c r="AB725" t="s">
        <v>3475</v>
      </c>
      <c r="AC725" t="s">
        <v>2679</v>
      </c>
      <c r="AE725" t="s">
        <v>629</v>
      </c>
      <c r="AF725" t="s">
        <v>3474</v>
      </c>
      <c r="AH725" t="s">
        <v>1948</v>
      </c>
      <c r="AI725" t="s">
        <v>1427</v>
      </c>
      <c r="AJ725" s="8" t="str">
        <f>"19804"</f>
        <v>19804</v>
      </c>
      <c r="AK725" t="s">
        <v>118</v>
      </c>
      <c r="AM725" s="10">
        <v>13027640408</v>
      </c>
      <c r="AO725" t="s">
        <v>3476</v>
      </c>
      <c r="AP725" t="s">
        <v>248</v>
      </c>
      <c r="AQ725" t="s">
        <v>2010</v>
      </c>
      <c r="AR725" t="s">
        <v>2011</v>
      </c>
      <c r="AT725" t="s">
        <v>1032</v>
      </c>
      <c r="AU725" t="s">
        <v>852</v>
      </c>
      <c r="AV725" t="s">
        <v>853</v>
      </c>
      <c r="AW725" t="s">
        <v>854</v>
      </c>
      <c r="AX725" s="8" t="str">
        <f>"83814"</f>
        <v>83814</v>
      </c>
      <c r="AY725" t="s">
        <v>118</v>
      </c>
      <c r="BA725" s="10">
        <v>12087772654</v>
      </c>
      <c r="BC725" t="s">
        <v>2012</v>
      </c>
      <c r="BD725" t="s">
        <v>856</v>
      </c>
      <c r="BG725" t="s">
        <v>1427</v>
      </c>
      <c r="BH725" s="1">
        <v>45231.833333333336</v>
      </c>
      <c r="BI725">
        <v>40</v>
      </c>
      <c r="BJ725">
        <v>0</v>
      </c>
      <c r="BK725">
        <v>8</v>
      </c>
      <c r="BL725">
        <v>8</v>
      </c>
      <c r="BM725">
        <v>8</v>
      </c>
      <c r="BN725">
        <v>8</v>
      </c>
      <c r="BO725">
        <v>8</v>
      </c>
      <c r="BP725">
        <v>0</v>
      </c>
      <c r="BQ725" t="str">
        <f>"7:00 AM"</f>
        <v>7:00 AM</v>
      </c>
      <c r="BR725" t="str">
        <f>"5:00 PM"</f>
        <v>5:00 PM</v>
      </c>
      <c r="BS725" t="s">
        <v>131</v>
      </c>
      <c r="BT725">
        <v>0</v>
      </c>
      <c r="BU725">
        <v>0</v>
      </c>
      <c r="BV725" t="s">
        <v>114</v>
      </c>
      <c r="BX725" s="2" t="s">
        <v>3477</v>
      </c>
      <c r="BY725" t="s">
        <v>3478</v>
      </c>
      <c r="CA725" t="s">
        <v>1948</v>
      </c>
      <c r="CB725" t="s">
        <v>1427</v>
      </c>
      <c r="CC725" s="8" t="str">
        <f>"19804"</f>
        <v>19804</v>
      </c>
      <c r="CD725" t="s">
        <v>3479</v>
      </c>
      <c r="CE725" t="s">
        <v>443</v>
      </c>
      <c r="CF725" s="12">
        <v>18.71</v>
      </c>
      <c r="CG725" s="12">
        <v>24</v>
      </c>
      <c r="CH725" s="12">
        <v>28.07</v>
      </c>
      <c r="CI725" s="12">
        <v>36</v>
      </c>
      <c r="CJ725" t="s">
        <v>135</v>
      </c>
      <c r="CK725" t="s">
        <v>1899</v>
      </c>
      <c r="CL725" t="s">
        <v>3480</v>
      </c>
      <c r="CO725" t="s">
        <v>132</v>
      </c>
      <c r="CP725" t="s">
        <v>136</v>
      </c>
      <c r="CQ725" t="s">
        <v>136</v>
      </c>
      <c r="CR725" t="s">
        <v>136</v>
      </c>
      <c r="CS725" t="s">
        <v>136</v>
      </c>
      <c r="CT725" t="s">
        <v>136</v>
      </c>
      <c r="CU725" t="s">
        <v>114</v>
      </c>
      <c r="CV725" t="s">
        <v>1040</v>
      </c>
      <c r="CW725" s="10" t="str">
        <f>"+13027640408"</f>
        <v>+13027640408</v>
      </c>
      <c r="CX725" t="s">
        <v>3481</v>
      </c>
      <c r="CY725" t="s">
        <v>132</v>
      </c>
      <c r="CZ725" t="s">
        <v>137</v>
      </c>
      <c r="DA725" t="s">
        <v>114</v>
      </c>
      <c r="DB725" t="s">
        <v>136</v>
      </c>
      <c r="DC725" t="s">
        <v>136</v>
      </c>
      <c r="DD725" t="s">
        <v>114</v>
      </c>
    </row>
    <row r="726" spans="1:108" ht="15" customHeight="1" x14ac:dyDescent="0.25">
      <c r="A726" t="s">
        <v>12770</v>
      </c>
      <c r="B726" t="s">
        <v>152</v>
      </c>
      <c r="C726" s="1">
        <v>45233.00434363426</v>
      </c>
      <c r="D726" s="1">
        <v>45257</v>
      </c>
      <c r="E726" t="s">
        <v>132</v>
      </c>
      <c r="F726" t="s">
        <v>1595</v>
      </c>
      <c r="G726" t="str">
        <f>"37-3011.00"</f>
        <v>37-3011.00</v>
      </c>
      <c r="H726" t="s">
        <v>429</v>
      </c>
      <c r="I726">
        <v>11</v>
      </c>
      <c r="J726">
        <v>11</v>
      </c>
      <c r="K726" s="1">
        <v>45323</v>
      </c>
      <c r="L726" s="1">
        <v>45626</v>
      </c>
      <c r="M726" s="1">
        <v>45323</v>
      </c>
      <c r="N726" s="1">
        <v>45626</v>
      </c>
      <c r="O726" t="s">
        <v>238</v>
      </c>
      <c r="P726" t="s">
        <v>12771</v>
      </c>
      <c r="R726" t="s">
        <v>12772</v>
      </c>
      <c r="T726" t="s">
        <v>2848</v>
      </c>
      <c r="U726" t="s">
        <v>984</v>
      </c>
      <c r="V726" s="8" t="str">
        <f>"63129"</f>
        <v>63129</v>
      </c>
      <c r="W726" t="s">
        <v>118</v>
      </c>
      <c r="Y726" s="10">
        <v>13148467505</v>
      </c>
      <c r="AA726">
        <v>56173</v>
      </c>
      <c r="AB726" t="s">
        <v>12773</v>
      </c>
      <c r="AC726" t="s">
        <v>2787</v>
      </c>
      <c r="AE726" t="s">
        <v>629</v>
      </c>
      <c r="AF726" t="s">
        <v>12772</v>
      </c>
      <c r="AH726" t="s">
        <v>2848</v>
      </c>
      <c r="AI726" t="s">
        <v>984</v>
      </c>
      <c r="AJ726" s="8" t="str">
        <f>"63129"</f>
        <v>63129</v>
      </c>
      <c r="AK726" t="s">
        <v>118</v>
      </c>
      <c r="AM726" s="10">
        <v>13148467505</v>
      </c>
      <c r="AO726" t="s">
        <v>12774</v>
      </c>
      <c r="AP726" t="s">
        <v>248</v>
      </c>
      <c r="AQ726" t="s">
        <v>2732</v>
      </c>
      <c r="AR726" t="s">
        <v>2733</v>
      </c>
      <c r="AT726" t="s">
        <v>1253</v>
      </c>
      <c r="AU726" t="s">
        <v>852</v>
      </c>
      <c r="AV726" t="s">
        <v>853</v>
      </c>
      <c r="AW726" t="s">
        <v>854</v>
      </c>
      <c r="AX726" s="8" t="str">
        <f>"83814"</f>
        <v>83814</v>
      </c>
      <c r="AY726" t="s">
        <v>118</v>
      </c>
      <c r="BA726" s="10">
        <v>12087772654</v>
      </c>
      <c r="BC726" t="s">
        <v>2734</v>
      </c>
      <c r="BD726" t="s">
        <v>856</v>
      </c>
      <c r="BG726" t="s">
        <v>984</v>
      </c>
      <c r="BH726" s="1">
        <v>45231.833333333336</v>
      </c>
      <c r="BI726">
        <v>40</v>
      </c>
      <c r="BJ726">
        <v>0</v>
      </c>
      <c r="BK726">
        <v>8</v>
      </c>
      <c r="BL726">
        <v>8</v>
      </c>
      <c r="BM726">
        <v>8</v>
      </c>
      <c r="BN726">
        <v>8</v>
      </c>
      <c r="BO726">
        <v>8</v>
      </c>
      <c r="BP726">
        <v>0</v>
      </c>
      <c r="BQ726" t="str">
        <f>"7:30 AM"</f>
        <v>7:30 AM</v>
      </c>
      <c r="BR726" t="str">
        <f>"5:00 PM"</f>
        <v>5:00 PM</v>
      </c>
      <c r="BS726" t="s">
        <v>131</v>
      </c>
      <c r="BT726">
        <v>0</v>
      </c>
      <c r="BU726">
        <v>0</v>
      </c>
      <c r="BV726" t="s">
        <v>114</v>
      </c>
      <c r="BX726" t="s">
        <v>2670</v>
      </c>
      <c r="BY726" t="s">
        <v>12775</v>
      </c>
      <c r="CA726" t="s">
        <v>2848</v>
      </c>
      <c r="CB726" t="s">
        <v>984</v>
      </c>
      <c r="CC726" s="8" t="str">
        <f>"63129"</f>
        <v>63129</v>
      </c>
      <c r="CD726" t="s">
        <v>2851</v>
      </c>
      <c r="CE726" t="s">
        <v>1856</v>
      </c>
      <c r="CF726" s="12">
        <v>17.579999999999998</v>
      </c>
      <c r="CH726" s="12">
        <v>26.37</v>
      </c>
      <c r="CJ726" t="s">
        <v>135</v>
      </c>
      <c r="CK726" t="s">
        <v>132</v>
      </c>
      <c r="CL726" t="s">
        <v>12776</v>
      </c>
      <c r="CO726" t="s">
        <v>132</v>
      </c>
      <c r="CP726" t="s">
        <v>136</v>
      </c>
      <c r="CQ726" t="s">
        <v>136</v>
      </c>
      <c r="CR726" t="s">
        <v>136</v>
      </c>
      <c r="CS726" t="s">
        <v>136</v>
      </c>
      <c r="CT726" t="s">
        <v>136</v>
      </c>
      <c r="CU726" t="s">
        <v>136</v>
      </c>
      <c r="CV726" t="s">
        <v>12777</v>
      </c>
      <c r="CW726" s="10" t="str">
        <f>"+13148467505"</f>
        <v>+13148467505</v>
      </c>
      <c r="CX726" t="s">
        <v>12778</v>
      </c>
      <c r="CY726" t="s">
        <v>132</v>
      </c>
      <c r="CZ726" t="s">
        <v>137</v>
      </c>
      <c r="DA726" t="s">
        <v>114</v>
      </c>
      <c r="DB726" t="s">
        <v>136</v>
      </c>
      <c r="DC726" t="s">
        <v>136</v>
      </c>
      <c r="DD726" t="s">
        <v>114</v>
      </c>
    </row>
    <row r="727" spans="1:108" ht="15" customHeight="1" x14ac:dyDescent="0.25">
      <c r="A727" t="s">
        <v>2575</v>
      </c>
      <c r="B727" t="s">
        <v>152</v>
      </c>
      <c r="C727" s="1">
        <v>45233.004224305558</v>
      </c>
      <c r="D727" s="1">
        <v>45257</v>
      </c>
      <c r="E727" t="s">
        <v>132</v>
      </c>
      <c r="F727" t="s">
        <v>1595</v>
      </c>
      <c r="G727" t="str">
        <f>"37-3011.00"</f>
        <v>37-3011.00</v>
      </c>
      <c r="H727" t="s">
        <v>429</v>
      </c>
      <c r="I727">
        <v>55</v>
      </c>
      <c r="J727">
        <v>55</v>
      </c>
      <c r="K727" s="1">
        <v>45323</v>
      </c>
      <c r="L727" s="1">
        <v>45626</v>
      </c>
      <c r="M727" s="1">
        <v>45323</v>
      </c>
      <c r="N727" s="1">
        <v>45626</v>
      </c>
      <c r="O727" t="s">
        <v>238</v>
      </c>
      <c r="P727" t="s">
        <v>2576</v>
      </c>
      <c r="R727" t="s">
        <v>2577</v>
      </c>
      <c r="T727" t="s">
        <v>2578</v>
      </c>
      <c r="U727" t="s">
        <v>375</v>
      </c>
      <c r="V727" s="8" t="str">
        <f>"28657"</f>
        <v>28657</v>
      </c>
      <c r="W727" t="s">
        <v>118</v>
      </c>
      <c r="Y727" s="10">
        <v>18287370403</v>
      </c>
      <c r="AA727">
        <v>56173</v>
      </c>
      <c r="AB727" t="s">
        <v>2579</v>
      </c>
      <c r="AC727" t="s">
        <v>2580</v>
      </c>
      <c r="AE727" t="s">
        <v>987</v>
      </c>
      <c r="AF727" t="s">
        <v>2577</v>
      </c>
      <c r="AH727" t="s">
        <v>2578</v>
      </c>
      <c r="AI727" t="s">
        <v>375</v>
      </c>
      <c r="AJ727" s="8" t="str">
        <f>"28657"</f>
        <v>28657</v>
      </c>
      <c r="AK727" t="s">
        <v>118</v>
      </c>
      <c r="AM727" s="10">
        <v>18287370403</v>
      </c>
      <c r="AO727" t="s">
        <v>2581</v>
      </c>
      <c r="AP727" t="s">
        <v>248</v>
      </c>
      <c r="AQ727" t="s">
        <v>2010</v>
      </c>
      <c r="AR727" t="s">
        <v>2011</v>
      </c>
      <c r="AT727" t="s">
        <v>1032</v>
      </c>
      <c r="AU727" t="s">
        <v>852</v>
      </c>
      <c r="AV727" t="s">
        <v>853</v>
      </c>
      <c r="AW727" t="s">
        <v>854</v>
      </c>
      <c r="AX727" s="8" t="str">
        <f>"83814"</f>
        <v>83814</v>
      </c>
      <c r="AY727" t="s">
        <v>118</v>
      </c>
      <c r="BA727" s="10">
        <v>12087772654</v>
      </c>
      <c r="BC727" t="s">
        <v>2012</v>
      </c>
      <c r="BD727" t="s">
        <v>856</v>
      </c>
      <c r="BG727" t="s">
        <v>1691</v>
      </c>
      <c r="BH727" s="1">
        <v>45231.833333333336</v>
      </c>
      <c r="BI727">
        <v>40</v>
      </c>
      <c r="BJ727">
        <v>0</v>
      </c>
      <c r="BK727">
        <v>8</v>
      </c>
      <c r="BL727">
        <v>8</v>
      </c>
      <c r="BM727">
        <v>8</v>
      </c>
      <c r="BN727">
        <v>8</v>
      </c>
      <c r="BO727">
        <v>8</v>
      </c>
      <c r="BP727">
        <v>0</v>
      </c>
      <c r="BQ727" t="str">
        <f>"6:30 AM"</f>
        <v>6:30 AM</v>
      </c>
      <c r="BR727" t="str">
        <f>"3:00 PM"</f>
        <v>3:00 PM</v>
      </c>
      <c r="BS727" t="s">
        <v>131</v>
      </c>
      <c r="BT727">
        <v>0</v>
      </c>
      <c r="BU727">
        <v>0</v>
      </c>
      <c r="BV727" t="s">
        <v>114</v>
      </c>
      <c r="BX727" s="2" t="s">
        <v>2070</v>
      </c>
      <c r="BY727" t="s">
        <v>2582</v>
      </c>
      <c r="CA727" t="s">
        <v>2583</v>
      </c>
      <c r="CB727" t="s">
        <v>1691</v>
      </c>
      <c r="CC727" s="8" t="str">
        <f>"29936"</f>
        <v>29936</v>
      </c>
      <c r="CD727" t="s">
        <v>2409</v>
      </c>
      <c r="CE727" t="s">
        <v>2584</v>
      </c>
      <c r="CF727" s="12">
        <v>16.670000000000002</v>
      </c>
      <c r="CG727" s="12">
        <v>21</v>
      </c>
      <c r="CH727" s="12">
        <v>25.01</v>
      </c>
      <c r="CI727" s="12">
        <v>31.5</v>
      </c>
      <c r="CJ727" t="s">
        <v>135</v>
      </c>
      <c r="CK727" t="s">
        <v>1899</v>
      </c>
      <c r="CL727" t="s">
        <v>2585</v>
      </c>
      <c r="CO727" t="s">
        <v>132</v>
      </c>
      <c r="CP727" t="s">
        <v>136</v>
      </c>
      <c r="CQ727" t="s">
        <v>136</v>
      </c>
      <c r="CR727" t="s">
        <v>136</v>
      </c>
      <c r="CS727" t="s">
        <v>136</v>
      </c>
      <c r="CT727" t="s">
        <v>136</v>
      </c>
      <c r="CU727" t="s">
        <v>136</v>
      </c>
      <c r="CV727" t="s">
        <v>2586</v>
      </c>
      <c r="CW727" s="10" t="str">
        <f>"+18287370403"</f>
        <v>+18287370403</v>
      </c>
      <c r="CX727" t="s">
        <v>2581</v>
      </c>
      <c r="CY727" t="s">
        <v>132</v>
      </c>
      <c r="CZ727" t="s">
        <v>137</v>
      </c>
      <c r="DA727" t="s">
        <v>114</v>
      </c>
      <c r="DB727" t="s">
        <v>136</v>
      </c>
      <c r="DC727" t="s">
        <v>136</v>
      </c>
      <c r="DD727" t="s">
        <v>114</v>
      </c>
    </row>
    <row r="728" spans="1:108" ht="15" customHeight="1" x14ac:dyDescent="0.25">
      <c r="A728" t="s">
        <v>16280</v>
      </c>
      <c r="B728" t="s">
        <v>152</v>
      </c>
      <c r="C728" s="1">
        <v>45233.003210416668</v>
      </c>
      <c r="D728" s="1">
        <v>45257</v>
      </c>
      <c r="E728" t="s">
        <v>132</v>
      </c>
      <c r="F728" t="s">
        <v>1595</v>
      </c>
      <c r="G728" t="str">
        <f>"37-3011.00"</f>
        <v>37-3011.00</v>
      </c>
      <c r="H728" t="s">
        <v>429</v>
      </c>
      <c r="I728">
        <v>18</v>
      </c>
      <c r="J728">
        <v>18</v>
      </c>
      <c r="K728" s="1">
        <v>45323</v>
      </c>
      <c r="L728" s="1">
        <v>45626</v>
      </c>
      <c r="M728" s="1">
        <v>45323</v>
      </c>
      <c r="N728" s="1">
        <v>45626</v>
      </c>
      <c r="O728" t="s">
        <v>238</v>
      </c>
      <c r="P728" t="s">
        <v>16281</v>
      </c>
      <c r="R728" t="s">
        <v>16282</v>
      </c>
      <c r="T728" t="s">
        <v>2663</v>
      </c>
      <c r="U728" t="s">
        <v>984</v>
      </c>
      <c r="V728" s="8" t="str">
        <f>"65202"</f>
        <v>65202</v>
      </c>
      <c r="W728" t="s">
        <v>118</v>
      </c>
      <c r="Y728" s="10">
        <v>15732568873</v>
      </c>
      <c r="AA728">
        <v>56173</v>
      </c>
      <c r="AB728" t="s">
        <v>16283</v>
      </c>
      <c r="AC728" t="s">
        <v>16284</v>
      </c>
      <c r="AE728" t="s">
        <v>561</v>
      </c>
      <c r="AF728" t="s">
        <v>16282</v>
      </c>
      <c r="AH728" t="s">
        <v>2663</v>
      </c>
      <c r="AI728" t="s">
        <v>984</v>
      </c>
      <c r="AJ728" s="8" t="str">
        <f>"65202"</f>
        <v>65202</v>
      </c>
      <c r="AK728" t="s">
        <v>118</v>
      </c>
      <c r="AM728" s="10">
        <v>15732568873</v>
      </c>
      <c r="AO728" t="s">
        <v>16285</v>
      </c>
      <c r="AP728" t="s">
        <v>248</v>
      </c>
      <c r="AQ728" t="s">
        <v>2667</v>
      </c>
      <c r="AR728" t="s">
        <v>2668</v>
      </c>
      <c r="AT728" t="s">
        <v>1253</v>
      </c>
      <c r="AU728" t="s">
        <v>852</v>
      </c>
      <c r="AV728" t="s">
        <v>853</v>
      </c>
      <c r="AW728" t="s">
        <v>854</v>
      </c>
      <c r="AX728" s="8" t="str">
        <f>"83814"</f>
        <v>83814</v>
      </c>
      <c r="AY728" t="s">
        <v>118</v>
      </c>
      <c r="BA728" s="10">
        <v>12087772654</v>
      </c>
      <c r="BC728" t="s">
        <v>2669</v>
      </c>
      <c r="BD728" t="s">
        <v>856</v>
      </c>
      <c r="BG728" t="s">
        <v>984</v>
      </c>
      <c r="BH728" s="1">
        <v>45231.833333333336</v>
      </c>
      <c r="BI728">
        <v>40</v>
      </c>
      <c r="BJ728">
        <v>0</v>
      </c>
      <c r="BK728">
        <v>8</v>
      </c>
      <c r="BL728">
        <v>8</v>
      </c>
      <c r="BM728">
        <v>8</v>
      </c>
      <c r="BN728">
        <v>8</v>
      </c>
      <c r="BO728">
        <v>8</v>
      </c>
      <c r="BP728">
        <v>0</v>
      </c>
      <c r="BQ728" t="str">
        <f>"8:00 AM"</f>
        <v>8:00 AM</v>
      </c>
      <c r="BR728" t="str">
        <f>"5:00 PM"</f>
        <v>5:00 PM</v>
      </c>
      <c r="BS728" t="s">
        <v>131</v>
      </c>
      <c r="BT728">
        <v>0</v>
      </c>
      <c r="BU728">
        <v>0</v>
      </c>
      <c r="BV728" t="s">
        <v>114</v>
      </c>
      <c r="BX728" t="s">
        <v>2088</v>
      </c>
      <c r="BY728" t="s">
        <v>16286</v>
      </c>
      <c r="CA728" t="s">
        <v>2663</v>
      </c>
      <c r="CB728" t="s">
        <v>984</v>
      </c>
      <c r="CC728" s="8" t="str">
        <f>"65202"</f>
        <v>65202</v>
      </c>
      <c r="CD728" t="s">
        <v>2672</v>
      </c>
      <c r="CE728" t="s">
        <v>2673</v>
      </c>
      <c r="CF728" s="12">
        <v>15.24</v>
      </c>
      <c r="CG728" s="12">
        <v>19</v>
      </c>
      <c r="CH728" s="12">
        <v>22.86</v>
      </c>
      <c r="CI728" s="12">
        <v>28.5</v>
      </c>
      <c r="CJ728" t="s">
        <v>135</v>
      </c>
      <c r="CK728" t="s">
        <v>1899</v>
      </c>
      <c r="CL728" t="s">
        <v>16287</v>
      </c>
      <c r="CO728" t="s">
        <v>132</v>
      </c>
      <c r="CP728" t="s">
        <v>136</v>
      </c>
      <c r="CQ728" t="s">
        <v>136</v>
      </c>
      <c r="CR728" t="s">
        <v>136</v>
      </c>
      <c r="CS728" t="s">
        <v>136</v>
      </c>
      <c r="CT728" t="s">
        <v>136</v>
      </c>
      <c r="CU728" t="s">
        <v>136</v>
      </c>
      <c r="CV728" t="s">
        <v>16288</v>
      </c>
      <c r="CW728" s="10" t="str">
        <f>"+15732568873"</f>
        <v>+15732568873</v>
      </c>
      <c r="CX728" t="s">
        <v>16285</v>
      </c>
      <c r="CY728" t="s">
        <v>132</v>
      </c>
      <c r="CZ728" t="s">
        <v>137</v>
      </c>
      <c r="DA728" t="s">
        <v>114</v>
      </c>
      <c r="DB728" t="s">
        <v>136</v>
      </c>
      <c r="DC728" t="s">
        <v>136</v>
      </c>
      <c r="DD728" t="s">
        <v>114</v>
      </c>
    </row>
    <row r="729" spans="1:108" ht="15" customHeight="1" x14ac:dyDescent="0.25">
      <c r="A729" t="s">
        <v>4957</v>
      </c>
      <c r="B729" t="s">
        <v>152</v>
      </c>
      <c r="C729" s="1">
        <v>45233.002562152775</v>
      </c>
      <c r="D729" s="1">
        <v>45257</v>
      </c>
      <c r="E729" t="s">
        <v>132</v>
      </c>
      <c r="F729" t="s">
        <v>1595</v>
      </c>
      <c r="G729" t="str">
        <f>"37-3011.00"</f>
        <v>37-3011.00</v>
      </c>
      <c r="H729" t="s">
        <v>429</v>
      </c>
      <c r="I729">
        <v>30</v>
      </c>
      <c r="J729">
        <v>30</v>
      </c>
      <c r="K729" s="1">
        <v>45323</v>
      </c>
      <c r="L729" s="1">
        <v>45626</v>
      </c>
      <c r="M729" s="1">
        <v>45323</v>
      </c>
      <c r="N729" s="1">
        <v>45626</v>
      </c>
      <c r="O729" t="s">
        <v>238</v>
      </c>
      <c r="P729" t="s">
        <v>4958</v>
      </c>
      <c r="R729" t="s">
        <v>4959</v>
      </c>
      <c r="T729" t="s">
        <v>4960</v>
      </c>
      <c r="U729" t="s">
        <v>1734</v>
      </c>
      <c r="V729" s="8" t="str">
        <f>"66223"</f>
        <v>66223</v>
      </c>
      <c r="W729" t="s">
        <v>118</v>
      </c>
      <c r="Y729" s="10">
        <v>19136851000</v>
      </c>
      <c r="AA729">
        <v>56173</v>
      </c>
      <c r="AB729" t="s">
        <v>4466</v>
      </c>
      <c r="AC729" t="s">
        <v>4410</v>
      </c>
      <c r="AE729" t="s">
        <v>4961</v>
      </c>
      <c r="AF729" t="s">
        <v>4959</v>
      </c>
      <c r="AH729" t="s">
        <v>4960</v>
      </c>
      <c r="AI729" t="s">
        <v>1734</v>
      </c>
      <c r="AJ729" s="8" t="str">
        <f>"66223"</f>
        <v>66223</v>
      </c>
      <c r="AK729" t="s">
        <v>118</v>
      </c>
      <c r="AM729" s="10">
        <v>19136851000</v>
      </c>
      <c r="AO729" t="s">
        <v>4962</v>
      </c>
      <c r="AP729" t="s">
        <v>248</v>
      </c>
      <c r="AQ729" t="s">
        <v>2667</v>
      </c>
      <c r="AR729" t="s">
        <v>2668</v>
      </c>
      <c r="AT729" t="s">
        <v>1253</v>
      </c>
      <c r="AU729" t="s">
        <v>852</v>
      </c>
      <c r="AV729" t="s">
        <v>853</v>
      </c>
      <c r="AW729" t="s">
        <v>854</v>
      </c>
      <c r="AX729" s="8" t="str">
        <f>"83814"</f>
        <v>83814</v>
      </c>
      <c r="AY729" t="s">
        <v>118</v>
      </c>
      <c r="BA729" s="10">
        <v>12087772654</v>
      </c>
      <c r="BC729" t="s">
        <v>2669</v>
      </c>
      <c r="BD729" t="s">
        <v>856</v>
      </c>
      <c r="BG729" t="s">
        <v>1734</v>
      </c>
      <c r="BH729" s="1">
        <v>45231.833333333336</v>
      </c>
      <c r="BI729">
        <v>40</v>
      </c>
      <c r="BJ729">
        <v>0</v>
      </c>
      <c r="BK729">
        <v>8</v>
      </c>
      <c r="BL729">
        <v>8</v>
      </c>
      <c r="BM729">
        <v>8</v>
      </c>
      <c r="BN729">
        <v>8</v>
      </c>
      <c r="BO729">
        <v>8</v>
      </c>
      <c r="BP729">
        <v>0</v>
      </c>
      <c r="BQ729" t="str">
        <f>"8:00 AM"</f>
        <v>8:00 AM</v>
      </c>
      <c r="BR729" t="str">
        <f>"5:00 PM"</f>
        <v>5:00 PM</v>
      </c>
      <c r="BS729" t="s">
        <v>131</v>
      </c>
      <c r="BT729">
        <v>0</v>
      </c>
      <c r="BU729">
        <v>0</v>
      </c>
      <c r="BV729" t="s">
        <v>114</v>
      </c>
      <c r="BX729" t="s">
        <v>2088</v>
      </c>
      <c r="BY729" t="s">
        <v>4963</v>
      </c>
      <c r="CA729" t="s">
        <v>4960</v>
      </c>
      <c r="CB729" t="s">
        <v>1734</v>
      </c>
      <c r="CC729" s="8" t="str">
        <f>"66223"</f>
        <v>66223</v>
      </c>
      <c r="CD729" t="s">
        <v>1969</v>
      </c>
      <c r="CE729" t="s">
        <v>2431</v>
      </c>
      <c r="CF729" s="12">
        <v>17.47</v>
      </c>
      <c r="CG729" s="12">
        <v>25</v>
      </c>
      <c r="CH729" s="12">
        <v>26.21</v>
      </c>
      <c r="CI729" s="12">
        <v>37.5</v>
      </c>
      <c r="CJ729" t="s">
        <v>135</v>
      </c>
      <c r="CK729" t="s">
        <v>1899</v>
      </c>
      <c r="CL729" t="s">
        <v>4964</v>
      </c>
      <c r="CO729" t="s">
        <v>132</v>
      </c>
      <c r="CP729" t="s">
        <v>136</v>
      </c>
      <c r="CQ729" t="s">
        <v>136</v>
      </c>
      <c r="CR729" t="s">
        <v>136</v>
      </c>
      <c r="CS729" t="s">
        <v>136</v>
      </c>
      <c r="CT729" t="s">
        <v>136</v>
      </c>
      <c r="CU729" t="s">
        <v>114</v>
      </c>
      <c r="CV729" t="s">
        <v>1040</v>
      </c>
      <c r="CW729" s="10" t="str">
        <f>"+19136851005"</f>
        <v>+19136851005</v>
      </c>
      <c r="CX729" t="s">
        <v>4962</v>
      </c>
      <c r="CY729" t="s">
        <v>132</v>
      </c>
      <c r="CZ729" t="s">
        <v>137</v>
      </c>
      <c r="DA729" t="s">
        <v>114</v>
      </c>
      <c r="DB729" t="s">
        <v>136</v>
      </c>
      <c r="DC729" t="s">
        <v>136</v>
      </c>
      <c r="DD729" t="s">
        <v>114</v>
      </c>
    </row>
    <row r="730" spans="1:108" ht="15" customHeight="1" x14ac:dyDescent="0.25">
      <c r="A730" t="s">
        <v>9635</v>
      </c>
      <c r="B730" t="s">
        <v>152</v>
      </c>
      <c r="C730" s="1">
        <v>45233.002208912039</v>
      </c>
      <c r="D730" s="1">
        <v>45257</v>
      </c>
      <c r="E730" t="s">
        <v>132</v>
      </c>
      <c r="F730" t="s">
        <v>1595</v>
      </c>
      <c r="G730" t="str">
        <f>"37-3011.00"</f>
        <v>37-3011.00</v>
      </c>
      <c r="H730" t="s">
        <v>429</v>
      </c>
      <c r="I730">
        <v>3</v>
      </c>
      <c r="J730">
        <v>3</v>
      </c>
      <c r="K730" s="1">
        <v>45323</v>
      </c>
      <c r="L730" s="1">
        <v>45626</v>
      </c>
      <c r="M730" s="1">
        <v>45323</v>
      </c>
      <c r="N730" s="1">
        <v>45626</v>
      </c>
      <c r="O730" t="s">
        <v>116</v>
      </c>
      <c r="P730" t="s">
        <v>9636</v>
      </c>
      <c r="R730" t="s">
        <v>9637</v>
      </c>
      <c r="T730" t="s">
        <v>9638</v>
      </c>
      <c r="U730" t="s">
        <v>581</v>
      </c>
      <c r="V730" s="8" t="str">
        <f>"20109"</f>
        <v>20109</v>
      </c>
      <c r="W730" t="s">
        <v>118</v>
      </c>
      <c r="Y730" s="10">
        <v>18667187188</v>
      </c>
      <c r="AA730">
        <v>56173</v>
      </c>
      <c r="AB730" t="s">
        <v>990</v>
      </c>
      <c r="AC730" t="s">
        <v>9639</v>
      </c>
      <c r="AD730" t="s">
        <v>5940</v>
      </c>
      <c r="AE730" t="s">
        <v>629</v>
      </c>
      <c r="AF730" t="s">
        <v>9637</v>
      </c>
      <c r="AH730" t="s">
        <v>9638</v>
      </c>
      <c r="AI730" t="s">
        <v>581</v>
      </c>
      <c r="AJ730" s="8" t="str">
        <f>"20109"</f>
        <v>20109</v>
      </c>
      <c r="AK730" t="s">
        <v>118</v>
      </c>
      <c r="AM730" s="10">
        <v>18667187188</v>
      </c>
      <c r="AO730" t="s">
        <v>9640</v>
      </c>
      <c r="AP730" t="s">
        <v>248</v>
      </c>
      <c r="AQ730" t="s">
        <v>2667</v>
      </c>
      <c r="AR730" t="s">
        <v>2668</v>
      </c>
      <c r="AT730" t="s">
        <v>1253</v>
      </c>
      <c r="AU730" t="s">
        <v>852</v>
      </c>
      <c r="AV730" t="s">
        <v>853</v>
      </c>
      <c r="AW730" t="s">
        <v>854</v>
      </c>
      <c r="AX730" s="8" t="str">
        <f>"83814"</f>
        <v>83814</v>
      </c>
      <c r="AY730" t="s">
        <v>118</v>
      </c>
      <c r="BA730" s="10">
        <v>12087772654</v>
      </c>
      <c r="BC730" t="s">
        <v>2669</v>
      </c>
      <c r="BD730" t="s">
        <v>856</v>
      </c>
      <c r="BG730" t="s">
        <v>581</v>
      </c>
      <c r="BH730" s="1">
        <v>45231.833333333336</v>
      </c>
      <c r="BI730">
        <v>40</v>
      </c>
      <c r="BJ730">
        <v>0</v>
      </c>
      <c r="BK730">
        <v>8</v>
      </c>
      <c r="BL730">
        <v>8</v>
      </c>
      <c r="BM730">
        <v>8</v>
      </c>
      <c r="BN730">
        <v>8</v>
      </c>
      <c r="BO730">
        <v>8</v>
      </c>
      <c r="BP730">
        <v>0</v>
      </c>
      <c r="BQ730" t="str">
        <f>"7:00 AM"</f>
        <v>7:00 AM</v>
      </c>
      <c r="BR730" t="str">
        <f>"4:00 PM"</f>
        <v>4:00 PM</v>
      </c>
      <c r="BS730" t="s">
        <v>131</v>
      </c>
      <c r="BT730">
        <v>0</v>
      </c>
      <c r="BU730">
        <v>0</v>
      </c>
      <c r="BV730" t="s">
        <v>114</v>
      </c>
      <c r="BX730" t="s">
        <v>2088</v>
      </c>
      <c r="BY730" t="s">
        <v>9641</v>
      </c>
      <c r="CA730" t="s">
        <v>9642</v>
      </c>
      <c r="CB730" t="s">
        <v>581</v>
      </c>
      <c r="CC730" s="8" t="str">
        <f>"24467"</f>
        <v>24467</v>
      </c>
      <c r="CD730" t="s">
        <v>9643</v>
      </c>
      <c r="CE730" t="s">
        <v>9644</v>
      </c>
      <c r="CF730" s="12">
        <v>17.07</v>
      </c>
      <c r="CG730" s="12">
        <v>19.670000000000002</v>
      </c>
      <c r="CH730" s="12">
        <v>25.61</v>
      </c>
      <c r="CI730" s="12">
        <v>29.51</v>
      </c>
      <c r="CJ730" t="s">
        <v>135</v>
      </c>
      <c r="CK730" t="s">
        <v>1899</v>
      </c>
      <c r="CL730" t="s">
        <v>9645</v>
      </c>
      <c r="CO730" t="s">
        <v>132</v>
      </c>
      <c r="CP730" t="s">
        <v>136</v>
      </c>
      <c r="CQ730" t="s">
        <v>136</v>
      </c>
      <c r="CR730" t="s">
        <v>136</v>
      </c>
      <c r="CS730" t="s">
        <v>136</v>
      </c>
      <c r="CT730" t="s">
        <v>136</v>
      </c>
      <c r="CU730" t="s">
        <v>136</v>
      </c>
      <c r="CV730" t="s">
        <v>9646</v>
      </c>
      <c r="CW730" s="10" t="str">
        <f>"+18667187188"</f>
        <v>+18667187188</v>
      </c>
      <c r="CX730" t="s">
        <v>9640</v>
      </c>
      <c r="CY730" t="s">
        <v>132</v>
      </c>
      <c r="CZ730" t="s">
        <v>137</v>
      </c>
      <c r="DA730" t="s">
        <v>114</v>
      </c>
      <c r="DB730" t="s">
        <v>136</v>
      </c>
      <c r="DC730" t="s">
        <v>136</v>
      </c>
      <c r="DD730" t="s">
        <v>114</v>
      </c>
    </row>
    <row r="731" spans="1:108" ht="15" customHeight="1" x14ac:dyDescent="0.25">
      <c r="A731" t="s">
        <v>22174</v>
      </c>
      <c r="B731" t="s">
        <v>152</v>
      </c>
      <c r="C731" s="1">
        <v>45233.001155902777</v>
      </c>
      <c r="D731" s="1">
        <v>45257</v>
      </c>
      <c r="E731" t="s">
        <v>132</v>
      </c>
      <c r="F731" t="s">
        <v>1595</v>
      </c>
      <c r="G731" t="str">
        <f>"37-3011.00"</f>
        <v>37-3011.00</v>
      </c>
      <c r="H731" t="s">
        <v>429</v>
      </c>
      <c r="I731">
        <v>5</v>
      </c>
      <c r="J731">
        <v>5</v>
      </c>
      <c r="K731" s="1">
        <v>45323</v>
      </c>
      <c r="L731" s="1">
        <v>45626</v>
      </c>
      <c r="M731" s="1">
        <v>45323</v>
      </c>
      <c r="N731" s="1">
        <v>45626</v>
      </c>
      <c r="O731" t="s">
        <v>238</v>
      </c>
      <c r="P731" t="s">
        <v>22175</v>
      </c>
      <c r="R731" t="s">
        <v>22176</v>
      </c>
      <c r="T731" t="s">
        <v>10927</v>
      </c>
      <c r="U731" t="s">
        <v>1722</v>
      </c>
      <c r="V731" s="8" t="str">
        <f>"21015"</f>
        <v>21015</v>
      </c>
      <c r="W731" t="s">
        <v>118</v>
      </c>
      <c r="Y731" s="10">
        <v>14108365296</v>
      </c>
      <c r="AA731">
        <v>56173</v>
      </c>
      <c r="AB731" t="s">
        <v>7321</v>
      </c>
      <c r="AC731" t="s">
        <v>4258</v>
      </c>
      <c r="AE731" t="s">
        <v>2372</v>
      </c>
      <c r="AF731" t="s">
        <v>22176</v>
      </c>
      <c r="AH731" t="s">
        <v>10927</v>
      </c>
      <c r="AI731" t="s">
        <v>1722</v>
      </c>
      <c r="AJ731" s="8" t="str">
        <f>"21015"</f>
        <v>21015</v>
      </c>
      <c r="AK731" t="s">
        <v>118</v>
      </c>
      <c r="AM731" s="10">
        <v>14108365296</v>
      </c>
      <c r="AO731" t="s">
        <v>22177</v>
      </c>
      <c r="AP731" t="s">
        <v>248</v>
      </c>
      <c r="AQ731" t="s">
        <v>2667</v>
      </c>
      <c r="AR731" t="s">
        <v>2668</v>
      </c>
      <c r="AT731" t="s">
        <v>1253</v>
      </c>
      <c r="AU731" t="s">
        <v>852</v>
      </c>
      <c r="AV731" t="s">
        <v>853</v>
      </c>
      <c r="AW731" t="s">
        <v>854</v>
      </c>
      <c r="AX731" s="8" t="str">
        <f>"83814"</f>
        <v>83814</v>
      </c>
      <c r="AY731" t="s">
        <v>118</v>
      </c>
      <c r="BA731" s="10">
        <v>12087772654</v>
      </c>
      <c r="BC731" t="s">
        <v>2669</v>
      </c>
      <c r="BD731" t="s">
        <v>856</v>
      </c>
      <c r="BG731" t="s">
        <v>1722</v>
      </c>
      <c r="BH731" s="1">
        <v>45231.833333333336</v>
      </c>
      <c r="BI731">
        <v>40</v>
      </c>
      <c r="BJ731">
        <v>0</v>
      </c>
      <c r="BK731">
        <v>8</v>
      </c>
      <c r="BL731">
        <v>8</v>
      </c>
      <c r="BM731">
        <v>8</v>
      </c>
      <c r="BN731">
        <v>8</v>
      </c>
      <c r="BO731">
        <v>8</v>
      </c>
      <c r="BP731">
        <v>0</v>
      </c>
      <c r="BQ731" t="str">
        <f>"7:30 AM"</f>
        <v>7:30 AM</v>
      </c>
      <c r="BR731" t="str">
        <f>"4:30 PM"</f>
        <v>4:30 PM</v>
      </c>
      <c r="BS731" t="s">
        <v>131</v>
      </c>
      <c r="BT731">
        <v>0</v>
      </c>
      <c r="BU731">
        <v>0</v>
      </c>
      <c r="BV731" t="s">
        <v>114</v>
      </c>
      <c r="BX731" t="s">
        <v>2088</v>
      </c>
      <c r="BY731" t="s">
        <v>22178</v>
      </c>
      <c r="CA731" t="s">
        <v>10927</v>
      </c>
      <c r="CB731" t="s">
        <v>1722</v>
      </c>
      <c r="CC731" s="8" t="str">
        <f>"21015"</f>
        <v>21015</v>
      </c>
      <c r="CD731" t="s">
        <v>2847</v>
      </c>
      <c r="CE731" t="s">
        <v>1992</v>
      </c>
      <c r="CF731" s="12">
        <v>18.68</v>
      </c>
      <c r="CH731" s="12">
        <v>28.02</v>
      </c>
      <c r="CJ731" t="s">
        <v>135</v>
      </c>
      <c r="CK731" t="s">
        <v>132</v>
      </c>
      <c r="CL731" t="s">
        <v>22179</v>
      </c>
      <c r="CO731" t="s">
        <v>132</v>
      </c>
      <c r="CP731" t="s">
        <v>136</v>
      </c>
      <c r="CQ731" t="s">
        <v>136</v>
      </c>
      <c r="CR731" t="s">
        <v>136</v>
      </c>
      <c r="CS731" t="s">
        <v>136</v>
      </c>
      <c r="CT731" t="s">
        <v>136</v>
      </c>
      <c r="CU731" t="s">
        <v>114</v>
      </c>
      <c r="CV731" t="s">
        <v>1040</v>
      </c>
      <c r="CW731" s="10" t="str">
        <f>"+14108365296"</f>
        <v>+14108365296</v>
      </c>
      <c r="CX731" t="s">
        <v>22180</v>
      </c>
      <c r="CY731" t="s">
        <v>132</v>
      </c>
      <c r="CZ731" t="s">
        <v>137</v>
      </c>
      <c r="DA731" t="s">
        <v>114</v>
      </c>
      <c r="DB731" t="s">
        <v>136</v>
      </c>
      <c r="DC731" t="s">
        <v>136</v>
      </c>
      <c r="DD731" t="s">
        <v>114</v>
      </c>
    </row>
    <row r="732" spans="1:108" ht="15" customHeight="1" x14ac:dyDescent="0.25">
      <c r="A732" t="s">
        <v>5222</v>
      </c>
      <c r="B732" t="s">
        <v>152</v>
      </c>
      <c r="C732" s="1">
        <v>45233.00095509259</v>
      </c>
      <c r="D732" s="1">
        <v>45257</v>
      </c>
      <c r="E732" t="s">
        <v>132</v>
      </c>
      <c r="F732" t="s">
        <v>4327</v>
      </c>
      <c r="G732" t="str">
        <f>"45-2092.00"</f>
        <v>45-2092.00</v>
      </c>
      <c r="H732" t="s">
        <v>2007</v>
      </c>
      <c r="I732">
        <v>15</v>
      </c>
      <c r="J732">
        <v>15</v>
      </c>
      <c r="K732" s="1">
        <v>45323</v>
      </c>
      <c r="L732" s="1">
        <v>45626</v>
      </c>
      <c r="M732" s="1">
        <v>45323</v>
      </c>
      <c r="N732" s="1">
        <v>45626</v>
      </c>
      <c r="O732" t="s">
        <v>116</v>
      </c>
      <c r="P732" t="s">
        <v>5223</v>
      </c>
      <c r="R732" t="s">
        <v>5224</v>
      </c>
      <c r="T732" t="s">
        <v>5225</v>
      </c>
      <c r="U732" t="s">
        <v>358</v>
      </c>
      <c r="V732" s="8" t="str">
        <f>"11977"</f>
        <v>11977</v>
      </c>
      <c r="W732" t="s">
        <v>118</v>
      </c>
      <c r="Y732" s="10">
        <v>16312883458</v>
      </c>
      <c r="AA732">
        <v>42493</v>
      </c>
      <c r="AB732" t="s">
        <v>5226</v>
      </c>
      <c r="AC732" t="s">
        <v>250</v>
      </c>
      <c r="AE732" t="s">
        <v>1349</v>
      </c>
      <c r="AF732" t="s">
        <v>5224</v>
      </c>
      <c r="AH732" t="s">
        <v>5225</v>
      </c>
      <c r="AI732" t="s">
        <v>358</v>
      </c>
      <c r="AJ732" s="8" t="str">
        <f>"11977"</f>
        <v>11977</v>
      </c>
      <c r="AK732" t="s">
        <v>118</v>
      </c>
      <c r="AM732" s="10">
        <v>16312883458</v>
      </c>
      <c r="AO732" t="s">
        <v>132</v>
      </c>
      <c r="AP732" t="s">
        <v>248</v>
      </c>
      <c r="AQ732" t="s">
        <v>1746</v>
      </c>
      <c r="AR732" t="s">
        <v>1747</v>
      </c>
      <c r="AT732" t="s">
        <v>1748</v>
      </c>
      <c r="AV732" t="s">
        <v>1749</v>
      </c>
      <c r="AW732" t="s">
        <v>140</v>
      </c>
      <c r="AX732" s="8" t="str">
        <f>"34957"</f>
        <v>34957</v>
      </c>
      <c r="AY732" t="s">
        <v>118</v>
      </c>
      <c r="BA732" s="10">
        <v>17723344829</v>
      </c>
      <c r="BC732" t="s">
        <v>1750</v>
      </c>
      <c r="BD732" t="s">
        <v>1751</v>
      </c>
      <c r="BG732" t="s">
        <v>358</v>
      </c>
      <c r="BH732" s="1">
        <v>45229.833333333336</v>
      </c>
      <c r="BI732">
        <v>40</v>
      </c>
      <c r="BJ732">
        <v>0</v>
      </c>
      <c r="BK732">
        <v>8</v>
      </c>
      <c r="BL732">
        <v>8</v>
      </c>
      <c r="BM732">
        <v>8</v>
      </c>
      <c r="BN732">
        <v>8</v>
      </c>
      <c r="BO732">
        <v>8</v>
      </c>
      <c r="BP732">
        <v>0</v>
      </c>
      <c r="BQ732" t="str">
        <f>"7:00 AM"</f>
        <v>7:00 AM</v>
      </c>
      <c r="BR732" t="str">
        <f>"3:30 PM"</f>
        <v>3:30 PM</v>
      </c>
      <c r="BS732" t="s">
        <v>131</v>
      </c>
      <c r="BT732">
        <v>0</v>
      </c>
      <c r="BU732">
        <v>3</v>
      </c>
      <c r="BV732" t="s">
        <v>114</v>
      </c>
      <c r="BX732" t="s">
        <v>131</v>
      </c>
      <c r="BY732" t="s">
        <v>5224</v>
      </c>
      <c r="CA732" t="s">
        <v>5225</v>
      </c>
      <c r="CB732" t="s">
        <v>358</v>
      </c>
      <c r="CC732" s="8" t="str">
        <f>"11977"</f>
        <v>11977</v>
      </c>
      <c r="CD732" t="s">
        <v>1752</v>
      </c>
      <c r="CE732" t="s">
        <v>1418</v>
      </c>
      <c r="CF732" s="12">
        <v>18.670000000000002</v>
      </c>
      <c r="CG732" s="12">
        <v>18.670000000000002</v>
      </c>
      <c r="CH732" s="12">
        <v>28.01</v>
      </c>
      <c r="CI732" s="12">
        <v>28.01</v>
      </c>
      <c r="CJ732" t="s">
        <v>135</v>
      </c>
      <c r="CK732" t="s">
        <v>131</v>
      </c>
      <c r="CL732" t="s">
        <v>5227</v>
      </c>
      <c r="CO732" t="s">
        <v>132</v>
      </c>
      <c r="CP732" t="s">
        <v>114</v>
      </c>
      <c r="CQ732" t="s">
        <v>114</v>
      </c>
      <c r="CR732" t="s">
        <v>136</v>
      </c>
      <c r="CS732" t="s">
        <v>114</v>
      </c>
      <c r="CT732" t="s">
        <v>136</v>
      </c>
      <c r="CU732" t="s">
        <v>114</v>
      </c>
      <c r="CV732" t="s">
        <v>131</v>
      </c>
      <c r="CW732" s="10" t="str">
        <f>"+16312883458"</f>
        <v>+16312883458</v>
      </c>
      <c r="CX732" t="s">
        <v>132</v>
      </c>
      <c r="CY732" t="s">
        <v>5228</v>
      </c>
      <c r="CZ732" t="s">
        <v>137</v>
      </c>
      <c r="DA732" t="s">
        <v>114</v>
      </c>
      <c r="DB732" t="s">
        <v>114</v>
      </c>
      <c r="DC732" t="s">
        <v>136</v>
      </c>
      <c r="DD732" t="s">
        <v>114</v>
      </c>
    </row>
    <row r="733" spans="1:108" ht="15" customHeight="1" x14ac:dyDescent="0.25">
      <c r="A733" t="s">
        <v>7333</v>
      </c>
      <c r="B733" t="s">
        <v>152</v>
      </c>
      <c r="C733" s="1">
        <v>45233.000281365741</v>
      </c>
      <c r="D733" s="1">
        <v>45257</v>
      </c>
      <c r="E733" t="s">
        <v>132</v>
      </c>
      <c r="F733" t="s">
        <v>7334</v>
      </c>
      <c r="G733" t="str">
        <f>"37-3011.00"</f>
        <v>37-3011.00</v>
      </c>
      <c r="H733" t="s">
        <v>429</v>
      </c>
      <c r="I733">
        <v>18</v>
      </c>
      <c r="J733">
        <v>18</v>
      </c>
      <c r="K733" s="1">
        <v>45323</v>
      </c>
      <c r="L733" s="1">
        <v>45626</v>
      </c>
      <c r="M733" s="1">
        <v>45323</v>
      </c>
      <c r="N733" s="1">
        <v>45626</v>
      </c>
      <c r="O733" t="s">
        <v>116</v>
      </c>
      <c r="P733" t="s">
        <v>7335</v>
      </c>
      <c r="R733" t="s">
        <v>7336</v>
      </c>
      <c r="T733" t="s">
        <v>7337</v>
      </c>
      <c r="U733" t="s">
        <v>358</v>
      </c>
      <c r="V733" s="8" t="str">
        <f>"10523"</f>
        <v>10523</v>
      </c>
      <c r="W733" t="s">
        <v>118</v>
      </c>
      <c r="Y733" s="10">
        <v>19143475151</v>
      </c>
      <c r="AA733">
        <v>22131</v>
      </c>
      <c r="AB733" t="s">
        <v>7338</v>
      </c>
      <c r="AC733" t="s">
        <v>144</v>
      </c>
      <c r="AE733" t="s">
        <v>629</v>
      </c>
      <c r="AF733" t="s">
        <v>7336</v>
      </c>
      <c r="AH733" t="s">
        <v>7337</v>
      </c>
      <c r="AI733" t="s">
        <v>358</v>
      </c>
      <c r="AJ733" s="8" t="str">
        <f>"10523"</f>
        <v>10523</v>
      </c>
      <c r="AK733" t="s">
        <v>118</v>
      </c>
      <c r="AM733" s="10">
        <v>19143475151</v>
      </c>
      <c r="AO733" t="s">
        <v>7339</v>
      </c>
      <c r="AP733" t="s">
        <v>248</v>
      </c>
      <c r="AQ733" t="s">
        <v>2152</v>
      </c>
      <c r="AR733" t="s">
        <v>2153</v>
      </c>
      <c r="AS733" t="s">
        <v>1798</v>
      </c>
      <c r="AT733" t="s">
        <v>1253</v>
      </c>
      <c r="AU733" t="s">
        <v>852</v>
      </c>
      <c r="AV733" t="s">
        <v>853</v>
      </c>
      <c r="AW733" t="s">
        <v>854</v>
      </c>
      <c r="AX733" s="8" t="str">
        <f>"83814"</f>
        <v>83814</v>
      </c>
      <c r="AY733" t="s">
        <v>118</v>
      </c>
      <c r="BA733" s="10">
        <v>12087772654</v>
      </c>
      <c r="BC733" t="s">
        <v>2154</v>
      </c>
      <c r="BD733" t="s">
        <v>856</v>
      </c>
      <c r="BG733" t="s">
        <v>358</v>
      </c>
      <c r="BH733" s="1">
        <v>45228.833333333336</v>
      </c>
      <c r="BI733">
        <v>40</v>
      </c>
      <c r="BJ733">
        <v>0</v>
      </c>
      <c r="BK733">
        <v>8</v>
      </c>
      <c r="BL733">
        <v>8</v>
      </c>
      <c r="BM733">
        <v>8</v>
      </c>
      <c r="BN733">
        <v>8</v>
      </c>
      <c r="BO733">
        <v>8</v>
      </c>
      <c r="BP733">
        <v>0</v>
      </c>
      <c r="BQ733" t="str">
        <f>"7:30 AM"</f>
        <v>7:30 AM</v>
      </c>
      <c r="BR733" t="str">
        <f>"5:30 PM"</f>
        <v>5:30 PM</v>
      </c>
      <c r="BS733" t="s">
        <v>131</v>
      </c>
      <c r="BT733">
        <v>0</v>
      </c>
      <c r="BU733">
        <v>0</v>
      </c>
      <c r="BV733" t="s">
        <v>114</v>
      </c>
      <c r="BX733" t="s">
        <v>3491</v>
      </c>
      <c r="BY733" t="s">
        <v>7340</v>
      </c>
      <c r="CA733" t="s">
        <v>7337</v>
      </c>
      <c r="CB733" t="s">
        <v>358</v>
      </c>
      <c r="CC733" s="8" t="str">
        <f>"10523"</f>
        <v>10523</v>
      </c>
      <c r="CD733" t="s">
        <v>1417</v>
      </c>
      <c r="CE733" t="s">
        <v>1418</v>
      </c>
      <c r="CF733" s="12">
        <v>20.81</v>
      </c>
      <c r="CG733" s="12">
        <v>37.5</v>
      </c>
      <c r="CH733" s="12">
        <v>31.22</v>
      </c>
      <c r="CI733" s="12">
        <v>56.25</v>
      </c>
      <c r="CJ733" t="s">
        <v>135</v>
      </c>
      <c r="CK733" t="s">
        <v>1899</v>
      </c>
      <c r="CL733" t="s">
        <v>7341</v>
      </c>
      <c r="CO733" t="s">
        <v>132</v>
      </c>
      <c r="CP733" t="s">
        <v>136</v>
      </c>
      <c r="CQ733" t="s">
        <v>136</v>
      </c>
      <c r="CR733" t="s">
        <v>136</v>
      </c>
      <c r="CS733" t="s">
        <v>136</v>
      </c>
      <c r="CT733" t="s">
        <v>136</v>
      </c>
      <c r="CU733" t="s">
        <v>114</v>
      </c>
      <c r="CV733" t="s">
        <v>1040</v>
      </c>
      <c r="CW733" s="10" t="str">
        <f>"+19143475151"</f>
        <v>+19143475151</v>
      </c>
      <c r="CX733" t="s">
        <v>7342</v>
      </c>
      <c r="CY733" t="s">
        <v>132</v>
      </c>
      <c r="CZ733" t="s">
        <v>137</v>
      </c>
      <c r="DA733" t="s">
        <v>114</v>
      </c>
      <c r="DB733" t="s">
        <v>136</v>
      </c>
      <c r="DC733" t="s">
        <v>136</v>
      </c>
      <c r="DD733" t="s">
        <v>114</v>
      </c>
    </row>
    <row r="734" spans="1:108" ht="15" customHeight="1" x14ac:dyDescent="0.25">
      <c r="A734" t="s">
        <v>19124</v>
      </c>
      <c r="B734" t="s">
        <v>152</v>
      </c>
      <c r="C734" s="1">
        <v>45233.00027222222</v>
      </c>
      <c r="D734" s="1">
        <v>45257</v>
      </c>
      <c r="E734" t="s">
        <v>132</v>
      </c>
      <c r="F734" t="s">
        <v>1595</v>
      </c>
      <c r="G734" t="str">
        <f>"37-3011.00"</f>
        <v>37-3011.00</v>
      </c>
      <c r="H734" t="s">
        <v>429</v>
      </c>
      <c r="I734">
        <v>8</v>
      </c>
      <c r="J734">
        <v>8</v>
      </c>
      <c r="K734" s="1">
        <v>45323</v>
      </c>
      <c r="L734" s="1">
        <v>45626</v>
      </c>
      <c r="M734" s="1">
        <v>45323</v>
      </c>
      <c r="N734" s="1">
        <v>45626</v>
      </c>
      <c r="O734" t="s">
        <v>116</v>
      </c>
      <c r="P734" t="s">
        <v>19125</v>
      </c>
      <c r="R734" t="s">
        <v>19126</v>
      </c>
      <c r="T734" t="s">
        <v>6092</v>
      </c>
      <c r="U734" t="s">
        <v>333</v>
      </c>
      <c r="V734" s="8" t="str">
        <f>"70605"</f>
        <v>70605</v>
      </c>
      <c r="W734" t="s">
        <v>118</v>
      </c>
      <c r="Y734" s="10">
        <v>13374775511</v>
      </c>
      <c r="AA734">
        <v>71391</v>
      </c>
      <c r="AB734" t="s">
        <v>19127</v>
      </c>
      <c r="AC734" t="s">
        <v>2679</v>
      </c>
      <c r="AE734" t="s">
        <v>5587</v>
      </c>
      <c r="AF734" t="s">
        <v>19126</v>
      </c>
      <c r="AH734" t="s">
        <v>6092</v>
      </c>
      <c r="AI734" t="s">
        <v>333</v>
      </c>
      <c r="AJ734" s="8" t="str">
        <f>"70605"</f>
        <v>70605</v>
      </c>
      <c r="AK734" t="s">
        <v>118</v>
      </c>
      <c r="AM734" s="10">
        <v>13374775511</v>
      </c>
      <c r="AO734" t="s">
        <v>19128</v>
      </c>
      <c r="AP734" t="s">
        <v>248</v>
      </c>
      <c r="AQ734" t="s">
        <v>2732</v>
      </c>
      <c r="AR734" t="s">
        <v>2733</v>
      </c>
      <c r="AT734" t="s">
        <v>1253</v>
      </c>
      <c r="AU734" t="s">
        <v>852</v>
      </c>
      <c r="AV734" t="s">
        <v>853</v>
      </c>
      <c r="AW734" t="s">
        <v>854</v>
      </c>
      <c r="AX734" s="8" t="str">
        <f>"83814"</f>
        <v>83814</v>
      </c>
      <c r="AY734" t="s">
        <v>118</v>
      </c>
      <c r="BA734" s="10">
        <v>12087772654</v>
      </c>
      <c r="BC734" t="s">
        <v>2734</v>
      </c>
      <c r="BD734" t="s">
        <v>856</v>
      </c>
      <c r="BG734" t="s">
        <v>333</v>
      </c>
      <c r="BH734" s="1">
        <v>45231.833333333336</v>
      </c>
      <c r="BI734">
        <v>40</v>
      </c>
      <c r="BJ734">
        <v>0</v>
      </c>
      <c r="BK734">
        <v>8</v>
      </c>
      <c r="BL734">
        <v>8</v>
      </c>
      <c r="BM734">
        <v>8</v>
      </c>
      <c r="BN734">
        <v>8</v>
      </c>
      <c r="BO734">
        <v>8</v>
      </c>
      <c r="BP734">
        <v>0</v>
      </c>
      <c r="BQ734" t="str">
        <f>"6:00 AM"</f>
        <v>6:00 AM</v>
      </c>
      <c r="BR734" t="str">
        <f>"2:30 PM"</f>
        <v>2:30 PM</v>
      </c>
      <c r="BS734" t="s">
        <v>131</v>
      </c>
      <c r="BT734">
        <v>0</v>
      </c>
      <c r="BU734">
        <v>0</v>
      </c>
      <c r="BV734" t="s">
        <v>114</v>
      </c>
      <c r="BX734" t="s">
        <v>7831</v>
      </c>
      <c r="BY734" t="s">
        <v>19126</v>
      </c>
      <c r="CA734" t="s">
        <v>6092</v>
      </c>
      <c r="CB734" t="s">
        <v>333</v>
      </c>
      <c r="CC734" s="8" t="str">
        <f>"70605"</f>
        <v>70605</v>
      </c>
      <c r="CD734" t="s">
        <v>6094</v>
      </c>
      <c r="CE734" t="s">
        <v>6095</v>
      </c>
      <c r="CF734" s="12">
        <v>14.35</v>
      </c>
      <c r="CH734" s="12">
        <v>21.53</v>
      </c>
      <c r="CJ734" t="s">
        <v>135</v>
      </c>
      <c r="CK734" t="s">
        <v>132</v>
      </c>
      <c r="CL734" t="s">
        <v>19129</v>
      </c>
      <c r="CO734" t="s">
        <v>132</v>
      </c>
      <c r="CP734" t="s">
        <v>114</v>
      </c>
      <c r="CQ734" t="s">
        <v>114</v>
      </c>
      <c r="CR734" t="s">
        <v>136</v>
      </c>
      <c r="CS734" t="s">
        <v>136</v>
      </c>
      <c r="CT734" t="s">
        <v>136</v>
      </c>
      <c r="CU734" t="s">
        <v>136</v>
      </c>
      <c r="CV734" t="s">
        <v>19130</v>
      </c>
      <c r="CW734" s="10" t="str">
        <f>"+13379123125"</f>
        <v>+13379123125</v>
      </c>
      <c r="CX734" t="s">
        <v>19128</v>
      </c>
      <c r="CY734" t="s">
        <v>132</v>
      </c>
      <c r="CZ734" t="s">
        <v>137</v>
      </c>
      <c r="DA734" t="s">
        <v>114</v>
      </c>
      <c r="DB734" t="s">
        <v>136</v>
      </c>
      <c r="DC734" t="s">
        <v>136</v>
      </c>
      <c r="DD734" t="s">
        <v>114</v>
      </c>
    </row>
    <row r="735" spans="1:108" ht="15" customHeight="1" x14ac:dyDescent="0.25">
      <c r="A735" t="s">
        <v>17997</v>
      </c>
      <c r="B735" t="s">
        <v>152</v>
      </c>
      <c r="C735" s="1">
        <v>45231.037488194444</v>
      </c>
      <c r="D735" s="1">
        <v>45257</v>
      </c>
      <c r="E735" t="s">
        <v>132</v>
      </c>
      <c r="F735" t="s">
        <v>2081</v>
      </c>
      <c r="G735" t="str">
        <f>"37-3011.00"</f>
        <v>37-3011.00</v>
      </c>
      <c r="H735" t="s">
        <v>429</v>
      </c>
      <c r="I735">
        <v>45</v>
      </c>
      <c r="J735">
        <v>45</v>
      </c>
      <c r="K735" s="1">
        <v>45321</v>
      </c>
      <c r="L735" s="1">
        <v>45611</v>
      </c>
      <c r="M735" s="1">
        <v>45321</v>
      </c>
      <c r="N735" s="1">
        <v>45611</v>
      </c>
      <c r="O735" t="s">
        <v>116</v>
      </c>
      <c r="P735" t="s">
        <v>17998</v>
      </c>
      <c r="Q735" t="s">
        <v>17999</v>
      </c>
      <c r="R735" t="s">
        <v>18000</v>
      </c>
      <c r="T735" t="s">
        <v>3262</v>
      </c>
      <c r="U735" t="s">
        <v>550</v>
      </c>
      <c r="V735" s="8" t="str">
        <f>"31820"</f>
        <v>31820</v>
      </c>
      <c r="W735" t="s">
        <v>118</v>
      </c>
      <c r="Y735" s="10">
        <v>17065073152</v>
      </c>
      <c r="AA735">
        <v>56173</v>
      </c>
      <c r="AB735" t="s">
        <v>2403</v>
      </c>
      <c r="AC735" t="s">
        <v>3198</v>
      </c>
      <c r="AE735" t="s">
        <v>629</v>
      </c>
      <c r="AF735" t="s">
        <v>18000</v>
      </c>
      <c r="AH735" t="s">
        <v>3262</v>
      </c>
      <c r="AI735" t="s">
        <v>550</v>
      </c>
      <c r="AJ735" s="8" t="str">
        <f>"31820"</f>
        <v>31820</v>
      </c>
      <c r="AK735" t="s">
        <v>118</v>
      </c>
      <c r="AM735" s="10">
        <v>17065073152</v>
      </c>
      <c r="AO735" t="s">
        <v>18001</v>
      </c>
      <c r="AP735" t="s">
        <v>248</v>
      </c>
      <c r="AQ735" t="s">
        <v>2152</v>
      </c>
      <c r="AR735" t="s">
        <v>2153</v>
      </c>
      <c r="AS735" t="s">
        <v>1798</v>
      </c>
      <c r="AT735" t="s">
        <v>1253</v>
      </c>
      <c r="AU735" t="s">
        <v>852</v>
      </c>
      <c r="AV735" t="s">
        <v>853</v>
      </c>
      <c r="AW735" t="s">
        <v>854</v>
      </c>
      <c r="AX735" s="8" t="str">
        <f>"83814"</f>
        <v>83814</v>
      </c>
      <c r="AY735" t="s">
        <v>118</v>
      </c>
      <c r="BA735" s="10">
        <v>12087772654</v>
      </c>
      <c r="BC735" t="s">
        <v>2154</v>
      </c>
      <c r="BD735" t="s">
        <v>856</v>
      </c>
      <c r="BG735" t="s">
        <v>550</v>
      </c>
      <c r="BH735" s="1">
        <v>45229.833333333336</v>
      </c>
      <c r="BI735">
        <v>40</v>
      </c>
      <c r="BJ735">
        <v>0</v>
      </c>
      <c r="BK735">
        <v>8</v>
      </c>
      <c r="BL735">
        <v>8</v>
      </c>
      <c r="BM735">
        <v>8</v>
      </c>
      <c r="BN735">
        <v>8</v>
      </c>
      <c r="BO735">
        <v>8</v>
      </c>
      <c r="BP735">
        <v>0</v>
      </c>
      <c r="BQ735" t="str">
        <f>"7:30 AM"</f>
        <v>7:30 AM</v>
      </c>
      <c r="BR735" t="str">
        <f>"5:00 PM"</f>
        <v>5:00 PM</v>
      </c>
      <c r="BS735" t="s">
        <v>131</v>
      </c>
      <c r="BT735">
        <v>0</v>
      </c>
      <c r="BU735">
        <v>0</v>
      </c>
      <c r="BV735" t="s">
        <v>114</v>
      </c>
      <c r="BX735" t="s">
        <v>3304</v>
      </c>
      <c r="BY735" t="s">
        <v>18002</v>
      </c>
      <c r="CA735" t="s">
        <v>3262</v>
      </c>
      <c r="CB735" t="s">
        <v>550</v>
      </c>
      <c r="CC735" s="8" t="str">
        <f>"31820"</f>
        <v>31820</v>
      </c>
      <c r="CD735" t="s">
        <v>1242</v>
      </c>
      <c r="CE735" t="s">
        <v>1243</v>
      </c>
      <c r="CF735" s="12">
        <v>14.97</v>
      </c>
      <c r="CG735" s="12">
        <v>18</v>
      </c>
      <c r="CH735" s="12">
        <v>22.46</v>
      </c>
      <c r="CI735" s="12">
        <v>27</v>
      </c>
      <c r="CJ735" t="s">
        <v>135</v>
      </c>
      <c r="CK735" t="s">
        <v>1899</v>
      </c>
      <c r="CL735" t="s">
        <v>18003</v>
      </c>
      <c r="CO735" t="s">
        <v>132</v>
      </c>
      <c r="CP735" t="s">
        <v>136</v>
      </c>
      <c r="CQ735" t="s">
        <v>136</v>
      </c>
      <c r="CR735" t="s">
        <v>136</v>
      </c>
      <c r="CS735" t="s">
        <v>136</v>
      </c>
      <c r="CT735" t="s">
        <v>136</v>
      </c>
      <c r="CU735" t="s">
        <v>114</v>
      </c>
      <c r="CV735" t="s">
        <v>1040</v>
      </c>
      <c r="CW735" s="10" t="str">
        <f>"+17065073152"</f>
        <v>+17065073152</v>
      </c>
      <c r="CX735" t="s">
        <v>18004</v>
      </c>
      <c r="CY735" t="s">
        <v>132</v>
      </c>
      <c r="CZ735" t="s">
        <v>137</v>
      </c>
      <c r="DA735" t="s">
        <v>114</v>
      </c>
      <c r="DB735" t="s">
        <v>136</v>
      </c>
      <c r="DC735" t="s">
        <v>136</v>
      </c>
      <c r="DD735" t="s">
        <v>114</v>
      </c>
    </row>
    <row r="736" spans="1:108" ht="15" customHeight="1" x14ac:dyDescent="0.25">
      <c r="A736" t="s">
        <v>12697</v>
      </c>
      <c r="B736" t="s">
        <v>152</v>
      </c>
      <c r="C736" s="1">
        <v>45230.002866550923</v>
      </c>
      <c r="D736" s="1">
        <v>45257</v>
      </c>
      <c r="E736" t="s">
        <v>132</v>
      </c>
      <c r="F736" t="s">
        <v>2086</v>
      </c>
      <c r="G736" t="str">
        <f>"37-3011.00"</f>
        <v>37-3011.00</v>
      </c>
      <c r="H736" t="s">
        <v>429</v>
      </c>
      <c r="I736">
        <v>18</v>
      </c>
      <c r="J736">
        <v>18</v>
      </c>
      <c r="K736" s="1">
        <v>45320</v>
      </c>
      <c r="L736" s="1">
        <v>45611</v>
      </c>
      <c r="M736" s="1">
        <v>45320</v>
      </c>
      <c r="N736" s="1">
        <v>45611</v>
      </c>
      <c r="O736" t="s">
        <v>238</v>
      </c>
      <c r="P736" t="s">
        <v>12221</v>
      </c>
      <c r="R736" t="s">
        <v>12222</v>
      </c>
      <c r="T736" t="s">
        <v>5633</v>
      </c>
      <c r="U736" t="s">
        <v>375</v>
      </c>
      <c r="V736" s="8" t="str">
        <f>"28771"</f>
        <v>28771</v>
      </c>
      <c r="W736" t="s">
        <v>118</v>
      </c>
      <c r="Y736" s="10">
        <v>18284798868</v>
      </c>
      <c r="AA736">
        <v>56173</v>
      </c>
      <c r="AB736" t="s">
        <v>3305</v>
      </c>
      <c r="AC736" t="s">
        <v>12223</v>
      </c>
      <c r="AD736" t="s">
        <v>132</v>
      </c>
      <c r="AE736" t="s">
        <v>1799</v>
      </c>
      <c r="AF736" t="s">
        <v>12222</v>
      </c>
      <c r="AH736" t="s">
        <v>5633</v>
      </c>
      <c r="AI736" t="s">
        <v>375</v>
      </c>
      <c r="AJ736" s="8" t="str">
        <f>"28771"</f>
        <v>28771</v>
      </c>
      <c r="AK736" t="s">
        <v>118</v>
      </c>
      <c r="AM736" s="10">
        <v>18284798868</v>
      </c>
      <c r="AO736" t="s">
        <v>12224</v>
      </c>
      <c r="AP736" t="s">
        <v>248</v>
      </c>
      <c r="AQ736" t="s">
        <v>4335</v>
      </c>
      <c r="AR736" t="s">
        <v>4336</v>
      </c>
      <c r="AS736" t="s">
        <v>1798</v>
      </c>
      <c r="AT736" t="s">
        <v>3080</v>
      </c>
      <c r="AU736" t="s">
        <v>3081</v>
      </c>
      <c r="AV736" t="s">
        <v>3082</v>
      </c>
      <c r="AW736" t="s">
        <v>854</v>
      </c>
      <c r="AX736" s="8" t="str">
        <f>"83814"</f>
        <v>83814</v>
      </c>
      <c r="AY736" t="s">
        <v>118</v>
      </c>
      <c r="BA736" s="10">
        <v>12087772654</v>
      </c>
      <c r="BC736" t="s">
        <v>2154</v>
      </c>
      <c r="BD736" t="s">
        <v>856</v>
      </c>
      <c r="BG736" t="s">
        <v>375</v>
      </c>
      <c r="BH736" s="1">
        <v>45228.833333333336</v>
      </c>
      <c r="BI736">
        <v>40</v>
      </c>
      <c r="BJ736">
        <v>0</v>
      </c>
      <c r="BK736">
        <v>8</v>
      </c>
      <c r="BL736">
        <v>8</v>
      </c>
      <c r="BM736">
        <v>8</v>
      </c>
      <c r="BN736">
        <v>8</v>
      </c>
      <c r="BO736">
        <v>8</v>
      </c>
      <c r="BP736">
        <v>0</v>
      </c>
      <c r="BQ736" t="str">
        <f>"7:00 AM"</f>
        <v>7:00 AM</v>
      </c>
      <c r="BR736" t="str">
        <f>"5:00 PM"</f>
        <v>5:00 PM</v>
      </c>
      <c r="BS736" t="s">
        <v>131</v>
      </c>
      <c r="BT736">
        <v>0</v>
      </c>
      <c r="BU736">
        <v>0</v>
      </c>
      <c r="BV736" t="s">
        <v>114</v>
      </c>
      <c r="BX736" t="s">
        <v>3306</v>
      </c>
      <c r="BY736" t="s">
        <v>12225</v>
      </c>
      <c r="CA736" t="s">
        <v>5633</v>
      </c>
      <c r="CB736" t="s">
        <v>375</v>
      </c>
      <c r="CC736" s="8" t="str">
        <f>"28771"</f>
        <v>28771</v>
      </c>
      <c r="CD736" t="s">
        <v>7799</v>
      </c>
      <c r="CE736" t="s">
        <v>641</v>
      </c>
      <c r="CF736" s="12">
        <v>17.39</v>
      </c>
      <c r="CG736" s="12">
        <v>19</v>
      </c>
      <c r="CH736" s="12">
        <v>26.09</v>
      </c>
      <c r="CI736" s="12">
        <v>28.5</v>
      </c>
      <c r="CJ736" t="s">
        <v>135</v>
      </c>
      <c r="CK736" t="s">
        <v>1899</v>
      </c>
      <c r="CL736" t="s">
        <v>12226</v>
      </c>
      <c r="CO736" t="s">
        <v>132</v>
      </c>
      <c r="CP736" t="s">
        <v>136</v>
      </c>
      <c r="CQ736" t="s">
        <v>136</v>
      </c>
      <c r="CR736" t="s">
        <v>136</v>
      </c>
      <c r="CS736" t="s">
        <v>136</v>
      </c>
      <c r="CT736" t="s">
        <v>136</v>
      </c>
      <c r="CU736" t="s">
        <v>114</v>
      </c>
      <c r="CV736" t="s">
        <v>1040</v>
      </c>
      <c r="CW736" s="10" t="str">
        <f>"+18284798868"</f>
        <v>+18284798868</v>
      </c>
      <c r="CX736" t="s">
        <v>12224</v>
      </c>
      <c r="CY736" t="s">
        <v>132</v>
      </c>
      <c r="CZ736" t="s">
        <v>137</v>
      </c>
      <c r="DA736" t="s">
        <v>114</v>
      </c>
      <c r="DB736" t="s">
        <v>136</v>
      </c>
      <c r="DC736" t="s">
        <v>136</v>
      </c>
      <c r="DD736" t="s">
        <v>114</v>
      </c>
    </row>
    <row r="737" spans="1:113" ht="15" customHeight="1" x14ac:dyDescent="0.25">
      <c r="A737" t="s">
        <v>15099</v>
      </c>
      <c r="B737" t="s">
        <v>152</v>
      </c>
      <c r="C737" s="1">
        <v>45229.812791898148</v>
      </c>
      <c r="D737" s="1">
        <v>45257</v>
      </c>
      <c r="E737" t="s">
        <v>132</v>
      </c>
      <c r="F737" t="s">
        <v>7584</v>
      </c>
      <c r="G737" t="str">
        <f>"37-2011.00"</f>
        <v>37-2011.00</v>
      </c>
      <c r="H737" t="s">
        <v>1089</v>
      </c>
      <c r="I737">
        <v>8</v>
      </c>
      <c r="J737">
        <v>8</v>
      </c>
      <c r="K737" s="1">
        <v>45304</v>
      </c>
      <c r="L737" s="1">
        <v>45382</v>
      </c>
      <c r="M737" s="1">
        <v>45304</v>
      </c>
      <c r="N737" s="1">
        <v>45382</v>
      </c>
      <c r="O737" t="s">
        <v>238</v>
      </c>
      <c r="P737" t="s">
        <v>3550</v>
      </c>
      <c r="R737" t="s">
        <v>5825</v>
      </c>
      <c r="T737" t="s">
        <v>3012</v>
      </c>
      <c r="U737" t="s">
        <v>740</v>
      </c>
      <c r="V737" s="8" t="str">
        <f>"50208"</f>
        <v>50208</v>
      </c>
      <c r="W737" t="s">
        <v>118</v>
      </c>
      <c r="Y737" s="10">
        <v>16417919473</v>
      </c>
      <c r="AA737">
        <v>238210</v>
      </c>
      <c r="AB737" t="s">
        <v>3552</v>
      </c>
      <c r="AC737" t="s">
        <v>3553</v>
      </c>
      <c r="AE737" t="s">
        <v>161</v>
      </c>
      <c r="AF737" t="s">
        <v>3551</v>
      </c>
      <c r="AH737" t="s">
        <v>3012</v>
      </c>
      <c r="AI737" t="s">
        <v>740</v>
      </c>
      <c r="AJ737" s="8" t="str">
        <f>"50208"</f>
        <v>50208</v>
      </c>
      <c r="AK737" t="s">
        <v>118</v>
      </c>
      <c r="AM737" s="10">
        <v>16417919473</v>
      </c>
      <c r="AO737" t="s">
        <v>3554</v>
      </c>
      <c r="AP737" t="s">
        <v>121</v>
      </c>
      <c r="AQ737" t="s">
        <v>929</v>
      </c>
      <c r="AR737" t="s">
        <v>930</v>
      </c>
      <c r="AS737" t="s">
        <v>931</v>
      </c>
      <c r="AT737" t="s">
        <v>932</v>
      </c>
      <c r="AU737" t="s">
        <v>132</v>
      </c>
      <c r="AV737" t="s">
        <v>933</v>
      </c>
      <c r="AW737" t="s">
        <v>740</v>
      </c>
      <c r="AX737" s="8" t="str">
        <f>"50010"</f>
        <v>50010</v>
      </c>
      <c r="AY737" t="s">
        <v>118</v>
      </c>
      <c r="BA737" s="10">
        <v>15152324444</v>
      </c>
      <c r="BB737">
        <v>0</v>
      </c>
      <c r="BC737" t="s">
        <v>934</v>
      </c>
      <c r="BD737" t="s">
        <v>935</v>
      </c>
      <c r="BE737" t="s">
        <v>740</v>
      </c>
      <c r="BF737" t="s">
        <v>172</v>
      </c>
      <c r="BG737" t="s">
        <v>740</v>
      </c>
      <c r="BH737" s="1">
        <v>45228.833333333336</v>
      </c>
      <c r="BI737">
        <v>40</v>
      </c>
      <c r="BJ737">
        <v>0</v>
      </c>
      <c r="BK737">
        <v>8</v>
      </c>
      <c r="BL737">
        <v>8</v>
      </c>
      <c r="BM737">
        <v>8</v>
      </c>
      <c r="BN737">
        <v>8</v>
      </c>
      <c r="BO737">
        <v>8</v>
      </c>
      <c r="BP737">
        <v>0</v>
      </c>
      <c r="BQ737" t="str">
        <f>"7:00 AM"</f>
        <v>7:00 AM</v>
      </c>
      <c r="BR737" t="str">
        <f>"4:30 PM"</f>
        <v>4:30 PM</v>
      </c>
      <c r="BS737" t="s">
        <v>131</v>
      </c>
      <c r="BT737">
        <v>0</v>
      </c>
      <c r="BU737">
        <v>0</v>
      </c>
      <c r="BV737" t="s">
        <v>114</v>
      </c>
      <c r="BX737" s="2" t="s">
        <v>15100</v>
      </c>
      <c r="BY737" t="s">
        <v>3551</v>
      </c>
      <c r="CA737" t="s">
        <v>3012</v>
      </c>
      <c r="CB737" t="s">
        <v>740</v>
      </c>
      <c r="CC737" s="8" t="str">
        <f>"50208"</f>
        <v>50208</v>
      </c>
      <c r="CD737" t="s">
        <v>2409</v>
      </c>
      <c r="CE737" t="s">
        <v>1301</v>
      </c>
      <c r="CF737" s="12">
        <v>16.18</v>
      </c>
      <c r="CH737" s="12">
        <v>24.27</v>
      </c>
      <c r="CJ737" t="s">
        <v>135</v>
      </c>
      <c r="CK737" t="s">
        <v>15101</v>
      </c>
      <c r="CL737" t="s">
        <v>15102</v>
      </c>
      <c r="CO737" t="s">
        <v>132</v>
      </c>
      <c r="CP737" t="s">
        <v>114</v>
      </c>
      <c r="CQ737" t="s">
        <v>136</v>
      </c>
      <c r="CR737" t="s">
        <v>136</v>
      </c>
      <c r="CS737" t="s">
        <v>136</v>
      </c>
      <c r="CT737" t="s">
        <v>136</v>
      </c>
      <c r="CU737" t="s">
        <v>136</v>
      </c>
      <c r="CV737" t="s">
        <v>15103</v>
      </c>
      <c r="CW737" s="10" t="str">
        <f>"+16417919473"</f>
        <v>+16417919473</v>
      </c>
      <c r="CX737" t="s">
        <v>3554</v>
      </c>
      <c r="CY737" t="s">
        <v>132</v>
      </c>
      <c r="CZ737" t="s">
        <v>137</v>
      </c>
      <c r="DA737" t="s">
        <v>114</v>
      </c>
      <c r="DB737" t="s">
        <v>114</v>
      </c>
      <c r="DC737" t="s">
        <v>136</v>
      </c>
      <c r="DD737" t="s">
        <v>114</v>
      </c>
    </row>
    <row r="738" spans="1:113" ht="15" customHeight="1" x14ac:dyDescent="0.25">
      <c r="A738" t="s">
        <v>17819</v>
      </c>
      <c r="B738" t="s">
        <v>152</v>
      </c>
      <c r="C738" s="1">
        <v>45229.735858680557</v>
      </c>
      <c r="D738" s="1">
        <v>45257</v>
      </c>
      <c r="E738" t="s">
        <v>132</v>
      </c>
      <c r="F738" t="s">
        <v>3746</v>
      </c>
      <c r="G738" t="str">
        <f>"35-2021.00"</f>
        <v>35-2021.00</v>
      </c>
      <c r="H738" t="s">
        <v>2303</v>
      </c>
      <c r="I738">
        <v>2</v>
      </c>
      <c r="J738">
        <v>2</v>
      </c>
      <c r="K738" s="1">
        <v>45304</v>
      </c>
      <c r="L738" s="1">
        <v>45550</v>
      </c>
      <c r="M738" s="1">
        <v>45304</v>
      </c>
      <c r="N738" s="1">
        <v>45550</v>
      </c>
      <c r="O738" t="s">
        <v>116</v>
      </c>
      <c r="P738" t="s">
        <v>17820</v>
      </c>
      <c r="R738" t="s">
        <v>17821</v>
      </c>
      <c r="T738" t="s">
        <v>4782</v>
      </c>
      <c r="U738" t="s">
        <v>188</v>
      </c>
      <c r="V738" s="8" t="str">
        <f>"81611"</f>
        <v>81611</v>
      </c>
      <c r="W738" t="s">
        <v>118</v>
      </c>
      <c r="Y738" s="10">
        <v>19705544862</v>
      </c>
      <c r="AA738">
        <v>722511</v>
      </c>
      <c r="AB738" t="s">
        <v>17822</v>
      </c>
      <c r="AC738" t="s">
        <v>17823</v>
      </c>
      <c r="AE738" t="s">
        <v>561</v>
      </c>
      <c r="AF738" t="s">
        <v>17821</v>
      </c>
      <c r="AH738" t="s">
        <v>4782</v>
      </c>
      <c r="AI738" t="s">
        <v>188</v>
      </c>
      <c r="AJ738" s="8" t="str">
        <f>"81611"</f>
        <v>81611</v>
      </c>
      <c r="AK738" t="s">
        <v>118</v>
      </c>
      <c r="AM738" s="10">
        <v>19705544862</v>
      </c>
      <c r="AO738" t="s">
        <v>17824</v>
      </c>
      <c r="AP738" t="s">
        <v>121</v>
      </c>
      <c r="AQ738" t="s">
        <v>1523</v>
      </c>
      <c r="AR738" t="s">
        <v>1524</v>
      </c>
      <c r="AS738" t="s">
        <v>1525</v>
      </c>
      <c r="AT738" t="s">
        <v>1526</v>
      </c>
      <c r="AU738" t="s">
        <v>1527</v>
      </c>
      <c r="AV738" t="s">
        <v>1084</v>
      </c>
      <c r="AW738" t="s">
        <v>188</v>
      </c>
      <c r="AX738" s="8" t="str">
        <f>"81657"</f>
        <v>81657</v>
      </c>
      <c r="AY738" t="s">
        <v>118</v>
      </c>
      <c r="BA738" s="10">
        <v>19703066476</v>
      </c>
      <c r="BC738" t="s">
        <v>1528</v>
      </c>
      <c r="BD738" t="s">
        <v>1529</v>
      </c>
      <c r="BE738" t="s">
        <v>188</v>
      </c>
      <c r="BF738" t="s">
        <v>1530</v>
      </c>
      <c r="BG738" t="s">
        <v>188</v>
      </c>
      <c r="BH738" s="1">
        <v>45228.833333333336</v>
      </c>
      <c r="BI738">
        <v>40</v>
      </c>
      <c r="BJ738">
        <v>0</v>
      </c>
      <c r="BK738">
        <v>8</v>
      </c>
      <c r="BL738">
        <v>8</v>
      </c>
      <c r="BM738">
        <v>8</v>
      </c>
      <c r="BN738">
        <v>8</v>
      </c>
      <c r="BO738">
        <v>8</v>
      </c>
      <c r="BP738">
        <v>0</v>
      </c>
      <c r="BQ738" t="str">
        <f>"7:30 AM"</f>
        <v>7:30 AM</v>
      </c>
      <c r="BR738" t="str">
        <f>"3:30 PM"</f>
        <v>3:30 PM</v>
      </c>
      <c r="BS738" t="s">
        <v>131</v>
      </c>
      <c r="BT738">
        <v>0</v>
      </c>
      <c r="BU738">
        <v>0</v>
      </c>
      <c r="BV738" t="s">
        <v>114</v>
      </c>
      <c r="BX738" s="2" t="s">
        <v>17825</v>
      </c>
      <c r="BY738" t="s">
        <v>17821</v>
      </c>
      <c r="CA738" t="s">
        <v>4782</v>
      </c>
      <c r="CB738" t="s">
        <v>188</v>
      </c>
      <c r="CC738" s="8" t="str">
        <f>"81611"</f>
        <v>81611</v>
      </c>
      <c r="CD738" t="s">
        <v>4789</v>
      </c>
      <c r="CE738" t="s">
        <v>1038</v>
      </c>
      <c r="CF738" s="12">
        <v>20.92</v>
      </c>
      <c r="CH738" s="12">
        <v>31.38</v>
      </c>
      <c r="CJ738" t="s">
        <v>135</v>
      </c>
      <c r="CK738" t="e">
        <f>+DOE.</f>
        <v>#NAME?</v>
      </c>
      <c r="CL738" t="s">
        <v>17826</v>
      </c>
      <c r="CO738" t="s">
        <v>132</v>
      </c>
      <c r="CP738" t="s">
        <v>136</v>
      </c>
      <c r="CQ738" t="s">
        <v>136</v>
      </c>
      <c r="CR738" t="s">
        <v>136</v>
      </c>
      <c r="CS738" t="s">
        <v>136</v>
      </c>
      <c r="CT738" t="s">
        <v>136</v>
      </c>
      <c r="CU738" t="s">
        <v>114</v>
      </c>
      <c r="CV738" t="s">
        <v>1534</v>
      </c>
      <c r="CW738" s="10" t="str">
        <f>"+19705544862"</f>
        <v>+19705544862</v>
      </c>
      <c r="CX738" t="s">
        <v>17824</v>
      </c>
      <c r="CY738" t="s">
        <v>132</v>
      </c>
      <c r="CZ738" t="s">
        <v>137</v>
      </c>
      <c r="DA738" t="s">
        <v>114</v>
      </c>
      <c r="DB738" t="s">
        <v>114</v>
      </c>
      <c r="DC738" t="s">
        <v>136</v>
      </c>
      <c r="DD738" t="s">
        <v>114</v>
      </c>
    </row>
    <row r="739" spans="1:113" ht="15" customHeight="1" x14ac:dyDescent="0.25">
      <c r="A739" t="s">
        <v>19022</v>
      </c>
      <c r="B739" t="s">
        <v>152</v>
      </c>
      <c r="C739" s="1">
        <v>45224.484052314816</v>
      </c>
      <c r="D739" s="1">
        <v>45257</v>
      </c>
      <c r="E739" t="s">
        <v>132</v>
      </c>
      <c r="F739" t="s">
        <v>1595</v>
      </c>
      <c r="G739" t="str">
        <f>"37-3011.00"</f>
        <v>37-3011.00</v>
      </c>
      <c r="H739" t="s">
        <v>429</v>
      </c>
      <c r="I739">
        <v>20</v>
      </c>
      <c r="J739">
        <v>20</v>
      </c>
      <c r="K739" s="1">
        <v>45313</v>
      </c>
      <c r="L739" s="1">
        <v>45617</v>
      </c>
      <c r="M739" s="1">
        <v>45313</v>
      </c>
      <c r="N739" s="1">
        <v>45617</v>
      </c>
      <c r="O739" t="s">
        <v>116</v>
      </c>
      <c r="P739" t="s">
        <v>19023</v>
      </c>
      <c r="Q739" t="s">
        <v>19024</v>
      </c>
      <c r="R739" t="s">
        <v>19025</v>
      </c>
      <c r="T739" t="s">
        <v>19026</v>
      </c>
      <c r="U739" t="s">
        <v>1776</v>
      </c>
      <c r="V739" s="8" t="str">
        <f>"07701"</f>
        <v>07701</v>
      </c>
      <c r="W739" t="s">
        <v>118</v>
      </c>
      <c r="Y739" s="10">
        <v>17325301466</v>
      </c>
      <c r="AA739">
        <v>56173</v>
      </c>
      <c r="AB739" t="s">
        <v>19027</v>
      </c>
      <c r="AC739" t="s">
        <v>2001</v>
      </c>
      <c r="AE739" t="s">
        <v>629</v>
      </c>
      <c r="AF739" t="s">
        <v>19028</v>
      </c>
      <c r="AG739" t="s">
        <v>1196</v>
      </c>
      <c r="AH739" t="s">
        <v>19026</v>
      </c>
      <c r="AI739" t="s">
        <v>1776</v>
      </c>
      <c r="AJ739" s="8" t="str">
        <f>"07701"</f>
        <v>07701</v>
      </c>
      <c r="AK739" t="s">
        <v>118</v>
      </c>
      <c r="AM739" s="10">
        <v>17325301466</v>
      </c>
      <c r="AO739" t="s">
        <v>19029</v>
      </c>
      <c r="AP739" t="s">
        <v>121</v>
      </c>
      <c r="AQ739" t="s">
        <v>1771</v>
      </c>
      <c r="AR739" t="s">
        <v>1772</v>
      </c>
      <c r="AS739" t="s">
        <v>1410</v>
      </c>
      <c r="AT739" t="s">
        <v>1773</v>
      </c>
      <c r="AU739" t="s">
        <v>1774</v>
      </c>
      <c r="AV739" t="s">
        <v>1775</v>
      </c>
      <c r="AW739" t="s">
        <v>1776</v>
      </c>
      <c r="AX739" s="8" t="str">
        <f>"08034"</f>
        <v>08034</v>
      </c>
      <c r="AY739" t="s">
        <v>118</v>
      </c>
      <c r="AZ739" t="s">
        <v>1777</v>
      </c>
      <c r="BA739" s="10">
        <v>18562819750</v>
      </c>
      <c r="BC739" t="s">
        <v>1778</v>
      </c>
      <c r="BD739" t="s">
        <v>1779</v>
      </c>
      <c r="BE739" t="s">
        <v>1776</v>
      </c>
      <c r="BF739" t="s">
        <v>1780</v>
      </c>
      <c r="BG739" t="s">
        <v>1776</v>
      </c>
      <c r="BH739" s="1">
        <v>45214.833333333336</v>
      </c>
      <c r="BI739">
        <v>40</v>
      </c>
      <c r="BJ739">
        <v>0</v>
      </c>
      <c r="BK739">
        <v>8</v>
      </c>
      <c r="BL739">
        <v>8</v>
      </c>
      <c r="BM739">
        <v>8</v>
      </c>
      <c r="BN739">
        <v>8</v>
      </c>
      <c r="BO739">
        <v>8</v>
      </c>
      <c r="BP739">
        <v>0</v>
      </c>
      <c r="BQ739" t="str">
        <f>"7:30 AM"</f>
        <v>7:30 AM</v>
      </c>
      <c r="BR739" t="str">
        <f>"4:00 PM"</f>
        <v>4:00 PM</v>
      </c>
      <c r="BS739" t="s">
        <v>131</v>
      </c>
      <c r="BT739">
        <v>0</v>
      </c>
      <c r="BU739">
        <v>0</v>
      </c>
      <c r="BV739" t="s">
        <v>114</v>
      </c>
      <c r="BX739" s="2" t="s">
        <v>19030</v>
      </c>
      <c r="BY739" t="s">
        <v>19025</v>
      </c>
      <c r="CA739" t="s">
        <v>19026</v>
      </c>
      <c r="CB739" t="s">
        <v>1776</v>
      </c>
      <c r="CC739" s="8" t="str">
        <f>"07701"</f>
        <v>07701</v>
      </c>
      <c r="CD739" t="s">
        <v>3117</v>
      </c>
      <c r="CE739" t="s">
        <v>1418</v>
      </c>
      <c r="CF739" s="12">
        <v>20.81</v>
      </c>
      <c r="CG739" s="12">
        <v>20.81</v>
      </c>
      <c r="CH739" s="12">
        <v>31.22</v>
      </c>
      <c r="CI739" s="12">
        <v>31.22</v>
      </c>
      <c r="CJ739" t="s">
        <v>135</v>
      </c>
      <c r="CK739" t="s">
        <v>3514</v>
      </c>
      <c r="CL739" t="s">
        <v>19031</v>
      </c>
      <c r="CO739" t="s">
        <v>132</v>
      </c>
      <c r="CP739" t="s">
        <v>136</v>
      </c>
      <c r="CQ739" t="s">
        <v>136</v>
      </c>
      <c r="CR739" t="s">
        <v>136</v>
      </c>
      <c r="CS739" t="s">
        <v>136</v>
      </c>
      <c r="CT739" t="s">
        <v>136</v>
      </c>
      <c r="CU739" t="s">
        <v>114</v>
      </c>
      <c r="CV739" t="s">
        <v>1480</v>
      </c>
      <c r="CW739" s="10" t="str">
        <f>"+17325301466"</f>
        <v>+17325301466</v>
      </c>
      <c r="CX739" t="s">
        <v>19029</v>
      </c>
      <c r="CY739" t="s">
        <v>132</v>
      </c>
      <c r="CZ739" t="s">
        <v>137</v>
      </c>
      <c r="DA739" t="s">
        <v>114</v>
      </c>
      <c r="DB739" t="s">
        <v>136</v>
      </c>
      <c r="DC739" t="s">
        <v>136</v>
      </c>
      <c r="DD739" t="s">
        <v>114</v>
      </c>
    </row>
    <row r="740" spans="1:113" ht="15" customHeight="1" x14ac:dyDescent="0.25">
      <c r="A740" t="s">
        <v>10940</v>
      </c>
      <c r="B740" t="s">
        <v>152</v>
      </c>
      <c r="C740" s="1">
        <v>45221.350022569444</v>
      </c>
      <c r="D740" s="1">
        <v>45257</v>
      </c>
      <c r="E740" t="s">
        <v>132</v>
      </c>
      <c r="F740" t="s">
        <v>236</v>
      </c>
      <c r="G740" t="str">
        <f>"39-3091.00"</f>
        <v>39-3091.00</v>
      </c>
      <c r="H740" t="s">
        <v>237</v>
      </c>
      <c r="I740">
        <v>6</v>
      </c>
      <c r="J740">
        <v>6</v>
      </c>
      <c r="K740" s="1">
        <v>45311</v>
      </c>
      <c r="L740" s="1">
        <v>45596</v>
      </c>
      <c r="M740" s="1">
        <v>45311</v>
      </c>
      <c r="N740" s="1">
        <v>45596</v>
      </c>
      <c r="O740" t="s">
        <v>238</v>
      </c>
      <c r="P740" t="s">
        <v>10941</v>
      </c>
      <c r="R740" t="s">
        <v>10942</v>
      </c>
      <c r="T740" t="s">
        <v>5064</v>
      </c>
      <c r="U740" t="s">
        <v>140</v>
      </c>
      <c r="V740" s="8" t="str">
        <f>"33534"</f>
        <v>33534</v>
      </c>
      <c r="W740" t="s">
        <v>118</v>
      </c>
      <c r="Y740" s="10">
        <v>18133044987</v>
      </c>
      <c r="AA740">
        <v>71399</v>
      </c>
      <c r="AB740" t="s">
        <v>10943</v>
      </c>
      <c r="AC740" t="s">
        <v>3567</v>
      </c>
      <c r="AE740" t="s">
        <v>629</v>
      </c>
      <c r="AF740" t="s">
        <v>10942</v>
      </c>
      <c r="AH740" t="s">
        <v>5064</v>
      </c>
      <c r="AI740" t="s">
        <v>140</v>
      </c>
      <c r="AJ740" s="8" t="str">
        <f>"33534"</f>
        <v>33534</v>
      </c>
      <c r="AK740" t="s">
        <v>118</v>
      </c>
      <c r="AM740" s="10">
        <v>18133044987</v>
      </c>
      <c r="AO740" t="s">
        <v>10944</v>
      </c>
      <c r="AP740" t="s">
        <v>248</v>
      </c>
      <c r="AQ740" t="s">
        <v>249</v>
      </c>
      <c r="AR740" t="s">
        <v>250</v>
      </c>
      <c r="AS740" t="s">
        <v>251</v>
      </c>
      <c r="AT740" t="s">
        <v>252</v>
      </c>
      <c r="AU740" t="s">
        <v>253</v>
      </c>
      <c r="AV740" t="s">
        <v>254</v>
      </c>
      <c r="AW740" t="s">
        <v>127</v>
      </c>
      <c r="AX740" s="8" t="str">
        <f>"78550"</f>
        <v>78550</v>
      </c>
      <c r="AY740" t="s">
        <v>118</v>
      </c>
      <c r="AZ740" t="s">
        <v>255</v>
      </c>
      <c r="BA740" s="10">
        <v>19564408720</v>
      </c>
      <c r="BB740" s="3" t="s">
        <v>256</v>
      </c>
      <c r="BC740" t="s">
        <v>257</v>
      </c>
      <c r="BD740" t="s">
        <v>258</v>
      </c>
      <c r="BG740" t="s">
        <v>140</v>
      </c>
      <c r="BH740" s="1">
        <v>45220.833333333336</v>
      </c>
      <c r="BI740">
        <v>40</v>
      </c>
      <c r="BJ740">
        <v>8</v>
      </c>
      <c r="BK740">
        <v>0</v>
      </c>
      <c r="BL740">
        <v>0</v>
      </c>
      <c r="BM740">
        <v>8</v>
      </c>
      <c r="BN740">
        <v>8</v>
      </c>
      <c r="BO740">
        <v>8</v>
      </c>
      <c r="BP740">
        <v>8</v>
      </c>
      <c r="BQ740" t="str">
        <f>"1:00 PM"</f>
        <v>1:00 PM</v>
      </c>
      <c r="BR740" t="str">
        <f>"10:00 PM"</f>
        <v>10:00 PM</v>
      </c>
      <c r="BS740" t="s">
        <v>131</v>
      </c>
      <c r="BT740">
        <v>0</v>
      </c>
      <c r="BU740">
        <v>0</v>
      </c>
      <c r="BV740" t="s">
        <v>114</v>
      </c>
      <c r="BX740" s="2" t="s">
        <v>259</v>
      </c>
      <c r="BY740" t="s">
        <v>10942</v>
      </c>
      <c r="CA740" t="s">
        <v>5064</v>
      </c>
      <c r="CB740" t="s">
        <v>140</v>
      </c>
      <c r="CC740" s="8" t="str">
        <f>"33534"</f>
        <v>33534</v>
      </c>
      <c r="CD740" t="s">
        <v>781</v>
      </c>
      <c r="CE740" t="s">
        <v>467</v>
      </c>
      <c r="CF740" s="12">
        <v>9.61</v>
      </c>
      <c r="CG740" s="12">
        <v>15</v>
      </c>
      <c r="CJ740" t="s">
        <v>135</v>
      </c>
      <c r="CK740" t="s">
        <v>264</v>
      </c>
      <c r="CL740" t="s">
        <v>10945</v>
      </c>
      <c r="CO740" t="s">
        <v>132</v>
      </c>
      <c r="CP740" t="s">
        <v>136</v>
      </c>
      <c r="CQ740" t="s">
        <v>136</v>
      </c>
      <c r="CR740" t="s">
        <v>114</v>
      </c>
      <c r="CS740" t="s">
        <v>136</v>
      </c>
      <c r="CT740" t="s">
        <v>136</v>
      </c>
      <c r="CU740" t="s">
        <v>136</v>
      </c>
      <c r="CV740" t="s">
        <v>2258</v>
      </c>
      <c r="CW740" s="10" t="str">
        <f>"+18133044987"</f>
        <v>+18133044987</v>
      </c>
      <c r="CX740" t="s">
        <v>10944</v>
      </c>
      <c r="CY740" t="s">
        <v>132</v>
      </c>
      <c r="CZ740" t="s">
        <v>137</v>
      </c>
      <c r="DA740" t="s">
        <v>114</v>
      </c>
      <c r="DB740" t="s">
        <v>136</v>
      </c>
      <c r="DC740" t="s">
        <v>136</v>
      </c>
      <c r="DD740" t="s">
        <v>114</v>
      </c>
    </row>
    <row r="741" spans="1:113" ht="15" customHeight="1" x14ac:dyDescent="0.25">
      <c r="A741" t="s">
        <v>14026</v>
      </c>
      <c r="B741" t="s">
        <v>152</v>
      </c>
      <c r="C741" s="1">
        <v>45217.579041435187</v>
      </c>
      <c r="D741" s="1">
        <v>45257</v>
      </c>
      <c r="E741" t="s">
        <v>132</v>
      </c>
      <c r="F741" t="s">
        <v>14027</v>
      </c>
      <c r="G741" t="str">
        <f>"47-2044.00"</f>
        <v>47-2044.00</v>
      </c>
      <c r="H741" t="s">
        <v>4794</v>
      </c>
      <c r="I741">
        <v>45</v>
      </c>
      <c r="J741">
        <v>45</v>
      </c>
      <c r="K741" s="1">
        <v>45299</v>
      </c>
      <c r="L741" s="1">
        <v>45596</v>
      </c>
      <c r="M741" s="1">
        <v>45299</v>
      </c>
      <c r="N741" s="1">
        <v>45596</v>
      </c>
      <c r="O741" t="s">
        <v>116</v>
      </c>
      <c r="P741" t="s">
        <v>14028</v>
      </c>
      <c r="R741" t="s">
        <v>14029</v>
      </c>
      <c r="T741" t="s">
        <v>2880</v>
      </c>
      <c r="U741" t="s">
        <v>127</v>
      </c>
      <c r="V741" s="8" t="str">
        <f>"77833"</f>
        <v>77833</v>
      </c>
      <c r="W741" t="s">
        <v>118</v>
      </c>
      <c r="Y741" s="10">
        <v>19798365563</v>
      </c>
      <c r="AA741">
        <v>238340</v>
      </c>
      <c r="AB741" t="s">
        <v>14030</v>
      </c>
      <c r="AC741" t="s">
        <v>2188</v>
      </c>
      <c r="AE741" t="s">
        <v>629</v>
      </c>
      <c r="AF741" t="s">
        <v>14029</v>
      </c>
      <c r="AH741" t="s">
        <v>2880</v>
      </c>
      <c r="AI741" t="s">
        <v>127</v>
      </c>
      <c r="AJ741" s="8" t="str">
        <f>"77833"</f>
        <v>77833</v>
      </c>
      <c r="AK741" t="s">
        <v>118</v>
      </c>
      <c r="AM741" s="10">
        <v>19798365563</v>
      </c>
      <c r="AO741" t="s">
        <v>132</v>
      </c>
      <c r="AP741" t="s">
        <v>248</v>
      </c>
      <c r="AQ741" t="s">
        <v>2101</v>
      </c>
      <c r="AR741" t="s">
        <v>2309</v>
      </c>
      <c r="AT741" t="s">
        <v>2883</v>
      </c>
      <c r="AV741" t="s">
        <v>2884</v>
      </c>
      <c r="AW741" t="s">
        <v>127</v>
      </c>
      <c r="AX741" s="8" t="str">
        <f>"75442"</f>
        <v>75442</v>
      </c>
      <c r="AY741" t="s">
        <v>118</v>
      </c>
      <c r="BA741" s="10">
        <v>14692388392</v>
      </c>
      <c r="BC741" t="s">
        <v>3257</v>
      </c>
      <c r="BD741" t="s">
        <v>2886</v>
      </c>
      <c r="BG741" t="s">
        <v>127</v>
      </c>
      <c r="BH741" s="1">
        <v>45216.833333333336</v>
      </c>
      <c r="BI741">
        <v>40</v>
      </c>
      <c r="BJ741">
        <v>0</v>
      </c>
      <c r="BK741">
        <v>8</v>
      </c>
      <c r="BL741">
        <v>8</v>
      </c>
      <c r="BM741">
        <v>8</v>
      </c>
      <c r="BN741">
        <v>8</v>
      </c>
      <c r="BO741">
        <v>8</v>
      </c>
      <c r="BP741">
        <v>0</v>
      </c>
      <c r="BQ741" t="str">
        <f>"9:00 PM"</f>
        <v>9:00 PM</v>
      </c>
      <c r="BR741" t="str">
        <f>"7:00 AM"</f>
        <v>7:00 AM</v>
      </c>
      <c r="BS741" t="s">
        <v>131</v>
      </c>
      <c r="BT741">
        <v>0</v>
      </c>
      <c r="BU741">
        <v>6</v>
      </c>
      <c r="BV741" t="s">
        <v>114</v>
      </c>
      <c r="BX741" t="s">
        <v>14031</v>
      </c>
      <c r="BY741" t="s">
        <v>14029</v>
      </c>
      <c r="CA741" t="s">
        <v>2880</v>
      </c>
      <c r="CB741" t="s">
        <v>127</v>
      </c>
      <c r="CC741" s="8" t="str">
        <f>"77833"</f>
        <v>77833</v>
      </c>
      <c r="CD741" t="s">
        <v>806</v>
      </c>
      <c r="CE741" t="s">
        <v>619</v>
      </c>
      <c r="CF741" s="12">
        <v>17.829999999999998</v>
      </c>
      <c r="CG741" s="12">
        <v>17.829999999999998</v>
      </c>
      <c r="CH741" s="12">
        <v>26.75</v>
      </c>
      <c r="CI741" s="12">
        <v>26.75</v>
      </c>
      <c r="CJ741" t="s">
        <v>135</v>
      </c>
      <c r="CK741" t="s">
        <v>2888</v>
      </c>
      <c r="CL741" t="s">
        <v>14032</v>
      </c>
      <c r="CO741" t="s">
        <v>132</v>
      </c>
      <c r="CP741" t="s">
        <v>136</v>
      </c>
      <c r="CQ741" t="s">
        <v>136</v>
      </c>
      <c r="CR741" t="s">
        <v>136</v>
      </c>
      <c r="CS741" t="s">
        <v>136</v>
      </c>
      <c r="CT741" t="s">
        <v>136</v>
      </c>
      <c r="CU741" t="s">
        <v>114</v>
      </c>
      <c r="CV741" t="s">
        <v>2890</v>
      </c>
      <c r="CW741" s="10" t="str">
        <f>"+19798365563"</f>
        <v>+19798365563</v>
      </c>
      <c r="CX741" t="s">
        <v>14033</v>
      </c>
      <c r="CY741" t="s">
        <v>132</v>
      </c>
      <c r="CZ741" t="s">
        <v>137</v>
      </c>
      <c r="DA741" t="s">
        <v>114</v>
      </c>
      <c r="DB741" t="s">
        <v>114</v>
      </c>
      <c r="DC741" t="s">
        <v>136</v>
      </c>
      <c r="DD741" t="s">
        <v>114</v>
      </c>
    </row>
    <row r="742" spans="1:113" ht="15" customHeight="1" x14ac:dyDescent="0.25">
      <c r="A742" t="s">
        <v>14810</v>
      </c>
      <c r="B742" t="s">
        <v>152</v>
      </c>
      <c r="C742" s="1">
        <v>45216.593940509258</v>
      </c>
      <c r="D742" s="1">
        <v>45257</v>
      </c>
      <c r="E742" t="s">
        <v>132</v>
      </c>
      <c r="F742" t="s">
        <v>3098</v>
      </c>
      <c r="G742" t="str">
        <f>"39-3091.00"</f>
        <v>39-3091.00</v>
      </c>
      <c r="H742" t="s">
        <v>237</v>
      </c>
      <c r="I742">
        <v>33</v>
      </c>
      <c r="J742">
        <v>33</v>
      </c>
      <c r="K742" s="1">
        <v>45306</v>
      </c>
      <c r="L742" s="1">
        <v>45610</v>
      </c>
      <c r="M742" s="1">
        <v>45306</v>
      </c>
      <c r="N742" s="1">
        <v>45610</v>
      </c>
      <c r="O742" t="s">
        <v>238</v>
      </c>
      <c r="P742" t="s">
        <v>14811</v>
      </c>
      <c r="Q742" t="s">
        <v>14812</v>
      </c>
      <c r="R742" t="s">
        <v>14813</v>
      </c>
      <c r="T742" t="s">
        <v>14814</v>
      </c>
      <c r="U742" t="s">
        <v>127</v>
      </c>
      <c r="V742" s="8" t="str">
        <f>"78550"</f>
        <v>78550</v>
      </c>
      <c r="W742" t="s">
        <v>118</v>
      </c>
      <c r="Y742" s="10">
        <v>17134167461</v>
      </c>
      <c r="Z742" s="3" t="s">
        <v>256</v>
      </c>
      <c r="AA742">
        <v>711190</v>
      </c>
      <c r="AB742" t="s">
        <v>14815</v>
      </c>
      <c r="AC742" t="s">
        <v>708</v>
      </c>
      <c r="AE742" t="s">
        <v>120</v>
      </c>
      <c r="AF742" t="s">
        <v>14813</v>
      </c>
      <c r="AH742" t="s">
        <v>14814</v>
      </c>
      <c r="AI742" t="s">
        <v>127</v>
      </c>
      <c r="AJ742" s="8" t="str">
        <f>"78550"</f>
        <v>78550</v>
      </c>
      <c r="AK742" t="s">
        <v>118</v>
      </c>
      <c r="AM742" s="10">
        <v>17134167461</v>
      </c>
      <c r="AN742" s="3" t="s">
        <v>256</v>
      </c>
      <c r="AO742" t="s">
        <v>14816</v>
      </c>
      <c r="AP742" t="s">
        <v>248</v>
      </c>
      <c r="AQ742" t="s">
        <v>249</v>
      </c>
      <c r="AR742" t="s">
        <v>250</v>
      </c>
      <c r="AS742" t="s">
        <v>251</v>
      </c>
      <c r="AT742" t="s">
        <v>252</v>
      </c>
      <c r="AU742" t="s">
        <v>253</v>
      </c>
      <c r="AV742" t="s">
        <v>254</v>
      </c>
      <c r="AW742" t="s">
        <v>127</v>
      </c>
      <c r="AX742" s="8" t="str">
        <f>"78550"</f>
        <v>78550</v>
      </c>
      <c r="AY742" t="s">
        <v>118</v>
      </c>
      <c r="AZ742" t="s">
        <v>255</v>
      </c>
      <c r="BA742" s="10">
        <v>19564408720</v>
      </c>
      <c r="BB742" s="3" t="s">
        <v>256</v>
      </c>
      <c r="BC742" t="s">
        <v>338</v>
      </c>
      <c r="BD742" t="s">
        <v>258</v>
      </c>
      <c r="BG742" t="s">
        <v>127</v>
      </c>
      <c r="BH742" s="1">
        <v>45215.833333333336</v>
      </c>
      <c r="BI742">
        <v>40</v>
      </c>
      <c r="BJ742">
        <v>8</v>
      </c>
      <c r="BK742">
        <v>0</v>
      </c>
      <c r="BL742">
        <v>0</v>
      </c>
      <c r="BM742">
        <v>8</v>
      </c>
      <c r="BN742">
        <v>8</v>
      </c>
      <c r="BO742">
        <v>8</v>
      </c>
      <c r="BP742">
        <v>8</v>
      </c>
      <c r="BQ742" t="str">
        <f>"1:00 PM"</f>
        <v>1:00 PM</v>
      </c>
      <c r="BR742" t="str">
        <f>"10:00 PM"</f>
        <v>10:00 PM</v>
      </c>
      <c r="BS742" t="s">
        <v>131</v>
      </c>
      <c r="BT742">
        <v>0</v>
      </c>
      <c r="BU742">
        <v>0</v>
      </c>
      <c r="BV742" t="s">
        <v>114</v>
      </c>
      <c r="BX742" s="2" t="s">
        <v>2396</v>
      </c>
      <c r="BY742" t="s">
        <v>14813</v>
      </c>
      <c r="CA742" t="s">
        <v>254</v>
      </c>
      <c r="CB742" t="s">
        <v>127</v>
      </c>
      <c r="CC742" s="8" t="str">
        <f>"78550"</f>
        <v>78550</v>
      </c>
      <c r="CD742" t="s">
        <v>3361</v>
      </c>
      <c r="CE742" t="s">
        <v>3362</v>
      </c>
      <c r="CF742" s="12">
        <v>9.23</v>
      </c>
      <c r="CG742" s="12">
        <v>12.41</v>
      </c>
      <c r="CJ742" t="s">
        <v>135</v>
      </c>
      <c r="CK742" t="s">
        <v>342</v>
      </c>
      <c r="CL742" t="s">
        <v>14817</v>
      </c>
      <c r="CO742" t="s">
        <v>132</v>
      </c>
      <c r="CP742" t="s">
        <v>136</v>
      </c>
      <c r="CQ742" t="s">
        <v>136</v>
      </c>
      <c r="CR742" t="s">
        <v>114</v>
      </c>
      <c r="CS742" t="s">
        <v>136</v>
      </c>
      <c r="CT742" t="s">
        <v>136</v>
      </c>
      <c r="CU742" t="s">
        <v>136</v>
      </c>
      <c r="CV742" t="s">
        <v>4970</v>
      </c>
      <c r="CW742" s="10" t="str">
        <f>"+17134167461"</f>
        <v>+17134167461</v>
      </c>
      <c r="CX742" t="s">
        <v>14816</v>
      </c>
      <c r="CY742" t="s">
        <v>132</v>
      </c>
      <c r="CZ742" t="s">
        <v>137</v>
      </c>
      <c r="DA742" t="s">
        <v>114</v>
      </c>
      <c r="DB742" t="s">
        <v>136</v>
      </c>
      <c r="DC742" t="s">
        <v>136</v>
      </c>
      <c r="DD742" t="s">
        <v>114</v>
      </c>
    </row>
    <row r="743" spans="1:113" ht="15" customHeight="1" x14ac:dyDescent="0.25">
      <c r="A743" t="s">
        <v>12350</v>
      </c>
      <c r="B743" t="s">
        <v>152</v>
      </c>
      <c r="C743" s="1">
        <v>45202.318850694443</v>
      </c>
      <c r="D743" s="1">
        <v>45257</v>
      </c>
      <c r="E743" t="s">
        <v>132</v>
      </c>
      <c r="F743" t="s">
        <v>2324</v>
      </c>
      <c r="G743" t="str">
        <f>"35-3023.00"</f>
        <v>35-3023.00</v>
      </c>
      <c r="H743" t="s">
        <v>1365</v>
      </c>
      <c r="I743">
        <v>8</v>
      </c>
      <c r="J743">
        <v>8</v>
      </c>
      <c r="K743" s="1">
        <v>45292</v>
      </c>
      <c r="L743" s="1">
        <v>45596</v>
      </c>
      <c r="M743" s="1">
        <v>45292</v>
      </c>
      <c r="N743" s="1">
        <v>45596</v>
      </c>
      <c r="O743" t="s">
        <v>238</v>
      </c>
      <c r="P743" t="s">
        <v>12351</v>
      </c>
      <c r="R743" t="s">
        <v>12352</v>
      </c>
      <c r="S743" t="s">
        <v>12353</v>
      </c>
      <c r="T743" t="s">
        <v>12354</v>
      </c>
      <c r="U743" t="s">
        <v>402</v>
      </c>
      <c r="V743" s="8" t="str">
        <f>"93601"</f>
        <v>93601</v>
      </c>
      <c r="W743" t="s">
        <v>118</v>
      </c>
      <c r="Y743" s="10">
        <v>15596762820</v>
      </c>
      <c r="AA743">
        <v>71399</v>
      </c>
      <c r="AB743" t="s">
        <v>12355</v>
      </c>
      <c r="AC743" t="s">
        <v>144</v>
      </c>
      <c r="AE743" t="s">
        <v>1644</v>
      </c>
      <c r="AF743" t="s">
        <v>12352</v>
      </c>
      <c r="AG743" t="s">
        <v>12353</v>
      </c>
      <c r="AH743" t="s">
        <v>12354</v>
      </c>
      <c r="AI743" t="s">
        <v>402</v>
      </c>
      <c r="AJ743" s="8" t="str">
        <f>"93601"</f>
        <v>93601</v>
      </c>
      <c r="AK743" t="s">
        <v>118</v>
      </c>
      <c r="AL743" t="s">
        <v>12356</v>
      </c>
      <c r="AM743" s="10">
        <v>15596762820</v>
      </c>
      <c r="AO743" t="s">
        <v>12357</v>
      </c>
      <c r="AP743" t="s">
        <v>248</v>
      </c>
      <c r="AQ743" t="s">
        <v>249</v>
      </c>
      <c r="AR743" t="s">
        <v>250</v>
      </c>
      <c r="AS743" t="s">
        <v>251</v>
      </c>
      <c r="AT743" t="s">
        <v>252</v>
      </c>
      <c r="AU743" t="s">
        <v>253</v>
      </c>
      <c r="AV743" t="s">
        <v>254</v>
      </c>
      <c r="AW743" t="s">
        <v>127</v>
      </c>
      <c r="AX743" s="8" t="str">
        <f>"78550"</f>
        <v>78550</v>
      </c>
      <c r="AY743" t="s">
        <v>118</v>
      </c>
      <c r="AZ743" t="s">
        <v>255</v>
      </c>
      <c r="BA743" s="10">
        <v>19564408720</v>
      </c>
      <c r="BB743" s="3" t="s">
        <v>256</v>
      </c>
      <c r="BC743" t="s">
        <v>257</v>
      </c>
      <c r="BD743" t="s">
        <v>258</v>
      </c>
      <c r="BG743" t="s">
        <v>402</v>
      </c>
      <c r="BH743" s="1">
        <v>45201.833333333336</v>
      </c>
      <c r="BI743">
        <v>40</v>
      </c>
      <c r="BJ743">
        <v>8</v>
      </c>
      <c r="BK743">
        <v>0</v>
      </c>
      <c r="BL743">
        <v>0</v>
      </c>
      <c r="BM743">
        <v>8</v>
      </c>
      <c r="BN743">
        <v>8</v>
      </c>
      <c r="BO743">
        <v>8</v>
      </c>
      <c r="BP743">
        <v>8</v>
      </c>
      <c r="BQ743" t="str">
        <f>"1:00 PM"</f>
        <v>1:00 PM</v>
      </c>
      <c r="BR743" t="str">
        <f>"10:00 PM"</f>
        <v>10:00 PM</v>
      </c>
      <c r="BS743" t="s">
        <v>131</v>
      </c>
      <c r="BT743">
        <v>0</v>
      </c>
      <c r="BU743">
        <v>0</v>
      </c>
      <c r="BV743" t="s">
        <v>114</v>
      </c>
      <c r="BX743" s="2" t="s">
        <v>259</v>
      </c>
      <c r="BY743" t="s">
        <v>12352</v>
      </c>
      <c r="CA743" t="s">
        <v>12354</v>
      </c>
      <c r="CB743" t="s">
        <v>402</v>
      </c>
      <c r="CC743" s="8" t="str">
        <f>"93601"</f>
        <v>93601</v>
      </c>
      <c r="CD743" t="s">
        <v>4890</v>
      </c>
      <c r="CE743" t="s">
        <v>4891</v>
      </c>
      <c r="CF743" s="12">
        <v>14.27</v>
      </c>
      <c r="CG743" s="12">
        <v>17.32</v>
      </c>
      <c r="CJ743" t="s">
        <v>135</v>
      </c>
      <c r="CK743" t="s">
        <v>264</v>
      </c>
      <c r="CL743" t="s">
        <v>12358</v>
      </c>
      <c r="CO743" t="s">
        <v>132</v>
      </c>
      <c r="CP743" t="s">
        <v>136</v>
      </c>
      <c r="CQ743" t="s">
        <v>136</v>
      </c>
      <c r="CR743" t="s">
        <v>114</v>
      </c>
      <c r="CS743" t="s">
        <v>136</v>
      </c>
      <c r="CT743" t="s">
        <v>136</v>
      </c>
      <c r="CU743" t="s">
        <v>136</v>
      </c>
      <c r="CV743" t="s">
        <v>266</v>
      </c>
      <c r="CW743" s="10" t="str">
        <f>"+15596762820"</f>
        <v>+15596762820</v>
      </c>
      <c r="CX743" t="s">
        <v>12359</v>
      </c>
      <c r="CY743" t="s">
        <v>132</v>
      </c>
      <c r="CZ743" t="s">
        <v>137</v>
      </c>
      <c r="DA743" t="s">
        <v>114</v>
      </c>
      <c r="DB743" t="s">
        <v>114</v>
      </c>
      <c r="DC743" t="s">
        <v>136</v>
      </c>
      <c r="DD743" t="s">
        <v>114</v>
      </c>
    </row>
    <row r="744" spans="1:113" ht="15" customHeight="1" x14ac:dyDescent="0.25">
      <c r="A744" t="s">
        <v>9764</v>
      </c>
      <c r="B744" t="s">
        <v>152</v>
      </c>
      <c r="C744" s="1">
        <v>45188.711171643517</v>
      </c>
      <c r="D744" s="1">
        <v>45257</v>
      </c>
      <c r="E744" t="s">
        <v>132</v>
      </c>
      <c r="F744" t="s">
        <v>9765</v>
      </c>
      <c r="G744" t="str">
        <f>"45-4011.00"</f>
        <v>45-4011.00</v>
      </c>
      <c r="H744" t="s">
        <v>842</v>
      </c>
      <c r="I744">
        <v>42</v>
      </c>
      <c r="J744">
        <v>42</v>
      </c>
      <c r="K744" s="1">
        <v>45278</v>
      </c>
      <c r="L744" s="1">
        <v>45347</v>
      </c>
      <c r="M744" s="1">
        <v>45278</v>
      </c>
      <c r="N744" s="1">
        <v>45347</v>
      </c>
      <c r="O744" t="s">
        <v>238</v>
      </c>
      <c r="P744" t="s">
        <v>9766</v>
      </c>
      <c r="Q744" t="s">
        <v>9767</v>
      </c>
      <c r="R744" t="s">
        <v>9768</v>
      </c>
      <c r="S744" t="s">
        <v>475</v>
      </c>
      <c r="T744" t="s">
        <v>7931</v>
      </c>
      <c r="U744" t="s">
        <v>386</v>
      </c>
      <c r="V744" s="8" t="str">
        <f>"37343"</f>
        <v>37343</v>
      </c>
      <c r="W744" t="s">
        <v>118</v>
      </c>
      <c r="X744" t="s">
        <v>475</v>
      </c>
      <c r="Y744" s="10">
        <v>14232403514</v>
      </c>
      <c r="Z744">
        <v>0</v>
      </c>
      <c r="AA744">
        <v>115310</v>
      </c>
      <c r="AB744" t="s">
        <v>9769</v>
      </c>
      <c r="AC744" t="s">
        <v>608</v>
      </c>
      <c r="AD744" t="s">
        <v>1852</v>
      </c>
      <c r="AE744" t="s">
        <v>561</v>
      </c>
      <c r="AF744" t="s">
        <v>9770</v>
      </c>
      <c r="AG744" t="s">
        <v>475</v>
      </c>
      <c r="AH744" t="s">
        <v>7931</v>
      </c>
      <c r="AI744" t="s">
        <v>386</v>
      </c>
      <c r="AJ744" s="8" t="str">
        <f>"37343"</f>
        <v>37343</v>
      </c>
      <c r="AK744" t="s">
        <v>118</v>
      </c>
      <c r="AM744" s="10">
        <v>14232403514</v>
      </c>
      <c r="AN744">
        <v>0</v>
      </c>
      <c r="AO744" t="s">
        <v>9771</v>
      </c>
      <c r="AX744" s="8" t="str">
        <f>""</f>
        <v/>
      </c>
      <c r="BG744" t="s">
        <v>550</v>
      </c>
      <c r="BH744" s="1">
        <v>45187.833333333336</v>
      </c>
      <c r="BI744">
        <v>40</v>
      </c>
      <c r="BJ744">
        <v>0</v>
      </c>
      <c r="BK744">
        <v>8</v>
      </c>
      <c r="BL744">
        <v>8</v>
      </c>
      <c r="BM744">
        <v>8</v>
      </c>
      <c r="BN744">
        <v>8</v>
      </c>
      <c r="BO744">
        <v>8</v>
      </c>
      <c r="BP744">
        <v>0</v>
      </c>
      <c r="BQ744" t="str">
        <f>"8:00 AM"</f>
        <v>8:00 AM</v>
      </c>
      <c r="BR744" t="str">
        <f>"4:00 PM"</f>
        <v>4:00 PM</v>
      </c>
      <c r="BS744" t="s">
        <v>131</v>
      </c>
      <c r="BT744">
        <v>0</v>
      </c>
      <c r="BU744">
        <v>0</v>
      </c>
      <c r="BV744" t="s">
        <v>114</v>
      </c>
      <c r="BX744" s="2" t="s">
        <v>9772</v>
      </c>
      <c r="BY744" t="s">
        <v>9773</v>
      </c>
      <c r="BZ744" t="s">
        <v>475</v>
      </c>
      <c r="CA744" t="s">
        <v>9774</v>
      </c>
      <c r="CB744" t="s">
        <v>550</v>
      </c>
      <c r="CC744" s="8" t="str">
        <f>"31021"</f>
        <v>31021</v>
      </c>
      <c r="CD744" t="s">
        <v>9775</v>
      </c>
      <c r="CE744" t="s">
        <v>6037</v>
      </c>
      <c r="CF744" s="12">
        <v>12.79</v>
      </c>
      <c r="CG744" s="12">
        <v>17.309999999999999</v>
      </c>
      <c r="CJ744" t="s">
        <v>135</v>
      </c>
      <c r="CK744" t="s">
        <v>9776</v>
      </c>
      <c r="CL744" t="s">
        <v>9777</v>
      </c>
      <c r="CO744" t="s">
        <v>132</v>
      </c>
      <c r="CP744" t="s">
        <v>136</v>
      </c>
      <c r="CQ744" t="s">
        <v>136</v>
      </c>
      <c r="CR744" t="s">
        <v>114</v>
      </c>
      <c r="CS744" t="s">
        <v>136</v>
      </c>
      <c r="CT744" t="s">
        <v>136</v>
      </c>
      <c r="CU744" t="s">
        <v>136</v>
      </c>
      <c r="CV744" t="s">
        <v>9778</v>
      </c>
      <c r="CW744" s="10" t="str">
        <f>"+14238420683"</f>
        <v>+14238420683</v>
      </c>
      <c r="CX744" t="s">
        <v>9771</v>
      </c>
      <c r="CY744" t="s">
        <v>132</v>
      </c>
      <c r="CZ744" t="s">
        <v>137</v>
      </c>
      <c r="DA744" t="s">
        <v>114</v>
      </c>
      <c r="DB744" t="s">
        <v>114</v>
      </c>
      <c r="DC744" t="s">
        <v>136</v>
      </c>
      <c r="DD744" t="s">
        <v>114</v>
      </c>
    </row>
    <row r="745" spans="1:113" ht="15" customHeight="1" x14ac:dyDescent="0.25">
      <c r="A745" t="s">
        <v>23869</v>
      </c>
      <c r="B745" t="s">
        <v>152</v>
      </c>
      <c r="C745" s="1">
        <v>45184.503814236108</v>
      </c>
      <c r="D745" s="1">
        <v>45257</v>
      </c>
      <c r="E745" t="s">
        <v>132</v>
      </c>
      <c r="F745" t="s">
        <v>23870</v>
      </c>
      <c r="G745" t="str">
        <f>"37-2012.00"</f>
        <v>37-2012.00</v>
      </c>
      <c r="H745" t="s">
        <v>205</v>
      </c>
      <c r="I745">
        <v>40</v>
      </c>
      <c r="J745">
        <v>40</v>
      </c>
      <c r="K745" s="1">
        <v>45261</v>
      </c>
      <c r="L745" s="1">
        <v>45382</v>
      </c>
      <c r="M745" s="1">
        <v>45261</v>
      </c>
      <c r="N745" s="1">
        <v>45382</v>
      </c>
      <c r="O745" t="s">
        <v>116</v>
      </c>
      <c r="P745" t="s">
        <v>23871</v>
      </c>
      <c r="Q745" t="s">
        <v>23872</v>
      </c>
      <c r="R745" t="s">
        <v>11817</v>
      </c>
      <c r="S745" t="s">
        <v>11815</v>
      </c>
      <c r="T745" t="s">
        <v>11816</v>
      </c>
      <c r="U745" t="s">
        <v>581</v>
      </c>
      <c r="V745" s="8" t="str">
        <f>"22840"</f>
        <v>22840</v>
      </c>
      <c r="W745" t="s">
        <v>118</v>
      </c>
      <c r="Y745" s="10">
        <v>14342207710</v>
      </c>
      <c r="AA745">
        <v>72111</v>
      </c>
      <c r="AB745" t="s">
        <v>3723</v>
      </c>
      <c r="AC745" t="s">
        <v>4700</v>
      </c>
      <c r="AE745" t="s">
        <v>1104</v>
      </c>
      <c r="AF745" t="s">
        <v>11817</v>
      </c>
      <c r="AG745" t="s">
        <v>11815</v>
      </c>
      <c r="AH745" t="s">
        <v>11816</v>
      </c>
      <c r="AI745" t="s">
        <v>581</v>
      </c>
      <c r="AJ745" s="8" t="str">
        <f>"22840"</f>
        <v>22840</v>
      </c>
      <c r="AK745" t="s">
        <v>118</v>
      </c>
      <c r="AM745" s="10">
        <v>15402894918</v>
      </c>
      <c r="AO745" t="s">
        <v>11818</v>
      </c>
      <c r="AP745" t="s">
        <v>121</v>
      </c>
      <c r="AQ745" t="s">
        <v>276</v>
      </c>
      <c r="AR745" t="s">
        <v>277</v>
      </c>
      <c r="AS745" t="s">
        <v>278</v>
      </c>
      <c r="AT745" t="s">
        <v>279</v>
      </c>
      <c r="AU745" t="s">
        <v>280</v>
      </c>
      <c r="AV745" t="s">
        <v>281</v>
      </c>
      <c r="AW745" t="s">
        <v>222</v>
      </c>
      <c r="AX745" s="8" t="str">
        <f>"01701"</f>
        <v>01701</v>
      </c>
      <c r="AY745" t="s">
        <v>118</v>
      </c>
      <c r="BA745" s="10">
        <v>16179399444</v>
      </c>
      <c r="BC745" t="s">
        <v>282</v>
      </c>
      <c r="BD745" t="s">
        <v>283</v>
      </c>
      <c r="BE745" t="s">
        <v>222</v>
      </c>
      <c r="BF745" t="s">
        <v>284</v>
      </c>
      <c r="BG745" t="s">
        <v>581</v>
      </c>
      <c r="BH745" s="1">
        <v>45183.833333333336</v>
      </c>
      <c r="BI745">
        <v>40</v>
      </c>
      <c r="BJ745">
        <v>0</v>
      </c>
      <c r="BK745">
        <v>8</v>
      </c>
      <c r="BL745">
        <v>8</v>
      </c>
      <c r="BM745">
        <v>8</v>
      </c>
      <c r="BN745">
        <v>8</v>
      </c>
      <c r="BO745">
        <v>8</v>
      </c>
      <c r="BP745">
        <v>0</v>
      </c>
      <c r="BQ745" t="str">
        <f>"9:00 AM"</f>
        <v>9:00 AM</v>
      </c>
      <c r="BR745" t="str">
        <f>"5:00 PM"</f>
        <v>5:00 PM</v>
      </c>
      <c r="BS745" t="s">
        <v>131</v>
      </c>
      <c r="BT745">
        <v>0</v>
      </c>
      <c r="BU745">
        <v>0</v>
      </c>
      <c r="BV745" t="s">
        <v>114</v>
      </c>
      <c r="BX745" s="2" t="s">
        <v>23873</v>
      </c>
      <c r="BY745" t="s">
        <v>11817</v>
      </c>
      <c r="CA745" t="s">
        <v>11816</v>
      </c>
      <c r="CB745" t="s">
        <v>581</v>
      </c>
      <c r="CC745" s="8" t="str">
        <f>"22840"</f>
        <v>22840</v>
      </c>
      <c r="CD745" t="s">
        <v>11820</v>
      </c>
      <c r="CE745" t="s">
        <v>11821</v>
      </c>
      <c r="CF745" s="12">
        <v>13.4</v>
      </c>
      <c r="CG745" s="12">
        <v>15.02</v>
      </c>
      <c r="CH745" s="12">
        <v>20.100000000000001</v>
      </c>
      <c r="CI745" s="12">
        <v>22.53</v>
      </c>
      <c r="CJ745" t="s">
        <v>135</v>
      </c>
      <c r="CK745" t="s">
        <v>23874</v>
      </c>
      <c r="CL745" t="s">
        <v>23875</v>
      </c>
      <c r="CO745" t="s">
        <v>132</v>
      </c>
      <c r="CP745" t="s">
        <v>114</v>
      </c>
      <c r="CQ745" t="s">
        <v>136</v>
      </c>
      <c r="CR745" t="s">
        <v>136</v>
      </c>
      <c r="CS745" t="s">
        <v>136</v>
      </c>
      <c r="CT745" t="s">
        <v>136</v>
      </c>
      <c r="CU745" t="s">
        <v>136</v>
      </c>
      <c r="CV745" t="s">
        <v>11824</v>
      </c>
      <c r="CW745" s="10" t="str">
        <f>"+15402894091"</f>
        <v>+15402894091</v>
      </c>
      <c r="CX745" t="s">
        <v>11825</v>
      </c>
      <c r="CY745" t="s">
        <v>132</v>
      </c>
      <c r="CZ745" t="s">
        <v>137</v>
      </c>
      <c r="DA745" t="s">
        <v>114</v>
      </c>
      <c r="DB745" t="s">
        <v>114</v>
      </c>
      <c r="DC745" t="s">
        <v>136</v>
      </c>
      <c r="DD745" t="s">
        <v>114</v>
      </c>
    </row>
    <row r="746" spans="1:113" ht="15" customHeight="1" x14ac:dyDescent="0.25">
      <c r="A746" t="s">
        <v>11074</v>
      </c>
      <c r="B746" t="s">
        <v>152</v>
      </c>
      <c r="C746" s="1">
        <v>45176.629290740741</v>
      </c>
      <c r="D746" s="1">
        <v>45257</v>
      </c>
      <c r="E746" t="s">
        <v>132</v>
      </c>
      <c r="F746" t="s">
        <v>4218</v>
      </c>
      <c r="G746" t="str">
        <f>"49-9098.00"</f>
        <v>49-9098.00</v>
      </c>
      <c r="H746" t="s">
        <v>945</v>
      </c>
      <c r="I746">
        <v>25</v>
      </c>
      <c r="J746">
        <v>25</v>
      </c>
      <c r="K746" s="1">
        <v>45252</v>
      </c>
      <c r="L746" s="1">
        <v>45313</v>
      </c>
      <c r="M746" s="1">
        <v>45252</v>
      </c>
      <c r="N746" s="1">
        <v>45313</v>
      </c>
      <c r="O746" t="s">
        <v>238</v>
      </c>
      <c r="P746" t="s">
        <v>1708</v>
      </c>
      <c r="R746" t="s">
        <v>11075</v>
      </c>
      <c r="T746" t="s">
        <v>1711</v>
      </c>
      <c r="U746" t="s">
        <v>140</v>
      </c>
      <c r="V746" s="8" t="str">
        <f>"32750"</f>
        <v>32750</v>
      </c>
      <c r="W746" t="s">
        <v>118</v>
      </c>
      <c r="Y746" s="10">
        <v>17067419845</v>
      </c>
      <c r="AA746">
        <v>71399</v>
      </c>
      <c r="AB746" t="s">
        <v>11076</v>
      </c>
      <c r="AC746" t="s">
        <v>1713</v>
      </c>
      <c r="AE746" t="s">
        <v>629</v>
      </c>
      <c r="AF746" t="s">
        <v>11075</v>
      </c>
      <c r="AH746" t="s">
        <v>1711</v>
      </c>
      <c r="AI746" t="s">
        <v>140</v>
      </c>
      <c r="AJ746" s="8" t="str">
        <f>"32750"</f>
        <v>32750</v>
      </c>
      <c r="AK746" t="s">
        <v>118</v>
      </c>
      <c r="AM746" s="10">
        <v>14073991831</v>
      </c>
      <c r="AO746" t="s">
        <v>1717</v>
      </c>
      <c r="AP746" t="s">
        <v>121</v>
      </c>
      <c r="AQ746" t="s">
        <v>1718</v>
      </c>
      <c r="AR746" t="s">
        <v>708</v>
      </c>
      <c r="AS746" t="s">
        <v>1719</v>
      </c>
      <c r="AT746" t="s">
        <v>1720</v>
      </c>
      <c r="AU746" t="s">
        <v>799</v>
      </c>
      <c r="AV746" t="s">
        <v>1721</v>
      </c>
      <c r="AW746" t="s">
        <v>1722</v>
      </c>
      <c r="AX746" s="8" t="str">
        <f>"21401"</f>
        <v>21401</v>
      </c>
      <c r="AY746" t="s">
        <v>118</v>
      </c>
      <c r="BA746" s="10">
        <v>14105739955</v>
      </c>
      <c r="BB746">
        <v>0</v>
      </c>
      <c r="BC746" t="s">
        <v>1723</v>
      </c>
      <c r="BD746" t="s">
        <v>1724</v>
      </c>
      <c r="BE746" t="s">
        <v>1722</v>
      </c>
      <c r="BF746" t="s">
        <v>1725</v>
      </c>
      <c r="BG746" t="s">
        <v>140</v>
      </c>
      <c r="BH746" s="1">
        <v>45174.833333333336</v>
      </c>
      <c r="BI746">
        <v>35</v>
      </c>
      <c r="BJ746">
        <v>0</v>
      </c>
      <c r="BK746">
        <v>7</v>
      </c>
      <c r="BL746">
        <v>7</v>
      </c>
      <c r="BM746">
        <v>7</v>
      </c>
      <c r="BN746">
        <v>7</v>
      </c>
      <c r="BO746">
        <v>7</v>
      </c>
      <c r="BP746">
        <v>0</v>
      </c>
      <c r="BQ746" t="str">
        <f>"8:00 AM"</f>
        <v>8:00 AM</v>
      </c>
      <c r="BR746" t="str">
        <f>"5:00 PM"</f>
        <v>5:00 PM</v>
      </c>
      <c r="BS746" t="s">
        <v>131</v>
      </c>
      <c r="BT746">
        <v>0</v>
      </c>
      <c r="BU746">
        <v>0</v>
      </c>
      <c r="BV746" t="s">
        <v>114</v>
      </c>
      <c r="BX746" s="2" t="s">
        <v>11077</v>
      </c>
      <c r="BY746" t="s">
        <v>11075</v>
      </c>
      <c r="CA746" t="s">
        <v>1711</v>
      </c>
      <c r="CB746" t="s">
        <v>140</v>
      </c>
      <c r="CC746" s="8" t="str">
        <f>"32750"</f>
        <v>32750</v>
      </c>
      <c r="CD746" t="s">
        <v>11078</v>
      </c>
      <c r="CE746" t="s">
        <v>2052</v>
      </c>
      <c r="CF746" s="12">
        <v>15.9</v>
      </c>
      <c r="CG746" s="12">
        <v>15.9</v>
      </c>
      <c r="CJ746" t="s">
        <v>135</v>
      </c>
      <c r="CK746" t="s">
        <v>2343</v>
      </c>
      <c r="CL746" t="s">
        <v>11079</v>
      </c>
      <c r="CO746" t="s">
        <v>132</v>
      </c>
      <c r="CP746" t="s">
        <v>114</v>
      </c>
      <c r="CQ746" t="s">
        <v>114</v>
      </c>
      <c r="CR746" t="s">
        <v>114</v>
      </c>
      <c r="CS746" t="s">
        <v>114</v>
      </c>
      <c r="CT746" t="s">
        <v>136</v>
      </c>
      <c r="CU746" t="s">
        <v>136</v>
      </c>
      <c r="CV746" t="s">
        <v>11080</v>
      </c>
      <c r="CW746" s="10" t="str">
        <f>"+17067419845"</f>
        <v>+17067419845</v>
      </c>
      <c r="CX746" t="s">
        <v>1717</v>
      </c>
      <c r="CY746" t="s">
        <v>132</v>
      </c>
      <c r="CZ746" t="s">
        <v>137</v>
      </c>
      <c r="DA746" t="s">
        <v>114</v>
      </c>
      <c r="DB746" t="s">
        <v>114</v>
      </c>
      <c r="DC746" t="s">
        <v>136</v>
      </c>
      <c r="DD746" t="s">
        <v>114</v>
      </c>
    </row>
    <row r="747" spans="1:113" ht="15" customHeight="1" x14ac:dyDescent="0.25">
      <c r="A747" t="s">
        <v>3083</v>
      </c>
      <c r="B747" t="s">
        <v>152</v>
      </c>
      <c r="C747" s="1">
        <v>45173.87328576389</v>
      </c>
      <c r="D747" s="1">
        <v>45257</v>
      </c>
      <c r="E747" t="s">
        <v>132</v>
      </c>
      <c r="F747" t="s">
        <v>1397</v>
      </c>
      <c r="G747" t="str">
        <f>"39-9011.01"</f>
        <v>39-9011.01</v>
      </c>
      <c r="H747" t="s">
        <v>1488</v>
      </c>
      <c r="I747">
        <v>1</v>
      </c>
      <c r="J747">
        <v>1</v>
      </c>
      <c r="K747" s="1">
        <v>45261</v>
      </c>
      <c r="L747" s="1">
        <v>46266</v>
      </c>
      <c r="M747" s="1">
        <v>45261</v>
      </c>
      <c r="N747" s="1">
        <v>46266</v>
      </c>
      <c r="O747" t="s">
        <v>184</v>
      </c>
      <c r="P747" t="s">
        <v>3084</v>
      </c>
      <c r="R747" t="s">
        <v>3085</v>
      </c>
      <c r="T747" t="s">
        <v>3086</v>
      </c>
      <c r="U747" t="s">
        <v>140</v>
      </c>
      <c r="V747" s="8" t="str">
        <f>"32124"</f>
        <v>32124</v>
      </c>
      <c r="W747" t="s">
        <v>118</v>
      </c>
      <c r="Y747" s="10">
        <v>17867759503</v>
      </c>
      <c r="AA747">
        <v>814110</v>
      </c>
      <c r="AB747" t="s">
        <v>3087</v>
      </c>
      <c r="AC747" t="s">
        <v>3088</v>
      </c>
      <c r="AD747" t="s">
        <v>1738</v>
      </c>
      <c r="AE747" t="s">
        <v>1836</v>
      </c>
      <c r="AF747" t="s">
        <v>3085</v>
      </c>
      <c r="AH747" t="s">
        <v>3086</v>
      </c>
      <c r="AI747" t="s">
        <v>140</v>
      </c>
      <c r="AJ747" s="8" t="str">
        <f>"32124"</f>
        <v>32124</v>
      </c>
      <c r="AK747" t="s">
        <v>118</v>
      </c>
      <c r="AM747" s="10">
        <v>17867759503</v>
      </c>
      <c r="AO747" t="s">
        <v>3089</v>
      </c>
      <c r="AX747" s="8" t="str">
        <f>""</f>
        <v/>
      </c>
      <c r="BG747" t="s">
        <v>140</v>
      </c>
      <c r="BH747" s="1">
        <v>45172.833333333336</v>
      </c>
      <c r="BI747">
        <v>40</v>
      </c>
      <c r="BJ747">
        <v>0</v>
      </c>
      <c r="BK747">
        <v>8</v>
      </c>
      <c r="BL747">
        <v>8</v>
      </c>
      <c r="BM747">
        <v>8</v>
      </c>
      <c r="BN747">
        <v>8</v>
      </c>
      <c r="BO747">
        <v>8</v>
      </c>
      <c r="BP747">
        <v>0</v>
      </c>
      <c r="BQ747" t="str">
        <f>"7:00 AM"</f>
        <v>7:00 AM</v>
      </c>
      <c r="BR747" t="str">
        <f>"3:00 PM"</f>
        <v>3:00 PM</v>
      </c>
      <c r="BS747" t="s">
        <v>147</v>
      </c>
      <c r="BT747">
        <v>0</v>
      </c>
      <c r="BU747">
        <v>12</v>
      </c>
      <c r="BV747" t="s">
        <v>114</v>
      </c>
      <c r="BX747" s="2" t="s">
        <v>3090</v>
      </c>
      <c r="BY747" t="s">
        <v>3085</v>
      </c>
      <c r="CA747" t="s">
        <v>3086</v>
      </c>
      <c r="CB747" t="s">
        <v>140</v>
      </c>
      <c r="CC747" s="8" t="str">
        <f>"32124"</f>
        <v>32124</v>
      </c>
      <c r="CD747" t="s">
        <v>3091</v>
      </c>
      <c r="CE747" t="s">
        <v>3092</v>
      </c>
      <c r="CF747" s="12">
        <v>12.57</v>
      </c>
      <c r="CG747" s="12">
        <v>12.57</v>
      </c>
      <c r="CH747" s="12">
        <v>18.86</v>
      </c>
      <c r="CI747" s="12">
        <v>18.86</v>
      </c>
      <c r="CJ747" t="s">
        <v>135</v>
      </c>
      <c r="CL747" t="s">
        <v>3093</v>
      </c>
      <c r="CO747" t="s">
        <v>132</v>
      </c>
      <c r="CP747" t="s">
        <v>114</v>
      </c>
      <c r="CQ747" t="s">
        <v>136</v>
      </c>
      <c r="CR747" t="s">
        <v>136</v>
      </c>
      <c r="CS747" t="s">
        <v>136</v>
      </c>
      <c r="CT747" t="s">
        <v>136</v>
      </c>
      <c r="CU747" t="s">
        <v>136</v>
      </c>
      <c r="CV747" t="s">
        <v>3094</v>
      </c>
      <c r="CW747" s="10" t="str">
        <f>"+17867759503"</f>
        <v>+17867759503</v>
      </c>
      <c r="CX747" t="s">
        <v>3089</v>
      </c>
      <c r="CY747" t="s">
        <v>132</v>
      </c>
      <c r="CZ747" t="s">
        <v>137</v>
      </c>
      <c r="DA747" t="s">
        <v>114</v>
      </c>
      <c r="DB747" t="s">
        <v>114</v>
      </c>
      <c r="DC747" t="s">
        <v>136</v>
      </c>
      <c r="DD747" t="s">
        <v>114</v>
      </c>
    </row>
    <row r="748" spans="1:113" ht="15" customHeight="1" x14ac:dyDescent="0.25">
      <c r="A748" t="s">
        <v>9259</v>
      </c>
      <c r="B748" t="s">
        <v>152</v>
      </c>
      <c r="C748" s="1">
        <v>45168.505935648151</v>
      </c>
      <c r="D748" s="1">
        <v>45257</v>
      </c>
      <c r="E748" t="s">
        <v>114</v>
      </c>
      <c r="F748" t="s">
        <v>9260</v>
      </c>
      <c r="G748" t="str">
        <f>"43-9061.00"</f>
        <v>43-9061.00</v>
      </c>
      <c r="H748" t="s">
        <v>3108</v>
      </c>
      <c r="I748">
        <v>1</v>
      </c>
      <c r="J748">
        <v>1</v>
      </c>
      <c r="K748" s="1">
        <v>45243</v>
      </c>
      <c r="L748" s="1">
        <v>45444</v>
      </c>
      <c r="M748" s="1">
        <v>45243</v>
      </c>
      <c r="N748" s="1">
        <v>45444</v>
      </c>
      <c r="O748" t="s">
        <v>116</v>
      </c>
      <c r="P748" t="s">
        <v>9261</v>
      </c>
      <c r="R748" t="s">
        <v>9262</v>
      </c>
      <c r="T748" t="s">
        <v>2447</v>
      </c>
      <c r="U748" t="s">
        <v>581</v>
      </c>
      <c r="V748" s="8" t="str">
        <f>"22151"</f>
        <v>22151</v>
      </c>
      <c r="W748" t="s">
        <v>118</v>
      </c>
      <c r="Y748" s="10">
        <v>17036461261</v>
      </c>
      <c r="AA748">
        <v>56179</v>
      </c>
      <c r="AB748" t="s">
        <v>9263</v>
      </c>
      <c r="AC748" t="s">
        <v>9264</v>
      </c>
      <c r="AE748" t="s">
        <v>629</v>
      </c>
      <c r="AF748" t="s">
        <v>9265</v>
      </c>
      <c r="AH748" t="s">
        <v>8653</v>
      </c>
      <c r="AI748" t="s">
        <v>581</v>
      </c>
      <c r="AJ748" s="8" t="str">
        <f>"22030"</f>
        <v>22030</v>
      </c>
      <c r="AK748" t="s">
        <v>118</v>
      </c>
      <c r="AM748" s="10">
        <v>17036461261</v>
      </c>
      <c r="AO748" t="s">
        <v>9266</v>
      </c>
      <c r="AP748" t="s">
        <v>121</v>
      </c>
      <c r="AQ748" t="s">
        <v>1771</v>
      </c>
      <c r="AR748" t="s">
        <v>1772</v>
      </c>
      <c r="AS748" t="s">
        <v>1410</v>
      </c>
      <c r="AT748" t="s">
        <v>1773</v>
      </c>
      <c r="AU748" t="s">
        <v>1774</v>
      </c>
      <c r="AV748" t="s">
        <v>1775</v>
      </c>
      <c r="AW748" t="s">
        <v>1776</v>
      </c>
      <c r="AX748" s="8" t="str">
        <f>"08034"</f>
        <v>08034</v>
      </c>
      <c r="AY748" t="s">
        <v>118</v>
      </c>
      <c r="AZ748" t="s">
        <v>1777</v>
      </c>
      <c r="BA748" s="10">
        <v>18562819750</v>
      </c>
      <c r="BC748" t="s">
        <v>1778</v>
      </c>
      <c r="BD748" t="s">
        <v>1779</v>
      </c>
      <c r="BE748" t="s">
        <v>1776</v>
      </c>
      <c r="BF748" t="s">
        <v>1780</v>
      </c>
      <c r="BG748" t="s">
        <v>581</v>
      </c>
      <c r="BH748" s="1">
        <v>45162.833333333336</v>
      </c>
      <c r="BI748">
        <v>40</v>
      </c>
      <c r="BJ748">
        <v>0</v>
      </c>
      <c r="BK748">
        <v>8</v>
      </c>
      <c r="BL748">
        <v>8</v>
      </c>
      <c r="BM748">
        <v>8</v>
      </c>
      <c r="BN748">
        <v>8</v>
      </c>
      <c r="BO748">
        <v>8</v>
      </c>
      <c r="BP748">
        <v>0</v>
      </c>
      <c r="BQ748" t="str">
        <f>"7:00 AM"</f>
        <v>7:00 AM</v>
      </c>
      <c r="BR748" t="str">
        <f>"4:00 PM"</f>
        <v>4:00 PM</v>
      </c>
      <c r="BS748" t="s">
        <v>147</v>
      </c>
      <c r="BT748">
        <v>0</v>
      </c>
      <c r="BU748">
        <v>6</v>
      </c>
      <c r="BV748" t="s">
        <v>114</v>
      </c>
      <c r="BX748" s="2" t="s">
        <v>9267</v>
      </c>
      <c r="BY748" t="s">
        <v>9262</v>
      </c>
      <c r="CA748" t="s">
        <v>2447</v>
      </c>
      <c r="CB748" t="s">
        <v>581</v>
      </c>
      <c r="CC748" s="8" t="str">
        <f>"22151"</f>
        <v>22151</v>
      </c>
      <c r="CD748" t="s">
        <v>2457</v>
      </c>
      <c r="CE748" t="s">
        <v>1794</v>
      </c>
      <c r="CF748" s="12">
        <v>22.17</v>
      </c>
      <c r="CG748" s="12">
        <v>22.17</v>
      </c>
      <c r="CH748" s="12">
        <v>33.26</v>
      </c>
      <c r="CI748" s="12">
        <v>33.26</v>
      </c>
      <c r="CJ748" t="s">
        <v>135</v>
      </c>
      <c r="CK748" t="s">
        <v>1782</v>
      </c>
      <c r="CL748" t="s">
        <v>9268</v>
      </c>
      <c r="CO748" t="s">
        <v>132</v>
      </c>
      <c r="CP748" t="s">
        <v>114</v>
      </c>
      <c r="CQ748" t="s">
        <v>114</v>
      </c>
      <c r="CR748" t="s">
        <v>136</v>
      </c>
      <c r="CS748" t="s">
        <v>136</v>
      </c>
      <c r="CT748" t="s">
        <v>136</v>
      </c>
      <c r="CU748" t="s">
        <v>136</v>
      </c>
      <c r="CV748" t="s">
        <v>9269</v>
      </c>
      <c r="CW748" s="10" t="str">
        <f>"+17036461261"</f>
        <v>+17036461261</v>
      </c>
      <c r="CX748" t="s">
        <v>9266</v>
      </c>
      <c r="CY748" t="s">
        <v>132</v>
      </c>
      <c r="CZ748" t="s">
        <v>137</v>
      </c>
      <c r="DA748" t="s">
        <v>114</v>
      </c>
      <c r="DB748" t="s">
        <v>114</v>
      </c>
      <c r="DC748" t="s">
        <v>136</v>
      </c>
      <c r="DD748" t="s">
        <v>114</v>
      </c>
    </row>
    <row r="749" spans="1:113" ht="15" customHeight="1" x14ac:dyDescent="0.25">
      <c r="A749" t="s">
        <v>19762</v>
      </c>
      <c r="B749" t="s">
        <v>152</v>
      </c>
      <c r="C749" s="1">
        <v>45110.027046064817</v>
      </c>
      <c r="D749" s="1">
        <v>45257</v>
      </c>
      <c r="E749" t="s">
        <v>114</v>
      </c>
      <c r="F749" t="s">
        <v>569</v>
      </c>
      <c r="G749" t="str">
        <f>"47-2061.00"</f>
        <v>47-2061.00</v>
      </c>
      <c r="H749" t="s">
        <v>570</v>
      </c>
      <c r="I749">
        <v>30</v>
      </c>
      <c r="J749">
        <v>30</v>
      </c>
      <c r="K749" s="1">
        <v>45200</v>
      </c>
      <c r="L749" s="1">
        <v>45488</v>
      </c>
      <c r="M749" s="1">
        <v>45200</v>
      </c>
      <c r="N749" s="1">
        <v>45488</v>
      </c>
      <c r="O749" t="s">
        <v>116</v>
      </c>
      <c r="P749" t="s">
        <v>19763</v>
      </c>
      <c r="R749" t="s">
        <v>19764</v>
      </c>
      <c r="T749" t="s">
        <v>1614</v>
      </c>
      <c r="U749" t="s">
        <v>140</v>
      </c>
      <c r="V749" s="8" t="str">
        <f>"34104"</f>
        <v>34104</v>
      </c>
      <c r="W749" t="s">
        <v>118</v>
      </c>
      <c r="Y749" s="10">
        <v>12399495588</v>
      </c>
      <c r="AA749">
        <v>23731</v>
      </c>
      <c r="AB749" t="s">
        <v>423</v>
      </c>
      <c r="AC749" t="s">
        <v>19765</v>
      </c>
      <c r="AE749" t="s">
        <v>12414</v>
      </c>
      <c r="AF749" t="s">
        <v>19764</v>
      </c>
      <c r="AH749" t="s">
        <v>1614</v>
      </c>
      <c r="AI749" t="s">
        <v>140</v>
      </c>
      <c r="AJ749" s="8" t="str">
        <f>"34104"</f>
        <v>34104</v>
      </c>
      <c r="AK749" t="s">
        <v>118</v>
      </c>
      <c r="AM749" s="10">
        <v>12399495588</v>
      </c>
      <c r="AO749" t="s">
        <v>132</v>
      </c>
      <c r="AP749" t="s">
        <v>248</v>
      </c>
      <c r="AQ749" t="s">
        <v>577</v>
      </c>
      <c r="AR749" t="s">
        <v>578</v>
      </c>
      <c r="AT749" t="s">
        <v>1350</v>
      </c>
      <c r="AU749" t="s">
        <v>1351</v>
      </c>
      <c r="AV749" t="s">
        <v>1352</v>
      </c>
      <c r="AW749" t="s">
        <v>581</v>
      </c>
      <c r="AX749" s="8" t="str">
        <f>"22949"</f>
        <v>22949</v>
      </c>
      <c r="AY749" t="s">
        <v>118</v>
      </c>
      <c r="BA749" s="10">
        <v>14342634300</v>
      </c>
      <c r="BC749" t="s">
        <v>1353</v>
      </c>
      <c r="BD749" t="s">
        <v>583</v>
      </c>
      <c r="BG749" t="s">
        <v>140</v>
      </c>
      <c r="BH749" s="1">
        <v>45109.833333333336</v>
      </c>
      <c r="BI749">
        <v>40</v>
      </c>
      <c r="BJ749">
        <v>0</v>
      </c>
      <c r="BK749">
        <v>8</v>
      </c>
      <c r="BL749">
        <v>8</v>
      </c>
      <c r="BM749">
        <v>8</v>
      </c>
      <c r="BN749">
        <v>8</v>
      </c>
      <c r="BO749">
        <v>8</v>
      </c>
      <c r="BP749">
        <v>0</v>
      </c>
      <c r="BQ749" t="str">
        <f>"7:00 AM"</f>
        <v>7:00 AM</v>
      </c>
      <c r="BR749" t="str">
        <f>"3:30 PM"</f>
        <v>3:30 PM</v>
      </c>
      <c r="BS749" t="s">
        <v>131</v>
      </c>
      <c r="BT749">
        <v>0</v>
      </c>
      <c r="BU749">
        <v>0</v>
      </c>
      <c r="BV749" t="s">
        <v>114</v>
      </c>
      <c r="BX749" s="2" t="s">
        <v>19766</v>
      </c>
      <c r="BY749" t="s">
        <v>19764</v>
      </c>
      <c r="CA749" t="s">
        <v>1614</v>
      </c>
      <c r="CB749" t="s">
        <v>140</v>
      </c>
      <c r="CC749" s="8" t="str">
        <f>"34104"</f>
        <v>34104</v>
      </c>
      <c r="CD749" t="s">
        <v>1619</v>
      </c>
      <c r="CE749" t="s">
        <v>1620</v>
      </c>
      <c r="CF749" s="12">
        <v>18.14</v>
      </c>
      <c r="CH749" s="12">
        <v>27.21</v>
      </c>
      <c r="CJ749" t="s">
        <v>135</v>
      </c>
      <c r="CK749" t="s">
        <v>590</v>
      </c>
      <c r="CL749" t="s">
        <v>19767</v>
      </c>
      <c r="CO749" t="s">
        <v>132</v>
      </c>
      <c r="CP749" t="s">
        <v>136</v>
      </c>
      <c r="CQ749" t="s">
        <v>136</v>
      </c>
      <c r="CR749" t="s">
        <v>136</v>
      </c>
      <c r="CS749" t="s">
        <v>136</v>
      </c>
      <c r="CT749" t="s">
        <v>136</v>
      </c>
      <c r="CU749" t="s">
        <v>136</v>
      </c>
      <c r="CV749" t="s">
        <v>9650</v>
      </c>
      <c r="CW749" s="10" t="str">
        <f>"N/A"</f>
        <v>N/A</v>
      </c>
      <c r="CX749" t="s">
        <v>19768</v>
      </c>
      <c r="CY749" t="s">
        <v>1876</v>
      </c>
      <c r="CZ749" t="s">
        <v>137</v>
      </c>
      <c r="DA749" t="s">
        <v>114</v>
      </c>
      <c r="DB749" t="s">
        <v>136</v>
      </c>
      <c r="DC749" t="s">
        <v>136</v>
      </c>
      <c r="DD749" t="s">
        <v>114</v>
      </c>
      <c r="DE749" t="s">
        <v>1361</v>
      </c>
      <c r="DF749" t="s">
        <v>1362</v>
      </c>
      <c r="DH749" t="s">
        <v>583</v>
      </c>
      <c r="DI749" t="s">
        <v>1353</v>
      </c>
    </row>
    <row r="750" spans="1:113" ht="15" customHeight="1" x14ac:dyDescent="0.25">
      <c r="A750" t="s">
        <v>23070</v>
      </c>
      <c r="B750" t="s">
        <v>152</v>
      </c>
      <c r="C750" s="1">
        <v>45233.482554513888</v>
      </c>
      <c r="D750" s="1">
        <v>45254</v>
      </c>
      <c r="E750" t="s">
        <v>132</v>
      </c>
      <c r="F750" t="s">
        <v>1595</v>
      </c>
      <c r="G750" t="str">
        <f>"37-3011.00"</f>
        <v>37-3011.00</v>
      </c>
      <c r="H750" t="s">
        <v>429</v>
      </c>
      <c r="I750">
        <v>10</v>
      </c>
      <c r="J750">
        <v>10</v>
      </c>
      <c r="K750" s="1">
        <v>45323</v>
      </c>
      <c r="L750" s="1">
        <v>45599</v>
      </c>
      <c r="M750" s="1">
        <v>45323</v>
      </c>
      <c r="N750" s="1">
        <v>45599</v>
      </c>
      <c r="O750" t="s">
        <v>116</v>
      </c>
      <c r="P750" t="s">
        <v>23071</v>
      </c>
      <c r="R750" t="s">
        <v>12436</v>
      </c>
      <c r="T750" t="s">
        <v>2564</v>
      </c>
      <c r="U750" t="s">
        <v>127</v>
      </c>
      <c r="V750" s="8" t="str">
        <f>"77040"</f>
        <v>77040</v>
      </c>
      <c r="W750" t="s">
        <v>118</v>
      </c>
      <c r="Y750" s="10">
        <v>17134661420</v>
      </c>
      <c r="AA750">
        <v>56173</v>
      </c>
      <c r="AB750" t="s">
        <v>10731</v>
      </c>
      <c r="AC750" t="s">
        <v>2432</v>
      </c>
      <c r="AE750" t="s">
        <v>1349</v>
      </c>
      <c r="AF750" t="s">
        <v>12436</v>
      </c>
      <c r="AH750" t="s">
        <v>2564</v>
      </c>
      <c r="AI750" t="s">
        <v>127</v>
      </c>
      <c r="AJ750" s="8" t="str">
        <f>"77040"</f>
        <v>77040</v>
      </c>
      <c r="AK750" t="s">
        <v>118</v>
      </c>
      <c r="AM750" s="10">
        <v>17134661420</v>
      </c>
      <c r="AO750" t="s">
        <v>132</v>
      </c>
      <c r="AP750" t="s">
        <v>248</v>
      </c>
      <c r="AQ750" t="s">
        <v>2132</v>
      </c>
      <c r="AR750" t="s">
        <v>2133</v>
      </c>
      <c r="AT750" t="s">
        <v>1350</v>
      </c>
      <c r="AU750" t="s">
        <v>1351</v>
      </c>
      <c r="AV750" t="s">
        <v>1352</v>
      </c>
      <c r="AW750" t="s">
        <v>581</v>
      </c>
      <c r="AX750" s="8" t="str">
        <f>"22949"</f>
        <v>22949</v>
      </c>
      <c r="AY750" t="s">
        <v>118</v>
      </c>
      <c r="BA750" s="10">
        <v>14342634300</v>
      </c>
      <c r="BC750" t="s">
        <v>1353</v>
      </c>
      <c r="BD750" t="s">
        <v>583</v>
      </c>
      <c r="BG750" t="s">
        <v>127</v>
      </c>
      <c r="BH750" s="1">
        <v>45232.833333333336</v>
      </c>
      <c r="BI750">
        <v>40</v>
      </c>
      <c r="BJ750">
        <v>0</v>
      </c>
      <c r="BK750">
        <v>8</v>
      </c>
      <c r="BL750">
        <v>8</v>
      </c>
      <c r="BM750">
        <v>8</v>
      </c>
      <c r="BN750">
        <v>8</v>
      </c>
      <c r="BO750">
        <v>8</v>
      </c>
      <c r="BP750">
        <v>0</v>
      </c>
      <c r="BQ750" t="str">
        <f>"6:00 AM"</f>
        <v>6:00 AM</v>
      </c>
      <c r="BR750" t="str">
        <f>"3:00 PM"</f>
        <v>3:00 PM</v>
      </c>
      <c r="BS750" t="s">
        <v>131</v>
      </c>
      <c r="BT750">
        <v>0</v>
      </c>
      <c r="BU750">
        <v>0</v>
      </c>
      <c r="BV750" t="s">
        <v>114</v>
      </c>
      <c r="BX750" s="2" t="s">
        <v>5616</v>
      </c>
      <c r="BY750" t="s">
        <v>23072</v>
      </c>
      <c r="CA750" t="s">
        <v>1264</v>
      </c>
      <c r="CB750" t="s">
        <v>127</v>
      </c>
      <c r="CC750" s="8" t="str">
        <f>"75252"</f>
        <v>75252</v>
      </c>
      <c r="CD750" t="s">
        <v>1177</v>
      </c>
      <c r="CE750" t="s">
        <v>263</v>
      </c>
      <c r="CF750" s="12">
        <v>16.86</v>
      </c>
      <c r="CG750" s="12">
        <v>16.86</v>
      </c>
      <c r="CH750" s="12">
        <v>25.29</v>
      </c>
      <c r="CI750" s="12">
        <v>25.29</v>
      </c>
      <c r="CJ750" t="s">
        <v>135</v>
      </c>
      <c r="CK750" t="s">
        <v>590</v>
      </c>
      <c r="CL750" t="s">
        <v>23073</v>
      </c>
      <c r="CO750" t="s">
        <v>132</v>
      </c>
      <c r="CP750" t="s">
        <v>136</v>
      </c>
      <c r="CQ750" t="s">
        <v>114</v>
      </c>
      <c r="CR750" t="s">
        <v>136</v>
      </c>
      <c r="CS750" t="s">
        <v>136</v>
      </c>
      <c r="CT750" t="s">
        <v>136</v>
      </c>
      <c r="CU750" t="s">
        <v>114</v>
      </c>
      <c r="CV750" t="s">
        <v>22012</v>
      </c>
      <c r="CW750" s="10" t="str">
        <f>"N/A"</f>
        <v>N/A</v>
      </c>
      <c r="CX750" t="s">
        <v>12440</v>
      </c>
      <c r="CY750" t="s">
        <v>1853</v>
      </c>
      <c r="CZ750" t="s">
        <v>137</v>
      </c>
      <c r="DA750" t="s">
        <v>114</v>
      </c>
      <c r="DB750" t="s">
        <v>136</v>
      </c>
      <c r="DC750" t="s">
        <v>136</v>
      </c>
      <c r="DD750" t="s">
        <v>114</v>
      </c>
      <c r="DE750" t="s">
        <v>1361</v>
      </c>
      <c r="DF750" t="s">
        <v>1362</v>
      </c>
      <c r="DH750" t="s">
        <v>583</v>
      </c>
      <c r="DI750" t="s">
        <v>1353</v>
      </c>
    </row>
    <row r="751" spans="1:113" ht="15" customHeight="1" x14ac:dyDescent="0.25">
      <c r="A751" t="s">
        <v>22009</v>
      </c>
      <c r="B751" t="s">
        <v>152</v>
      </c>
      <c r="C751" s="1">
        <v>45233.476872916668</v>
      </c>
      <c r="D751" s="1">
        <v>45254</v>
      </c>
      <c r="E751" t="s">
        <v>132</v>
      </c>
      <c r="F751" t="s">
        <v>1595</v>
      </c>
      <c r="G751" t="str">
        <f>"37-3011.00"</f>
        <v>37-3011.00</v>
      </c>
      <c r="H751" t="s">
        <v>429</v>
      </c>
      <c r="I751">
        <v>30</v>
      </c>
      <c r="J751">
        <v>30</v>
      </c>
      <c r="K751" s="1">
        <v>45323</v>
      </c>
      <c r="L751" s="1">
        <v>45599</v>
      </c>
      <c r="M751" s="1">
        <v>45323</v>
      </c>
      <c r="N751" s="1">
        <v>45599</v>
      </c>
      <c r="O751" t="s">
        <v>116</v>
      </c>
      <c r="P751" t="s">
        <v>22010</v>
      </c>
      <c r="R751" t="s">
        <v>12436</v>
      </c>
      <c r="T751" t="s">
        <v>2564</v>
      </c>
      <c r="U751" t="s">
        <v>127</v>
      </c>
      <c r="V751" s="8" t="str">
        <f>"77040"</f>
        <v>77040</v>
      </c>
      <c r="W751" t="s">
        <v>118</v>
      </c>
      <c r="Y751" s="10">
        <v>17134661420</v>
      </c>
      <c r="AA751">
        <v>56173</v>
      </c>
      <c r="AB751" t="s">
        <v>10731</v>
      </c>
      <c r="AC751" t="s">
        <v>2432</v>
      </c>
      <c r="AE751" t="s">
        <v>1349</v>
      </c>
      <c r="AF751" t="s">
        <v>12436</v>
      </c>
      <c r="AH751" t="s">
        <v>2564</v>
      </c>
      <c r="AI751" t="s">
        <v>127</v>
      </c>
      <c r="AJ751" s="8" t="str">
        <f>"77040"</f>
        <v>77040</v>
      </c>
      <c r="AK751" t="s">
        <v>118</v>
      </c>
      <c r="AM751" s="10">
        <v>17134661420</v>
      </c>
      <c r="AO751" t="s">
        <v>132</v>
      </c>
      <c r="AP751" t="s">
        <v>248</v>
      </c>
      <c r="AQ751" t="s">
        <v>2132</v>
      </c>
      <c r="AR751" t="s">
        <v>2133</v>
      </c>
      <c r="AT751" t="s">
        <v>1350</v>
      </c>
      <c r="AU751" t="s">
        <v>1351</v>
      </c>
      <c r="AV751" t="s">
        <v>1352</v>
      </c>
      <c r="AW751" t="s">
        <v>581</v>
      </c>
      <c r="AX751" s="8" t="str">
        <f>"22949"</f>
        <v>22949</v>
      </c>
      <c r="AY751" t="s">
        <v>118</v>
      </c>
      <c r="BA751" s="10">
        <v>14342634300</v>
      </c>
      <c r="BC751" t="s">
        <v>1353</v>
      </c>
      <c r="BD751" t="s">
        <v>583</v>
      </c>
      <c r="BG751" t="s">
        <v>127</v>
      </c>
      <c r="BH751" s="1">
        <v>45232.833333333336</v>
      </c>
      <c r="BI751">
        <v>40</v>
      </c>
      <c r="BJ751">
        <v>0</v>
      </c>
      <c r="BK751">
        <v>8</v>
      </c>
      <c r="BL751">
        <v>8</v>
      </c>
      <c r="BM751">
        <v>8</v>
      </c>
      <c r="BN751">
        <v>8</v>
      </c>
      <c r="BO751">
        <v>8</v>
      </c>
      <c r="BP751">
        <v>0</v>
      </c>
      <c r="BQ751" t="str">
        <f>"6:00 AM"</f>
        <v>6:00 AM</v>
      </c>
      <c r="BR751" t="str">
        <f>"3:00 PM"</f>
        <v>3:00 PM</v>
      </c>
      <c r="BS751" t="s">
        <v>131</v>
      </c>
      <c r="BT751">
        <v>0</v>
      </c>
      <c r="BU751">
        <v>0</v>
      </c>
      <c r="BV751" t="s">
        <v>114</v>
      </c>
      <c r="BX751" s="2" t="s">
        <v>5616</v>
      </c>
      <c r="BY751" t="s">
        <v>12436</v>
      </c>
      <c r="CA751" t="s">
        <v>2564</v>
      </c>
      <c r="CB751" t="s">
        <v>127</v>
      </c>
      <c r="CC751" s="8" t="str">
        <f>"77040"</f>
        <v>77040</v>
      </c>
      <c r="CD751" t="s">
        <v>3327</v>
      </c>
      <c r="CE751" t="s">
        <v>879</v>
      </c>
      <c r="CF751" s="12">
        <v>16.29</v>
      </c>
      <c r="CG751" s="12">
        <v>16.29</v>
      </c>
      <c r="CH751" s="12">
        <v>24.44</v>
      </c>
      <c r="CI751" s="12">
        <v>24.44</v>
      </c>
      <c r="CJ751" t="s">
        <v>135</v>
      </c>
      <c r="CK751" t="s">
        <v>590</v>
      </c>
      <c r="CL751" t="s">
        <v>22011</v>
      </c>
      <c r="CO751" t="s">
        <v>132</v>
      </c>
      <c r="CP751" t="s">
        <v>136</v>
      </c>
      <c r="CQ751" t="s">
        <v>114</v>
      </c>
      <c r="CR751" t="s">
        <v>136</v>
      </c>
      <c r="CS751" t="s">
        <v>136</v>
      </c>
      <c r="CT751" t="s">
        <v>136</v>
      </c>
      <c r="CU751" t="s">
        <v>114</v>
      </c>
      <c r="CV751" t="s">
        <v>22012</v>
      </c>
      <c r="CW751" s="10" t="str">
        <f>"N/A"</f>
        <v>N/A</v>
      </c>
      <c r="CX751" t="s">
        <v>12440</v>
      </c>
      <c r="CY751" t="s">
        <v>1853</v>
      </c>
      <c r="CZ751" t="s">
        <v>137</v>
      </c>
      <c r="DA751" t="s">
        <v>114</v>
      </c>
      <c r="DB751" t="s">
        <v>136</v>
      </c>
      <c r="DC751" t="s">
        <v>136</v>
      </c>
      <c r="DD751" t="s">
        <v>114</v>
      </c>
      <c r="DE751" t="s">
        <v>1361</v>
      </c>
      <c r="DF751" t="s">
        <v>1362</v>
      </c>
      <c r="DH751" t="s">
        <v>583</v>
      </c>
      <c r="DI751" t="s">
        <v>1353</v>
      </c>
    </row>
    <row r="752" spans="1:113" ht="15" customHeight="1" x14ac:dyDescent="0.25">
      <c r="A752" t="s">
        <v>18825</v>
      </c>
      <c r="B752" t="s">
        <v>152</v>
      </c>
      <c r="C752" s="1">
        <v>45233.345479166666</v>
      </c>
      <c r="D752" s="1">
        <v>45254</v>
      </c>
      <c r="E752" t="s">
        <v>132</v>
      </c>
      <c r="F752" t="s">
        <v>2248</v>
      </c>
      <c r="G752" t="str">
        <f>"39-3091.00"</f>
        <v>39-3091.00</v>
      </c>
      <c r="H752" t="s">
        <v>237</v>
      </c>
      <c r="I752">
        <v>38</v>
      </c>
      <c r="J752">
        <v>38</v>
      </c>
      <c r="K752" s="1">
        <v>45323</v>
      </c>
      <c r="L752" s="1">
        <v>45625</v>
      </c>
      <c r="M752" s="1">
        <v>45323</v>
      </c>
      <c r="N752" s="1">
        <v>45625</v>
      </c>
      <c r="O752" t="s">
        <v>238</v>
      </c>
      <c r="P752" t="s">
        <v>18826</v>
      </c>
      <c r="R752" t="s">
        <v>13725</v>
      </c>
      <c r="S752" t="s">
        <v>18827</v>
      </c>
      <c r="T752" t="s">
        <v>12433</v>
      </c>
      <c r="U752" t="s">
        <v>1691</v>
      </c>
      <c r="V752" s="8" t="str">
        <f>"29501"</f>
        <v>29501</v>
      </c>
      <c r="W752" t="s">
        <v>118</v>
      </c>
      <c r="Y752" s="10">
        <v>17324467144</v>
      </c>
      <c r="AA752">
        <v>71399</v>
      </c>
      <c r="AB752" t="s">
        <v>18828</v>
      </c>
      <c r="AC752" t="s">
        <v>18829</v>
      </c>
      <c r="AE752" t="s">
        <v>2729</v>
      </c>
      <c r="AF752" t="s">
        <v>13725</v>
      </c>
      <c r="AG752" t="s">
        <v>18827</v>
      </c>
      <c r="AH752" t="s">
        <v>12433</v>
      </c>
      <c r="AI752" t="s">
        <v>1691</v>
      </c>
      <c r="AJ752" s="8" t="str">
        <f>"29501"</f>
        <v>29501</v>
      </c>
      <c r="AK752" t="s">
        <v>118</v>
      </c>
      <c r="AM752" s="10">
        <v>13055866741</v>
      </c>
      <c r="AO752" t="s">
        <v>18830</v>
      </c>
      <c r="AP752" t="s">
        <v>248</v>
      </c>
      <c r="AQ752" t="s">
        <v>249</v>
      </c>
      <c r="AR752" t="s">
        <v>250</v>
      </c>
      <c r="AS752" t="s">
        <v>251</v>
      </c>
      <c r="AT752" t="s">
        <v>252</v>
      </c>
      <c r="AU752" t="s">
        <v>253</v>
      </c>
      <c r="AV752" t="s">
        <v>254</v>
      </c>
      <c r="AW752" t="s">
        <v>127</v>
      </c>
      <c r="AX752" s="8" t="str">
        <f>"78550"</f>
        <v>78550</v>
      </c>
      <c r="AY752" t="s">
        <v>118</v>
      </c>
      <c r="BA752" s="10">
        <v>19564408720</v>
      </c>
      <c r="BB752" s="3" t="s">
        <v>256</v>
      </c>
      <c r="BC752" t="s">
        <v>3829</v>
      </c>
      <c r="BD752" t="s">
        <v>258</v>
      </c>
      <c r="BG752" t="s">
        <v>1691</v>
      </c>
      <c r="BH752" s="1">
        <v>45232.833333333336</v>
      </c>
      <c r="BI752">
        <v>40</v>
      </c>
      <c r="BJ752">
        <v>8</v>
      </c>
      <c r="BK752">
        <v>0</v>
      </c>
      <c r="BL752">
        <v>0</v>
      </c>
      <c r="BM752">
        <v>8</v>
      </c>
      <c r="BN752">
        <v>8</v>
      </c>
      <c r="BO752">
        <v>8</v>
      </c>
      <c r="BP752">
        <v>8</v>
      </c>
      <c r="BQ752" t="str">
        <f>"1:00 PM"</f>
        <v>1:00 PM</v>
      </c>
      <c r="BR752" t="str">
        <f>"10:00 PM"</f>
        <v>10:00 PM</v>
      </c>
      <c r="BS752" t="s">
        <v>131</v>
      </c>
      <c r="BT752">
        <v>0</v>
      </c>
      <c r="BU752">
        <v>0</v>
      </c>
      <c r="BV752" t="s">
        <v>114</v>
      </c>
      <c r="BX752" s="2" t="s">
        <v>2255</v>
      </c>
      <c r="BY752" t="s">
        <v>13725</v>
      </c>
      <c r="CA752" t="s">
        <v>12433</v>
      </c>
      <c r="CB752" t="s">
        <v>1691</v>
      </c>
      <c r="CC752" s="8" t="str">
        <f>"29501"</f>
        <v>29501</v>
      </c>
      <c r="CD752" t="s">
        <v>12248</v>
      </c>
      <c r="CE752" t="s">
        <v>10890</v>
      </c>
      <c r="CF752" s="12">
        <v>9.75</v>
      </c>
      <c r="CG752" s="12">
        <v>16.84</v>
      </c>
      <c r="CJ752" t="s">
        <v>135</v>
      </c>
      <c r="CK752" t="s">
        <v>264</v>
      </c>
      <c r="CL752" t="s">
        <v>18831</v>
      </c>
      <c r="CO752" t="s">
        <v>132</v>
      </c>
      <c r="CP752" t="s">
        <v>136</v>
      </c>
      <c r="CQ752" t="s">
        <v>136</v>
      </c>
      <c r="CR752" t="s">
        <v>114</v>
      </c>
      <c r="CS752" t="s">
        <v>136</v>
      </c>
      <c r="CT752" t="s">
        <v>136</v>
      </c>
      <c r="CU752" t="s">
        <v>136</v>
      </c>
      <c r="CV752" t="s">
        <v>2258</v>
      </c>
      <c r="CW752" s="10" t="str">
        <f>"+17875252726"</f>
        <v>+17875252726</v>
      </c>
      <c r="CX752" t="s">
        <v>18832</v>
      </c>
      <c r="CY752" t="s">
        <v>132</v>
      </c>
      <c r="CZ752" t="s">
        <v>137</v>
      </c>
      <c r="DA752" t="s">
        <v>114</v>
      </c>
      <c r="DB752" t="s">
        <v>136</v>
      </c>
      <c r="DC752" t="s">
        <v>136</v>
      </c>
      <c r="DD752" t="s">
        <v>114</v>
      </c>
    </row>
    <row r="753" spans="1:113" ht="15" customHeight="1" x14ac:dyDescent="0.25">
      <c r="A753" t="s">
        <v>23970</v>
      </c>
      <c r="B753" t="s">
        <v>152</v>
      </c>
      <c r="C753" s="1">
        <v>45233.005329861109</v>
      </c>
      <c r="D753" s="1">
        <v>45254</v>
      </c>
      <c r="E753" t="s">
        <v>132</v>
      </c>
      <c r="F753" t="s">
        <v>1595</v>
      </c>
      <c r="G753" t="str">
        <f>"37-3011.00"</f>
        <v>37-3011.00</v>
      </c>
      <c r="H753" t="s">
        <v>429</v>
      </c>
      <c r="I753">
        <v>3</v>
      </c>
      <c r="J753">
        <v>3</v>
      </c>
      <c r="K753" s="1">
        <v>45323</v>
      </c>
      <c r="L753" s="1">
        <v>45626</v>
      </c>
      <c r="M753" s="1">
        <v>45323</v>
      </c>
      <c r="N753" s="1">
        <v>45626</v>
      </c>
      <c r="O753" t="s">
        <v>116</v>
      </c>
      <c r="P753" t="s">
        <v>5428</v>
      </c>
      <c r="R753" t="s">
        <v>5429</v>
      </c>
      <c r="T753" t="s">
        <v>1814</v>
      </c>
      <c r="U753" t="s">
        <v>333</v>
      </c>
      <c r="V753" s="8" t="str">
        <f>"70816"</f>
        <v>70816</v>
      </c>
      <c r="W753" t="s">
        <v>118</v>
      </c>
      <c r="Y753" s="10">
        <v>12252468230</v>
      </c>
      <c r="AA753">
        <v>56173</v>
      </c>
      <c r="AB753" t="s">
        <v>3451</v>
      </c>
      <c r="AC753" t="s">
        <v>931</v>
      </c>
      <c r="AE753" t="s">
        <v>336</v>
      </c>
      <c r="AF753" t="s">
        <v>5429</v>
      </c>
      <c r="AH753" t="s">
        <v>1814</v>
      </c>
      <c r="AI753" t="s">
        <v>333</v>
      </c>
      <c r="AJ753" s="8" t="str">
        <f>"70816"</f>
        <v>70816</v>
      </c>
      <c r="AK753" t="s">
        <v>118</v>
      </c>
      <c r="AM753" s="10">
        <v>12252468230</v>
      </c>
      <c r="AO753" t="s">
        <v>5430</v>
      </c>
      <c r="AP753" t="s">
        <v>248</v>
      </c>
      <c r="AQ753" t="s">
        <v>2699</v>
      </c>
      <c r="AR753" t="s">
        <v>2700</v>
      </c>
      <c r="AT753" t="s">
        <v>1253</v>
      </c>
      <c r="AU753" t="s">
        <v>852</v>
      </c>
      <c r="AV753" t="s">
        <v>853</v>
      </c>
      <c r="AW753" t="s">
        <v>854</v>
      </c>
      <c r="AX753" s="8" t="str">
        <f>"83814"</f>
        <v>83814</v>
      </c>
      <c r="AY753" t="s">
        <v>118</v>
      </c>
      <c r="BA753" s="10">
        <v>12087772654</v>
      </c>
      <c r="BC753" t="s">
        <v>2701</v>
      </c>
      <c r="BD753" t="s">
        <v>856</v>
      </c>
      <c r="BG753" t="s">
        <v>140</v>
      </c>
      <c r="BH753" s="1">
        <v>45231.833333333336</v>
      </c>
      <c r="BI753">
        <v>40</v>
      </c>
      <c r="BJ753">
        <v>0</v>
      </c>
      <c r="BK753">
        <v>8</v>
      </c>
      <c r="BL753">
        <v>8</v>
      </c>
      <c r="BM753">
        <v>8</v>
      </c>
      <c r="BN753">
        <v>8</v>
      </c>
      <c r="BO753">
        <v>8</v>
      </c>
      <c r="BP753">
        <v>0</v>
      </c>
      <c r="BQ753" t="str">
        <f>"7:00 AM"</f>
        <v>7:00 AM</v>
      </c>
      <c r="BR753" t="str">
        <f>"4:00 PM"</f>
        <v>4:00 PM</v>
      </c>
      <c r="BS753" t="s">
        <v>131</v>
      </c>
      <c r="BT753">
        <v>0</v>
      </c>
      <c r="BU753">
        <v>0</v>
      </c>
      <c r="BV753" t="s">
        <v>114</v>
      </c>
      <c r="BX753" t="s">
        <v>2088</v>
      </c>
      <c r="BY753" t="s">
        <v>23971</v>
      </c>
      <c r="CA753" t="s">
        <v>23972</v>
      </c>
      <c r="CB753" t="s">
        <v>140</v>
      </c>
      <c r="CC753" s="8" t="str">
        <f>"32536"</f>
        <v>32536</v>
      </c>
      <c r="CD753" t="s">
        <v>5061</v>
      </c>
      <c r="CE753" t="s">
        <v>3314</v>
      </c>
      <c r="CF753" s="12">
        <v>16.25</v>
      </c>
      <c r="CG753" s="12">
        <v>16.5</v>
      </c>
      <c r="CH753" s="12">
        <v>24.38</v>
      </c>
      <c r="CI753" s="12">
        <v>24.75</v>
      </c>
      <c r="CJ753" t="s">
        <v>135</v>
      </c>
      <c r="CK753" t="s">
        <v>1899</v>
      </c>
      <c r="CL753" t="s">
        <v>23973</v>
      </c>
      <c r="CO753" t="s">
        <v>132</v>
      </c>
      <c r="CP753" t="s">
        <v>136</v>
      </c>
      <c r="CQ753" t="s">
        <v>136</v>
      </c>
      <c r="CR753" t="s">
        <v>136</v>
      </c>
      <c r="CS753" t="s">
        <v>136</v>
      </c>
      <c r="CT753" t="s">
        <v>136</v>
      </c>
      <c r="CU753" t="s">
        <v>136</v>
      </c>
      <c r="CV753" t="s">
        <v>132</v>
      </c>
      <c r="CW753" s="10" t="str">
        <f>"+12252468230"</f>
        <v>+12252468230</v>
      </c>
      <c r="CX753" t="s">
        <v>5430</v>
      </c>
      <c r="CY753" t="s">
        <v>132</v>
      </c>
      <c r="CZ753" t="s">
        <v>137</v>
      </c>
      <c r="DA753" t="s">
        <v>114</v>
      </c>
      <c r="DB753" t="s">
        <v>136</v>
      </c>
      <c r="DC753" t="s">
        <v>136</v>
      </c>
      <c r="DD753" t="s">
        <v>114</v>
      </c>
    </row>
    <row r="754" spans="1:113" ht="15" customHeight="1" x14ac:dyDescent="0.25">
      <c r="A754" t="s">
        <v>13825</v>
      </c>
      <c r="B754" t="s">
        <v>152</v>
      </c>
      <c r="C754" s="1">
        <v>45233.004721527781</v>
      </c>
      <c r="D754" s="1">
        <v>45254</v>
      </c>
      <c r="E754" t="s">
        <v>132</v>
      </c>
      <c r="F754" t="s">
        <v>1595</v>
      </c>
      <c r="G754" t="str">
        <f>"37-3011.00"</f>
        <v>37-3011.00</v>
      </c>
      <c r="H754" t="s">
        <v>429</v>
      </c>
      <c r="I754">
        <v>7</v>
      </c>
      <c r="J754">
        <v>7</v>
      </c>
      <c r="K754" s="1">
        <v>45323</v>
      </c>
      <c r="L754" s="1">
        <v>45626</v>
      </c>
      <c r="M754" s="1">
        <v>45323</v>
      </c>
      <c r="N754" s="1">
        <v>45626</v>
      </c>
      <c r="O754" t="s">
        <v>116</v>
      </c>
      <c r="P754" t="s">
        <v>5428</v>
      </c>
      <c r="R754" t="s">
        <v>5429</v>
      </c>
      <c r="T754" t="s">
        <v>1814</v>
      </c>
      <c r="U754" t="s">
        <v>333</v>
      </c>
      <c r="V754" s="8" t="str">
        <f>"70816"</f>
        <v>70816</v>
      </c>
      <c r="W754" t="s">
        <v>118</v>
      </c>
      <c r="Y754" s="10">
        <v>12252468230</v>
      </c>
      <c r="AA754">
        <v>56173</v>
      </c>
      <c r="AB754" t="s">
        <v>3451</v>
      </c>
      <c r="AC754" t="s">
        <v>931</v>
      </c>
      <c r="AE754" t="s">
        <v>336</v>
      </c>
      <c r="AF754" t="s">
        <v>5429</v>
      </c>
      <c r="AH754" t="s">
        <v>1814</v>
      </c>
      <c r="AI754" t="s">
        <v>333</v>
      </c>
      <c r="AJ754" s="8" t="str">
        <f>"70816"</f>
        <v>70816</v>
      </c>
      <c r="AK754" t="s">
        <v>118</v>
      </c>
      <c r="AM754" s="10">
        <v>12252468230</v>
      </c>
      <c r="AO754" t="s">
        <v>5430</v>
      </c>
      <c r="AP754" t="s">
        <v>248</v>
      </c>
      <c r="AQ754" t="s">
        <v>2699</v>
      </c>
      <c r="AR754" t="s">
        <v>2700</v>
      </c>
      <c r="AT754" t="s">
        <v>1253</v>
      </c>
      <c r="AU754" t="s">
        <v>852</v>
      </c>
      <c r="AV754" t="s">
        <v>853</v>
      </c>
      <c r="AW754" t="s">
        <v>854</v>
      </c>
      <c r="AX754" s="8" t="str">
        <f>"83814"</f>
        <v>83814</v>
      </c>
      <c r="AY754" t="s">
        <v>118</v>
      </c>
      <c r="BA754" s="10">
        <v>12087772654</v>
      </c>
      <c r="BC754" t="s">
        <v>2701</v>
      </c>
      <c r="BD754" t="s">
        <v>856</v>
      </c>
      <c r="BG754" t="s">
        <v>1598</v>
      </c>
      <c r="BH754" s="1">
        <v>45231.833333333336</v>
      </c>
      <c r="BI754">
        <v>40</v>
      </c>
      <c r="BJ754">
        <v>0</v>
      </c>
      <c r="BK754">
        <v>8</v>
      </c>
      <c r="BL754">
        <v>8</v>
      </c>
      <c r="BM754">
        <v>8</v>
      </c>
      <c r="BN754">
        <v>8</v>
      </c>
      <c r="BO754">
        <v>8</v>
      </c>
      <c r="BP754">
        <v>0</v>
      </c>
      <c r="BQ754" t="str">
        <f>"7:00 AM"</f>
        <v>7:00 AM</v>
      </c>
      <c r="BR754" t="str">
        <f>"4:00 PM"</f>
        <v>4:00 PM</v>
      </c>
      <c r="BS754" t="s">
        <v>131</v>
      </c>
      <c r="BT754">
        <v>0</v>
      </c>
      <c r="BU754">
        <v>0</v>
      </c>
      <c r="BV754" t="s">
        <v>114</v>
      </c>
      <c r="BX754" t="s">
        <v>2088</v>
      </c>
      <c r="BY754" t="s">
        <v>13826</v>
      </c>
      <c r="CA754" t="s">
        <v>5883</v>
      </c>
      <c r="CB754" t="s">
        <v>1598</v>
      </c>
      <c r="CC754" s="8" t="str">
        <f>"36606"</f>
        <v>36606</v>
      </c>
      <c r="CD754" t="s">
        <v>2294</v>
      </c>
      <c r="CE754" t="s">
        <v>2295</v>
      </c>
      <c r="CF754" s="12">
        <v>15.3</v>
      </c>
      <c r="CG754" s="12">
        <v>16.5</v>
      </c>
      <c r="CH754" s="12">
        <v>22.95</v>
      </c>
      <c r="CI754" s="12">
        <v>24.75</v>
      </c>
      <c r="CJ754" t="s">
        <v>135</v>
      </c>
      <c r="CK754" t="s">
        <v>1899</v>
      </c>
      <c r="CL754" t="s">
        <v>13827</v>
      </c>
      <c r="CO754" t="s">
        <v>132</v>
      </c>
      <c r="CP754" t="s">
        <v>136</v>
      </c>
      <c r="CQ754" t="s">
        <v>136</v>
      </c>
      <c r="CR754" t="s">
        <v>136</v>
      </c>
      <c r="CS754" t="s">
        <v>136</v>
      </c>
      <c r="CT754" t="s">
        <v>136</v>
      </c>
      <c r="CU754" t="s">
        <v>136</v>
      </c>
      <c r="CV754" t="s">
        <v>132</v>
      </c>
      <c r="CW754" s="10" t="str">
        <f>"+12252468230"</f>
        <v>+12252468230</v>
      </c>
      <c r="CX754" t="s">
        <v>5430</v>
      </c>
      <c r="CY754" t="s">
        <v>132</v>
      </c>
      <c r="CZ754" t="s">
        <v>137</v>
      </c>
      <c r="DA754" t="s">
        <v>114</v>
      </c>
      <c r="DB754" t="s">
        <v>136</v>
      </c>
      <c r="DC754" t="s">
        <v>136</v>
      </c>
      <c r="DD754" t="s">
        <v>114</v>
      </c>
    </row>
    <row r="755" spans="1:113" ht="15" customHeight="1" x14ac:dyDescent="0.25">
      <c r="A755" t="s">
        <v>23149</v>
      </c>
      <c r="B755" t="s">
        <v>152</v>
      </c>
      <c r="C755" s="1">
        <v>45233.003602662036</v>
      </c>
      <c r="D755" s="1">
        <v>45254</v>
      </c>
      <c r="E755" t="s">
        <v>132</v>
      </c>
      <c r="F755" t="s">
        <v>1595</v>
      </c>
      <c r="G755" t="str">
        <f>"37-3011.00"</f>
        <v>37-3011.00</v>
      </c>
      <c r="H755" t="s">
        <v>429</v>
      </c>
      <c r="I755">
        <v>14</v>
      </c>
      <c r="J755">
        <v>14</v>
      </c>
      <c r="K755" s="1">
        <v>45323</v>
      </c>
      <c r="L755" s="1">
        <v>45626</v>
      </c>
      <c r="M755" s="1">
        <v>45323</v>
      </c>
      <c r="N755" s="1">
        <v>45626</v>
      </c>
      <c r="O755" t="s">
        <v>116</v>
      </c>
      <c r="P755" t="s">
        <v>10814</v>
      </c>
      <c r="Q755" t="s">
        <v>10815</v>
      </c>
      <c r="R755" t="s">
        <v>23150</v>
      </c>
      <c r="T755" t="s">
        <v>603</v>
      </c>
      <c r="U755" t="s">
        <v>127</v>
      </c>
      <c r="V755" s="8" t="str">
        <f>"78753"</f>
        <v>78753</v>
      </c>
      <c r="W755" t="s">
        <v>118</v>
      </c>
      <c r="Y755" s="10">
        <v>15128365100</v>
      </c>
      <c r="AA755">
        <v>56173</v>
      </c>
      <c r="AB755" t="s">
        <v>10817</v>
      </c>
      <c r="AC755" t="s">
        <v>10818</v>
      </c>
      <c r="AE755" t="s">
        <v>10819</v>
      </c>
      <c r="AF755" t="s">
        <v>23150</v>
      </c>
      <c r="AH755" t="s">
        <v>603</v>
      </c>
      <c r="AI755" t="s">
        <v>127</v>
      </c>
      <c r="AJ755" s="8" t="str">
        <f>"78753"</f>
        <v>78753</v>
      </c>
      <c r="AK755" t="s">
        <v>118</v>
      </c>
      <c r="AM755" s="10">
        <v>15128365100</v>
      </c>
      <c r="AO755" t="s">
        <v>10820</v>
      </c>
      <c r="AP755" t="s">
        <v>248</v>
      </c>
      <c r="AQ755" t="s">
        <v>2732</v>
      </c>
      <c r="AR755" t="s">
        <v>2733</v>
      </c>
      <c r="AT755" t="s">
        <v>851</v>
      </c>
      <c r="AU755" t="s">
        <v>852</v>
      </c>
      <c r="AV755" t="s">
        <v>10821</v>
      </c>
      <c r="AW755" t="s">
        <v>854</v>
      </c>
      <c r="AX755" s="8" t="str">
        <f>"83814"</f>
        <v>83814</v>
      </c>
      <c r="AY755" t="s">
        <v>118</v>
      </c>
      <c r="BA755" s="10">
        <v>12087772654</v>
      </c>
      <c r="BC755" t="s">
        <v>2734</v>
      </c>
      <c r="BD755" t="s">
        <v>856</v>
      </c>
      <c r="BG755" t="s">
        <v>127</v>
      </c>
      <c r="BH755" s="1">
        <v>45231.833333333336</v>
      </c>
      <c r="BI755">
        <v>40</v>
      </c>
      <c r="BJ755">
        <v>0</v>
      </c>
      <c r="BK755">
        <v>8</v>
      </c>
      <c r="BL755">
        <v>8</v>
      </c>
      <c r="BM755">
        <v>8</v>
      </c>
      <c r="BN755">
        <v>8</v>
      </c>
      <c r="BO755">
        <v>8</v>
      </c>
      <c r="BP755">
        <v>0</v>
      </c>
      <c r="BQ755" t="str">
        <f>"7:30 AM"</f>
        <v>7:30 AM</v>
      </c>
      <c r="BR755" t="str">
        <f>"5:00 PM"</f>
        <v>5:00 PM</v>
      </c>
      <c r="BS755" t="s">
        <v>131</v>
      </c>
      <c r="BT755">
        <v>0</v>
      </c>
      <c r="BU755">
        <v>0</v>
      </c>
      <c r="BV755" t="s">
        <v>114</v>
      </c>
      <c r="BX755" s="2" t="s">
        <v>9802</v>
      </c>
      <c r="BY755" t="s">
        <v>23151</v>
      </c>
      <c r="CA755" t="s">
        <v>603</v>
      </c>
      <c r="CB755" t="s">
        <v>127</v>
      </c>
      <c r="CC755" s="8" t="str">
        <f>"78753"</f>
        <v>78753</v>
      </c>
      <c r="CD755" t="s">
        <v>323</v>
      </c>
      <c r="CE755" t="s">
        <v>324</v>
      </c>
      <c r="CF755" s="12">
        <v>16.91</v>
      </c>
      <c r="CG755" s="12">
        <v>18</v>
      </c>
      <c r="CH755" s="12">
        <v>25.37</v>
      </c>
      <c r="CI755" s="12">
        <v>27</v>
      </c>
      <c r="CJ755" t="s">
        <v>135</v>
      </c>
      <c r="CK755" t="s">
        <v>10823</v>
      </c>
      <c r="CL755" t="s">
        <v>23152</v>
      </c>
      <c r="CO755" t="s">
        <v>132</v>
      </c>
      <c r="CP755" t="s">
        <v>136</v>
      </c>
      <c r="CQ755" t="s">
        <v>136</v>
      </c>
      <c r="CR755" t="s">
        <v>136</v>
      </c>
      <c r="CS755" t="s">
        <v>136</v>
      </c>
      <c r="CT755" t="s">
        <v>136</v>
      </c>
      <c r="CU755" t="s">
        <v>136</v>
      </c>
      <c r="CV755" t="s">
        <v>23153</v>
      </c>
      <c r="CW755" s="10" t="str">
        <f>"+19727071589"</f>
        <v>+19727071589</v>
      </c>
      <c r="CX755" t="s">
        <v>10826</v>
      </c>
      <c r="CY755" t="s">
        <v>132</v>
      </c>
      <c r="CZ755" t="s">
        <v>137</v>
      </c>
      <c r="DA755" t="s">
        <v>114</v>
      </c>
      <c r="DB755" t="s">
        <v>136</v>
      </c>
      <c r="DC755" t="s">
        <v>136</v>
      </c>
      <c r="DD755" t="s">
        <v>114</v>
      </c>
    </row>
    <row r="756" spans="1:113" ht="15" customHeight="1" x14ac:dyDescent="0.25">
      <c r="A756" t="s">
        <v>5427</v>
      </c>
      <c r="B756" t="s">
        <v>152</v>
      </c>
      <c r="C756" s="1">
        <v>45233.002925000001</v>
      </c>
      <c r="D756" s="1">
        <v>45254</v>
      </c>
      <c r="E756" t="s">
        <v>132</v>
      </c>
      <c r="F756" t="s">
        <v>1595</v>
      </c>
      <c r="G756" t="str">
        <f>"37-3011.00"</f>
        <v>37-3011.00</v>
      </c>
      <c r="H756" t="s">
        <v>429</v>
      </c>
      <c r="I756">
        <v>34</v>
      </c>
      <c r="J756">
        <v>34</v>
      </c>
      <c r="K756" s="1">
        <v>45323</v>
      </c>
      <c r="L756" s="1">
        <v>45626</v>
      </c>
      <c r="M756" s="1">
        <v>45323</v>
      </c>
      <c r="N756" s="1">
        <v>45626</v>
      </c>
      <c r="O756" t="s">
        <v>116</v>
      </c>
      <c r="P756" t="s">
        <v>5428</v>
      </c>
      <c r="R756" t="s">
        <v>5429</v>
      </c>
      <c r="T756" t="s">
        <v>1814</v>
      </c>
      <c r="U756" t="s">
        <v>333</v>
      </c>
      <c r="V756" s="8" t="str">
        <f>"70816"</f>
        <v>70816</v>
      </c>
      <c r="W756" t="s">
        <v>118</v>
      </c>
      <c r="Y756" s="10">
        <v>12252468230</v>
      </c>
      <c r="AA756">
        <v>56173</v>
      </c>
      <c r="AB756" t="s">
        <v>3451</v>
      </c>
      <c r="AC756" t="s">
        <v>931</v>
      </c>
      <c r="AE756" t="s">
        <v>336</v>
      </c>
      <c r="AF756" t="s">
        <v>5429</v>
      </c>
      <c r="AH756" t="s">
        <v>1814</v>
      </c>
      <c r="AI756" t="s">
        <v>333</v>
      </c>
      <c r="AJ756" s="8" t="str">
        <f>"70816"</f>
        <v>70816</v>
      </c>
      <c r="AK756" t="s">
        <v>118</v>
      </c>
      <c r="AM756" s="10">
        <v>12252468230</v>
      </c>
      <c r="AO756" t="s">
        <v>5430</v>
      </c>
      <c r="AP756" t="s">
        <v>248</v>
      </c>
      <c r="AQ756" t="s">
        <v>2699</v>
      </c>
      <c r="AR756" t="s">
        <v>2700</v>
      </c>
      <c r="AT756" t="s">
        <v>1253</v>
      </c>
      <c r="AU756" t="s">
        <v>852</v>
      </c>
      <c r="AV756" t="s">
        <v>853</v>
      </c>
      <c r="AW756" t="s">
        <v>854</v>
      </c>
      <c r="AX756" s="8" t="str">
        <f>"83814"</f>
        <v>83814</v>
      </c>
      <c r="AY756" t="s">
        <v>118</v>
      </c>
      <c r="BA756" s="10">
        <v>12087772654</v>
      </c>
      <c r="BC756" t="s">
        <v>2701</v>
      </c>
      <c r="BD756" t="s">
        <v>856</v>
      </c>
      <c r="BG756" t="s">
        <v>333</v>
      </c>
      <c r="BH756" s="1">
        <v>45231.833333333336</v>
      </c>
      <c r="BI756">
        <v>40</v>
      </c>
      <c r="BJ756">
        <v>0</v>
      </c>
      <c r="BK756">
        <v>8</v>
      </c>
      <c r="BL756">
        <v>8</v>
      </c>
      <c r="BM756">
        <v>8</v>
      </c>
      <c r="BN756">
        <v>8</v>
      </c>
      <c r="BO756">
        <v>8</v>
      </c>
      <c r="BP756">
        <v>0</v>
      </c>
      <c r="BQ756" t="str">
        <f>"7:00 AM"</f>
        <v>7:00 AM</v>
      </c>
      <c r="BR756" t="str">
        <f>"4:00 PM"</f>
        <v>4:00 PM</v>
      </c>
      <c r="BS756" t="s">
        <v>131</v>
      </c>
      <c r="BT756">
        <v>0</v>
      </c>
      <c r="BU756">
        <v>0</v>
      </c>
      <c r="BV756" t="s">
        <v>114</v>
      </c>
      <c r="BX756" t="s">
        <v>2088</v>
      </c>
      <c r="BY756" t="s">
        <v>5431</v>
      </c>
      <c r="CA756" t="s">
        <v>5432</v>
      </c>
      <c r="CB756" t="s">
        <v>333</v>
      </c>
      <c r="CC756" s="8" t="str">
        <f>"70816"</f>
        <v>70816</v>
      </c>
      <c r="CD756" t="s">
        <v>1929</v>
      </c>
      <c r="CE756" t="s">
        <v>1930</v>
      </c>
      <c r="CF756" s="12">
        <v>15.19</v>
      </c>
      <c r="CG756" s="12">
        <v>16.5</v>
      </c>
      <c r="CH756" s="12">
        <v>22.79</v>
      </c>
      <c r="CI756" s="12">
        <v>24.75</v>
      </c>
      <c r="CJ756" t="s">
        <v>135</v>
      </c>
      <c r="CK756" t="s">
        <v>1899</v>
      </c>
      <c r="CL756" t="s">
        <v>5433</v>
      </c>
      <c r="CO756" t="s">
        <v>132</v>
      </c>
      <c r="CP756" t="s">
        <v>136</v>
      </c>
      <c r="CQ756" t="s">
        <v>136</v>
      </c>
      <c r="CR756" t="s">
        <v>136</v>
      </c>
      <c r="CS756" t="s">
        <v>136</v>
      </c>
      <c r="CT756" t="s">
        <v>136</v>
      </c>
      <c r="CU756" t="s">
        <v>136</v>
      </c>
      <c r="CV756" t="s">
        <v>132</v>
      </c>
      <c r="CW756" s="10" t="str">
        <f>"+12252468230"</f>
        <v>+12252468230</v>
      </c>
      <c r="CX756" t="s">
        <v>5430</v>
      </c>
      <c r="CY756" t="s">
        <v>132</v>
      </c>
      <c r="CZ756" t="s">
        <v>137</v>
      </c>
      <c r="DA756" t="s">
        <v>114</v>
      </c>
      <c r="DB756" t="s">
        <v>136</v>
      </c>
      <c r="DC756" t="s">
        <v>136</v>
      </c>
      <c r="DD756" t="s">
        <v>114</v>
      </c>
    </row>
    <row r="757" spans="1:113" ht="15" customHeight="1" x14ac:dyDescent="0.25">
      <c r="A757" t="s">
        <v>10813</v>
      </c>
      <c r="B757" t="s">
        <v>152</v>
      </c>
      <c r="C757" s="1">
        <v>45233.002634490738</v>
      </c>
      <c r="D757" s="1">
        <v>45254</v>
      </c>
      <c r="E757" t="s">
        <v>132</v>
      </c>
      <c r="F757" t="s">
        <v>1595</v>
      </c>
      <c r="G757" t="str">
        <f>"37-3011.00"</f>
        <v>37-3011.00</v>
      </c>
      <c r="H757" t="s">
        <v>429</v>
      </c>
      <c r="I757">
        <v>8</v>
      </c>
      <c r="J757">
        <v>8</v>
      </c>
      <c r="K757" s="1">
        <v>45323</v>
      </c>
      <c r="L757" s="1">
        <v>45596</v>
      </c>
      <c r="M757" s="1">
        <v>45323</v>
      </c>
      <c r="N757" s="1">
        <v>45596</v>
      </c>
      <c r="O757" t="s">
        <v>116</v>
      </c>
      <c r="P757" t="s">
        <v>10814</v>
      </c>
      <c r="Q757" t="s">
        <v>10815</v>
      </c>
      <c r="R757" t="s">
        <v>10816</v>
      </c>
      <c r="T757" t="s">
        <v>2402</v>
      </c>
      <c r="U757" t="s">
        <v>127</v>
      </c>
      <c r="V757" s="8" t="str">
        <f>"79047"</f>
        <v>79047</v>
      </c>
      <c r="W757" t="s">
        <v>118</v>
      </c>
      <c r="Y757" s="10">
        <v>18067781018</v>
      </c>
      <c r="AA757">
        <v>56173</v>
      </c>
      <c r="AB757" t="s">
        <v>10817</v>
      </c>
      <c r="AC757" t="s">
        <v>10818</v>
      </c>
      <c r="AE757" t="s">
        <v>10819</v>
      </c>
      <c r="AF757" t="s">
        <v>10816</v>
      </c>
      <c r="AH757" t="s">
        <v>2402</v>
      </c>
      <c r="AI757" t="s">
        <v>127</v>
      </c>
      <c r="AJ757" s="8" t="str">
        <f>"79047"</f>
        <v>79047</v>
      </c>
      <c r="AK757" t="s">
        <v>118</v>
      </c>
      <c r="AM757" s="10">
        <v>18067781018</v>
      </c>
      <c r="AO757" t="s">
        <v>10820</v>
      </c>
      <c r="AP757" t="s">
        <v>248</v>
      </c>
      <c r="AQ757" t="s">
        <v>2732</v>
      </c>
      <c r="AR757" t="s">
        <v>2733</v>
      </c>
      <c r="AT757" t="s">
        <v>851</v>
      </c>
      <c r="AU757" t="s">
        <v>852</v>
      </c>
      <c r="AV757" t="s">
        <v>10821</v>
      </c>
      <c r="AW757" t="s">
        <v>854</v>
      </c>
      <c r="AX757" s="8" t="str">
        <f>"83814"</f>
        <v>83814</v>
      </c>
      <c r="AY757" t="s">
        <v>118</v>
      </c>
      <c r="BA757" s="10">
        <v>12087772654</v>
      </c>
      <c r="BC757" t="s">
        <v>2734</v>
      </c>
      <c r="BD757" t="s">
        <v>856</v>
      </c>
      <c r="BG757" t="s">
        <v>127</v>
      </c>
      <c r="BH757" s="1">
        <v>45231.833333333336</v>
      </c>
      <c r="BI757">
        <v>40</v>
      </c>
      <c r="BJ757">
        <v>0</v>
      </c>
      <c r="BK757">
        <v>8</v>
      </c>
      <c r="BL757">
        <v>8</v>
      </c>
      <c r="BM757">
        <v>8</v>
      </c>
      <c r="BN757">
        <v>8</v>
      </c>
      <c r="BO757">
        <v>8</v>
      </c>
      <c r="BP757">
        <v>0</v>
      </c>
      <c r="BQ757" t="str">
        <f>"7:30 AM"</f>
        <v>7:30 AM</v>
      </c>
      <c r="BR757" t="str">
        <f>"5:00 PM"</f>
        <v>5:00 PM</v>
      </c>
      <c r="BS757" t="s">
        <v>131</v>
      </c>
      <c r="BT757">
        <v>0</v>
      </c>
      <c r="BU757">
        <v>0</v>
      </c>
      <c r="BV757" t="s">
        <v>114</v>
      </c>
      <c r="BX757" s="2" t="s">
        <v>9802</v>
      </c>
      <c r="BY757" t="s">
        <v>10822</v>
      </c>
      <c r="CA757" t="s">
        <v>2402</v>
      </c>
      <c r="CB757" t="s">
        <v>127</v>
      </c>
      <c r="CC757" s="8" t="str">
        <f>"79047"</f>
        <v>79047</v>
      </c>
      <c r="CD757" t="s">
        <v>2407</v>
      </c>
      <c r="CE757" t="s">
        <v>2408</v>
      </c>
      <c r="CF757" s="12">
        <v>14.97</v>
      </c>
      <c r="CG757" s="12">
        <v>15</v>
      </c>
      <c r="CH757" s="12">
        <v>22.46</v>
      </c>
      <c r="CI757" s="12">
        <v>22.5</v>
      </c>
      <c r="CJ757" t="s">
        <v>135</v>
      </c>
      <c r="CK757" t="s">
        <v>10823</v>
      </c>
      <c r="CL757" t="s">
        <v>10824</v>
      </c>
      <c r="CO757" t="s">
        <v>132</v>
      </c>
      <c r="CP757" t="s">
        <v>136</v>
      </c>
      <c r="CQ757" t="s">
        <v>136</v>
      </c>
      <c r="CR757" t="s">
        <v>136</v>
      </c>
      <c r="CS757" t="s">
        <v>136</v>
      </c>
      <c r="CT757" t="s">
        <v>136</v>
      </c>
      <c r="CU757" t="s">
        <v>136</v>
      </c>
      <c r="CV757" t="s">
        <v>10825</v>
      </c>
      <c r="CW757" s="10" t="str">
        <f>"+19727071589"</f>
        <v>+19727071589</v>
      </c>
      <c r="CX757" t="s">
        <v>10826</v>
      </c>
      <c r="CY757" t="s">
        <v>132</v>
      </c>
      <c r="CZ757" t="s">
        <v>137</v>
      </c>
      <c r="DA757" t="s">
        <v>114</v>
      </c>
      <c r="DB757" t="s">
        <v>136</v>
      </c>
      <c r="DC757" t="s">
        <v>136</v>
      </c>
      <c r="DD757" t="s">
        <v>114</v>
      </c>
    </row>
    <row r="758" spans="1:113" ht="15" customHeight="1" x14ac:dyDescent="0.25">
      <c r="A758" t="s">
        <v>22826</v>
      </c>
      <c r="B758" t="s">
        <v>152</v>
      </c>
      <c r="C758" s="1">
        <v>45233.000649189817</v>
      </c>
      <c r="D758" s="1">
        <v>45254</v>
      </c>
      <c r="E758" t="s">
        <v>132</v>
      </c>
      <c r="F758" t="s">
        <v>1595</v>
      </c>
      <c r="G758" t="str">
        <f>"37-3011.00"</f>
        <v>37-3011.00</v>
      </c>
      <c r="H758" t="s">
        <v>429</v>
      </c>
      <c r="I758">
        <v>4</v>
      </c>
      <c r="J758">
        <v>4</v>
      </c>
      <c r="K758" s="1">
        <v>45323</v>
      </c>
      <c r="L758" s="1">
        <v>45596</v>
      </c>
      <c r="M758" s="1">
        <v>45323</v>
      </c>
      <c r="N758" s="1">
        <v>45596</v>
      </c>
      <c r="O758" t="s">
        <v>116</v>
      </c>
      <c r="P758" t="s">
        <v>10814</v>
      </c>
      <c r="Q758" t="s">
        <v>10815</v>
      </c>
      <c r="R758" t="s">
        <v>22827</v>
      </c>
      <c r="T758" t="s">
        <v>4215</v>
      </c>
      <c r="U758" t="s">
        <v>2608</v>
      </c>
      <c r="V758" s="8" t="str">
        <f>"73114"</f>
        <v>73114</v>
      </c>
      <c r="W758" t="s">
        <v>118</v>
      </c>
      <c r="Y758" s="10">
        <v>14052660540</v>
      </c>
      <c r="AA758">
        <v>56173</v>
      </c>
      <c r="AB758" t="s">
        <v>10817</v>
      </c>
      <c r="AC758" t="s">
        <v>10818</v>
      </c>
      <c r="AE758" t="s">
        <v>10819</v>
      </c>
      <c r="AF758" t="s">
        <v>22827</v>
      </c>
      <c r="AH758" t="s">
        <v>4215</v>
      </c>
      <c r="AI758" t="s">
        <v>2608</v>
      </c>
      <c r="AJ758" s="8" t="str">
        <f>"73114"</f>
        <v>73114</v>
      </c>
      <c r="AK758" t="s">
        <v>118</v>
      </c>
      <c r="AM758" s="10">
        <v>14052660450</v>
      </c>
      <c r="AO758" t="s">
        <v>10820</v>
      </c>
      <c r="AP758" t="s">
        <v>248</v>
      </c>
      <c r="AQ758" t="s">
        <v>2732</v>
      </c>
      <c r="AR758" t="s">
        <v>2733</v>
      </c>
      <c r="AT758" t="s">
        <v>851</v>
      </c>
      <c r="AU758" t="s">
        <v>852</v>
      </c>
      <c r="AV758" t="s">
        <v>10821</v>
      </c>
      <c r="AW758" t="s">
        <v>854</v>
      </c>
      <c r="AX758" s="8" t="str">
        <f>"83814"</f>
        <v>83814</v>
      </c>
      <c r="AY758" t="s">
        <v>118</v>
      </c>
      <c r="BA758" s="10">
        <v>12087772654</v>
      </c>
      <c r="BC758" t="s">
        <v>2734</v>
      </c>
      <c r="BD758" t="s">
        <v>856</v>
      </c>
      <c r="BG758" t="s">
        <v>2608</v>
      </c>
      <c r="BH758" s="1">
        <v>45231.833333333336</v>
      </c>
      <c r="BI758">
        <v>40</v>
      </c>
      <c r="BJ758">
        <v>0</v>
      </c>
      <c r="BK758">
        <v>8</v>
      </c>
      <c r="BL758">
        <v>8</v>
      </c>
      <c r="BM758">
        <v>8</v>
      </c>
      <c r="BN758">
        <v>8</v>
      </c>
      <c r="BO758">
        <v>8</v>
      </c>
      <c r="BP758">
        <v>0</v>
      </c>
      <c r="BQ758" t="str">
        <f>"7:30 AM"</f>
        <v>7:30 AM</v>
      </c>
      <c r="BR758" t="str">
        <f>"5:00 PM"</f>
        <v>5:00 PM</v>
      </c>
      <c r="BS758" t="s">
        <v>131</v>
      </c>
      <c r="BT758">
        <v>0</v>
      </c>
      <c r="BU758">
        <v>0</v>
      </c>
      <c r="BV758" t="s">
        <v>114</v>
      </c>
      <c r="BX758" s="2" t="s">
        <v>9802</v>
      </c>
      <c r="BY758" t="s">
        <v>22828</v>
      </c>
      <c r="CA758" t="s">
        <v>4215</v>
      </c>
      <c r="CB758" t="s">
        <v>2608</v>
      </c>
      <c r="CC758" s="8" t="str">
        <f>"73114"</f>
        <v>73114</v>
      </c>
      <c r="CD758" t="s">
        <v>3576</v>
      </c>
      <c r="CE758" t="s">
        <v>3577</v>
      </c>
      <c r="CF758" s="12">
        <v>16.149999999999999</v>
      </c>
      <c r="CH758" s="12">
        <v>24.23</v>
      </c>
      <c r="CJ758" t="s">
        <v>135</v>
      </c>
      <c r="CK758" t="s">
        <v>132</v>
      </c>
      <c r="CL758" t="s">
        <v>22829</v>
      </c>
      <c r="CO758" t="s">
        <v>132</v>
      </c>
      <c r="CP758" t="s">
        <v>136</v>
      </c>
      <c r="CQ758" t="s">
        <v>136</v>
      </c>
      <c r="CR758" t="s">
        <v>136</v>
      </c>
      <c r="CS758" t="s">
        <v>136</v>
      </c>
      <c r="CT758" t="s">
        <v>136</v>
      </c>
      <c r="CU758" t="s">
        <v>136</v>
      </c>
      <c r="CV758" t="s">
        <v>22830</v>
      </c>
      <c r="CW758" s="10" t="str">
        <f>"+19727071589"</f>
        <v>+19727071589</v>
      </c>
      <c r="CX758" t="s">
        <v>10826</v>
      </c>
      <c r="CY758" t="s">
        <v>132</v>
      </c>
      <c r="CZ758" t="s">
        <v>137</v>
      </c>
      <c r="DA758" t="s">
        <v>114</v>
      </c>
      <c r="DB758" t="s">
        <v>136</v>
      </c>
      <c r="DC758" t="s">
        <v>136</v>
      </c>
      <c r="DD758" t="s">
        <v>114</v>
      </c>
    </row>
    <row r="759" spans="1:113" ht="15" customHeight="1" x14ac:dyDescent="0.25">
      <c r="A759" t="s">
        <v>15122</v>
      </c>
      <c r="B759" t="s">
        <v>152</v>
      </c>
      <c r="C759" s="1">
        <v>45221.894308564813</v>
      </c>
      <c r="D759" s="1">
        <v>45254</v>
      </c>
      <c r="E759" t="s">
        <v>132</v>
      </c>
      <c r="F759" t="s">
        <v>1595</v>
      </c>
      <c r="G759" t="str">
        <f>"37-3011.00"</f>
        <v>37-3011.00</v>
      </c>
      <c r="H759" t="s">
        <v>429</v>
      </c>
      <c r="I759">
        <v>30</v>
      </c>
      <c r="J759">
        <v>30</v>
      </c>
      <c r="K759" s="1">
        <v>45311</v>
      </c>
      <c r="L759" s="1">
        <v>45615</v>
      </c>
      <c r="M759" s="1">
        <v>45311</v>
      </c>
      <c r="N759" s="1">
        <v>45615</v>
      </c>
      <c r="O759" t="s">
        <v>238</v>
      </c>
      <c r="P759" t="s">
        <v>15123</v>
      </c>
      <c r="R759" t="s">
        <v>15124</v>
      </c>
      <c r="T759" t="s">
        <v>2821</v>
      </c>
      <c r="U759" t="s">
        <v>984</v>
      </c>
      <c r="V759" s="8" t="str">
        <f>"64131"</f>
        <v>64131</v>
      </c>
      <c r="W759" t="s">
        <v>118</v>
      </c>
      <c r="Y759" s="10">
        <v>18167039760</v>
      </c>
      <c r="AA759">
        <v>56173</v>
      </c>
      <c r="AB759" t="s">
        <v>12304</v>
      </c>
      <c r="AC759" t="s">
        <v>508</v>
      </c>
      <c r="AE759" t="s">
        <v>1349</v>
      </c>
      <c r="AF759" t="s">
        <v>15124</v>
      </c>
      <c r="AH759" t="s">
        <v>2821</v>
      </c>
      <c r="AI759" t="s">
        <v>984</v>
      </c>
      <c r="AJ759" s="8" t="str">
        <f>"64131"</f>
        <v>64131</v>
      </c>
      <c r="AK759" t="s">
        <v>118</v>
      </c>
      <c r="AM759" s="10">
        <v>18167039760</v>
      </c>
      <c r="AO759" t="s">
        <v>15125</v>
      </c>
      <c r="AP759" t="s">
        <v>248</v>
      </c>
      <c r="AQ759" t="s">
        <v>2667</v>
      </c>
      <c r="AR759" t="s">
        <v>2668</v>
      </c>
      <c r="AT759" t="s">
        <v>1253</v>
      </c>
      <c r="AU759" t="s">
        <v>852</v>
      </c>
      <c r="AV759" t="s">
        <v>853</v>
      </c>
      <c r="AW759" t="s">
        <v>854</v>
      </c>
      <c r="AX759" s="8" t="str">
        <f>"83814"</f>
        <v>83814</v>
      </c>
      <c r="AY759" t="s">
        <v>118</v>
      </c>
      <c r="BA759" s="10">
        <v>12087772654</v>
      </c>
      <c r="BC759" t="s">
        <v>2669</v>
      </c>
      <c r="BD759" t="s">
        <v>856</v>
      </c>
      <c r="BG759" t="s">
        <v>984</v>
      </c>
      <c r="BH759" s="1">
        <v>45203.833333333336</v>
      </c>
      <c r="BI759">
        <v>40</v>
      </c>
      <c r="BJ759">
        <v>0</v>
      </c>
      <c r="BK759">
        <v>8</v>
      </c>
      <c r="BL759">
        <v>8</v>
      </c>
      <c r="BM759">
        <v>8</v>
      </c>
      <c r="BN759">
        <v>8</v>
      </c>
      <c r="BO759">
        <v>8</v>
      </c>
      <c r="BP759">
        <v>0</v>
      </c>
      <c r="BQ759" t="str">
        <f>"8:00 AM"</f>
        <v>8:00 AM</v>
      </c>
      <c r="BR759" t="str">
        <f>"5:00 PM"</f>
        <v>5:00 PM</v>
      </c>
      <c r="BS759" t="s">
        <v>131</v>
      </c>
      <c r="BT759">
        <v>0</v>
      </c>
      <c r="BU759">
        <v>0</v>
      </c>
      <c r="BV759" t="s">
        <v>114</v>
      </c>
      <c r="BX759" t="s">
        <v>2670</v>
      </c>
      <c r="BY759" t="s">
        <v>15126</v>
      </c>
      <c r="CA759" t="s">
        <v>2821</v>
      </c>
      <c r="CB759" t="s">
        <v>984</v>
      </c>
      <c r="CC759" s="8" t="str">
        <f>"64131"</f>
        <v>64131</v>
      </c>
      <c r="CD759" t="s">
        <v>859</v>
      </c>
      <c r="CE759" t="s">
        <v>2431</v>
      </c>
      <c r="CF759" s="12">
        <v>17.47</v>
      </c>
      <c r="CG759" s="12">
        <v>20</v>
      </c>
      <c r="CH759" s="12">
        <v>26.21</v>
      </c>
      <c r="CI759" s="12">
        <v>30</v>
      </c>
      <c r="CJ759" t="s">
        <v>135</v>
      </c>
      <c r="CK759" t="s">
        <v>1899</v>
      </c>
      <c r="CL759" t="s">
        <v>15127</v>
      </c>
      <c r="CO759" t="s">
        <v>132</v>
      </c>
      <c r="CP759" t="s">
        <v>136</v>
      </c>
      <c r="CQ759" t="s">
        <v>136</v>
      </c>
      <c r="CR759" t="s">
        <v>136</v>
      </c>
      <c r="CS759" t="s">
        <v>136</v>
      </c>
      <c r="CT759" t="s">
        <v>136</v>
      </c>
      <c r="CU759" t="s">
        <v>136</v>
      </c>
      <c r="CV759" t="s">
        <v>131</v>
      </c>
      <c r="CW759" s="10" t="str">
        <f>"+18167039760"</f>
        <v>+18167039760</v>
      </c>
      <c r="CX759" t="s">
        <v>15128</v>
      </c>
      <c r="CY759" t="s">
        <v>132</v>
      </c>
      <c r="CZ759" t="s">
        <v>137</v>
      </c>
      <c r="DA759" t="s">
        <v>114</v>
      </c>
      <c r="DB759" t="s">
        <v>136</v>
      </c>
      <c r="DC759" t="s">
        <v>136</v>
      </c>
      <c r="DD759" t="s">
        <v>114</v>
      </c>
    </row>
    <row r="760" spans="1:113" ht="15" customHeight="1" x14ac:dyDescent="0.25">
      <c r="A760" t="s">
        <v>16311</v>
      </c>
      <c r="B760" t="s">
        <v>152</v>
      </c>
      <c r="C760" s="1">
        <v>45221.893346990742</v>
      </c>
      <c r="D760" s="1">
        <v>45254</v>
      </c>
      <c r="E760" t="s">
        <v>132</v>
      </c>
      <c r="F760" t="s">
        <v>1595</v>
      </c>
      <c r="G760" t="str">
        <f>"37-3011.00"</f>
        <v>37-3011.00</v>
      </c>
      <c r="H760" t="s">
        <v>429</v>
      </c>
      <c r="I760">
        <v>30</v>
      </c>
      <c r="J760">
        <v>30</v>
      </c>
      <c r="K760" s="1">
        <v>45311</v>
      </c>
      <c r="L760" s="1">
        <v>45615</v>
      </c>
      <c r="M760" s="1">
        <v>45311</v>
      </c>
      <c r="N760" s="1">
        <v>45615</v>
      </c>
      <c r="O760" t="s">
        <v>238</v>
      </c>
      <c r="P760" t="s">
        <v>16312</v>
      </c>
      <c r="R760" t="s">
        <v>16313</v>
      </c>
      <c r="T760" t="s">
        <v>2821</v>
      </c>
      <c r="U760" t="s">
        <v>984</v>
      </c>
      <c r="V760" s="8" t="str">
        <f>"64112"</f>
        <v>64112</v>
      </c>
      <c r="W760" t="s">
        <v>118</v>
      </c>
      <c r="Y760" s="10">
        <v>18167880808</v>
      </c>
      <c r="AA760">
        <v>56173</v>
      </c>
      <c r="AB760" t="s">
        <v>16314</v>
      </c>
      <c r="AC760" t="s">
        <v>6805</v>
      </c>
      <c r="AE760" t="s">
        <v>13271</v>
      </c>
      <c r="AF760" t="s">
        <v>16313</v>
      </c>
      <c r="AH760" t="s">
        <v>2821</v>
      </c>
      <c r="AI760" t="s">
        <v>984</v>
      </c>
      <c r="AJ760" s="8" t="str">
        <f>"64112"</f>
        <v>64112</v>
      </c>
      <c r="AK760" t="s">
        <v>118</v>
      </c>
      <c r="AM760" s="10">
        <v>18167880808</v>
      </c>
      <c r="AO760" t="s">
        <v>16315</v>
      </c>
      <c r="AP760" t="s">
        <v>248</v>
      </c>
      <c r="AQ760" t="s">
        <v>2667</v>
      </c>
      <c r="AR760" t="s">
        <v>2668</v>
      </c>
      <c r="AT760" t="s">
        <v>1253</v>
      </c>
      <c r="AU760" t="s">
        <v>852</v>
      </c>
      <c r="AV760" t="s">
        <v>853</v>
      </c>
      <c r="AW760" t="s">
        <v>854</v>
      </c>
      <c r="AX760" s="8" t="str">
        <f>"83814"</f>
        <v>83814</v>
      </c>
      <c r="AY760" t="s">
        <v>118</v>
      </c>
      <c r="BA760" s="10">
        <v>12087772654</v>
      </c>
      <c r="BC760" t="s">
        <v>2669</v>
      </c>
      <c r="BD760" t="s">
        <v>856</v>
      </c>
      <c r="BG760" t="s">
        <v>984</v>
      </c>
      <c r="BH760" s="1">
        <v>45219.833333333336</v>
      </c>
      <c r="BI760">
        <v>40</v>
      </c>
      <c r="BJ760">
        <v>0</v>
      </c>
      <c r="BK760">
        <v>8</v>
      </c>
      <c r="BL760">
        <v>8</v>
      </c>
      <c r="BM760">
        <v>8</v>
      </c>
      <c r="BN760">
        <v>8</v>
      </c>
      <c r="BO760">
        <v>8</v>
      </c>
      <c r="BP760">
        <v>0</v>
      </c>
      <c r="BQ760" t="str">
        <f>"7:30 AM"</f>
        <v>7:30 AM</v>
      </c>
      <c r="BR760" t="str">
        <f>"5:00 PM"</f>
        <v>5:00 PM</v>
      </c>
      <c r="BS760" t="s">
        <v>131</v>
      </c>
      <c r="BT760">
        <v>0</v>
      </c>
      <c r="BU760">
        <v>0</v>
      </c>
      <c r="BV760" t="s">
        <v>114</v>
      </c>
      <c r="BX760" t="s">
        <v>1604</v>
      </c>
      <c r="BY760" t="s">
        <v>16316</v>
      </c>
      <c r="CA760" t="s">
        <v>16317</v>
      </c>
      <c r="CB760" t="s">
        <v>984</v>
      </c>
      <c r="CC760" s="8" t="str">
        <f>"64133"</f>
        <v>64133</v>
      </c>
      <c r="CD760" t="s">
        <v>859</v>
      </c>
      <c r="CE760" t="s">
        <v>2431</v>
      </c>
      <c r="CF760" s="12">
        <v>17.47</v>
      </c>
      <c r="CG760" s="12">
        <v>20</v>
      </c>
      <c r="CH760" s="12">
        <v>26.21</v>
      </c>
      <c r="CI760" s="12">
        <v>30</v>
      </c>
      <c r="CJ760" t="s">
        <v>135</v>
      </c>
      <c r="CK760" t="s">
        <v>1899</v>
      </c>
      <c r="CL760" t="s">
        <v>16318</v>
      </c>
      <c r="CO760" t="s">
        <v>132</v>
      </c>
      <c r="CP760" t="s">
        <v>136</v>
      </c>
      <c r="CQ760" t="s">
        <v>136</v>
      </c>
      <c r="CR760" t="s">
        <v>136</v>
      </c>
      <c r="CS760" t="s">
        <v>136</v>
      </c>
      <c r="CT760" t="s">
        <v>136</v>
      </c>
      <c r="CU760" t="s">
        <v>136</v>
      </c>
      <c r="CV760" t="s">
        <v>131</v>
      </c>
      <c r="CW760" s="10" t="str">
        <f>"+18167880808"</f>
        <v>+18167880808</v>
      </c>
      <c r="CX760" t="s">
        <v>132</v>
      </c>
      <c r="CY760" t="s">
        <v>16319</v>
      </c>
      <c r="CZ760" t="s">
        <v>137</v>
      </c>
      <c r="DA760" t="s">
        <v>114</v>
      </c>
      <c r="DB760" t="s">
        <v>136</v>
      </c>
      <c r="DC760" t="s">
        <v>136</v>
      </c>
      <c r="DD760" t="s">
        <v>114</v>
      </c>
    </row>
    <row r="761" spans="1:113" ht="15" customHeight="1" x14ac:dyDescent="0.25">
      <c r="A761" t="s">
        <v>12230</v>
      </c>
      <c r="B761" t="s">
        <v>152</v>
      </c>
      <c r="C761" s="1">
        <v>45218.628015509261</v>
      </c>
      <c r="D761" s="1">
        <v>45254</v>
      </c>
      <c r="E761" t="s">
        <v>132</v>
      </c>
      <c r="F761" t="s">
        <v>7857</v>
      </c>
      <c r="G761" t="str">
        <f>"37-3013.00"</f>
        <v>37-3013.00</v>
      </c>
      <c r="H761" t="s">
        <v>666</v>
      </c>
      <c r="I761">
        <v>40</v>
      </c>
      <c r="J761">
        <v>40</v>
      </c>
      <c r="K761" s="1">
        <v>45295</v>
      </c>
      <c r="L761" s="1">
        <v>45600</v>
      </c>
      <c r="M761" s="1">
        <v>45295</v>
      </c>
      <c r="N761" s="1">
        <v>45600</v>
      </c>
      <c r="O761" t="s">
        <v>116</v>
      </c>
      <c r="P761" t="s">
        <v>12231</v>
      </c>
      <c r="R761" t="s">
        <v>5489</v>
      </c>
      <c r="T761" t="s">
        <v>2564</v>
      </c>
      <c r="U761" t="s">
        <v>127</v>
      </c>
      <c r="V761" s="8" t="str">
        <f>"77017"</f>
        <v>77017</v>
      </c>
      <c r="W761" t="s">
        <v>118</v>
      </c>
      <c r="Y761" s="10">
        <v>17138477120</v>
      </c>
      <c r="AA761">
        <v>56173</v>
      </c>
      <c r="AB761" t="s">
        <v>5490</v>
      </c>
      <c r="AC761" t="s">
        <v>5491</v>
      </c>
      <c r="AE761" t="s">
        <v>5492</v>
      </c>
      <c r="AF761" t="s">
        <v>5489</v>
      </c>
      <c r="AH761" t="s">
        <v>2564</v>
      </c>
      <c r="AI761" t="s">
        <v>127</v>
      </c>
      <c r="AJ761" s="8" t="str">
        <f>"77017"</f>
        <v>77017</v>
      </c>
      <c r="AK761" t="s">
        <v>118</v>
      </c>
      <c r="AM761" s="10">
        <v>17138477120</v>
      </c>
      <c r="AO761" t="s">
        <v>132</v>
      </c>
      <c r="AP761" t="s">
        <v>248</v>
      </c>
      <c r="AQ761" t="s">
        <v>577</v>
      </c>
      <c r="AR761" t="s">
        <v>578</v>
      </c>
      <c r="AT761" t="s">
        <v>579</v>
      </c>
      <c r="AV761" t="s">
        <v>580</v>
      </c>
      <c r="AW761" t="s">
        <v>581</v>
      </c>
      <c r="AX761" s="8" t="str">
        <f>"22903"</f>
        <v>22903</v>
      </c>
      <c r="AY761" t="s">
        <v>118</v>
      </c>
      <c r="BA761" s="10">
        <v>14342634300</v>
      </c>
      <c r="BC761" t="s">
        <v>582</v>
      </c>
      <c r="BD761" t="s">
        <v>583</v>
      </c>
      <c r="BG761" t="s">
        <v>127</v>
      </c>
      <c r="BH761" s="1">
        <v>45217.833333333336</v>
      </c>
      <c r="BI761">
        <v>40</v>
      </c>
      <c r="BJ761">
        <v>0</v>
      </c>
      <c r="BK761">
        <v>8</v>
      </c>
      <c r="BL761">
        <v>8</v>
      </c>
      <c r="BM761">
        <v>8</v>
      </c>
      <c r="BN761">
        <v>8</v>
      </c>
      <c r="BO761">
        <v>8</v>
      </c>
      <c r="BP761">
        <v>0</v>
      </c>
      <c r="BQ761" t="str">
        <f>"6:00 AM"</f>
        <v>6:00 AM</v>
      </c>
      <c r="BR761" t="str">
        <f>"2:30 PM"</f>
        <v>2:30 PM</v>
      </c>
      <c r="BS761" t="s">
        <v>131</v>
      </c>
      <c r="BT761">
        <v>0</v>
      </c>
      <c r="BU761">
        <v>0</v>
      </c>
      <c r="BV761" t="s">
        <v>114</v>
      </c>
      <c r="BX761" s="2" t="s">
        <v>9631</v>
      </c>
      <c r="BY761" t="s">
        <v>12232</v>
      </c>
      <c r="CA761" t="s">
        <v>3442</v>
      </c>
      <c r="CB761" t="s">
        <v>127</v>
      </c>
      <c r="CC761" s="8" t="str">
        <f>"77702"</f>
        <v>77702</v>
      </c>
      <c r="CD761" t="s">
        <v>1767</v>
      </c>
      <c r="CE761" t="s">
        <v>2433</v>
      </c>
      <c r="CF761" s="12">
        <v>18.399999999999999</v>
      </c>
      <c r="CG761" s="12">
        <v>18.399999999999999</v>
      </c>
      <c r="CH761" s="12">
        <v>27.6</v>
      </c>
      <c r="CI761" s="12">
        <v>27.6</v>
      </c>
      <c r="CJ761" t="s">
        <v>135</v>
      </c>
      <c r="CK761" t="s">
        <v>590</v>
      </c>
      <c r="CL761" t="s">
        <v>12233</v>
      </c>
      <c r="CO761" t="s">
        <v>132</v>
      </c>
      <c r="CP761" t="s">
        <v>136</v>
      </c>
      <c r="CQ761" t="s">
        <v>114</v>
      </c>
      <c r="CR761" t="s">
        <v>136</v>
      </c>
      <c r="CS761" t="s">
        <v>136</v>
      </c>
      <c r="CT761" t="s">
        <v>136</v>
      </c>
      <c r="CU761" t="s">
        <v>136</v>
      </c>
      <c r="CV761" t="s">
        <v>9634</v>
      </c>
      <c r="CW761" s="10" t="str">
        <f>"N/A"</f>
        <v>N/A</v>
      </c>
      <c r="CX761" t="s">
        <v>5494</v>
      </c>
      <c r="CY761" t="s">
        <v>1853</v>
      </c>
      <c r="CZ761" t="s">
        <v>137</v>
      </c>
      <c r="DA761" t="s">
        <v>114</v>
      </c>
      <c r="DB761" t="s">
        <v>114</v>
      </c>
      <c r="DC761" t="s">
        <v>136</v>
      </c>
      <c r="DD761" t="s">
        <v>114</v>
      </c>
      <c r="DE761" t="s">
        <v>595</v>
      </c>
      <c r="DF761" t="s">
        <v>596</v>
      </c>
      <c r="DH761" t="s">
        <v>583</v>
      </c>
      <c r="DI761" t="s">
        <v>582</v>
      </c>
    </row>
    <row r="762" spans="1:113" ht="15" customHeight="1" x14ac:dyDescent="0.25">
      <c r="A762" t="s">
        <v>13998</v>
      </c>
      <c r="B762" t="s">
        <v>152</v>
      </c>
      <c r="C762" s="1">
        <v>45218.58008634259</v>
      </c>
      <c r="D762" s="1">
        <v>45254</v>
      </c>
      <c r="E762" t="s">
        <v>132</v>
      </c>
      <c r="F762" t="s">
        <v>7857</v>
      </c>
      <c r="G762" t="str">
        <f>"37-3013.00"</f>
        <v>37-3013.00</v>
      </c>
      <c r="H762" t="s">
        <v>666</v>
      </c>
      <c r="I762">
        <v>50</v>
      </c>
      <c r="J762">
        <v>50</v>
      </c>
      <c r="K762" s="1">
        <v>45295</v>
      </c>
      <c r="L762" s="1">
        <v>45600</v>
      </c>
      <c r="M762" s="1">
        <v>45295</v>
      </c>
      <c r="N762" s="1">
        <v>45600</v>
      </c>
      <c r="O762" t="s">
        <v>116</v>
      </c>
      <c r="P762" t="s">
        <v>13999</v>
      </c>
      <c r="R762" t="s">
        <v>5489</v>
      </c>
      <c r="T762" t="s">
        <v>2564</v>
      </c>
      <c r="U762" t="s">
        <v>127</v>
      </c>
      <c r="V762" s="8" t="str">
        <f>"77017"</f>
        <v>77017</v>
      </c>
      <c r="W762" t="s">
        <v>118</v>
      </c>
      <c r="Y762" s="10">
        <v>17138477120</v>
      </c>
      <c r="AA762">
        <v>56173</v>
      </c>
      <c r="AB762" t="s">
        <v>5490</v>
      </c>
      <c r="AC762" t="s">
        <v>5491</v>
      </c>
      <c r="AE762" t="s">
        <v>5492</v>
      </c>
      <c r="AF762" t="s">
        <v>5489</v>
      </c>
      <c r="AH762" t="s">
        <v>2564</v>
      </c>
      <c r="AI762" t="s">
        <v>127</v>
      </c>
      <c r="AJ762" s="8" t="str">
        <f>"77017"</f>
        <v>77017</v>
      </c>
      <c r="AK762" t="s">
        <v>118</v>
      </c>
      <c r="AM762" s="10">
        <v>17138477120</v>
      </c>
      <c r="AO762" t="s">
        <v>132</v>
      </c>
      <c r="AP762" t="s">
        <v>248</v>
      </c>
      <c r="AQ762" t="s">
        <v>577</v>
      </c>
      <c r="AR762" t="s">
        <v>578</v>
      </c>
      <c r="AT762" t="s">
        <v>579</v>
      </c>
      <c r="AV762" t="s">
        <v>580</v>
      </c>
      <c r="AW762" t="s">
        <v>581</v>
      </c>
      <c r="AX762" s="8" t="str">
        <f>"22903"</f>
        <v>22903</v>
      </c>
      <c r="AY762" t="s">
        <v>118</v>
      </c>
      <c r="BA762" s="10">
        <v>14342634300</v>
      </c>
      <c r="BC762" t="s">
        <v>582</v>
      </c>
      <c r="BD762" t="s">
        <v>583</v>
      </c>
      <c r="BG762" t="s">
        <v>333</v>
      </c>
      <c r="BH762" s="1">
        <v>45217.833333333336</v>
      </c>
      <c r="BI762">
        <v>40</v>
      </c>
      <c r="BJ762">
        <v>0</v>
      </c>
      <c r="BK762">
        <v>8</v>
      </c>
      <c r="BL762">
        <v>8</v>
      </c>
      <c r="BM762">
        <v>8</v>
      </c>
      <c r="BN762">
        <v>8</v>
      </c>
      <c r="BO762">
        <v>8</v>
      </c>
      <c r="BP762">
        <v>0</v>
      </c>
      <c r="BQ762" t="str">
        <f>"6:00 AM"</f>
        <v>6:00 AM</v>
      </c>
      <c r="BR762" t="str">
        <f>"2:30 PM"</f>
        <v>2:30 PM</v>
      </c>
      <c r="BS762" t="s">
        <v>131</v>
      </c>
      <c r="BT762">
        <v>0</v>
      </c>
      <c r="BU762">
        <v>0</v>
      </c>
      <c r="BV762" t="s">
        <v>114</v>
      </c>
      <c r="BX762" s="2" t="s">
        <v>11127</v>
      </c>
      <c r="BY762" t="s">
        <v>14000</v>
      </c>
      <c r="CA762" t="s">
        <v>1814</v>
      </c>
      <c r="CB762" t="s">
        <v>333</v>
      </c>
      <c r="CC762" s="8" t="str">
        <f>"70819"</f>
        <v>70819</v>
      </c>
      <c r="CD762" t="s">
        <v>1929</v>
      </c>
      <c r="CE762" t="s">
        <v>1930</v>
      </c>
      <c r="CF762" s="12">
        <v>19.88</v>
      </c>
      <c r="CG762" s="12">
        <v>19.88</v>
      </c>
      <c r="CH762" s="12">
        <v>29.82</v>
      </c>
      <c r="CI762" s="12">
        <v>29.82</v>
      </c>
      <c r="CJ762" t="s">
        <v>135</v>
      </c>
      <c r="CK762" t="s">
        <v>590</v>
      </c>
      <c r="CL762" t="s">
        <v>14001</v>
      </c>
      <c r="CO762" t="s">
        <v>132</v>
      </c>
      <c r="CP762" t="s">
        <v>136</v>
      </c>
      <c r="CQ762" t="s">
        <v>114</v>
      </c>
      <c r="CR762" t="s">
        <v>136</v>
      </c>
      <c r="CS762" t="s">
        <v>136</v>
      </c>
      <c r="CT762" t="s">
        <v>136</v>
      </c>
      <c r="CU762" t="s">
        <v>136</v>
      </c>
      <c r="CV762" t="s">
        <v>9634</v>
      </c>
      <c r="CW762" s="10" t="str">
        <f>"N/A"</f>
        <v>N/A</v>
      </c>
      <c r="CX762" t="s">
        <v>5494</v>
      </c>
      <c r="CY762" t="s">
        <v>683</v>
      </c>
      <c r="CZ762" t="s">
        <v>137</v>
      </c>
      <c r="DA762" t="s">
        <v>114</v>
      </c>
      <c r="DB762" t="s">
        <v>114</v>
      </c>
      <c r="DC762" t="s">
        <v>136</v>
      </c>
      <c r="DD762" t="s">
        <v>114</v>
      </c>
      <c r="DE762" t="s">
        <v>595</v>
      </c>
      <c r="DF762" t="s">
        <v>596</v>
      </c>
      <c r="DH762" t="s">
        <v>583</v>
      </c>
      <c r="DI762" t="s">
        <v>582</v>
      </c>
    </row>
    <row r="763" spans="1:113" ht="15" customHeight="1" x14ac:dyDescent="0.25">
      <c r="A763" t="s">
        <v>9629</v>
      </c>
      <c r="B763" t="s">
        <v>152</v>
      </c>
      <c r="C763" s="1">
        <v>45218.560296759257</v>
      </c>
      <c r="D763" s="1">
        <v>45254</v>
      </c>
      <c r="E763" t="s">
        <v>132</v>
      </c>
      <c r="F763" t="s">
        <v>7857</v>
      </c>
      <c r="G763" t="str">
        <f>"37-3013.00"</f>
        <v>37-3013.00</v>
      </c>
      <c r="H763" t="s">
        <v>666</v>
      </c>
      <c r="I763">
        <v>30</v>
      </c>
      <c r="J763">
        <v>30</v>
      </c>
      <c r="K763" s="1">
        <v>45295</v>
      </c>
      <c r="L763" s="1">
        <v>45600</v>
      </c>
      <c r="M763" s="1">
        <v>45295</v>
      </c>
      <c r="N763" s="1">
        <v>45600</v>
      </c>
      <c r="O763" t="s">
        <v>116</v>
      </c>
      <c r="P763" t="s">
        <v>9630</v>
      </c>
      <c r="R763" t="s">
        <v>5489</v>
      </c>
      <c r="T763" t="s">
        <v>2564</v>
      </c>
      <c r="U763" t="s">
        <v>127</v>
      </c>
      <c r="V763" s="8" t="str">
        <f>"77017"</f>
        <v>77017</v>
      </c>
      <c r="W763" t="s">
        <v>118</v>
      </c>
      <c r="Y763" s="10">
        <v>17138477120</v>
      </c>
      <c r="AA763">
        <v>56173</v>
      </c>
      <c r="AB763" t="s">
        <v>5490</v>
      </c>
      <c r="AC763" t="s">
        <v>5491</v>
      </c>
      <c r="AE763" t="s">
        <v>5492</v>
      </c>
      <c r="AF763" t="s">
        <v>5489</v>
      </c>
      <c r="AH763" t="s">
        <v>2564</v>
      </c>
      <c r="AI763" t="s">
        <v>127</v>
      </c>
      <c r="AJ763" s="8" t="str">
        <f>"77017"</f>
        <v>77017</v>
      </c>
      <c r="AK763" t="s">
        <v>118</v>
      </c>
      <c r="AM763" s="10">
        <v>17138477120</v>
      </c>
      <c r="AO763" t="s">
        <v>132</v>
      </c>
      <c r="AP763" t="s">
        <v>248</v>
      </c>
      <c r="AQ763" t="s">
        <v>577</v>
      </c>
      <c r="AR763" t="s">
        <v>578</v>
      </c>
      <c r="AT763" t="s">
        <v>579</v>
      </c>
      <c r="AV763" t="s">
        <v>580</v>
      </c>
      <c r="AW763" t="s">
        <v>581</v>
      </c>
      <c r="AX763" s="8" t="str">
        <f>"22903"</f>
        <v>22903</v>
      </c>
      <c r="AY763" t="s">
        <v>118</v>
      </c>
      <c r="BA763" s="10">
        <v>14342634300</v>
      </c>
      <c r="BC763" t="s">
        <v>582</v>
      </c>
      <c r="BD763" t="s">
        <v>583</v>
      </c>
      <c r="BG763" t="s">
        <v>333</v>
      </c>
      <c r="BH763" s="1">
        <v>45217.833333333336</v>
      </c>
      <c r="BI763">
        <v>40</v>
      </c>
      <c r="BJ763">
        <v>0</v>
      </c>
      <c r="BK763">
        <v>8</v>
      </c>
      <c r="BL763">
        <v>8</v>
      </c>
      <c r="BM763">
        <v>8</v>
      </c>
      <c r="BN763">
        <v>8</v>
      </c>
      <c r="BO763">
        <v>8</v>
      </c>
      <c r="BP763">
        <v>0</v>
      </c>
      <c r="BQ763" t="str">
        <f>"6:00 AM"</f>
        <v>6:00 AM</v>
      </c>
      <c r="BR763" t="str">
        <f>"2:30 PM"</f>
        <v>2:30 PM</v>
      </c>
      <c r="BS763" t="s">
        <v>131</v>
      </c>
      <c r="BT763">
        <v>0</v>
      </c>
      <c r="BU763">
        <v>0</v>
      </c>
      <c r="BV763" t="s">
        <v>114</v>
      </c>
      <c r="BX763" s="2" t="s">
        <v>9631</v>
      </c>
      <c r="BY763" t="s">
        <v>9632</v>
      </c>
      <c r="CA763" t="s">
        <v>2066</v>
      </c>
      <c r="CB763" t="s">
        <v>333</v>
      </c>
      <c r="CC763" s="8" t="str">
        <f>"70726"</f>
        <v>70726</v>
      </c>
      <c r="CD763" t="s">
        <v>2072</v>
      </c>
      <c r="CE763" t="s">
        <v>1930</v>
      </c>
      <c r="CF763" s="12">
        <v>19.88</v>
      </c>
      <c r="CG763" s="12">
        <v>19.88</v>
      </c>
      <c r="CH763" s="12">
        <v>29.82</v>
      </c>
      <c r="CI763" s="12">
        <v>29.82</v>
      </c>
      <c r="CJ763" t="s">
        <v>135</v>
      </c>
      <c r="CK763" t="s">
        <v>590</v>
      </c>
      <c r="CL763" t="s">
        <v>9633</v>
      </c>
      <c r="CO763" t="s">
        <v>132</v>
      </c>
      <c r="CP763" t="s">
        <v>136</v>
      </c>
      <c r="CQ763" t="s">
        <v>114</v>
      </c>
      <c r="CR763" t="s">
        <v>136</v>
      </c>
      <c r="CS763" t="s">
        <v>136</v>
      </c>
      <c r="CT763" t="s">
        <v>136</v>
      </c>
      <c r="CU763" t="s">
        <v>136</v>
      </c>
      <c r="CV763" t="s">
        <v>9634</v>
      </c>
      <c r="CW763" s="10" t="str">
        <f>"N/A"</f>
        <v>N/A</v>
      </c>
      <c r="CX763" t="s">
        <v>5494</v>
      </c>
      <c r="CY763" t="s">
        <v>683</v>
      </c>
      <c r="CZ763" t="s">
        <v>137</v>
      </c>
      <c r="DA763" t="s">
        <v>114</v>
      </c>
      <c r="DB763" t="s">
        <v>114</v>
      </c>
      <c r="DC763" t="s">
        <v>136</v>
      </c>
      <c r="DD763" t="s">
        <v>114</v>
      </c>
      <c r="DE763" t="s">
        <v>595</v>
      </c>
      <c r="DF763" t="s">
        <v>596</v>
      </c>
      <c r="DH763" t="s">
        <v>583</v>
      </c>
      <c r="DI763" t="s">
        <v>582</v>
      </c>
    </row>
    <row r="764" spans="1:113" ht="15" customHeight="1" x14ac:dyDescent="0.25">
      <c r="A764" t="s">
        <v>13673</v>
      </c>
      <c r="B764" t="s">
        <v>152</v>
      </c>
      <c r="C764" s="1">
        <v>45218.545244097222</v>
      </c>
      <c r="D764" s="1">
        <v>45254</v>
      </c>
      <c r="E764" t="s">
        <v>132</v>
      </c>
      <c r="F764" t="s">
        <v>1953</v>
      </c>
      <c r="G764" t="str">
        <f>"37-3011.00"</f>
        <v>37-3011.00</v>
      </c>
      <c r="H764" t="s">
        <v>429</v>
      </c>
      <c r="I764">
        <v>20</v>
      </c>
      <c r="J764">
        <v>20</v>
      </c>
      <c r="K764" s="1">
        <v>45295</v>
      </c>
      <c r="L764" s="1">
        <v>45600</v>
      </c>
      <c r="M764" s="1">
        <v>45295</v>
      </c>
      <c r="N764" s="1">
        <v>45600</v>
      </c>
      <c r="O764" t="s">
        <v>116</v>
      </c>
      <c r="P764" t="s">
        <v>7858</v>
      </c>
      <c r="R764" t="s">
        <v>5489</v>
      </c>
      <c r="T764" t="s">
        <v>2564</v>
      </c>
      <c r="U764" t="s">
        <v>127</v>
      </c>
      <c r="V764" s="8" t="str">
        <f>"77017"</f>
        <v>77017</v>
      </c>
      <c r="W764" t="s">
        <v>118</v>
      </c>
      <c r="Y764" s="10">
        <v>17138477120</v>
      </c>
      <c r="AA764">
        <v>56173</v>
      </c>
      <c r="AB764" t="s">
        <v>5490</v>
      </c>
      <c r="AC764" t="s">
        <v>5491</v>
      </c>
      <c r="AE764" t="s">
        <v>5492</v>
      </c>
      <c r="AF764" t="s">
        <v>5489</v>
      </c>
      <c r="AH764" t="s">
        <v>2564</v>
      </c>
      <c r="AI764" t="s">
        <v>127</v>
      </c>
      <c r="AJ764" s="8" t="str">
        <f>"77017"</f>
        <v>77017</v>
      </c>
      <c r="AK764" t="s">
        <v>118</v>
      </c>
      <c r="AM764" s="10">
        <v>17138477120</v>
      </c>
      <c r="AO764" t="s">
        <v>132</v>
      </c>
      <c r="AP764" t="s">
        <v>248</v>
      </c>
      <c r="AQ764" t="s">
        <v>577</v>
      </c>
      <c r="AR764" t="s">
        <v>578</v>
      </c>
      <c r="AT764" t="s">
        <v>579</v>
      </c>
      <c r="AV764" t="s">
        <v>580</v>
      </c>
      <c r="AW764" t="s">
        <v>581</v>
      </c>
      <c r="AX764" s="8" t="str">
        <f>"22903"</f>
        <v>22903</v>
      </c>
      <c r="AY764" t="s">
        <v>118</v>
      </c>
      <c r="BA764" s="10">
        <v>14342634300</v>
      </c>
      <c r="BC764" t="s">
        <v>582</v>
      </c>
      <c r="BD764" t="s">
        <v>583</v>
      </c>
      <c r="BG764" t="s">
        <v>333</v>
      </c>
      <c r="BH764" s="1">
        <v>45217.833333333336</v>
      </c>
      <c r="BI764">
        <v>40</v>
      </c>
      <c r="BJ764">
        <v>0</v>
      </c>
      <c r="BK764">
        <v>8</v>
      </c>
      <c r="BL764">
        <v>8</v>
      </c>
      <c r="BM764">
        <v>8</v>
      </c>
      <c r="BN764">
        <v>8</v>
      </c>
      <c r="BO764">
        <v>8</v>
      </c>
      <c r="BP764">
        <v>0</v>
      </c>
      <c r="BQ764" t="str">
        <f>"6:00 AM"</f>
        <v>6:00 AM</v>
      </c>
      <c r="BR764" t="str">
        <f>"2:30 PM"</f>
        <v>2:30 PM</v>
      </c>
      <c r="BS764" t="s">
        <v>131</v>
      </c>
      <c r="BT764">
        <v>0</v>
      </c>
      <c r="BU764">
        <v>0</v>
      </c>
      <c r="BV764" t="s">
        <v>114</v>
      </c>
      <c r="BX764" s="2" t="s">
        <v>11127</v>
      </c>
      <c r="BY764" t="s">
        <v>7859</v>
      </c>
      <c r="CA764" t="s">
        <v>2292</v>
      </c>
      <c r="CB764" t="s">
        <v>333</v>
      </c>
      <c r="CC764" s="8" t="str">
        <f>"70403"</f>
        <v>70403</v>
      </c>
      <c r="CD764" t="s">
        <v>7860</v>
      </c>
      <c r="CE764" t="s">
        <v>7861</v>
      </c>
      <c r="CF764" s="12">
        <v>15.19</v>
      </c>
      <c r="CG764" s="12">
        <v>15.19</v>
      </c>
      <c r="CH764" s="12">
        <v>22.79</v>
      </c>
      <c r="CI764" s="12">
        <v>22.79</v>
      </c>
      <c r="CJ764" t="s">
        <v>135</v>
      </c>
      <c r="CK764" t="s">
        <v>590</v>
      </c>
      <c r="CL764" t="s">
        <v>13674</v>
      </c>
      <c r="CO764" t="s">
        <v>132</v>
      </c>
      <c r="CP764" t="s">
        <v>136</v>
      </c>
      <c r="CQ764" t="s">
        <v>114</v>
      </c>
      <c r="CR764" t="s">
        <v>136</v>
      </c>
      <c r="CS764" t="s">
        <v>136</v>
      </c>
      <c r="CT764" t="s">
        <v>136</v>
      </c>
      <c r="CU764" t="s">
        <v>136</v>
      </c>
      <c r="CV764" t="s">
        <v>9634</v>
      </c>
      <c r="CW764" s="10" t="str">
        <f>"N/A"</f>
        <v>N/A</v>
      </c>
      <c r="CX764" t="s">
        <v>5494</v>
      </c>
      <c r="CY764" t="s">
        <v>683</v>
      </c>
      <c r="CZ764" t="s">
        <v>137</v>
      </c>
      <c r="DA764" t="s">
        <v>114</v>
      </c>
      <c r="DB764" t="s">
        <v>114</v>
      </c>
      <c r="DC764" t="s">
        <v>136</v>
      </c>
      <c r="DD764" t="s">
        <v>114</v>
      </c>
      <c r="DE764" t="s">
        <v>595</v>
      </c>
      <c r="DF764" t="s">
        <v>596</v>
      </c>
      <c r="DH764" t="s">
        <v>583</v>
      </c>
      <c r="DI764" t="s">
        <v>582</v>
      </c>
    </row>
    <row r="765" spans="1:113" ht="15" customHeight="1" x14ac:dyDescent="0.25">
      <c r="A765" t="s">
        <v>16472</v>
      </c>
      <c r="B765" t="s">
        <v>152</v>
      </c>
      <c r="C765" s="1">
        <v>45218.514675694445</v>
      </c>
      <c r="D765" s="1">
        <v>45254</v>
      </c>
      <c r="E765" t="s">
        <v>132</v>
      </c>
      <c r="F765" t="s">
        <v>7857</v>
      </c>
      <c r="G765" t="str">
        <f>"37-3013.00"</f>
        <v>37-3013.00</v>
      </c>
      <c r="H765" t="s">
        <v>666</v>
      </c>
      <c r="I765">
        <v>35</v>
      </c>
      <c r="J765">
        <v>35</v>
      </c>
      <c r="K765" s="1">
        <v>45295</v>
      </c>
      <c r="L765" s="1">
        <v>45600</v>
      </c>
      <c r="M765" s="1">
        <v>45295</v>
      </c>
      <c r="N765" s="1">
        <v>45600</v>
      </c>
      <c r="O765" t="s">
        <v>116</v>
      </c>
      <c r="P765" t="s">
        <v>13801</v>
      </c>
      <c r="R765" t="s">
        <v>5489</v>
      </c>
      <c r="T765" t="s">
        <v>2564</v>
      </c>
      <c r="U765" t="s">
        <v>127</v>
      </c>
      <c r="V765" s="8" t="str">
        <f>"77017"</f>
        <v>77017</v>
      </c>
      <c r="W765" t="s">
        <v>118</v>
      </c>
      <c r="Y765" s="10">
        <v>17138477120</v>
      </c>
      <c r="AA765">
        <v>56173</v>
      </c>
      <c r="AB765" t="s">
        <v>5490</v>
      </c>
      <c r="AC765" t="s">
        <v>5491</v>
      </c>
      <c r="AE765" t="s">
        <v>5492</v>
      </c>
      <c r="AF765" t="s">
        <v>5489</v>
      </c>
      <c r="AH765" t="s">
        <v>2564</v>
      </c>
      <c r="AI765" t="s">
        <v>127</v>
      </c>
      <c r="AJ765" s="8" t="str">
        <f>"77017"</f>
        <v>77017</v>
      </c>
      <c r="AK765" t="s">
        <v>118</v>
      </c>
      <c r="AM765" s="10">
        <v>17138477120</v>
      </c>
      <c r="AO765" t="s">
        <v>132</v>
      </c>
      <c r="AP765" t="s">
        <v>248</v>
      </c>
      <c r="AQ765" t="s">
        <v>577</v>
      </c>
      <c r="AR765" t="s">
        <v>578</v>
      </c>
      <c r="AT765" t="s">
        <v>579</v>
      </c>
      <c r="AV765" t="s">
        <v>580</v>
      </c>
      <c r="AW765" t="s">
        <v>581</v>
      </c>
      <c r="AX765" s="8" t="str">
        <f>"22903"</f>
        <v>22903</v>
      </c>
      <c r="AY765" t="s">
        <v>118</v>
      </c>
      <c r="BA765" s="10">
        <v>14342634300</v>
      </c>
      <c r="BC765" t="s">
        <v>582</v>
      </c>
      <c r="BD765" t="s">
        <v>583</v>
      </c>
      <c r="BG765" t="s">
        <v>127</v>
      </c>
      <c r="BH765" s="1">
        <v>45217.833333333336</v>
      </c>
      <c r="BI765">
        <v>40</v>
      </c>
      <c r="BJ765">
        <v>0</v>
      </c>
      <c r="BK765">
        <v>8</v>
      </c>
      <c r="BL765">
        <v>8</v>
      </c>
      <c r="BM765">
        <v>8</v>
      </c>
      <c r="BN765">
        <v>8</v>
      </c>
      <c r="BO765">
        <v>8</v>
      </c>
      <c r="BP765">
        <v>0</v>
      </c>
      <c r="BQ765" t="str">
        <f>"6:00 AM"</f>
        <v>6:00 AM</v>
      </c>
      <c r="BR765" t="str">
        <f>"2:30 PM"</f>
        <v>2:30 PM</v>
      </c>
      <c r="BS765" t="s">
        <v>131</v>
      </c>
      <c r="BT765">
        <v>0</v>
      </c>
      <c r="BU765">
        <v>0</v>
      </c>
      <c r="BV765" t="s">
        <v>114</v>
      </c>
      <c r="BX765" s="2" t="s">
        <v>11127</v>
      </c>
      <c r="BY765" t="s">
        <v>13802</v>
      </c>
      <c r="CA765" t="s">
        <v>5180</v>
      </c>
      <c r="CB765" t="s">
        <v>127</v>
      </c>
      <c r="CC765" s="8" t="str">
        <f>"77303"</f>
        <v>77303</v>
      </c>
      <c r="CD765" t="s">
        <v>878</v>
      </c>
      <c r="CE765" t="s">
        <v>879</v>
      </c>
      <c r="CF765" s="12">
        <v>21.32</v>
      </c>
      <c r="CG765" s="12">
        <v>21.32</v>
      </c>
      <c r="CH765" s="12">
        <v>31.98</v>
      </c>
      <c r="CI765" s="12">
        <v>31.98</v>
      </c>
      <c r="CJ765" t="s">
        <v>135</v>
      </c>
      <c r="CK765" t="s">
        <v>590</v>
      </c>
      <c r="CL765" t="s">
        <v>16473</v>
      </c>
      <c r="CO765" t="s">
        <v>132</v>
      </c>
      <c r="CP765" t="s">
        <v>136</v>
      </c>
      <c r="CQ765" t="s">
        <v>114</v>
      </c>
      <c r="CR765" t="s">
        <v>136</v>
      </c>
      <c r="CS765" t="s">
        <v>136</v>
      </c>
      <c r="CT765" t="s">
        <v>136</v>
      </c>
      <c r="CU765" t="s">
        <v>136</v>
      </c>
      <c r="CV765" t="s">
        <v>9634</v>
      </c>
      <c r="CW765" s="10" t="str">
        <f>"N/A"</f>
        <v>N/A</v>
      </c>
      <c r="CX765" t="s">
        <v>5494</v>
      </c>
      <c r="CY765" t="s">
        <v>1853</v>
      </c>
      <c r="CZ765" t="s">
        <v>137</v>
      </c>
      <c r="DA765" t="s">
        <v>114</v>
      </c>
      <c r="DB765" t="s">
        <v>114</v>
      </c>
      <c r="DC765" t="s">
        <v>136</v>
      </c>
      <c r="DD765" t="s">
        <v>114</v>
      </c>
      <c r="DE765" t="s">
        <v>595</v>
      </c>
      <c r="DF765" t="s">
        <v>596</v>
      </c>
      <c r="DH765" t="s">
        <v>583</v>
      </c>
      <c r="DI765" t="s">
        <v>582</v>
      </c>
    </row>
    <row r="766" spans="1:113" ht="15" customHeight="1" x14ac:dyDescent="0.25">
      <c r="A766" t="s">
        <v>13638</v>
      </c>
      <c r="B766" t="s">
        <v>152</v>
      </c>
      <c r="C766" s="1">
        <v>45218.486145138886</v>
      </c>
      <c r="D766" s="1">
        <v>45254</v>
      </c>
      <c r="E766" t="s">
        <v>132</v>
      </c>
      <c r="F766" t="s">
        <v>2324</v>
      </c>
      <c r="G766" t="str">
        <f>"35-3023.00"</f>
        <v>35-3023.00</v>
      </c>
      <c r="H766" t="s">
        <v>1365</v>
      </c>
      <c r="I766">
        <v>10</v>
      </c>
      <c r="J766">
        <v>10</v>
      </c>
      <c r="K766" s="1">
        <v>45297</v>
      </c>
      <c r="L766" s="1">
        <v>45601</v>
      </c>
      <c r="M766" s="1">
        <v>45297</v>
      </c>
      <c r="N766" s="1">
        <v>45601</v>
      </c>
      <c r="O766" t="s">
        <v>238</v>
      </c>
      <c r="P766" t="s">
        <v>13639</v>
      </c>
      <c r="Q766" t="s">
        <v>13640</v>
      </c>
      <c r="R766" t="s">
        <v>13641</v>
      </c>
      <c r="T766" t="s">
        <v>13642</v>
      </c>
      <c r="U766" t="s">
        <v>140</v>
      </c>
      <c r="V766" s="8" t="str">
        <f>"34654"</f>
        <v>34654</v>
      </c>
      <c r="W766" t="s">
        <v>118</v>
      </c>
      <c r="Y766" s="10">
        <v>13153851522</v>
      </c>
      <c r="AA766">
        <v>71399</v>
      </c>
      <c r="AB766" t="s">
        <v>13643</v>
      </c>
      <c r="AC766" t="s">
        <v>13644</v>
      </c>
      <c r="AE766" t="s">
        <v>561</v>
      </c>
      <c r="AF766" t="s">
        <v>13641</v>
      </c>
      <c r="AH766" t="s">
        <v>13642</v>
      </c>
      <c r="AI766" t="s">
        <v>140</v>
      </c>
      <c r="AJ766" s="8" t="str">
        <f>"34654"</f>
        <v>34654</v>
      </c>
      <c r="AK766" t="s">
        <v>118</v>
      </c>
      <c r="AM766" s="10">
        <v>13153851522</v>
      </c>
      <c r="AO766" t="s">
        <v>13645</v>
      </c>
      <c r="AP766" t="s">
        <v>248</v>
      </c>
      <c r="AQ766" t="s">
        <v>249</v>
      </c>
      <c r="AR766" t="s">
        <v>250</v>
      </c>
      <c r="AS766" t="s">
        <v>251</v>
      </c>
      <c r="AT766" t="s">
        <v>252</v>
      </c>
      <c r="AU766" t="s">
        <v>253</v>
      </c>
      <c r="AV766" t="s">
        <v>254</v>
      </c>
      <c r="AW766" t="s">
        <v>127</v>
      </c>
      <c r="AX766" s="8" t="str">
        <f>"78550"</f>
        <v>78550</v>
      </c>
      <c r="AY766" t="s">
        <v>118</v>
      </c>
      <c r="AZ766" t="s">
        <v>255</v>
      </c>
      <c r="BA766" s="10">
        <v>19564408720</v>
      </c>
      <c r="BB766" s="3" t="s">
        <v>256</v>
      </c>
      <c r="BC766" t="s">
        <v>257</v>
      </c>
      <c r="BD766" t="s">
        <v>258</v>
      </c>
      <c r="BG766" t="s">
        <v>140</v>
      </c>
      <c r="BH766" s="1">
        <v>45217.833333333336</v>
      </c>
      <c r="BI766">
        <v>40</v>
      </c>
      <c r="BJ766">
        <v>8</v>
      </c>
      <c r="BK766">
        <v>0</v>
      </c>
      <c r="BL766">
        <v>0</v>
      </c>
      <c r="BM766">
        <v>8</v>
      </c>
      <c r="BN766">
        <v>8</v>
      </c>
      <c r="BO766">
        <v>8</v>
      </c>
      <c r="BP766">
        <v>8</v>
      </c>
      <c r="BQ766" t="str">
        <f>"1:00 PM"</f>
        <v>1:00 PM</v>
      </c>
      <c r="BR766" t="str">
        <f>"10:00 PM"</f>
        <v>10:00 PM</v>
      </c>
      <c r="BS766" t="s">
        <v>131</v>
      </c>
      <c r="BT766">
        <v>0</v>
      </c>
      <c r="BU766">
        <v>0</v>
      </c>
      <c r="BV766" t="s">
        <v>114</v>
      </c>
      <c r="BX766" s="2" t="s">
        <v>259</v>
      </c>
      <c r="BY766" t="s">
        <v>13641</v>
      </c>
      <c r="CA766" t="s">
        <v>13642</v>
      </c>
      <c r="CB766" t="s">
        <v>140</v>
      </c>
      <c r="CC766" s="8" t="str">
        <f>"34654"</f>
        <v>34654</v>
      </c>
      <c r="CD766" t="s">
        <v>3466</v>
      </c>
      <c r="CE766" t="s">
        <v>467</v>
      </c>
      <c r="CF766" s="12">
        <v>10.56</v>
      </c>
      <c r="CG766" s="12">
        <v>16.079999999999998</v>
      </c>
      <c r="CJ766" t="s">
        <v>135</v>
      </c>
      <c r="CK766" t="s">
        <v>264</v>
      </c>
      <c r="CL766" t="s">
        <v>13646</v>
      </c>
      <c r="CO766" t="s">
        <v>132</v>
      </c>
      <c r="CP766" t="s">
        <v>136</v>
      </c>
      <c r="CQ766" t="s">
        <v>136</v>
      </c>
      <c r="CR766" t="s">
        <v>114</v>
      </c>
      <c r="CS766" t="s">
        <v>136</v>
      </c>
      <c r="CT766" t="s">
        <v>136</v>
      </c>
      <c r="CU766" t="s">
        <v>136</v>
      </c>
      <c r="CV766" t="s">
        <v>2258</v>
      </c>
      <c r="CW766" s="10" t="str">
        <f>"+13153851522"</f>
        <v>+13153851522</v>
      </c>
      <c r="CX766" t="s">
        <v>13645</v>
      </c>
      <c r="CY766" t="s">
        <v>132</v>
      </c>
      <c r="CZ766" t="s">
        <v>137</v>
      </c>
      <c r="DA766" t="s">
        <v>114</v>
      </c>
      <c r="DB766" t="s">
        <v>136</v>
      </c>
      <c r="DC766" t="s">
        <v>136</v>
      </c>
      <c r="DD766" t="s">
        <v>114</v>
      </c>
    </row>
    <row r="767" spans="1:113" ht="15" customHeight="1" x14ac:dyDescent="0.25">
      <c r="A767" t="s">
        <v>22164</v>
      </c>
      <c r="B767" t="s">
        <v>152</v>
      </c>
      <c r="C767" s="1">
        <v>45218.479290856485</v>
      </c>
      <c r="D767" s="1">
        <v>45254</v>
      </c>
      <c r="E767" t="s">
        <v>132</v>
      </c>
      <c r="F767" t="s">
        <v>7857</v>
      </c>
      <c r="G767" t="str">
        <f>"37-3013.00"</f>
        <v>37-3013.00</v>
      </c>
      <c r="H767" t="s">
        <v>666</v>
      </c>
      <c r="I767">
        <v>15</v>
      </c>
      <c r="J767">
        <v>15</v>
      </c>
      <c r="K767" s="1">
        <v>45295</v>
      </c>
      <c r="L767" s="1">
        <v>45600</v>
      </c>
      <c r="M767" s="1">
        <v>45295</v>
      </c>
      <c r="N767" s="1">
        <v>45600</v>
      </c>
      <c r="O767" t="s">
        <v>116</v>
      </c>
      <c r="P767" t="s">
        <v>16271</v>
      </c>
      <c r="R767" t="s">
        <v>5489</v>
      </c>
      <c r="T767" t="s">
        <v>2564</v>
      </c>
      <c r="U767" t="s">
        <v>127</v>
      </c>
      <c r="V767" s="8" t="str">
        <f>"77017"</f>
        <v>77017</v>
      </c>
      <c r="W767" t="s">
        <v>118</v>
      </c>
      <c r="Y767" s="10">
        <v>17138477120</v>
      </c>
      <c r="AA767">
        <v>56173</v>
      </c>
      <c r="AB767" t="s">
        <v>5490</v>
      </c>
      <c r="AC767" t="s">
        <v>5491</v>
      </c>
      <c r="AE767" t="s">
        <v>5492</v>
      </c>
      <c r="AF767" t="s">
        <v>5489</v>
      </c>
      <c r="AH767" t="s">
        <v>2564</v>
      </c>
      <c r="AI767" t="s">
        <v>127</v>
      </c>
      <c r="AJ767" s="8" t="str">
        <f>"77017"</f>
        <v>77017</v>
      </c>
      <c r="AK767" t="s">
        <v>118</v>
      </c>
      <c r="AM767" s="10">
        <v>17138477120</v>
      </c>
      <c r="AO767" t="s">
        <v>132</v>
      </c>
      <c r="AP767" t="s">
        <v>248</v>
      </c>
      <c r="AQ767" t="s">
        <v>577</v>
      </c>
      <c r="AR767" t="s">
        <v>578</v>
      </c>
      <c r="AT767" t="s">
        <v>579</v>
      </c>
      <c r="AV767" t="s">
        <v>580</v>
      </c>
      <c r="AW767" t="s">
        <v>581</v>
      </c>
      <c r="AX767" s="8" t="str">
        <f>"22903"</f>
        <v>22903</v>
      </c>
      <c r="AY767" t="s">
        <v>118</v>
      </c>
      <c r="BA767" s="10">
        <v>14342634300</v>
      </c>
      <c r="BC767" t="s">
        <v>582</v>
      </c>
      <c r="BD767" t="s">
        <v>583</v>
      </c>
      <c r="BG767" t="s">
        <v>127</v>
      </c>
      <c r="BH767" s="1">
        <v>45217.833333333336</v>
      </c>
      <c r="BI767">
        <v>40</v>
      </c>
      <c r="BJ767">
        <v>0</v>
      </c>
      <c r="BK767">
        <v>8</v>
      </c>
      <c r="BL767">
        <v>8</v>
      </c>
      <c r="BM767">
        <v>8</v>
      </c>
      <c r="BN767">
        <v>8</v>
      </c>
      <c r="BO767">
        <v>8</v>
      </c>
      <c r="BP767">
        <v>0</v>
      </c>
      <c r="BQ767" t="str">
        <f>"6:00 AM"</f>
        <v>6:00 AM</v>
      </c>
      <c r="BR767" t="str">
        <f>"2:30 PM"</f>
        <v>2:30 PM</v>
      </c>
      <c r="BS767" t="s">
        <v>131</v>
      </c>
      <c r="BT767">
        <v>0</v>
      </c>
      <c r="BU767">
        <v>0</v>
      </c>
      <c r="BV767" t="s">
        <v>114</v>
      </c>
      <c r="BX767" s="2" t="s">
        <v>11127</v>
      </c>
      <c r="BY767" t="s">
        <v>16272</v>
      </c>
      <c r="CA767" t="s">
        <v>16273</v>
      </c>
      <c r="CB767" t="s">
        <v>127</v>
      </c>
      <c r="CC767" s="8" t="str">
        <f>"77868"</f>
        <v>77868</v>
      </c>
      <c r="CD767" t="s">
        <v>16274</v>
      </c>
      <c r="CE767" t="s">
        <v>619</v>
      </c>
      <c r="CF767" s="12">
        <v>18.329999999999998</v>
      </c>
      <c r="CG767" s="12">
        <v>18.329999999999998</v>
      </c>
      <c r="CH767" s="12">
        <v>27.5</v>
      </c>
      <c r="CI767" s="12">
        <v>27.5</v>
      </c>
      <c r="CJ767" t="s">
        <v>135</v>
      </c>
      <c r="CK767" t="s">
        <v>590</v>
      </c>
      <c r="CL767" t="s">
        <v>22165</v>
      </c>
      <c r="CO767" t="s">
        <v>132</v>
      </c>
      <c r="CP767" t="s">
        <v>136</v>
      </c>
      <c r="CQ767" t="s">
        <v>114</v>
      </c>
      <c r="CR767" t="s">
        <v>136</v>
      </c>
      <c r="CS767" t="s">
        <v>136</v>
      </c>
      <c r="CT767" t="s">
        <v>136</v>
      </c>
      <c r="CU767" t="s">
        <v>136</v>
      </c>
      <c r="CV767" t="s">
        <v>9634</v>
      </c>
      <c r="CW767" s="10" t="str">
        <f>"N/A"</f>
        <v>N/A</v>
      </c>
      <c r="CX767" t="s">
        <v>5494</v>
      </c>
      <c r="CY767" t="s">
        <v>1853</v>
      </c>
      <c r="CZ767" t="s">
        <v>137</v>
      </c>
      <c r="DA767" t="s">
        <v>114</v>
      </c>
      <c r="DB767" t="s">
        <v>114</v>
      </c>
      <c r="DC767" t="s">
        <v>136</v>
      </c>
      <c r="DD767" t="s">
        <v>114</v>
      </c>
      <c r="DE767" t="s">
        <v>595</v>
      </c>
      <c r="DF767" t="s">
        <v>596</v>
      </c>
      <c r="DH767" t="s">
        <v>583</v>
      </c>
      <c r="DI767" t="s">
        <v>582</v>
      </c>
    </row>
    <row r="768" spans="1:113" ht="15" customHeight="1" x14ac:dyDescent="0.25">
      <c r="A768" t="s">
        <v>11124</v>
      </c>
      <c r="B768" t="s">
        <v>152</v>
      </c>
      <c r="C768" s="1">
        <v>45218.436356828701</v>
      </c>
      <c r="D768" s="1">
        <v>45254</v>
      </c>
      <c r="E768" t="s">
        <v>132</v>
      </c>
      <c r="F768" t="s">
        <v>11125</v>
      </c>
      <c r="G768" t="str">
        <f>"37-3013.00"</f>
        <v>37-3013.00</v>
      </c>
      <c r="H768" t="s">
        <v>666</v>
      </c>
      <c r="I768">
        <v>35</v>
      </c>
      <c r="J768">
        <v>35</v>
      </c>
      <c r="K768" s="1">
        <v>45295</v>
      </c>
      <c r="L768" s="1">
        <v>45600</v>
      </c>
      <c r="M768" s="1">
        <v>45295</v>
      </c>
      <c r="N768" s="1">
        <v>45600</v>
      </c>
      <c r="O768" t="s">
        <v>116</v>
      </c>
      <c r="P768" t="s">
        <v>11126</v>
      </c>
      <c r="R768" t="s">
        <v>5489</v>
      </c>
      <c r="T768" t="s">
        <v>2564</v>
      </c>
      <c r="U768" t="s">
        <v>127</v>
      </c>
      <c r="V768" s="8" t="str">
        <f>"77017"</f>
        <v>77017</v>
      </c>
      <c r="W768" t="s">
        <v>118</v>
      </c>
      <c r="Y768" s="10">
        <v>17138477120</v>
      </c>
      <c r="AA768">
        <v>56173</v>
      </c>
      <c r="AB768" t="s">
        <v>5490</v>
      </c>
      <c r="AC768" t="s">
        <v>5491</v>
      </c>
      <c r="AE768" t="s">
        <v>5492</v>
      </c>
      <c r="AF768" t="s">
        <v>5489</v>
      </c>
      <c r="AH768" t="s">
        <v>2564</v>
      </c>
      <c r="AI768" t="s">
        <v>127</v>
      </c>
      <c r="AJ768" s="8" t="str">
        <f>"77017"</f>
        <v>77017</v>
      </c>
      <c r="AK768" t="s">
        <v>118</v>
      </c>
      <c r="AM768" s="10">
        <v>17138477120</v>
      </c>
      <c r="AO768" t="s">
        <v>132</v>
      </c>
      <c r="AP768" t="s">
        <v>248</v>
      </c>
      <c r="AQ768" t="s">
        <v>577</v>
      </c>
      <c r="AR768" t="s">
        <v>578</v>
      </c>
      <c r="AT768" t="s">
        <v>579</v>
      </c>
      <c r="AV768" t="s">
        <v>580</v>
      </c>
      <c r="AW768" t="s">
        <v>581</v>
      </c>
      <c r="AX768" s="8" t="str">
        <f>"22903"</f>
        <v>22903</v>
      </c>
      <c r="AY768" t="s">
        <v>118</v>
      </c>
      <c r="BA768" s="10">
        <v>14342634300</v>
      </c>
      <c r="BC768" t="s">
        <v>582</v>
      </c>
      <c r="BD768" t="s">
        <v>583</v>
      </c>
      <c r="BG768" t="s">
        <v>1825</v>
      </c>
      <c r="BH768" s="1">
        <v>45217.833333333336</v>
      </c>
      <c r="BI768">
        <v>40</v>
      </c>
      <c r="BJ768">
        <v>0</v>
      </c>
      <c r="BK768">
        <v>8</v>
      </c>
      <c r="BL768">
        <v>8</v>
      </c>
      <c r="BM768">
        <v>8</v>
      </c>
      <c r="BN768">
        <v>8</v>
      </c>
      <c r="BO768">
        <v>8</v>
      </c>
      <c r="BP768">
        <v>0</v>
      </c>
      <c r="BQ768" t="str">
        <f>"6:00 AM"</f>
        <v>6:00 AM</v>
      </c>
      <c r="BR768" t="str">
        <f>"2:00 PM"</f>
        <v>2:00 PM</v>
      </c>
      <c r="BS768" t="s">
        <v>131</v>
      </c>
      <c r="BT768">
        <v>0</v>
      </c>
      <c r="BU768">
        <v>0</v>
      </c>
      <c r="BV768" t="s">
        <v>114</v>
      </c>
      <c r="BX768" s="2" t="s">
        <v>11127</v>
      </c>
      <c r="BY768" t="s">
        <v>11128</v>
      </c>
      <c r="CA768" t="s">
        <v>1824</v>
      </c>
      <c r="CB768" t="s">
        <v>1825</v>
      </c>
      <c r="CC768" s="8" t="str">
        <f>"72211"</f>
        <v>72211</v>
      </c>
      <c r="CD768" t="s">
        <v>1832</v>
      </c>
      <c r="CE768" t="s">
        <v>1833</v>
      </c>
      <c r="CF768" s="12">
        <v>24.17</v>
      </c>
      <c r="CG768" s="12">
        <v>24.17</v>
      </c>
      <c r="CH768" s="12">
        <v>36.26</v>
      </c>
      <c r="CI768" s="12">
        <v>36.26</v>
      </c>
      <c r="CJ768" t="s">
        <v>135</v>
      </c>
      <c r="CK768" t="s">
        <v>590</v>
      </c>
      <c r="CL768" t="s">
        <v>11129</v>
      </c>
      <c r="CO768" t="s">
        <v>132</v>
      </c>
      <c r="CP768" t="s">
        <v>136</v>
      </c>
      <c r="CQ768" t="s">
        <v>114</v>
      </c>
      <c r="CR768" t="s">
        <v>136</v>
      </c>
      <c r="CS768" t="s">
        <v>136</v>
      </c>
      <c r="CT768" t="s">
        <v>136</v>
      </c>
      <c r="CU768" t="s">
        <v>136</v>
      </c>
      <c r="CV768" t="s">
        <v>9634</v>
      </c>
      <c r="CW768" s="10" t="str">
        <f>"N/A"</f>
        <v>N/A</v>
      </c>
      <c r="CX768" t="s">
        <v>5494</v>
      </c>
      <c r="CY768" t="s">
        <v>11130</v>
      </c>
      <c r="CZ768" t="s">
        <v>137</v>
      </c>
      <c r="DA768" t="s">
        <v>114</v>
      </c>
      <c r="DB768" t="s">
        <v>114</v>
      </c>
      <c r="DC768" t="s">
        <v>136</v>
      </c>
      <c r="DD768" t="s">
        <v>114</v>
      </c>
      <c r="DE768" t="s">
        <v>595</v>
      </c>
      <c r="DF768" t="s">
        <v>596</v>
      </c>
      <c r="DH768" t="s">
        <v>583</v>
      </c>
      <c r="DI768" t="s">
        <v>582</v>
      </c>
    </row>
    <row r="769" spans="1:108" ht="15" customHeight="1" x14ac:dyDescent="0.25">
      <c r="A769" t="s">
        <v>20010</v>
      </c>
      <c r="B769" t="s">
        <v>152</v>
      </c>
      <c r="C769" s="1">
        <v>45214.341998842596</v>
      </c>
      <c r="D769" s="1">
        <v>45254</v>
      </c>
      <c r="E769" t="s">
        <v>132</v>
      </c>
      <c r="F769" t="s">
        <v>12631</v>
      </c>
      <c r="G769" t="str">
        <f>"35-3023.00"</f>
        <v>35-3023.00</v>
      </c>
      <c r="H769" t="s">
        <v>1365</v>
      </c>
      <c r="I769">
        <v>30</v>
      </c>
      <c r="J769">
        <v>30</v>
      </c>
      <c r="K769" s="1">
        <v>45304</v>
      </c>
      <c r="L769" s="1">
        <v>45608</v>
      </c>
      <c r="M769" s="1">
        <v>45304</v>
      </c>
      <c r="N769" s="1">
        <v>45608</v>
      </c>
      <c r="O769" t="s">
        <v>238</v>
      </c>
      <c r="P769" t="s">
        <v>20011</v>
      </c>
      <c r="R769" t="s">
        <v>20012</v>
      </c>
      <c r="S769" t="s">
        <v>20013</v>
      </c>
      <c r="T769" t="s">
        <v>20014</v>
      </c>
      <c r="U769" t="s">
        <v>140</v>
      </c>
      <c r="V769" s="8" t="str">
        <f>"34638"</f>
        <v>34638</v>
      </c>
      <c r="W769" t="s">
        <v>118</v>
      </c>
      <c r="Y769" s="10">
        <v>18133354354</v>
      </c>
      <c r="AA769">
        <v>71399</v>
      </c>
      <c r="AB769" t="s">
        <v>20015</v>
      </c>
      <c r="AC769" t="s">
        <v>2716</v>
      </c>
      <c r="AD769" t="s">
        <v>5507</v>
      </c>
      <c r="AE769" t="s">
        <v>629</v>
      </c>
      <c r="AF769" t="s">
        <v>20012</v>
      </c>
      <c r="AG769" t="s">
        <v>20013</v>
      </c>
      <c r="AH769" t="s">
        <v>20014</v>
      </c>
      <c r="AI769" t="s">
        <v>140</v>
      </c>
      <c r="AJ769" s="8" t="str">
        <f>"34638"</f>
        <v>34638</v>
      </c>
      <c r="AK769" t="s">
        <v>118</v>
      </c>
      <c r="AM769" s="10">
        <v>18133354354</v>
      </c>
      <c r="AO769" t="s">
        <v>20016</v>
      </c>
      <c r="AP769" t="s">
        <v>248</v>
      </c>
      <c r="AQ769" t="s">
        <v>249</v>
      </c>
      <c r="AR769" t="s">
        <v>250</v>
      </c>
      <c r="AS769" t="s">
        <v>251</v>
      </c>
      <c r="AT769" t="s">
        <v>252</v>
      </c>
      <c r="AU769" t="s">
        <v>253</v>
      </c>
      <c r="AV769" t="s">
        <v>254</v>
      </c>
      <c r="AW769" t="s">
        <v>127</v>
      </c>
      <c r="AX769" s="8" t="str">
        <f>"78550"</f>
        <v>78550</v>
      </c>
      <c r="AY769" t="s">
        <v>118</v>
      </c>
      <c r="BA769" s="10">
        <v>19564408720</v>
      </c>
      <c r="BB769" s="3" t="s">
        <v>256</v>
      </c>
      <c r="BC769" t="s">
        <v>3829</v>
      </c>
      <c r="BD769" t="s">
        <v>258</v>
      </c>
      <c r="BG769" t="s">
        <v>140</v>
      </c>
      <c r="BH769" s="1">
        <v>45213.833333333336</v>
      </c>
      <c r="BI769">
        <v>40</v>
      </c>
      <c r="BJ769">
        <v>8</v>
      </c>
      <c r="BK769">
        <v>0</v>
      </c>
      <c r="BL769">
        <v>0</v>
      </c>
      <c r="BM769">
        <v>8</v>
      </c>
      <c r="BN769">
        <v>8</v>
      </c>
      <c r="BO769">
        <v>8</v>
      </c>
      <c r="BP769">
        <v>8</v>
      </c>
      <c r="BQ769" t="str">
        <f>"1:00 PM"</f>
        <v>1:00 PM</v>
      </c>
      <c r="BR769" t="str">
        <f>"10:00 PM"</f>
        <v>10:00 PM</v>
      </c>
      <c r="BS769" t="s">
        <v>131</v>
      </c>
      <c r="BT769">
        <v>0</v>
      </c>
      <c r="BU769">
        <v>0</v>
      </c>
      <c r="BV769" t="s">
        <v>114</v>
      </c>
      <c r="BX769" s="2" t="s">
        <v>259</v>
      </c>
      <c r="BY769" t="s">
        <v>20017</v>
      </c>
      <c r="CA769" t="s">
        <v>8446</v>
      </c>
      <c r="CB769" t="s">
        <v>140</v>
      </c>
      <c r="CC769" s="8" t="str">
        <f>"34610"</f>
        <v>34610</v>
      </c>
      <c r="CD769" t="s">
        <v>18483</v>
      </c>
      <c r="CE769" t="s">
        <v>467</v>
      </c>
      <c r="CF769" s="12">
        <v>10.59</v>
      </c>
      <c r="CG769" s="12">
        <v>14.79</v>
      </c>
      <c r="CJ769" t="s">
        <v>135</v>
      </c>
      <c r="CK769" t="s">
        <v>264</v>
      </c>
      <c r="CL769" t="s">
        <v>20018</v>
      </c>
      <c r="CO769" t="s">
        <v>132</v>
      </c>
      <c r="CP769" t="s">
        <v>136</v>
      </c>
      <c r="CQ769" t="s">
        <v>136</v>
      </c>
      <c r="CR769" t="s">
        <v>114</v>
      </c>
      <c r="CS769" t="s">
        <v>136</v>
      </c>
      <c r="CT769" t="s">
        <v>136</v>
      </c>
      <c r="CU769" t="s">
        <v>136</v>
      </c>
      <c r="CV769" t="s">
        <v>20019</v>
      </c>
      <c r="CW769" s="10" t="str">
        <f>"+18133354352"</f>
        <v>+18133354352</v>
      </c>
      <c r="CX769" t="s">
        <v>20016</v>
      </c>
      <c r="CY769" t="s">
        <v>132</v>
      </c>
      <c r="CZ769" t="s">
        <v>137</v>
      </c>
      <c r="DA769" t="s">
        <v>114</v>
      </c>
      <c r="DB769" t="s">
        <v>136</v>
      </c>
      <c r="DC769" t="s">
        <v>136</v>
      </c>
      <c r="DD769" t="s">
        <v>114</v>
      </c>
    </row>
    <row r="770" spans="1:108" ht="15" customHeight="1" x14ac:dyDescent="0.25">
      <c r="A770" t="s">
        <v>11011</v>
      </c>
      <c r="B770" t="s">
        <v>152</v>
      </c>
      <c r="C770" s="1">
        <v>45210.778246527778</v>
      </c>
      <c r="D770" s="1">
        <v>45254</v>
      </c>
      <c r="E770" t="s">
        <v>132</v>
      </c>
      <c r="F770" t="s">
        <v>11012</v>
      </c>
      <c r="G770" t="str">
        <f>"45-2093.00"</f>
        <v>45-2093.00</v>
      </c>
      <c r="H770" t="s">
        <v>11013</v>
      </c>
      <c r="I770">
        <v>12</v>
      </c>
      <c r="J770">
        <v>12</v>
      </c>
      <c r="K770" s="1">
        <v>45292</v>
      </c>
      <c r="L770" s="1">
        <v>45473</v>
      </c>
      <c r="M770" s="1">
        <v>45292</v>
      </c>
      <c r="N770" s="1">
        <v>45473</v>
      </c>
      <c r="O770" t="s">
        <v>238</v>
      </c>
      <c r="P770" t="s">
        <v>9941</v>
      </c>
      <c r="R770" t="s">
        <v>9942</v>
      </c>
      <c r="S770" t="s">
        <v>9943</v>
      </c>
      <c r="T770" t="s">
        <v>9944</v>
      </c>
      <c r="U770" t="s">
        <v>127</v>
      </c>
      <c r="V770" s="8" t="str">
        <f>"77592"</f>
        <v>77592</v>
      </c>
      <c r="W770" t="s">
        <v>118</v>
      </c>
      <c r="Y770" s="10">
        <v>14099454001</v>
      </c>
      <c r="AA770">
        <v>424460</v>
      </c>
      <c r="AB770" t="s">
        <v>11014</v>
      </c>
      <c r="AC770" t="s">
        <v>11015</v>
      </c>
      <c r="AE770" t="s">
        <v>120</v>
      </c>
      <c r="AF770" t="s">
        <v>9942</v>
      </c>
      <c r="AH770" t="s">
        <v>9944</v>
      </c>
      <c r="AI770" t="s">
        <v>127</v>
      </c>
      <c r="AJ770" s="8" t="str">
        <f>"77592"</f>
        <v>77592</v>
      </c>
      <c r="AK770" t="s">
        <v>118</v>
      </c>
      <c r="AM770" s="10">
        <v>14099454001</v>
      </c>
      <c r="AO770" t="s">
        <v>11016</v>
      </c>
      <c r="AP770" t="s">
        <v>121</v>
      </c>
      <c r="AQ770" t="s">
        <v>3627</v>
      </c>
      <c r="AR770" t="s">
        <v>2309</v>
      </c>
      <c r="AS770" t="s">
        <v>5087</v>
      </c>
      <c r="AT770" t="s">
        <v>11017</v>
      </c>
      <c r="AV770" t="s">
        <v>5089</v>
      </c>
      <c r="AW770" t="s">
        <v>333</v>
      </c>
      <c r="AX770" s="8" t="str">
        <f>"70535"</f>
        <v>70535</v>
      </c>
      <c r="AY770" t="s">
        <v>118</v>
      </c>
      <c r="BA770" s="10">
        <v>13374663722</v>
      </c>
      <c r="BC770" t="s">
        <v>5090</v>
      </c>
      <c r="BD770" t="s">
        <v>5091</v>
      </c>
      <c r="BE770" t="s">
        <v>333</v>
      </c>
      <c r="BF770" t="s">
        <v>2190</v>
      </c>
      <c r="BG770" t="s">
        <v>127</v>
      </c>
      <c r="BH770" s="1">
        <v>45208.833333333336</v>
      </c>
      <c r="BI770">
        <v>35</v>
      </c>
      <c r="BJ770">
        <v>0</v>
      </c>
      <c r="BK770">
        <v>7</v>
      </c>
      <c r="BL770">
        <v>7</v>
      </c>
      <c r="BM770">
        <v>7</v>
      </c>
      <c r="BN770">
        <v>7</v>
      </c>
      <c r="BO770">
        <v>7</v>
      </c>
      <c r="BP770">
        <v>0</v>
      </c>
      <c r="BQ770" t="str">
        <f>"1:00 AM"</f>
        <v>1:00 AM</v>
      </c>
      <c r="BR770" t="str">
        <f>"12:00 PM"</f>
        <v>12:00 PM</v>
      </c>
      <c r="BS770" t="s">
        <v>131</v>
      </c>
      <c r="BT770">
        <v>0</v>
      </c>
      <c r="BU770">
        <v>6</v>
      </c>
      <c r="BV770" t="s">
        <v>114</v>
      </c>
      <c r="BX770" s="2" t="s">
        <v>11018</v>
      </c>
      <c r="BY770" t="s">
        <v>9942</v>
      </c>
      <c r="CA770" t="s">
        <v>9944</v>
      </c>
      <c r="CB770" t="s">
        <v>127</v>
      </c>
      <c r="CC770" s="8" t="str">
        <f>"77592"</f>
        <v>77592</v>
      </c>
      <c r="CD770" t="s">
        <v>3280</v>
      </c>
      <c r="CE770" t="s">
        <v>879</v>
      </c>
      <c r="CF770" s="12">
        <v>21.76</v>
      </c>
      <c r="CG770" s="12">
        <v>21.76</v>
      </c>
      <c r="CH770" s="12">
        <v>32.64</v>
      </c>
      <c r="CI770" s="12">
        <v>32.64</v>
      </c>
      <c r="CJ770" t="s">
        <v>135</v>
      </c>
      <c r="CK770" s="2" t="s">
        <v>11019</v>
      </c>
      <c r="CL770" t="s">
        <v>11020</v>
      </c>
      <c r="CO770" t="s">
        <v>132</v>
      </c>
      <c r="CP770" t="s">
        <v>114</v>
      </c>
      <c r="CQ770" t="s">
        <v>136</v>
      </c>
      <c r="CR770" t="s">
        <v>136</v>
      </c>
      <c r="CS770" t="s">
        <v>114</v>
      </c>
      <c r="CT770" t="s">
        <v>136</v>
      </c>
      <c r="CU770" t="s">
        <v>136</v>
      </c>
      <c r="CV770" s="2" t="s">
        <v>11021</v>
      </c>
      <c r="CW770" s="10" t="str">
        <f>"+14099454001"</f>
        <v>+14099454001</v>
      </c>
      <c r="CX770" t="s">
        <v>11016</v>
      </c>
      <c r="CY770" t="s">
        <v>132</v>
      </c>
      <c r="CZ770" t="s">
        <v>137</v>
      </c>
      <c r="DA770" t="s">
        <v>114</v>
      </c>
      <c r="DB770" t="s">
        <v>114</v>
      </c>
      <c r="DC770" t="s">
        <v>136</v>
      </c>
      <c r="DD770" t="s">
        <v>114</v>
      </c>
    </row>
    <row r="771" spans="1:108" ht="15" customHeight="1" x14ac:dyDescent="0.25">
      <c r="A771" t="s">
        <v>9358</v>
      </c>
      <c r="B771" t="s">
        <v>152</v>
      </c>
      <c r="C771" s="1">
        <v>45198.663924652777</v>
      </c>
      <c r="D771" s="1">
        <v>45254</v>
      </c>
      <c r="E771" t="s">
        <v>132</v>
      </c>
      <c r="F771" t="s">
        <v>9359</v>
      </c>
      <c r="G771" t="str">
        <f>"25-3021.00"</f>
        <v>25-3021.00</v>
      </c>
      <c r="H771" t="s">
        <v>720</v>
      </c>
      <c r="I771">
        <v>20</v>
      </c>
      <c r="J771">
        <v>20</v>
      </c>
      <c r="K771" s="1">
        <v>45278</v>
      </c>
      <c r="L771" s="1">
        <v>45383</v>
      </c>
      <c r="M771" s="1">
        <v>45278</v>
      </c>
      <c r="N771" s="1">
        <v>45383</v>
      </c>
      <c r="O771" t="s">
        <v>238</v>
      </c>
      <c r="P771" t="s">
        <v>9360</v>
      </c>
      <c r="Q771" t="s">
        <v>9361</v>
      </c>
      <c r="R771" t="s">
        <v>9362</v>
      </c>
      <c r="S771" t="s">
        <v>9363</v>
      </c>
      <c r="T771" t="s">
        <v>9364</v>
      </c>
      <c r="U771" t="s">
        <v>402</v>
      </c>
      <c r="V771" s="8" t="str">
        <f>"95724"</f>
        <v>95724</v>
      </c>
      <c r="W771" t="s">
        <v>118</v>
      </c>
      <c r="Y771" s="10">
        <v>15304269000</v>
      </c>
      <c r="AA771">
        <v>721110</v>
      </c>
      <c r="AB771" t="s">
        <v>9365</v>
      </c>
      <c r="AC771" t="s">
        <v>6509</v>
      </c>
      <c r="AE771" t="s">
        <v>9366</v>
      </c>
      <c r="AF771" t="s">
        <v>9362</v>
      </c>
      <c r="AG771" t="s">
        <v>9363</v>
      </c>
      <c r="AH771" t="s">
        <v>9364</v>
      </c>
      <c r="AI771" t="s">
        <v>402</v>
      </c>
      <c r="AJ771" s="8" t="str">
        <f>"95724"</f>
        <v>95724</v>
      </c>
      <c r="AK771" t="s">
        <v>118</v>
      </c>
      <c r="AM771" s="10">
        <v>15304269000</v>
      </c>
      <c r="AO771" t="s">
        <v>9367</v>
      </c>
      <c r="AP771" t="s">
        <v>121</v>
      </c>
      <c r="AQ771" t="s">
        <v>276</v>
      </c>
      <c r="AR771" t="s">
        <v>277</v>
      </c>
      <c r="AS771" t="s">
        <v>278</v>
      </c>
      <c r="AT771" t="s">
        <v>279</v>
      </c>
      <c r="AU771" t="s">
        <v>280</v>
      </c>
      <c r="AV771" t="s">
        <v>281</v>
      </c>
      <c r="AW771" t="s">
        <v>222</v>
      </c>
      <c r="AX771" s="8" t="str">
        <f>"01701"</f>
        <v>01701</v>
      </c>
      <c r="AY771" t="s">
        <v>118</v>
      </c>
      <c r="BA771" s="10">
        <v>16179399444</v>
      </c>
      <c r="BC771" t="s">
        <v>282</v>
      </c>
      <c r="BD771" t="s">
        <v>283</v>
      </c>
      <c r="BE771" t="s">
        <v>222</v>
      </c>
      <c r="BF771" t="s">
        <v>284</v>
      </c>
      <c r="BG771" t="s">
        <v>402</v>
      </c>
      <c r="BH771" s="1">
        <v>45197.833333333336</v>
      </c>
      <c r="BI771">
        <v>40</v>
      </c>
      <c r="BJ771">
        <v>0</v>
      </c>
      <c r="BK771">
        <v>8</v>
      </c>
      <c r="BL771">
        <v>8</v>
      </c>
      <c r="BM771">
        <v>8</v>
      </c>
      <c r="BN771">
        <v>8</v>
      </c>
      <c r="BO771">
        <v>8</v>
      </c>
      <c r="BP771">
        <v>0</v>
      </c>
      <c r="BQ771" t="str">
        <f>"8:00 AM"</f>
        <v>8:00 AM</v>
      </c>
      <c r="BR771" t="str">
        <f>"4:00 PM"</f>
        <v>4:00 PM</v>
      </c>
      <c r="BS771" t="s">
        <v>131</v>
      </c>
      <c r="BT771">
        <v>0</v>
      </c>
      <c r="BU771">
        <v>0</v>
      </c>
      <c r="BV771" t="s">
        <v>114</v>
      </c>
      <c r="BX771" s="2" t="s">
        <v>9368</v>
      </c>
      <c r="BY771" t="s">
        <v>9362</v>
      </c>
      <c r="CA771" t="s">
        <v>9364</v>
      </c>
      <c r="CB771" t="s">
        <v>402</v>
      </c>
      <c r="CC771" s="8" t="str">
        <f>"95724"</f>
        <v>95724</v>
      </c>
      <c r="CD771" t="s">
        <v>4340</v>
      </c>
      <c r="CE771" t="s">
        <v>7472</v>
      </c>
      <c r="CF771" s="12">
        <v>27.63</v>
      </c>
      <c r="CG771" s="12">
        <v>40</v>
      </c>
      <c r="CH771" s="12">
        <v>41.45</v>
      </c>
      <c r="CI771" s="12">
        <v>60</v>
      </c>
      <c r="CJ771" t="s">
        <v>135</v>
      </c>
      <c r="CK771" t="s">
        <v>9369</v>
      </c>
      <c r="CL771" t="s">
        <v>9370</v>
      </c>
      <c r="CO771" t="s">
        <v>132</v>
      </c>
      <c r="CP771" t="s">
        <v>114</v>
      </c>
      <c r="CQ771" t="s">
        <v>114</v>
      </c>
      <c r="CR771" t="s">
        <v>136</v>
      </c>
      <c r="CS771" t="s">
        <v>136</v>
      </c>
      <c r="CT771" t="s">
        <v>136</v>
      </c>
      <c r="CU771" t="s">
        <v>136</v>
      </c>
      <c r="CV771" s="2" t="s">
        <v>9371</v>
      </c>
      <c r="CW771" s="10" t="str">
        <f>"+15304269000"</f>
        <v>+15304269000</v>
      </c>
      <c r="CX771" t="s">
        <v>9372</v>
      </c>
      <c r="CY771" t="s">
        <v>132</v>
      </c>
      <c r="CZ771" t="s">
        <v>137</v>
      </c>
      <c r="DA771" t="s">
        <v>114</v>
      </c>
      <c r="DB771" t="s">
        <v>114</v>
      </c>
      <c r="DC771" t="s">
        <v>136</v>
      </c>
      <c r="DD771" t="s">
        <v>114</v>
      </c>
    </row>
    <row r="772" spans="1:108" ht="15" customHeight="1" x14ac:dyDescent="0.25">
      <c r="A772" t="s">
        <v>22181</v>
      </c>
      <c r="B772" t="s">
        <v>152</v>
      </c>
      <c r="C772" s="1">
        <v>45233.531606828707</v>
      </c>
      <c r="D772" s="1">
        <v>45252</v>
      </c>
      <c r="E772" t="s">
        <v>132</v>
      </c>
      <c r="F772" t="s">
        <v>429</v>
      </c>
      <c r="G772" t="str">
        <f>"37-3011.00"</f>
        <v>37-3011.00</v>
      </c>
      <c r="H772" t="s">
        <v>429</v>
      </c>
      <c r="I772">
        <v>20</v>
      </c>
      <c r="J772">
        <v>20</v>
      </c>
      <c r="K772" s="1">
        <v>45323</v>
      </c>
      <c r="L772" s="1">
        <v>45626</v>
      </c>
      <c r="M772" s="1">
        <v>45323</v>
      </c>
      <c r="N772" s="1">
        <v>45626</v>
      </c>
      <c r="O772" t="s">
        <v>116</v>
      </c>
      <c r="P772" t="s">
        <v>22182</v>
      </c>
      <c r="R772" t="s">
        <v>22183</v>
      </c>
      <c r="S772" t="s">
        <v>12492</v>
      </c>
      <c r="T772" t="s">
        <v>2327</v>
      </c>
      <c r="U772" t="s">
        <v>333</v>
      </c>
      <c r="V772" s="8" t="str">
        <f>"70435"</f>
        <v>70435</v>
      </c>
      <c r="W772" t="s">
        <v>118</v>
      </c>
      <c r="Y772" s="10">
        <v>19853277757</v>
      </c>
      <c r="AA772">
        <v>56173</v>
      </c>
      <c r="AB772" t="s">
        <v>22184</v>
      </c>
      <c r="AC772" t="s">
        <v>218</v>
      </c>
      <c r="AE772" t="s">
        <v>1836</v>
      </c>
      <c r="AF772" t="s">
        <v>22185</v>
      </c>
      <c r="AG772" t="s">
        <v>12492</v>
      </c>
      <c r="AH772" t="s">
        <v>2327</v>
      </c>
      <c r="AI772" t="s">
        <v>333</v>
      </c>
      <c r="AJ772" s="8" t="str">
        <f>"70435"</f>
        <v>70435</v>
      </c>
      <c r="AK772" t="s">
        <v>118</v>
      </c>
      <c r="AM772" s="10">
        <v>19853277757</v>
      </c>
      <c r="AO772" t="s">
        <v>22186</v>
      </c>
      <c r="AP772" t="s">
        <v>248</v>
      </c>
      <c r="AQ772" t="s">
        <v>3290</v>
      </c>
      <c r="AR772" t="s">
        <v>2001</v>
      </c>
      <c r="AT772" t="s">
        <v>3291</v>
      </c>
      <c r="AV772" t="s">
        <v>3292</v>
      </c>
      <c r="AW772" t="s">
        <v>402</v>
      </c>
      <c r="AX772" s="8" t="str">
        <f>"93446"</f>
        <v>93446</v>
      </c>
      <c r="AY772" t="s">
        <v>118</v>
      </c>
      <c r="AZ772" t="s">
        <v>3293</v>
      </c>
      <c r="BA772" s="10">
        <v>13217042589</v>
      </c>
      <c r="BC772" t="s">
        <v>3294</v>
      </c>
      <c r="BD772" t="s">
        <v>3295</v>
      </c>
      <c r="BG772" t="s">
        <v>333</v>
      </c>
      <c r="BH772" s="1">
        <v>45224.833333333336</v>
      </c>
      <c r="BI772">
        <v>50</v>
      </c>
      <c r="BJ772">
        <v>0</v>
      </c>
      <c r="BK772">
        <v>10</v>
      </c>
      <c r="BL772">
        <v>10</v>
      </c>
      <c r="BM772">
        <v>10</v>
      </c>
      <c r="BN772">
        <v>10</v>
      </c>
      <c r="BO772">
        <v>10</v>
      </c>
      <c r="BP772">
        <v>0</v>
      </c>
      <c r="BQ772" t="str">
        <f>"6:45 AM"</f>
        <v>6:45 AM</v>
      </c>
      <c r="BR772" t="str">
        <f>"4:45 PM"</f>
        <v>4:45 PM</v>
      </c>
      <c r="BS772" t="s">
        <v>131</v>
      </c>
      <c r="BT772">
        <v>0</v>
      </c>
      <c r="BU772">
        <v>0</v>
      </c>
      <c r="BV772" t="s">
        <v>114</v>
      </c>
      <c r="BX772" s="2" t="s">
        <v>22187</v>
      </c>
      <c r="BY772" t="s">
        <v>22188</v>
      </c>
      <c r="CA772" t="s">
        <v>22189</v>
      </c>
      <c r="CB772" t="s">
        <v>333</v>
      </c>
      <c r="CC772" s="8" t="str">
        <f>"70435"</f>
        <v>70435</v>
      </c>
      <c r="CD772" t="s">
        <v>340</v>
      </c>
      <c r="CE772" t="s">
        <v>341</v>
      </c>
      <c r="CF772" s="12">
        <v>14.72</v>
      </c>
      <c r="CG772" s="12">
        <v>14.72</v>
      </c>
      <c r="CH772" s="12">
        <v>22.08</v>
      </c>
      <c r="CI772" s="12">
        <v>22.08</v>
      </c>
      <c r="CJ772" t="s">
        <v>135</v>
      </c>
      <c r="CK772" t="s">
        <v>5469</v>
      </c>
      <c r="CL772" t="s">
        <v>22190</v>
      </c>
      <c r="CO772" t="s">
        <v>132</v>
      </c>
      <c r="CP772" t="s">
        <v>136</v>
      </c>
      <c r="CQ772" t="s">
        <v>136</v>
      </c>
      <c r="CR772" t="s">
        <v>136</v>
      </c>
      <c r="CS772" t="s">
        <v>136</v>
      </c>
      <c r="CT772" t="s">
        <v>136</v>
      </c>
      <c r="CU772" t="s">
        <v>136</v>
      </c>
      <c r="CV772" t="s">
        <v>22191</v>
      </c>
      <c r="CW772" s="10" t="str">
        <f>"+19853277757"</f>
        <v>+19853277757</v>
      </c>
      <c r="CX772" t="s">
        <v>132</v>
      </c>
      <c r="CY772" t="s">
        <v>22192</v>
      </c>
      <c r="CZ772" t="s">
        <v>137</v>
      </c>
      <c r="DA772" t="s">
        <v>114</v>
      </c>
      <c r="DB772" t="s">
        <v>114</v>
      </c>
      <c r="DC772" t="s">
        <v>136</v>
      </c>
      <c r="DD772" t="s">
        <v>114</v>
      </c>
    </row>
    <row r="773" spans="1:108" ht="15" customHeight="1" x14ac:dyDescent="0.25">
      <c r="A773" t="s">
        <v>5999</v>
      </c>
      <c r="B773" t="s">
        <v>152</v>
      </c>
      <c r="C773" s="1">
        <v>45233.422725694443</v>
      </c>
      <c r="D773" s="1">
        <v>45252</v>
      </c>
      <c r="E773" t="s">
        <v>132</v>
      </c>
      <c r="F773" t="s">
        <v>1595</v>
      </c>
      <c r="G773" t="str">
        <f>"37-3011.00"</f>
        <v>37-3011.00</v>
      </c>
      <c r="H773" t="s">
        <v>429</v>
      </c>
      <c r="I773">
        <v>70</v>
      </c>
      <c r="J773">
        <v>70</v>
      </c>
      <c r="K773" s="1">
        <v>45323</v>
      </c>
      <c r="L773" s="1">
        <v>45626</v>
      </c>
      <c r="M773" s="1">
        <v>45323</v>
      </c>
      <c r="N773" s="1">
        <v>45626</v>
      </c>
      <c r="O773" t="s">
        <v>116</v>
      </c>
      <c r="P773" t="s">
        <v>6000</v>
      </c>
      <c r="R773" t="s">
        <v>6001</v>
      </c>
      <c r="S773" t="s">
        <v>132</v>
      </c>
      <c r="T773" t="s">
        <v>126</v>
      </c>
      <c r="U773" t="s">
        <v>127</v>
      </c>
      <c r="V773" s="8" t="str">
        <f>"78247"</f>
        <v>78247</v>
      </c>
      <c r="W773" t="s">
        <v>118</v>
      </c>
      <c r="X773" t="s">
        <v>132</v>
      </c>
      <c r="Y773" s="10">
        <v>12104973757</v>
      </c>
      <c r="AA773">
        <v>561730</v>
      </c>
      <c r="AB773" t="s">
        <v>6002</v>
      </c>
      <c r="AC773" t="s">
        <v>5069</v>
      </c>
      <c r="AD773" t="s">
        <v>631</v>
      </c>
      <c r="AE773" t="s">
        <v>629</v>
      </c>
      <c r="AF773" t="s">
        <v>6001</v>
      </c>
      <c r="AG773" t="s">
        <v>132</v>
      </c>
      <c r="AH773" t="s">
        <v>126</v>
      </c>
      <c r="AI773" t="s">
        <v>127</v>
      </c>
      <c r="AJ773" s="8" t="str">
        <f>"78247"</f>
        <v>78247</v>
      </c>
      <c r="AK773" t="s">
        <v>118</v>
      </c>
      <c r="AM773" s="10">
        <v>12104973757</v>
      </c>
      <c r="AO773" t="s">
        <v>6003</v>
      </c>
      <c r="AP773" t="s">
        <v>248</v>
      </c>
      <c r="AQ773" t="s">
        <v>5000</v>
      </c>
      <c r="AR773" t="s">
        <v>4889</v>
      </c>
      <c r="AS773" t="s">
        <v>2998</v>
      </c>
      <c r="AT773" t="s">
        <v>1584</v>
      </c>
      <c r="AU773" t="s">
        <v>132</v>
      </c>
      <c r="AV773" t="s">
        <v>1585</v>
      </c>
      <c r="AW773" t="s">
        <v>127</v>
      </c>
      <c r="AX773" s="8" t="str">
        <f>"77414"</f>
        <v>77414</v>
      </c>
      <c r="AY773" t="s">
        <v>118</v>
      </c>
      <c r="BA773" s="10">
        <v>19793187277</v>
      </c>
      <c r="BC773" t="s">
        <v>5001</v>
      </c>
      <c r="BD773" t="s">
        <v>1587</v>
      </c>
      <c r="BG773" t="s">
        <v>127</v>
      </c>
      <c r="BH773" s="1">
        <v>45232.833333333336</v>
      </c>
      <c r="BI773">
        <v>40</v>
      </c>
      <c r="BJ773">
        <v>0</v>
      </c>
      <c r="BK773">
        <v>8</v>
      </c>
      <c r="BL773">
        <v>8</v>
      </c>
      <c r="BM773">
        <v>8</v>
      </c>
      <c r="BN773">
        <v>8</v>
      </c>
      <c r="BO773">
        <v>8</v>
      </c>
      <c r="BP773">
        <v>0</v>
      </c>
      <c r="BQ773" t="str">
        <f>"7:00 AM"</f>
        <v>7:00 AM</v>
      </c>
      <c r="BR773" t="str">
        <f>"4:00 PM"</f>
        <v>4:00 PM</v>
      </c>
      <c r="BS773" t="s">
        <v>131</v>
      </c>
      <c r="BT773">
        <v>0</v>
      </c>
      <c r="BU773">
        <v>0</v>
      </c>
      <c r="BV773" t="s">
        <v>114</v>
      </c>
      <c r="BX773" s="2" t="s">
        <v>6004</v>
      </c>
      <c r="BY773" t="s">
        <v>6001</v>
      </c>
      <c r="BZ773" t="s">
        <v>132</v>
      </c>
      <c r="CA773" t="s">
        <v>126</v>
      </c>
      <c r="CB773" t="s">
        <v>127</v>
      </c>
      <c r="CC773" s="8" t="str">
        <f>"78247"</f>
        <v>78247</v>
      </c>
      <c r="CD773" t="s">
        <v>1941</v>
      </c>
      <c r="CE773" t="s">
        <v>1287</v>
      </c>
      <c r="CF773" s="12">
        <v>15.69</v>
      </c>
      <c r="CH773" s="12">
        <v>23.54</v>
      </c>
      <c r="CJ773" t="s">
        <v>135</v>
      </c>
      <c r="CK773" t="s">
        <v>6005</v>
      </c>
      <c r="CL773" t="s">
        <v>6006</v>
      </c>
      <c r="CO773" t="s">
        <v>132</v>
      </c>
      <c r="CP773" t="s">
        <v>136</v>
      </c>
      <c r="CQ773" t="s">
        <v>136</v>
      </c>
      <c r="CR773" t="s">
        <v>136</v>
      </c>
      <c r="CS773" t="s">
        <v>136</v>
      </c>
      <c r="CT773" t="s">
        <v>136</v>
      </c>
      <c r="CU773" t="s">
        <v>114</v>
      </c>
      <c r="CV773" t="s">
        <v>3057</v>
      </c>
      <c r="CW773" s="10" t="str">
        <f>"+12102876774"</f>
        <v>+12102876774</v>
      </c>
      <c r="CX773" t="s">
        <v>6003</v>
      </c>
      <c r="CY773" t="s">
        <v>132</v>
      </c>
      <c r="CZ773" t="s">
        <v>137</v>
      </c>
      <c r="DA773" t="s">
        <v>114</v>
      </c>
      <c r="DB773" t="s">
        <v>114</v>
      </c>
      <c r="DC773" t="s">
        <v>136</v>
      </c>
      <c r="DD773" t="s">
        <v>114</v>
      </c>
    </row>
    <row r="774" spans="1:108" ht="15" customHeight="1" x14ac:dyDescent="0.25">
      <c r="A774" t="s">
        <v>12789</v>
      </c>
      <c r="B774" t="s">
        <v>152</v>
      </c>
      <c r="C774" s="1">
        <v>45232.725602893515</v>
      </c>
      <c r="D774" s="1">
        <v>45252</v>
      </c>
      <c r="E774" t="s">
        <v>132</v>
      </c>
      <c r="F774" t="s">
        <v>685</v>
      </c>
      <c r="G774" t="str">
        <f>"39-3091.00"</f>
        <v>39-3091.00</v>
      </c>
      <c r="H774" t="s">
        <v>237</v>
      </c>
      <c r="I774">
        <v>10</v>
      </c>
      <c r="J774">
        <v>10</v>
      </c>
      <c r="K774" s="1">
        <v>45322</v>
      </c>
      <c r="L774" s="1">
        <v>45606</v>
      </c>
      <c r="M774" s="1">
        <v>45322</v>
      </c>
      <c r="N774" s="1">
        <v>45606</v>
      </c>
      <c r="O774" t="s">
        <v>238</v>
      </c>
      <c r="P774" t="s">
        <v>12790</v>
      </c>
      <c r="R774" t="s">
        <v>12791</v>
      </c>
      <c r="T774" t="s">
        <v>12792</v>
      </c>
      <c r="U774" t="s">
        <v>402</v>
      </c>
      <c r="V774" s="8" t="str">
        <f>"93453"</f>
        <v>93453</v>
      </c>
      <c r="W774" t="s">
        <v>118</v>
      </c>
      <c r="Y774" s="10">
        <v>18058780173</v>
      </c>
      <c r="Z774" s="3" t="s">
        <v>256</v>
      </c>
      <c r="AA774">
        <v>71399</v>
      </c>
      <c r="AB774" t="s">
        <v>12793</v>
      </c>
      <c r="AC774" t="s">
        <v>5130</v>
      </c>
      <c r="AD774" t="s">
        <v>1738</v>
      </c>
      <c r="AE774" t="s">
        <v>629</v>
      </c>
      <c r="AF774" t="s">
        <v>12791</v>
      </c>
      <c r="AH774" t="s">
        <v>12792</v>
      </c>
      <c r="AI774" t="s">
        <v>402</v>
      </c>
      <c r="AJ774" s="8" t="str">
        <f>"93453"</f>
        <v>93453</v>
      </c>
      <c r="AK774" t="s">
        <v>118</v>
      </c>
      <c r="AM774" s="10">
        <v>18058780173</v>
      </c>
      <c r="AN774" s="3" t="s">
        <v>256</v>
      </c>
      <c r="AO774" t="s">
        <v>12794</v>
      </c>
      <c r="AP774" t="s">
        <v>248</v>
      </c>
      <c r="AQ774" t="s">
        <v>249</v>
      </c>
      <c r="AR774" t="s">
        <v>250</v>
      </c>
      <c r="AS774" t="s">
        <v>251</v>
      </c>
      <c r="AT774" t="s">
        <v>252</v>
      </c>
      <c r="AU774" t="s">
        <v>253</v>
      </c>
      <c r="AV774" t="s">
        <v>254</v>
      </c>
      <c r="AW774" t="s">
        <v>127</v>
      </c>
      <c r="AX774" s="8" t="str">
        <f>"78550"</f>
        <v>78550</v>
      </c>
      <c r="AY774" t="s">
        <v>118</v>
      </c>
      <c r="AZ774" t="s">
        <v>255</v>
      </c>
      <c r="BA774" s="10">
        <v>19564408720</v>
      </c>
      <c r="BB774" s="3" t="s">
        <v>256</v>
      </c>
      <c r="BC774" t="s">
        <v>338</v>
      </c>
      <c r="BD774" t="s">
        <v>258</v>
      </c>
      <c r="BG774" t="s">
        <v>402</v>
      </c>
      <c r="BH774" s="1">
        <v>45231.833333333336</v>
      </c>
      <c r="BI774">
        <v>40</v>
      </c>
      <c r="BJ774">
        <v>8</v>
      </c>
      <c r="BK774">
        <v>0</v>
      </c>
      <c r="BL774">
        <v>0</v>
      </c>
      <c r="BM774">
        <v>8</v>
      </c>
      <c r="BN774">
        <v>8</v>
      </c>
      <c r="BO774">
        <v>8</v>
      </c>
      <c r="BP774">
        <v>8</v>
      </c>
      <c r="BQ774" t="str">
        <f>"1:00 PM"</f>
        <v>1:00 PM</v>
      </c>
      <c r="BR774" t="str">
        <f>"10:00 PM"</f>
        <v>10:00 PM</v>
      </c>
      <c r="BS774" t="s">
        <v>131</v>
      </c>
      <c r="BT774">
        <v>0</v>
      </c>
      <c r="BU774">
        <v>0</v>
      </c>
      <c r="BV774" t="s">
        <v>114</v>
      </c>
      <c r="BX774" s="2" t="s">
        <v>339</v>
      </c>
      <c r="BY774" t="s">
        <v>12795</v>
      </c>
      <c r="CA774" t="s">
        <v>12796</v>
      </c>
      <c r="CB774" t="s">
        <v>402</v>
      </c>
      <c r="CC774" s="8" t="str">
        <f>"93453"</f>
        <v>93453</v>
      </c>
      <c r="CD774" t="s">
        <v>12797</v>
      </c>
      <c r="CE774" t="s">
        <v>12798</v>
      </c>
      <c r="CF774" s="12">
        <v>13.61</v>
      </c>
      <c r="CG774" s="12">
        <v>16.190000000000001</v>
      </c>
      <c r="CJ774" t="s">
        <v>135</v>
      </c>
      <c r="CK774" t="s">
        <v>342</v>
      </c>
      <c r="CL774" t="s">
        <v>12799</v>
      </c>
      <c r="CO774" t="s">
        <v>132</v>
      </c>
      <c r="CP774" t="s">
        <v>136</v>
      </c>
      <c r="CQ774" t="s">
        <v>136</v>
      </c>
      <c r="CR774" t="s">
        <v>114</v>
      </c>
      <c r="CS774" t="s">
        <v>136</v>
      </c>
      <c r="CT774" t="s">
        <v>136</v>
      </c>
      <c r="CU774" t="s">
        <v>136</v>
      </c>
      <c r="CV774" t="s">
        <v>344</v>
      </c>
      <c r="CW774" s="10" t="str">
        <f>"+18054752209"</f>
        <v>+18054752209</v>
      </c>
      <c r="CX774" t="s">
        <v>12800</v>
      </c>
      <c r="CY774" t="s">
        <v>132</v>
      </c>
      <c r="CZ774" t="s">
        <v>137</v>
      </c>
      <c r="DA774" t="s">
        <v>114</v>
      </c>
      <c r="DB774" t="s">
        <v>114</v>
      </c>
      <c r="DC774" t="s">
        <v>136</v>
      </c>
      <c r="DD774" t="s">
        <v>114</v>
      </c>
    </row>
    <row r="775" spans="1:108" ht="15" customHeight="1" x14ac:dyDescent="0.25">
      <c r="A775" t="s">
        <v>23860</v>
      </c>
      <c r="B775" t="s">
        <v>152</v>
      </c>
      <c r="C775" s="1">
        <v>45227.308810532406</v>
      </c>
      <c r="D775" s="1">
        <v>45252</v>
      </c>
      <c r="E775" t="s">
        <v>132</v>
      </c>
      <c r="F775" t="s">
        <v>2020</v>
      </c>
      <c r="G775" t="str">
        <f>"37-3011.00"</f>
        <v>37-3011.00</v>
      </c>
      <c r="H775" t="s">
        <v>429</v>
      </c>
      <c r="I775">
        <v>17</v>
      </c>
      <c r="J775">
        <v>17</v>
      </c>
      <c r="K775" s="1">
        <v>45317</v>
      </c>
      <c r="L775" s="1">
        <v>45620</v>
      </c>
      <c r="M775" s="1">
        <v>45317</v>
      </c>
      <c r="N775" s="1">
        <v>45620</v>
      </c>
      <c r="O775" t="s">
        <v>238</v>
      </c>
      <c r="P775" t="s">
        <v>23861</v>
      </c>
      <c r="R775" t="s">
        <v>23862</v>
      </c>
      <c r="T775" t="s">
        <v>4871</v>
      </c>
      <c r="U775" t="s">
        <v>984</v>
      </c>
      <c r="V775" s="8" t="str">
        <f>"63049"</f>
        <v>63049</v>
      </c>
      <c r="W775" t="s">
        <v>118</v>
      </c>
      <c r="Y775" s="10">
        <v>13145686550</v>
      </c>
      <c r="AA775">
        <v>56173</v>
      </c>
      <c r="AB775" t="s">
        <v>23863</v>
      </c>
      <c r="AC775" t="s">
        <v>5103</v>
      </c>
      <c r="AE775" t="s">
        <v>561</v>
      </c>
      <c r="AF775" t="s">
        <v>23862</v>
      </c>
      <c r="AH775" t="s">
        <v>4871</v>
      </c>
      <c r="AI775" t="s">
        <v>984</v>
      </c>
      <c r="AJ775" s="8" t="str">
        <f>"63049"</f>
        <v>63049</v>
      </c>
      <c r="AK775" t="s">
        <v>118</v>
      </c>
      <c r="AM775" s="10">
        <v>13145686550</v>
      </c>
      <c r="AO775" t="s">
        <v>23864</v>
      </c>
      <c r="AP775" t="s">
        <v>248</v>
      </c>
      <c r="AQ775" t="s">
        <v>2152</v>
      </c>
      <c r="AR775" t="s">
        <v>2153</v>
      </c>
      <c r="AS775" t="s">
        <v>1798</v>
      </c>
      <c r="AT775" t="s">
        <v>1253</v>
      </c>
      <c r="AU775" t="s">
        <v>852</v>
      </c>
      <c r="AV775" t="s">
        <v>853</v>
      </c>
      <c r="AW775" t="s">
        <v>854</v>
      </c>
      <c r="AX775" s="8" t="str">
        <f>"83814"</f>
        <v>83814</v>
      </c>
      <c r="AY775" t="s">
        <v>118</v>
      </c>
      <c r="BA775" s="10">
        <v>12087772654</v>
      </c>
      <c r="BC775" t="s">
        <v>2154</v>
      </c>
      <c r="BD775" t="s">
        <v>856</v>
      </c>
      <c r="BG775" t="s">
        <v>984</v>
      </c>
      <c r="BH775" s="1">
        <v>45225.833333333336</v>
      </c>
      <c r="BI775">
        <v>40</v>
      </c>
      <c r="BJ775">
        <v>0</v>
      </c>
      <c r="BK775">
        <v>8</v>
      </c>
      <c r="BL775">
        <v>8</v>
      </c>
      <c r="BM775">
        <v>8</v>
      </c>
      <c r="BN775">
        <v>8</v>
      </c>
      <c r="BO775">
        <v>8</v>
      </c>
      <c r="BP775">
        <v>0</v>
      </c>
      <c r="BQ775" t="str">
        <f>"5:30 AM"</f>
        <v>5:30 AM</v>
      </c>
      <c r="BR775" t="str">
        <f>"6:00 PM"</f>
        <v>6:00 PM</v>
      </c>
      <c r="BS775" t="s">
        <v>131</v>
      </c>
      <c r="BT775">
        <v>0</v>
      </c>
      <c r="BU775">
        <v>0</v>
      </c>
      <c r="BV775" t="s">
        <v>114</v>
      </c>
      <c r="BX775" t="s">
        <v>23865</v>
      </c>
      <c r="BY775" t="s">
        <v>23866</v>
      </c>
      <c r="CA775" t="s">
        <v>4871</v>
      </c>
      <c r="CB775" t="s">
        <v>984</v>
      </c>
      <c r="CC775" s="8" t="str">
        <f>"63049"</f>
        <v>63049</v>
      </c>
      <c r="CD775" t="s">
        <v>1767</v>
      </c>
      <c r="CE775" t="s">
        <v>1856</v>
      </c>
      <c r="CF775" s="12">
        <v>17.579999999999998</v>
      </c>
      <c r="CG775" s="12">
        <v>18.75</v>
      </c>
      <c r="CH775" s="12">
        <v>26.37</v>
      </c>
      <c r="CI775" s="12">
        <v>28.13</v>
      </c>
      <c r="CJ775" t="s">
        <v>135</v>
      </c>
      <c r="CK775" t="s">
        <v>1899</v>
      </c>
      <c r="CL775" t="s">
        <v>23867</v>
      </c>
      <c r="CO775" t="s">
        <v>132</v>
      </c>
      <c r="CP775" t="s">
        <v>136</v>
      </c>
      <c r="CQ775" t="s">
        <v>136</v>
      </c>
      <c r="CR775" t="s">
        <v>136</v>
      </c>
      <c r="CS775" t="s">
        <v>136</v>
      </c>
      <c r="CT775" t="s">
        <v>136</v>
      </c>
      <c r="CU775" t="s">
        <v>136</v>
      </c>
      <c r="CV775" t="s">
        <v>1040</v>
      </c>
      <c r="CW775" s="10" t="str">
        <f>"+13145686550"</f>
        <v>+13145686550</v>
      </c>
      <c r="CX775" t="s">
        <v>23868</v>
      </c>
      <c r="CY775" t="s">
        <v>132</v>
      </c>
      <c r="CZ775" t="s">
        <v>137</v>
      </c>
      <c r="DA775" t="s">
        <v>114</v>
      </c>
      <c r="DB775" t="s">
        <v>136</v>
      </c>
      <c r="DC775" t="s">
        <v>136</v>
      </c>
      <c r="DD775" t="s">
        <v>114</v>
      </c>
    </row>
    <row r="776" spans="1:108" ht="15" customHeight="1" x14ac:dyDescent="0.25">
      <c r="A776" t="s">
        <v>12450</v>
      </c>
      <c r="B776" t="s">
        <v>152</v>
      </c>
      <c r="C776" s="1">
        <v>45226.648465625003</v>
      </c>
      <c r="D776" s="1">
        <v>45252</v>
      </c>
      <c r="E776" t="s">
        <v>132</v>
      </c>
      <c r="F776" t="s">
        <v>429</v>
      </c>
      <c r="G776" t="str">
        <f>"37-3011.00"</f>
        <v>37-3011.00</v>
      </c>
      <c r="H776" t="s">
        <v>429</v>
      </c>
      <c r="I776">
        <v>16</v>
      </c>
      <c r="J776">
        <v>16</v>
      </c>
      <c r="K776" s="1">
        <v>45316</v>
      </c>
      <c r="L776" s="1">
        <v>45611</v>
      </c>
      <c r="M776" s="1">
        <v>45316</v>
      </c>
      <c r="N776" s="1">
        <v>45611</v>
      </c>
      <c r="O776" t="s">
        <v>116</v>
      </c>
      <c r="P776" t="s">
        <v>12451</v>
      </c>
      <c r="R776" t="s">
        <v>12452</v>
      </c>
      <c r="T776" t="s">
        <v>12453</v>
      </c>
      <c r="U776" t="s">
        <v>333</v>
      </c>
      <c r="V776" s="8" t="str">
        <f>"70420"</f>
        <v>70420</v>
      </c>
      <c r="W776" t="s">
        <v>118</v>
      </c>
      <c r="Y776" s="10">
        <v>19853739139</v>
      </c>
      <c r="AA776">
        <v>56173</v>
      </c>
      <c r="AB776" t="s">
        <v>12454</v>
      </c>
      <c r="AC776" t="s">
        <v>5044</v>
      </c>
      <c r="AE776" t="s">
        <v>438</v>
      </c>
      <c r="AF776" t="s">
        <v>12455</v>
      </c>
      <c r="AH776" t="s">
        <v>12456</v>
      </c>
      <c r="AI776" t="s">
        <v>333</v>
      </c>
      <c r="AJ776" s="8" t="str">
        <f>"70420"</f>
        <v>70420</v>
      </c>
      <c r="AK776" t="s">
        <v>118</v>
      </c>
      <c r="AM776" s="10">
        <v>19853739139</v>
      </c>
      <c r="AO776" t="s">
        <v>12457</v>
      </c>
      <c r="AP776" t="s">
        <v>248</v>
      </c>
      <c r="AQ776" t="s">
        <v>3290</v>
      </c>
      <c r="AR776" t="s">
        <v>2001</v>
      </c>
      <c r="AT776" t="s">
        <v>3291</v>
      </c>
      <c r="AV776" t="s">
        <v>3292</v>
      </c>
      <c r="AW776" t="s">
        <v>402</v>
      </c>
      <c r="AX776" s="8" t="str">
        <f>"93446"</f>
        <v>93446</v>
      </c>
      <c r="AY776" t="s">
        <v>118</v>
      </c>
      <c r="AZ776" t="s">
        <v>3293</v>
      </c>
      <c r="BA776" s="10">
        <v>13217042589</v>
      </c>
      <c r="BC776" t="s">
        <v>3294</v>
      </c>
      <c r="BD776" t="s">
        <v>3295</v>
      </c>
      <c r="BG776" t="s">
        <v>333</v>
      </c>
      <c r="BH776" s="1">
        <v>45201.833333333336</v>
      </c>
      <c r="BI776">
        <v>40</v>
      </c>
      <c r="BJ776">
        <v>0</v>
      </c>
      <c r="BK776">
        <v>8</v>
      </c>
      <c r="BL776">
        <v>8</v>
      </c>
      <c r="BM776">
        <v>8</v>
      </c>
      <c r="BN776">
        <v>8</v>
      </c>
      <c r="BO776">
        <v>8</v>
      </c>
      <c r="BP776">
        <v>0</v>
      </c>
      <c r="BQ776" t="str">
        <f>"7:00 AM"</f>
        <v>7:00 AM</v>
      </c>
      <c r="BR776" t="str">
        <f>"4:30 PM"</f>
        <v>4:30 PM</v>
      </c>
      <c r="BS776" t="s">
        <v>131</v>
      </c>
      <c r="BT776">
        <v>0</v>
      </c>
      <c r="BU776">
        <v>0</v>
      </c>
      <c r="BV776" t="s">
        <v>114</v>
      </c>
      <c r="BX776" s="2" t="s">
        <v>12458</v>
      </c>
      <c r="BY776" t="s">
        <v>12452</v>
      </c>
      <c r="CA776" t="s">
        <v>12453</v>
      </c>
      <c r="CB776" t="s">
        <v>333</v>
      </c>
      <c r="CC776" s="8" t="str">
        <f>"70420"</f>
        <v>70420</v>
      </c>
      <c r="CD776" t="s">
        <v>340</v>
      </c>
      <c r="CE776" t="s">
        <v>341</v>
      </c>
      <c r="CF776" s="12">
        <v>14.72</v>
      </c>
      <c r="CH776" s="12">
        <v>22.08</v>
      </c>
      <c r="CJ776" t="s">
        <v>135</v>
      </c>
      <c r="CK776" t="s">
        <v>3300</v>
      </c>
      <c r="CL776" t="s">
        <v>12459</v>
      </c>
      <c r="CO776" t="s">
        <v>132</v>
      </c>
      <c r="CP776" t="s">
        <v>136</v>
      </c>
      <c r="CQ776" t="s">
        <v>136</v>
      </c>
      <c r="CR776" t="s">
        <v>136</v>
      </c>
      <c r="CS776" t="s">
        <v>136</v>
      </c>
      <c r="CT776" t="s">
        <v>136</v>
      </c>
      <c r="CU776" t="s">
        <v>136</v>
      </c>
      <c r="CV776" t="s">
        <v>12460</v>
      </c>
      <c r="CW776" s="10" t="str">
        <f>"+19853739139"</f>
        <v>+19853739139</v>
      </c>
      <c r="CX776" t="s">
        <v>12461</v>
      </c>
      <c r="CY776" t="s">
        <v>132</v>
      </c>
      <c r="CZ776" t="s">
        <v>137</v>
      </c>
      <c r="DA776" t="s">
        <v>114</v>
      </c>
      <c r="DB776" t="s">
        <v>114</v>
      </c>
      <c r="DC776" t="s">
        <v>136</v>
      </c>
      <c r="DD776" t="s">
        <v>114</v>
      </c>
    </row>
    <row r="777" spans="1:108" ht="15" customHeight="1" x14ac:dyDescent="0.25">
      <c r="A777" t="s">
        <v>18993</v>
      </c>
      <c r="B777" t="s">
        <v>152</v>
      </c>
      <c r="C777" s="1">
        <v>45224.467251851849</v>
      </c>
      <c r="D777" s="1">
        <v>45252</v>
      </c>
      <c r="E777" t="s">
        <v>132</v>
      </c>
      <c r="F777" t="s">
        <v>3098</v>
      </c>
      <c r="G777" t="str">
        <f>"39-3091.00"</f>
        <v>39-3091.00</v>
      </c>
      <c r="H777" t="s">
        <v>237</v>
      </c>
      <c r="I777">
        <v>88</v>
      </c>
      <c r="J777">
        <v>88</v>
      </c>
      <c r="K777" s="1">
        <v>45314</v>
      </c>
      <c r="L777" s="1">
        <v>45601</v>
      </c>
      <c r="M777" s="1">
        <v>45314</v>
      </c>
      <c r="N777" s="1">
        <v>45601</v>
      </c>
      <c r="O777" t="s">
        <v>238</v>
      </c>
      <c r="P777" t="s">
        <v>18994</v>
      </c>
      <c r="Q777" t="s">
        <v>18995</v>
      </c>
      <c r="R777" t="s">
        <v>18996</v>
      </c>
      <c r="S777" t="s">
        <v>18997</v>
      </c>
      <c r="T777" t="s">
        <v>8107</v>
      </c>
      <c r="U777" t="s">
        <v>188</v>
      </c>
      <c r="V777" s="8" t="str">
        <f>"80106"</f>
        <v>80106</v>
      </c>
      <c r="W777" t="s">
        <v>118</v>
      </c>
      <c r="Y777" s="10">
        <v>12814604127</v>
      </c>
      <c r="Z777" s="3" t="s">
        <v>256</v>
      </c>
      <c r="AA777">
        <v>71119</v>
      </c>
      <c r="AB777" t="s">
        <v>7844</v>
      </c>
      <c r="AC777" t="s">
        <v>1555</v>
      </c>
      <c r="AE777" t="s">
        <v>561</v>
      </c>
      <c r="AF777" t="s">
        <v>18996</v>
      </c>
      <c r="AG777" t="s">
        <v>18997</v>
      </c>
      <c r="AH777" t="s">
        <v>8107</v>
      </c>
      <c r="AI777" t="s">
        <v>188</v>
      </c>
      <c r="AJ777" s="8" t="str">
        <f>"80106"</f>
        <v>80106</v>
      </c>
      <c r="AK777" t="s">
        <v>118</v>
      </c>
      <c r="AM777" s="10">
        <v>12814604127</v>
      </c>
      <c r="AN777" s="3" t="s">
        <v>256</v>
      </c>
      <c r="AO777" t="s">
        <v>18998</v>
      </c>
      <c r="AP777" t="s">
        <v>248</v>
      </c>
      <c r="AQ777" t="s">
        <v>249</v>
      </c>
      <c r="AR777" t="s">
        <v>250</v>
      </c>
      <c r="AS777" t="s">
        <v>251</v>
      </c>
      <c r="AT777" t="s">
        <v>252</v>
      </c>
      <c r="AU777" t="s">
        <v>253</v>
      </c>
      <c r="AV777" t="s">
        <v>254</v>
      </c>
      <c r="AW777" t="s">
        <v>127</v>
      </c>
      <c r="AX777" s="8" t="str">
        <f>"78550"</f>
        <v>78550</v>
      </c>
      <c r="AY777" t="s">
        <v>118</v>
      </c>
      <c r="AZ777" t="s">
        <v>255</v>
      </c>
      <c r="BA777" s="10">
        <v>19564408720</v>
      </c>
      <c r="BB777" s="3" t="s">
        <v>256</v>
      </c>
      <c r="BC777" t="s">
        <v>338</v>
      </c>
      <c r="BD777" t="s">
        <v>258</v>
      </c>
      <c r="BG777" t="s">
        <v>188</v>
      </c>
      <c r="BH777" s="1">
        <v>45223.833333333336</v>
      </c>
      <c r="BI777">
        <v>40</v>
      </c>
      <c r="BJ777">
        <v>8</v>
      </c>
      <c r="BK777">
        <v>0</v>
      </c>
      <c r="BL777">
        <v>0</v>
      </c>
      <c r="BM777">
        <v>8</v>
      </c>
      <c r="BN777">
        <v>8</v>
      </c>
      <c r="BO777">
        <v>8</v>
      </c>
      <c r="BP777">
        <v>8</v>
      </c>
      <c r="BQ777" t="str">
        <f>"1:00 PM"</f>
        <v>1:00 PM</v>
      </c>
      <c r="BR777" t="str">
        <f>"10:00 PM"</f>
        <v>10:00 PM</v>
      </c>
      <c r="BS777" t="s">
        <v>131</v>
      </c>
      <c r="BT777">
        <v>0</v>
      </c>
      <c r="BU777">
        <v>0</v>
      </c>
      <c r="BV777" t="s">
        <v>114</v>
      </c>
      <c r="BX777" s="2" t="s">
        <v>2396</v>
      </c>
      <c r="BY777" t="s">
        <v>18999</v>
      </c>
      <c r="CA777" t="s">
        <v>19000</v>
      </c>
      <c r="CB777" t="s">
        <v>188</v>
      </c>
      <c r="CC777" s="8" t="str">
        <f>"80106"</f>
        <v>80106</v>
      </c>
      <c r="CD777" t="s">
        <v>8107</v>
      </c>
      <c r="CE777" t="s">
        <v>195</v>
      </c>
      <c r="CF777" s="12">
        <v>10.29</v>
      </c>
      <c r="CG777" s="12">
        <v>16.510000000000002</v>
      </c>
      <c r="CJ777" t="s">
        <v>135</v>
      </c>
      <c r="CK777" t="s">
        <v>342</v>
      </c>
      <c r="CL777" t="s">
        <v>19001</v>
      </c>
      <c r="CO777" t="s">
        <v>132</v>
      </c>
      <c r="CP777" t="s">
        <v>136</v>
      </c>
      <c r="CQ777" t="s">
        <v>136</v>
      </c>
      <c r="CR777" t="s">
        <v>114</v>
      </c>
      <c r="CS777" t="s">
        <v>136</v>
      </c>
      <c r="CT777" t="s">
        <v>136</v>
      </c>
      <c r="CU777" t="s">
        <v>136</v>
      </c>
      <c r="CV777" t="s">
        <v>344</v>
      </c>
      <c r="CW777" s="10" t="str">
        <f>"+12814604127"</f>
        <v>+12814604127</v>
      </c>
      <c r="CX777" t="s">
        <v>18998</v>
      </c>
      <c r="CY777" t="s">
        <v>132</v>
      </c>
      <c r="CZ777" t="s">
        <v>137</v>
      </c>
      <c r="DA777" t="s">
        <v>114</v>
      </c>
      <c r="DB777" t="s">
        <v>136</v>
      </c>
      <c r="DC777" t="s">
        <v>136</v>
      </c>
      <c r="DD777" t="s">
        <v>114</v>
      </c>
    </row>
    <row r="778" spans="1:108" ht="15" customHeight="1" x14ac:dyDescent="0.25">
      <c r="A778" t="s">
        <v>14922</v>
      </c>
      <c r="B778" t="s">
        <v>152</v>
      </c>
      <c r="C778" s="1">
        <v>45216.508774074071</v>
      </c>
      <c r="D778" s="1">
        <v>45252</v>
      </c>
      <c r="E778" t="s">
        <v>132</v>
      </c>
      <c r="F778" t="s">
        <v>3098</v>
      </c>
      <c r="G778" t="str">
        <f>"39-3091.00"</f>
        <v>39-3091.00</v>
      </c>
      <c r="H778" t="s">
        <v>237</v>
      </c>
      <c r="I778">
        <v>50</v>
      </c>
      <c r="J778">
        <v>50</v>
      </c>
      <c r="K778" s="1">
        <v>45306</v>
      </c>
      <c r="L778" s="1">
        <v>45610</v>
      </c>
      <c r="M778" s="1">
        <v>45306</v>
      </c>
      <c r="N778" s="1">
        <v>45610</v>
      </c>
      <c r="O778" t="s">
        <v>238</v>
      </c>
      <c r="P778" t="s">
        <v>14923</v>
      </c>
      <c r="R778" t="s">
        <v>14924</v>
      </c>
      <c r="S778" t="s">
        <v>14925</v>
      </c>
      <c r="T778" t="s">
        <v>14926</v>
      </c>
      <c r="U778" t="s">
        <v>402</v>
      </c>
      <c r="V778" s="8" t="str">
        <f>"92649"</f>
        <v>92649</v>
      </c>
      <c r="W778" t="s">
        <v>118</v>
      </c>
      <c r="Y778" s="10">
        <v>13104894047</v>
      </c>
      <c r="Z778" s="3" t="s">
        <v>256</v>
      </c>
      <c r="AA778">
        <v>71119</v>
      </c>
      <c r="AB778" t="s">
        <v>7548</v>
      </c>
      <c r="AC778" t="s">
        <v>2947</v>
      </c>
      <c r="AE778" t="s">
        <v>561</v>
      </c>
      <c r="AF778" t="s">
        <v>14927</v>
      </c>
      <c r="AG778" t="s">
        <v>14928</v>
      </c>
      <c r="AH778" t="s">
        <v>14929</v>
      </c>
      <c r="AI778" t="s">
        <v>402</v>
      </c>
      <c r="AJ778" s="8" t="str">
        <f>"92649"</f>
        <v>92649</v>
      </c>
      <c r="AK778" t="s">
        <v>118</v>
      </c>
      <c r="AM778" s="10">
        <v>13104894047</v>
      </c>
      <c r="AN778" s="3" t="s">
        <v>256</v>
      </c>
      <c r="AO778" t="s">
        <v>14930</v>
      </c>
      <c r="AP778" t="s">
        <v>248</v>
      </c>
      <c r="AQ778" t="s">
        <v>249</v>
      </c>
      <c r="AR778" t="s">
        <v>250</v>
      </c>
      <c r="AS778" t="s">
        <v>251</v>
      </c>
      <c r="AT778" t="s">
        <v>252</v>
      </c>
      <c r="AU778" t="s">
        <v>253</v>
      </c>
      <c r="AV778" t="s">
        <v>254</v>
      </c>
      <c r="AW778" t="s">
        <v>127</v>
      </c>
      <c r="AX778" s="8" t="str">
        <f>"78550"</f>
        <v>78550</v>
      </c>
      <c r="AY778" t="s">
        <v>118</v>
      </c>
      <c r="AZ778" t="s">
        <v>255</v>
      </c>
      <c r="BA778" s="10">
        <v>19564408720</v>
      </c>
      <c r="BB778" s="3" t="s">
        <v>256</v>
      </c>
      <c r="BC778" t="s">
        <v>338</v>
      </c>
      <c r="BD778" t="s">
        <v>258</v>
      </c>
      <c r="BG778" t="s">
        <v>402</v>
      </c>
      <c r="BH778" s="1">
        <v>45215.833333333336</v>
      </c>
      <c r="BI778">
        <v>40</v>
      </c>
      <c r="BJ778">
        <v>8</v>
      </c>
      <c r="BK778">
        <v>0</v>
      </c>
      <c r="BL778">
        <v>0</v>
      </c>
      <c r="BM778">
        <v>8</v>
      </c>
      <c r="BN778">
        <v>8</v>
      </c>
      <c r="BO778">
        <v>8</v>
      </c>
      <c r="BP778">
        <v>8</v>
      </c>
      <c r="BQ778" t="str">
        <f>"1:00 PM"</f>
        <v>1:00 PM</v>
      </c>
      <c r="BR778" t="str">
        <f>"10:00 PM"</f>
        <v>10:00 PM</v>
      </c>
      <c r="BS778" t="s">
        <v>131</v>
      </c>
      <c r="BT778">
        <v>0</v>
      </c>
      <c r="BU778">
        <v>0</v>
      </c>
      <c r="BV778" t="s">
        <v>114</v>
      </c>
      <c r="BX778" s="2" t="s">
        <v>2396</v>
      </c>
      <c r="BY778" t="s">
        <v>14931</v>
      </c>
      <c r="CA778" t="s">
        <v>14926</v>
      </c>
      <c r="CB778" t="s">
        <v>402</v>
      </c>
      <c r="CC778" s="8" t="str">
        <f>"92649"</f>
        <v>92649</v>
      </c>
      <c r="CD778" t="s">
        <v>2274</v>
      </c>
      <c r="CE778" t="s">
        <v>2969</v>
      </c>
      <c r="CF778" s="12">
        <v>11.37</v>
      </c>
      <c r="CG778" s="12">
        <v>18.399999999999999</v>
      </c>
      <c r="CJ778" t="s">
        <v>135</v>
      </c>
      <c r="CK778" t="s">
        <v>342</v>
      </c>
      <c r="CL778" t="s">
        <v>14932</v>
      </c>
      <c r="CO778" t="s">
        <v>132</v>
      </c>
      <c r="CP778" t="s">
        <v>136</v>
      </c>
      <c r="CQ778" t="s">
        <v>136</v>
      </c>
      <c r="CR778" t="s">
        <v>114</v>
      </c>
      <c r="CS778" t="s">
        <v>136</v>
      </c>
      <c r="CT778" t="s">
        <v>136</v>
      </c>
      <c r="CU778" t="s">
        <v>136</v>
      </c>
      <c r="CV778" t="s">
        <v>344</v>
      </c>
      <c r="CW778" s="10" t="str">
        <f>"+13104894047"</f>
        <v>+13104894047</v>
      </c>
      <c r="CX778" t="s">
        <v>14930</v>
      </c>
      <c r="CY778" t="s">
        <v>132</v>
      </c>
      <c r="CZ778" t="s">
        <v>137</v>
      </c>
      <c r="DA778" t="s">
        <v>114</v>
      </c>
      <c r="DB778" t="s">
        <v>136</v>
      </c>
      <c r="DC778" t="s">
        <v>136</v>
      </c>
      <c r="DD778" t="s">
        <v>114</v>
      </c>
    </row>
    <row r="779" spans="1:108" ht="15" customHeight="1" x14ac:dyDescent="0.25">
      <c r="A779" t="s">
        <v>21000</v>
      </c>
      <c r="B779" t="s">
        <v>152</v>
      </c>
      <c r="C779" s="1">
        <v>45215.397270023146</v>
      </c>
      <c r="D779" s="1">
        <v>45252</v>
      </c>
      <c r="E779" t="s">
        <v>132</v>
      </c>
      <c r="F779" t="s">
        <v>2715</v>
      </c>
      <c r="G779" t="str">
        <f>"39-3091.00"</f>
        <v>39-3091.00</v>
      </c>
      <c r="H779" t="s">
        <v>237</v>
      </c>
      <c r="I779">
        <v>38</v>
      </c>
      <c r="J779">
        <v>38</v>
      </c>
      <c r="K779" s="1">
        <v>45305</v>
      </c>
      <c r="L779" s="1">
        <v>45609</v>
      </c>
      <c r="M779" s="1">
        <v>45305</v>
      </c>
      <c r="N779" s="1">
        <v>45609</v>
      </c>
      <c r="O779" t="s">
        <v>238</v>
      </c>
      <c r="P779" t="s">
        <v>20165</v>
      </c>
      <c r="R779" t="s">
        <v>8296</v>
      </c>
      <c r="T779" t="s">
        <v>8297</v>
      </c>
      <c r="U779" t="s">
        <v>169</v>
      </c>
      <c r="V779" s="8" t="str">
        <f>"55021"</f>
        <v>55021</v>
      </c>
      <c r="W779" t="s">
        <v>118</v>
      </c>
      <c r="Y779" s="10">
        <v>16123251608</v>
      </c>
      <c r="Z779">
        <v>0</v>
      </c>
      <c r="AA779">
        <v>71399</v>
      </c>
      <c r="AB779" t="s">
        <v>8298</v>
      </c>
      <c r="AC779" t="s">
        <v>1826</v>
      </c>
      <c r="AE779" t="s">
        <v>629</v>
      </c>
      <c r="AF779" t="s">
        <v>8296</v>
      </c>
      <c r="AH779" t="s">
        <v>8297</v>
      </c>
      <c r="AI779" t="s">
        <v>169</v>
      </c>
      <c r="AJ779" s="8" t="str">
        <f>"55021"</f>
        <v>55021</v>
      </c>
      <c r="AK779" t="s">
        <v>118</v>
      </c>
      <c r="AM779" s="10">
        <v>17722152225</v>
      </c>
      <c r="AN779">
        <v>0</v>
      </c>
      <c r="AO779" t="s">
        <v>20166</v>
      </c>
      <c r="AP779" t="s">
        <v>121</v>
      </c>
      <c r="AQ779" t="s">
        <v>1718</v>
      </c>
      <c r="AR779" t="s">
        <v>708</v>
      </c>
      <c r="AS779" t="s">
        <v>1719</v>
      </c>
      <c r="AT779" t="s">
        <v>1720</v>
      </c>
      <c r="AU779" t="s">
        <v>799</v>
      </c>
      <c r="AV779" t="s">
        <v>1721</v>
      </c>
      <c r="AW779" t="s">
        <v>1722</v>
      </c>
      <c r="AX779" s="8" t="str">
        <f>"21401"</f>
        <v>21401</v>
      </c>
      <c r="AY779" t="s">
        <v>118</v>
      </c>
      <c r="BA779" s="10">
        <v>14105739955</v>
      </c>
      <c r="BB779">
        <v>0</v>
      </c>
      <c r="BC779" t="s">
        <v>1723</v>
      </c>
      <c r="BD779" t="s">
        <v>1724</v>
      </c>
      <c r="BE779" t="s">
        <v>1722</v>
      </c>
      <c r="BF779" t="s">
        <v>1725</v>
      </c>
      <c r="BG779" t="s">
        <v>333</v>
      </c>
      <c r="BH779" s="1">
        <v>45211.833333333336</v>
      </c>
      <c r="BI779">
        <v>35</v>
      </c>
      <c r="BJ779">
        <v>7</v>
      </c>
      <c r="BK779">
        <v>0</v>
      </c>
      <c r="BL779">
        <v>0</v>
      </c>
      <c r="BM779">
        <v>7</v>
      </c>
      <c r="BN779">
        <v>7</v>
      </c>
      <c r="BO779">
        <v>7</v>
      </c>
      <c r="BP779">
        <v>7</v>
      </c>
      <c r="BQ779" t="str">
        <f>"4:00 PM"</f>
        <v>4:00 PM</v>
      </c>
      <c r="BR779" t="str">
        <f>"11:00 PM"</f>
        <v>11:00 PM</v>
      </c>
      <c r="BS779" t="s">
        <v>131</v>
      </c>
      <c r="BT779">
        <v>0</v>
      </c>
      <c r="BU779">
        <v>0</v>
      </c>
      <c r="BV779" t="s">
        <v>114</v>
      </c>
      <c r="BX779" s="2" t="s">
        <v>21001</v>
      </c>
      <c r="BY779" t="s">
        <v>21002</v>
      </c>
      <c r="CA779" t="s">
        <v>21003</v>
      </c>
      <c r="CB779" t="s">
        <v>333</v>
      </c>
      <c r="CC779" s="8" t="str">
        <f>"70072"</f>
        <v>70072</v>
      </c>
      <c r="CD779" t="s">
        <v>1767</v>
      </c>
      <c r="CE779" t="s">
        <v>341</v>
      </c>
      <c r="CF779" s="12">
        <v>10.119999999999999</v>
      </c>
      <c r="CG779" s="12">
        <v>14.79</v>
      </c>
      <c r="CH779" s="12">
        <v>15.18</v>
      </c>
      <c r="CI779" s="12">
        <v>22.19</v>
      </c>
      <c r="CJ779" t="s">
        <v>135</v>
      </c>
      <c r="CK779" t="s">
        <v>9600</v>
      </c>
      <c r="CL779" t="s">
        <v>21004</v>
      </c>
      <c r="CO779" t="s">
        <v>132</v>
      </c>
      <c r="CP779" t="s">
        <v>136</v>
      </c>
      <c r="CQ779" t="s">
        <v>114</v>
      </c>
      <c r="CR779" t="s">
        <v>136</v>
      </c>
      <c r="CS779" t="s">
        <v>136</v>
      </c>
      <c r="CT779" t="s">
        <v>136</v>
      </c>
      <c r="CU779" t="s">
        <v>136</v>
      </c>
      <c r="CV779" t="s">
        <v>21005</v>
      </c>
      <c r="CW779" s="10" t="str">
        <f>"+16123251608"</f>
        <v>+16123251608</v>
      </c>
      <c r="CX779" t="s">
        <v>132</v>
      </c>
      <c r="CY779" t="s">
        <v>21006</v>
      </c>
      <c r="CZ779" t="s">
        <v>137</v>
      </c>
      <c r="DA779" t="s">
        <v>114</v>
      </c>
      <c r="DB779" t="s">
        <v>136</v>
      </c>
      <c r="DC779" t="s">
        <v>136</v>
      </c>
      <c r="DD779" t="s">
        <v>114</v>
      </c>
    </row>
    <row r="780" spans="1:108" ht="15" customHeight="1" x14ac:dyDescent="0.25">
      <c r="A780" t="s">
        <v>16187</v>
      </c>
      <c r="B780" t="s">
        <v>152</v>
      </c>
      <c r="C780" s="1">
        <v>45210.72615949074</v>
      </c>
      <c r="D780" s="1">
        <v>45252</v>
      </c>
      <c r="E780" t="s">
        <v>132</v>
      </c>
      <c r="F780" t="s">
        <v>16188</v>
      </c>
      <c r="G780" t="str">
        <f>"51-3092.00"</f>
        <v>51-3092.00</v>
      </c>
      <c r="H780" t="s">
        <v>2976</v>
      </c>
      <c r="I780">
        <v>2</v>
      </c>
      <c r="J780">
        <v>2</v>
      </c>
      <c r="K780" s="1">
        <v>45292</v>
      </c>
      <c r="L780" s="1">
        <v>45402</v>
      </c>
      <c r="M780" s="1">
        <v>45292</v>
      </c>
      <c r="N780" s="1">
        <v>45402</v>
      </c>
      <c r="O780" t="s">
        <v>238</v>
      </c>
      <c r="P780" t="s">
        <v>16189</v>
      </c>
      <c r="R780" t="s">
        <v>16190</v>
      </c>
      <c r="T780" t="s">
        <v>16191</v>
      </c>
      <c r="U780" t="s">
        <v>792</v>
      </c>
      <c r="V780" s="8" t="str">
        <f>"98052"</f>
        <v>98052</v>
      </c>
      <c r="W780" t="s">
        <v>118</v>
      </c>
      <c r="Y780" s="10">
        <v>14258691703</v>
      </c>
      <c r="AA780">
        <v>311710</v>
      </c>
      <c r="AB780" t="s">
        <v>16192</v>
      </c>
      <c r="AC780" t="s">
        <v>16193</v>
      </c>
      <c r="AE780" t="s">
        <v>16194</v>
      </c>
      <c r="AF780" t="s">
        <v>16190</v>
      </c>
      <c r="AH780" t="s">
        <v>16191</v>
      </c>
      <c r="AI780" t="s">
        <v>792</v>
      </c>
      <c r="AJ780" s="8" t="str">
        <f>"98052"</f>
        <v>98052</v>
      </c>
      <c r="AK780" t="s">
        <v>118</v>
      </c>
      <c r="AM780" s="10">
        <v>14258691703</v>
      </c>
      <c r="AO780" t="s">
        <v>16195</v>
      </c>
      <c r="AP780" t="s">
        <v>121</v>
      </c>
      <c r="AQ780" t="s">
        <v>2739</v>
      </c>
      <c r="AR780" t="s">
        <v>9684</v>
      </c>
      <c r="AS780" t="s">
        <v>2709</v>
      </c>
      <c r="AT780" t="s">
        <v>9685</v>
      </c>
      <c r="AU780" t="s">
        <v>1071</v>
      </c>
      <c r="AV780" t="s">
        <v>3673</v>
      </c>
      <c r="AW780" t="s">
        <v>792</v>
      </c>
      <c r="AX780" s="8" t="str">
        <f>"98104"</f>
        <v>98104</v>
      </c>
      <c r="AY780" t="s">
        <v>118</v>
      </c>
      <c r="BA780" s="10">
        <v>12067578354</v>
      </c>
      <c r="BC780" t="s">
        <v>9686</v>
      </c>
      <c r="BD780" t="s">
        <v>9687</v>
      </c>
      <c r="BE780" t="s">
        <v>792</v>
      </c>
      <c r="BF780" t="s">
        <v>2142</v>
      </c>
      <c r="BG780" t="s">
        <v>2706</v>
      </c>
      <c r="BH780" s="1">
        <v>45209.833333333336</v>
      </c>
      <c r="BI780">
        <v>72</v>
      </c>
      <c r="BJ780">
        <v>0</v>
      </c>
      <c r="BK780">
        <v>12</v>
      </c>
      <c r="BL780">
        <v>12</v>
      </c>
      <c r="BM780">
        <v>12</v>
      </c>
      <c r="BN780">
        <v>12</v>
      </c>
      <c r="BO780">
        <v>12</v>
      </c>
      <c r="BP780">
        <v>12</v>
      </c>
      <c r="BQ780" t="str">
        <f>"6:00 AM"</f>
        <v>6:00 AM</v>
      </c>
      <c r="BR780" t="str">
        <f>"6:00 PM"</f>
        <v>6:00 PM</v>
      </c>
      <c r="BS780" t="s">
        <v>131</v>
      </c>
      <c r="BT780">
        <v>0</v>
      </c>
      <c r="BU780">
        <v>24</v>
      </c>
      <c r="BV780" t="s">
        <v>114</v>
      </c>
      <c r="BX780" s="2" t="s">
        <v>16196</v>
      </c>
      <c r="BY780" t="s">
        <v>16197</v>
      </c>
      <c r="BZ780" t="s">
        <v>16198</v>
      </c>
      <c r="CA780" t="s">
        <v>16199</v>
      </c>
      <c r="CB780" t="s">
        <v>2706</v>
      </c>
      <c r="CC780" s="8" t="str">
        <f>"99692"</f>
        <v>99692</v>
      </c>
      <c r="CD780" t="s">
        <v>16200</v>
      </c>
      <c r="CE780" t="s">
        <v>2714</v>
      </c>
      <c r="CF780" s="12">
        <v>20.059999999999999</v>
      </c>
      <c r="CH780" s="12">
        <v>30.09</v>
      </c>
      <c r="CJ780" t="s">
        <v>135</v>
      </c>
      <c r="CK780" t="s">
        <v>9692</v>
      </c>
      <c r="CL780" t="s">
        <v>16201</v>
      </c>
      <c r="CO780" t="s">
        <v>132</v>
      </c>
      <c r="CP780" t="s">
        <v>114</v>
      </c>
      <c r="CQ780" t="s">
        <v>114</v>
      </c>
      <c r="CR780" t="s">
        <v>136</v>
      </c>
      <c r="CS780" t="s">
        <v>114</v>
      </c>
      <c r="CT780" t="s">
        <v>136</v>
      </c>
      <c r="CU780" t="s">
        <v>136</v>
      </c>
      <c r="CV780" t="s">
        <v>16202</v>
      </c>
      <c r="CW780" s="10" t="str">
        <f>"N/A"</f>
        <v>N/A</v>
      </c>
      <c r="CX780" t="s">
        <v>9695</v>
      </c>
      <c r="CY780" t="s">
        <v>9696</v>
      </c>
      <c r="CZ780" t="s">
        <v>137</v>
      </c>
      <c r="DA780" t="s">
        <v>114</v>
      </c>
      <c r="DB780" t="s">
        <v>114</v>
      </c>
      <c r="DC780" t="s">
        <v>136</v>
      </c>
      <c r="DD780" t="s">
        <v>114</v>
      </c>
    </row>
    <row r="781" spans="1:108" ht="15" customHeight="1" x14ac:dyDescent="0.25">
      <c r="A781" t="s">
        <v>23883</v>
      </c>
      <c r="B781" t="s">
        <v>152</v>
      </c>
      <c r="C781" s="1">
        <v>45204.655802314817</v>
      </c>
      <c r="D781" s="1">
        <v>45252</v>
      </c>
      <c r="E781" t="s">
        <v>132</v>
      </c>
      <c r="F781" t="s">
        <v>23884</v>
      </c>
      <c r="G781" t="str">
        <f>"53-7063.00"</f>
        <v>53-7063.00</v>
      </c>
      <c r="H781" t="s">
        <v>13565</v>
      </c>
      <c r="I781">
        <v>4</v>
      </c>
      <c r="J781">
        <v>4</v>
      </c>
      <c r="K781" s="1">
        <v>45280</v>
      </c>
      <c r="L781" s="1">
        <v>45382</v>
      </c>
      <c r="M781" s="1">
        <v>45280</v>
      </c>
      <c r="N781" s="1">
        <v>45382</v>
      </c>
      <c r="O781" t="s">
        <v>116</v>
      </c>
      <c r="P781" t="s">
        <v>23885</v>
      </c>
      <c r="R781" t="s">
        <v>23886</v>
      </c>
      <c r="T781" t="s">
        <v>2863</v>
      </c>
      <c r="U781" t="s">
        <v>543</v>
      </c>
      <c r="V781" s="8" t="str">
        <f>"44026"</f>
        <v>44026</v>
      </c>
      <c r="W781" t="s">
        <v>118</v>
      </c>
      <c r="Y781" s="10">
        <v>14407292122</v>
      </c>
      <c r="Z781">
        <v>101</v>
      </c>
      <c r="AA781">
        <v>56173</v>
      </c>
      <c r="AB781" t="s">
        <v>23887</v>
      </c>
      <c r="AC781" t="s">
        <v>22070</v>
      </c>
      <c r="AE781" t="s">
        <v>23888</v>
      </c>
      <c r="AF781" t="s">
        <v>23889</v>
      </c>
      <c r="AH781" t="s">
        <v>2863</v>
      </c>
      <c r="AI781" t="s">
        <v>543</v>
      </c>
      <c r="AJ781" s="8" t="str">
        <f>"44026"</f>
        <v>44026</v>
      </c>
      <c r="AK781" t="s">
        <v>118</v>
      </c>
      <c r="AM781" s="10">
        <v>14407292122</v>
      </c>
      <c r="AN781">
        <v>101</v>
      </c>
      <c r="AO781" t="s">
        <v>23890</v>
      </c>
      <c r="AP781" t="s">
        <v>121</v>
      </c>
      <c r="AQ781" t="s">
        <v>20428</v>
      </c>
      <c r="AR781" t="s">
        <v>20429</v>
      </c>
      <c r="AS781" t="s">
        <v>1963</v>
      </c>
      <c r="AT781" t="s">
        <v>23891</v>
      </c>
      <c r="AV781" t="s">
        <v>20432</v>
      </c>
      <c r="AW781" t="s">
        <v>792</v>
      </c>
      <c r="AX781" s="8" t="str">
        <f>"98027"</f>
        <v>98027</v>
      </c>
      <c r="AY781" t="s">
        <v>118</v>
      </c>
      <c r="BA781" s="10">
        <v>12162821110</v>
      </c>
      <c r="BC781" t="s">
        <v>20433</v>
      </c>
      <c r="BD781" t="s">
        <v>23892</v>
      </c>
      <c r="BE781" t="s">
        <v>543</v>
      </c>
      <c r="BF781" t="s">
        <v>172</v>
      </c>
      <c r="BG781" t="s">
        <v>543</v>
      </c>
      <c r="BH781" s="1">
        <v>45203.833333333336</v>
      </c>
      <c r="BI781">
        <v>40</v>
      </c>
      <c r="BJ781">
        <v>0</v>
      </c>
      <c r="BK781">
        <v>8</v>
      </c>
      <c r="BL781">
        <v>8</v>
      </c>
      <c r="BM781">
        <v>8</v>
      </c>
      <c r="BN781">
        <v>8</v>
      </c>
      <c r="BO781">
        <v>8</v>
      </c>
      <c r="BP781">
        <v>0</v>
      </c>
      <c r="BQ781" t="str">
        <f>"8:00 AM"</f>
        <v>8:00 AM</v>
      </c>
      <c r="BR781" t="str">
        <f>"5:00 PM"</f>
        <v>5:00 PM</v>
      </c>
      <c r="BS781" t="s">
        <v>131</v>
      </c>
      <c r="BT781">
        <v>0</v>
      </c>
      <c r="BU781">
        <v>0</v>
      </c>
      <c r="BV781" t="s">
        <v>114</v>
      </c>
      <c r="BX781" s="2" t="s">
        <v>23893</v>
      </c>
      <c r="BY781" t="s">
        <v>23889</v>
      </c>
      <c r="CA781" t="s">
        <v>2863</v>
      </c>
      <c r="CB781" t="s">
        <v>543</v>
      </c>
      <c r="CC781" s="8" t="str">
        <f>"44026"</f>
        <v>44026</v>
      </c>
      <c r="CD781" t="s">
        <v>2533</v>
      </c>
      <c r="CE781" t="s">
        <v>1839</v>
      </c>
      <c r="CF781" s="12">
        <v>19.670000000000002</v>
      </c>
      <c r="CI781" s="12">
        <v>29.51</v>
      </c>
      <c r="CJ781" t="s">
        <v>135</v>
      </c>
      <c r="CK781" t="s">
        <v>23894</v>
      </c>
      <c r="CL781" t="s">
        <v>23895</v>
      </c>
      <c r="CO781" t="s">
        <v>132</v>
      </c>
      <c r="CP781" t="s">
        <v>114</v>
      </c>
      <c r="CQ781" t="s">
        <v>114</v>
      </c>
      <c r="CR781" t="s">
        <v>136</v>
      </c>
      <c r="CS781" t="s">
        <v>136</v>
      </c>
      <c r="CT781" t="s">
        <v>136</v>
      </c>
      <c r="CU781" t="s">
        <v>114</v>
      </c>
      <c r="CV781" t="s">
        <v>20439</v>
      </c>
      <c r="CW781" s="10" t="str">
        <f>"+14407292122"</f>
        <v>+14407292122</v>
      </c>
      <c r="CX781" t="s">
        <v>23890</v>
      </c>
      <c r="CY781" t="s">
        <v>132</v>
      </c>
      <c r="CZ781" t="s">
        <v>137</v>
      </c>
      <c r="DA781" t="s">
        <v>114</v>
      </c>
      <c r="DB781" t="s">
        <v>114</v>
      </c>
      <c r="DC781" t="s">
        <v>136</v>
      </c>
      <c r="DD781" t="s">
        <v>114</v>
      </c>
    </row>
    <row r="782" spans="1:108" ht="15" customHeight="1" x14ac:dyDescent="0.25">
      <c r="A782" t="s">
        <v>6007</v>
      </c>
      <c r="B782" t="s">
        <v>152</v>
      </c>
      <c r="C782" s="1">
        <v>45203.773958564816</v>
      </c>
      <c r="D782" s="1">
        <v>45252</v>
      </c>
      <c r="E782" t="s">
        <v>132</v>
      </c>
      <c r="F782" t="s">
        <v>6008</v>
      </c>
      <c r="G782" t="str">
        <f>"51-3022.00"</f>
        <v>51-3022.00</v>
      </c>
      <c r="H782" t="s">
        <v>1004</v>
      </c>
      <c r="I782">
        <v>112</v>
      </c>
      <c r="J782">
        <v>112</v>
      </c>
      <c r="K782" s="1">
        <v>45292</v>
      </c>
      <c r="L782" s="1">
        <v>45596</v>
      </c>
      <c r="M782" s="1">
        <v>45292</v>
      </c>
      <c r="N782" s="1">
        <v>45596</v>
      </c>
      <c r="O782" t="s">
        <v>116</v>
      </c>
      <c r="P782" t="s">
        <v>6009</v>
      </c>
      <c r="R782" t="s">
        <v>6010</v>
      </c>
      <c r="S782" t="s">
        <v>6011</v>
      </c>
      <c r="T782" t="s">
        <v>6012</v>
      </c>
      <c r="U782" t="s">
        <v>333</v>
      </c>
      <c r="V782" s="8" t="str">
        <f>"70517"</f>
        <v>70517</v>
      </c>
      <c r="W782" t="s">
        <v>118</v>
      </c>
      <c r="X782" t="s">
        <v>6013</v>
      </c>
      <c r="Y782" s="10">
        <v>13372287545</v>
      </c>
      <c r="AA782">
        <v>31171</v>
      </c>
      <c r="AB782" t="s">
        <v>6014</v>
      </c>
      <c r="AC782" t="s">
        <v>6015</v>
      </c>
      <c r="AD782" t="s">
        <v>1738</v>
      </c>
      <c r="AE782" t="s">
        <v>6016</v>
      </c>
      <c r="AF782" t="s">
        <v>6017</v>
      </c>
      <c r="AH782" t="s">
        <v>6012</v>
      </c>
      <c r="AI782" t="s">
        <v>333</v>
      </c>
      <c r="AJ782" s="8" t="str">
        <f>"70517"</f>
        <v>70517</v>
      </c>
      <c r="AK782" t="s">
        <v>118</v>
      </c>
      <c r="AL782" t="s">
        <v>6013</v>
      </c>
      <c r="AM782" s="10">
        <v>13372287545</v>
      </c>
      <c r="AO782" t="s">
        <v>6018</v>
      </c>
      <c r="AP782" t="s">
        <v>248</v>
      </c>
      <c r="AQ782" t="s">
        <v>6019</v>
      </c>
      <c r="AR782" t="s">
        <v>6020</v>
      </c>
      <c r="AS782" t="s">
        <v>587</v>
      </c>
      <c r="AT782" t="s">
        <v>6021</v>
      </c>
      <c r="AV782" t="s">
        <v>6022</v>
      </c>
      <c r="AW782" t="s">
        <v>333</v>
      </c>
      <c r="AX782" s="8" t="str">
        <f>"70546"</f>
        <v>70546</v>
      </c>
      <c r="AY782" t="s">
        <v>118</v>
      </c>
      <c r="AZ782" t="s">
        <v>6023</v>
      </c>
      <c r="BA782" s="10">
        <v>12257183586</v>
      </c>
      <c r="BC782" t="s">
        <v>6024</v>
      </c>
      <c r="BD782" t="s">
        <v>6025</v>
      </c>
      <c r="BG782" t="s">
        <v>333</v>
      </c>
      <c r="BH782" s="1">
        <v>45202.833333333336</v>
      </c>
      <c r="BI782">
        <v>40</v>
      </c>
      <c r="BJ782">
        <v>0</v>
      </c>
      <c r="BK782">
        <v>8</v>
      </c>
      <c r="BL782">
        <v>8</v>
      </c>
      <c r="BM782">
        <v>8</v>
      </c>
      <c r="BN782">
        <v>8</v>
      </c>
      <c r="BO782">
        <v>8</v>
      </c>
      <c r="BP782">
        <v>0</v>
      </c>
      <c r="BQ782" t="str">
        <f>"5:00 AM"</f>
        <v>5:00 AM</v>
      </c>
      <c r="BR782" t="str">
        <f>"1:30 PM"</f>
        <v>1:30 PM</v>
      </c>
      <c r="BS782" t="s">
        <v>131</v>
      </c>
      <c r="BT782">
        <v>0</v>
      </c>
      <c r="BU782">
        <v>0</v>
      </c>
      <c r="BV782" t="s">
        <v>114</v>
      </c>
      <c r="BX782" t="s">
        <v>6026</v>
      </c>
      <c r="BY782" t="s">
        <v>6010</v>
      </c>
      <c r="CA782" t="s">
        <v>6012</v>
      </c>
      <c r="CB782" t="s">
        <v>333</v>
      </c>
      <c r="CC782" s="8" t="str">
        <f>"70517"</f>
        <v>70517</v>
      </c>
      <c r="CD782" t="s">
        <v>6027</v>
      </c>
      <c r="CE782" t="s">
        <v>1818</v>
      </c>
      <c r="CF782" s="12">
        <v>12.63</v>
      </c>
      <c r="CG782" s="12">
        <v>12.63</v>
      </c>
      <c r="CH782" s="12">
        <v>18.95</v>
      </c>
      <c r="CI782" s="12">
        <v>18.95</v>
      </c>
      <c r="CJ782" t="s">
        <v>135</v>
      </c>
      <c r="CK782" t="s">
        <v>6028</v>
      </c>
      <c r="CL782" t="s">
        <v>6029</v>
      </c>
      <c r="CO782" t="s">
        <v>132</v>
      </c>
      <c r="CP782" t="s">
        <v>114</v>
      </c>
      <c r="CQ782" t="s">
        <v>114</v>
      </c>
      <c r="CR782" t="s">
        <v>136</v>
      </c>
      <c r="CS782" t="s">
        <v>114</v>
      </c>
      <c r="CT782" t="s">
        <v>136</v>
      </c>
      <c r="CU782" t="s">
        <v>136</v>
      </c>
      <c r="CV782" t="s">
        <v>6030</v>
      </c>
      <c r="CW782" s="10" t="str">
        <f>"+13372287545"</f>
        <v>+13372287545</v>
      </c>
      <c r="CX782" t="s">
        <v>6031</v>
      </c>
      <c r="CY782" t="s">
        <v>132</v>
      </c>
      <c r="CZ782" t="s">
        <v>137</v>
      </c>
      <c r="DA782" t="s">
        <v>114</v>
      </c>
      <c r="DB782" t="s">
        <v>136</v>
      </c>
      <c r="DC782" t="s">
        <v>136</v>
      </c>
      <c r="DD782" t="s">
        <v>114</v>
      </c>
    </row>
    <row r="783" spans="1:108" ht="15" customHeight="1" x14ac:dyDescent="0.25">
      <c r="A783" t="s">
        <v>24136</v>
      </c>
      <c r="B783" t="s">
        <v>152</v>
      </c>
      <c r="C783" s="1">
        <v>45189.453691898147</v>
      </c>
      <c r="D783" s="1">
        <v>45252</v>
      </c>
      <c r="E783" t="s">
        <v>132</v>
      </c>
      <c r="F783" t="s">
        <v>3992</v>
      </c>
      <c r="G783" t="str">
        <f>"47-4051.00"</f>
        <v>47-4051.00</v>
      </c>
      <c r="H783" t="s">
        <v>5632</v>
      </c>
      <c r="I783">
        <v>12</v>
      </c>
      <c r="J783">
        <v>12</v>
      </c>
      <c r="K783" s="1">
        <v>45264</v>
      </c>
      <c r="L783" s="1">
        <v>45382</v>
      </c>
      <c r="M783" s="1">
        <v>45264</v>
      </c>
      <c r="N783" s="1">
        <v>45382</v>
      </c>
      <c r="O783" t="s">
        <v>238</v>
      </c>
      <c r="P783" t="s">
        <v>15265</v>
      </c>
      <c r="R783" t="s">
        <v>15266</v>
      </c>
      <c r="T783" t="s">
        <v>5519</v>
      </c>
      <c r="U783" t="s">
        <v>211</v>
      </c>
      <c r="V783" s="8" t="str">
        <f>"84062"</f>
        <v>84062</v>
      </c>
      <c r="W783" t="s">
        <v>118</v>
      </c>
      <c r="Y783" s="10">
        <v>18018007088</v>
      </c>
      <c r="AA783">
        <v>56173</v>
      </c>
      <c r="AB783" t="s">
        <v>7865</v>
      </c>
      <c r="AC783" t="s">
        <v>15267</v>
      </c>
      <c r="AE783" t="s">
        <v>561</v>
      </c>
      <c r="AF783" t="s">
        <v>15266</v>
      </c>
      <c r="AH783" t="s">
        <v>5519</v>
      </c>
      <c r="AI783" t="s">
        <v>211</v>
      </c>
      <c r="AJ783" s="8" t="str">
        <f>"84062"</f>
        <v>84062</v>
      </c>
      <c r="AK783" t="s">
        <v>118</v>
      </c>
      <c r="AM783" s="10">
        <v>18018007088</v>
      </c>
      <c r="AO783" t="s">
        <v>15268</v>
      </c>
      <c r="AP783" t="s">
        <v>248</v>
      </c>
      <c r="AQ783" t="s">
        <v>1700</v>
      </c>
      <c r="AR783" t="s">
        <v>1701</v>
      </c>
      <c r="AT783" t="s">
        <v>1702</v>
      </c>
      <c r="AV783" t="s">
        <v>1703</v>
      </c>
      <c r="AW783" t="s">
        <v>211</v>
      </c>
      <c r="AX783" s="8" t="str">
        <f>"84059"</f>
        <v>84059</v>
      </c>
      <c r="AY783" t="s">
        <v>118</v>
      </c>
      <c r="BA783" s="10">
        <v>18013677097</v>
      </c>
      <c r="BC783" t="s">
        <v>4601</v>
      </c>
      <c r="BD783" t="s">
        <v>4602</v>
      </c>
      <c r="BG783" t="s">
        <v>211</v>
      </c>
      <c r="BH783" s="1">
        <v>45188.833333333336</v>
      </c>
      <c r="BI783">
        <v>35</v>
      </c>
      <c r="BJ783">
        <v>0</v>
      </c>
      <c r="BK783">
        <v>7</v>
      </c>
      <c r="BL783">
        <v>7</v>
      </c>
      <c r="BM783">
        <v>7</v>
      </c>
      <c r="BN783">
        <v>7</v>
      </c>
      <c r="BO783">
        <v>7</v>
      </c>
      <c r="BP783">
        <v>0</v>
      </c>
      <c r="BQ783" t="str">
        <f>"8:00 AM"</f>
        <v>8:00 AM</v>
      </c>
      <c r="BR783" t="str">
        <f>"3:30 PM"</f>
        <v>3:30 PM</v>
      </c>
      <c r="BS783" t="s">
        <v>131</v>
      </c>
      <c r="BT783">
        <v>0</v>
      </c>
      <c r="BU783">
        <v>0</v>
      </c>
      <c r="BV783" t="s">
        <v>114</v>
      </c>
      <c r="BX783" s="2" t="s">
        <v>24137</v>
      </c>
      <c r="BY783" t="s">
        <v>15266</v>
      </c>
      <c r="CA783" t="s">
        <v>5519</v>
      </c>
      <c r="CB783" t="s">
        <v>211</v>
      </c>
      <c r="CC783" s="8" t="str">
        <f>"84062"</f>
        <v>84062</v>
      </c>
      <c r="CD783" t="s">
        <v>2468</v>
      </c>
      <c r="CE783" t="s">
        <v>2469</v>
      </c>
      <c r="CF783" s="12">
        <v>23.15</v>
      </c>
      <c r="CH783" s="12">
        <v>34.729999999999997</v>
      </c>
      <c r="CJ783" t="s">
        <v>135</v>
      </c>
      <c r="CK783" t="s">
        <v>4604</v>
      </c>
      <c r="CL783" t="s">
        <v>24138</v>
      </c>
      <c r="CO783" t="s">
        <v>132</v>
      </c>
      <c r="CP783" t="s">
        <v>136</v>
      </c>
      <c r="CQ783" t="s">
        <v>136</v>
      </c>
      <c r="CR783" t="s">
        <v>136</v>
      </c>
      <c r="CS783" t="s">
        <v>114</v>
      </c>
      <c r="CT783" t="s">
        <v>136</v>
      </c>
      <c r="CU783" t="s">
        <v>114</v>
      </c>
      <c r="CV783" t="s">
        <v>2470</v>
      </c>
      <c r="CW783" s="10" t="str">
        <f>"+18018007088"</f>
        <v>+18018007088</v>
      </c>
      <c r="CX783" t="s">
        <v>15268</v>
      </c>
      <c r="CY783" t="s">
        <v>132</v>
      </c>
      <c r="CZ783" t="s">
        <v>137</v>
      </c>
      <c r="DA783" t="s">
        <v>114</v>
      </c>
      <c r="DB783" t="s">
        <v>114</v>
      </c>
      <c r="DC783" t="s">
        <v>136</v>
      </c>
      <c r="DD783" t="s">
        <v>114</v>
      </c>
    </row>
    <row r="784" spans="1:108" ht="15" customHeight="1" x14ac:dyDescent="0.25">
      <c r="A784" t="s">
        <v>13538</v>
      </c>
      <c r="B784" t="s">
        <v>152</v>
      </c>
      <c r="C784" s="1">
        <v>45134.465992013887</v>
      </c>
      <c r="D784" s="1">
        <v>45252</v>
      </c>
      <c r="E784" t="s">
        <v>114</v>
      </c>
      <c r="F784" t="s">
        <v>13539</v>
      </c>
      <c r="G784" t="str">
        <f>"31-9096.00"</f>
        <v>31-9096.00</v>
      </c>
      <c r="H784" t="s">
        <v>13540</v>
      </c>
      <c r="I784">
        <v>1</v>
      </c>
      <c r="J784">
        <v>1</v>
      </c>
      <c r="K784" s="1">
        <v>45214</v>
      </c>
      <c r="L784" s="1">
        <v>45518</v>
      </c>
      <c r="M784" s="1">
        <v>45214</v>
      </c>
      <c r="N784" s="1">
        <v>45518</v>
      </c>
      <c r="O784" t="s">
        <v>238</v>
      </c>
      <c r="P784" t="s">
        <v>13541</v>
      </c>
      <c r="R784" t="s">
        <v>13542</v>
      </c>
      <c r="T784" t="s">
        <v>5490</v>
      </c>
      <c r="U784" t="s">
        <v>402</v>
      </c>
      <c r="V784" s="8" t="str">
        <f>"93908"</f>
        <v>93908</v>
      </c>
      <c r="W784" t="s">
        <v>118</v>
      </c>
      <c r="Y784" s="10">
        <v>18314551808</v>
      </c>
      <c r="AA784">
        <v>54194</v>
      </c>
      <c r="AB784" t="s">
        <v>13543</v>
      </c>
      <c r="AC784" t="s">
        <v>13544</v>
      </c>
      <c r="AE784" t="s">
        <v>654</v>
      </c>
      <c r="AF784" t="s">
        <v>13545</v>
      </c>
      <c r="AH784" t="s">
        <v>13001</v>
      </c>
      <c r="AI784" t="s">
        <v>402</v>
      </c>
      <c r="AJ784" s="8" t="str">
        <f>"93908"</f>
        <v>93908</v>
      </c>
      <c r="AK784" t="s">
        <v>118</v>
      </c>
      <c r="AM784" s="10">
        <v>18314551808</v>
      </c>
      <c r="AO784" t="s">
        <v>132</v>
      </c>
      <c r="AP784" t="s">
        <v>121</v>
      </c>
      <c r="AQ784" t="s">
        <v>1172</v>
      </c>
      <c r="AR784" t="s">
        <v>1173</v>
      </c>
      <c r="AS784" t="s">
        <v>708</v>
      </c>
      <c r="AT784" t="s">
        <v>13546</v>
      </c>
      <c r="AV784" t="s">
        <v>320</v>
      </c>
      <c r="AW784" t="s">
        <v>127</v>
      </c>
      <c r="AX784" s="8" t="str">
        <f>"78705"</f>
        <v>78705</v>
      </c>
      <c r="AY784" t="s">
        <v>118</v>
      </c>
      <c r="BA784" s="10">
        <v>15123470007</v>
      </c>
      <c r="BC784" t="s">
        <v>3621</v>
      </c>
      <c r="BD784" t="s">
        <v>4297</v>
      </c>
      <c r="BE784" t="s">
        <v>127</v>
      </c>
      <c r="BF784" t="s">
        <v>750</v>
      </c>
      <c r="BG784" t="s">
        <v>402</v>
      </c>
      <c r="BH784" s="1">
        <v>45123.833333333336</v>
      </c>
      <c r="BI784">
        <v>40</v>
      </c>
      <c r="BJ784">
        <v>0</v>
      </c>
      <c r="BK784">
        <v>8</v>
      </c>
      <c r="BL784">
        <v>8</v>
      </c>
      <c r="BM784">
        <v>8</v>
      </c>
      <c r="BN784">
        <v>8</v>
      </c>
      <c r="BO784">
        <v>8</v>
      </c>
      <c r="BP784">
        <v>0</v>
      </c>
      <c r="BQ784" t="str">
        <f>"8:00 AM"</f>
        <v>8:00 AM</v>
      </c>
      <c r="BR784" t="str">
        <f>"5:00 PM"</f>
        <v>5:00 PM</v>
      </c>
      <c r="BS784" t="s">
        <v>131</v>
      </c>
      <c r="BT784">
        <v>0</v>
      </c>
      <c r="BU784">
        <v>12</v>
      </c>
      <c r="BV784" t="s">
        <v>114</v>
      </c>
      <c r="BX784" t="s">
        <v>132</v>
      </c>
      <c r="BY784" t="s">
        <v>13547</v>
      </c>
      <c r="CA784" t="s">
        <v>5490</v>
      </c>
      <c r="CB784" t="s">
        <v>402</v>
      </c>
      <c r="CC784" s="8" t="str">
        <f>"93908"</f>
        <v>93908</v>
      </c>
      <c r="CD784" t="s">
        <v>13548</v>
      </c>
      <c r="CE784" t="s">
        <v>13549</v>
      </c>
      <c r="CF784" s="12">
        <v>17.34</v>
      </c>
      <c r="CG784" s="12">
        <v>17.34</v>
      </c>
      <c r="CH784" s="12">
        <v>26.01</v>
      </c>
      <c r="CI784" s="12">
        <v>26.01</v>
      </c>
      <c r="CJ784" t="s">
        <v>135</v>
      </c>
      <c r="CK784" t="s">
        <v>13550</v>
      </c>
      <c r="CL784" t="s">
        <v>13551</v>
      </c>
      <c r="CO784" t="s">
        <v>132</v>
      </c>
      <c r="CP784" t="s">
        <v>114</v>
      </c>
      <c r="CQ784" t="s">
        <v>136</v>
      </c>
      <c r="CR784" t="s">
        <v>136</v>
      </c>
      <c r="CS784" t="s">
        <v>114</v>
      </c>
      <c r="CT784" t="s">
        <v>136</v>
      </c>
      <c r="CU784" t="s">
        <v>136</v>
      </c>
      <c r="CV784" t="s">
        <v>13552</v>
      </c>
      <c r="CW784" s="10" t="str">
        <f>"+18314646286"</f>
        <v>+18314646286</v>
      </c>
      <c r="CX784" t="s">
        <v>132</v>
      </c>
      <c r="CY784" t="s">
        <v>13553</v>
      </c>
      <c r="CZ784" t="s">
        <v>137</v>
      </c>
      <c r="DA784" t="s">
        <v>114</v>
      </c>
      <c r="DB784" t="s">
        <v>114</v>
      </c>
      <c r="DC784" t="s">
        <v>136</v>
      </c>
      <c r="DD784" t="s">
        <v>114</v>
      </c>
    </row>
    <row r="785" spans="1:108" ht="15" customHeight="1" x14ac:dyDescent="0.25">
      <c r="A785" t="s">
        <v>21262</v>
      </c>
      <c r="B785" t="s">
        <v>152</v>
      </c>
      <c r="C785" s="1">
        <v>45223.395033333334</v>
      </c>
      <c r="D785" s="1">
        <v>45251</v>
      </c>
      <c r="E785" t="s">
        <v>132</v>
      </c>
      <c r="F785" t="s">
        <v>1595</v>
      </c>
      <c r="G785" t="str">
        <f>"37-3011.00"</f>
        <v>37-3011.00</v>
      </c>
      <c r="H785" t="s">
        <v>429</v>
      </c>
      <c r="I785">
        <v>40</v>
      </c>
      <c r="J785">
        <v>40</v>
      </c>
      <c r="K785" s="1">
        <v>45313</v>
      </c>
      <c r="L785" s="1">
        <v>45613</v>
      </c>
      <c r="M785" s="1">
        <v>45313</v>
      </c>
      <c r="N785" s="1">
        <v>45613</v>
      </c>
      <c r="O785" t="s">
        <v>116</v>
      </c>
      <c r="P785" t="s">
        <v>21263</v>
      </c>
      <c r="R785" t="s">
        <v>21264</v>
      </c>
      <c r="S785" t="s">
        <v>132</v>
      </c>
      <c r="T785" t="s">
        <v>17471</v>
      </c>
      <c r="U785" t="s">
        <v>1825</v>
      </c>
      <c r="V785" s="8" t="str">
        <f>"72135"</f>
        <v>72135</v>
      </c>
      <c r="W785" t="s">
        <v>118</v>
      </c>
      <c r="X785" t="s">
        <v>132</v>
      </c>
      <c r="Y785" s="10">
        <v>15013792568</v>
      </c>
      <c r="AA785">
        <v>713910</v>
      </c>
      <c r="AB785" t="s">
        <v>21265</v>
      </c>
      <c r="AC785" t="s">
        <v>1602</v>
      </c>
      <c r="AD785" t="s">
        <v>132</v>
      </c>
      <c r="AE785" t="s">
        <v>1104</v>
      </c>
      <c r="AF785" t="s">
        <v>21264</v>
      </c>
      <c r="AG785" t="s">
        <v>132</v>
      </c>
      <c r="AH785" t="s">
        <v>17471</v>
      </c>
      <c r="AI785" t="s">
        <v>1825</v>
      </c>
      <c r="AJ785" s="8" t="str">
        <f>"72135"</f>
        <v>72135</v>
      </c>
      <c r="AK785" t="s">
        <v>118</v>
      </c>
      <c r="AM785" s="10">
        <v>15013792568</v>
      </c>
      <c r="AO785" t="s">
        <v>21266</v>
      </c>
      <c r="AP785" t="s">
        <v>248</v>
      </c>
      <c r="AQ785" t="s">
        <v>1827</v>
      </c>
      <c r="AR785" t="s">
        <v>1828</v>
      </c>
      <c r="AS785" t="s">
        <v>1829</v>
      </c>
      <c r="AT785" t="s">
        <v>1830</v>
      </c>
      <c r="AU785" t="s">
        <v>132</v>
      </c>
      <c r="AV785" t="s">
        <v>1585</v>
      </c>
      <c r="AW785" t="s">
        <v>127</v>
      </c>
      <c r="AX785" s="8" t="str">
        <f>"77414"</f>
        <v>77414</v>
      </c>
      <c r="AY785" t="s">
        <v>118</v>
      </c>
      <c r="BA785" s="10">
        <v>19793187283</v>
      </c>
      <c r="BC785" t="s">
        <v>1831</v>
      </c>
      <c r="BD785" t="s">
        <v>1587</v>
      </c>
      <c r="BG785" t="s">
        <v>1825</v>
      </c>
      <c r="BH785" s="1">
        <v>45222.833333333336</v>
      </c>
      <c r="BI785">
        <v>40</v>
      </c>
      <c r="BJ785">
        <v>0</v>
      </c>
      <c r="BK785">
        <v>8</v>
      </c>
      <c r="BL785">
        <v>8</v>
      </c>
      <c r="BM785">
        <v>8</v>
      </c>
      <c r="BN785">
        <v>8</v>
      </c>
      <c r="BO785">
        <v>8</v>
      </c>
      <c r="BP785">
        <v>0</v>
      </c>
      <c r="BQ785" t="str">
        <f>"6:30 AM"</f>
        <v>6:30 AM</v>
      </c>
      <c r="BR785" t="str">
        <f>"3:00 PM"</f>
        <v>3:00 PM</v>
      </c>
      <c r="BS785" t="s">
        <v>131</v>
      </c>
      <c r="BT785">
        <v>0</v>
      </c>
      <c r="BU785">
        <v>0</v>
      </c>
      <c r="BV785" t="s">
        <v>114</v>
      </c>
      <c r="BX785" s="2" t="s">
        <v>21267</v>
      </c>
      <c r="BY785" t="s">
        <v>21264</v>
      </c>
      <c r="BZ785" t="s">
        <v>132</v>
      </c>
      <c r="CA785" t="s">
        <v>17471</v>
      </c>
      <c r="CB785" t="s">
        <v>1825</v>
      </c>
      <c r="CC785" s="8" t="str">
        <f>"72135"</f>
        <v>72135</v>
      </c>
      <c r="CD785" t="s">
        <v>1832</v>
      </c>
      <c r="CE785" t="s">
        <v>1833</v>
      </c>
      <c r="CF785" s="12">
        <v>15.21</v>
      </c>
      <c r="CH785" s="12">
        <v>22.82</v>
      </c>
      <c r="CJ785" t="s">
        <v>135</v>
      </c>
      <c r="CK785" t="s">
        <v>21268</v>
      </c>
      <c r="CL785" t="s">
        <v>21269</v>
      </c>
      <c r="CO785" t="s">
        <v>132</v>
      </c>
      <c r="CP785" t="s">
        <v>114</v>
      </c>
      <c r="CQ785" t="s">
        <v>114</v>
      </c>
      <c r="CR785" t="s">
        <v>136</v>
      </c>
      <c r="CS785" t="s">
        <v>136</v>
      </c>
      <c r="CT785" t="s">
        <v>136</v>
      </c>
      <c r="CU785" t="s">
        <v>114</v>
      </c>
      <c r="CV785" t="s">
        <v>21270</v>
      </c>
      <c r="CW785" s="10" t="str">
        <f>"+15013792568"</f>
        <v>+15013792568</v>
      </c>
      <c r="CX785" t="s">
        <v>21266</v>
      </c>
      <c r="CY785" t="s">
        <v>132</v>
      </c>
      <c r="CZ785" t="s">
        <v>137</v>
      </c>
      <c r="DA785" t="s">
        <v>114</v>
      </c>
      <c r="DB785" t="s">
        <v>114</v>
      </c>
      <c r="DC785" t="s">
        <v>136</v>
      </c>
      <c r="DD785" t="s">
        <v>114</v>
      </c>
    </row>
    <row r="786" spans="1:108" ht="15" customHeight="1" x14ac:dyDescent="0.25">
      <c r="A786" t="s">
        <v>17782</v>
      </c>
      <c r="B786" t="s">
        <v>152</v>
      </c>
      <c r="C786" s="1">
        <v>45222.384365625003</v>
      </c>
      <c r="D786" s="1">
        <v>45251</v>
      </c>
      <c r="E786" t="s">
        <v>132</v>
      </c>
      <c r="F786" t="s">
        <v>2715</v>
      </c>
      <c r="G786" t="str">
        <f>"39-3091.00"</f>
        <v>39-3091.00</v>
      </c>
      <c r="H786" t="s">
        <v>237</v>
      </c>
      <c r="I786">
        <v>63</v>
      </c>
      <c r="J786">
        <v>63</v>
      </c>
      <c r="K786" s="1">
        <v>45311</v>
      </c>
      <c r="L786" s="1">
        <v>45614</v>
      </c>
      <c r="M786" s="1">
        <v>45311</v>
      </c>
      <c r="N786" s="1">
        <v>45614</v>
      </c>
      <c r="O786" t="s">
        <v>238</v>
      </c>
      <c r="P786" t="s">
        <v>17783</v>
      </c>
      <c r="R786" t="s">
        <v>17784</v>
      </c>
      <c r="T786" t="s">
        <v>10857</v>
      </c>
      <c r="U786" t="s">
        <v>140</v>
      </c>
      <c r="V786" s="8" t="str">
        <f>"32824"</f>
        <v>32824</v>
      </c>
      <c r="W786" t="s">
        <v>118</v>
      </c>
      <c r="Y786" s="10">
        <v>14078553939</v>
      </c>
      <c r="Z786">
        <v>0</v>
      </c>
      <c r="AA786">
        <v>71399</v>
      </c>
      <c r="AB786" t="s">
        <v>4307</v>
      </c>
      <c r="AC786" t="s">
        <v>17785</v>
      </c>
      <c r="AE786" t="s">
        <v>15177</v>
      </c>
      <c r="AF786" t="s">
        <v>17784</v>
      </c>
      <c r="AH786" t="s">
        <v>10857</v>
      </c>
      <c r="AI786" t="s">
        <v>140</v>
      </c>
      <c r="AJ786" s="8" t="str">
        <f>"32824-7723"</f>
        <v>32824-7723</v>
      </c>
      <c r="AK786" t="s">
        <v>118</v>
      </c>
      <c r="AM786" s="10">
        <v>14078553939</v>
      </c>
      <c r="AN786">
        <v>0</v>
      </c>
      <c r="AO786" t="s">
        <v>17786</v>
      </c>
      <c r="AP786" t="s">
        <v>121</v>
      </c>
      <c r="AQ786" t="s">
        <v>1718</v>
      </c>
      <c r="AR786" t="s">
        <v>708</v>
      </c>
      <c r="AS786" t="s">
        <v>1719</v>
      </c>
      <c r="AT786" t="s">
        <v>1720</v>
      </c>
      <c r="AU786" t="s">
        <v>799</v>
      </c>
      <c r="AV786" t="s">
        <v>1721</v>
      </c>
      <c r="AW786" t="s">
        <v>1722</v>
      </c>
      <c r="AX786" s="8" t="str">
        <f>"21401"</f>
        <v>21401</v>
      </c>
      <c r="AY786" t="s">
        <v>118</v>
      </c>
      <c r="BA786" s="10">
        <v>14105739955</v>
      </c>
      <c r="BB786">
        <v>0</v>
      </c>
      <c r="BC786" t="s">
        <v>1723</v>
      </c>
      <c r="BD786" t="s">
        <v>1724</v>
      </c>
      <c r="BE786" t="s">
        <v>1722</v>
      </c>
      <c r="BF786" t="s">
        <v>1725</v>
      </c>
      <c r="BG786" t="s">
        <v>140</v>
      </c>
      <c r="BH786" s="1">
        <v>45215.833333333336</v>
      </c>
      <c r="BI786">
        <v>35</v>
      </c>
      <c r="BJ786">
        <v>7</v>
      </c>
      <c r="BK786">
        <v>0</v>
      </c>
      <c r="BL786">
        <v>0</v>
      </c>
      <c r="BM786">
        <v>7</v>
      </c>
      <c r="BN786">
        <v>7</v>
      </c>
      <c r="BO786">
        <v>7</v>
      </c>
      <c r="BP786">
        <v>7</v>
      </c>
      <c r="BQ786" t="str">
        <f>"4:00 PM"</f>
        <v>4:00 PM</v>
      </c>
      <c r="BR786" t="str">
        <f>"11:00 PM"</f>
        <v>11:00 PM</v>
      </c>
      <c r="BS786" t="s">
        <v>2035</v>
      </c>
      <c r="BT786">
        <v>0</v>
      </c>
      <c r="BU786">
        <v>0</v>
      </c>
      <c r="BV786" t="s">
        <v>114</v>
      </c>
      <c r="BX786" s="2" t="s">
        <v>17787</v>
      </c>
      <c r="BY786" t="s">
        <v>17788</v>
      </c>
      <c r="CA786" t="s">
        <v>955</v>
      </c>
      <c r="CB786" t="s">
        <v>140</v>
      </c>
      <c r="CC786" s="8" t="str">
        <f>"32824"</f>
        <v>32824</v>
      </c>
      <c r="CD786" t="s">
        <v>2274</v>
      </c>
      <c r="CE786" t="s">
        <v>2052</v>
      </c>
      <c r="CF786" s="12">
        <v>9.3800000000000008</v>
      </c>
      <c r="CG786" s="12">
        <v>16.3</v>
      </c>
      <c r="CH786" s="12">
        <v>14.07</v>
      </c>
      <c r="CI786" s="12">
        <v>24.45</v>
      </c>
      <c r="CJ786" t="s">
        <v>135</v>
      </c>
      <c r="CK786" t="s">
        <v>4224</v>
      </c>
      <c r="CL786" t="s">
        <v>17789</v>
      </c>
      <c r="CO786" t="s">
        <v>132</v>
      </c>
      <c r="CP786" t="s">
        <v>136</v>
      </c>
      <c r="CQ786" t="s">
        <v>114</v>
      </c>
      <c r="CR786" t="s">
        <v>136</v>
      </c>
      <c r="CS786" t="s">
        <v>136</v>
      </c>
      <c r="CT786" t="s">
        <v>136</v>
      </c>
      <c r="CU786" t="s">
        <v>136</v>
      </c>
      <c r="CV786" t="s">
        <v>17790</v>
      </c>
      <c r="CW786" s="10" t="str">
        <f>"N/A"</f>
        <v>N/A</v>
      </c>
      <c r="CX786" t="s">
        <v>17786</v>
      </c>
      <c r="CY786" t="s">
        <v>17791</v>
      </c>
      <c r="CZ786" t="s">
        <v>137</v>
      </c>
      <c r="DA786" t="s">
        <v>114</v>
      </c>
      <c r="DB786" t="s">
        <v>136</v>
      </c>
      <c r="DC786" t="s">
        <v>136</v>
      </c>
      <c r="DD786" t="s">
        <v>114</v>
      </c>
    </row>
    <row r="787" spans="1:108" ht="15" customHeight="1" x14ac:dyDescent="0.25">
      <c r="A787" t="s">
        <v>21163</v>
      </c>
      <c r="B787" t="s">
        <v>152</v>
      </c>
      <c r="C787" s="1">
        <v>45218.493578125002</v>
      </c>
      <c r="D787" s="1">
        <v>45251</v>
      </c>
      <c r="E787" t="s">
        <v>132</v>
      </c>
      <c r="F787" t="s">
        <v>3098</v>
      </c>
      <c r="G787" t="str">
        <f>"39-3091.00"</f>
        <v>39-3091.00</v>
      </c>
      <c r="H787" t="s">
        <v>237</v>
      </c>
      <c r="I787">
        <v>75</v>
      </c>
      <c r="J787">
        <v>75</v>
      </c>
      <c r="K787" s="1">
        <v>45308</v>
      </c>
      <c r="L787" s="1">
        <v>45612</v>
      </c>
      <c r="M787" s="1">
        <v>45308</v>
      </c>
      <c r="N787" s="1">
        <v>45612</v>
      </c>
      <c r="O787" t="s">
        <v>238</v>
      </c>
      <c r="P787" t="s">
        <v>21164</v>
      </c>
      <c r="R787" t="s">
        <v>21165</v>
      </c>
      <c r="T787" t="s">
        <v>332</v>
      </c>
      <c r="U787" t="s">
        <v>333</v>
      </c>
      <c r="V787" s="8" t="str">
        <f>"70458"</f>
        <v>70458</v>
      </c>
      <c r="W787" t="s">
        <v>118</v>
      </c>
      <c r="Y787" s="10">
        <v>15049145856</v>
      </c>
      <c r="Z787" s="3" t="s">
        <v>256</v>
      </c>
      <c r="AA787">
        <v>71119</v>
      </c>
      <c r="AB787" t="s">
        <v>608</v>
      </c>
      <c r="AC787" t="s">
        <v>21166</v>
      </c>
      <c r="AE787" t="s">
        <v>1386</v>
      </c>
      <c r="AF787" t="s">
        <v>21165</v>
      </c>
      <c r="AH787" t="s">
        <v>332</v>
      </c>
      <c r="AI787" t="s">
        <v>333</v>
      </c>
      <c r="AJ787" s="8" t="str">
        <f>"70458"</f>
        <v>70458</v>
      </c>
      <c r="AK787" t="s">
        <v>118</v>
      </c>
      <c r="AM787" s="10">
        <v>15049145856</v>
      </c>
      <c r="AN787" s="3" t="s">
        <v>256</v>
      </c>
      <c r="AO787" t="s">
        <v>21167</v>
      </c>
      <c r="AP787" t="s">
        <v>248</v>
      </c>
      <c r="AQ787" t="s">
        <v>249</v>
      </c>
      <c r="AR787" t="s">
        <v>250</v>
      </c>
      <c r="AS787" t="s">
        <v>251</v>
      </c>
      <c r="AT787" t="s">
        <v>252</v>
      </c>
      <c r="AU787" t="s">
        <v>253</v>
      </c>
      <c r="AV787" t="s">
        <v>254</v>
      </c>
      <c r="AW787" t="s">
        <v>127</v>
      </c>
      <c r="AX787" s="8" t="str">
        <f>"78550"</f>
        <v>78550</v>
      </c>
      <c r="AY787" t="s">
        <v>118</v>
      </c>
      <c r="AZ787" t="s">
        <v>255</v>
      </c>
      <c r="BA787" s="10">
        <v>19564408720</v>
      </c>
      <c r="BB787" s="3" t="s">
        <v>256</v>
      </c>
      <c r="BC787" t="s">
        <v>338</v>
      </c>
      <c r="BD787" t="s">
        <v>258</v>
      </c>
      <c r="BG787" t="s">
        <v>333</v>
      </c>
      <c r="BH787" s="1">
        <v>45217.833333333336</v>
      </c>
      <c r="BI787">
        <v>40</v>
      </c>
      <c r="BJ787">
        <v>8</v>
      </c>
      <c r="BK787">
        <v>0</v>
      </c>
      <c r="BL787">
        <v>0</v>
      </c>
      <c r="BM787">
        <v>8</v>
      </c>
      <c r="BN787">
        <v>8</v>
      </c>
      <c r="BO787">
        <v>8</v>
      </c>
      <c r="BP787">
        <v>8</v>
      </c>
      <c r="BQ787" t="str">
        <f>"1:00 PM"</f>
        <v>1:00 PM</v>
      </c>
      <c r="BR787" t="str">
        <f>"10:00 PM"</f>
        <v>10:00 PM</v>
      </c>
      <c r="BS787" t="s">
        <v>131</v>
      </c>
      <c r="BT787">
        <v>0</v>
      </c>
      <c r="BU787">
        <v>0</v>
      </c>
      <c r="BV787" t="s">
        <v>114</v>
      </c>
      <c r="BX787" s="2" t="s">
        <v>2396</v>
      </c>
      <c r="BY787" t="s">
        <v>21165</v>
      </c>
      <c r="CA787" t="s">
        <v>332</v>
      </c>
      <c r="CB787" t="s">
        <v>333</v>
      </c>
      <c r="CC787" s="8" t="str">
        <f>"70458"</f>
        <v>70458</v>
      </c>
      <c r="CD787" t="s">
        <v>340</v>
      </c>
      <c r="CE787" t="s">
        <v>341</v>
      </c>
      <c r="CF787" s="12">
        <v>9.86</v>
      </c>
      <c r="CG787" s="12">
        <v>14.4</v>
      </c>
      <c r="CJ787" t="s">
        <v>135</v>
      </c>
      <c r="CK787" t="s">
        <v>342</v>
      </c>
      <c r="CL787" t="s">
        <v>21168</v>
      </c>
      <c r="CO787" t="s">
        <v>132</v>
      </c>
      <c r="CP787" t="s">
        <v>136</v>
      </c>
      <c r="CQ787" t="s">
        <v>136</v>
      </c>
      <c r="CR787" t="s">
        <v>114</v>
      </c>
      <c r="CS787" t="s">
        <v>136</v>
      </c>
      <c r="CT787" t="s">
        <v>136</v>
      </c>
      <c r="CU787" t="s">
        <v>136</v>
      </c>
      <c r="CV787" t="s">
        <v>949</v>
      </c>
      <c r="CW787" s="10" t="str">
        <f>"+15049145856"</f>
        <v>+15049145856</v>
      </c>
      <c r="CX787" t="s">
        <v>21167</v>
      </c>
      <c r="CY787" t="s">
        <v>132</v>
      </c>
      <c r="CZ787" t="s">
        <v>137</v>
      </c>
      <c r="DA787" t="s">
        <v>114</v>
      </c>
      <c r="DB787" t="s">
        <v>136</v>
      </c>
      <c r="DC787" t="s">
        <v>136</v>
      </c>
      <c r="DD787" t="s">
        <v>114</v>
      </c>
    </row>
    <row r="788" spans="1:108" ht="15" customHeight="1" x14ac:dyDescent="0.25">
      <c r="A788" t="s">
        <v>21339</v>
      </c>
      <c r="B788" t="s">
        <v>152</v>
      </c>
      <c r="C788" s="1">
        <v>45217.478947453703</v>
      </c>
      <c r="D788" s="1">
        <v>45251</v>
      </c>
      <c r="E788" t="s">
        <v>132</v>
      </c>
      <c r="F788" t="s">
        <v>1247</v>
      </c>
      <c r="G788" t="str">
        <f>"45-4011.00"</f>
        <v>45-4011.00</v>
      </c>
      <c r="H788" t="s">
        <v>842</v>
      </c>
      <c r="I788">
        <v>15</v>
      </c>
      <c r="J788">
        <v>15</v>
      </c>
      <c r="K788" s="1">
        <v>45292</v>
      </c>
      <c r="L788" s="1">
        <v>45565</v>
      </c>
      <c r="M788" s="1">
        <v>45292</v>
      </c>
      <c r="N788" s="1">
        <v>45565</v>
      </c>
      <c r="O788" t="s">
        <v>116</v>
      </c>
      <c r="P788" t="s">
        <v>21340</v>
      </c>
      <c r="R788" t="s">
        <v>21341</v>
      </c>
      <c r="T788" t="s">
        <v>21342</v>
      </c>
      <c r="U788" t="s">
        <v>1825</v>
      </c>
      <c r="V788" s="8" t="str">
        <f>"72958"</f>
        <v>72958</v>
      </c>
      <c r="W788" t="s">
        <v>118</v>
      </c>
      <c r="Y788" s="10">
        <v>15012822821</v>
      </c>
      <c r="AA788">
        <v>115310</v>
      </c>
      <c r="AB788" t="s">
        <v>21343</v>
      </c>
      <c r="AC788" t="s">
        <v>21344</v>
      </c>
      <c r="AE788" t="s">
        <v>561</v>
      </c>
      <c r="AF788" t="s">
        <v>21341</v>
      </c>
      <c r="AH788" t="s">
        <v>21342</v>
      </c>
      <c r="AI788" t="s">
        <v>1825</v>
      </c>
      <c r="AJ788" s="8" t="str">
        <f>"72958"</f>
        <v>72958</v>
      </c>
      <c r="AK788" t="s">
        <v>118</v>
      </c>
      <c r="AM788" s="10">
        <v>15012822821</v>
      </c>
      <c r="AO788" t="s">
        <v>21345</v>
      </c>
      <c r="AP788" t="s">
        <v>248</v>
      </c>
      <c r="AQ788" t="s">
        <v>2949</v>
      </c>
      <c r="AR788" t="s">
        <v>2950</v>
      </c>
      <c r="AS788" t="s">
        <v>132</v>
      </c>
      <c r="AT788" t="s">
        <v>1253</v>
      </c>
      <c r="AU788" t="s">
        <v>852</v>
      </c>
      <c r="AV788" t="s">
        <v>853</v>
      </c>
      <c r="AW788" t="s">
        <v>854</v>
      </c>
      <c r="AX788" s="8" t="str">
        <f>"83814"</f>
        <v>83814</v>
      </c>
      <c r="AY788" t="s">
        <v>118</v>
      </c>
      <c r="BA788" s="10">
        <v>12087772654</v>
      </c>
      <c r="BC788" t="s">
        <v>2951</v>
      </c>
      <c r="BD788" t="s">
        <v>856</v>
      </c>
      <c r="BG788" t="s">
        <v>1825</v>
      </c>
      <c r="BH788" s="1">
        <v>45215.833333333336</v>
      </c>
      <c r="BI788">
        <v>40</v>
      </c>
      <c r="BJ788">
        <v>0</v>
      </c>
      <c r="BK788">
        <v>8</v>
      </c>
      <c r="BL788">
        <v>8</v>
      </c>
      <c r="BM788">
        <v>8</v>
      </c>
      <c r="BN788">
        <v>8</v>
      </c>
      <c r="BO788">
        <v>8</v>
      </c>
      <c r="BP788">
        <v>0</v>
      </c>
      <c r="BQ788" t="str">
        <f>"7:00 AM"</f>
        <v>7:00 AM</v>
      </c>
      <c r="BR788" t="str">
        <f>"3:00 PM"</f>
        <v>3:00 PM</v>
      </c>
      <c r="BS788" t="s">
        <v>131</v>
      </c>
      <c r="BT788">
        <v>0</v>
      </c>
      <c r="BU788">
        <v>3</v>
      </c>
      <c r="BV788" t="s">
        <v>114</v>
      </c>
      <c r="BX788" t="s">
        <v>4841</v>
      </c>
      <c r="BY788" t="s">
        <v>21346</v>
      </c>
      <c r="CA788" t="s">
        <v>21342</v>
      </c>
      <c r="CB788" t="s">
        <v>1825</v>
      </c>
      <c r="CC788" s="8" t="str">
        <f>"72958"</f>
        <v>72958</v>
      </c>
      <c r="CD788" t="s">
        <v>2754</v>
      </c>
      <c r="CE788" t="s">
        <v>9472</v>
      </c>
      <c r="CF788" s="12">
        <v>13.27</v>
      </c>
      <c r="CG788" s="12">
        <v>20.34</v>
      </c>
      <c r="CH788" s="12">
        <v>19.91</v>
      </c>
      <c r="CI788" s="12">
        <v>30.51</v>
      </c>
      <c r="CJ788" t="s">
        <v>135</v>
      </c>
      <c r="CK788" t="s">
        <v>861</v>
      </c>
      <c r="CL788" t="s">
        <v>21347</v>
      </c>
      <c r="CO788" t="s">
        <v>132</v>
      </c>
      <c r="CP788" t="s">
        <v>136</v>
      </c>
      <c r="CQ788" t="s">
        <v>136</v>
      </c>
      <c r="CR788" t="s">
        <v>136</v>
      </c>
      <c r="CS788" t="s">
        <v>114</v>
      </c>
      <c r="CT788" t="s">
        <v>136</v>
      </c>
      <c r="CU788" t="s">
        <v>136</v>
      </c>
      <c r="CV788" t="s">
        <v>1040</v>
      </c>
      <c r="CW788" s="10" t="str">
        <f>"+15012822821"</f>
        <v>+15012822821</v>
      </c>
      <c r="CX788" t="s">
        <v>21345</v>
      </c>
      <c r="CY788" t="s">
        <v>132</v>
      </c>
      <c r="CZ788" t="s">
        <v>137</v>
      </c>
      <c r="DA788" t="s">
        <v>114</v>
      </c>
      <c r="DB788" t="s">
        <v>114</v>
      </c>
      <c r="DC788" t="s">
        <v>136</v>
      </c>
      <c r="DD788" t="s">
        <v>114</v>
      </c>
    </row>
    <row r="789" spans="1:108" ht="15" customHeight="1" x14ac:dyDescent="0.25">
      <c r="A789" t="s">
        <v>17544</v>
      </c>
      <c r="B789" t="s">
        <v>152</v>
      </c>
      <c r="C789" s="1">
        <v>45216.548795833332</v>
      </c>
      <c r="D789" s="1">
        <v>45251</v>
      </c>
      <c r="E789" t="s">
        <v>132</v>
      </c>
      <c r="F789" t="s">
        <v>685</v>
      </c>
      <c r="G789" t="str">
        <f>"39-3091.00"</f>
        <v>39-3091.00</v>
      </c>
      <c r="H789" t="s">
        <v>237</v>
      </c>
      <c r="I789">
        <v>15</v>
      </c>
      <c r="J789">
        <v>15</v>
      </c>
      <c r="K789" s="1">
        <v>45306</v>
      </c>
      <c r="L789" s="1">
        <v>45610</v>
      </c>
      <c r="M789" s="1">
        <v>45306</v>
      </c>
      <c r="N789" s="1">
        <v>45610</v>
      </c>
      <c r="O789" t="s">
        <v>238</v>
      </c>
      <c r="P789" t="s">
        <v>17545</v>
      </c>
      <c r="R789" t="s">
        <v>17546</v>
      </c>
      <c r="S789" t="s">
        <v>17547</v>
      </c>
      <c r="T789" t="s">
        <v>6055</v>
      </c>
      <c r="U789" t="s">
        <v>140</v>
      </c>
      <c r="V789" s="8" t="str">
        <f>"34243"</f>
        <v>34243</v>
      </c>
      <c r="W789" t="s">
        <v>118</v>
      </c>
      <c r="Y789" s="10">
        <v>19416504094</v>
      </c>
      <c r="Z789" s="3" t="s">
        <v>256</v>
      </c>
      <c r="AA789">
        <v>71399</v>
      </c>
      <c r="AB789" t="s">
        <v>11400</v>
      </c>
      <c r="AC789" t="s">
        <v>8463</v>
      </c>
      <c r="AE789" t="s">
        <v>561</v>
      </c>
      <c r="AF789" t="s">
        <v>17548</v>
      </c>
      <c r="AG789" t="s">
        <v>17547</v>
      </c>
      <c r="AH789" t="s">
        <v>6055</v>
      </c>
      <c r="AI789" t="s">
        <v>140</v>
      </c>
      <c r="AJ789" s="8" t="str">
        <f>"34243"</f>
        <v>34243</v>
      </c>
      <c r="AK789" t="s">
        <v>118</v>
      </c>
      <c r="AM789" s="10">
        <v>19416504094</v>
      </c>
      <c r="AN789" s="3" t="s">
        <v>256</v>
      </c>
      <c r="AO789" t="s">
        <v>11401</v>
      </c>
      <c r="AP789" t="s">
        <v>248</v>
      </c>
      <c r="AQ789" t="s">
        <v>249</v>
      </c>
      <c r="AR789" t="s">
        <v>250</v>
      </c>
      <c r="AS789" t="s">
        <v>251</v>
      </c>
      <c r="AT789" t="s">
        <v>252</v>
      </c>
      <c r="AU789" t="s">
        <v>253</v>
      </c>
      <c r="AV789" t="s">
        <v>254</v>
      </c>
      <c r="AW789" t="s">
        <v>127</v>
      </c>
      <c r="AX789" s="8" t="str">
        <f>"78550"</f>
        <v>78550</v>
      </c>
      <c r="AY789" t="s">
        <v>118</v>
      </c>
      <c r="AZ789" t="s">
        <v>255</v>
      </c>
      <c r="BA789" s="10">
        <v>19564408720</v>
      </c>
      <c r="BB789" s="3" t="s">
        <v>256</v>
      </c>
      <c r="BC789" t="s">
        <v>338</v>
      </c>
      <c r="BD789" t="s">
        <v>258</v>
      </c>
      <c r="BG789" t="s">
        <v>140</v>
      </c>
      <c r="BH789" s="1">
        <v>45215.833333333336</v>
      </c>
      <c r="BI789">
        <v>40</v>
      </c>
      <c r="BJ789">
        <v>8</v>
      </c>
      <c r="BK789">
        <v>0</v>
      </c>
      <c r="BL789">
        <v>0</v>
      </c>
      <c r="BM789">
        <v>8</v>
      </c>
      <c r="BN789">
        <v>8</v>
      </c>
      <c r="BO789">
        <v>8</v>
      </c>
      <c r="BP789">
        <v>8</v>
      </c>
      <c r="BQ789" t="str">
        <f>"1:00 PM"</f>
        <v>1:00 PM</v>
      </c>
      <c r="BR789" t="str">
        <f>"10:00 PM"</f>
        <v>10:00 PM</v>
      </c>
      <c r="BS789" t="s">
        <v>131</v>
      </c>
      <c r="BT789">
        <v>0</v>
      </c>
      <c r="BU789">
        <v>0</v>
      </c>
      <c r="BV789" t="s">
        <v>114</v>
      </c>
      <c r="BX789" s="2" t="s">
        <v>339</v>
      </c>
      <c r="BY789" t="s">
        <v>17548</v>
      </c>
      <c r="CA789" t="s">
        <v>6055</v>
      </c>
      <c r="CB789" t="s">
        <v>140</v>
      </c>
      <c r="CC789" s="8" t="str">
        <f>"34243"</f>
        <v>34243</v>
      </c>
      <c r="CD789" t="s">
        <v>6059</v>
      </c>
      <c r="CE789" t="s">
        <v>1730</v>
      </c>
      <c r="CF789" s="12">
        <v>10.43</v>
      </c>
      <c r="CG789" s="12">
        <v>14.79</v>
      </c>
      <c r="CJ789" t="s">
        <v>135</v>
      </c>
      <c r="CK789" t="s">
        <v>342</v>
      </c>
      <c r="CL789" t="s">
        <v>17549</v>
      </c>
      <c r="CO789" t="s">
        <v>132</v>
      </c>
      <c r="CP789" t="s">
        <v>136</v>
      </c>
      <c r="CQ789" t="s">
        <v>136</v>
      </c>
      <c r="CR789" t="s">
        <v>114</v>
      </c>
      <c r="CS789" t="s">
        <v>136</v>
      </c>
      <c r="CT789" t="s">
        <v>136</v>
      </c>
      <c r="CU789" t="s">
        <v>136</v>
      </c>
      <c r="CV789" t="s">
        <v>9745</v>
      </c>
      <c r="CW789" s="10" t="str">
        <f>"+19416503033"</f>
        <v>+19416503033</v>
      </c>
      <c r="CX789" t="s">
        <v>11401</v>
      </c>
      <c r="CY789" t="s">
        <v>132</v>
      </c>
      <c r="CZ789" t="s">
        <v>137</v>
      </c>
      <c r="DA789" t="s">
        <v>114</v>
      </c>
      <c r="DB789" t="s">
        <v>136</v>
      </c>
      <c r="DC789" t="s">
        <v>136</v>
      </c>
      <c r="DD789" t="s">
        <v>114</v>
      </c>
    </row>
    <row r="790" spans="1:108" ht="15" customHeight="1" x14ac:dyDescent="0.25">
      <c r="A790" t="s">
        <v>9591</v>
      </c>
      <c r="B790" t="s">
        <v>152</v>
      </c>
      <c r="C790" s="1">
        <v>45215.402604282404</v>
      </c>
      <c r="D790" s="1">
        <v>45251</v>
      </c>
      <c r="E790" t="s">
        <v>132</v>
      </c>
      <c r="F790" t="s">
        <v>9592</v>
      </c>
      <c r="G790" t="str">
        <f>"35-3023.00"</f>
        <v>35-3023.00</v>
      </c>
      <c r="H790" t="s">
        <v>1365</v>
      </c>
      <c r="I790">
        <v>20</v>
      </c>
      <c r="J790">
        <v>20</v>
      </c>
      <c r="K790" s="1">
        <v>45304</v>
      </c>
      <c r="L790" s="1">
        <v>45609</v>
      </c>
      <c r="M790" s="1">
        <v>45304</v>
      </c>
      <c r="N790" s="1">
        <v>45609</v>
      </c>
      <c r="O790" t="s">
        <v>238</v>
      </c>
      <c r="P790" t="s">
        <v>9593</v>
      </c>
      <c r="Q790" t="s">
        <v>9594</v>
      </c>
      <c r="R790" t="s">
        <v>9595</v>
      </c>
      <c r="T790" t="s">
        <v>1426</v>
      </c>
      <c r="U790" t="s">
        <v>140</v>
      </c>
      <c r="V790" s="8" t="str">
        <f>"33527"</f>
        <v>33527</v>
      </c>
      <c r="W790" t="s">
        <v>118</v>
      </c>
      <c r="Y790" s="10">
        <v>18133409659</v>
      </c>
      <c r="AA790">
        <v>722330</v>
      </c>
      <c r="AB790" t="s">
        <v>9596</v>
      </c>
      <c r="AC790" t="s">
        <v>218</v>
      </c>
      <c r="AE790" t="s">
        <v>561</v>
      </c>
      <c r="AF790" t="s">
        <v>9595</v>
      </c>
      <c r="AH790" t="s">
        <v>1426</v>
      </c>
      <c r="AI790" t="s">
        <v>140</v>
      </c>
      <c r="AJ790" s="8" t="str">
        <f>"33527"</f>
        <v>33527</v>
      </c>
      <c r="AK790" t="s">
        <v>118</v>
      </c>
      <c r="AM790" s="10">
        <v>18133409659</v>
      </c>
      <c r="AO790" t="s">
        <v>9597</v>
      </c>
      <c r="AP790" t="s">
        <v>121</v>
      </c>
      <c r="AQ790" t="s">
        <v>1718</v>
      </c>
      <c r="AR790" t="s">
        <v>708</v>
      </c>
      <c r="AS790" t="s">
        <v>1719</v>
      </c>
      <c r="AT790" t="s">
        <v>1720</v>
      </c>
      <c r="AU790" t="s">
        <v>799</v>
      </c>
      <c r="AV790" t="s">
        <v>1721</v>
      </c>
      <c r="AW790" t="s">
        <v>1722</v>
      </c>
      <c r="AX790" s="8" t="str">
        <f>"21401"</f>
        <v>21401</v>
      </c>
      <c r="AY790" t="s">
        <v>118</v>
      </c>
      <c r="BA790" s="10">
        <v>14105739955</v>
      </c>
      <c r="BB790">
        <v>0</v>
      </c>
      <c r="BC790" t="s">
        <v>1723</v>
      </c>
      <c r="BD790" t="s">
        <v>1724</v>
      </c>
      <c r="BE790" t="s">
        <v>1722</v>
      </c>
      <c r="BF790" t="s">
        <v>1725</v>
      </c>
      <c r="BG790" t="s">
        <v>140</v>
      </c>
      <c r="BH790" s="1">
        <v>45209.833333333336</v>
      </c>
      <c r="BI790">
        <v>38</v>
      </c>
      <c r="BJ790">
        <v>7</v>
      </c>
      <c r="BK790">
        <v>0</v>
      </c>
      <c r="BL790">
        <v>6</v>
      </c>
      <c r="BM790">
        <v>6</v>
      </c>
      <c r="BN790">
        <v>6</v>
      </c>
      <c r="BO790">
        <v>6</v>
      </c>
      <c r="BP790">
        <v>7</v>
      </c>
      <c r="BQ790" t="str">
        <f>"1:00 PM"</f>
        <v>1:00 PM</v>
      </c>
      <c r="BR790" t="str">
        <f>"11:00 PM"</f>
        <v>11:00 PM</v>
      </c>
      <c r="BS790" t="s">
        <v>131</v>
      </c>
      <c r="BT790">
        <v>0</v>
      </c>
      <c r="BU790">
        <v>0</v>
      </c>
      <c r="BV790" t="s">
        <v>114</v>
      </c>
      <c r="BX790" s="2" t="s">
        <v>9598</v>
      </c>
      <c r="BY790" t="s">
        <v>9599</v>
      </c>
      <c r="CA790" t="s">
        <v>5064</v>
      </c>
      <c r="CB790" t="s">
        <v>140</v>
      </c>
      <c r="CC790" s="8" t="str">
        <f>"33534"</f>
        <v>33534</v>
      </c>
      <c r="CD790" t="s">
        <v>781</v>
      </c>
      <c r="CE790" t="s">
        <v>467</v>
      </c>
      <c r="CF790" s="12">
        <v>9.9700000000000006</v>
      </c>
      <c r="CG790" s="12">
        <v>14.31</v>
      </c>
      <c r="CJ790" t="s">
        <v>135</v>
      </c>
      <c r="CK790" t="s">
        <v>9600</v>
      </c>
      <c r="CL790" t="s">
        <v>9601</v>
      </c>
      <c r="CO790" t="s">
        <v>132</v>
      </c>
      <c r="CP790" t="s">
        <v>136</v>
      </c>
      <c r="CQ790" t="s">
        <v>114</v>
      </c>
      <c r="CR790" t="s">
        <v>114</v>
      </c>
      <c r="CS790" t="s">
        <v>136</v>
      </c>
      <c r="CT790" t="s">
        <v>136</v>
      </c>
      <c r="CU790" t="s">
        <v>136</v>
      </c>
      <c r="CV790" t="s">
        <v>9602</v>
      </c>
      <c r="CW790" s="10" t="str">
        <f>"+18133409659"</f>
        <v>+18133409659</v>
      </c>
      <c r="CX790" t="s">
        <v>9603</v>
      </c>
      <c r="CY790" t="s">
        <v>132</v>
      </c>
      <c r="CZ790" t="s">
        <v>137</v>
      </c>
      <c r="DA790" t="s">
        <v>114</v>
      </c>
      <c r="DB790" t="s">
        <v>136</v>
      </c>
      <c r="DC790" t="s">
        <v>136</v>
      </c>
      <c r="DD790" t="s">
        <v>114</v>
      </c>
    </row>
    <row r="791" spans="1:108" ht="15" customHeight="1" x14ac:dyDescent="0.25">
      <c r="A791" t="s">
        <v>16342</v>
      </c>
      <c r="B791" t="s">
        <v>152</v>
      </c>
      <c r="C791" s="1">
        <v>45215.397860879631</v>
      </c>
      <c r="D791" s="1">
        <v>45251</v>
      </c>
      <c r="E791" t="s">
        <v>132</v>
      </c>
      <c r="F791" t="s">
        <v>2715</v>
      </c>
      <c r="G791" t="str">
        <f>"39-3091.00"</f>
        <v>39-3091.00</v>
      </c>
      <c r="H791" t="s">
        <v>237</v>
      </c>
      <c r="I791">
        <v>40</v>
      </c>
      <c r="J791">
        <v>40</v>
      </c>
      <c r="K791" s="1">
        <v>45305</v>
      </c>
      <c r="L791" s="1">
        <v>45591</v>
      </c>
      <c r="M791" s="1">
        <v>45305</v>
      </c>
      <c r="N791" s="1">
        <v>45591</v>
      </c>
      <c r="O791" t="s">
        <v>238</v>
      </c>
      <c r="P791" t="s">
        <v>16343</v>
      </c>
      <c r="R791" t="s">
        <v>16344</v>
      </c>
      <c r="T791" t="s">
        <v>694</v>
      </c>
      <c r="U791" t="s">
        <v>140</v>
      </c>
      <c r="V791" s="8" t="str">
        <f>"34990"</f>
        <v>34990</v>
      </c>
      <c r="W791" t="s">
        <v>118</v>
      </c>
      <c r="Y791" s="10">
        <v>17722152225</v>
      </c>
      <c r="Z791">
        <v>0</v>
      </c>
      <c r="AA791">
        <v>71399</v>
      </c>
      <c r="AB791" t="s">
        <v>16345</v>
      </c>
      <c r="AC791" t="s">
        <v>3747</v>
      </c>
      <c r="AD791" t="s">
        <v>2998</v>
      </c>
      <c r="AE791" t="s">
        <v>629</v>
      </c>
      <c r="AF791" t="s">
        <v>16344</v>
      </c>
      <c r="AH791" t="s">
        <v>694</v>
      </c>
      <c r="AI791" t="s">
        <v>140</v>
      </c>
      <c r="AJ791" s="8" t="str">
        <f>"34990"</f>
        <v>34990</v>
      </c>
      <c r="AK791" t="s">
        <v>118</v>
      </c>
      <c r="AM791" s="10">
        <v>17722152225</v>
      </c>
      <c r="AN791">
        <v>0</v>
      </c>
      <c r="AO791" t="s">
        <v>16346</v>
      </c>
      <c r="AP791" t="s">
        <v>121</v>
      </c>
      <c r="AQ791" t="s">
        <v>1718</v>
      </c>
      <c r="AR791" t="s">
        <v>708</v>
      </c>
      <c r="AS791" t="s">
        <v>1719</v>
      </c>
      <c r="AT791" t="s">
        <v>1720</v>
      </c>
      <c r="AU791" t="s">
        <v>799</v>
      </c>
      <c r="AV791" t="s">
        <v>1721</v>
      </c>
      <c r="AW791" t="s">
        <v>1722</v>
      </c>
      <c r="AX791" s="8" t="str">
        <f>"21401"</f>
        <v>21401</v>
      </c>
      <c r="AY791" t="s">
        <v>118</v>
      </c>
      <c r="BA791" s="10">
        <v>14105739955</v>
      </c>
      <c r="BB791">
        <v>0</v>
      </c>
      <c r="BC791" t="s">
        <v>1723</v>
      </c>
      <c r="BD791" t="s">
        <v>1724</v>
      </c>
      <c r="BE791" t="s">
        <v>1722</v>
      </c>
      <c r="BF791" t="s">
        <v>1725</v>
      </c>
      <c r="BG791" t="s">
        <v>140</v>
      </c>
      <c r="BH791" s="1">
        <v>45180.833333333336</v>
      </c>
      <c r="BI791">
        <v>35</v>
      </c>
      <c r="BJ791">
        <v>7</v>
      </c>
      <c r="BK791">
        <v>0</v>
      </c>
      <c r="BL791">
        <v>0</v>
      </c>
      <c r="BM791">
        <v>7</v>
      </c>
      <c r="BN791">
        <v>7</v>
      </c>
      <c r="BO791">
        <v>7</v>
      </c>
      <c r="BP791">
        <v>7</v>
      </c>
      <c r="BQ791" t="str">
        <f>"4:00 PM"</f>
        <v>4:00 PM</v>
      </c>
      <c r="BR791" t="str">
        <f>"11:00 PM"</f>
        <v>11:00 PM</v>
      </c>
      <c r="BS791" t="s">
        <v>131</v>
      </c>
      <c r="BT791">
        <v>0</v>
      </c>
      <c r="BU791">
        <v>0</v>
      </c>
      <c r="BV791" t="s">
        <v>114</v>
      </c>
      <c r="BX791" s="2" t="s">
        <v>16347</v>
      </c>
      <c r="BY791" t="s">
        <v>16348</v>
      </c>
      <c r="CA791" t="s">
        <v>16349</v>
      </c>
      <c r="CB791" t="s">
        <v>140</v>
      </c>
      <c r="CC791" s="8" t="str">
        <f>"33411"</f>
        <v>33411</v>
      </c>
      <c r="CD791" t="s">
        <v>767</v>
      </c>
      <c r="CE791" t="s">
        <v>149</v>
      </c>
      <c r="CF791" s="12">
        <v>10.39</v>
      </c>
      <c r="CG791" s="12">
        <v>14.2</v>
      </c>
      <c r="CJ791" t="s">
        <v>135</v>
      </c>
      <c r="CK791" t="s">
        <v>16350</v>
      </c>
      <c r="CL791" t="s">
        <v>16351</v>
      </c>
      <c r="CO791" t="s">
        <v>132</v>
      </c>
      <c r="CP791" t="s">
        <v>136</v>
      </c>
      <c r="CQ791" t="s">
        <v>114</v>
      </c>
      <c r="CR791" t="s">
        <v>114</v>
      </c>
      <c r="CS791" t="s">
        <v>136</v>
      </c>
      <c r="CT791" t="s">
        <v>136</v>
      </c>
      <c r="CU791" t="s">
        <v>136</v>
      </c>
      <c r="CV791" t="s">
        <v>5034</v>
      </c>
      <c r="CW791" s="10" t="str">
        <f>"+17724083400"</f>
        <v>+17724083400</v>
      </c>
      <c r="CX791" t="s">
        <v>16352</v>
      </c>
      <c r="CY791" t="s">
        <v>132</v>
      </c>
      <c r="CZ791" t="s">
        <v>137</v>
      </c>
      <c r="DA791" t="s">
        <v>114</v>
      </c>
      <c r="DB791" t="s">
        <v>136</v>
      </c>
      <c r="DC791" t="s">
        <v>136</v>
      </c>
      <c r="DD791" t="s">
        <v>114</v>
      </c>
    </row>
    <row r="792" spans="1:108" ht="15" customHeight="1" x14ac:dyDescent="0.25">
      <c r="A792" t="s">
        <v>24176</v>
      </c>
      <c r="B792" t="s">
        <v>152</v>
      </c>
      <c r="C792" s="1">
        <v>45215.397672685183</v>
      </c>
      <c r="D792" s="1">
        <v>45251</v>
      </c>
      <c r="E792" t="s">
        <v>132</v>
      </c>
      <c r="F792" t="s">
        <v>2715</v>
      </c>
      <c r="G792" t="str">
        <f>"39-3091.00"</f>
        <v>39-3091.00</v>
      </c>
      <c r="H792" t="s">
        <v>237</v>
      </c>
      <c r="I792">
        <v>40</v>
      </c>
      <c r="J792">
        <v>40</v>
      </c>
      <c r="K792" s="1">
        <v>45305</v>
      </c>
      <c r="L792" s="1">
        <v>45591</v>
      </c>
      <c r="M792" s="1">
        <v>45305</v>
      </c>
      <c r="N792" s="1">
        <v>45591</v>
      </c>
      <c r="O792" t="s">
        <v>238</v>
      </c>
      <c r="P792" t="s">
        <v>22581</v>
      </c>
      <c r="R792" t="s">
        <v>16344</v>
      </c>
      <c r="T792" t="s">
        <v>694</v>
      </c>
      <c r="U792" t="s">
        <v>140</v>
      </c>
      <c r="V792" s="8" t="str">
        <f>"34990"</f>
        <v>34990</v>
      </c>
      <c r="W792" t="s">
        <v>118</v>
      </c>
      <c r="Y792" s="10">
        <v>17722152223</v>
      </c>
      <c r="Z792">
        <v>0</v>
      </c>
      <c r="AA792">
        <v>71399</v>
      </c>
      <c r="AB792" t="s">
        <v>22582</v>
      </c>
      <c r="AC792" t="s">
        <v>22583</v>
      </c>
      <c r="AE792" t="s">
        <v>1580</v>
      </c>
      <c r="AF792" t="s">
        <v>16344</v>
      </c>
      <c r="AH792" t="s">
        <v>694</v>
      </c>
      <c r="AI792" t="s">
        <v>140</v>
      </c>
      <c r="AJ792" s="8" t="str">
        <f>"34990"</f>
        <v>34990</v>
      </c>
      <c r="AK792" t="s">
        <v>118</v>
      </c>
      <c r="AM792" s="10">
        <v>17722152223</v>
      </c>
      <c r="AN792">
        <v>0</v>
      </c>
      <c r="AO792" t="s">
        <v>22584</v>
      </c>
      <c r="AP792" t="s">
        <v>121</v>
      </c>
      <c r="AQ792" t="s">
        <v>1718</v>
      </c>
      <c r="AR792" t="s">
        <v>708</v>
      </c>
      <c r="AS792" t="s">
        <v>1719</v>
      </c>
      <c r="AT792" t="s">
        <v>1720</v>
      </c>
      <c r="AU792" t="s">
        <v>799</v>
      </c>
      <c r="AV792" t="s">
        <v>1721</v>
      </c>
      <c r="AW792" t="s">
        <v>1722</v>
      </c>
      <c r="AX792" s="8" t="str">
        <f>"21401"</f>
        <v>21401</v>
      </c>
      <c r="AY792" t="s">
        <v>118</v>
      </c>
      <c r="BA792" s="10">
        <v>14105739955</v>
      </c>
      <c r="BB792">
        <v>0</v>
      </c>
      <c r="BC792" t="s">
        <v>1723</v>
      </c>
      <c r="BD792" t="s">
        <v>1724</v>
      </c>
      <c r="BE792" t="s">
        <v>1722</v>
      </c>
      <c r="BF792" t="s">
        <v>1725</v>
      </c>
      <c r="BG792" t="s">
        <v>140</v>
      </c>
      <c r="BH792" s="1">
        <v>45180.833333333336</v>
      </c>
      <c r="BI792">
        <v>35</v>
      </c>
      <c r="BJ792">
        <v>7</v>
      </c>
      <c r="BK792">
        <v>0</v>
      </c>
      <c r="BL792">
        <v>0</v>
      </c>
      <c r="BM792">
        <v>7</v>
      </c>
      <c r="BN792">
        <v>7</v>
      </c>
      <c r="BO792">
        <v>7</v>
      </c>
      <c r="BP792">
        <v>7</v>
      </c>
      <c r="BQ792" t="str">
        <f>"5:00 PM"</f>
        <v>5:00 PM</v>
      </c>
      <c r="BR792" t="str">
        <f>"10:00 PM"</f>
        <v>10:00 PM</v>
      </c>
      <c r="BS792" t="s">
        <v>131</v>
      </c>
      <c r="BT792">
        <v>0</v>
      </c>
      <c r="BU792">
        <v>0</v>
      </c>
      <c r="BV792" t="s">
        <v>114</v>
      </c>
      <c r="BX792" s="2" t="s">
        <v>24177</v>
      </c>
      <c r="BY792" t="s">
        <v>16348</v>
      </c>
      <c r="CA792" t="s">
        <v>16349</v>
      </c>
      <c r="CB792" t="s">
        <v>140</v>
      </c>
      <c r="CC792" s="8" t="str">
        <f>"33411"</f>
        <v>33411</v>
      </c>
      <c r="CD792" t="s">
        <v>767</v>
      </c>
      <c r="CE792" t="s">
        <v>149</v>
      </c>
      <c r="CF792" s="12">
        <v>10.39</v>
      </c>
      <c r="CG792" s="12">
        <v>14.2</v>
      </c>
      <c r="CJ792" t="s">
        <v>135</v>
      </c>
      <c r="CK792" t="s">
        <v>2343</v>
      </c>
      <c r="CL792" t="s">
        <v>24178</v>
      </c>
      <c r="CO792" t="s">
        <v>132</v>
      </c>
      <c r="CP792" t="s">
        <v>136</v>
      </c>
      <c r="CQ792" t="s">
        <v>114</v>
      </c>
      <c r="CR792" t="s">
        <v>114</v>
      </c>
      <c r="CS792" t="s">
        <v>136</v>
      </c>
      <c r="CT792" t="s">
        <v>136</v>
      </c>
      <c r="CU792" t="s">
        <v>136</v>
      </c>
      <c r="CV792" t="s">
        <v>24179</v>
      </c>
      <c r="CW792" s="10" t="str">
        <f>"+17722152223"</f>
        <v>+17722152223</v>
      </c>
      <c r="CX792" t="s">
        <v>24180</v>
      </c>
      <c r="CY792" t="s">
        <v>132</v>
      </c>
      <c r="CZ792" t="s">
        <v>137</v>
      </c>
      <c r="DA792" t="s">
        <v>114</v>
      </c>
      <c r="DB792" t="s">
        <v>136</v>
      </c>
      <c r="DC792" t="s">
        <v>136</v>
      </c>
      <c r="DD792" t="s">
        <v>114</v>
      </c>
    </row>
    <row r="793" spans="1:108" ht="15" customHeight="1" x14ac:dyDescent="0.25">
      <c r="A793" t="s">
        <v>11081</v>
      </c>
      <c r="B793" t="s">
        <v>152</v>
      </c>
      <c r="C793" s="1">
        <v>45214.525840509261</v>
      </c>
      <c r="D793" s="1">
        <v>45251</v>
      </c>
      <c r="E793" t="s">
        <v>132</v>
      </c>
      <c r="F793" t="s">
        <v>685</v>
      </c>
      <c r="G793" t="str">
        <f>"39-3091.00"</f>
        <v>39-3091.00</v>
      </c>
      <c r="H793" t="s">
        <v>237</v>
      </c>
      <c r="I793">
        <v>48</v>
      </c>
      <c r="J793">
        <v>48</v>
      </c>
      <c r="K793" s="1">
        <v>45304</v>
      </c>
      <c r="L793" s="1">
        <v>45608</v>
      </c>
      <c r="M793" s="1">
        <v>45304</v>
      </c>
      <c r="N793" s="1">
        <v>45608</v>
      </c>
      <c r="O793" t="s">
        <v>238</v>
      </c>
      <c r="P793" t="s">
        <v>11082</v>
      </c>
      <c r="R793" t="s">
        <v>11083</v>
      </c>
      <c r="S793" t="s">
        <v>11084</v>
      </c>
      <c r="T793" t="s">
        <v>11085</v>
      </c>
      <c r="U793" t="s">
        <v>140</v>
      </c>
      <c r="V793" s="8" t="str">
        <f>"33534"</f>
        <v>33534</v>
      </c>
      <c r="W793" t="s">
        <v>118</v>
      </c>
      <c r="Y793" s="10">
        <v>18138464032</v>
      </c>
      <c r="Z793" s="3" t="s">
        <v>256</v>
      </c>
      <c r="AA793">
        <v>71311</v>
      </c>
      <c r="AB793" t="s">
        <v>2238</v>
      </c>
      <c r="AC793" t="s">
        <v>2188</v>
      </c>
      <c r="AE793" t="s">
        <v>561</v>
      </c>
      <c r="AF793" t="s">
        <v>11083</v>
      </c>
      <c r="AG793" t="s">
        <v>11084</v>
      </c>
      <c r="AH793" t="s">
        <v>11085</v>
      </c>
      <c r="AI793" t="s">
        <v>140</v>
      </c>
      <c r="AJ793" s="8" t="str">
        <f>"33534"</f>
        <v>33534</v>
      </c>
      <c r="AK793" t="s">
        <v>118</v>
      </c>
      <c r="AM793" s="10">
        <v>18138464032</v>
      </c>
      <c r="AN793" s="3" t="s">
        <v>256</v>
      </c>
      <c r="AO793" t="s">
        <v>11086</v>
      </c>
      <c r="AP793" t="s">
        <v>248</v>
      </c>
      <c r="AQ793" t="s">
        <v>249</v>
      </c>
      <c r="AR793" t="s">
        <v>250</v>
      </c>
      <c r="AS793" t="s">
        <v>251</v>
      </c>
      <c r="AT793" t="s">
        <v>252</v>
      </c>
      <c r="AU793" t="s">
        <v>253</v>
      </c>
      <c r="AV793" t="s">
        <v>254</v>
      </c>
      <c r="AW793" t="s">
        <v>127</v>
      </c>
      <c r="AX793" s="8" t="str">
        <f>"78550"</f>
        <v>78550</v>
      </c>
      <c r="AY793" t="s">
        <v>118</v>
      </c>
      <c r="AZ793" t="s">
        <v>255</v>
      </c>
      <c r="BA793" s="10">
        <v>19564408720</v>
      </c>
      <c r="BB793" s="3" t="s">
        <v>256</v>
      </c>
      <c r="BC793" t="s">
        <v>338</v>
      </c>
      <c r="BD793" t="s">
        <v>258</v>
      </c>
      <c r="BG793" t="s">
        <v>140</v>
      </c>
      <c r="BH793" s="1">
        <v>45213.833333333336</v>
      </c>
      <c r="BI793">
        <v>40</v>
      </c>
      <c r="BJ793">
        <v>8</v>
      </c>
      <c r="BK793">
        <v>0</v>
      </c>
      <c r="BL793">
        <v>0</v>
      </c>
      <c r="BM793">
        <v>8</v>
      </c>
      <c r="BN793">
        <v>8</v>
      </c>
      <c r="BO793">
        <v>8</v>
      </c>
      <c r="BP793">
        <v>8</v>
      </c>
      <c r="BQ793" t="str">
        <f>"1:00 PM"</f>
        <v>1:00 PM</v>
      </c>
      <c r="BR793" t="str">
        <f>"10:00 PM"</f>
        <v>10:00 PM</v>
      </c>
      <c r="BS793" t="s">
        <v>131</v>
      </c>
      <c r="BT793">
        <v>0</v>
      </c>
      <c r="BU793">
        <v>0</v>
      </c>
      <c r="BV793" t="s">
        <v>114</v>
      </c>
      <c r="BX793" s="2" t="s">
        <v>339</v>
      </c>
      <c r="BY793" t="s">
        <v>11083</v>
      </c>
      <c r="CA793" t="s">
        <v>11085</v>
      </c>
      <c r="CB793" t="s">
        <v>140</v>
      </c>
      <c r="CC793" s="8" t="str">
        <f>"33534"</f>
        <v>33534</v>
      </c>
      <c r="CD793" t="s">
        <v>781</v>
      </c>
      <c r="CE793" t="s">
        <v>467</v>
      </c>
      <c r="CF793" s="12">
        <v>10.1</v>
      </c>
      <c r="CG793" s="12">
        <v>15.1</v>
      </c>
      <c r="CJ793" t="s">
        <v>135</v>
      </c>
      <c r="CK793" t="s">
        <v>342</v>
      </c>
      <c r="CL793" t="s">
        <v>11087</v>
      </c>
      <c r="CO793" t="s">
        <v>132</v>
      </c>
      <c r="CP793" t="s">
        <v>136</v>
      </c>
      <c r="CQ793" t="s">
        <v>136</v>
      </c>
      <c r="CR793" t="s">
        <v>114</v>
      </c>
      <c r="CS793" t="s">
        <v>136</v>
      </c>
      <c r="CT793" t="s">
        <v>136</v>
      </c>
      <c r="CU793" t="s">
        <v>136</v>
      </c>
      <c r="CV793" t="s">
        <v>4357</v>
      </c>
      <c r="CW793" s="10" t="str">
        <f>"+18138464032"</f>
        <v>+18138464032</v>
      </c>
      <c r="CX793" t="s">
        <v>11086</v>
      </c>
      <c r="CY793" t="s">
        <v>132</v>
      </c>
      <c r="CZ793" t="s">
        <v>137</v>
      </c>
      <c r="DA793" t="s">
        <v>114</v>
      </c>
      <c r="DB793" t="s">
        <v>136</v>
      </c>
      <c r="DC793" t="s">
        <v>136</v>
      </c>
      <c r="DD793" t="s">
        <v>114</v>
      </c>
    </row>
    <row r="794" spans="1:108" ht="15" customHeight="1" x14ac:dyDescent="0.25">
      <c r="A794" t="s">
        <v>21122</v>
      </c>
      <c r="B794" t="s">
        <v>152</v>
      </c>
      <c r="C794" s="1">
        <v>45211.628854513889</v>
      </c>
      <c r="D794" s="1">
        <v>45251</v>
      </c>
      <c r="E794" t="s">
        <v>132</v>
      </c>
      <c r="F794" t="s">
        <v>623</v>
      </c>
      <c r="G794" t="str">
        <f>"37-3011.00"</f>
        <v>37-3011.00</v>
      </c>
      <c r="H794" t="s">
        <v>429</v>
      </c>
      <c r="I794">
        <v>40</v>
      </c>
      <c r="J794">
        <v>40</v>
      </c>
      <c r="K794" s="1">
        <v>45292</v>
      </c>
      <c r="L794" s="1">
        <v>45596</v>
      </c>
      <c r="M794" s="1">
        <v>45292</v>
      </c>
      <c r="N794" s="1">
        <v>45596</v>
      </c>
      <c r="O794" t="s">
        <v>116</v>
      </c>
      <c r="P794" t="s">
        <v>624</v>
      </c>
      <c r="R794" t="s">
        <v>21123</v>
      </c>
      <c r="T794" t="s">
        <v>626</v>
      </c>
      <c r="U794" t="s">
        <v>550</v>
      </c>
      <c r="V794" s="8" t="str">
        <f>"30907"</f>
        <v>30907</v>
      </c>
      <c r="W794" t="s">
        <v>118</v>
      </c>
      <c r="Y794" s="10">
        <v>12704429723</v>
      </c>
      <c r="AA794">
        <v>71391</v>
      </c>
      <c r="AB794" t="s">
        <v>627</v>
      </c>
      <c r="AC794" t="s">
        <v>144</v>
      </c>
      <c r="AD794" t="s">
        <v>628</v>
      </c>
      <c r="AE794" t="s">
        <v>629</v>
      </c>
      <c r="AF794" t="s">
        <v>21123</v>
      </c>
      <c r="AH794" t="s">
        <v>626</v>
      </c>
      <c r="AI794" t="s">
        <v>550</v>
      </c>
      <c r="AJ794" s="8" t="str">
        <f>"30907"</f>
        <v>30907</v>
      </c>
      <c r="AK794" t="s">
        <v>118</v>
      </c>
      <c r="AM794" s="10">
        <v>12704429723</v>
      </c>
      <c r="AO794" t="s">
        <v>630</v>
      </c>
      <c r="AP794" t="s">
        <v>121</v>
      </c>
      <c r="AQ794" t="s">
        <v>587</v>
      </c>
      <c r="AR794" t="s">
        <v>278</v>
      </c>
      <c r="AS794" t="s">
        <v>631</v>
      </c>
      <c r="AT794" t="s">
        <v>632</v>
      </c>
      <c r="AU794" t="s">
        <v>633</v>
      </c>
      <c r="AV794" t="s">
        <v>634</v>
      </c>
      <c r="AW794" t="s">
        <v>375</v>
      </c>
      <c r="AX794" s="8" t="str">
        <f>"28328"</f>
        <v>28328</v>
      </c>
      <c r="AY794" t="s">
        <v>118</v>
      </c>
      <c r="BA794" s="10">
        <v>19105924121</v>
      </c>
      <c r="BC794" t="s">
        <v>635</v>
      </c>
      <c r="BD794" t="s">
        <v>636</v>
      </c>
      <c r="BE794" t="s">
        <v>375</v>
      </c>
      <c r="BF794" t="s">
        <v>172</v>
      </c>
      <c r="BG794" t="s">
        <v>1691</v>
      </c>
      <c r="BH794" s="1">
        <v>45210.833333333336</v>
      </c>
      <c r="BI794">
        <v>40</v>
      </c>
      <c r="BJ794">
        <v>0</v>
      </c>
      <c r="BK794">
        <v>7</v>
      </c>
      <c r="BL794">
        <v>7</v>
      </c>
      <c r="BM794">
        <v>7</v>
      </c>
      <c r="BN794">
        <v>7</v>
      </c>
      <c r="BO794">
        <v>7</v>
      </c>
      <c r="BP794">
        <v>5</v>
      </c>
      <c r="BQ794" t="str">
        <f>"8:00 AM"</f>
        <v>8:00 AM</v>
      </c>
      <c r="BR794" t="str">
        <f>"4:00 PM"</f>
        <v>4:00 PM</v>
      </c>
      <c r="BS794" t="s">
        <v>131</v>
      </c>
      <c r="BT794">
        <v>0</v>
      </c>
      <c r="BU794">
        <v>3</v>
      </c>
      <c r="BV794" t="s">
        <v>114</v>
      </c>
      <c r="BX794" s="2" t="s">
        <v>637</v>
      </c>
      <c r="BY794" t="s">
        <v>21124</v>
      </c>
      <c r="CA794" t="s">
        <v>2583</v>
      </c>
      <c r="CB794" t="s">
        <v>1691</v>
      </c>
      <c r="CC794" s="8" t="str">
        <f>"29936"</f>
        <v>29936</v>
      </c>
      <c r="CD794" t="s">
        <v>2409</v>
      </c>
      <c r="CE794" t="s">
        <v>2584</v>
      </c>
      <c r="CF794" s="12">
        <v>16.670000000000002</v>
      </c>
      <c r="CG794" s="12">
        <v>16.670000000000002</v>
      </c>
      <c r="CH794" s="12">
        <v>25.01</v>
      </c>
      <c r="CI794" s="12">
        <v>25.01</v>
      </c>
      <c r="CJ794" t="s">
        <v>135</v>
      </c>
      <c r="CK794" t="s">
        <v>21125</v>
      </c>
      <c r="CL794" t="s">
        <v>21126</v>
      </c>
      <c r="CO794" t="s">
        <v>132</v>
      </c>
      <c r="CP794" t="s">
        <v>114</v>
      </c>
      <c r="CQ794" t="s">
        <v>114</v>
      </c>
      <c r="CR794" t="s">
        <v>136</v>
      </c>
      <c r="CS794" t="s">
        <v>114</v>
      </c>
      <c r="CT794" t="s">
        <v>136</v>
      </c>
      <c r="CU794" t="s">
        <v>136</v>
      </c>
      <c r="CV794" t="s">
        <v>644</v>
      </c>
      <c r="CW794" s="10" t="str">
        <f>"+12704429723"</f>
        <v>+12704429723</v>
      </c>
      <c r="CX794" t="s">
        <v>630</v>
      </c>
      <c r="CY794" t="s">
        <v>645</v>
      </c>
      <c r="CZ794" t="s">
        <v>137</v>
      </c>
      <c r="DA794" t="s">
        <v>114</v>
      </c>
      <c r="DB794" t="s">
        <v>136</v>
      </c>
      <c r="DC794" t="s">
        <v>136</v>
      </c>
      <c r="DD794" t="s">
        <v>114</v>
      </c>
    </row>
    <row r="795" spans="1:108" ht="15" customHeight="1" x14ac:dyDescent="0.25">
      <c r="A795" t="s">
        <v>2490</v>
      </c>
      <c r="B795" t="s">
        <v>152</v>
      </c>
      <c r="C795" s="1">
        <v>45211.582000462964</v>
      </c>
      <c r="D795" s="1">
        <v>45251</v>
      </c>
      <c r="E795" t="s">
        <v>132</v>
      </c>
      <c r="F795" t="s">
        <v>2491</v>
      </c>
      <c r="G795" t="str">
        <f>"35-2021.00"</f>
        <v>35-2021.00</v>
      </c>
      <c r="H795" t="s">
        <v>2303</v>
      </c>
      <c r="I795">
        <v>4</v>
      </c>
      <c r="J795">
        <v>4</v>
      </c>
      <c r="K795" s="1">
        <v>45286</v>
      </c>
      <c r="L795" s="1">
        <v>45535</v>
      </c>
      <c r="M795" s="1">
        <v>45286</v>
      </c>
      <c r="N795" s="1">
        <v>45535</v>
      </c>
      <c r="O795" t="s">
        <v>116</v>
      </c>
      <c r="P795" t="s">
        <v>2492</v>
      </c>
      <c r="Q795" t="s">
        <v>2493</v>
      </c>
      <c r="R795" t="s">
        <v>2494</v>
      </c>
      <c r="T795" t="s">
        <v>2495</v>
      </c>
      <c r="U795" t="s">
        <v>140</v>
      </c>
      <c r="V795" s="8" t="str">
        <f>"34952"</f>
        <v>34952</v>
      </c>
      <c r="W795" t="s">
        <v>118</v>
      </c>
      <c r="Y795" s="10">
        <v>17723985100</v>
      </c>
      <c r="AA795">
        <v>721110</v>
      </c>
      <c r="AB795" t="s">
        <v>2496</v>
      </c>
      <c r="AC795" t="s">
        <v>2497</v>
      </c>
      <c r="AE795" t="s">
        <v>2498</v>
      </c>
      <c r="AF795" t="s">
        <v>2494</v>
      </c>
      <c r="AH795" t="s">
        <v>2495</v>
      </c>
      <c r="AI795" t="s">
        <v>140</v>
      </c>
      <c r="AJ795" s="8" t="str">
        <f>"34952"</f>
        <v>34952</v>
      </c>
      <c r="AK795" t="s">
        <v>118</v>
      </c>
      <c r="AM795" s="10">
        <v>19545543992</v>
      </c>
      <c r="AO795" t="s">
        <v>2499</v>
      </c>
      <c r="AP795" t="s">
        <v>121</v>
      </c>
      <c r="AQ795" t="s">
        <v>2500</v>
      </c>
      <c r="AR795" t="s">
        <v>2501</v>
      </c>
      <c r="AT795" t="s">
        <v>2502</v>
      </c>
      <c r="AV795" t="s">
        <v>2503</v>
      </c>
      <c r="AW795" t="s">
        <v>140</v>
      </c>
      <c r="AX795" s="8" t="str">
        <f>"33134"</f>
        <v>33134</v>
      </c>
      <c r="AY795" t="s">
        <v>118</v>
      </c>
      <c r="BA795" s="10">
        <v>13307154491</v>
      </c>
      <c r="BC795" t="s">
        <v>2504</v>
      </c>
      <c r="BD795" t="s">
        <v>2505</v>
      </c>
      <c r="BE795" t="s">
        <v>543</v>
      </c>
      <c r="BF795" t="s">
        <v>2506</v>
      </c>
      <c r="BG795" t="s">
        <v>140</v>
      </c>
      <c r="BH795" s="1">
        <v>45210.833333333336</v>
      </c>
      <c r="BI795">
        <v>40</v>
      </c>
      <c r="BJ795">
        <v>0</v>
      </c>
      <c r="BK795">
        <v>0</v>
      </c>
      <c r="BL795">
        <v>8</v>
      </c>
      <c r="BM795">
        <v>8</v>
      </c>
      <c r="BN795">
        <v>8</v>
      </c>
      <c r="BO795">
        <v>8</v>
      </c>
      <c r="BP795">
        <v>8</v>
      </c>
      <c r="BQ795" t="str">
        <f>"7:00 AM"</f>
        <v>7:00 AM</v>
      </c>
      <c r="BR795" t="str">
        <f>"3:30 PM"</f>
        <v>3:30 PM</v>
      </c>
      <c r="BS795" t="s">
        <v>131</v>
      </c>
      <c r="BT795">
        <v>0</v>
      </c>
      <c r="BU795">
        <v>0</v>
      </c>
      <c r="BV795" t="s">
        <v>114</v>
      </c>
      <c r="BX795" s="2" t="s">
        <v>2507</v>
      </c>
      <c r="BY795" t="s">
        <v>2494</v>
      </c>
      <c r="CA795" t="s">
        <v>2495</v>
      </c>
      <c r="CB795" t="s">
        <v>140</v>
      </c>
      <c r="CC795" s="8" t="str">
        <f>"34952"</f>
        <v>34952</v>
      </c>
      <c r="CD795" t="s">
        <v>2508</v>
      </c>
      <c r="CE795" t="s">
        <v>696</v>
      </c>
      <c r="CF795" s="12">
        <v>14.68</v>
      </c>
      <c r="CG795" s="12">
        <v>14.68</v>
      </c>
      <c r="CH795" s="12">
        <v>22.02</v>
      </c>
      <c r="CI795" s="12">
        <v>22.02</v>
      </c>
      <c r="CJ795" t="s">
        <v>135</v>
      </c>
      <c r="CK795" t="s">
        <v>2509</v>
      </c>
      <c r="CL795" t="s">
        <v>2510</v>
      </c>
      <c r="CO795" t="s">
        <v>132</v>
      </c>
      <c r="CP795" t="s">
        <v>114</v>
      </c>
      <c r="CQ795" t="s">
        <v>136</v>
      </c>
      <c r="CR795" t="s">
        <v>136</v>
      </c>
      <c r="CS795" t="s">
        <v>136</v>
      </c>
      <c r="CT795" t="s">
        <v>136</v>
      </c>
      <c r="CU795" t="s">
        <v>136</v>
      </c>
      <c r="CV795" t="s">
        <v>2511</v>
      </c>
      <c r="CW795" s="10" t="str">
        <f>"+19545543992"</f>
        <v>+19545543992</v>
      </c>
      <c r="CX795" t="s">
        <v>2499</v>
      </c>
      <c r="CY795" t="s">
        <v>796</v>
      </c>
      <c r="CZ795" t="s">
        <v>137</v>
      </c>
      <c r="DA795" t="s">
        <v>114</v>
      </c>
      <c r="DB795" t="s">
        <v>136</v>
      </c>
      <c r="DC795" t="s">
        <v>136</v>
      </c>
      <c r="DD795" t="s">
        <v>114</v>
      </c>
    </row>
    <row r="796" spans="1:108" ht="15" customHeight="1" x14ac:dyDescent="0.25">
      <c r="A796" t="s">
        <v>13734</v>
      </c>
      <c r="B796" t="s">
        <v>152</v>
      </c>
      <c r="C796" s="1">
        <v>45211.509285763888</v>
      </c>
      <c r="D796" s="1">
        <v>45251</v>
      </c>
      <c r="E796" t="s">
        <v>132</v>
      </c>
      <c r="F796" t="s">
        <v>5756</v>
      </c>
      <c r="G796" t="str">
        <f>"35-2014.00"</f>
        <v>35-2014.00</v>
      </c>
      <c r="H796" t="s">
        <v>154</v>
      </c>
      <c r="I796">
        <v>4</v>
      </c>
      <c r="J796">
        <v>4</v>
      </c>
      <c r="K796" s="1">
        <v>45286</v>
      </c>
      <c r="L796" s="1">
        <v>45535</v>
      </c>
      <c r="M796" s="1">
        <v>45286</v>
      </c>
      <c r="N796" s="1">
        <v>45535</v>
      </c>
      <c r="O796" t="s">
        <v>116</v>
      </c>
      <c r="P796" t="s">
        <v>2492</v>
      </c>
      <c r="Q796" t="s">
        <v>2493</v>
      </c>
      <c r="R796" t="s">
        <v>2494</v>
      </c>
      <c r="T796" t="s">
        <v>2495</v>
      </c>
      <c r="U796" t="s">
        <v>140</v>
      </c>
      <c r="V796" s="8" t="str">
        <f>"34952"</f>
        <v>34952</v>
      </c>
      <c r="W796" t="s">
        <v>118</v>
      </c>
      <c r="Y796" s="10">
        <v>17723985100</v>
      </c>
      <c r="AA796">
        <v>721110</v>
      </c>
      <c r="AB796" t="s">
        <v>2496</v>
      </c>
      <c r="AC796" t="s">
        <v>2497</v>
      </c>
      <c r="AE796" t="s">
        <v>2498</v>
      </c>
      <c r="AF796" t="s">
        <v>2494</v>
      </c>
      <c r="AH796" t="s">
        <v>2495</v>
      </c>
      <c r="AI796" t="s">
        <v>140</v>
      </c>
      <c r="AJ796" s="8" t="str">
        <f>"34952"</f>
        <v>34952</v>
      </c>
      <c r="AK796" t="s">
        <v>118</v>
      </c>
      <c r="AM796" s="10">
        <v>19545543992</v>
      </c>
      <c r="AO796" t="s">
        <v>2499</v>
      </c>
      <c r="AP796" t="s">
        <v>121</v>
      </c>
      <c r="AQ796" t="s">
        <v>2500</v>
      </c>
      <c r="AR796" t="s">
        <v>2501</v>
      </c>
      <c r="AT796" t="s">
        <v>2502</v>
      </c>
      <c r="AV796" t="s">
        <v>2503</v>
      </c>
      <c r="AW796" t="s">
        <v>140</v>
      </c>
      <c r="AX796" s="8" t="str">
        <f>"33134"</f>
        <v>33134</v>
      </c>
      <c r="AY796" t="s">
        <v>118</v>
      </c>
      <c r="BA796" s="10">
        <v>13307154491</v>
      </c>
      <c r="BC796" t="s">
        <v>2504</v>
      </c>
      <c r="BD796" t="s">
        <v>2505</v>
      </c>
      <c r="BE796" t="s">
        <v>543</v>
      </c>
      <c r="BF796" t="s">
        <v>2506</v>
      </c>
      <c r="BG796" t="s">
        <v>140</v>
      </c>
      <c r="BH796" s="1">
        <v>45210.833333333336</v>
      </c>
      <c r="BI796">
        <v>40</v>
      </c>
      <c r="BJ796">
        <v>0</v>
      </c>
      <c r="BK796">
        <v>0</v>
      </c>
      <c r="BL796">
        <v>8</v>
      </c>
      <c r="BM796">
        <v>8</v>
      </c>
      <c r="BN796">
        <v>8</v>
      </c>
      <c r="BO796">
        <v>8</v>
      </c>
      <c r="BP796">
        <v>8</v>
      </c>
      <c r="BQ796" t="str">
        <f>"4:00 AM"</f>
        <v>4:00 AM</v>
      </c>
      <c r="BR796" t="str">
        <f>"12:30 PM"</f>
        <v>12:30 PM</v>
      </c>
      <c r="BS796" t="s">
        <v>131</v>
      </c>
      <c r="BT796">
        <v>0</v>
      </c>
      <c r="BU796">
        <v>6</v>
      </c>
      <c r="BV796" t="s">
        <v>114</v>
      </c>
      <c r="BX796" s="2" t="s">
        <v>13735</v>
      </c>
      <c r="BY796" t="s">
        <v>2494</v>
      </c>
      <c r="CA796" t="s">
        <v>2495</v>
      </c>
      <c r="CB796" t="s">
        <v>140</v>
      </c>
      <c r="CC796" s="8" t="str">
        <f>"34952"</f>
        <v>34952</v>
      </c>
      <c r="CD796" t="s">
        <v>2508</v>
      </c>
      <c r="CE796" t="s">
        <v>696</v>
      </c>
      <c r="CF796" s="12">
        <v>15.9</v>
      </c>
      <c r="CG796" s="12">
        <v>15.9</v>
      </c>
      <c r="CH796" s="12">
        <v>23.85</v>
      </c>
      <c r="CI796" s="12">
        <v>23.85</v>
      </c>
      <c r="CJ796" t="s">
        <v>135</v>
      </c>
      <c r="CK796" t="s">
        <v>13736</v>
      </c>
      <c r="CL796" t="s">
        <v>13737</v>
      </c>
      <c r="CO796" t="s">
        <v>132</v>
      </c>
      <c r="CP796" t="s">
        <v>114</v>
      </c>
      <c r="CQ796" t="s">
        <v>136</v>
      </c>
      <c r="CR796" t="s">
        <v>136</v>
      </c>
      <c r="CS796" t="s">
        <v>136</v>
      </c>
      <c r="CT796" t="s">
        <v>136</v>
      </c>
      <c r="CU796" t="s">
        <v>136</v>
      </c>
      <c r="CV796" t="s">
        <v>13738</v>
      </c>
      <c r="CW796" s="10" t="str">
        <f>"+19545543992"</f>
        <v>+19545543992</v>
      </c>
      <c r="CX796" t="s">
        <v>2499</v>
      </c>
      <c r="CY796" t="s">
        <v>796</v>
      </c>
      <c r="CZ796" t="s">
        <v>137</v>
      </c>
      <c r="DA796" t="s">
        <v>114</v>
      </c>
      <c r="DB796" t="s">
        <v>136</v>
      </c>
      <c r="DC796" t="s">
        <v>136</v>
      </c>
      <c r="DD796" t="s">
        <v>114</v>
      </c>
    </row>
    <row r="797" spans="1:108" ht="15" customHeight="1" x14ac:dyDescent="0.25">
      <c r="A797" t="s">
        <v>22127</v>
      </c>
      <c r="B797" t="s">
        <v>152</v>
      </c>
      <c r="C797" s="1">
        <v>45210.783395601851</v>
      </c>
      <c r="D797" s="1">
        <v>45251</v>
      </c>
      <c r="E797" t="s">
        <v>132</v>
      </c>
      <c r="F797" t="s">
        <v>22128</v>
      </c>
      <c r="G797" t="str">
        <f>"51-3092.00"</f>
        <v>51-3092.00</v>
      </c>
      <c r="H797" t="s">
        <v>2976</v>
      </c>
      <c r="I797">
        <v>6</v>
      </c>
      <c r="J797">
        <v>6</v>
      </c>
      <c r="K797" s="1">
        <v>45296</v>
      </c>
      <c r="L797" s="1">
        <v>45412</v>
      </c>
      <c r="M797" s="1">
        <v>45296</v>
      </c>
      <c r="N797" s="1">
        <v>45412</v>
      </c>
      <c r="O797" t="s">
        <v>238</v>
      </c>
      <c r="P797" t="s">
        <v>22129</v>
      </c>
      <c r="R797" t="s">
        <v>22130</v>
      </c>
      <c r="T797" t="s">
        <v>3673</v>
      </c>
      <c r="U797" t="s">
        <v>792</v>
      </c>
      <c r="V797" s="8" t="str">
        <f>"98119"</f>
        <v>98119</v>
      </c>
      <c r="W797" t="s">
        <v>118</v>
      </c>
      <c r="Y797" s="10">
        <v>12062868584</v>
      </c>
      <c r="AA797">
        <v>311710</v>
      </c>
      <c r="AB797" t="s">
        <v>22131</v>
      </c>
      <c r="AC797" t="s">
        <v>22132</v>
      </c>
      <c r="AE797" t="s">
        <v>629</v>
      </c>
      <c r="AF797" t="s">
        <v>22133</v>
      </c>
      <c r="AH797" t="s">
        <v>3673</v>
      </c>
      <c r="AI797" t="s">
        <v>792</v>
      </c>
      <c r="AJ797" s="8" t="str">
        <f>"98119"</f>
        <v>98119</v>
      </c>
      <c r="AK797" t="s">
        <v>118</v>
      </c>
      <c r="AM797" s="10">
        <v>12062868584</v>
      </c>
      <c r="AO797" t="s">
        <v>22134</v>
      </c>
      <c r="AP797" t="s">
        <v>121</v>
      </c>
      <c r="AQ797" t="s">
        <v>2739</v>
      </c>
      <c r="AR797" t="s">
        <v>9684</v>
      </c>
      <c r="AS797" t="s">
        <v>2709</v>
      </c>
      <c r="AT797" t="s">
        <v>9685</v>
      </c>
      <c r="AU797" t="s">
        <v>1071</v>
      </c>
      <c r="AV797" t="s">
        <v>3673</v>
      </c>
      <c r="AW797" t="s">
        <v>792</v>
      </c>
      <c r="AX797" s="8" t="str">
        <f>"98104"</f>
        <v>98104</v>
      </c>
      <c r="AY797" t="s">
        <v>118</v>
      </c>
      <c r="BA797" s="10">
        <v>12067578354</v>
      </c>
      <c r="BC797" t="s">
        <v>9686</v>
      </c>
      <c r="BD797" t="s">
        <v>9687</v>
      </c>
      <c r="BE797" t="s">
        <v>792</v>
      </c>
      <c r="BF797" t="s">
        <v>2142</v>
      </c>
      <c r="BG797" t="s">
        <v>2706</v>
      </c>
      <c r="BH797" s="1">
        <v>45209.833333333336</v>
      </c>
      <c r="BI797">
        <v>84</v>
      </c>
      <c r="BJ797">
        <v>12</v>
      </c>
      <c r="BK797">
        <v>12</v>
      </c>
      <c r="BL797">
        <v>12</v>
      </c>
      <c r="BM797">
        <v>12</v>
      </c>
      <c r="BN797">
        <v>12</v>
      </c>
      <c r="BO797">
        <v>12</v>
      </c>
      <c r="BP797">
        <v>12</v>
      </c>
      <c r="BQ797" t="str">
        <f>"6:00 AM"</f>
        <v>6:00 AM</v>
      </c>
      <c r="BR797" t="str">
        <f>"6:00 PM"</f>
        <v>6:00 PM</v>
      </c>
      <c r="BS797" t="s">
        <v>131</v>
      </c>
      <c r="BT797">
        <v>0</v>
      </c>
      <c r="BU797">
        <v>24</v>
      </c>
      <c r="BV797" t="s">
        <v>114</v>
      </c>
      <c r="BX797" s="2" t="s">
        <v>22135</v>
      </c>
      <c r="BY797" t="s">
        <v>22136</v>
      </c>
      <c r="BZ797" t="s">
        <v>22137</v>
      </c>
      <c r="CA797" t="s">
        <v>16199</v>
      </c>
      <c r="CB797" t="s">
        <v>2706</v>
      </c>
      <c r="CC797" s="8" t="str">
        <f>"99692"</f>
        <v>99692</v>
      </c>
      <c r="CD797" t="s">
        <v>16200</v>
      </c>
      <c r="CE797" t="s">
        <v>2714</v>
      </c>
      <c r="CF797" s="12">
        <v>20.059999999999999</v>
      </c>
      <c r="CH797" s="12">
        <v>30.09</v>
      </c>
      <c r="CJ797" t="s">
        <v>135</v>
      </c>
      <c r="CK797" t="s">
        <v>22138</v>
      </c>
      <c r="CL797" t="s">
        <v>22139</v>
      </c>
      <c r="CO797" t="s">
        <v>132</v>
      </c>
      <c r="CP797" t="s">
        <v>114</v>
      </c>
      <c r="CQ797" t="s">
        <v>114</v>
      </c>
      <c r="CR797" t="s">
        <v>136</v>
      </c>
      <c r="CS797" t="s">
        <v>114</v>
      </c>
      <c r="CT797" t="s">
        <v>136</v>
      </c>
      <c r="CU797" t="s">
        <v>136</v>
      </c>
      <c r="CV797" t="s">
        <v>22140</v>
      </c>
      <c r="CW797" s="10" t="str">
        <f>"N/A"</f>
        <v>N/A</v>
      </c>
      <c r="CX797" t="s">
        <v>9695</v>
      </c>
      <c r="CY797" t="s">
        <v>9696</v>
      </c>
      <c r="CZ797" t="s">
        <v>137</v>
      </c>
      <c r="DA797" t="s">
        <v>114</v>
      </c>
      <c r="DB797" t="s">
        <v>114</v>
      </c>
      <c r="DC797" t="s">
        <v>136</v>
      </c>
      <c r="DD797" t="s">
        <v>114</v>
      </c>
    </row>
    <row r="798" spans="1:108" ht="15" customHeight="1" x14ac:dyDescent="0.25">
      <c r="A798" t="s">
        <v>22166</v>
      </c>
      <c r="B798" t="s">
        <v>152</v>
      </c>
      <c r="C798" s="1">
        <v>45210.779184606479</v>
      </c>
      <c r="D798" s="1">
        <v>45251</v>
      </c>
      <c r="E798" t="s">
        <v>132</v>
      </c>
      <c r="F798" t="s">
        <v>22167</v>
      </c>
      <c r="G798" t="str">
        <f>"35-3031.00"</f>
        <v>35-3031.00</v>
      </c>
      <c r="H798" t="s">
        <v>347</v>
      </c>
      <c r="I798">
        <v>4</v>
      </c>
      <c r="J798">
        <v>4</v>
      </c>
      <c r="K798" s="1">
        <v>45285</v>
      </c>
      <c r="L798" s="1">
        <v>45535</v>
      </c>
      <c r="M798" s="1">
        <v>45285</v>
      </c>
      <c r="N798" s="1">
        <v>45535</v>
      </c>
      <c r="O798" t="s">
        <v>116</v>
      </c>
      <c r="P798" t="s">
        <v>2492</v>
      </c>
      <c r="Q798" t="s">
        <v>2493</v>
      </c>
      <c r="R798" t="s">
        <v>2494</v>
      </c>
      <c r="T798" t="s">
        <v>2495</v>
      </c>
      <c r="U798" t="s">
        <v>140</v>
      </c>
      <c r="V798" s="8" t="str">
        <f>"34952"</f>
        <v>34952</v>
      </c>
      <c r="W798" t="s">
        <v>118</v>
      </c>
      <c r="Y798" s="10">
        <v>17723985100</v>
      </c>
      <c r="AA798">
        <v>721110</v>
      </c>
      <c r="AB798" t="s">
        <v>2496</v>
      </c>
      <c r="AC798" t="s">
        <v>2497</v>
      </c>
      <c r="AE798" t="s">
        <v>2498</v>
      </c>
      <c r="AF798" t="s">
        <v>2494</v>
      </c>
      <c r="AH798" t="s">
        <v>2495</v>
      </c>
      <c r="AI798" t="s">
        <v>140</v>
      </c>
      <c r="AJ798" s="8" t="str">
        <f>"34952"</f>
        <v>34952</v>
      </c>
      <c r="AK798" t="s">
        <v>118</v>
      </c>
      <c r="AM798" s="10">
        <v>19545543992</v>
      </c>
      <c r="AO798" t="s">
        <v>2499</v>
      </c>
      <c r="AP798" t="s">
        <v>121</v>
      </c>
      <c r="AQ798" t="s">
        <v>2500</v>
      </c>
      <c r="AR798" t="s">
        <v>2501</v>
      </c>
      <c r="AT798" t="s">
        <v>2502</v>
      </c>
      <c r="AV798" t="s">
        <v>2503</v>
      </c>
      <c r="AW798" t="s">
        <v>140</v>
      </c>
      <c r="AX798" s="8" t="str">
        <f>"33134"</f>
        <v>33134</v>
      </c>
      <c r="AY798" t="s">
        <v>118</v>
      </c>
      <c r="BA798" s="10">
        <v>13307154491</v>
      </c>
      <c r="BC798" t="s">
        <v>2504</v>
      </c>
      <c r="BD798" t="s">
        <v>2505</v>
      </c>
      <c r="BE798" t="s">
        <v>543</v>
      </c>
      <c r="BF798" t="s">
        <v>2506</v>
      </c>
      <c r="BG798" t="s">
        <v>140</v>
      </c>
      <c r="BH798" s="1">
        <v>45209.833333333336</v>
      </c>
      <c r="BI798">
        <v>40</v>
      </c>
      <c r="BJ798">
        <v>0</v>
      </c>
      <c r="BK798">
        <v>0</v>
      </c>
      <c r="BL798">
        <v>8</v>
      </c>
      <c r="BM798">
        <v>8</v>
      </c>
      <c r="BN798">
        <v>8</v>
      </c>
      <c r="BO798">
        <v>8</v>
      </c>
      <c r="BP798">
        <v>8</v>
      </c>
      <c r="BQ798" t="str">
        <f>"6:30 AM"</f>
        <v>6:30 AM</v>
      </c>
      <c r="BR798" t="str">
        <f>"3:00 PM"</f>
        <v>3:00 PM</v>
      </c>
      <c r="BS798" t="s">
        <v>131</v>
      </c>
      <c r="BT798">
        <v>0</v>
      </c>
      <c r="BU798">
        <v>6</v>
      </c>
      <c r="BV798" t="s">
        <v>114</v>
      </c>
      <c r="BX798" s="2" t="s">
        <v>22168</v>
      </c>
      <c r="BY798" t="s">
        <v>2494</v>
      </c>
      <c r="CA798" t="s">
        <v>2495</v>
      </c>
      <c r="CB798" t="s">
        <v>140</v>
      </c>
      <c r="CC798" s="8" t="str">
        <f>"34952"</f>
        <v>34952</v>
      </c>
      <c r="CD798" t="s">
        <v>2508</v>
      </c>
      <c r="CE798" t="s">
        <v>696</v>
      </c>
      <c r="CF798" s="12">
        <v>15.53</v>
      </c>
      <c r="CG798" s="12">
        <v>15.53</v>
      </c>
      <c r="CH798" s="12">
        <v>23.3</v>
      </c>
      <c r="CI798" s="12">
        <v>23.3</v>
      </c>
      <c r="CJ798" t="s">
        <v>135</v>
      </c>
      <c r="CK798" t="s">
        <v>2509</v>
      </c>
      <c r="CL798" t="s">
        <v>22169</v>
      </c>
      <c r="CO798" t="s">
        <v>132</v>
      </c>
      <c r="CP798" t="s">
        <v>114</v>
      </c>
      <c r="CQ798" t="s">
        <v>136</v>
      </c>
      <c r="CR798" t="s">
        <v>136</v>
      </c>
      <c r="CS798" t="s">
        <v>136</v>
      </c>
      <c r="CT798" t="s">
        <v>136</v>
      </c>
      <c r="CU798" t="s">
        <v>136</v>
      </c>
      <c r="CV798" t="s">
        <v>22170</v>
      </c>
      <c r="CW798" s="10" t="str">
        <f>"+19545543992"</f>
        <v>+19545543992</v>
      </c>
      <c r="CX798" t="s">
        <v>2499</v>
      </c>
      <c r="CY798" t="s">
        <v>796</v>
      </c>
      <c r="CZ798" t="s">
        <v>137</v>
      </c>
      <c r="DA798" t="s">
        <v>114</v>
      </c>
      <c r="DB798" t="s">
        <v>136</v>
      </c>
      <c r="DC798" t="s">
        <v>136</v>
      </c>
      <c r="DD798" t="s">
        <v>114</v>
      </c>
    </row>
    <row r="799" spans="1:108" ht="15" customHeight="1" x14ac:dyDescent="0.25">
      <c r="A799" t="s">
        <v>23121</v>
      </c>
      <c r="B799" t="s">
        <v>152</v>
      </c>
      <c r="C799" s="1">
        <v>45210.755634259258</v>
      </c>
      <c r="D799" s="1">
        <v>45251</v>
      </c>
      <c r="E799" t="s">
        <v>132</v>
      </c>
      <c r="F799" t="s">
        <v>23122</v>
      </c>
      <c r="G799" t="str">
        <f>"11-9072.00"</f>
        <v>11-9072.00</v>
      </c>
      <c r="H799" t="s">
        <v>23123</v>
      </c>
      <c r="I799">
        <v>4</v>
      </c>
      <c r="J799">
        <v>4</v>
      </c>
      <c r="K799" s="1">
        <v>45285</v>
      </c>
      <c r="L799" s="1">
        <v>45535</v>
      </c>
      <c r="M799" s="1">
        <v>45285</v>
      </c>
      <c r="N799" s="1">
        <v>45535</v>
      </c>
      <c r="O799" t="s">
        <v>116</v>
      </c>
      <c r="P799" t="s">
        <v>2492</v>
      </c>
      <c r="Q799" t="s">
        <v>2493</v>
      </c>
      <c r="R799" t="s">
        <v>2494</v>
      </c>
      <c r="T799" t="s">
        <v>2495</v>
      </c>
      <c r="U799" t="s">
        <v>140</v>
      </c>
      <c r="V799" s="8" t="str">
        <f>"34952"</f>
        <v>34952</v>
      </c>
      <c r="W799" t="s">
        <v>118</v>
      </c>
      <c r="Y799" s="10">
        <v>17723985100</v>
      </c>
      <c r="AA799">
        <v>721110</v>
      </c>
      <c r="AB799" t="s">
        <v>2496</v>
      </c>
      <c r="AC799" t="s">
        <v>2497</v>
      </c>
      <c r="AE799" t="s">
        <v>2498</v>
      </c>
      <c r="AF799" t="s">
        <v>2494</v>
      </c>
      <c r="AH799" t="s">
        <v>2495</v>
      </c>
      <c r="AI799" t="s">
        <v>140</v>
      </c>
      <c r="AJ799" s="8" t="str">
        <f>"34952"</f>
        <v>34952</v>
      </c>
      <c r="AK799" t="s">
        <v>118</v>
      </c>
      <c r="AM799" s="10">
        <v>19545543992</v>
      </c>
      <c r="AO799" t="s">
        <v>23124</v>
      </c>
      <c r="AP799" t="s">
        <v>121</v>
      </c>
      <c r="AQ799" t="s">
        <v>2500</v>
      </c>
      <c r="AR799" t="s">
        <v>2501</v>
      </c>
      <c r="AT799" t="s">
        <v>2502</v>
      </c>
      <c r="AV799" t="s">
        <v>2503</v>
      </c>
      <c r="AW799" t="s">
        <v>140</v>
      </c>
      <c r="AX799" s="8" t="str">
        <f>"33134"</f>
        <v>33134</v>
      </c>
      <c r="AY799" t="s">
        <v>118</v>
      </c>
      <c r="BA799" s="10">
        <v>13307154491</v>
      </c>
      <c r="BC799" t="s">
        <v>2504</v>
      </c>
      <c r="BD799" t="s">
        <v>2505</v>
      </c>
      <c r="BE799" t="s">
        <v>543</v>
      </c>
      <c r="BF799" t="s">
        <v>2506</v>
      </c>
      <c r="BG799" t="s">
        <v>140</v>
      </c>
      <c r="BH799" s="1">
        <v>45209.833333333336</v>
      </c>
      <c r="BI799">
        <v>40</v>
      </c>
      <c r="BJ799">
        <v>0</v>
      </c>
      <c r="BK799">
        <v>0</v>
      </c>
      <c r="BL799">
        <v>8</v>
      </c>
      <c r="BM799">
        <v>8</v>
      </c>
      <c r="BN799">
        <v>8</v>
      </c>
      <c r="BO799">
        <v>8</v>
      </c>
      <c r="BP799">
        <v>8</v>
      </c>
      <c r="BQ799" t="str">
        <f>"8:00 AM"</f>
        <v>8:00 AM</v>
      </c>
      <c r="BR799" t="str">
        <f>"5:30 PM"</f>
        <v>5:30 PM</v>
      </c>
      <c r="BS799" t="s">
        <v>131</v>
      </c>
      <c r="BT799">
        <v>0</v>
      </c>
      <c r="BU799">
        <v>6</v>
      </c>
      <c r="BV799" t="s">
        <v>114</v>
      </c>
      <c r="BX799" s="2" t="s">
        <v>23125</v>
      </c>
      <c r="BY799" t="s">
        <v>2494</v>
      </c>
      <c r="CA799" t="s">
        <v>2495</v>
      </c>
      <c r="CB799" t="s">
        <v>140</v>
      </c>
      <c r="CC799" s="8" t="str">
        <f>"34952"</f>
        <v>34952</v>
      </c>
      <c r="CD799" t="s">
        <v>2508</v>
      </c>
      <c r="CE799" t="s">
        <v>696</v>
      </c>
      <c r="CF799" s="12">
        <v>40.53</v>
      </c>
      <c r="CG799" s="12">
        <v>40.53</v>
      </c>
      <c r="CH799" s="12">
        <v>60.8</v>
      </c>
      <c r="CI799" s="12">
        <v>60.8</v>
      </c>
      <c r="CJ799" t="s">
        <v>135</v>
      </c>
      <c r="CK799" t="s">
        <v>2509</v>
      </c>
      <c r="CL799" t="s">
        <v>23126</v>
      </c>
      <c r="CO799" t="s">
        <v>132</v>
      </c>
      <c r="CP799" t="s">
        <v>114</v>
      </c>
      <c r="CQ799" t="s">
        <v>136</v>
      </c>
      <c r="CR799" t="s">
        <v>136</v>
      </c>
      <c r="CS799" t="s">
        <v>136</v>
      </c>
      <c r="CT799" t="s">
        <v>136</v>
      </c>
      <c r="CU799" t="s">
        <v>136</v>
      </c>
      <c r="CV799" t="s">
        <v>22170</v>
      </c>
      <c r="CW799" s="10" t="str">
        <f>"+19545543992"</f>
        <v>+19545543992</v>
      </c>
      <c r="CX799" t="s">
        <v>23124</v>
      </c>
      <c r="CY799" t="s">
        <v>796</v>
      </c>
      <c r="CZ799" t="s">
        <v>137</v>
      </c>
      <c r="DA799" t="s">
        <v>114</v>
      </c>
      <c r="DB799" t="s">
        <v>136</v>
      </c>
      <c r="DC799" t="s">
        <v>136</v>
      </c>
      <c r="DD799" t="s">
        <v>114</v>
      </c>
    </row>
    <row r="800" spans="1:108" ht="15" customHeight="1" x14ac:dyDescent="0.25">
      <c r="A800" t="s">
        <v>12238</v>
      </c>
      <c r="B800" t="s">
        <v>152</v>
      </c>
      <c r="C800" s="1">
        <v>45206.039616319445</v>
      </c>
      <c r="D800" s="1">
        <v>45251</v>
      </c>
      <c r="E800" t="s">
        <v>132</v>
      </c>
      <c r="F800" t="s">
        <v>1381</v>
      </c>
      <c r="G800" t="str">
        <f>"39-3091.00"</f>
        <v>39-3091.00</v>
      </c>
      <c r="H800" t="s">
        <v>237</v>
      </c>
      <c r="I800">
        <v>7</v>
      </c>
      <c r="J800">
        <v>7</v>
      </c>
      <c r="K800" s="1">
        <v>45296</v>
      </c>
      <c r="L800" s="1">
        <v>45600</v>
      </c>
      <c r="M800" s="1">
        <v>45296</v>
      </c>
      <c r="N800" s="1">
        <v>45600</v>
      </c>
      <c r="O800" t="s">
        <v>238</v>
      </c>
      <c r="P800" t="s">
        <v>12239</v>
      </c>
      <c r="R800" t="s">
        <v>12240</v>
      </c>
      <c r="T800" t="s">
        <v>7211</v>
      </c>
      <c r="U800" t="s">
        <v>127</v>
      </c>
      <c r="V800" s="8" t="str">
        <f>"78221"</f>
        <v>78221</v>
      </c>
      <c r="W800" t="s">
        <v>118</v>
      </c>
      <c r="Y800" s="10">
        <v>12108250583</v>
      </c>
      <c r="AA800">
        <v>7139</v>
      </c>
      <c r="AB800" t="s">
        <v>12241</v>
      </c>
      <c r="AC800" t="s">
        <v>6020</v>
      </c>
      <c r="AE800" t="s">
        <v>1386</v>
      </c>
      <c r="AF800" t="s">
        <v>12240</v>
      </c>
      <c r="AH800" t="s">
        <v>7211</v>
      </c>
      <c r="AI800" t="s">
        <v>127</v>
      </c>
      <c r="AJ800" s="8" t="str">
        <f>"78221"</f>
        <v>78221</v>
      </c>
      <c r="AK800" t="s">
        <v>118</v>
      </c>
      <c r="AM800" s="10">
        <v>12108250583</v>
      </c>
      <c r="AO800" t="s">
        <v>12242</v>
      </c>
      <c r="AP800" t="s">
        <v>248</v>
      </c>
      <c r="AQ800" t="s">
        <v>960</v>
      </c>
      <c r="AR800" t="s">
        <v>961</v>
      </c>
      <c r="AS800" t="s">
        <v>962</v>
      </c>
      <c r="AT800" t="s">
        <v>963</v>
      </c>
      <c r="AU800" t="s">
        <v>296</v>
      </c>
      <c r="AV800" t="s">
        <v>964</v>
      </c>
      <c r="AW800" t="s">
        <v>127</v>
      </c>
      <c r="AX800" s="8" t="str">
        <f>"75033"</f>
        <v>75033</v>
      </c>
      <c r="AY800" t="s">
        <v>118</v>
      </c>
      <c r="BA800" s="10">
        <v>19727789690</v>
      </c>
      <c r="BC800" t="s">
        <v>1388</v>
      </c>
      <c r="BD800" t="s">
        <v>966</v>
      </c>
      <c r="BG800" t="s">
        <v>127</v>
      </c>
      <c r="BH800" s="1">
        <v>45205.833333333336</v>
      </c>
      <c r="BI800">
        <v>40</v>
      </c>
      <c r="BJ800">
        <v>8</v>
      </c>
      <c r="BK800">
        <v>8</v>
      </c>
      <c r="BL800">
        <v>0</v>
      </c>
      <c r="BM800">
        <v>8</v>
      </c>
      <c r="BN800">
        <v>0</v>
      </c>
      <c r="BO800">
        <v>8</v>
      </c>
      <c r="BP800">
        <v>8</v>
      </c>
      <c r="BQ800" t="str">
        <f>"10:00 AM"</f>
        <v>10:00 AM</v>
      </c>
      <c r="BR800" t="str">
        <f>"7:00 PM"</f>
        <v>7:00 PM</v>
      </c>
      <c r="BS800" t="s">
        <v>131</v>
      </c>
      <c r="BT800">
        <v>0</v>
      </c>
      <c r="BU800">
        <v>0</v>
      </c>
      <c r="BV800" t="s">
        <v>114</v>
      </c>
      <c r="BX800" s="2" t="s">
        <v>12243</v>
      </c>
      <c r="BY800" t="s">
        <v>12244</v>
      </c>
      <c r="CA800" t="s">
        <v>2960</v>
      </c>
      <c r="CB800" t="s">
        <v>558</v>
      </c>
      <c r="CC800" s="8" t="str">
        <f>"85007"</f>
        <v>85007</v>
      </c>
      <c r="CD800" t="s">
        <v>1391</v>
      </c>
      <c r="CE800" t="s">
        <v>565</v>
      </c>
      <c r="CF800" s="12">
        <v>11.69</v>
      </c>
      <c r="CG800" s="12">
        <v>16</v>
      </c>
      <c r="CH800" s="12">
        <v>24</v>
      </c>
      <c r="CI800" s="12">
        <v>32</v>
      </c>
      <c r="CJ800" t="s">
        <v>135</v>
      </c>
      <c r="CK800" t="s">
        <v>3772</v>
      </c>
      <c r="CL800" t="s">
        <v>12245</v>
      </c>
      <c r="CO800" t="s">
        <v>132</v>
      </c>
      <c r="CP800" t="s">
        <v>136</v>
      </c>
      <c r="CQ800" t="s">
        <v>136</v>
      </c>
      <c r="CR800" t="s">
        <v>136</v>
      </c>
      <c r="CS800" t="s">
        <v>136</v>
      </c>
      <c r="CT800" t="s">
        <v>136</v>
      </c>
      <c r="CU800" t="s">
        <v>136</v>
      </c>
      <c r="CV800" t="s">
        <v>2972</v>
      </c>
      <c r="CW800" s="10" t="str">
        <f>"+12108250583"</f>
        <v>+12108250583</v>
      </c>
      <c r="CX800" t="s">
        <v>132</v>
      </c>
      <c r="CY800" t="s">
        <v>1853</v>
      </c>
      <c r="CZ800" t="s">
        <v>137</v>
      </c>
      <c r="DA800" t="s">
        <v>114</v>
      </c>
      <c r="DB800" t="s">
        <v>136</v>
      </c>
      <c r="DC800" t="s">
        <v>136</v>
      </c>
      <c r="DD800" t="s">
        <v>114</v>
      </c>
    </row>
    <row r="801" spans="1:113" ht="15" customHeight="1" x14ac:dyDescent="0.25">
      <c r="A801" t="s">
        <v>20020</v>
      </c>
      <c r="B801" t="s">
        <v>152</v>
      </c>
      <c r="C801" s="1">
        <v>45205.649538078702</v>
      </c>
      <c r="D801" s="1">
        <v>45251</v>
      </c>
      <c r="E801" t="s">
        <v>132</v>
      </c>
      <c r="F801" t="s">
        <v>20021</v>
      </c>
      <c r="G801" t="str">
        <f>"35-2014.00"</f>
        <v>35-2014.00</v>
      </c>
      <c r="H801" t="s">
        <v>154</v>
      </c>
      <c r="I801">
        <v>40</v>
      </c>
      <c r="J801">
        <v>40</v>
      </c>
      <c r="K801" s="1">
        <v>45280</v>
      </c>
      <c r="L801" s="1">
        <v>45579</v>
      </c>
      <c r="M801" s="1">
        <v>45280</v>
      </c>
      <c r="N801" s="1">
        <v>45579</v>
      </c>
      <c r="O801" t="s">
        <v>116</v>
      </c>
      <c r="P801" t="s">
        <v>20022</v>
      </c>
      <c r="Q801" t="s">
        <v>20023</v>
      </c>
      <c r="R801" t="s">
        <v>20024</v>
      </c>
      <c r="T801" t="s">
        <v>2748</v>
      </c>
      <c r="U801" t="s">
        <v>333</v>
      </c>
      <c r="V801" s="8" t="str">
        <f>"71118"</f>
        <v>71118</v>
      </c>
      <c r="W801" t="s">
        <v>118</v>
      </c>
      <c r="Y801" s="10">
        <v>13186875015</v>
      </c>
      <c r="AA801">
        <v>72251</v>
      </c>
      <c r="AB801" t="s">
        <v>20025</v>
      </c>
      <c r="AC801" t="s">
        <v>190</v>
      </c>
      <c r="AE801" t="s">
        <v>1386</v>
      </c>
      <c r="AF801" t="s">
        <v>20026</v>
      </c>
      <c r="AH801" t="s">
        <v>2748</v>
      </c>
      <c r="AI801" t="s">
        <v>333</v>
      </c>
      <c r="AJ801" s="8" t="str">
        <f>"71118"</f>
        <v>71118</v>
      </c>
      <c r="AK801" t="s">
        <v>118</v>
      </c>
      <c r="AM801" s="10">
        <v>13186875015</v>
      </c>
      <c r="AO801" t="s">
        <v>20027</v>
      </c>
      <c r="AP801" t="s">
        <v>121</v>
      </c>
      <c r="AQ801" t="s">
        <v>7419</v>
      </c>
      <c r="AR801" t="s">
        <v>990</v>
      </c>
      <c r="AS801" t="s">
        <v>7420</v>
      </c>
      <c r="AT801" t="s">
        <v>7421</v>
      </c>
      <c r="AU801" t="s">
        <v>7422</v>
      </c>
      <c r="AV801" t="s">
        <v>3501</v>
      </c>
      <c r="AW801" t="s">
        <v>127</v>
      </c>
      <c r="AX801" s="8" t="str">
        <f>"75082"</f>
        <v>75082</v>
      </c>
      <c r="AY801" t="s">
        <v>118</v>
      </c>
      <c r="BA801" s="10">
        <v>14699407805</v>
      </c>
      <c r="BC801" t="s">
        <v>7423</v>
      </c>
      <c r="BD801" t="s">
        <v>7424</v>
      </c>
      <c r="BE801" t="s">
        <v>333</v>
      </c>
      <c r="BF801" t="s">
        <v>2190</v>
      </c>
      <c r="BG801" t="s">
        <v>333</v>
      </c>
      <c r="BH801" s="1">
        <v>45200.833333333336</v>
      </c>
      <c r="BI801">
        <v>40</v>
      </c>
      <c r="BJ801">
        <v>0</v>
      </c>
      <c r="BK801">
        <v>8</v>
      </c>
      <c r="BL801">
        <v>8</v>
      </c>
      <c r="BM801">
        <v>8</v>
      </c>
      <c r="BN801">
        <v>8</v>
      </c>
      <c r="BO801">
        <v>8</v>
      </c>
      <c r="BP801">
        <v>0</v>
      </c>
      <c r="BQ801" t="str">
        <f>"8:00 AM"</f>
        <v>8:00 AM</v>
      </c>
      <c r="BR801" t="str">
        <f>"4:00 PM"</f>
        <v>4:00 PM</v>
      </c>
      <c r="BS801" t="s">
        <v>131</v>
      </c>
      <c r="BT801">
        <v>0</v>
      </c>
      <c r="BU801">
        <v>3</v>
      </c>
      <c r="BV801" t="s">
        <v>114</v>
      </c>
      <c r="BX801" s="2" t="s">
        <v>20028</v>
      </c>
      <c r="BY801" t="s">
        <v>20026</v>
      </c>
      <c r="CA801" t="s">
        <v>20029</v>
      </c>
      <c r="CB801" t="s">
        <v>333</v>
      </c>
      <c r="CC801" s="8" t="str">
        <f>"71118"</f>
        <v>71118</v>
      </c>
      <c r="CD801" t="s">
        <v>2750</v>
      </c>
      <c r="CE801" t="s">
        <v>2751</v>
      </c>
      <c r="CF801" s="12">
        <v>13.01</v>
      </c>
      <c r="CG801" s="12">
        <v>13.01</v>
      </c>
      <c r="CH801" s="12">
        <v>19.510000000000002</v>
      </c>
      <c r="CI801" s="12">
        <v>19.510000000000002</v>
      </c>
      <c r="CJ801" t="s">
        <v>135</v>
      </c>
      <c r="CK801" t="s">
        <v>20030</v>
      </c>
      <c r="CL801" t="s">
        <v>20031</v>
      </c>
      <c r="CO801" t="s">
        <v>132</v>
      </c>
      <c r="CP801" t="s">
        <v>136</v>
      </c>
      <c r="CQ801" t="s">
        <v>114</v>
      </c>
      <c r="CR801" t="s">
        <v>136</v>
      </c>
      <c r="CS801" t="s">
        <v>136</v>
      </c>
      <c r="CT801" t="s">
        <v>136</v>
      </c>
      <c r="CU801" t="s">
        <v>136</v>
      </c>
      <c r="CV801" t="s">
        <v>20032</v>
      </c>
      <c r="CW801" s="10" t="str">
        <f>"+13186875015"</f>
        <v>+13186875015</v>
      </c>
      <c r="CX801" t="s">
        <v>20027</v>
      </c>
      <c r="CY801" t="s">
        <v>132</v>
      </c>
      <c r="CZ801" t="s">
        <v>137</v>
      </c>
      <c r="DA801" t="s">
        <v>114</v>
      </c>
      <c r="DB801" t="s">
        <v>114</v>
      </c>
      <c r="DC801" t="s">
        <v>136</v>
      </c>
      <c r="DD801" t="s">
        <v>114</v>
      </c>
      <c r="DE801" t="s">
        <v>4811</v>
      </c>
      <c r="DF801" t="s">
        <v>5903</v>
      </c>
      <c r="DG801" t="s">
        <v>631</v>
      </c>
      <c r="DH801" t="s">
        <v>11594</v>
      </c>
      <c r="DI801" t="s">
        <v>13485</v>
      </c>
    </row>
    <row r="802" spans="1:113" ht="15" customHeight="1" x14ac:dyDescent="0.25">
      <c r="A802" t="s">
        <v>16483</v>
      </c>
      <c r="B802" t="s">
        <v>152</v>
      </c>
      <c r="C802" s="1">
        <v>45205.277328935183</v>
      </c>
      <c r="D802" s="1">
        <v>45251</v>
      </c>
      <c r="E802" t="s">
        <v>132</v>
      </c>
      <c r="F802" t="s">
        <v>665</v>
      </c>
      <c r="G802" t="str">
        <f>"37-3013.00"</f>
        <v>37-3013.00</v>
      </c>
      <c r="H802" t="s">
        <v>666</v>
      </c>
      <c r="I802">
        <v>50</v>
      </c>
      <c r="J802">
        <v>50</v>
      </c>
      <c r="K802" s="1">
        <v>45295</v>
      </c>
      <c r="L802" s="1">
        <v>45600</v>
      </c>
      <c r="M802" s="1">
        <v>45295</v>
      </c>
      <c r="N802" s="1">
        <v>45600</v>
      </c>
      <c r="O802" t="s">
        <v>116</v>
      </c>
      <c r="P802" t="s">
        <v>12815</v>
      </c>
      <c r="R802" t="s">
        <v>668</v>
      </c>
      <c r="T802" t="s">
        <v>669</v>
      </c>
      <c r="U802" t="s">
        <v>127</v>
      </c>
      <c r="V802" s="8" t="str">
        <f>"77598"</f>
        <v>77598</v>
      </c>
      <c r="W802" t="s">
        <v>118</v>
      </c>
      <c r="Y802" s="10">
        <v>12812801100</v>
      </c>
      <c r="AA802">
        <v>56173</v>
      </c>
      <c r="AB802" t="s">
        <v>670</v>
      </c>
      <c r="AC802" t="s">
        <v>671</v>
      </c>
      <c r="AE802" t="s">
        <v>405</v>
      </c>
      <c r="AF802" t="s">
        <v>668</v>
      </c>
      <c r="AH802" t="s">
        <v>669</v>
      </c>
      <c r="AI802" t="s">
        <v>127</v>
      </c>
      <c r="AJ802" s="8" t="str">
        <f>"77598"</f>
        <v>77598</v>
      </c>
      <c r="AK802" t="s">
        <v>118</v>
      </c>
      <c r="AM802" s="10">
        <v>12812801100</v>
      </c>
      <c r="AO802" t="s">
        <v>672</v>
      </c>
      <c r="AP802" t="s">
        <v>248</v>
      </c>
      <c r="AQ802" t="s">
        <v>673</v>
      </c>
      <c r="AR802" t="s">
        <v>674</v>
      </c>
      <c r="AT802" t="s">
        <v>579</v>
      </c>
      <c r="AV802" t="s">
        <v>580</v>
      </c>
      <c r="AW802" t="s">
        <v>581</v>
      </c>
      <c r="AX802" s="8" t="str">
        <f>"22903"</f>
        <v>22903</v>
      </c>
      <c r="AY802" t="s">
        <v>118</v>
      </c>
      <c r="BA802" s="10">
        <v>14342634300</v>
      </c>
      <c r="BC802" t="s">
        <v>675</v>
      </c>
      <c r="BD802" t="s">
        <v>583</v>
      </c>
      <c r="BG802" t="s">
        <v>581</v>
      </c>
      <c r="BH802" s="1">
        <v>45204.833333333336</v>
      </c>
      <c r="BI802">
        <v>40</v>
      </c>
      <c r="BJ802">
        <v>0</v>
      </c>
      <c r="BK802">
        <v>8</v>
      </c>
      <c r="BL802">
        <v>8</v>
      </c>
      <c r="BM802">
        <v>8</v>
      </c>
      <c r="BN802">
        <v>8</v>
      </c>
      <c r="BO802">
        <v>8</v>
      </c>
      <c r="BP802">
        <v>0</v>
      </c>
      <c r="BQ802" t="str">
        <f>"7:00 AM"</f>
        <v>7:00 AM</v>
      </c>
      <c r="BR802" t="str">
        <f>"4:00 PM"</f>
        <v>4:00 PM</v>
      </c>
      <c r="BS802" t="s">
        <v>131</v>
      </c>
      <c r="BT802">
        <v>0</v>
      </c>
      <c r="BU802">
        <v>0</v>
      </c>
      <c r="BV802" t="s">
        <v>114</v>
      </c>
      <c r="BX802" s="2" t="s">
        <v>676</v>
      </c>
      <c r="BY802" t="s">
        <v>12817</v>
      </c>
      <c r="CA802" t="s">
        <v>12818</v>
      </c>
      <c r="CB802" t="s">
        <v>581</v>
      </c>
      <c r="CC802" s="8" t="str">
        <f>"23692"</f>
        <v>23692</v>
      </c>
      <c r="CD802" t="s">
        <v>2719</v>
      </c>
      <c r="CE802" t="s">
        <v>2145</v>
      </c>
      <c r="CF802" s="12">
        <v>19.78</v>
      </c>
      <c r="CH802" s="12">
        <v>29.67</v>
      </c>
      <c r="CJ802" t="s">
        <v>135</v>
      </c>
      <c r="CK802" t="s">
        <v>590</v>
      </c>
      <c r="CL802" t="s">
        <v>16484</v>
      </c>
      <c r="CO802" t="s">
        <v>132</v>
      </c>
      <c r="CP802" t="s">
        <v>136</v>
      </c>
      <c r="CQ802" t="s">
        <v>114</v>
      </c>
      <c r="CR802" t="s">
        <v>136</v>
      </c>
      <c r="CS802" t="s">
        <v>136</v>
      </c>
      <c r="CT802" t="s">
        <v>136</v>
      </c>
      <c r="CU802" t="s">
        <v>136</v>
      </c>
      <c r="CV802" t="s">
        <v>681</v>
      </c>
      <c r="CW802" s="10" t="str">
        <f>"N/A"</f>
        <v>N/A</v>
      </c>
      <c r="CX802" t="s">
        <v>682</v>
      </c>
      <c r="CY802" t="s">
        <v>3471</v>
      </c>
      <c r="CZ802" t="s">
        <v>137</v>
      </c>
      <c r="DA802" t="s">
        <v>114</v>
      </c>
      <c r="DB802" t="s">
        <v>136</v>
      </c>
      <c r="DC802" t="s">
        <v>136</v>
      </c>
      <c r="DD802" t="s">
        <v>114</v>
      </c>
      <c r="DE802" t="s">
        <v>673</v>
      </c>
      <c r="DF802" t="s">
        <v>674</v>
      </c>
      <c r="DH802" t="s">
        <v>583</v>
      </c>
      <c r="DI802" t="s">
        <v>675</v>
      </c>
    </row>
    <row r="803" spans="1:113" ht="15" customHeight="1" x14ac:dyDescent="0.25">
      <c r="A803" t="s">
        <v>5080</v>
      </c>
      <c r="B803" t="s">
        <v>152</v>
      </c>
      <c r="C803" s="1">
        <v>45202.740082060183</v>
      </c>
      <c r="D803" s="1">
        <v>45251</v>
      </c>
      <c r="E803" t="s">
        <v>132</v>
      </c>
      <c r="F803" t="s">
        <v>5081</v>
      </c>
      <c r="G803" t="str">
        <f>"35-2014.00"</f>
        <v>35-2014.00</v>
      </c>
      <c r="H803" t="s">
        <v>154</v>
      </c>
      <c r="I803">
        <v>5</v>
      </c>
      <c r="J803">
        <v>5</v>
      </c>
      <c r="K803" s="1">
        <v>45292</v>
      </c>
      <c r="L803" s="1">
        <v>45458</v>
      </c>
      <c r="M803" s="1">
        <v>45292</v>
      </c>
      <c r="N803" s="1">
        <v>45458</v>
      </c>
      <c r="O803" t="s">
        <v>116</v>
      </c>
      <c r="P803" t="s">
        <v>5082</v>
      </c>
      <c r="R803" t="s">
        <v>5083</v>
      </c>
      <c r="T803" t="s">
        <v>5084</v>
      </c>
      <c r="U803" t="s">
        <v>333</v>
      </c>
      <c r="V803" s="8" t="str">
        <f>"71055"</f>
        <v>71055</v>
      </c>
      <c r="W803" t="s">
        <v>118</v>
      </c>
      <c r="Y803" s="10">
        <v>13182181546</v>
      </c>
      <c r="AA803">
        <v>722513</v>
      </c>
      <c r="AB803" t="s">
        <v>4253</v>
      </c>
      <c r="AC803" t="s">
        <v>3557</v>
      </c>
      <c r="AE803" t="s">
        <v>561</v>
      </c>
      <c r="AF803" t="s">
        <v>5085</v>
      </c>
      <c r="AH803" t="s">
        <v>5084</v>
      </c>
      <c r="AI803" t="s">
        <v>333</v>
      </c>
      <c r="AJ803" s="8" t="str">
        <f>"71055"</f>
        <v>71055</v>
      </c>
      <c r="AK803" t="s">
        <v>118</v>
      </c>
      <c r="AM803" s="10">
        <v>13182181546</v>
      </c>
      <c r="AO803" t="s">
        <v>5086</v>
      </c>
      <c r="AP803" t="s">
        <v>121</v>
      </c>
      <c r="AQ803" t="s">
        <v>3627</v>
      </c>
      <c r="AR803" t="s">
        <v>2309</v>
      </c>
      <c r="AS803" t="s">
        <v>5087</v>
      </c>
      <c r="AT803" t="s">
        <v>5088</v>
      </c>
      <c r="AV803" t="s">
        <v>5089</v>
      </c>
      <c r="AW803" t="s">
        <v>333</v>
      </c>
      <c r="AX803" s="8" t="str">
        <f>"70535"</f>
        <v>70535</v>
      </c>
      <c r="AY803" t="s">
        <v>118</v>
      </c>
      <c r="BA803" s="10">
        <v>13374663722</v>
      </c>
      <c r="BC803" t="s">
        <v>5090</v>
      </c>
      <c r="BD803" t="s">
        <v>5091</v>
      </c>
      <c r="BE803" t="s">
        <v>333</v>
      </c>
      <c r="BF803" t="s">
        <v>2190</v>
      </c>
      <c r="BG803" t="s">
        <v>333</v>
      </c>
      <c r="BH803" s="1">
        <v>45201.833333333336</v>
      </c>
      <c r="BI803">
        <v>40</v>
      </c>
      <c r="BJ803">
        <v>0</v>
      </c>
      <c r="BK803">
        <v>7</v>
      </c>
      <c r="BL803">
        <v>7</v>
      </c>
      <c r="BM803">
        <v>7</v>
      </c>
      <c r="BN803">
        <v>7</v>
      </c>
      <c r="BO803">
        <v>7</v>
      </c>
      <c r="BP803">
        <v>5</v>
      </c>
      <c r="BQ803" t="str">
        <f>"10:00 AM"</f>
        <v>10:00 AM</v>
      </c>
      <c r="BR803" t="str">
        <f>"9:00 PM"</f>
        <v>9:00 PM</v>
      </c>
      <c r="BS803" t="s">
        <v>131</v>
      </c>
      <c r="BT803">
        <v>0</v>
      </c>
      <c r="BU803">
        <v>0</v>
      </c>
      <c r="BV803" t="s">
        <v>114</v>
      </c>
      <c r="BX803" s="2" t="s">
        <v>5092</v>
      </c>
      <c r="BY803" t="s">
        <v>5093</v>
      </c>
      <c r="CA803" t="s">
        <v>5084</v>
      </c>
      <c r="CB803" t="s">
        <v>333</v>
      </c>
      <c r="CC803" s="8" t="str">
        <f>"71055"</f>
        <v>71055</v>
      </c>
      <c r="CD803" t="s">
        <v>5094</v>
      </c>
      <c r="CE803" t="s">
        <v>2751</v>
      </c>
      <c r="CF803" s="12">
        <v>13.01</v>
      </c>
      <c r="CG803" s="12">
        <v>13.01</v>
      </c>
      <c r="CH803" s="12">
        <v>19.52</v>
      </c>
      <c r="CI803" s="12">
        <v>19.52</v>
      </c>
      <c r="CJ803" t="s">
        <v>135</v>
      </c>
      <c r="CK803" t="s">
        <v>5095</v>
      </c>
      <c r="CL803" t="s">
        <v>5096</v>
      </c>
      <c r="CO803" t="s">
        <v>132</v>
      </c>
      <c r="CP803" t="s">
        <v>114</v>
      </c>
      <c r="CQ803" t="s">
        <v>114</v>
      </c>
      <c r="CR803" t="s">
        <v>136</v>
      </c>
      <c r="CS803" t="s">
        <v>136</v>
      </c>
      <c r="CT803" t="s">
        <v>136</v>
      </c>
      <c r="CU803" t="s">
        <v>136</v>
      </c>
      <c r="CV803" s="2" t="s">
        <v>5097</v>
      </c>
      <c r="CW803" s="10" t="str">
        <f>"+13182181546"</f>
        <v>+13182181546</v>
      </c>
      <c r="CX803" t="s">
        <v>5086</v>
      </c>
      <c r="CY803" t="s">
        <v>132</v>
      </c>
      <c r="CZ803" t="s">
        <v>137</v>
      </c>
      <c r="DA803" t="s">
        <v>114</v>
      </c>
      <c r="DB803" t="s">
        <v>114</v>
      </c>
      <c r="DC803" t="s">
        <v>136</v>
      </c>
      <c r="DD803" t="s">
        <v>114</v>
      </c>
    </row>
    <row r="804" spans="1:113" ht="15" customHeight="1" x14ac:dyDescent="0.25">
      <c r="A804" t="s">
        <v>7947</v>
      </c>
      <c r="B804" t="s">
        <v>152</v>
      </c>
      <c r="C804" s="1">
        <v>45202.588207986111</v>
      </c>
      <c r="D804" s="1">
        <v>45251</v>
      </c>
      <c r="E804" t="s">
        <v>132</v>
      </c>
      <c r="F804" t="s">
        <v>293</v>
      </c>
      <c r="G804" t="str">
        <f>"37-2012.00"</f>
        <v>37-2012.00</v>
      </c>
      <c r="H804" t="s">
        <v>205</v>
      </c>
      <c r="I804">
        <v>25</v>
      </c>
      <c r="J804">
        <v>25</v>
      </c>
      <c r="K804" s="1">
        <v>45292</v>
      </c>
      <c r="L804" s="1">
        <v>45566</v>
      </c>
      <c r="M804" s="1">
        <v>45292</v>
      </c>
      <c r="N804" s="1">
        <v>45566</v>
      </c>
      <c r="O804" t="s">
        <v>116</v>
      </c>
      <c r="P804" t="s">
        <v>7948</v>
      </c>
      <c r="R804" t="s">
        <v>7949</v>
      </c>
      <c r="T804" t="s">
        <v>5615</v>
      </c>
      <c r="U804" t="s">
        <v>386</v>
      </c>
      <c r="V804" s="8" t="str">
        <f>"37203"</f>
        <v>37203</v>
      </c>
      <c r="W804" t="s">
        <v>118</v>
      </c>
      <c r="Y804" s="10">
        <v>16157825300</v>
      </c>
      <c r="AA804">
        <v>72111</v>
      </c>
      <c r="AB804" t="s">
        <v>7950</v>
      </c>
      <c r="AC804" t="s">
        <v>7951</v>
      </c>
      <c r="AE804" t="s">
        <v>3639</v>
      </c>
      <c r="AF804" t="s">
        <v>7949</v>
      </c>
      <c r="AH804" t="s">
        <v>5615</v>
      </c>
      <c r="AI804" t="s">
        <v>386</v>
      </c>
      <c r="AJ804" s="8" t="str">
        <f>"37203"</f>
        <v>37203</v>
      </c>
      <c r="AK804" t="s">
        <v>118</v>
      </c>
      <c r="AM804" s="10">
        <v>16157825300</v>
      </c>
      <c r="AO804" t="s">
        <v>7952</v>
      </c>
      <c r="AP804" t="s">
        <v>248</v>
      </c>
      <c r="AQ804" t="s">
        <v>960</v>
      </c>
      <c r="AR804" t="s">
        <v>961</v>
      </c>
      <c r="AS804" t="s">
        <v>962</v>
      </c>
      <c r="AT804" t="s">
        <v>963</v>
      </c>
      <c r="AU804" t="s">
        <v>296</v>
      </c>
      <c r="AV804" t="s">
        <v>964</v>
      </c>
      <c r="AW804" t="s">
        <v>127</v>
      </c>
      <c r="AX804" s="8" t="str">
        <f>"75033"</f>
        <v>75033</v>
      </c>
      <c r="AY804" t="s">
        <v>118</v>
      </c>
      <c r="BA804" s="10">
        <v>19727789690</v>
      </c>
      <c r="BC804" t="s">
        <v>7354</v>
      </c>
      <c r="BD804" t="s">
        <v>966</v>
      </c>
      <c r="BG804" t="s">
        <v>386</v>
      </c>
      <c r="BH804" s="1">
        <v>45201.833333333336</v>
      </c>
      <c r="BI804">
        <v>40</v>
      </c>
      <c r="BJ804">
        <v>8</v>
      </c>
      <c r="BK804">
        <v>0</v>
      </c>
      <c r="BL804">
        <v>0</v>
      </c>
      <c r="BM804">
        <v>8</v>
      </c>
      <c r="BN804">
        <v>8</v>
      </c>
      <c r="BO804">
        <v>8</v>
      </c>
      <c r="BP804">
        <v>8</v>
      </c>
      <c r="BQ804" t="str">
        <f>"8:00 AM"</f>
        <v>8:00 AM</v>
      </c>
      <c r="BR804" t="str">
        <f>"5:00 PM"</f>
        <v>5:00 PM</v>
      </c>
      <c r="BS804" t="s">
        <v>131</v>
      </c>
      <c r="BT804">
        <v>0</v>
      </c>
      <c r="BU804">
        <v>0</v>
      </c>
      <c r="BV804" t="s">
        <v>114</v>
      </c>
      <c r="BX804" s="2" t="s">
        <v>7953</v>
      </c>
      <c r="BY804" t="s">
        <v>7949</v>
      </c>
      <c r="CA804" t="s">
        <v>5615</v>
      </c>
      <c r="CB804" t="s">
        <v>386</v>
      </c>
      <c r="CC804" s="8" t="str">
        <f>"37203"</f>
        <v>37203</v>
      </c>
      <c r="CD804" t="s">
        <v>4507</v>
      </c>
      <c r="CE804" t="s">
        <v>3752</v>
      </c>
      <c r="CF804" s="12">
        <v>20</v>
      </c>
      <c r="CH804" s="12">
        <v>30</v>
      </c>
      <c r="CJ804" t="s">
        <v>135</v>
      </c>
      <c r="CK804" t="s">
        <v>4575</v>
      </c>
      <c r="CL804" t="s">
        <v>7954</v>
      </c>
      <c r="CO804" t="s">
        <v>132</v>
      </c>
      <c r="CP804" t="s">
        <v>114</v>
      </c>
      <c r="CQ804" t="s">
        <v>114</v>
      </c>
      <c r="CR804" t="s">
        <v>136</v>
      </c>
      <c r="CS804" t="s">
        <v>136</v>
      </c>
      <c r="CT804" t="s">
        <v>136</v>
      </c>
      <c r="CU804" t="s">
        <v>136</v>
      </c>
      <c r="CV804" s="2" t="s">
        <v>7955</v>
      </c>
      <c r="CW804" s="10" t="str">
        <f>"+16157825300"</f>
        <v>+16157825300</v>
      </c>
      <c r="CX804" t="s">
        <v>132</v>
      </c>
      <c r="CY804" t="s">
        <v>2019</v>
      </c>
      <c r="CZ804" t="s">
        <v>137</v>
      </c>
      <c r="DA804" t="s">
        <v>114</v>
      </c>
      <c r="DB804" t="s">
        <v>114</v>
      </c>
      <c r="DC804" t="s">
        <v>136</v>
      </c>
      <c r="DD804" t="s">
        <v>114</v>
      </c>
    </row>
    <row r="805" spans="1:113" ht="15" customHeight="1" x14ac:dyDescent="0.25">
      <c r="A805" t="s">
        <v>22044</v>
      </c>
      <c r="B805" t="s">
        <v>152</v>
      </c>
      <c r="C805" s="1">
        <v>45202.587975115741</v>
      </c>
      <c r="D805" s="1">
        <v>45251</v>
      </c>
      <c r="E805" t="s">
        <v>132</v>
      </c>
      <c r="F805" t="s">
        <v>10884</v>
      </c>
      <c r="G805" t="str">
        <f>"35-9011.00"</f>
        <v>35-9011.00</v>
      </c>
      <c r="H805" t="s">
        <v>1512</v>
      </c>
      <c r="I805">
        <v>3</v>
      </c>
      <c r="J805">
        <v>3</v>
      </c>
      <c r="K805" s="1">
        <v>45292</v>
      </c>
      <c r="L805" s="1">
        <v>45566</v>
      </c>
      <c r="M805" s="1">
        <v>45292</v>
      </c>
      <c r="N805" s="1">
        <v>45566</v>
      </c>
      <c r="O805" t="s">
        <v>116</v>
      </c>
      <c r="P805" t="s">
        <v>7948</v>
      </c>
      <c r="R805" t="s">
        <v>7949</v>
      </c>
      <c r="T805" t="s">
        <v>5615</v>
      </c>
      <c r="U805" t="s">
        <v>386</v>
      </c>
      <c r="V805" s="8" t="str">
        <f>"37203"</f>
        <v>37203</v>
      </c>
      <c r="W805" t="s">
        <v>118</v>
      </c>
      <c r="Y805" s="10">
        <v>16157825300</v>
      </c>
      <c r="AA805">
        <v>72111</v>
      </c>
      <c r="AB805" t="s">
        <v>7950</v>
      </c>
      <c r="AC805" t="s">
        <v>7951</v>
      </c>
      <c r="AE805" t="s">
        <v>22045</v>
      </c>
      <c r="AF805" t="s">
        <v>7949</v>
      </c>
      <c r="AH805" t="s">
        <v>5615</v>
      </c>
      <c r="AI805" t="s">
        <v>386</v>
      </c>
      <c r="AJ805" s="8" t="str">
        <f>"37203"</f>
        <v>37203</v>
      </c>
      <c r="AK805" t="s">
        <v>118</v>
      </c>
      <c r="AM805" s="10">
        <v>16157825300</v>
      </c>
      <c r="AO805" t="s">
        <v>7952</v>
      </c>
      <c r="AP805" t="s">
        <v>248</v>
      </c>
      <c r="AQ805" t="s">
        <v>960</v>
      </c>
      <c r="AR805" t="s">
        <v>961</v>
      </c>
      <c r="AS805" t="s">
        <v>962</v>
      </c>
      <c r="AT805" t="s">
        <v>963</v>
      </c>
      <c r="AU805" t="s">
        <v>296</v>
      </c>
      <c r="AV805" t="s">
        <v>964</v>
      </c>
      <c r="AW805" t="s">
        <v>127</v>
      </c>
      <c r="AX805" s="8" t="str">
        <f>"75033"</f>
        <v>75033</v>
      </c>
      <c r="AY805" t="s">
        <v>118</v>
      </c>
      <c r="BA805" s="10">
        <v>19727789690</v>
      </c>
      <c r="BC805" t="s">
        <v>7354</v>
      </c>
      <c r="BD805" t="s">
        <v>966</v>
      </c>
      <c r="BG805" t="s">
        <v>386</v>
      </c>
      <c r="BH805" s="1">
        <v>45201.833333333336</v>
      </c>
      <c r="BI805">
        <v>40</v>
      </c>
      <c r="BJ805">
        <v>8</v>
      </c>
      <c r="BK805">
        <v>0</v>
      </c>
      <c r="BL805">
        <v>0</v>
      </c>
      <c r="BM805">
        <v>8</v>
      </c>
      <c r="BN805">
        <v>8</v>
      </c>
      <c r="BO805">
        <v>8</v>
      </c>
      <c r="BP805">
        <v>8</v>
      </c>
      <c r="BQ805" t="str">
        <f>"7:00 AM"</f>
        <v>7:00 AM</v>
      </c>
      <c r="BR805" t="str">
        <f>"4:00 PM"</f>
        <v>4:00 PM</v>
      </c>
      <c r="BS805" t="s">
        <v>131</v>
      </c>
      <c r="BT805">
        <v>0</v>
      </c>
      <c r="BU805">
        <v>0</v>
      </c>
      <c r="BV805" t="s">
        <v>114</v>
      </c>
      <c r="BX805" s="2" t="s">
        <v>22046</v>
      </c>
      <c r="BY805" t="s">
        <v>7949</v>
      </c>
      <c r="CA805" t="s">
        <v>5615</v>
      </c>
      <c r="CB805" t="s">
        <v>386</v>
      </c>
      <c r="CC805" s="8" t="str">
        <f>"37203"</f>
        <v>37203</v>
      </c>
      <c r="CD805" t="s">
        <v>4507</v>
      </c>
      <c r="CE805" t="s">
        <v>3752</v>
      </c>
      <c r="CF805" s="12">
        <v>15</v>
      </c>
      <c r="CH805" s="12">
        <v>22.5</v>
      </c>
      <c r="CJ805" t="s">
        <v>135</v>
      </c>
      <c r="CK805" t="s">
        <v>4575</v>
      </c>
      <c r="CL805" t="s">
        <v>22047</v>
      </c>
      <c r="CO805" t="s">
        <v>132</v>
      </c>
      <c r="CP805" t="s">
        <v>114</v>
      </c>
      <c r="CQ805" t="s">
        <v>114</v>
      </c>
      <c r="CR805" t="s">
        <v>136</v>
      </c>
      <c r="CS805" t="s">
        <v>136</v>
      </c>
      <c r="CT805" t="s">
        <v>136</v>
      </c>
      <c r="CU805" t="s">
        <v>136</v>
      </c>
      <c r="CV805" s="2" t="s">
        <v>22048</v>
      </c>
      <c r="CW805" s="10" t="str">
        <f>"+16157825300"</f>
        <v>+16157825300</v>
      </c>
      <c r="CX805" t="s">
        <v>132</v>
      </c>
      <c r="CY805" t="s">
        <v>2019</v>
      </c>
      <c r="CZ805" t="s">
        <v>137</v>
      </c>
      <c r="DA805" t="s">
        <v>114</v>
      </c>
      <c r="DB805" t="s">
        <v>114</v>
      </c>
      <c r="DC805" t="s">
        <v>136</v>
      </c>
      <c r="DD805" t="s">
        <v>114</v>
      </c>
    </row>
    <row r="806" spans="1:113" ht="15" customHeight="1" x14ac:dyDescent="0.25">
      <c r="A806" t="s">
        <v>7570</v>
      </c>
      <c r="B806" t="s">
        <v>152</v>
      </c>
      <c r="C806" s="1">
        <v>45202.503042708333</v>
      </c>
      <c r="D806" s="1">
        <v>45251</v>
      </c>
      <c r="E806" t="s">
        <v>132</v>
      </c>
      <c r="F806" t="s">
        <v>7571</v>
      </c>
      <c r="G806" t="str">
        <f>"53-7062.00"</f>
        <v>53-7062.00</v>
      </c>
      <c r="H806" t="s">
        <v>2078</v>
      </c>
      <c r="I806">
        <v>50</v>
      </c>
      <c r="J806">
        <v>50</v>
      </c>
      <c r="K806" s="1">
        <v>45292</v>
      </c>
      <c r="L806" s="1">
        <v>45596</v>
      </c>
      <c r="M806" s="1">
        <v>45292</v>
      </c>
      <c r="N806" s="1">
        <v>45596</v>
      </c>
      <c r="O806" t="s">
        <v>116</v>
      </c>
      <c r="P806" t="s">
        <v>7572</v>
      </c>
      <c r="R806" t="s">
        <v>7573</v>
      </c>
      <c r="S806" t="s">
        <v>7574</v>
      </c>
      <c r="T806" t="s">
        <v>7575</v>
      </c>
      <c r="U806" t="s">
        <v>140</v>
      </c>
      <c r="V806" s="8" t="str">
        <f>"33149"</f>
        <v>33149</v>
      </c>
      <c r="W806" t="s">
        <v>118</v>
      </c>
      <c r="Y806" s="10">
        <v>16894007274</v>
      </c>
      <c r="AA806">
        <v>532289</v>
      </c>
      <c r="AB806" t="s">
        <v>7576</v>
      </c>
      <c r="AC806" t="s">
        <v>7577</v>
      </c>
      <c r="AE806" t="s">
        <v>794</v>
      </c>
      <c r="AF806" t="s">
        <v>7573</v>
      </c>
      <c r="AG806" t="s">
        <v>7574</v>
      </c>
      <c r="AH806" t="s">
        <v>7575</v>
      </c>
      <c r="AI806" t="s">
        <v>140</v>
      </c>
      <c r="AJ806" s="8" t="str">
        <f>"33149"</f>
        <v>33149</v>
      </c>
      <c r="AK806" t="s">
        <v>118</v>
      </c>
      <c r="AM806" s="10">
        <v>16894078017</v>
      </c>
      <c r="AO806" t="s">
        <v>7578</v>
      </c>
      <c r="AP806" t="s">
        <v>248</v>
      </c>
      <c r="AQ806" t="s">
        <v>1601</v>
      </c>
      <c r="AR806" t="s">
        <v>1602</v>
      </c>
      <c r="AT806" t="s">
        <v>851</v>
      </c>
      <c r="AU806" t="s">
        <v>852</v>
      </c>
      <c r="AV806" t="s">
        <v>853</v>
      </c>
      <c r="AW806" t="s">
        <v>854</v>
      </c>
      <c r="AX806" s="8" t="str">
        <f>"83814"</f>
        <v>83814</v>
      </c>
      <c r="AY806" t="s">
        <v>118</v>
      </c>
      <c r="BA806" s="10">
        <v>12087772654</v>
      </c>
      <c r="BC806" t="s">
        <v>1603</v>
      </c>
      <c r="BD806" t="s">
        <v>856</v>
      </c>
      <c r="BG806" t="s">
        <v>140</v>
      </c>
      <c r="BH806" s="1">
        <v>45181.833333333336</v>
      </c>
      <c r="BI806">
        <v>40</v>
      </c>
      <c r="BJ806">
        <v>0</v>
      </c>
      <c r="BK806">
        <v>8</v>
      </c>
      <c r="BL806">
        <v>8</v>
      </c>
      <c r="BM806">
        <v>8</v>
      </c>
      <c r="BN806">
        <v>8</v>
      </c>
      <c r="BO806">
        <v>8</v>
      </c>
      <c r="BP806">
        <v>0</v>
      </c>
      <c r="BQ806" t="str">
        <f>"7:00 AM"</f>
        <v>7:00 AM</v>
      </c>
      <c r="BR806" t="str">
        <f>"4:00 PM"</f>
        <v>4:00 PM</v>
      </c>
      <c r="BS806" t="s">
        <v>131</v>
      </c>
      <c r="BT806">
        <v>0</v>
      </c>
      <c r="BU806">
        <v>2</v>
      </c>
      <c r="BV806" t="s">
        <v>114</v>
      </c>
      <c r="BX806" t="s">
        <v>7579</v>
      </c>
      <c r="BY806" t="s">
        <v>7580</v>
      </c>
      <c r="BZ806" t="s">
        <v>7581</v>
      </c>
      <c r="CA806" t="s">
        <v>7575</v>
      </c>
      <c r="CB806" t="s">
        <v>140</v>
      </c>
      <c r="CC806" s="8" t="str">
        <f>"33149"</f>
        <v>33149</v>
      </c>
      <c r="CD806" t="s">
        <v>148</v>
      </c>
      <c r="CE806" t="s">
        <v>149</v>
      </c>
      <c r="CF806" s="12">
        <v>16.809999999999999</v>
      </c>
      <c r="CG806" s="12">
        <v>25</v>
      </c>
      <c r="CH806" s="12">
        <v>25.22</v>
      </c>
      <c r="CI806" s="12">
        <v>37.5</v>
      </c>
      <c r="CJ806" t="s">
        <v>135</v>
      </c>
      <c r="CK806" t="s">
        <v>1899</v>
      </c>
      <c r="CL806" t="s">
        <v>7582</v>
      </c>
      <c r="CO806" t="s">
        <v>132</v>
      </c>
      <c r="CP806" t="s">
        <v>136</v>
      </c>
      <c r="CQ806" t="s">
        <v>136</v>
      </c>
      <c r="CR806" t="s">
        <v>136</v>
      </c>
      <c r="CS806" t="s">
        <v>114</v>
      </c>
      <c r="CT806" t="s">
        <v>136</v>
      </c>
      <c r="CU806" t="s">
        <v>114</v>
      </c>
      <c r="CV806" t="s">
        <v>1040</v>
      </c>
      <c r="CW806" s="10" t="str">
        <f>"+16894078017"</f>
        <v>+16894078017</v>
      </c>
      <c r="CX806" t="s">
        <v>7578</v>
      </c>
      <c r="CY806" t="s">
        <v>132</v>
      </c>
      <c r="CZ806" t="s">
        <v>137</v>
      </c>
      <c r="DA806" t="s">
        <v>114</v>
      </c>
      <c r="DB806" t="s">
        <v>114</v>
      </c>
      <c r="DC806" t="s">
        <v>136</v>
      </c>
      <c r="DD806" t="s">
        <v>114</v>
      </c>
    </row>
    <row r="807" spans="1:113" ht="15" customHeight="1" x14ac:dyDescent="0.25">
      <c r="A807" t="s">
        <v>17827</v>
      </c>
      <c r="B807" t="s">
        <v>152</v>
      </c>
      <c r="C807" s="1">
        <v>45201.738892361114</v>
      </c>
      <c r="D807" s="1">
        <v>45251</v>
      </c>
      <c r="E807" t="s">
        <v>132</v>
      </c>
      <c r="F807" t="s">
        <v>17828</v>
      </c>
      <c r="G807" t="str">
        <f>"51-3022.00"</f>
        <v>51-3022.00</v>
      </c>
      <c r="H807" t="s">
        <v>1004</v>
      </c>
      <c r="I807">
        <v>120</v>
      </c>
      <c r="J807">
        <v>120</v>
      </c>
      <c r="K807" s="1">
        <v>45276</v>
      </c>
      <c r="L807" s="1">
        <v>45473</v>
      </c>
      <c r="M807" s="1">
        <v>45276</v>
      </c>
      <c r="N807" s="1">
        <v>45473</v>
      </c>
      <c r="O807" t="s">
        <v>238</v>
      </c>
      <c r="P807" t="s">
        <v>17829</v>
      </c>
      <c r="Q807" t="s">
        <v>132</v>
      </c>
      <c r="R807" t="s">
        <v>17830</v>
      </c>
      <c r="T807" t="s">
        <v>17831</v>
      </c>
      <c r="U807" t="s">
        <v>333</v>
      </c>
      <c r="V807" s="8" t="str">
        <f>"71327"</f>
        <v>71327</v>
      </c>
      <c r="W807" t="s">
        <v>118</v>
      </c>
      <c r="Y807" s="10">
        <v>13184524522</v>
      </c>
      <c r="AA807">
        <v>311710</v>
      </c>
      <c r="AB807" t="s">
        <v>17832</v>
      </c>
      <c r="AC807" t="s">
        <v>250</v>
      </c>
      <c r="AE807" t="s">
        <v>1386</v>
      </c>
      <c r="AF807" t="s">
        <v>17833</v>
      </c>
      <c r="AH807" t="s">
        <v>17831</v>
      </c>
      <c r="AI807" t="s">
        <v>333</v>
      </c>
      <c r="AJ807" s="8" t="str">
        <f>"71327"</f>
        <v>71327</v>
      </c>
      <c r="AK807" t="s">
        <v>118</v>
      </c>
      <c r="AM807" s="10">
        <v>13184524522</v>
      </c>
      <c r="AO807" t="s">
        <v>17834</v>
      </c>
      <c r="AP807" t="s">
        <v>121</v>
      </c>
      <c r="AQ807" t="s">
        <v>7419</v>
      </c>
      <c r="AR807" t="s">
        <v>990</v>
      </c>
      <c r="AS807" t="s">
        <v>7420</v>
      </c>
      <c r="AT807" t="s">
        <v>7421</v>
      </c>
      <c r="AU807" t="s">
        <v>7422</v>
      </c>
      <c r="AV807" t="s">
        <v>3501</v>
      </c>
      <c r="AW807" t="s">
        <v>127</v>
      </c>
      <c r="AX807" s="8" t="str">
        <f>"75082"</f>
        <v>75082</v>
      </c>
      <c r="AY807" t="s">
        <v>118</v>
      </c>
      <c r="BA807" s="10">
        <v>14699407805</v>
      </c>
      <c r="BC807" t="s">
        <v>7423</v>
      </c>
      <c r="BD807" t="s">
        <v>7424</v>
      </c>
      <c r="BE807" t="s">
        <v>333</v>
      </c>
      <c r="BF807" t="s">
        <v>2190</v>
      </c>
      <c r="BG807" t="s">
        <v>333</v>
      </c>
      <c r="BH807" s="1">
        <v>45200.833333333336</v>
      </c>
      <c r="BI807">
        <v>40</v>
      </c>
      <c r="BJ807">
        <v>0</v>
      </c>
      <c r="BK807">
        <v>8</v>
      </c>
      <c r="BL807">
        <v>8</v>
      </c>
      <c r="BM807">
        <v>8</v>
      </c>
      <c r="BN807">
        <v>8</v>
      </c>
      <c r="BO807">
        <v>8</v>
      </c>
      <c r="BP807">
        <v>0</v>
      </c>
      <c r="BQ807" t="str">
        <f>"7:00 AM"</f>
        <v>7:00 AM</v>
      </c>
      <c r="BR807" t="str">
        <f>"4:00 PM"</f>
        <v>4:00 PM</v>
      </c>
      <c r="BS807" t="s">
        <v>131</v>
      </c>
      <c r="BT807">
        <v>0</v>
      </c>
      <c r="BU807">
        <v>1</v>
      </c>
      <c r="BV807" t="s">
        <v>114</v>
      </c>
      <c r="BX807" s="2" t="s">
        <v>17835</v>
      </c>
      <c r="BY807" t="s">
        <v>17830</v>
      </c>
      <c r="CA807" t="s">
        <v>17836</v>
      </c>
      <c r="CB807" t="s">
        <v>333</v>
      </c>
      <c r="CC807" s="8" t="str">
        <f>"71327"</f>
        <v>71327</v>
      </c>
      <c r="CD807" t="s">
        <v>17837</v>
      </c>
      <c r="CE807" t="s">
        <v>4268</v>
      </c>
      <c r="CF807" s="12">
        <v>13.24</v>
      </c>
      <c r="CG807" s="12">
        <v>13.24</v>
      </c>
      <c r="CH807" s="12">
        <v>19.86</v>
      </c>
      <c r="CI807" s="12">
        <v>19.86</v>
      </c>
      <c r="CJ807" t="s">
        <v>135</v>
      </c>
      <c r="CK807" t="s">
        <v>17838</v>
      </c>
      <c r="CL807" t="s">
        <v>17839</v>
      </c>
      <c r="CO807" t="s">
        <v>132</v>
      </c>
      <c r="CP807" t="s">
        <v>114</v>
      </c>
      <c r="CQ807" t="s">
        <v>136</v>
      </c>
      <c r="CR807" t="s">
        <v>136</v>
      </c>
      <c r="CS807" t="s">
        <v>114</v>
      </c>
      <c r="CT807" t="s">
        <v>136</v>
      </c>
      <c r="CU807" t="s">
        <v>136</v>
      </c>
      <c r="CV807" s="2" t="s">
        <v>17840</v>
      </c>
      <c r="CW807" s="10" t="str">
        <f>"+13188763885"</f>
        <v>+13188763885</v>
      </c>
      <c r="CX807" t="s">
        <v>17834</v>
      </c>
      <c r="CY807" t="s">
        <v>132</v>
      </c>
      <c r="CZ807" t="s">
        <v>137</v>
      </c>
      <c r="DA807" t="s">
        <v>114</v>
      </c>
      <c r="DB807" t="s">
        <v>114</v>
      </c>
      <c r="DC807" t="s">
        <v>136</v>
      </c>
      <c r="DD807" t="s">
        <v>114</v>
      </c>
      <c r="DE807" t="s">
        <v>4811</v>
      </c>
      <c r="DF807" t="s">
        <v>5903</v>
      </c>
      <c r="DG807" t="s">
        <v>631</v>
      </c>
      <c r="DH807" t="s">
        <v>7424</v>
      </c>
      <c r="DI807" t="s">
        <v>13485</v>
      </c>
    </row>
    <row r="808" spans="1:113" ht="15" customHeight="1" x14ac:dyDescent="0.25">
      <c r="A808" t="s">
        <v>12674</v>
      </c>
      <c r="B808" t="s">
        <v>152</v>
      </c>
      <c r="C808" s="1">
        <v>45201.007606712963</v>
      </c>
      <c r="D808" s="1">
        <v>45251</v>
      </c>
      <c r="E808" t="s">
        <v>132</v>
      </c>
      <c r="F808" t="s">
        <v>1595</v>
      </c>
      <c r="G808" t="str">
        <f>"37-3011.00"</f>
        <v>37-3011.00</v>
      </c>
      <c r="H808" t="s">
        <v>429</v>
      </c>
      <c r="I808">
        <v>65</v>
      </c>
      <c r="J808">
        <v>65</v>
      </c>
      <c r="K808" s="1">
        <v>45291</v>
      </c>
      <c r="L808" s="1">
        <v>45595</v>
      </c>
      <c r="M808" s="1">
        <v>45291</v>
      </c>
      <c r="N808" s="1">
        <v>45595</v>
      </c>
      <c r="O808" t="s">
        <v>116</v>
      </c>
      <c r="P808" t="s">
        <v>12675</v>
      </c>
      <c r="Q808" t="s">
        <v>12676</v>
      </c>
      <c r="R808" t="s">
        <v>12677</v>
      </c>
      <c r="T808" t="s">
        <v>1264</v>
      </c>
      <c r="U808" t="s">
        <v>127</v>
      </c>
      <c r="V808" s="8" t="str">
        <f>"75220"</f>
        <v>75220</v>
      </c>
      <c r="W808" t="s">
        <v>118</v>
      </c>
      <c r="Y808" s="10">
        <v>12143585296</v>
      </c>
      <c r="AA808">
        <v>56173</v>
      </c>
      <c r="AB808" t="s">
        <v>12678</v>
      </c>
      <c r="AC808" t="s">
        <v>12679</v>
      </c>
      <c r="AE808" t="s">
        <v>12680</v>
      </c>
      <c r="AF808" t="s">
        <v>12677</v>
      </c>
      <c r="AH808" t="s">
        <v>1264</v>
      </c>
      <c r="AI808" t="s">
        <v>127</v>
      </c>
      <c r="AJ808" s="8" t="str">
        <f>"75220"</f>
        <v>75220</v>
      </c>
      <c r="AK808" t="s">
        <v>118</v>
      </c>
      <c r="AM808" s="10">
        <v>12143585296</v>
      </c>
      <c r="AO808" t="s">
        <v>12681</v>
      </c>
      <c r="AP808" t="s">
        <v>248</v>
      </c>
      <c r="AQ808" t="s">
        <v>960</v>
      </c>
      <c r="AR808" t="s">
        <v>961</v>
      </c>
      <c r="AS808" t="s">
        <v>962</v>
      </c>
      <c r="AT808" t="s">
        <v>963</v>
      </c>
      <c r="AU808" t="s">
        <v>296</v>
      </c>
      <c r="AV808" t="s">
        <v>964</v>
      </c>
      <c r="AW808" t="s">
        <v>127</v>
      </c>
      <c r="AX808" s="8" t="str">
        <f>"75033"</f>
        <v>75033</v>
      </c>
      <c r="AY808" t="s">
        <v>118</v>
      </c>
      <c r="BA808" s="10">
        <v>19727789690</v>
      </c>
      <c r="BC808" t="s">
        <v>12682</v>
      </c>
      <c r="BD808" t="s">
        <v>966</v>
      </c>
      <c r="BG808" t="s">
        <v>127</v>
      </c>
      <c r="BH808" s="1">
        <v>45200.833333333336</v>
      </c>
      <c r="BI808">
        <v>40</v>
      </c>
      <c r="BJ808">
        <v>0</v>
      </c>
      <c r="BK808">
        <v>8</v>
      </c>
      <c r="BL808">
        <v>8</v>
      </c>
      <c r="BM808">
        <v>8</v>
      </c>
      <c r="BN808">
        <v>8</v>
      </c>
      <c r="BO808">
        <v>8</v>
      </c>
      <c r="BP808">
        <v>0</v>
      </c>
      <c r="BQ808" t="str">
        <f>"6:45 AM"</f>
        <v>6:45 AM</v>
      </c>
      <c r="BR808" t="str">
        <f>"3:45 PM"</f>
        <v>3:45 PM</v>
      </c>
      <c r="BS808" t="s">
        <v>131</v>
      </c>
      <c r="BT808">
        <v>0</v>
      </c>
      <c r="BU808">
        <v>0</v>
      </c>
      <c r="BV808" t="s">
        <v>114</v>
      </c>
      <c r="BX808" s="2" t="s">
        <v>12683</v>
      </c>
      <c r="BY808" t="s">
        <v>12677</v>
      </c>
      <c r="CA808" t="s">
        <v>1264</v>
      </c>
      <c r="CB808" t="s">
        <v>127</v>
      </c>
      <c r="CC808" s="8" t="str">
        <f>"75220"</f>
        <v>75220</v>
      </c>
      <c r="CD808" t="s">
        <v>2301</v>
      </c>
      <c r="CE808" t="s">
        <v>263</v>
      </c>
      <c r="CF808" s="12">
        <v>16.86</v>
      </c>
      <c r="CH808" s="12">
        <v>25.29</v>
      </c>
      <c r="CJ808" t="s">
        <v>135</v>
      </c>
      <c r="CK808" t="s">
        <v>12684</v>
      </c>
      <c r="CL808" t="s">
        <v>12685</v>
      </c>
      <c r="CO808" t="s">
        <v>132</v>
      </c>
      <c r="CP808" t="s">
        <v>136</v>
      </c>
      <c r="CQ808" t="s">
        <v>136</v>
      </c>
      <c r="CR808" t="s">
        <v>136</v>
      </c>
      <c r="CS808" t="s">
        <v>136</v>
      </c>
      <c r="CT808" t="s">
        <v>136</v>
      </c>
      <c r="CU808" t="s">
        <v>136</v>
      </c>
      <c r="CV808" t="s">
        <v>12686</v>
      </c>
      <c r="CW808" s="10" t="str">
        <f>"+12143585296"</f>
        <v>+12143585296</v>
      </c>
      <c r="CX808" t="s">
        <v>132</v>
      </c>
      <c r="CY808" t="s">
        <v>1853</v>
      </c>
      <c r="CZ808" t="s">
        <v>137</v>
      </c>
      <c r="DA808" t="s">
        <v>114</v>
      </c>
      <c r="DB808" t="s">
        <v>136</v>
      </c>
      <c r="DC808" t="s">
        <v>136</v>
      </c>
      <c r="DD808" t="s">
        <v>114</v>
      </c>
    </row>
    <row r="809" spans="1:113" ht="15" customHeight="1" x14ac:dyDescent="0.25">
      <c r="A809" t="s">
        <v>19884</v>
      </c>
      <c r="B809" t="s">
        <v>152</v>
      </c>
      <c r="C809" s="1">
        <v>45163.848055787035</v>
      </c>
      <c r="D809" s="1">
        <v>45251</v>
      </c>
      <c r="E809" t="s">
        <v>136</v>
      </c>
      <c r="F809" t="s">
        <v>19885</v>
      </c>
      <c r="G809" t="str">
        <f>"43-4081.00"</f>
        <v>43-4081.00</v>
      </c>
      <c r="H809" t="s">
        <v>952</v>
      </c>
      <c r="I809">
        <v>34</v>
      </c>
      <c r="J809">
        <v>34</v>
      </c>
      <c r="K809" s="1">
        <v>45239</v>
      </c>
      <c r="L809" s="1">
        <v>45401</v>
      </c>
      <c r="M809" s="1">
        <v>45239</v>
      </c>
      <c r="N809" s="1">
        <v>45401</v>
      </c>
      <c r="O809" t="s">
        <v>116</v>
      </c>
      <c r="P809" t="s">
        <v>19460</v>
      </c>
      <c r="Q809" t="s">
        <v>19886</v>
      </c>
      <c r="R809" t="s">
        <v>19465</v>
      </c>
      <c r="S809" t="s">
        <v>5960</v>
      </c>
      <c r="T809" t="s">
        <v>19463</v>
      </c>
      <c r="U809" t="s">
        <v>188</v>
      </c>
      <c r="V809" s="8" t="str">
        <f>"80487"</f>
        <v>80487</v>
      </c>
      <c r="W809" t="s">
        <v>118</v>
      </c>
      <c r="Y809" s="10">
        <v>19708752854</v>
      </c>
      <c r="AA809">
        <v>53131</v>
      </c>
      <c r="AB809" t="s">
        <v>17732</v>
      </c>
      <c r="AC809" t="s">
        <v>19887</v>
      </c>
      <c r="AD809" t="s">
        <v>19888</v>
      </c>
      <c r="AE809" t="s">
        <v>19889</v>
      </c>
      <c r="AF809" t="s">
        <v>19890</v>
      </c>
      <c r="AG809" t="s">
        <v>7460</v>
      </c>
      <c r="AH809" t="s">
        <v>19463</v>
      </c>
      <c r="AI809" t="s">
        <v>188</v>
      </c>
      <c r="AJ809" s="8" t="str">
        <f>"80487"</f>
        <v>80487</v>
      </c>
      <c r="AK809" t="s">
        <v>118</v>
      </c>
      <c r="AM809" s="10">
        <v>19708752854</v>
      </c>
      <c r="AO809" t="s">
        <v>19466</v>
      </c>
      <c r="AX809" s="8" t="str">
        <f>""</f>
        <v/>
      </c>
      <c r="BG809" t="s">
        <v>188</v>
      </c>
      <c r="BH809" s="1">
        <v>45162.833333333336</v>
      </c>
      <c r="BI809">
        <v>36</v>
      </c>
      <c r="BJ809">
        <v>7</v>
      </c>
      <c r="BK809">
        <v>7</v>
      </c>
      <c r="BL809">
        <v>0</v>
      </c>
      <c r="BM809">
        <v>0</v>
      </c>
      <c r="BN809">
        <v>6</v>
      </c>
      <c r="BO809">
        <v>8</v>
      </c>
      <c r="BP809">
        <v>8</v>
      </c>
      <c r="BQ809" t="str">
        <f>"7:00 AM"</f>
        <v>7:00 AM</v>
      </c>
      <c r="BR809" t="str">
        <f>"1:00 PM"</f>
        <v>1:00 PM</v>
      </c>
      <c r="BS809" t="s">
        <v>131</v>
      </c>
      <c r="BT809">
        <v>0</v>
      </c>
      <c r="BU809">
        <v>0</v>
      </c>
      <c r="BV809" t="s">
        <v>114</v>
      </c>
      <c r="BX809" s="2" t="s">
        <v>19891</v>
      </c>
      <c r="BY809" t="s">
        <v>19465</v>
      </c>
      <c r="BZ809" t="s">
        <v>5960</v>
      </c>
      <c r="CA809" t="s">
        <v>19892</v>
      </c>
      <c r="CB809" t="s">
        <v>188</v>
      </c>
      <c r="CC809" s="8" t="str">
        <f>"80487"</f>
        <v>80487</v>
      </c>
      <c r="CD809" t="s">
        <v>11908</v>
      </c>
      <c r="CE809" t="s">
        <v>1038</v>
      </c>
      <c r="CF809" s="12">
        <v>18</v>
      </c>
      <c r="CG809" s="12">
        <v>18</v>
      </c>
      <c r="CH809" s="12">
        <v>27</v>
      </c>
      <c r="CI809" s="12">
        <v>27</v>
      </c>
      <c r="CJ809" t="s">
        <v>135</v>
      </c>
      <c r="CL809" t="s">
        <v>19893</v>
      </c>
      <c r="CO809" t="s">
        <v>132</v>
      </c>
      <c r="CP809" t="s">
        <v>114</v>
      </c>
      <c r="CQ809" t="s">
        <v>114</v>
      </c>
      <c r="CR809" t="s">
        <v>136</v>
      </c>
      <c r="CS809" t="s">
        <v>136</v>
      </c>
      <c r="CT809" t="s">
        <v>136</v>
      </c>
      <c r="CU809" t="s">
        <v>136</v>
      </c>
      <c r="CV809" t="s">
        <v>19894</v>
      </c>
      <c r="CW809" s="10" t="str">
        <f>"+19708793075"</f>
        <v>+19708793075</v>
      </c>
      <c r="CX809" t="s">
        <v>19895</v>
      </c>
      <c r="CY809" t="s">
        <v>19896</v>
      </c>
      <c r="CZ809" t="s">
        <v>137</v>
      </c>
      <c r="DA809" t="s">
        <v>114</v>
      </c>
      <c r="DB809" t="s">
        <v>114</v>
      </c>
      <c r="DC809" t="s">
        <v>136</v>
      </c>
      <c r="DD809" t="s">
        <v>114</v>
      </c>
    </row>
    <row r="810" spans="1:113" ht="15" customHeight="1" x14ac:dyDescent="0.25">
      <c r="A810" t="s">
        <v>24151</v>
      </c>
      <c r="B810" t="s">
        <v>152</v>
      </c>
      <c r="C810" s="1">
        <v>45162.85744861111</v>
      </c>
      <c r="D810" s="1">
        <v>45251</v>
      </c>
      <c r="E810" t="s">
        <v>136</v>
      </c>
      <c r="F810" t="s">
        <v>24152</v>
      </c>
      <c r="G810" t="str">
        <f>"37-2011.00"</f>
        <v>37-2011.00</v>
      </c>
      <c r="H810" t="s">
        <v>1089</v>
      </c>
      <c r="I810">
        <v>45</v>
      </c>
      <c r="J810">
        <v>45</v>
      </c>
      <c r="K810" s="1">
        <v>45237</v>
      </c>
      <c r="L810" s="1">
        <v>45401</v>
      </c>
      <c r="M810" s="1">
        <v>45237</v>
      </c>
      <c r="N810" s="1">
        <v>45401</v>
      </c>
      <c r="O810" t="s">
        <v>116</v>
      </c>
      <c r="P810" t="s">
        <v>19460</v>
      </c>
      <c r="Q810" t="s">
        <v>24153</v>
      </c>
      <c r="R810" t="s">
        <v>19462</v>
      </c>
      <c r="S810" t="s">
        <v>7460</v>
      </c>
      <c r="T810" t="s">
        <v>19463</v>
      </c>
      <c r="U810" t="s">
        <v>188</v>
      </c>
      <c r="V810" s="8" t="str">
        <f>"80487"</f>
        <v>80487</v>
      </c>
      <c r="W810" t="s">
        <v>118</v>
      </c>
      <c r="Y810" s="10">
        <v>19708752854</v>
      </c>
      <c r="AA810">
        <v>53131</v>
      </c>
      <c r="AB810" t="s">
        <v>17732</v>
      </c>
      <c r="AC810" t="s">
        <v>19887</v>
      </c>
      <c r="AD810" t="s">
        <v>19888</v>
      </c>
      <c r="AE810" t="s">
        <v>19889</v>
      </c>
      <c r="AF810" t="s">
        <v>19462</v>
      </c>
      <c r="AG810" t="s">
        <v>7460</v>
      </c>
      <c r="AH810" t="s">
        <v>19463</v>
      </c>
      <c r="AI810" t="s">
        <v>188</v>
      </c>
      <c r="AJ810" s="8" t="str">
        <f>"80487"</f>
        <v>80487</v>
      </c>
      <c r="AK810" t="s">
        <v>118</v>
      </c>
      <c r="AM810" s="10">
        <v>19708752854</v>
      </c>
      <c r="AO810" t="s">
        <v>19466</v>
      </c>
      <c r="AX810" s="8" t="str">
        <f>""</f>
        <v/>
      </c>
      <c r="BG810" t="s">
        <v>188</v>
      </c>
      <c r="BH810" s="1">
        <v>45161.833333333336</v>
      </c>
      <c r="BI810">
        <v>36</v>
      </c>
      <c r="BJ810">
        <v>8</v>
      </c>
      <c r="BK810">
        <v>6</v>
      </c>
      <c r="BL810">
        <v>0</v>
      </c>
      <c r="BM810">
        <v>4</v>
      </c>
      <c r="BN810">
        <v>6</v>
      </c>
      <c r="BO810">
        <v>6</v>
      </c>
      <c r="BP810">
        <v>6</v>
      </c>
      <c r="BQ810" t="str">
        <f>"8:00 PM"</f>
        <v>8:00 PM</v>
      </c>
      <c r="BR810" t="str">
        <f>"4:00 PM"</f>
        <v>4:00 PM</v>
      </c>
      <c r="BS810" t="s">
        <v>131</v>
      </c>
      <c r="BT810">
        <v>0</v>
      </c>
      <c r="BU810">
        <v>0</v>
      </c>
      <c r="BV810" t="s">
        <v>114</v>
      </c>
      <c r="BX810" s="2" t="s">
        <v>24154</v>
      </c>
      <c r="BY810" t="s">
        <v>19462</v>
      </c>
      <c r="BZ810" t="s">
        <v>7460</v>
      </c>
      <c r="CA810" t="s">
        <v>19463</v>
      </c>
      <c r="CB810" t="s">
        <v>188</v>
      </c>
      <c r="CC810" s="8" t="str">
        <f>"80487"</f>
        <v>80487</v>
      </c>
      <c r="CD810" t="s">
        <v>11908</v>
      </c>
      <c r="CE810" t="s">
        <v>1038</v>
      </c>
      <c r="CF810" s="12">
        <v>18.25</v>
      </c>
      <c r="CG810" s="12">
        <v>18.25</v>
      </c>
      <c r="CH810" s="12">
        <v>27.38</v>
      </c>
      <c r="CI810" s="12">
        <v>27.38</v>
      </c>
      <c r="CJ810" t="s">
        <v>135</v>
      </c>
      <c r="CL810" t="s">
        <v>24155</v>
      </c>
      <c r="CO810" t="s">
        <v>132</v>
      </c>
      <c r="CP810" t="s">
        <v>114</v>
      </c>
      <c r="CQ810" t="s">
        <v>114</v>
      </c>
      <c r="CR810" t="s">
        <v>136</v>
      </c>
      <c r="CS810" t="s">
        <v>136</v>
      </c>
      <c r="CT810" t="s">
        <v>136</v>
      </c>
      <c r="CU810" t="s">
        <v>136</v>
      </c>
      <c r="CV810" t="s">
        <v>23724</v>
      </c>
      <c r="CW810" s="10" t="str">
        <f>"+19708793075"</f>
        <v>+19708793075</v>
      </c>
      <c r="CX810" t="s">
        <v>19895</v>
      </c>
      <c r="CY810" t="s">
        <v>19896</v>
      </c>
      <c r="CZ810" t="s">
        <v>137</v>
      </c>
      <c r="DA810" t="s">
        <v>114</v>
      </c>
      <c r="DB810" t="s">
        <v>114</v>
      </c>
      <c r="DC810" t="s">
        <v>136</v>
      </c>
      <c r="DD810" t="s">
        <v>114</v>
      </c>
    </row>
    <row r="811" spans="1:113" ht="15" customHeight="1" x14ac:dyDescent="0.25">
      <c r="A811" t="s">
        <v>14819</v>
      </c>
      <c r="B811" t="s">
        <v>152</v>
      </c>
      <c r="C811" s="1">
        <v>45220.973306597225</v>
      </c>
      <c r="D811" s="1">
        <v>45250</v>
      </c>
      <c r="E811" t="s">
        <v>132</v>
      </c>
      <c r="F811" t="s">
        <v>1595</v>
      </c>
      <c r="G811" t="str">
        <f>"37-3011.00"</f>
        <v>37-3011.00</v>
      </c>
      <c r="H811" t="s">
        <v>429</v>
      </c>
      <c r="I811">
        <v>20</v>
      </c>
      <c r="J811">
        <v>20</v>
      </c>
      <c r="K811" s="1">
        <v>45295</v>
      </c>
      <c r="L811" s="1">
        <v>45566</v>
      </c>
      <c r="M811" s="1">
        <v>45295</v>
      </c>
      <c r="N811" s="1">
        <v>45566</v>
      </c>
      <c r="O811" t="s">
        <v>116</v>
      </c>
      <c r="P811" t="s">
        <v>14820</v>
      </c>
      <c r="R811" t="s">
        <v>14821</v>
      </c>
      <c r="T811" t="s">
        <v>2189</v>
      </c>
      <c r="U811" t="s">
        <v>333</v>
      </c>
      <c r="V811" s="8" t="str">
        <f>"70508"</f>
        <v>70508</v>
      </c>
      <c r="W811" t="s">
        <v>118</v>
      </c>
      <c r="Y811" s="10">
        <v>13372337704</v>
      </c>
      <c r="AA811">
        <v>56173</v>
      </c>
      <c r="AB811" t="s">
        <v>14822</v>
      </c>
      <c r="AC811" t="s">
        <v>14823</v>
      </c>
      <c r="AD811" t="s">
        <v>141</v>
      </c>
      <c r="AE811" t="s">
        <v>629</v>
      </c>
      <c r="AF811" t="s">
        <v>14821</v>
      </c>
      <c r="AG811" t="s">
        <v>14824</v>
      </c>
      <c r="AH811" t="s">
        <v>2189</v>
      </c>
      <c r="AI811" t="s">
        <v>333</v>
      </c>
      <c r="AJ811" s="8" t="str">
        <f>"70508"</f>
        <v>70508</v>
      </c>
      <c r="AK811" t="s">
        <v>118</v>
      </c>
      <c r="AM811" s="10">
        <v>13372337704</v>
      </c>
      <c r="AO811" t="s">
        <v>14825</v>
      </c>
      <c r="AP811" t="s">
        <v>248</v>
      </c>
      <c r="AQ811" t="s">
        <v>3017</v>
      </c>
      <c r="AR811" t="s">
        <v>3018</v>
      </c>
      <c r="AS811" t="s">
        <v>631</v>
      </c>
      <c r="AT811" t="s">
        <v>3019</v>
      </c>
      <c r="AV811" t="s">
        <v>1168</v>
      </c>
      <c r="AW811" t="s">
        <v>127</v>
      </c>
      <c r="AX811" s="8" t="str">
        <f>"75098"</f>
        <v>75098</v>
      </c>
      <c r="AY811" t="s">
        <v>118</v>
      </c>
      <c r="BA811" s="10">
        <v>19724424244</v>
      </c>
      <c r="BC811" t="s">
        <v>3372</v>
      </c>
      <c r="BD811" t="s">
        <v>3021</v>
      </c>
      <c r="BG811" t="s">
        <v>333</v>
      </c>
      <c r="BH811" s="1">
        <v>45584.833333333336</v>
      </c>
      <c r="BI811">
        <v>40</v>
      </c>
      <c r="BJ811">
        <v>0</v>
      </c>
      <c r="BK811">
        <v>8</v>
      </c>
      <c r="BL811">
        <v>8</v>
      </c>
      <c r="BM811">
        <v>8</v>
      </c>
      <c r="BN811">
        <v>8</v>
      </c>
      <c r="BO811">
        <v>8</v>
      </c>
      <c r="BP811">
        <v>0</v>
      </c>
      <c r="BQ811" t="str">
        <f>"7:00 AM"</f>
        <v>7:00 AM</v>
      </c>
      <c r="BR811" t="str">
        <f>"5:30 PM"</f>
        <v>5:30 PM</v>
      </c>
      <c r="BS811" t="s">
        <v>131</v>
      </c>
      <c r="BT811">
        <v>0</v>
      </c>
      <c r="BU811">
        <v>0</v>
      </c>
      <c r="BV811" t="s">
        <v>114</v>
      </c>
      <c r="BX811" t="s">
        <v>1480</v>
      </c>
      <c r="BY811" t="s">
        <v>14821</v>
      </c>
      <c r="CA811" t="s">
        <v>2189</v>
      </c>
      <c r="CB811" t="s">
        <v>333</v>
      </c>
      <c r="CC811" s="8" t="str">
        <f>"70508"</f>
        <v>70508</v>
      </c>
      <c r="CD811" t="s">
        <v>2900</v>
      </c>
      <c r="CE811" t="s">
        <v>1818</v>
      </c>
      <c r="CF811" s="12">
        <v>14.42</v>
      </c>
      <c r="CG811" s="12">
        <v>16.420000000000002</v>
      </c>
      <c r="CH811" s="12">
        <v>21.63</v>
      </c>
      <c r="CI811" s="12">
        <v>24.63</v>
      </c>
      <c r="CJ811" t="s">
        <v>135</v>
      </c>
      <c r="CL811" t="s">
        <v>14826</v>
      </c>
      <c r="CO811" t="s">
        <v>132</v>
      </c>
      <c r="CP811" t="s">
        <v>136</v>
      </c>
      <c r="CQ811" t="s">
        <v>136</v>
      </c>
      <c r="CR811" t="s">
        <v>136</v>
      </c>
      <c r="CS811" t="s">
        <v>136</v>
      </c>
      <c r="CT811" t="s">
        <v>136</v>
      </c>
      <c r="CU811" t="s">
        <v>136</v>
      </c>
      <c r="CV811" t="s">
        <v>14827</v>
      </c>
      <c r="CW811" s="10" t="str">
        <f>"+13372337704"</f>
        <v>+13372337704</v>
      </c>
      <c r="CX811" t="s">
        <v>132</v>
      </c>
      <c r="CY811" t="s">
        <v>4900</v>
      </c>
      <c r="CZ811" t="s">
        <v>137</v>
      </c>
      <c r="DA811" t="s">
        <v>114</v>
      </c>
      <c r="DB811" t="s">
        <v>114</v>
      </c>
      <c r="DC811" t="s">
        <v>136</v>
      </c>
      <c r="DD811" t="s">
        <v>114</v>
      </c>
    </row>
    <row r="812" spans="1:113" ht="15" customHeight="1" x14ac:dyDescent="0.25">
      <c r="A812" t="s">
        <v>22171</v>
      </c>
      <c r="B812" t="s">
        <v>152</v>
      </c>
      <c r="C812" s="1">
        <v>45219.464461111114</v>
      </c>
      <c r="D812" s="1">
        <v>45250</v>
      </c>
      <c r="E812" t="s">
        <v>132</v>
      </c>
      <c r="F812" t="s">
        <v>3098</v>
      </c>
      <c r="G812" t="str">
        <f>"39-3091.00"</f>
        <v>39-3091.00</v>
      </c>
      <c r="H812" t="s">
        <v>237</v>
      </c>
      <c r="I812">
        <v>108</v>
      </c>
      <c r="J812">
        <v>108</v>
      </c>
      <c r="K812" s="1">
        <v>45309</v>
      </c>
      <c r="L812" s="1">
        <v>45613</v>
      </c>
      <c r="M812" s="1">
        <v>45309</v>
      </c>
      <c r="N812" s="1">
        <v>45613</v>
      </c>
      <c r="O812" t="s">
        <v>238</v>
      </c>
      <c r="P812" t="s">
        <v>15006</v>
      </c>
      <c r="R812" t="s">
        <v>15007</v>
      </c>
      <c r="S812" t="s">
        <v>22172</v>
      </c>
      <c r="T812" t="s">
        <v>5064</v>
      </c>
      <c r="U812" t="s">
        <v>140</v>
      </c>
      <c r="V812" s="8" t="str">
        <f>"33534"</f>
        <v>33534</v>
      </c>
      <c r="W812" t="s">
        <v>118</v>
      </c>
      <c r="Y812" s="10">
        <v>18134220074</v>
      </c>
      <c r="Z812" s="3" t="s">
        <v>256</v>
      </c>
      <c r="AA812">
        <v>711190</v>
      </c>
      <c r="AB812" t="s">
        <v>12475</v>
      </c>
      <c r="AC812" t="s">
        <v>2188</v>
      </c>
      <c r="AE812" t="s">
        <v>15008</v>
      </c>
      <c r="AF812" t="s">
        <v>15007</v>
      </c>
      <c r="AG812" t="s">
        <v>22172</v>
      </c>
      <c r="AH812" t="s">
        <v>5064</v>
      </c>
      <c r="AI812" t="s">
        <v>140</v>
      </c>
      <c r="AJ812" s="8" t="str">
        <f>"33534"</f>
        <v>33534</v>
      </c>
      <c r="AK812" t="s">
        <v>118</v>
      </c>
      <c r="AM812" s="10">
        <v>18134220074</v>
      </c>
      <c r="AN812" s="3" t="s">
        <v>256</v>
      </c>
      <c r="AO812" t="s">
        <v>15009</v>
      </c>
      <c r="AP812" t="s">
        <v>248</v>
      </c>
      <c r="AQ812" t="s">
        <v>249</v>
      </c>
      <c r="AR812" t="s">
        <v>250</v>
      </c>
      <c r="AS812" t="s">
        <v>251</v>
      </c>
      <c r="AT812" t="s">
        <v>252</v>
      </c>
      <c r="AU812" t="s">
        <v>253</v>
      </c>
      <c r="AV812" t="s">
        <v>254</v>
      </c>
      <c r="AW812" t="s">
        <v>127</v>
      </c>
      <c r="AX812" s="8" t="str">
        <f>"78550"</f>
        <v>78550</v>
      </c>
      <c r="AY812" t="s">
        <v>118</v>
      </c>
      <c r="AZ812" t="s">
        <v>255</v>
      </c>
      <c r="BA812" s="10">
        <v>19564408720</v>
      </c>
      <c r="BB812" s="3" t="s">
        <v>256</v>
      </c>
      <c r="BC812" t="s">
        <v>338</v>
      </c>
      <c r="BD812" t="s">
        <v>258</v>
      </c>
      <c r="BG812" t="s">
        <v>140</v>
      </c>
      <c r="BH812" s="1">
        <v>45218.833333333336</v>
      </c>
      <c r="BI812">
        <v>40</v>
      </c>
      <c r="BJ812">
        <v>8</v>
      </c>
      <c r="BK812">
        <v>0</v>
      </c>
      <c r="BL812">
        <v>0</v>
      </c>
      <c r="BM812">
        <v>8</v>
      </c>
      <c r="BN812">
        <v>8</v>
      </c>
      <c r="BO812">
        <v>8</v>
      </c>
      <c r="BP812">
        <v>8</v>
      </c>
      <c r="BQ812" t="str">
        <f>"1:00 PM"</f>
        <v>1:00 PM</v>
      </c>
      <c r="BR812" t="str">
        <f>"10:00 PM"</f>
        <v>10:00 PM</v>
      </c>
      <c r="BS812" t="s">
        <v>131</v>
      </c>
      <c r="BT812">
        <v>0</v>
      </c>
      <c r="BU812">
        <v>0</v>
      </c>
      <c r="BV812" t="s">
        <v>114</v>
      </c>
      <c r="BX812" s="2" t="s">
        <v>2396</v>
      </c>
      <c r="BY812" t="s">
        <v>15010</v>
      </c>
      <c r="CA812" t="s">
        <v>5064</v>
      </c>
      <c r="CB812" t="s">
        <v>140</v>
      </c>
      <c r="CC812" s="8" t="str">
        <f>"33534"</f>
        <v>33534</v>
      </c>
      <c r="CD812" t="s">
        <v>781</v>
      </c>
      <c r="CE812" t="s">
        <v>467</v>
      </c>
      <c r="CF812" s="12">
        <v>9.3800000000000008</v>
      </c>
      <c r="CG812" s="12">
        <v>16.3</v>
      </c>
      <c r="CJ812" t="s">
        <v>135</v>
      </c>
      <c r="CK812" t="s">
        <v>342</v>
      </c>
      <c r="CL812" t="s">
        <v>15011</v>
      </c>
      <c r="CO812" t="s">
        <v>132</v>
      </c>
      <c r="CP812" t="s">
        <v>136</v>
      </c>
      <c r="CQ812" t="s">
        <v>136</v>
      </c>
      <c r="CR812" t="s">
        <v>114</v>
      </c>
      <c r="CS812" t="s">
        <v>136</v>
      </c>
      <c r="CT812" t="s">
        <v>136</v>
      </c>
      <c r="CU812" t="s">
        <v>136</v>
      </c>
      <c r="CV812" t="s">
        <v>22173</v>
      </c>
      <c r="CW812" s="10" t="str">
        <f>"+18134220074"</f>
        <v>+18134220074</v>
      </c>
      <c r="CX812" t="s">
        <v>15012</v>
      </c>
      <c r="CY812" t="s">
        <v>132</v>
      </c>
      <c r="CZ812" t="s">
        <v>137</v>
      </c>
      <c r="DA812" t="s">
        <v>114</v>
      </c>
      <c r="DB812" t="s">
        <v>136</v>
      </c>
      <c r="DC812" t="s">
        <v>136</v>
      </c>
      <c r="DD812" t="s">
        <v>114</v>
      </c>
    </row>
    <row r="813" spans="1:113" ht="15" customHeight="1" x14ac:dyDescent="0.25">
      <c r="A813" t="s">
        <v>10877</v>
      </c>
      <c r="B813" t="s">
        <v>152</v>
      </c>
      <c r="C813" s="1">
        <v>45217.526001736114</v>
      </c>
      <c r="D813" s="1">
        <v>45250</v>
      </c>
      <c r="E813" t="s">
        <v>132</v>
      </c>
      <c r="F813" t="s">
        <v>3750</v>
      </c>
      <c r="G813" t="str">
        <f>"47-2061.00"</f>
        <v>47-2061.00</v>
      </c>
      <c r="H813" t="s">
        <v>570</v>
      </c>
      <c r="I813">
        <v>30</v>
      </c>
      <c r="J813">
        <v>30</v>
      </c>
      <c r="K813" s="1">
        <v>45306</v>
      </c>
      <c r="L813" s="1">
        <v>45580</v>
      </c>
      <c r="M813" s="1">
        <v>45306</v>
      </c>
      <c r="N813" s="1">
        <v>45580</v>
      </c>
      <c r="O813" t="s">
        <v>116</v>
      </c>
      <c r="P813" t="s">
        <v>10878</v>
      </c>
      <c r="R813" t="s">
        <v>10879</v>
      </c>
      <c r="T813" t="s">
        <v>587</v>
      </c>
      <c r="U813" t="s">
        <v>386</v>
      </c>
      <c r="V813" s="8" t="str">
        <f>"38305"</f>
        <v>38305</v>
      </c>
      <c r="W813" t="s">
        <v>118</v>
      </c>
      <c r="Y813" s="10">
        <v>17316646446</v>
      </c>
      <c r="AA813">
        <v>23899</v>
      </c>
      <c r="AB813" t="s">
        <v>1059</v>
      </c>
      <c r="AC813" t="s">
        <v>5068</v>
      </c>
      <c r="AD813" t="s">
        <v>1719</v>
      </c>
      <c r="AE813" t="s">
        <v>561</v>
      </c>
      <c r="AF813" t="s">
        <v>10879</v>
      </c>
      <c r="AH813" t="s">
        <v>587</v>
      </c>
      <c r="AI813" t="s">
        <v>386</v>
      </c>
      <c r="AJ813" s="8" t="str">
        <f>"38305"</f>
        <v>38305</v>
      </c>
      <c r="AK813" t="s">
        <v>118</v>
      </c>
      <c r="AM813" s="10">
        <v>17316646446</v>
      </c>
      <c r="AO813" t="s">
        <v>10880</v>
      </c>
      <c r="AP813" t="s">
        <v>248</v>
      </c>
      <c r="AQ813" t="s">
        <v>3017</v>
      </c>
      <c r="AR813" t="s">
        <v>3018</v>
      </c>
      <c r="AS813" t="s">
        <v>631</v>
      </c>
      <c r="AT813" t="s">
        <v>3371</v>
      </c>
      <c r="AV813" t="s">
        <v>1168</v>
      </c>
      <c r="AW813" t="s">
        <v>127</v>
      </c>
      <c r="AX813" s="8" t="str">
        <f>"75098"</f>
        <v>75098</v>
      </c>
      <c r="AY813" t="s">
        <v>118</v>
      </c>
      <c r="BA813" s="10">
        <v>19724424244</v>
      </c>
      <c r="BC813" t="s">
        <v>3372</v>
      </c>
      <c r="BD813" t="s">
        <v>3021</v>
      </c>
      <c r="BG813" t="s">
        <v>386</v>
      </c>
      <c r="BH813" s="1">
        <v>45215.833333333336</v>
      </c>
      <c r="BI813">
        <v>40</v>
      </c>
      <c r="BJ813">
        <v>0</v>
      </c>
      <c r="BK813">
        <v>8</v>
      </c>
      <c r="BL813">
        <v>8</v>
      </c>
      <c r="BM813">
        <v>8</v>
      </c>
      <c r="BN813">
        <v>8</v>
      </c>
      <c r="BO813">
        <v>8</v>
      </c>
      <c r="BP813">
        <v>0</v>
      </c>
      <c r="BQ813" t="str">
        <f>"8:00 AM"</f>
        <v>8:00 AM</v>
      </c>
      <c r="BR813" t="str">
        <f>"5:00 PM"</f>
        <v>5:00 PM</v>
      </c>
      <c r="BS813" t="s">
        <v>131</v>
      </c>
      <c r="BT813">
        <v>0</v>
      </c>
      <c r="BU813">
        <v>0</v>
      </c>
      <c r="BV813" t="s">
        <v>114</v>
      </c>
      <c r="BX813" t="s">
        <v>1480</v>
      </c>
      <c r="BY813" t="s">
        <v>10881</v>
      </c>
      <c r="CA813" t="s">
        <v>587</v>
      </c>
      <c r="CB813" t="s">
        <v>386</v>
      </c>
      <c r="CC813" s="8" t="str">
        <f>"38305"</f>
        <v>38305</v>
      </c>
      <c r="CD813" t="s">
        <v>908</v>
      </c>
      <c r="CE813" t="s">
        <v>2180</v>
      </c>
      <c r="CF813" s="12">
        <v>18.27</v>
      </c>
      <c r="CG813" s="12">
        <v>20.27</v>
      </c>
      <c r="CH813" s="12">
        <v>27.41</v>
      </c>
      <c r="CI813" s="12">
        <v>30.41</v>
      </c>
      <c r="CJ813" t="s">
        <v>135</v>
      </c>
      <c r="CL813" t="s">
        <v>10882</v>
      </c>
      <c r="CO813" t="s">
        <v>132</v>
      </c>
      <c r="CP813" t="s">
        <v>136</v>
      </c>
      <c r="CQ813" t="s">
        <v>136</v>
      </c>
      <c r="CR813" t="s">
        <v>136</v>
      </c>
      <c r="CS813" t="s">
        <v>136</v>
      </c>
      <c r="CT813" t="s">
        <v>136</v>
      </c>
      <c r="CU813" t="s">
        <v>136</v>
      </c>
      <c r="CV813" t="s">
        <v>10883</v>
      </c>
      <c r="CW813" s="10" t="str">
        <f>"+17316646446"</f>
        <v>+17316646446</v>
      </c>
      <c r="CX813" t="s">
        <v>132</v>
      </c>
      <c r="CY813" t="s">
        <v>3753</v>
      </c>
      <c r="CZ813" t="s">
        <v>137</v>
      </c>
      <c r="DA813" t="s">
        <v>114</v>
      </c>
      <c r="DB813" t="s">
        <v>114</v>
      </c>
      <c r="DC813" t="s">
        <v>136</v>
      </c>
      <c r="DD813" t="s">
        <v>114</v>
      </c>
    </row>
    <row r="814" spans="1:113" ht="15" customHeight="1" x14ac:dyDescent="0.25">
      <c r="A814" t="s">
        <v>11314</v>
      </c>
      <c r="B814" t="s">
        <v>152</v>
      </c>
      <c r="C814" s="1">
        <v>45216.699963194442</v>
      </c>
      <c r="D814" s="1">
        <v>45250</v>
      </c>
      <c r="E814" t="s">
        <v>132</v>
      </c>
      <c r="F814" t="s">
        <v>3098</v>
      </c>
      <c r="G814" t="str">
        <f>"39-3091.00"</f>
        <v>39-3091.00</v>
      </c>
      <c r="H814" t="s">
        <v>237</v>
      </c>
      <c r="I814">
        <v>18</v>
      </c>
      <c r="J814">
        <v>18</v>
      </c>
      <c r="K814" s="1">
        <v>45306</v>
      </c>
      <c r="L814" s="1">
        <v>45610</v>
      </c>
      <c r="M814" s="1">
        <v>45306</v>
      </c>
      <c r="N814" s="1">
        <v>45610</v>
      </c>
      <c r="O814" t="s">
        <v>238</v>
      </c>
      <c r="P814" t="s">
        <v>11315</v>
      </c>
      <c r="R814" t="s">
        <v>11316</v>
      </c>
      <c r="T814" t="s">
        <v>11317</v>
      </c>
      <c r="U814" t="s">
        <v>434</v>
      </c>
      <c r="V814" s="8" t="str">
        <f>"16127"</f>
        <v>16127</v>
      </c>
      <c r="W814" t="s">
        <v>118</v>
      </c>
      <c r="Y814" s="10">
        <v>14124186418</v>
      </c>
      <c r="Z814" s="3" t="s">
        <v>256</v>
      </c>
      <c r="AA814">
        <v>71399</v>
      </c>
      <c r="AB814" t="s">
        <v>11318</v>
      </c>
      <c r="AC814" t="s">
        <v>7309</v>
      </c>
      <c r="AE814" t="s">
        <v>561</v>
      </c>
      <c r="AF814" t="s">
        <v>11319</v>
      </c>
      <c r="AH814" t="s">
        <v>11320</v>
      </c>
      <c r="AI814" t="s">
        <v>434</v>
      </c>
      <c r="AJ814" s="8" t="str">
        <f>"16127"</f>
        <v>16127</v>
      </c>
      <c r="AK814" t="s">
        <v>118</v>
      </c>
      <c r="AM814" s="10">
        <v>14124186418</v>
      </c>
      <c r="AN814" s="3" t="s">
        <v>256</v>
      </c>
      <c r="AO814" t="s">
        <v>11321</v>
      </c>
      <c r="AP814" t="s">
        <v>248</v>
      </c>
      <c r="AQ814" t="s">
        <v>249</v>
      </c>
      <c r="AR814" t="s">
        <v>250</v>
      </c>
      <c r="AS814" t="s">
        <v>251</v>
      </c>
      <c r="AT814" t="s">
        <v>252</v>
      </c>
      <c r="AU814" t="s">
        <v>253</v>
      </c>
      <c r="AV814" t="s">
        <v>254</v>
      </c>
      <c r="AW814" t="s">
        <v>127</v>
      </c>
      <c r="AX814" s="8" t="str">
        <f>"78550"</f>
        <v>78550</v>
      </c>
      <c r="AY814" t="s">
        <v>118</v>
      </c>
      <c r="AZ814" t="s">
        <v>255</v>
      </c>
      <c r="BA814" s="10">
        <v>19564408720</v>
      </c>
      <c r="BB814" s="3" t="s">
        <v>256</v>
      </c>
      <c r="BC814" t="s">
        <v>338</v>
      </c>
      <c r="BD814" t="s">
        <v>258</v>
      </c>
      <c r="BG814" t="s">
        <v>434</v>
      </c>
      <c r="BH814" s="1">
        <v>45215.833333333336</v>
      </c>
      <c r="BI814">
        <v>40</v>
      </c>
      <c r="BJ814">
        <v>8</v>
      </c>
      <c r="BK814">
        <v>0</v>
      </c>
      <c r="BL814">
        <v>0</v>
      </c>
      <c r="BM814">
        <v>8</v>
      </c>
      <c r="BN814">
        <v>8</v>
      </c>
      <c r="BO814">
        <v>8</v>
      </c>
      <c r="BP814">
        <v>8</v>
      </c>
      <c r="BQ814" t="str">
        <f>"1:00 PM"</f>
        <v>1:00 PM</v>
      </c>
      <c r="BR814" t="str">
        <f>"10:00 PM"</f>
        <v>10:00 PM</v>
      </c>
      <c r="BS814" t="s">
        <v>131</v>
      </c>
      <c r="BT814">
        <v>0</v>
      </c>
      <c r="BU814">
        <v>0</v>
      </c>
      <c r="BV814" t="s">
        <v>114</v>
      </c>
      <c r="BX814" s="2" t="s">
        <v>2396</v>
      </c>
      <c r="BY814" t="s">
        <v>11322</v>
      </c>
      <c r="CA814" t="s">
        <v>11317</v>
      </c>
      <c r="CB814" t="s">
        <v>434</v>
      </c>
      <c r="CC814" s="8" t="str">
        <f>"16127"</f>
        <v>16127</v>
      </c>
      <c r="CD814" t="s">
        <v>3298</v>
      </c>
      <c r="CE814" t="s">
        <v>3206</v>
      </c>
      <c r="CF814" s="12">
        <v>10.68</v>
      </c>
      <c r="CG814" s="12">
        <v>13.89</v>
      </c>
      <c r="CJ814" t="s">
        <v>135</v>
      </c>
      <c r="CK814" t="s">
        <v>342</v>
      </c>
      <c r="CL814" t="s">
        <v>11323</v>
      </c>
      <c r="CO814" t="s">
        <v>132</v>
      </c>
      <c r="CP814" t="s">
        <v>136</v>
      </c>
      <c r="CQ814" t="s">
        <v>136</v>
      </c>
      <c r="CR814" t="s">
        <v>114</v>
      </c>
      <c r="CS814" t="s">
        <v>136</v>
      </c>
      <c r="CT814" t="s">
        <v>136</v>
      </c>
      <c r="CU814" t="s">
        <v>136</v>
      </c>
      <c r="CV814" t="s">
        <v>4357</v>
      </c>
      <c r="CW814" s="10" t="str">
        <f>"+14124186418"</f>
        <v>+14124186418</v>
      </c>
      <c r="CX814" t="s">
        <v>11321</v>
      </c>
      <c r="CY814" t="s">
        <v>132</v>
      </c>
      <c r="CZ814" t="s">
        <v>137</v>
      </c>
      <c r="DA814" t="s">
        <v>114</v>
      </c>
      <c r="DB814" t="s">
        <v>136</v>
      </c>
      <c r="DC814" t="s">
        <v>136</v>
      </c>
      <c r="DD814" t="s">
        <v>114</v>
      </c>
    </row>
    <row r="815" spans="1:113" ht="15" customHeight="1" x14ac:dyDescent="0.25">
      <c r="A815" t="s">
        <v>16096</v>
      </c>
      <c r="B815" t="s">
        <v>152</v>
      </c>
      <c r="C815" s="1">
        <v>45216.555703935184</v>
      </c>
      <c r="D815" s="1">
        <v>45250</v>
      </c>
      <c r="E815" t="s">
        <v>132</v>
      </c>
      <c r="F815" t="s">
        <v>2081</v>
      </c>
      <c r="G815" t="str">
        <f>"37-3011.00"</f>
        <v>37-3011.00</v>
      </c>
      <c r="H815" t="s">
        <v>429</v>
      </c>
      <c r="I815">
        <v>39</v>
      </c>
      <c r="J815">
        <v>39</v>
      </c>
      <c r="K815" s="1">
        <v>45306</v>
      </c>
      <c r="L815" s="1">
        <v>45595</v>
      </c>
      <c r="M815" s="1">
        <v>45306</v>
      </c>
      <c r="N815" s="1">
        <v>45595</v>
      </c>
      <c r="O815" t="s">
        <v>238</v>
      </c>
      <c r="P815" t="s">
        <v>16097</v>
      </c>
      <c r="R815" t="s">
        <v>16098</v>
      </c>
      <c r="T815" t="s">
        <v>12634</v>
      </c>
      <c r="U815" t="s">
        <v>984</v>
      </c>
      <c r="V815" s="8" t="str">
        <f>"63043"</f>
        <v>63043</v>
      </c>
      <c r="W815" t="s">
        <v>118</v>
      </c>
      <c r="Y815" s="10">
        <v>13144349527</v>
      </c>
      <c r="AA815">
        <v>56173</v>
      </c>
      <c r="AB815" t="s">
        <v>16099</v>
      </c>
      <c r="AC815" t="s">
        <v>16100</v>
      </c>
      <c r="AE815" t="s">
        <v>629</v>
      </c>
      <c r="AF815" t="s">
        <v>16098</v>
      </c>
      <c r="AH815" t="s">
        <v>12634</v>
      </c>
      <c r="AI815" t="s">
        <v>984</v>
      </c>
      <c r="AJ815" s="8" t="str">
        <f>"63043"</f>
        <v>63043</v>
      </c>
      <c r="AK815" t="s">
        <v>118</v>
      </c>
      <c r="AM815" s="10">
        <v>13144349527</v>
      </c>
      <c r="AO815" t="s">
        <v>16101</v>
      </c>
      <c r="AP815" t="s">
        <v>248</v>
      </c>
      <c r="AQ815" t="s">
        <v>1894</v>
      </c>
      <c r="AR815" t="s">
        <v>1895</v>
      </c>
      <c r="AS815" t="s">
        <v>132</v>
      </c>
      <c r="AT815" t="s">
        <v>1032</v>
      </c>
      <c r="AU815" t="s">
        <v>852</v>
      </c>
      <c r="AV815" t="s">
        <v>853</v>
      </c>
      <c r="AW815" t="s">
        <v>854</v>
      </c>
      <c r="AX815" s="8" t="str">
        <f>"83814"</f>
        <v>83814</v>
      </c>
      <c r="AY815" t="s">
        <v>118</v>
      </c>
      <c r="BA815" s="10">
        <v>12087772654</v>
      </c>
      <c r="BC815" t="s">
        <v>1896</v>
      </c>
      <c r="BD815" t="s">
        <v>856</v>
      </c>
      <c r="BG815" t="s">
        <v>984</v>
      </c>
      <c r="BH815" s="1">
        <v>45181.833333333336</v>
      </c>
      <c r="BI815">
        <v>40</v>
      </c>
      <c r="BJ815">
        <v>0</v>
      </c>
      <c r="BK815">
        <v>8</v>
      </c>
      <c r="BL815">
        <v>8</v>
      </c>
      <c r="BM815">
        <v>8</v>
      </c>
      <c r="BN815">
        <v>8</v>
      </c>
      <c r="BO815">
        <v>8</v>
      </c>
      <c r="BP815">
        <v>0</v>
      </c>
      <c r="BQ815" t="str">
        <f>"8:00 AM"</f>
        <v>8:00 AM</v>
      </c>
      <c r="BR815" t="str">
        <f>"4:30 PM"</f>
        <v>4:30 PM</v>
      </c>
      <c r="BS815" t="s">
        <v>131</v>
      </c>
      <c r="BT815">
        <v>0</v>
      </c>
      <c r="BU815">
        <v>0</v>
      </c>
      <c r="BV815" t="s">
        <v>114</v>
      </c>
      <c r="BX815" s="2" t="s">
        <v>2070</v>
      </c>
      <c r="BY815" t="s">
        <v>16102</v>
      </c>
      <c r="CA815" t="s">
        <v>12634</v>
      </c>
      <c r="CB815" t="s">
        <v>984</v>
      </c>
      <c r="CC815" s="8" t="str">
        <f>"63043"</f>
        <v>63043</v>
      </c>
      <c r="CD815" t="s">
        <v>2851</v>
      </c>
      <c r="CE815" t="s">
        <v>1856</v>
      </c>
      <c r="CF815" s="12">
        <v>17.579999999999998</v>
      </c>
      <c r="CG815" s="12">
        <v>20</v>
      </c>
      <c r="CH815" s="12">
        <v>26.37</v>
      </c>
      <c r="CI815" s="12">
        <v>30</v>
      </c>
      <c r="CJ815" t="s">
        <v>135</v>
      </c>
      <c r="CK815" t="s">
        <v>1899</v>
      </c>
      <c r="CL815" t="s">
        <v>16103</v>
      </c>
      <c r="CO815" t="s">
        <v>132</v>
      </c>
      <c r="CP815" t="s">
        <v>136</v>
      </c>
      <c r="CQ815" t="s">
        <v>136</v>
      </c>
      <c r="CR815" t="s">
        <v>136</v>
      </c>
      <c r="CS815" t="s">
        <v>136</v>
      </c>
      <c r="CT815" t="s">
        <v>136</v>
      </c>
      <c r="CU815" t="s">
        <v>114</v>
      </c>
      <c r="CV815" t="s">
        <v>1040</v>
      </c>
      <c r="CW815" s="10" t="str">
        <f>"+13144349527"</f>
        <v>+13144349527</v>
      </c>
      <c r="CX815" t="s">
        <v>16104</v>
      </c>
      <c r="CY815" t="s">
        <v>132</v>
      </c>
      <c r="CZ815" t="s">
        <v>137</v>
      </c>
      <c r="DA815" t="s">
        <v>114</v>
      </c>
      <c r="DB815" t="s">
        <v>136</v>
      </c>
      <c r="DC815" t="s">
        <v>136</v>
      </c>
      <c r="DD815" t="s">
        <v>114</v>
      </c>
    </row>
    <row r="816" spans="1:113" ht="15" customHeight="1" x14ac:dyDescent="0.25">
      <c r="A816" t="s">
        <v>11227</v>
      </c>
      <c r="B816" t="s">
        <v>152</v>
      </c>
      <c r="C816" s="1">
        <v>45215.43770185185</v>
      </c>
      <c r="D816" s="1">
        <v>45250</v>
      </c>
      <c r="E816" t="s">
        <v>132</v>
      </c>
      <c r="F816" t="s">
        <v>1595</v>
      </c>
      <c r="G816" t="str">
        <f>"37-3011.00"</f>
        <v>37-3011.00</v>
      </c>
      <c r="H816" t="s">
        <v>429</v>
      </c>
      <c r="I816">
        <v>42</v>
      </c>
      <c r="J816">
        <v>42</v>
      </c>
      <c r="K816" s="1">
        <v>45305</v>
      </c>
      <c r="L816" s="1">
        <v>45609</v>
      </c>
      <c r="M816" s="1">
        <v>45305</v>
      </c>
      <c r="N816" s="1">
        <v>45609</v>
      </c>
      <c r="O816" t="s">
        <v>116</v>
      </c>
      <c r="P816" t="s">
        <v>11228</v>
      </c>
      <c r="R816" t="s">
        <v>11229</v>
      </c>
      <c r="S816" t="s">
        <v>11230</v>
      </c>
      <c r="T816" t="s">
        <v>1814</v>
      </c>
      <c r="U816" t="s">
        <v>333</v>
      </c>
      <c r="V816" s="8" t="str">
        <f>"70815"</f>
        <v>70815</v>
      </c>
      <c r="W816" t="s">
        <v>118</v>
      </c>
      <c r="X816" t="s">
        <v>132</v>
      </c>
      <c r="Y816" s="10">
        <v>12257724183</v>
      </c>
      <c r="AA816">
        <v>561730</v>
      </c>
      <c r="AB816" t="s">
        <v>2008</v>
      </c>
      <c r="AC816" t="s">
        <v>11231</v>
      </c>
      <c r="AD816" t="s">
        <v>1738</v>
      </c>
      <c r="AE816" t="s">
        <v>629</v>
      </c>
      <c r="AF816" t="s">
        <v>11229</v>
      </c>
      <c r="AG816" t="s">
        <v>11230</v>
      </c>
      <c r="AH816" t="s">
        <v>1814</v>
      </c>
      <c r="AI816" t="s">
        <v>333</v>
      </c>
      <c r="AJ816" s="8" t="str">
        <f>"70815"</f>
        <v>70815</v>
      </c>
      <c r="AK816" t="s">
        <v>118</v>
      </c>
      <c r="AM816" s="10">
        <v>12257724183</v>
      </c>
      <c r="AO816" t="s">
        <v>11232</v>
      </c>
      <c r="AP816" t="s">
        <v>248</v>
      </c>
      <c r="AQ816" t="s">
        <v>5000</v>
      </c>
      <c r="AR816" t="s">
        <v>4889</v>
      </c>
      <c r="AS816" t="s">
        <v>2998</v>
      </c>
      <c r="AT816" t="s">
        <v>1584</v>
      </c>
      <c r="AU816" t="s">
        <v>132</v>
      </c>
      <c r="AV816" t="s">
        <v>1585</v>
      </c>
      <c r="AW816" t="s">
        <v>127</v>
      </c>
      <c r="AX816" s="8" t="str">
        <f>"77414"</f>
        <v>77414</v>
      </c>
      <c r="AY816" t="s">
        <v>118</v>
      </c>
      <c r="BA816" s="10">
        <v>19793187277</v>
      </c>
      <c r="BC816" t="s">
        <v>5001</v>
      </c>
      <c r="BD816" t="s">
        <v>1587</v>
      </c>
      <c r="BG816" t="s">
        <v>333</v>
      </c>
      <c r="BH816" s="1">
        <v>45214.833333333336</v>
      </c>
      <c r="BI816">
        <v>50</v>
      </c>
      <c r="BJ816">
        <v>0</v>
      </c>
      <c r="BK816">
        <v>10</v>
      </c>
      <c r="BL816">
        <v>10</v>
      </c>
      <c r="BM816">
        <v>10</v>
      </c>
      <c r="BN816">
        <v>10</v>
      </c>
      <c r="BO816">
        <v>10</v>
      </c>
      <c r="BP816">
        <v>0</v>
      </c>
      <c r="BQ816" t="str">
        <f>"7:00 AM"</f>
        <v>7:00 AM</v>
      </c>
      <c r="BR816" t="str">
        <f>"5:30 PM"</f>
        <v>5:30 PM</v>
      </c>
      <c r="BS816" t="s">
        <v>131</v>
      </c>
      <c r="BT816">
        <v>0</v>
      </c>
      <c r="BU816">
        <v>0</v>
      </c>
      <c r="BV816" t="s">
        <v>114</v>
      </c>
      <c r="BX816" s="2" t="s">
        <v>11233</v>
      </c>
      <c r="BY816" t="s">
        <v>11234</v>
      </c>
      <c r="BZ816" t="s">
        <v>132</v>
      </c>
      <c r="CA816" t="s">
        <v>1814</v>
      </c>
      <c r="CB816" t="s">
        <v>333</v>
      </c>
      <c r="CC816" s="8" t="str">
        <f>"70815"</f>
        <v>70815</v>
      </c>
      <c r="CD816" t="s">
        <v>1929</v>
      </c>
      <c r="CE816" t="s">
        <v>1930</v>
      </c>
      <c r="CF816" s="12">
        <v>15.19</v>
      </c>
      <c r="CH816" s="12">
        <v>22.79</v>
      </c>
      <c r="CJ816" t="s">
        <v>135</v>
      </c>
      <c r="CK816" t="s">
        <v>3432</v>
      </c>
      <c r="CL816" t="s">
        <v>11235</v>
      </c>
      <c r="CO816" t="s">
        <v>132</v>
      </c>
      <c r="CP816" t="s">
        <v>136</v>
      </c>
      <c r="CQ816" t="s">
        <v>136</v>
      </c>
      <c r="CR816" t="s">
        <v>136</v>
      </c>
      <c r="CS816" t="s">
        <v>136</v>
      </c>
      <c r="CT816" t="s">
        <v>136</v>
      </c>
      <c r="CU816" t="s">
        <v>114</v>
      </c>
      <c r="CV816" t="s">
        <v>2225</v>
      </c>
      <c r="CW816" s="10" t="str">
        <f>"+12257724183"</f>
        <v>+12257724183</v>
      </c>
      <c r="CX816" t="s">
        <v>11232</v>
      </c>
      <c r="CY816" t="s">
        <v>132</v>
      </c>
      <c r="CZ816" t="s">
        <v>137</v>
      </c>
      <c r="DA816" t="s">
        <v>114</v>
      </c>
      <c r="DB816" t="s">
        <v>114</v>
      </c>
      <c r="DC816" t="s">
        <v>136</v>
      </c>
      <c r="DD816" t="s">
        <v>114</v>
      </c>
    </row>
    <row r="817" spans="1:113" ht="15" customHeight="1" x14ac:dyDescent="0.25">
      <c r="A817" t="s">
        <v>11241</v>
      </c>
      <c r="B817" t="s">
        <v>152</v>
      </c>
      <c r="C817" s="1">
        <v>45213.504721412035</v>
      </c>
      <c r="D817" s="1">
        <v>45250</v>
      </c>
      <c r="E817" t="s">
        <v>132</v>
      </c>
      <c r="F817" t="s">
        <v>3098</v>
      </c>
      <c r="G817" t="str">
        <f>"39-3091.00"</f>
        <v>39-3091.00</v>
      </c>
      <c r="H817" t="s">
        <v>237</v>
      </c>
      <c r="I817">
        <v>56</v>
      </c>
      <c r="J817">
        <v>56</v>
      </c>
      <c r="K817" s="1">
        <v>45303</v>
      </c>
      <c r="L817" s="1">
        <v>45601</v>
      </c>
      <c r="M817" s="1">
        <v>45303</v>
      </c>
      <c r="N817" s="1">
        <v>45601</v>
      </c>
      <c r="O817" t="s">
        <v>238</v>
      </c>
      <c r="P817" t="s">
        <v>11242</v>
      </c>
      <c r="R817" t="s">
        <v>11243</v>
      </c>
      <c r="S817" t="s">
        <v>11244</v>
      </c>
      <c r="T817" t="s">
        <v>557</v>
      </c>
      <c r="U817" t="s">
        <v>558</v>
      </c>
      <c r="V817" s="8" t="str">
        <f>"85122"</f>
        <v>85122</v>
      </c>
      <c r="W817" t="s">
        <v>118</v>
      </c>
      <c r="X817" t="s">
        <v>692</v>
      </c>
      <c r="Y817" s="10">
        <v>16023632677</v>
      </c>
      <c r="Z817" s="3" t="s">
        <v>256</v>
      </c>
      <c r="AA817">
        <v>71119</v>
      </c>
      <c r="AB817" t="s">
        <v>11245</v>
      </c>
      <c r="AC817" t="s">
        <v>2770</v>
      </c>
      <c r="AD817" t="s">
        <v>1217</v>
      </c>
      <c r="AE817" t="s">
        <v>743</v>
      </c>
      <c r="AF817" t="s">
        <v>11243</v>
      </c>
      <c r="AG817" t="s">
        <v>11244</v>
      </c>
      <c r="AH817" t="s">
        <v>557</v>
      </c>
      <c r="AI817" t="s">
        <v>558</v>
      </c>
      <c r="AJ817" s="8" t="str">
        <f>"85122"</f>
        <v>85122</v>
      </c>
      <c r="AK817" t="s">
        <v>118</v>
      </c>
      <c r="AM817" s="10">
        <v>16023632677</v>
      </c>
      <c r="AN817" s="3" t="s">
        <v>256</v>
      </c>
      <c r="AO817" t="s">
        <v>11246</v>
      </c>
      <c r="AP817" t="s">
        <v>248</v>
      </c>
      <c r="AQ817" t="s">
        <v>249</v>
      </c>
      <c r="AR817" t="s">
        <v>250</v>
      </c>
      <c r="AS817" t="s">
        <v>251</v>
      </c>
      <c r="AT817" t="s">
        <v>252</v>
      </c>
      <c r="AU817" t="s">
        <v>253</v>
      </c>
      <c r="AV817" t="s">
        <v>254</v>
      </c>
      <c r="AW817" t="s">
        <v>127</v>
      </c>
      <c r="AX817" s="8" t="str">
        <f>"78550"</f>
        <v>78550</v>
      </c>
      <c r="AY817" t="s">
        <v>118</v>
      </c>
      <c r="AZ817" t="s">
        <v>255</v>
      </c>
      <c r="BA817" s="10">
        <v>19564408720</v>
      </c>
      <c r="BB817" s="3" t="s">
        <v>256</v>
      </c>
      <c r="BC817" t="s">
        <v>338</v>
      </c>
      <c r="BD817" t="s">
        <v>258</v>
      </c>
      <c r="BG817" t="s">
        <v>558</v>
      </c>
      <c r="BH817" s="1">
        <v>45212.833333333336</v>
      </c>
      <c r="BI817">
        <v>40</v>
      </c>
      <c r="BJ817">
        <v>8</v>
      </c>
      <c r="BK817">
        <v>0</v>
      </c>
      <c r="BL817">
        <v>0</v>
      </c>
      <c r="BM817">
        <v>8</v>
      </c>
      <c r="BN817">
        <v>8</v>
      </c>
      <c r="BO817">
        <v>8</v>
      </c>
      <c r="BP817">
        <v>8</v>
      </c>
      <c r="BQ817" t="str">
        <f>"1:00 PM"</f>
        <v>1:00 PM</v>
      </c>
      <c r="BR817" t="str">
        <f>"10:00 PM"</f>
        <v>10:00 PM</v>
      </c>
      <c r="BS817" t="s">
        <v>131</v>
      </c>
      <c r="BT817">
        <v>0</v>
      </c>
      <c r="BU817">
        <v>0</v>
      </c>
      <c r="BV817" t="s">
        <v>114</v>
      </c>
      <c r="BX817" s="2" t="s">
        <v>2396</v>
      </c>
      <c r="BY817" t="s">
        <v>11243</v>
      </c>
      <c r="CA817" t="s">
        <v>557</v>
      </c>
      <c r="CB817" t="s">
        <v>558</v>
      </c>
      <c r="CC817" s="8" t="str">
        <f>"85122"</f>
        <v>85122</v>
      </c>
      <c r="CD817" t="s">
        <v>564</v>
      </c>
      <c r="CE817" t="s">
        <v>565</v>
      </c>
      <c r="CF817" s="12">
        <v>12.02</v>
      </c>
      <c r="CG817" s="12">
        <v>17.25</v>
      </c>
      <c r="CJ817" t="s">
        <v>135</v>
      </c>
      <c r="CK817" t="s">
        <v>342</v>
      </c>
      <c r="CL817" t="s">
        <v>11247</v>
      </c>
      <c r="CO817" t="s">
        <v>132</v>
      </c>
      <c r="CP817" t="s">
        <v>136</v>
      </c>
      <c r="CQ817" t="s">
        <v>136</v>
      </c>
      <c r="CR817" t="s">
        <v>114</v>
      </c>
      <c r="CS817" t="s">
        <v>136</v>
      </c>
      <c r="CT817" t="s">
        <v>136</v>
      </c>
      <c r="CU817" t="s">
        <v>136</v>
      </c>
      <c r="CV817" t="s">
        <v>344</v>
      </c>
      <c r="CW817" s="10" t="str">
        <f>"+16023632677"</f>
        <v>+16023632677</v>
      </c>
      <c r="CX817" t="s">
        <v>11246</v>
      </c>
      <c r="CY817" t="s">
        <v>132</v>
      </c>
      <c r="CZ817" t="s">
        <v>137</v>
      </c>
      <c r="DA817" t="s">
        <v>114</v>
      </c>
      <c r="DB817" t="s">
        <v>136</v>
      </c>
      <c r="DC817" t="s">
        <v>136</v>
      </c>
      <c r="DD817" t="s">
        <v>114</v>
      </c>
    </row>
    <row r="818" spans="1:113" ht="15" customHeight="1" x14ac:dyDescent="0.25">
      <c r="A818" t="s">
        <v>12630</v>
      </c>
      <c r="B818" t="s">
        <v>152</v>
      </c>
      <c r="C818" s="1">
        <v>45211.746464467593</v>
      </c>
      <c r="D818" s="1">
        <v>45250</v>
      </c>
      <c r="E818" t="s">
        <v>132</v>
      </c>
      <c r="F818" t="s">
        <v>12631</v>
      </c>
      <c r="G818" t="str">
        <f>"35-3023.00"</f>
        <v>35-3023.00</v>
      </c>
      <c r="H818" t="s">
        <v>1365</v>
      </c>
      <c r="I818">
        <v>5</v>
      </c>
      <c r="J818">
        <v>5</v>
      </c>
      <c r="K818" s="1">
        <v>45301</v>
      </c>
      <c r="L818" s="1">
        <v>45605</v>
      </c>
      <c r="M818" s="1">
        <v>45301</v>
      </c>
      <c r="N818" s="1">
        <v>45605</v>
      </c>
      <c r="O818" t="s">
        <v>238</v>
      </c>
      <c r="P818" t="s">
        <v>12632</v>
      </c>
      <c r="R818" t="s">
        <v>12633</v>
      </c>
      <c r="T818" t="s">
        <v>12634</v>
      </c>
      <c r="U818" t="s">
        <v>984</v>
      </c>
      <c r="V818" s="8" t="str">
        <f>"63043"</f>
        <v>63043</v>
      </c>
      <c r="W818" t="s">
        <v>118</v>
      </c>
      <c r="Y818" s="10">
        <v>13146800595</v>
      </c>
      <c r="AA818">
        <v>7139</v>
      </c>
      <c r="AB818" t="s">
        <v>12635</v>
      </c>
      <c r="AC818" t="s">
        <v>12636</v>
      </c>
      <c r="AD818" t="s">
        <v>2297</v>
      </c>
      <c r="AE818" t="s">
        <v>561</v>
      </c>
      <c r="AF818" t="s">
        <v>12633</v>
      </c>
      <c r="AH818" t="s">
        <v>12634</v>
      </c>
      <c r="AI818" t="s">
        <v>984</v>
      </c>
      <c r="AJ818" s="8" t="str">
        <f>"63043"</f>
        <v>63043</v>
      </c>
      <c r="AK818" t="s">
        <v>118</v>
      </c>
      <c r="AL818" t="s">
        <v>12637</v>
      </c>
      <c r="AM818" s="10">
        <v>13146800595</v>
      </c>
      <c r="AO818" t="s">
        <v>12638</v>
      </c>
      <c r="AP818" t="s">
        <v>248</v>
      </c>
      <c r="AQ818" t="s">
        <v>249</v>
      </c>
      <c r="AR818" t="s">
        <v>250</v>
      </c>
      <c r="AS818" t="s">
        <v>251</v>
      </c>
      <c r="AT818" t="s">
        <v>252</v>
      </c>
      <c r="AU818" t="s">
        <v>253</v>
      </c>
      <c r="AV818" t="s">
        <v>254</v>
      </c>
      <c r="AW818" t="s">
        <v>127</v>
      </c>
      <c r="AX818" s="8" t="str">
        <f>"78550"</f>
        <v>78550</v>
      </c>
      <c r="AY818" t="s">
        <v>118</v>
      </c>
      <c r="AZ818" t="s">
        <v>255</v>
      </c>
      <c r="BA818" s="10">
        <v>19564408720</v>
      </c>
      <c r="BB818" s="3" t="s">
        <v>256</v>
      </c>
      <c r="BC818" t="s">
        <v>257</v>
      </c>
      <c r="BD818" t="s">
        <v>258</v>
      </c>
      <c r="BG818" t="s">
        <v>984</v>
      </c>
      <c r="BH818" s="1">
        <v>45210.833333333336</v>
      </c>
      <c r="BI818">
        <v>40</v>
      </c>
      <c r="BJ818">
        <v>8</v>
      </c>
      <c r="BK818">
        <v>0</v>
      </c>
      <c r="BL818">
        <v>0</v>
      </c>
      <c r="BM818">
        <v>8</v>
      </c>
      <c r="BN818">
        <v>8</v>
      </c>
      <c r="BO818">
        <v>8</v>
      </c>
      <c r="BP818">
        <v>8</v>
      </c>
      <c r="BQ818" t="str">
        <f>"1:00 PM"</f>
        <v>1:00 PM</v>
      </c>
      <c r="BR818" t="str">
        <f>"10:00 PM"</f>
        <v>10:00 PM</v>
      </c>
      <c r="BS818" t="s">
        <v>131</v>
      </c>
      <c r="BT818">
        <v>0</v>
      </c>
      <c r="BU818">
        <v>0</v>
      </c>
      <c r="BV818" t="s">
        <v>114</v>
      </c>
      <c r="BX818" s="2" t="s">
        <v>259</v>
      </c>
      <c r="BY818" t="s">
        <v>12633</v>
      </c>
      <c r="CA818" t="s">
        <v>12634</v>
      </c>
      <c r="CB818" t="s">
        <v>984</v>
      </c>
      <c r="CC818" s="8" t="str">
        <f>"63043"</f>
        <v>63043</v>
      </c>
      <c r="CD818" t="s">
        <v>2851</v>
      </c>
      <c r="CE818" t="s">
        <v>1856</v>
      </c>
      <c r="CF818" s="12">
        <v>11.78</v>
      </c>
      <c r="CG818" s="12">
        <v>14.28</v>
      </c>
      <c r="CJ818" t="s">
        <v>135</v>
      </c>
      <c r="CK818" t="s">
        <v>264</v>
      </c>
      <c r="CL818" t="s">
        <v>12639</v>
      </c>
      <c r="CO818" t="s">
        <v>132</v>
      </c>
      <c r="CP818" t="s">
        <v>136</v>
      </c>
      <c r="CQ818" t="s">
        <v>136</v>
      </c>
      <c r="CR818" t="s">
        <v>114</v>
      </c>
      <c r="CS818" t="s">
        <v>136</v>
      </c>
      <c r="CT818" t="s">
        <v>136</v>
      </c>
      <c r="CU818" t="s">
        <v>136</v>
      </c>
      <c r="CV818" t="s">
        <v>266</v>
      </c>
      <c r="CW818" s="10" t="str">
        <f>"+13146800595"</f>
        <v>+13146800595</v>
      </c>
      <c r="CX818" t="s">
        <v>12638</v>
      </c>
      <c r="CY818" t="s">
        <v>132</v>
      </c>
      <c r="CZ818" t="s">
        <v>137</v>
      </c>
      <c r="DA818" t="s">
        <v>114</v>
      </c>
      <c r="DB818" t="s">
        <v>136</v>
      </c>
      <c r="DC818" t="s">
        <v>136</v>
      </c>
      <c r="DD818" t="s">
        <v>114</v>
      </c>
    </row>
    <row r="819" spans="1:113" ht="15" customHeight="1" x14ac:dyDescent="0.25">
      <c r="A819" t="s">
        <v>16106</v>
      </c>
      <c r="B819" t="s">
        <v>152</v>
      </c>
      <c r="C819" s="1">
        <v>45209.465551620371</v>
      </c>
      <c r="D819" s="1">
        <v>45250</v>
      </c>
      <c r="E819" t="s">
        <v>132</v>
      </c>
      <c r="F819" t="s">
        <v>2715</v>
      </c>
      <c r="G819" t="str">
        <f>"35-3023.00"</f>
        <v>35-3023.00</v>
      </c>
      <c r="H819" t="s">
        <v>1365</v>
      </c>
      <c r="I819">
        <v>12</v>
      </c>
      <c r="J819">
        <v>12</v>
      </c>
      <c r="K819" s="1">
        <v>45297</v>
      </c>
      <c r="L819" s="1">
        <v>45585</v>
      </c>
      <c r="M819" s="1">
        <v>45297</v>
      </c>
      <c r="N819" s="1">
        <v>45585</v>
      </c>
      <c r="O819" t="s">
        <v>238</v>
      </c>
      <c r="P819" t="s">
        <v>16107</v>
      </c>
      <c r="Q819" t="s">
        <v>16108</v>
      </c>
      <c r="R819" t="s">
        <v>16109</v>
      </c>
      <c r="T819" t="s">
        <v>927</v>
      </c>
      <c r="U819" t="s">
        <v>543</v>
      </c>
      <c r="V819" s="8" t="str">
        <f>"43506"</f>
        <v>43506</v>
      </c>
      <c r="W819" t="s">
        <v>118</v>
      </c>
      <c r="Y819" s="10">
        <v>14195536699</v>
      </c>
      <c r="AA819">
        <v>445292</v>
      </c>
      <c r="AB819" t="s">
        <v>13967</v>
      </c>
      <c r="AC819" t="s">
        <v>10470</v>
      </c>
      <c r="AE819" t="s">
        <v>561</v>
      </c>
      <c r="AF819" t="s">
        <v>16109</v>
      </c>
      <c r="AH819" t="s">
        <v>927</v>
      </c>
      <c r="AI819" t="s">
        <v>543</v>
      </c>
      <c r="AJ819" s="8" t="str">
        <f>"43506"</f>
        <v>43506</v>
      </c>
      <c r="AK819" t="s">
        <v>118</v>
      </c>
      <c r="AM819" s="10">
        <v>14195536699</v>
      </c>
      <c r="AO819" t="s">
        <v>16110</v>
      </c>
      <c r="AP819" t="s">
        <v>121</v>
      </c>
      <c r="AQ819" t="s">
        <v>1842</v>
      </c>
      <c r="AR819" t="s">
        <v>1843</v>
      </c>
      <c r="AT819" t="s">
        <v>1844</v>
      </c>
      <c r="AU819" t="s">
        <v>1845</v>
      </c>
      <c r="AV819" t="s">
        <v>1846</v>
      </c>
      <c r="AW819" t="s">
        <v>581</v>
      </c>
      <c r="AX819" s="8" t="str">
        <f>"24590"</f>
        <v>24590</v>
      </c>
      <c r="AY819" t="s">
        <v>118</v>
      </c>
      <c r="BA819" s="10">
        <v>14349981102</v>
      </c>
      <c r="BC819" t="s">
        <v>1847</v>
      </c>
      <c r="BD819" t="s">
        <v>1848</v>
      </c>
      <c r="BE819" t="s">
        <v>581</v>
      </c>
      <c r="BF819" t="s">
        <v>1849</v>
      </c>
      <c r="BG819" t="s">
        <v>543</v>
      </c>
      <c r="BH819" s="1">
        <v>45208.833333333336</v>
      </c>
      <c r="BI819">
        <v>35</v>
      </c>
      <c r="BJ819">
        <v>0</v>
      </c>
      <c r="BK819">
        <v>7</v>
      </c>
      <c r="BL819">
        <v>7</v>
      </c>
      <c r="BM819">
        <v>7</v>
      </c>
      <c r="BN819">
        <v>7</v>
      </c>
      <c r="BO819">
        <v>7</v>
      </c>
      <c r="BP819">
        <v>0</v>
      </c>
      <c r="BQ819" t="str">
        <f>"9:00 AM"</f>
        <v>9:00 AM</v>
      </c>
      <c r="BR819" t="str">
        <f>"11:00 PM"</f>
        <v>11:00 PM</v>
      </c>
      <c r="BS819" t="s">
        <v>131</v>
      </c>
      <c r="BT819">
        <v>0</v>
      </c>
      <c r="BU819">
        <v>0</v>
      </c>
      <c r="BV819" t="s">
        <v>114</v>
      </c>
      <c r="BX819" s="2" t="s">
        <v>7776</v>
      </c>
      <c r="BY819" t="s">
        <v>16109</v>
      </c>
      <c r="CA819" t="s">
        <v>927</v>
      </c>
      <c r="CB819" t="s">
        <v>543</v>
      </c>
      <c r="CC819" s="8" t="str">
        <f>"43506"</f>
        <v>43506</v>
      </c>
      <c r="CD819" t="s">
        <v>3818</v>
      </c>
      <c r="CE819" t="s">
        <v>2574</v>
      </c>
      <c r="CF819" s="12">
        <v>10.28</v>
      </c>
      <c r="CG819" s="12">
        <v>13.89</v>
      </c>
      <c r="CJ819" t="s">
        <v>135</v>
      </c>
      <c r="CK819" t="s">
        <v>16111</v>
      </c>
      <c r="CL819" t="s">
        <v>16112</v>
      </c>
      <c r="CO819" t="s">
        <v>132</v>
      </c>
      <c r="CP819" t="s">
        <v>136</v>
      </c>
      <c r="CQ819" t="s">
        <v>136</v>
      </c>
      <c r="CR819" t="s">
        <v>114</v>
      </c>
      <c r="CS819" t="s">
        <v>136</v>
      </c>
      <c r="CT819" t="s">
        <v>136</v>
      </c>
      <c r="CU819" t="s">
        <v>136</v>
      </c>
      <c r="CV819" s="2" t="s">
        <v>16113</v>
      </c>
      <c r="CW819" s="10" t="str">
        <f>"+14195536699"</f>
        <v>+14195536699</v>
      </c>
      <c r="CX819" t="s">
        <v>16110</v>
      </c>
      <c r="CY819" t="s">
        <v>132</v>
      </c>
      <c r="CZ819" t="s">
        <v>137</v>
      </c>
      <c r="DA819" t="s">
        <v>114</v>
      </c>
      <c r="DB819" t="s">
        <v>136</v>
      </c>
      <c r="DC819" t="s">
        <v>136</v>
      </c>
      <c r="DD819" t="s">
        <v>114</v>
      </c>
    </row>
    <row r="820" spans="1:113" ht="15" customHeight="1" x14ac:dyDescent="0.25">
      <c r="A820" t="s">
        <v>12554</v>
      </c>
      <c r="B820" t="s">
        <v>152</v>
      </c>
      <c r="C820" s="1">
        <v>45208.033992476849</v>
      </c>
      <c r="D820" s="1">
        <v>45250</v>
      </c>
      <c r="E820" t="s">
        <v>132</v>
      </c>
      <c r="F820" t="s">
        <v>1247</v>
      </c>
      <c r="G820" t="str">
        <f>"45-4011.00"</f>
        <v>45-4011.00</v>
      </c>
      <c r="H820" t="s">
        <v>842</v>
      </c>
      <c r="I820">
        <v>25</v>
      </c>
      <c r="J820">
        <v>25</v>
      </c>
      <c r="K820" s="1">
        <v>45298</v>
      </c>
      <c r="L820" s="1">
        <v>45596</v>
      </c>
      <c r="M820" s="1">
        <v>45298</v>
      </c>
      <c r="N820" s="1">
        <v>45596</v>
      </c>
      <c r="O820" t="s">
        <v>116</v>
      </c>
      <c r="P820" t="s">
        <v>12555</v>
      </c>
      <c r="R820" t="s">
        <v>12556</v>
      </c>
      <c r="T820" t="s">
        <v>2906</v>
      </c>
      <c r="U820" t="s">
        <v>479</v>
      </c>
      <c r="V820" s="8" t="str">
        <f>"97501"</f>
        <v>97501</v>
      </c>
      <c r="W820" t="s">
        <v>118</v>
      </c>
      <c r="Y820" s="10">
        <v>14586581008</v>
      </c>
      <c r="AA820">
        <v>115310</v>
      </c>
      <c r="AB820" t="s">
        <v>12557</v>
      </c>
      <c r="AC820" t="s">
        <v>12558</v>
      </c>
      <c r="AD820" t="s">
        <v>132</v>
      </c>
      <c r="AE820" t="s">
        <v>1283</v>
      </c>
      <c r="AF820" t="s">
        <v>12556</v>
      </c>
      <c r="AH820" t="s">
        <v>2906</v>
      </c>
      <c r="AI820" t="s">
        <v>479</v>
      </c>
      <c r="AJ820" s="8" t="str">
        <f>"97501"</f>
        <v>97501</v>
      </c>
      <c r="AK820" t="s">
        <v>118</v>
      </c>
      <c r="AM820" s="10">
        <v>14586581008</v>
      </c>
      <c r="AO820" t="s">
        <v>12559</v>
      </c>
      <c r="AP820" t="s">
        <v>248</v>
      </c>
      <c r="AQ820" t="s">
        <v>1030</v>
      </c>
      <c r="AR820" t="s">
        <v>1031</v>
      </c>
      <c r="AS820" t="s">
        <v>132</v>
      </c>
      <c r="AT820" t="s">
        <v>1253</v>
      </c>
      <c r="AU820" t="s">
        <v>852</v>
      </c>
      <c r="AV820" t="s">
        <v>853</v>
      </c>
      <c r="AW820" t="s">
        <v>854</v>
      </c>
      <c r="AX820" s="8" t="str">
        <f>"83814"</f>
        <v>83814</v>
      </c>
      <c r="AY820" t="s">
        <v>118</v>
      </c>
      <c r="BA820" s="10">
        <v>12087772654</v>
      </c>
      <c r="BC820" t="s">
        <v>2080</v>
      </c>
      <c r="BD820" t="s">
        <v>856</v>
      </c>
      <c r="BG820" t="s">
        <v>479</v>
      </c>
      <c r="BH820" s="1">
        <v>45200.833333333336</v>
      </c>
      <c r="BI820">
        <v>40</v>
      </c>
      <c r="BJ820">
        <v>0</v>
      </c>
      <c r="BK820">
        <v>8</v>
      </c>
      <c r="BL820">
        <v>8</v>
      </c>
      <c r="BM820">
        <v>8</v>
      </c>
      <c r="BN820">
        <v>8</v>
      </c>
      <c r="BO820">
        <v>8</v>
      </c>
      <c r="BP820">
        <v>0</v>
      </c>
      <c r="BQ820" t="str">
        <f>"6:00 AM"</f>
        <v>6:00 AM</v>
      </c>
      <c r="BR820" t="str">
        <f>"3:00 PM"</f>
        <v>3:00 PM</v>
      </c>
      <c r="BS820" t="s">
        <v>131</v>
      </c>
      <c r="BT820">
        <v>0</v>
      </c>
      <c r="BU820">
        <v>2</v>
      </c>
      <c r="BV820" t="s">
        <v>114</v>
      </c>
      <c r="BX820" t="s">
        <v>6653</v>
      </c>
      <c r="BY820" t="s">
        <v>12560</v>
      </c>
      <c r="CA820" t="s">
        <v>2906</v>
      </c>
      <c r="CB820" t="s">
        <v>479</v>
      </c>
      <c r="CC820" s="8" t="str">
        <f>"97501"</f>
        <v>97501</v>
      </c>
      <c r="CD820" t="s">
        <v>859</v>
      </c>
      <c r="CE820" t="s">
        <v>860</v>
      </c>
      <c r="CF820" s="12">
        <v>12.21</v>
      </c>
      <c r="CG820" s="12">
        <v>34.5</v>
      </c>
      <c r="CH820" s="12">
        <v>18.32</v>
      </c>
      <c r="CI820" s="12">
        <v>51.75</v>
      </c>
      <c r="CJ820" t="s">
        <v>135</v>
      </c>
      <c r="CK820" t="s">
        <v>861</v>
      </c>
      <c r="CL820" t="s">
        <v>12561</v>
      </c>
      <c r="CO820" t="s">
        <v>132</v>
      </c>
      <c r="CP820" t="s">
        <v>136</v>
      </c>
      <c r="CQ820" t="s">
        <v>136</v>
      </c>
      <c r="CR820" t="s">
        <v>136</v>
      </c>
      <c r="CS820" t="s">
        <v>114</v>
      </c>
      <c r="CT820" t="s">
        <v>136</v>
      </c>
      <c r="CU820" t="s">
        <v>136</v>
      </c>
      <c r="CV820" t="s">
        <v>1040</v>
      </c>
      <c r="CW820" s="10" t="str">
        <f>"+14586581008"</f>
        <v>+14586581008</v>
      </c>
      <c r="CX820" t="s">
        <v>12559</v>
      </c>
      <c r="CY820" t="s">
        <v>132</v>
      </c>
      <c r="CZ820" t="s">
        <v>137</v>
      </c>
      <c r="DA820" t="s">
        <v>114</v>
      </c>
      <c r="DB820" t="s">
        <v>114</v>
      </c>
      <c r="DC820" t="s">
        <v>136</v>
      </c>
      <c r="DD820" t="s">
        <v>114</v>
      </c>
    </row>
    <row r="821" spans="1:113" ht="15" customHeight="1" x14ac:dyDescent="0.25">
      <c r="A821" t="s">
        <v>11150</v>
      </c>
      <c r="B821" t="s">
        <v>152</v>
      </c>
      <c r="C821" s="1">
        <v>45207.347689236114</v>
      </c>
      <c r="D821" s="1">
        <v>45250</v>
      </c>
      <c r="E821" t="s">
        <v>132</v>
      </c>
      <c r="F821" t="s">
        <v>11151</v>
      </c>
      <c r="G821" t="str">
        <f>"35-3023.00"</f>
        <v>35-3023.00</v>
      </c>
      <c r="H821" t="s">
        <v>1365</v>
      </c>
      <c r="I821">
        <v>45</v>
      </c>
      <c r="J821">
        <v>45</v>
      </c>
      <c r="K821" s="1">
        <v>45297</v>
      </c>
      <c r="L821" s="1">
        <v>45601</v>
      </c>
      <c r="M821" s="1">
        <v>45297</v>
      </c>
      <c r="N821" s="1">
        <v>45601</v>
      </c>
      <c r="O821" t="s">
        <v>238</v>
      </c>
      <c r="P821" t="s">
        <v>11152</v>
      </c>
      <c r="Q821" t="s">
        <v>11153</v>
      </c>
      <c r="R821" t="s">
        <v>11154</v>
      </c>
      <c r="S821" t="s">
        <v>11155</v>
      </c>
      <c r="T821" t="s">
        <v>11156</v>
      </c>
      <c r="U821" t="s">
        <v>984</v>
      </c>
      <c r="V821" s="8" t="str">
        <f>"64801"</f>
        <v>64801</v>
      </c>
      <c r="W821" t="s">
        <v>118</v>
      </c>
      <c r="Y821" s="10">
        <v>12198517711</v>
      </c>
      <c r="AA821">
        <v>71399</v>
      </c>
      <c r="AB821" t="s">
        <v>2735</v>
      </c>
      <c r="AC821" t="s">
        <v>11157</v>
      </c>
      <c r="AE821" t="s">
        <v>629</v>
      </c>
      <c r="AF821" t="s">
        <v>11154</v>
      </c>
      <c r="AG821" t="s">
        <v>11155</v>
      </c>
      <c r="AH821" t="s">
        <v>11156</v>
      </c>
      <c r="AI821" t="s">
        <v>984</v>
      </c>
      <c r="AJ821" s="8" t="str">
        <f>"64801"</f>
        <v>64801</v>
      </c>
      <c r="AK821" t="s">
        <v>118</v>
      </c>
      <c r="AM821" s="10">
        <v>12198517711</v>
      </c>
      <c r="AO821" t="s">
        <v>11158</v>
      </c>
      <c r="AP821" t="s">
        <v>248</v>
      </c>
      <c r="AQ821" t="s">
        <v>249</v>
      </c>
      <c r="AR821" t="s">
        <v>250</v>
      </c>
      <c r="AS821" t="s">
        <v>251</v>
      </c>
      <c r="AT821" t="s">
        <v>252</v>
      </c>
      <c r="AU821" t="s">
        <v>253</v>
      </c>
      <c r="AV821" t="s">
        <v>254</v>
      </c>
      <c r="AW821" t="s">
        <v>127</v>
      </c>
      <c r="AX821" s="8" t="str">
        <f>"78550"</f>
        <v>78550</v>
      </c>
      <c r="AY821" t="s">
        <v>118</v>
      </c>
      <c r="AZ821" t="s">
        <v>255</v>
      </c>
      <c r="BA821" s="10">
        <v>19564408720</v>
      </c>
      <c r="BB821" s="3" t="s">
        <v>256</v>
      </c>
      <c r="BC821" t="s">
        <v>257</v>
      </c>
      <c r="BD821" t="s">
        <v>258</v>
      </c>
      <c r="BG821" t="s">
        <v>984</v>
      </c>
      <c r="BH821" s="1">
        <v>45206.833333333336</v>
      </c>
      <c r="BI821">
        <v>40</v>
      </c>
      <c r="BJ821">
        <v>8</v>
      </c>
      <c r="BK821">
        <v>0</v>
      </c>
      <c r="BL821">
        <v>0</v>
      </c>
      <c r="BM821">
        <v>8</v>
      </c>
      <c r="BN821">
        <v>8</v>
      </c>
      <c r="BO821">
        <v>8</v>
      </c>
      <c r="BP821">
        <v>8</v>
      </c>
      <c r="BQ821" t="str">
        <f>"1:00 PM"</f>
        <v>1:00 PM</v>
      </c>
      <c r="BR821" t="str">
        <f>"10:00 PM"</f>
        <v>10:00 PM</v>
      </c>
      <c r="BS821" t="s">
        <v>131</v>
      </c>
      <c r="BT821">
        <v>0</v>
      </c>
      <c r="BU821">
        <v>0</v>
      </c>
      <c r="BV821" t="s">
        <v>114</v>
      </c>
      <c r="BX821" s="2" t="s">
        <v>259</v>
      </c>
      <c r="BY821" t="s">
        <v>11154</v>
      </c>
      <c r="CA821" t="s">
        <v>11156</v>
      </c>
      <c r="CB821" t="s">
        <v>984</v>
      </c>
      <c r="CC821" s="8" t="str">
        <f>"64801"</f>
        <v>64801</v>
      </c>
      <c r="CD821" t="s">
        <v>2409</v>
      </c>
      <c r="CE821" t="s">
        <v>9407</v>
      </c>
      <c r="CF821" s="12">
        <v>10.43</v>
      </c>
      <c r="CG821" s="12">
        <v>14.4</v>
      </c>
      <c r="CJ821" t="s">
        <v>135</v>
      </c>
      <c r="CK821" t="s">
        <v>264</v>
      </c>
      <c r="CL821" t="s">
        <v>11159</v>
      </c>
      <c r="CO821" t="s">
        <v>132</v>
      </c>
      <c r="CP821" t="s">
        <v>136</v>
      </c>
      <c r="CQ821" t="s">
        <v>136</v>
      </c>
      <c r="CR821" t="s">
        <v>114</v>
      </c>
      <c r="CS821" t="s">
        <v>136</v>
      </c>
      <c r="CT821" t="s">
        <v>136</v>
      </c>
      <c r="CU821" t="s">
        <v>136</v>
      </c>
      <c r="CV821" t="s">
        <v>2258</v>
      </c>
      <c r="CW821" s="10" t="str">
        <f>"+12198517711"</f>
        <v>+12198517711</v>
      </c>
      <c r="CX821" t="s">
        <v>11158</v>
      </c>
      <c r="CY821" t="s">
        <v>132</v>
      </c>
      <c r="CZ821" t="s">
        <v>137</v>
      </c>
      <c r="DA821" t="s">
        <v>114</v>
      </c>
      <c r="DB821" t="s">
        <v>136</v>
      </c>
      <c r="DC821" t="s">
        <v>136</v>
      </c>
      <c r="DD821" t="s">
        <v>114</v>
      </c>
    </row>
    <row r="822" spans="1:113" ht="15" customHeight="1" x14ac:dyDescent="0.25">
      <c r="A822" t="s">
        <v>9377</v>
      </c>
      <c r="B822" t="s">
        <v>152</v>
      </c>
      <c r="C822" s="1">
        <v>45205.276420486109</v>
      </c>
      <c r="D822" s="1">
        <v>45250</v>
      </c>
      <c r="E822" t="s">
        <v>132</v>
      </c>
      <c r="F822" t="s">
        <v>665</v>
      </c>
      <c r="G822" t="str">
        <f>"37-3013.00"</f>
        <v>37-3013.00</v>
      </c>
      <c r="H822" t="s">
        <v>666</v>
      </c>
      <c r="I822">
        <v>6</v>
      </c>
      <c r="J822">
        <v>6</v>
      </c>
      <c r="K822" s="1">
        <v>45295</v>
      </c>
      <c r="L822" s="1">
        <v>45600</v>
      </c>
      <c r="M822" s="1">
        <v>45295</v>
      </c>
      <c r="N822" s="1">
        <v>45600</v>
      </c>
      <c r="O822" t="s">
        <v>116</v>
      </c>
      <c r="P822" t="s">
        <v>9378</v>
      </c>
      <c r="R822" t="s">
        <v>668</v>
      </c>
      <c r="T822" t="s">
        <v>669</v>
      </c>
      <c r="U822" t="s">
        <v>127</v>
      </c>
      <c r="V822" s="8" t="str">
        <f>"77598"</f>
        <v>77598</v>
      </c>
      <c r="W822" t="s">
        <v>118</v>
      </c>
      <c r="Y822" s="10">
        <v>12812801100</v>
      </c>
      <c r="AA822">
        <v>56173</v>
      </c>
      <c r="AB822" t="s">
        <v>670</v>
      </c>
      <c r="AC822" t="s">
        <v>671</v>
      </c>
      <c r="AE822" t="s">
        <v>405</v>
      </c>
      <c r="AF822" t="s">
        <v>668</v>
      </c>
      <c r="AH822" t="s">
        <v>669</v>
      </c>
      <c r="AI822" t="s">
        <v>127</v>
      </c>
      <c r="AJ822" s="8" t="str">
        <f>"77598"</f>
        <v>77598</v>
      </c>
      <c r="AK822" t="s">
        <v>118</v>
      </c>
      <c r="AM822" s="10">
        <v>12812801100</v>
      </c>
      <c r="AO822" t="s">
        <v>672</v>
      </c>
      <c r="AP822" t="s">
        <v>248</v>
      </c>
      <c r="AQ822" t="s">
        <v>673</v>
      </c>
      <c r="AR822" t="s">
        <v>674</v>
      </c>
      <c r="AT822" t="s">
        <v>579</v>
      </c>
      <c r="AV822" t="s">
        <v>580</v>
      </c>
      <c r="AW822" t="s">
        <v>581</v>
      </c>
      <c r="AX822" s="8" t="str">
        <f>"22903"</f>
        <v>22903</v>
      </c>
      <c r="AY822" t="s">
        <v>118</v>
      </c>
      <c r="BA822" s="10">
        <v>14342634300</v>
      </c>
      <c r="BC822" t="s">
        <v>675</v>
      </c>
      <c r="BD822" t="s">
        <v>583</v>
      </c>
      <c r="BG822" t="s">
        <v>127</v>
      </c>
      <c r="BH822" s="1">
        <v>45204.833333333336</v>
      </c>
      <c r="BI822">
        <v>40</v>
      </c>
      <c r="BJ822">
        <v>0</v>
      </c>
      <c r="BK822">
        <v>8</v>
      </c>
      <c r="BL822">
        <v>8</v>
      </c>
      <c r="BM822">
        <v>8</v>
      </c>
      <c r="BN822">
        <v>8</v>
      </c>
      <c r="BO822">
        <v>8</v>
      </c>
      <c r="BP822">
        <v>0</v>
      </c>
      <c r="BQ822" t="str">
        <f>"7:00 AM"</f>
        <v>7:00 AM</v>
      </c>
      <c r="BR822" t="str">
        <f>"4:00 PM"</f>
        <v>4:00 PM</v>
      </c>
      <c r="BS822" t="s">
        <v>131</v>
      </c>
      <c r="BT822">
        <v>0</v>
      </c>
      <c r="BU822">
        <v>0</v>
      </c>
      <c r="BV822" t="s">
        <v>114</v>
      </c>
      <c r="BX822" s="2" t="s">
        <v>676</v>
      </c>
      <c r="BY822" t="s">
        <v>9379</v>
      </c>
      <c r="CA822" t="s">
        <v>1559</v>
      </c>
      <c r="CB822" t="s">
        <v>127</v>
      </c>
      <c r="CC822" s="8" t="str">
        <f>"77901"</f>
        <v>77901</v>
      </c>
      <c r="CD822" t="s">
        <v>4843</v>
      </c>
      <c r="CE822" t="s">
        <v>4844</v>
      </c>
      <c r="CF822" s="12">
        <v>17.899999999999999</v>
      </c>
      <c r="CH822" s="12">
        <v>26.85</v>
      </c>
      <c r="CJ822" t="s">
        <v>135</v>
      </c>
      <c r="CK822" t="s">
        <v>590</v>
      </c>
      <c r="CL822" t="s">
        <v>9380</v>
      </c>
      <c r="CO822" t="s">
        <v>132</v>
      </c>
      <c r="CP822" t="s">
        <v>136</v>
      </c>
      <c r="CQ822" t="s">
        <v>114</v>
      </c>
      <c r="CR822" t="s">
        <v>136</v>
      </c>
      <c r="CS822" t="s">
        <v>136</v>
      </c>
      <c r="CT822" t="s">
        <v>136</v>
      </c>
      <c r="CU822" t="s">
        <v>136</v>
      </c>
      <c r="CV822" t="s">
        <v>681</v>
      </c>
      <c r="CW822" s="10" t="str">
        <f>"N/A"</f>
        <v>N/A</v>
      </c>
      <c r="CX822" t="s">
        <v>682</v>
      </c>
      <c r="CY822" t="s">
        <v>1853</v>
      </c>
      <c r="CZ822" t="s">
        <v>137</v>
      </c>
      <c r="DA822" t="s">
        <v>114</v>
      </c>
      <c r="DB822" t="s">
        <v>136</v>
      </c>
      <c r="DC822" t="s">
        <v>136</v>
      </c>
      <c r="DD822" t="s">
        <v>114</v>
      </c>
      <c r="DE822" t="s">
        <v>673</v>
      </c>
      <c r="DF822" t="s">
        <v>674</v>
      </c>
      <c r="DH822" t="s">
        <v>583</v>
      </c>
      <c r="DI822" t="s">
        <v>675</v>
      </c>
    </row>
    <row r="823" spans="1:113" ht="15" customHeight="1" x14ac:dyDescent="0.25">
      <c r="A823" t="s">
        <v>7461</v>
      </c>
      <c r="B823" t="s">
        <v>152</v>
      </c>
      <c r="C823" s="1">
        <v>45205.273152893518</v>
      </c>
      <c r="D823" s="1">
        <v>45250</v>
      </c>
      <c r="E823" t="s">
        <v>132</v>
      </c>
      <c r="F823" t="s">
        <v>7462</v>
      </c>
      <c r="G823" t="str">
        <f>"37-1012.00"</f>
        <v>37-1012.00</v>
      </c>
      <c r="H823" t="s">
        <v>3140</v>
      </c>
      <c r="I823">
        <v>3</v>
      </c>
      <c r="J823">
        <v>3</v>
      </c>
      <c r="K823" s="1">
        <v>45295</v>
      </c>
      <c r="L823" s="1">
        <v>45600</v>
      </c>
      <c r="M823" s="1">
        <v>45295</v>
      </c>
      <c r="N823" s="1">
        <v>45600</v>
      </c>
      <c r="O823" t="s">
        <v>116</v>
      </c>
      <c r="P823" t="s">
        <v>7463</v>
      </c>
      <c r="R823" t="s">
        <v>668</v>
      </c>
      <c r="T823" t="s">
        <v>669</v>
      </c>
      <c r="U823" t="s">
        <v>127</v>
      </c>
      <c r="V823" s="8" t="str">
        <f>"77598"</f>
        <v>77598</v>
      </c>
      <c r="W823" t="s">
        <v>118</v>
      </c>
      <c r="Y823" s="10">
        <v>12812801100</v>
      </c>
      <c r="AA823">
        <v>56173</v>
      </c>
      <c r="AB823" t="s">
        <v>670</v>
      </c>
      <c r="AC823" t="s">
        <v>671</v>
      </c>
      <c r="AE823" t="s">
        <v>405</v>
      </c>
      <c r="AF823" t="s">
        <v>668</v>
      </c>
      <c r="AH823" t="s">
        <v>669</v>
      </c>
      <c r="AI823" t="s">
        <v>127</v>
      </c>
      <c r="AJ823" s="8" t="str">
        <f>"77598"</f>
        <v>77598</v>
      </c>
      <c r="AK823" t="s">
        <v>118</v>
      </c>
      <c r="AM823" s="10">
        <v>12812801100</v>
      </c>
      <c r="AO823" t="s">
        <v>672</v>
      </c>
      <c r="AP823" t="s">
        <v>248</v>
      </c>
      <c r="AQ823" t="s">
        <v>673</v>
      </c>
      <c r="AR823" t="s">
        <v>674</v>
      </c>
      <c r="AT823" t="s">
        <v>579</v>
      </c>
      <c r="AV823" t="s">
        <v>580</v>
      </c>
      <c r="AW823" t="s">
        <v>581</v>
      </c>
      <c r="AX823" s="8" t="str">
        <f>"22903"</f>
        <v>22903</v>
      </c>
      <c r="AY823" t="s">
        <v>118</v>
      </c>
      <c r="BA823" s="10">
        <v>14342634300</v>
      </c>
      <c r="BC823" t="s">
        <v>675</v>
      </c>
      <c r="BD823" t="s">
        <v>583</v>
      </c>
      <c r="BG823" t="s">
        <v>1825</v>
      </c>
      <c r="BH823" s="1">
        <v>45204.833333333336</v>
      </c>
      <c r="BI823">
        <v>40</v>
      </c>
      <c r="BJ823">
        <v>0</v>
      </c>
      <c r="BK823">
        <v>8</v>
      </c>
      <c r="BL823">
        <v>8</v>
      </c>
      <c r="BM823">
        <v>8</v>
      </c>
      <c r="BN823">
        <v>8</v>
      </c>
      <c r="BO823">
        <v>8</v>
      </c>
      <c r="BP823">
        <v>0</v>
      </c>
      <c r="BQ823" t="str">
        <f>"7:00 AM"</f>
        <v>7:00 AM</v>
      </c>
      <c r="BR823" t="str">
        <f>"4:00 PM"</f>
        <v>4:00 PM</v>
      </c>
      <c r="BS823" t="s">
        <v>131</v>
      </c>
      <c r="BT823">
        <v>0</v>
      </c>
      <c r="BU823">
        <v>12</v>
      </c>
      <c r="BV823" t="s">
        <v>136</v>
      </c>
      <c r="BW823">
        <v>10</v>
      </c>
      <c r="BX823" s="2" t="s">
        <v>7464</v>
      </c>
      <c r="BY823" t="s">
        <v>7465</v>
      </c>
      <c r="CA823" t="s">
        <v>1824</v>
      </c>
      <c r="CB823" t="s">
        <v>1825</v>
      </c>
      <c r="CC823" s="8" t="str">
        <f>"72211"</f>
        <v>72211</v>
      </c>
      <c r="CD823" t="s">
        <v>1832</v>
      </c>
      <c r="CE823" t="s">
        <v>1833</v>
      </c>
      <c r="CF823" s="12">
        <v>21.96</v>
      </c>
      <c r="CH823" s="12">
        <v>32.94</v>
      </c>
      <c r="CJ823" t="s">
        <v>135</v>
      </c>
      <c r="CK823" t="s">
        <v>590</v>
      </c>
      <c r="CL823" t="s">
        <v>7466</v>
      </c>
      <c r="CO823" t="s">
        <v>132</v>
      </c>
      <c r="CP823" t="s">
        <v>136</v>
      </c>
      <c r="CQ823" t="s">
        <v>114</v>
      </c>
      <c r="CR823" t="s">
        <v>136</v>
      </c>
      <c r="CS823" t="s">
        <v>114</v>
      </c>
      <c r="CT823" t="s">
        <v>136</v>
      </c>
      <c r="CU823" t="s">
        <v>136</v>
      </c>
      <c r="CV823" t="s">
        <v>681</v>
      </c>
      <c r="CW823" s="10" t="str">
        <f>"N/A"</f>
        <v>N/A</v>
      </c>
      <c r="CX823" t="s">
        <v>682</v>
      </c>
      <c r="CY823" t="s">
        <v>7467</v>
      </c>
      <c r="CZ823" t="s">
        <v>137</v>
      </c>
      <c r="DA823" t="s">
        <v>114</v>
      </c>
      <c r="DB823" t="s">
        <v>136</v>
      </c>
      <c r="DC823" t="s">
        <v>136</v>
      </c>
      <c r="DD823" t="s">
        <v>114</v>
      </c>
      <c r="DE823" t="s">
        <v>673</v>
      </c>
      <c r="DF823" t="s">
        <v>674</v>
      </c>
      <c r="DH823" t="s">
        <v>583</v>
      </c>
      <c r="DI823" t="s">
        <v>675</v>
      </c>
    </row>
    <row r="824" spans="1:113" ht="15" customHeight="1" x14ac:dyDescent="0.25">
      <c r="A824" t="s">
        <v>19909</v>
      </c>
      <c r="B824" t="s">
        <v>152</v>
      </c>
      <c r="C824" s="1">
        <v>45205.272681365743</v>
      </c>
      <c r="D824" s="1">
        <v>45250</v>
      </c>
      <c r="E824" t="s">
        <v>132</v>
      </c>
      <c r="F824" t="s">
        <v>9057</v>
      </c>
      <c r="G824" t="str">
        <f>"37-3011.00"</f>
        <v>37-3011.00</v>
      </c>
      <c r="H824" t="s">
        <v>429</v>
      </c>
      <c r="I824">
        <v>30</v>
      </c>
      <c r="J824">
        <v>30</v>
      </c>
      <c r="K824" s="1">
        <v>45295</v>
      </c>
      <c r="L824" s="1">
        <v>45600</v>
      </c>
      <c r="M824" s="1">
        <v>45295</v>
      </c>
      <c r="N824" s="1">
        <v>45600</v>
      </c>
      <c r="O824" t="s">
        <v>116</v>
      </c>
      <c r="P824" t="s">
        <v>7463</v>
      </c>
      <c r="R824" t="s">
        <v>668</v>
      </c>
      <c r="T824" t="s">
        <v>669</v>
      </c>
      <c r="U824" t="s">
        <v>127</v>
      </c>
      <c r="V824" s="8" t="str">
        <f>"77598"</f>
        <v>77598</v>
      </c>
      <c r="W824" t="s">
        <v>118</v>
      </c>
      <c r="Y824" s="10">
        <v>12812801100</v>
      </c>
      <c r="AA824">
        <v>56173</v>
      </c>
      <c r="AB824" t="s">
        <v>670</v>
      </c>
      <c r="AC824" t="s">
        <v>671</v>
      </c>
      <c r="AE824" t="s">
        <v>405</v>
      </c>
      <c r="AF824" t="s">
        <v>668</v>
      </c>
      <c r="AH824" t="s">
        <v>669</v>
      </c>
      <c r="AI824" t="s">
        <v>127</v>
      </c>
      <c r="AJ824" s="8" t="str">
        <f>"77598"</f>
        <v>77598</v>
      </c>
      <c r="AK824" t="s">
        <v>118</v>
      </c>
      <c r="AM824" s="10">
        <v>12812801100</v>
      </c>
      <c r="AO824" t="s">
        <v>672</v>
      </c>
      <c r="AP824" t="s">
        <v>248</v>
      </c>
      <c r="AQ824" t="s">
        <v>673</v>
      </c>
      <c r="AR824" t="s">
        <v>674</v>
      </c>
      <c r="AT824" t="s">
        <v>579</v>
      </c>
      <c r="AV824" t="s">
        <v>580</v>
      </c>
      <c r="AW824" t="s">
        <v>581</v>
      </c>
      <c r="AX824" s="8" t="str">
        <f>"22903"</f>
        <v>22903</v>
      </c>
      <c r="AY824" t="s">
        <v>118</v>
      </c>
      <c r="BA824" s="10">
        <v>14342634300</v>
      </c>
      <c r="BC824" t="s">
        <v>675</v>
      </c>
      <c r="BD824" t="s">
        <v>583</v>
      </c>
      <c r="BG824" t="s">
        <v>1825</v>
      </c>
      <c r="BH824" s="1">
        <v>45204.833333333336</v>
      </c>
      <c r="BI824">
        <v>40</v>
      </c>
      <c r="BJ824">
        <v>0</v>
      </c>
      <c r="BK824">
        <v>8</v>
      </c>
      <c r="BL824">
        <v>8</v>
      </c>
      <c r="BM824">
        <v>8</v>
      </c>
      <c r="BN824">
        <v>8</v>
      </c>
      <c r="BO824">
        <v>8</v>
      </c>
      <c r="BP824">
        <v>0</v>
      </c>
      <c r="BQ824" t="str">
        <f>"7:00 AM"</f>
        <v>7:00 AM</v>
      </c>
      <c r="BR824" t="str">
        <f>"4:00 PM"</f>
        <v>4:00 PM</v>
      </c>
      <c r="BS824" t="s">
        <v>131</v>
      </c>
      <c r="BT824">
        <v>0</v>
      </c>
      <c r="BU824">
        <v>0</v>
      </c>
      <c r="BV824" t="s">
        <v>114</v>
      </c>
      <c r="BX824" t="s">
        <v>19910</v>
      </c>
      <c r="BY824" t="s">
        <v>7465</v>
      </c>
      <c r="CA824" t="s">
        <v>1824</v>
      </c>
      <c r="CB824" t="s">
        <v>1825</v>
      </c>
      <c r="CC824" s="8" t="str">
        <f>"72211"</f>
        <v>72211</v>
      </c>
      <c r="CD824" t="s">
        <v>1832</v>
      </c>
      <c r="CE824" t="s">
        <v>1833</v>
      </c>
      <c r="CF824" s="12">
        <v>15.21</v>
      </c>
      <c r="CH824" s="12">
        <v>22.82</v>
      </c>
      <c r="CJ824" t="s">
        <v>135</v>
      </c>
      <c r="CK824" t="s">
        <v>590</v>
      </c>
      <c r="CL824" t="s">
        <v>19911</v>
      </c>
      <c r="CO824" t="s">
        <v>132</v>
      </c>
      <c r="CP824" t="s">
        <v>136</v>
      </c>
      <c r="CQ824" t="s">
        <v>114</v>
      </c>
      <c r="CR824" t="s">
        <v>136</v>
      </c>
      <c r="CS824" t="s">
        <v>136</v>
      </c>
      <c r="CT824" t="s">
        <v>136</v>
      </c>
      <c r="CU824" t="s">
        <v>136</v>
      </c>
      <c r="CV824" t="s">
        <v>681</v>
      </c>
      <c r="CW824" s="10" t="str">
        <f>"N/A"</f>
        <v>N/A</v>
      </c>
      <c r="CX824" t="s">
        <v>682</v>
      </c>
      <c r="CY824" t="s">
        <v>7467</v>
      </c>
      <c r="CZ824" t="s">
        <v>137</v>
      </c>
      <c r="DA824" t="s">
        <v>114</v>
      </c>
      <c r="DB824" t="s">
        <v>136</v>
      </c>
      <c r="DC824" t="s">
        <v>136</v>
      </c>
      <c r="DD824" t="s">
        <v>114</v>
      </c>
      <c r="DE824" t="s">
        <v>673</v>
      </c>
      <c r="DF824" t="s">
        <v>674</v>
      </c>
      <c r="DH824" t="s">
        <v>583</v>
      </c>
      <c r="DI824" t="s">
        <v>675</v>
      </c>
    </row>
    <row r="825" spans="1:113" ht="15" customHeight="1" x14ac:dyDescent="0.25">
      <c r="A825" t="s">
        <v>17901</v>
      </c>
      <c r="B825" t="s">
        <v>152</v>
      </c>
      <c r="C825" s="1">
        <v>45205.270742708337</v>
      </c>
      <c r="D825" s="1">
        <v>45250</v>
      </c>
      <c r="E825" t="s">
        <v>132</v>
      </c>
      <c r="F825" t="s">
        <v>665</v>
      </c>
      <c r="G825" t="str">
        <f>"37-3013.00"</f>
        <v>37-3013.00</v>
      </c>
      <c r="H825" t="s">
        <v>666</v>
      </c>
      <c r="I825">
        <v>35</v>
      </c>
      <c r="J825">
        <v>35</v>
      </c>
      <c r="K825" s="1">
        <v>45295</v>
      </c>
      <c r="L825" s="1">
        <v>45600</v>
      </c>
      <c r="M825" s="1">
        <v>45295</v>
      </c>
      <c r="N825" s="1">
        <v>45600</v>
      </c>
      <c r="O825" t="s">
        <v>116</v>
      </c>
      <c r="P825" t="s">
        <v>17902</v>
      </c>
      <c r="R825" t="s">
        <v>668</v>
      </c>
      <c r="T825" t="s">
        <v>669</v>
      </c>
      <c r="U825" t="s">
        <v>127</v>
      </c>
      <c r="V825" s="8" t="str">
        <f>"77598"</f>
        <v>77598</v>
      </c>
      <c r="W825" t="s">
        <v>118</v>
      </c>
      <c r="Y825" s="10">
        <v>12812801100</v>
      </c>
      <c r="AA825">
        <v>56173</v>
      </c>
      <c r="AB825" t="s">
        <v>670</v>
      </c>
      <c r="AC825" t="s">
        <v>671</v>
      </c>
      <c r="AE825" t="s">
        <v>405</v>
      </c>
      <c r="AF825" t="s">
        <v>668</v>
      </c>
      <c r="AH825" t="s">
        <v>669</v>
      </c>
      <c r="AI825" t="s">
        <v>127</v>
      </c>
      <c r="AJ825" s="8" t="str">
        <f>"77598"</f>
        <v>77598</v>
      </c>
      <c r="AK825" t="s">
        <v>118</v>
      </c>
      <c r="AM825" s="10">
        <v>12812801100</v>
      </c>
      <c r="AO825" t="s">
        <v>672</v>
      </c>
      <c r="AP825" t="s">
        <v>248</v>
      </c>
      <c r="AQ825" t="s">
        <v>673</v>
      </c>
      <c r="AR825" t="s">
        <v>674</v>
      </c>
      <c r="AT825" t="s">
        <v>579</v>
      </c>
      <c r="AV825" t="s">
        <v>580</v>
      </c>
      <c r="AW825" t="s">
        <v>581</v>
      </c>
      <c r="AX825" s="8" t="str">
        <f>"22903"</f>
        <v>22903</v>
      </c>
      <c r="AY825" t="s">
        <v>118</v>
      </c>
      <c r="BA825" s="10">
        <v>14342634300</v>
      </c>
      <c r="BC825" t="s">
        <v>675</v>
      </c>
      <c r="BD825" t="s">
        <v>583</v>
      </c>
      <c r="BG825" t="s">
        <v>1825</v>
      </c>
      <c r="BH825" s="1">
        <v>45204.833333333336</v>
      </c>
      <c r="BI825">
        <v>40</v>
      </c>
      <c r="BJ825">
        <v>0</v>
      </c>
      <c r="BK825">
        <v>8</v>
      </c>
      <c r="BL825">
        <v>8</v>
      </c>
      <c r="BM825">
        <v>8</v>
      </c>
      <c r="BN825">
        <v>8</v>
      </c>
      <c r="BO825">
        <v>8</v>
      </c>
      <c r="BP825">
        <v>0</v>
      </c>
      <c r="BQ825" t="str">
        <f>"7:00 AM"</f>
        <v>7:00 AM</v>
      </c>
      <c r="BR825" t="str">
        <f>"4:00 PM"</f>
        <v>4:00 PM</v>
      </c>
      <c r="BS825" t="s">
        <v>131</v>
      </c>
      <c r="BT825">
        <v>0</v>
      </c>
      <c r="BU825">
        <v>0</v>
      </c>
      <c r="BV825" t="s">
        <v>114</v>
      </c>
      <c r="BX825" s="2" t="s">
        <v>12816</v>
      </c>
      <c r="BY825" t="s">
        <v>17903</v>
      </c>
      <c r="CA825" t="s">
        <v>7353</v>
      </c>
      <c r="CB825" t="s">
        <v>1825</v>
      </c>
      <c r="CC825" s="8" t="str">
        <f>"71913"</f>
        <v>71913</v>
      </c>
      <c r="CD825" t="s">
        <v>7832</v>
      </c>
      <c r="CE825" t="s">
        <v>7833</v>
      </c>
      <c r="CF825" s="12">
        <v>22.78</v>
      </c>
      <c r="CH825" s="12">
        <v>34.17</v>
      </c>
      <c r="CJ825" t="s">
        <v>135</v>
      </c>
      <c r="CK825" t="s">
        <v>590</v>
      </c>
      <c r="CL825" t="s">
        <v>17904</v>
      </c>
      <c r="CO825" t="s">
        <v>132</v>
      </c>
      <c r="CP825" t="s">
        <v>136</v>
      </c>
      <c r="CQ825" t="s">
        <v>114</v>
      </c>
      <c r="CR825" t="s">
        <v>136</v>
      </c>
      <c r="CS825" t="s">
        <v>136</v>
      </c>
      <c r="CT825" t="s">
        <v>136</v>
      </c>
      <c r="CU825" t="s">
        <v>136</v>
      </c>
      <c r="CV825" t="s">
        <v>681</v>
      </c>
      <c r="CW825" s="10" t="str">
        <f>"N/A"</f>
        <v>N/A</v>
      </c>
      <c r="CX825" t="s">
        <v>682</v>
      </c>
      <c r="CY825" t="s">
        <v>7467</v>
      </c>
      <c r="CZ825" t="s">
        <v>137</v>
      </c>
      <c r="DA825" t="s">
        <v>114</v>
      </c>
      <c r="DB825" t="s">
        <v>136</v>
      </c>
      <c r="DC825" t="s">
        <v>136</v>
      </c>
      <c r="DD825" t="s">
        <v>114</v>
      </c>
      <c r="DE825" t="s">
        <v>673</v>
      </c>
      <c r="DF825" t="s">
        <v>674</v>
      </c>
      <c r="DH825" t="s">
        <v>583</v>
      </c>
      <c r="DI825" t="s">
        <v>675</v>
      </c>
    </row>
    <row r="826" spans="1:113" ht="15" customHeight="1" x14ac:dyDescent="0.25">
      <c r="A826" t="s">
        <v>12274</v>
      </c>
      <c r="B826" t="s">
        <v>152</v>
      </c>
      <c r="C826" s="1">
        <v>45205.269252314814</v>
      </c>
      <c r="D826" s="1">
        <v>45250</v>
      </c>
      <c r="E826" t="s">
        <v>132</v>
      </c>
      <c r="F826" t="s">
        <v>9057</v>
      </c>
      <c r="G826" t="str">
        <f>"37-3011.00"</f>
        <v>37-3011.00</v>
      </c>
      <c r="H826" t="s">
        <v>429</v>
      </c>
      <c r="I826">
        <v>8</v>
      </c>
      <c r="J826">
        <v>8</v>
      </c>
      <c r="K826" s="1">
        <v>45295</v>
      </c>
      <c r="L826" s="1">
        <v>45600</v>
      </c>
      <c r="M826" s="1">
        <v>45295</v>
      </c>
      <c r="N826" s="1">
        <v>45600</v>
      </c>
      <c r="O826" t="s">
        <v>116</v>
      </c>
      <c r="P826" t="s">
        <v>12275</v>
      </c>
      <c r="R826" t="s">
        <v>668</v>
      </c>
      <c r="T826" t="s">
        <v>669</v>
      </c>
      <c r="U826" t="s">
        <v>127</v>
      </c>
      <c r="V826" s="8" t="str">
        <f>"77598"</f>
        <v>77598</v>
      </c>
      <c r="W826" t="s">
        <v>118</v>
      </c>
      <c r="Y826" s="10">
        <v>12812801100</v>
      </c>
      <c r="AA826">
        <v>56173</v>
      </c>
      <c r="AB826" t="s">
        <v>670</v>
      </c>
      <c r="AC826" t="s">
        <v>671</v>
      </c>
      <c r="AE826" t="s">
        <v>405</v>
      </c>
      <c r="AF826" t="s">
        <v>668</v>
      </c>
      <c r="AH826" t="s">
        <v>669</v>
      </c>
      <c r="AI826" t="s">
        <v>127</v>
      </c>
      <c r="AJ826" s="8" t="str">
        <f>"77598"</f>
        <v>77598</v>
      </c>
      <c r="AK826" t="s">
        <v>118</v>
      </c>
      <c r="AM826" s="10">
        <v>12812801100</v>
      </c>
      <c r="AO826" t="s">
        <v>672</v>
      </c>
      <c r="AP826" t="s">
        <v>248</v>
      </c>
      <c r="AQ826" t="s">
        <v>673</v>
      </c>
      <c r="AR826" t="s">
        <v>674</v>
      </c>
      <c r="AT826" t="s">
        <v>579</v>
      </c>
      <c r="AV826" t="s">
        <v>580</v>
      </c>
      <c r="AW826" t="s">
        <v>581</v>
      </c>
      <c r="AX826" s="8" t="str">
        <f>"22903"</f>
        <v>22903</v>
      </c>
      <c r="AY826" t="s">
        <v>118</v>
      </c>
      <c r="BA826" s="10">
        <v>14342634300</v>
      </c>
      <c r="BC826" t="s">
        <v>675</v>
      </c>
      <c r="BD826" t="s">
        <v>583</v>
      </c>
      <c r="BG826" t="s">
        <v>127</v>
      </c>
      <c r="BH826" s="1">
        <v>45204.833333333336</v>
      </c>
      <c r="BI826">
        <v>40</v>
      </c>
      <c r="BJ826">
        <v>0</v>
      </c>
      <c r="BK826">
        <v>8</v>
      </c>
      <c r="BL826">
        <v>8</v>
      </c>
      <c r="BM826">
        <v>8</v>
      </c>
      <c r="BN826">
        <v>8</v>
      </c>
      <c r="BO826">
        <v>8</v>
      </c>
      <c r="BP826">
        <v>0</v>
      </c>
      <c r="BQ826" t="str">
        <f>"7:00 AM"</f>
        <v>7:00 AM</v>
      </c>
      <c r="BR826" t="str">
        <f>"4:00 PM"</f>
        <v>4:00 PM</v>
      </c>
      <c r="BS826" t="s">
        <v>131</v>
      </c>
      <c r="BT826">
        <v>0</v>
      </c>
      <c r="BU826">
        <v>0</v>
      </c>
      <c r="BV826" t="s">
        <v>114</v>
      </c>
      <c r="BX826" s="2" t="s">
        <v>676</v>
      </c>
      <c r="BY826" t="s">
        <v>12276</v>
      </c>
      <c r="CA826" t="s">
        <v>12277</v>
      </c>
      <c r="CB826" t="s">
        <v>127</v>
      </c>
      <c r="CC826" s="8" t="str">
        <f>"76205"</f>
        <v>76205</v>
      </c>
      <c r="CD826" t="s">
        <v>3259</v>
      </c>
      <c r="CE826" t="s">
        <v>263</v>
      </c>
      <c r="CF826" s="12">
        <v>16.86</v>
      </c>
      <c r="CH826" s="12">
        <v>25.29</v>
      </c>
      <c r="CJ826" t="s">
        <v>135</v>
      </c>
      <c r="CK826" t="s">
        <v>590</v>
      </c>
      <c r="CL826" t="s">
        <v>12278</v>
      </c>
      <c r="CO826" t="s">
        <v>132</v>
      </c>
      <c r="CP826" t="s">
        <v>136</v>
      </c>
      <c r="CQ826" t="s">
        <v>114</v>
      </c>
      <c r="CR826" t="s">
        <v>136</v>
      </c>
      <c r="CS826" t="s">
        <v>136</v>
      </c>
      <c r="CT826" t="s">
        <v>136</v>
      </c>
      <c r="CU826" t="s">
        <v>136</v>
      </c>
      <c r="CV826" t="s">
        <v>681</v>
      </c>
      <c r="CW826" s="10" t="str">
        <f>"N/A"</f>
        <v>N/A</v>
      </c>
      <c r="CX826" t="s">
        <v>682</v>
      </c>
      <c r="CY826" t="s">
        <v>1853</v>
      </c>
      <c r="CZ826" t="s">
        <v>137</v>
      </c>
      <c r="DA826" t="s">
        <v>114</v>
      </c>
      <c r="DB826" t="s">
        <v>136</v>
      </c>
      <c r="DC826" t="s">
        <v>136</v>
      </c>
      <c r="DD826" t="s">
        <v>114</v>
      </c>
      <c r="DE826" t="s">
        <v>673</v>
      </c>
      <c r="DF826" t="s">
        <v>674</v>
      </c>
      <c r="DH826" t="s">
        <v>583</v>
      </c>
      <c r="DI826" t="s">
        <v>675</v>
      </c>
    </row>
    <row r="827" spans="1:113" ht="15" customHeight="1" x14ac:dyDescent="0.25">
      <c r="A827" t="s">
        <v>19053</v>
      </c>
      <c r="B827" t="s">
        <v>152</v>
      </c>
      <c r="C827" s="1">
        <v>45205.267294791665</v>
      </c>
      <c r="D827" s="1">
        <v>45250</v>
      </c>
      <c r="E827" t="s">
        <v>132</v>
      </c>
      <c r="F827" t="s">
        <v>665</v>
      </c>
      <c r="G827" t="str">
        <f>"37-3013.00"</f>
        <v>37-3013.00</v>
      </c>
      <c r="H827" t="s">
        <v>666</v>
      </c>
      <c r="I827">
        <v>30</v>
      </c>
      <c r="J827">
        <v>30</v>
      </c>
      <c r="K827" s="1">
        <v>45295</v>
      </c>
      <c r="L827" s="1">
        <v>45600</v>
      </c>
      <c r="M827" s="1">
        <v>45295</v>
      </c>
      <c r="N827" s="1">
        <v>45600</v>
      </c>
      <c r="O827" t="s">
        <v>116</v>
      </c>
      <c r="P827" t="s">
        <v>3440</v>
      </c>
      <c r="R827" t="s">
        <v>668</v>
      </c>
      <c r="T827" t="s">
        <v>669</v>
      </c>
      <c r="U827" t="s">
        <v>127</v>
      </c>
      <c r="V827" s="8" t="str">
        <f>"77598"</f>
        <v>77598</v>
      </c>
      <c r="W827" t="s">
        <v>118</v>
      </c>
      <c r="Y827" s="10">
        <v>12812801100</v>
      </c>
      <c r="AA827">
        <v>56173</v>
      </c>
      <c r="AB827" t="s">
        <v>670</v>
      </c>
      <c r="AC827" t="s">
        <v>671</v>
      </c>
      <c r="AE827" t="s">
        <v>405</v>
      </c>
      <c r="AF827" t="s">
        <v>668</v>
      </c>
      <c r="AH827" t="s">
        <v>669</v>
      </c>
      <c r="AI827" t="s">
        <v>127</v>
      </c>
      <c r="AJ827" s="8" t="str">
        <f>"77598"</f>
        <v>77598</v>
      </c>
      <c r="AK827" t="s">
        <v>118</v>
      </c>
      <c r="AM827" s="10">
        <v>12812801100</v>
      </c>
      <c r="AO827" t="s">
        <v>672</v>
      </c>
      <c r="AP827" t="s">
        <v>248</v>
      </c>
      <c r="AQ827" t="s">
        <v>673</v>
      </c>
      <c r="AR827" t="s">
        <v>674</v>
      </c>
      <c r="AT827" t="s">
        <v>579</v>
      </c>
      <c r="AV827" t="s">
        <v>580</v>
      </c>
      <c r="AW827" t="s">
        <v>581</v>
      </c>
      <c r="AX827" s="8" t="str">
        <f>"22903"</f>
        <v>22903</v>
      </c>
      <c r="AY827" t="s">
        <v>118</v>
      </c>
      <c r="BA827" s="10">
        <v>14342634300</v>
      </c>
      <c r="BC827" t="s">
        <v>675</v>
      </c>
      <c r="BD827" t="s">
        <v>583</v>
      </c>
      <c r="BG827" t="s">
        <v>127</v>
      </c>
      <c r="BH827" s="1">
        <v>45204.833333333336</v>
      </c>
      <c r="BI827">
        <v>40</v>
      </c>
      <c r="BJ827">
        <v>0</v>
      </c>
      <c r="BK827">
        <v>8</v>
      </c>
      <c r="BL827">
        <v>8</v>
      </c>
      <c r="BM827">
        <v>8</v>
      </c>
      <c r="BN827">
        <v>8</v>
      </c>
      <c r="BO827">
        <v>8</v>
      </c>
      <c r="BP827">
        <v>0</v>
      </c>
      <c r="BQ827" t="str">
        <f>"7:00 AM"</f>
        <v>7:00 AM</v>
      </c>
      <c r="BR827" t="str">
        <f>"4:00 PM"</f>
        <v>4:00 PM</v>
      </c>
      <c r="BS827" t="s">
        <v>131</v>
      </c>
      <c r="BT827">
        <v>0</v>
      </c>
      <c r="BU827">
        <v>0</v>
      </c>
      <c r="BV827" t="s">
        <v>114</v>
      </c>
      <c r="BX827" s="2" t="s">
        <v>12816</v>
      </c>
      <c r="BY827" t="s">
        <v>3441</v>
      </c>
      <c r="CA827" t="s">
        <v>3442</v>
      </c>
      <c r="CB827" t="s">
        <v>127</v>
      </c>
      <c r="CC827" s="8" t="str">
        <f>"77705"</f>
        <v>77705</v>
      </c>
      <c r="CD827" t="s">
        <v>1767</v>
      </c>
      <c r="CE827" t="s">
        <v>2433</v>
      </c>
      <c r="CF827" s="12">
        <v>18.399999999999999</v>
      </c>
      <c r="CH827" s="12">
        <v>27.6</v>
      </c>
      <c r="CJ827" t="s">
        <v>135</v>
      </c>
      <c r="CK827" t="s">
        <v>590</v>
      </c>
      <c r="CL827" t="s">
        <v>19054</v>
      </c>
      <c r="CO827" t="s">
        <v>132</v>
      </c>
      <c r="CP827" t="s">
        <v>136</v>
      </c>
      <c r="CQ827" t="s">
        <v>114</v>
      </c>
      <c r="CR827" t="s">
        <v>136</v>
      </c>
      <c r="CS827" t="s">
        <v>136</v>
      </c>
      <c r="CT827" t="s">
        <v>136</v>
      </c>
      <c r="CU827" t="s">
        <v>136</v>
      </c>
      <c r="CV827" t="s">
        <v>681</v>
      </c>
      <c r="CW827" s="10" t="str">
        <f>"N/A"</f>
        <v>N/A</v>
      </c>
      <c r="CX827" t="s">
        <v>682</v>
      </c>
      <c r="CY827" t="s">
        <v>1853</v>
      </c>
      <c r="CZ827" t="s">
        <v>137</v>
      </c>
      <c r="DA827" t="s">
        <v>114</v>
      </c>
      <c r="DB827" t="s">
        <v>136</v>
      </c>
      <c r="DC827" t="s">
        <v>136</v>
      </c>
      <c r="DD827" t="s">
        <v>114</v>
      </c>
      <c r="DE827" t="s">
        <v>673</v>
      </c>
      <c r="DF827" t="s">
        <v>674</v>
      </c>
      <c r="DH827" t="s">
        <v>583</v>
      </c>
      <c r="DI827" t="s">
        <v>675</v>
      </c>
    </row>
    <row r="828" spans="1:113" ht="15" customHeight="1" x14ac:dyDescent="0.25">
      <c r="A828" t="s">
        <v>9652</v>
      </c>
      <c r="B828" t="s">
        <v>152</v>
      </c>
      <c r="C828" s="1">
        <v>45204.468920717591</v>
      </c>
      <c r="D828" s="1">
        <v>45250</v>
      </c>
      <c r="E828" t="s">
        <v>132</v>
      </c>
      <c r="F828" t="s">
        <v>3746</v>
      </c>
      <c r="G828" t="str">
        <f>"35-2021.00"</f>
        <v>35-2021.00</v>
      </c>
      <c r="H828" t="s">
        <v>2303</v>
      </c>
      <c r="I828">
        <v>6</v>
      </c>
      <c r="J828">
        <v>6</v>
      </c>
      <c r="K828" s="1">
        <v>45292</v>
      </c>
      <c r="L828" s="1">
        <v>45596</v>
      </c>
      <c r="M828" s="1">
        <v>45292</v>
      </c>
      <c r="N828" s="1">
        <v>45596</v>
      </c>
      <c r="O828" t="s">
        <v>116</v>
      </c>
      <c r="P828" t="s">
        <v>9653</v>
      </c>
      <c r="Q828" t="s">
        <v>9654</v>
      </c>
      <c r="R828" t="s">
        <v>9655</v>
      </c>
      <c r="S828" t="s">
        <v>9656</v>
      </c>
      <c r="T828" t="s">
        <v>7890</v>
      </c>
      <c r="U828" t="s">
        <v>2775</v>
      </c>
      <c r="V828" s="8" t="str">
        <f>"58301"</f>
        <v>58301</v>
      </c>
      <c r="W828" t="s">
        <v>118</v>
      </c>
      <c r="Y828" s="10">
        <v>17013511757</v>
      </c>
      <c r="AA828">
        <v>722511</v>
      </c>
      <c r="AB828" t="s">
        <v>9657</v>
      </c>
      <c r="AC828" t="s">
        <v>9658</v>
      </c>
      <c r="AE828" t="s">
        <v>1792</v>
      </c>
      <c r="AF828" t="s">
        <v>9655</v>
      </c>
      <c r="AG828" t="s">
        <v>9656</v>
      </c>
      <c r="AH828" t="s">
        <v>7890</v>
      </c>
      <c r="AI828" t="s">
        <v>2775</v>
      </c>
      <c r="AJ828" s="8" t="str">
        <f>"58301"</f>
        <v>58301</v>
      </c>
      <c r="AK828" t="s">
        <v>118</v>
      </c>
      <c r="AM828" s="10">
        <v>17013511757</v>
      </c>
      <c r="AO828" t="s">
        <v>796</v>
      </c>
      <c r="AP828" t="s">
        <v>248</v>
      </c>
      <c r="AQ828" t="s">
        <v>5249</v>
      </c>
      <c r="AR828" t="s">
        <v>5250</v>
      </c>
      <c r="AT828" t="s">
        <v>3691</v>
      </c>
      <c r="AU828" t="s">
        <v>3692</v>
      </c>
      <c r="AV828" t="s">
        <v>2814</v>
      </c>
      <c r="AW828" t="s">
        <v>2608</v>
      </c>
      <c r="AX828" s="8" t="str">
        <f>"74136"</f>
        <v>74136</v>
      </c>
      <c r="AY828" t="s">
        <v>118</v>
      </c>
      <c r="BA828" s="10">
        <v>19189065212</v>
      </c>
      <c r="BC828" t="s">
        <v>5251</v>
      </c>
      <c r="BD828" t="s">
        <v>3695</v>
      </c>
      <c r="BG828" t="s">
        <v>2775</v>
      </c>
      <c r="BH828" s="1">
        <v>45186.833333333336</v>
      </c>
      <c r="BI828">
        <v>45</v>
      </c>
      <c r="BJ828">
        <v>5</v>
      </c>
      <c r="BK828">
        <v>7</v>
      </c>
      <c r="BL828">
        <v>7</v>
      </c>
      <c r="BM828">
        <v>7</v>
      </c>
      <c r="BN828">
        <v>7</v>
      </c>
      <c r="BO828">
        <v>7</v>
      </c>
      <c r="BP828">
        <v>5</v>
      </c>
      <c r="BQ828" t="str">
        <f>"7:00 AM"</f>
        <v>7:00 AM</v>
      </c>
      <c r="BR828" t="str">
        <f>"11:00 PM"</f>
        <v>11:00 PM</v>
      </c>
      <c r="BS828" t="s">
        <v>131</v>
      </c>
      <c r="BT828">
        <v>0</v>
      </c>
      <c r="BU828">
        <v>0</v>
      </c>
      <c r="BV828" t="s">
        <v>114</v>
      </c>
      <c r="BX828" s="2" t="s">
        <v>9659</v>
      </c>
      <c r="BY828" t="s">
        <v>9660</v>
      </c>
      <c r="BZ828" t="s">
        <v>9661</v>
      </c>
      <c r="CA828" t="s">
        <v>7890</v>
      </c>
      <c r="CB828" t="s">
        <v>2775</v>
      </c>
      <c r="CC828" s="8" t="str">
        <f>"58301"</f>
        <v>58301</v>
      </c>
      <c r="CD828" t="s">
        <v>7891</v>
      </c>
      <c r="CE828" t="s">
        <v>5686</v>
      </c>
      <c r="CF828" s="12">
        <v>15.32</v>
      </c>
      <c r="CG828" s="12">
        <v>15.32</v>
      </c>
      <c r="CH828" s="12">
        <v>22.98</v>
      </c>
      <c r="CI828" s="12">
        <v>22.98</v>
      </c>
      <c r="CJ828" t="s">
        <v>135</v>
      </c>
      <c r="CK828" t="s">
        <v>3699</v>
      </c>
      <c r="CL828" t="s">
        <v>9662</v>
      </c>
      <c r="CO828" t="s">
        <v>132</v>
      </c>
      <c r="CP828" t="s">
        <v>114</v>
      </c>
      <c r="CQ828" t="s">
        <v>114</v>
      </c>
      <c r="CR828" t="s">
        <v>136</v>
      </c>
      <c r="CS828" t="s">
        <v>136</v>
      </c>
      <c r="CT828" t="s">
        <v>136</v>
      </c>
      <c r="CU828" t="s">
        <v>136</v>
      </c>
      <c r="CV828" s="2" t="s">
        <v>9663</v>
      </c>
      <c r="CW828" s="10" t="str">
        <f>"+17013511757"</f>
        <v>+17013511757</v>
      </c>
      <c r="CX828" t="s">
        <v>132</v>
      </c>
      <c r="CY828" t="s">
        <v>5252</v>
      </c>
      <c r="CZ828" t="s">
        <v>137</v>
      </c>
      <c r="DA828" t="s">
        <v>114</v>
      </c>
      <c r="DB828" t="s">
        <v>136</v>
      </c>
      <c r="DC828" t="s">
        <v>136</v>
      </c>
      <c r="DD828" t="s">
        <v>114</v>
      </c>
    </row>
    <row r="829" spans="1:113" ht="15" customHeight="1" x14ac:dyDescent="0.25">
      <c r="A829" t="s">
        <v>16603</v>
      </c>
      <c r="B829" t="s">
        <v>152</v>
      </c>
      <c r="C829" s="1">
        <v>45201.071513078707</v>
      </c>
      <c r="D829" s="1">
        <v>45250</v>
      </c>
      <c r="E829" t="s">
        <v>132</v>
      </c>
      <c r="F829" t="s">
        <v>16604</v>
      </c>
      <c r="G829" t="str">
        <f>"49-3053.00"</f>
        <v>49-3053.00</v>
      </c>
      <c r="H829" t="s">
        <v>9820</v>
      </c>
      <c r="I829">
        <v>1</v>
      </c>
      <c r="J829">
        <v>1</v>
      </c>
      <c r="K829" s="1">
        <v>45291</v>
      </c>
      <c r="L829" s="1">
        <v>45595</v>
      </c>
      <c r="M829" s="1">
        <v>45291</v>
      </c>
      <c r="N829" s="1">
        <v>45595</v>
      </c>
      <c r="O829" t="s">
        <v>116</v>
      </c>
      <c r="P829" t="s">
        <v>12675</v>
      </c>
      <c r="Q829" t="s">
        <v>12676</v>
      </c>
      <c r="R829" t="s">
        <v>13171</v>
      </c>
      <c r="T829" t="s">
        <v>1264</v>
      </c>
      <c r="U829" t="s">
        <v>127</v>
      </c>
      <c r="V829" s="8" t="str">
        <f>"75220"</f>
        <v>75220</v>
      </c>
      <c r="W829" t="s">
        <v>118</v>
      </c>
      <c r="Y829" s="10">
        <v>12143585296</v>
      </c>
      <c r="AA829">
        <v>56173</v>
      </c>
      <c r="AB829" t="s">
        <v>12678</v>
      </c>
      <c r="AC829" t="s">
        <v>12679</v>
      </c>
      <c r="AE829" t="s">
        <v>12680</v>
      </c>
      <c r="AF829" t="s">
        <v>12677</v>
      </c>
      <c r="AH829" t="s">
        <v>1264</v>
      </c>
      <c r="AI829" t="s">
        <v>127</v>
      </c>
      <c r="AJ829" s="8" t="str">
        <f>"75220"</f>
        <v>75220</v>
      </c>
      <c r="AK829" t="s">
        <v>118</v>
      </c>
      <c r="AM829" s="10">
        <v>12143585296</v>
      </c>
      <c r="AO829" t="s">
        <v>12681</v>
      </c>
      <c r="AP829" t="s">
        <v>248</v>
      </c>
      <c r="AQ829" t="s">
        <v>960</v>
      </c>
      <c r="AR829" t="s">
        <v>961</v>
      </c>
      <c r="AS829" t="s">
        <v>962</v>
      </c>
      <c r="AT829" t="s">
        <v>963</v>
      </c>
      <c r="AU829" t="s">
        <v>296</v>
      </c>
      <c r="AV829" t="s">
        <v>964</v>
      </c>
      <c r="AW829" t="s">
        <v>127</v>
      </c>
      <c r="AX829" s="8" t="str">
        <f>"75033"</f>
        <v>75033</v>
      </c>
      <c r="AY829" t="s">
        <v>118</v>
      </c>
      <c r="BA829" s="10">
        <v>19727789690</v>
      </c>
      <c r="BC829" t="s">
        <v>12682</v>
      </c>
      <c r="BD829" t="s">
        <v>966</v>
      </c>
      <c r="BG829" t="s">
        <v>127</v>
      </c>
      <c r="BH829" s="1">
        <v>45200.833333333336</v>
      </c>
      <c r="BI829">
        <v>40</v>
      </c>
      <c r="BJ829">
        <v>0</v>
      </c>
      <c r="BK829">
        <v>8</v>
      </c>
      <c r="BL829">
        <v>8</v>
      </c>
      <c r="BM829">
        <v>8</v>
      </c>
      <c r="BN829">
        <v>8</v>
      </c>
      <c r="BO829">
        <v>8</v>
      </c>
      <c r="BP829">
        <v>0</v>
      </c>
      <c r="BQ829" t="str">
        <f>"6:45 AM"</f>
        <v>6:45 AM</v>
      </c>
      <c r="BR829" t="str">
        <f>"3:45 PM"</f>
        <v>3:45 PM</v>
      </c>
      <c r="BS829" t="s">
        <v>131</v>
      </c>
      <c r="BT829">
        <v>0</v>
      </c>
      <c r="BU829">
        <v>0</v>
      </c>
      <c r="BV829" t="s">
        <v>114</v>
      </c>
      <c r="BX829" s="2" t="s">
        <v>16605</v>
      </c>
      <c r="BY829" t="s">
        <v>12677</v>
      </c>
      <c r="CA829" t="s">
        <v>1264</v>
      </c>
      <c r="CB829" t="s">
        <v>127</v>
      </c>
      <c r="CC829" s="8" t="str">
        <f>"75220"</f>
        <v>75220</v>
      </c>
      <c r="CD829" t="s">
        <v>2301</v>
      </c>
      <c r="CE829" t="s">
        <v>263</v>
      </c>
      <c r="CF829" s="12">
        <v>19.59</v>
      </c>
      <c r="CH829" s="12">
        <v>29.39</v>
      </c>
      <c r="CJ829" t="s">
        <v>135</v>
      </c>
      <c r="CK829" t="s">
        <v>16606</v>
      </c>
      <c r="CL829" t="s">
        <v>16607</v>
      </c>
      <c r="CO829" t="s">
        <v>132</v>
      </c>
      <c r="CP829" t="s">
        <v>114</v>
      </c>
      <c r="CQ829" t="s">
        <v>114</v>
      </c>
      <c r="CR829" t="s">
        <v>136</v>
      </c>
      <c r="CS829" t="s">
        <v>136</v>
      </c>
      <c r="CT829" t="s">
        <v>136</v>
      </c>
      <c r="CU829" t="s">
        <v>136</v>
      </c>
      <c r="CV829" t="s">
        <v>16608</v>
      </c>
      <c r="CW829" s="10" t="str">
        <f>"+12143585296"</f>
        <v>+12143585296</v>
      </c>
      <c r="CX829" t="s">
        <v>132</v>
      </c>
      <c r="CY829" t="s">
        <v>1853</v>
      </c>
      <c r="CZ829" t="s">
        <v>137</v>
      </c>
      <c r="DA829" t="s">
        <v>114</v>
      </c>
      <c r="DB829" t="s">
        <v>136</v>
      </c>
      <c r="DC829" t="s">
        <v>136</v>
      </c>
      <c r="DD829" t="s">
        <v>114</v>
      </c>
    </row>
    <row r="830" spans="1:113" ht="15" customHeight="1" x14ac:dyDescent="0.25">
      <c r="A830" t="s">
        <v>15234</v>
      </c>
      <c r="B830" t="s">
        <v>152</v>
      </c>
      <c r="C830" s="1">
        <v>45189.648397800927</v>
      </c>
      <c r="D830" s="1">
        <v>45250</v>
      </c>
      <c r="E830" t="s">
        <v>132</v>
      </c>
      <c r="F830" t="s">
        <v>428</v>
      </c>
      <c r="G830" t="str">
        <f>"37-3011.00"</f>
        <v>37-3011.00</v>
      </c>
      <c r="H830" t="s">
        <v>429</v>
      </c>
      <c r="I830">
        <v>40</v>
      </c>
      <c r="J830">
        <v>40</v>
      </c>
      <c r="K830" s="1">
        <v>45272</v>
      </c>
      <c r="L830" s="1">
        <v>45427</v>
      </c>
      <c r="M830" s="1">
        <v>45272</v>
      </c>
      <c r="N830" s="1">
        <v>45427</v>
      </c>
      <c r="O830" t="s">
        <v>238</v>
      </c>
      <c r="P830" t="s">
        <v>15235</v>
      </c>
      <c r="R830" t="s">
        <v>15236</v>
      </c>
      <c r="T830" t="s">
        <v>15237</v>
      </c>
      <c r="U830" t="s">
        <v>434</v>
      </c>
      <c r="V830" s="8" t="str">
        <f>"18947"</f>
        <v>18947</v>
      </c>
      <c r="W830" t="s">
        <v>118</v>
      </c>
      <c r="Y830" s="10">
        <v>12159906939</v>
      </c>
      <c r="AA830">
        <v>561730</v>
      </c>
      <c r="AB830" t="s">
        <v>15238</v>
      </c>
      <c r="AC830" t="s">
        <v>1500</v>
      </c>
      <c r="AE830" t="s">
        <v>10337</v>
      </c>
      <c r="AF830" t="s">
        <v>15236</v>
      </c>
      <c r="AH830" t="s">
        <v>15237</v>
      </c>
      <c r="AI830" t="s">
        <v>434</v>
      </c>
      <c r="AJ830" s="8" t="str">
        <f>"18947"</f>
        <v>18947</v>
      </c>
      <c r="AK830" t="s">
        <v>118</v>
      </c>
      <c r="AM830" s="10">
        <v>12159906939</v>
      </c>
      <c r="AO830" t="s">
        <v>132</v>
      </c>
      <c r="AP830" t="s">
        <v>248</v>
      </c>
      <c r="AQ830" t="s">
        <v>435</v>
      </c>
      <c r="AR830" t="s">
        <v>436</v>
      </c>
      <c r="AS830" t="s">
        <v>437</v>
      </c>
      <c r="AT830" t="s">
        <v>439</v>
      </c>
      <c r="AV830" t="s">
        <v>433</v>
      </c>
      <c r="AW830" t="s">
        <v>434</v>
      </c>
      <c r="AX830" s="8" t="str">
        <f>"19082"</f>
        <v>19082</v>
      </c>
      <c r="AY830" t="s">
        <v>118</v>
      </c>
      <c r="BA830" s="10">
        <v>16103528008</v>
      </c>
      <c r="BC830" t="s">
        <v>440</v>
      </c>
      <c r="BD830" t="s">
        <v>430</v>
      </c>
      <c r="BG830" t="s">
        <v>434</v>
      </c>
      <c r="BH830" s="1">
        <v>45188.833333333336</v>
      </c>
      <c r="BI830">
        <v>35</v>
      </c>
      <c r="BJ830">
        <v>0</v>
      </c>
      <c r="BK830">
        <v>7</v>
      </c>
      <c r="BL830">
        <v>7</v>
      </c>
      <c r="BM830">
        <v>7</v>
      </c>
      <c r="BN830">
        <v>7</v>
      </c>
      <c r="BO830">
        <v>7</v>
      </c>
      <c r="BP830">
        <v>0</v>
      </c>
      <c r="BQ830" t="str">
        <f>"7:00 PM"</f>
        <v>7:00 PM</v>
      </c>
      <c r="BR830" t="str">
        <f>"2:30 PM"</f>
        <v>2:30 PM</v>
      </c>
      <c r="BS830" t="s">
        <v>131</v>
      </c>
      <c r="BT830">
        <v>0</v>
      </c>
      <c r="BU830">
        <v>0</v>
      </c>
      <c r="BV830" t="s">
        <v>114</v>
      </c>
      <c r="BX830" t="s">
        <v>15239</v>
      </c>
      <c r="BY830" t="s">
        <v>15240</v>
      </c>
      <c r="CA830" t="s">
        <v>8317</v>
      </c>
      <c r="CB830" t="s">
        <v>434</v>
      </c>
      <c r="CC830" s="8" t="str">
        <f>"19143"</f>
        <v>19143</v>
      </c>
      <c r="CD830" t="s">
        <v>8317</v>
      </c>
      <c r="CE830" t="s">
        <v>443</v>
      </c>
      <c r="CF830" s="12">
        <v>18.71</v>
      </c>
      <c r="CG830" s="12">
        <v>18.71</v>
      </c>
      <c r="CH830" s="12">
        <v>28.07</v>
      </c>
      <c r="CI830" s="12">
        <v>28.07</v>
      </c>
      <c r="CJ830" t="s">
        <v>135</v>
      </c>
      <c r="CK830" t="s">
        <v>444</v>
      </c>
      <c r="CL830" t="s">
        <v>15241</v>
      </c>
      <c r="CO830" t="s">
        <v>132</v>
      </c>
      <c r="CP830" t="s">
        <v>136</v>
      </c>
      <c r="CQ830" t="s">
        <v>136</v>
      </c>
      <c r="CR830" t="s">
        <v>136</v>
      </c>
      <c r="CS830" t="s">
        <v>114</v>
      </c>
      <c r="CT830" t="s">
        <v>136</v>
      </c>
      <c r="CU830" t="s">
        <v>114</v>
      </c>
      <c r="CV830" t="s">
        <v>15242</v>
      </c>
      <c r="CW830" s="10" t="str">
        <f>"+12159906939"</f>
        <v>+12159906939</v>
      </c>
      <c r="CX830" t="s">
        <v>15243</v>
      </c>
      <c r="CY830" t="s">
        <v>15244</v>
      </c>
      <c r="CZ830" t="s">
        <v>137</v>
      </c>
      <c r="DA830" t="s">
        <v>114</v>
      </c>
      <c r="DB830" t="s">
        <v>114</v>
      </c>
      <c r="DC830" t="s">
        <v>136</v>
      </c>
      <c r="DD830" t="s">
        <v>114</v>
      </c>
    </row>
    <row r="831" spans="1:113" ht="15" customHeight="1" x14ac:dyDescent="0.25">
      <c r="A831" t="s">
        <v>14776</v>
      </c>
      <c r="B831" t="s">
        <v>152</v>
      </c>
      <c r="C831" s="1">
        <v>45182.865795486112</v>
      </c>
      <c r="D831" s="1">
        <v>45250</v>
      </c>
      <c r="E831" t="s">
        <v>132</v>
      </c>
      <c r="F831" t="s">
        <v>3992</v>
      </c>
      <c r="G831" t="str">
        <f>"47-4051.00"</f>
        <v>47-4051.00</v>
      </c>
      <c r="H831" t="s">
        <v>5632</v>
      </c>
      <c r="I831">
        <v>4</v>
      </c>
      <c r="J831">
        <v>4</v>
      </c>
      <c r="K831" s="1">
        <v>45261</v>
      </c>
      <c r="L831" s="1">
        <v>45382</v>
      </c>
      <c r="M831" s="1">
        <v>45261</v>
      </c>
      <c r="N831" s="1">
        <v>45382</v>
      </c>
      <c r="O831" t="s">
        <v>238</v>
      </c>
      <c r="P831" t="s">
        <v>7563</v>
      </c>
      <c r="R831" t="s">
        <v>7564</v>
      </c>
      <c r="T831" t="s">
        <v>5464</v>
      </c>
      <c r="U831" t="s">
        <v>211</v>
      </c>
      <c r="V831" s="8" t="str">
        <f>"84660"</f>
        <v>84660</v>
      </c>
      <c r="W831" t="s">
        <v>118</v>
      </c>
      <c r="Y831" s="10">
        <v>18017358357</v>
      </c>
      <c r="AA831">
        <v>56173</v>
      </c>
      <c r="AB831" t="s">
        <v>5372</v>
      </c>
      <c r="AC831" t="s">
        <v>3319</v>
      </c>
      <c r="AE831" t="s">
        <v>120</v>
      </c>
      <c r="AF831" t="s">
        <v>7564</v>
      </c>
      <c r="AH831" t="s">
        <v>5464</v>
      </c>
      <c r="AI831" t="s">
        <v>211</v>
      </c>
      <c r="AJ831" s="8" t="str">
        <f>"84660"</f>
        <v>84660</v>
      </c>
      <c r="AK831" t="s">
        <v>118</v>
      </c>
      <c r="AM831" s="10">
        <v>18017358357</v>
      </c>
      <c r="AO831" t="s">
        <v>7565</v>
      </c>
      <c r="AP831" t="s">
        <v>248</v>
      </c>
      <c r="AQ831" t="s">
        <v>1700</v>
      </c>
      <c r="AR831" t="s">
        <v>1701</v>
      </c>
      <c r="AT831" t="s">
        <v>3247</v>
      </c>
      <c r="AV831" t="s">
        <v>2467</v>
      </c>
      <c r="AW831" t="s">
        <v>211</v>
      </c>
      <c r="AX831" s="8" t="str">
        <f>"84059"</f>
        <v>84059</v>
      </c>
      <c r="AY831" t="s">
        <v>118</v>
      </c>
      <c r="BA831" s="10">
        <v>18013677097</v>
      </c>
      <c r="BC831" t="s">
        <v>4601</v>
      </c>
      <c r="BD831" t="s">
        <v>4602</v>
      </c>
      <c r="BG831" t="s">
        <v>211</v>
      </c>
      <c r="BH831" s="1">
        <v>45181.833333333336</v>
      </c>
      <c r="BI831">
        <v>35</v>
      </c>
      <c r="BJ831">
        <v>0</v>
      </c>
      <c r="BK831">
        <v>7</v>
      </c>
      <c r="BL831">
        <v>7</v>
      </c>
      <c r="BM831">
        <v>7</v>
      </c>
      <c r="BN831">
        <v>7</v>
      </c>
      <c r="BO831">
        <v>7</v>
      </c>
      <c r="BP831">
        <v>0</v>
      </c>
      <c r="BQ831" t="str">
        <f>"8:00 AM"</f>
        <v>8:00 AM</v>
      </c>
      <c r="BR831" t="str">
        <f>"3:30 PM"</f>
        <v>3:30 PM</v>
      </c>
      <c r="BS831" t="s">
        <v>131</v>
      </c>
      <c r="BT831">
        <v>0</v>
      </c>
      <c r="BU831">
        <v>0</v>
      </c>
      <c r="BV831" t="s">
        <v>114</v>
      </c>
      <c r="BX831" s="2" t="s">
        <v>7566</v>
      </c>
      <c r="BY831" t="s">
        <v>7567</v>
      </c>
      <c r="CA831" t="s">
        <v>5464</v>
      </c>
      <c r="CB831" t="s">
        <v>211</v>
      </c>
      <c r="CC831" s="8" t="str">
        <f>"84660"</f>
        <v>84660</v>
      </c>
      <c r="CD831" t="s">
        <v>2468</v>
      </c>
      <c r="CE831" t="s">
        <v>2469</v>
      </c>
      <c r="CF831" s="12">
        <v>23.15</v>
      </c>
      <c r="CJ831" t="s">
        <v>135</v>
      </c>
      <c r="CK831" t="s">
        <v>4604</v>
      </c>
      <c r="CL831" t="s">
        <v>14777</v>
      </c>
      <c r="CO831" t="s">
        <v>132</v>
      </c>
      <c r="CP831" t="s">
        <v>136</v>
      </c>
      <c r="CQ831" t="s">
        <v>136</v>
      </c>
      <c r="CR831" t="s">
        <v>114</v>
      </c>
      <c r="CS831" t="s">
        <v>114</v>
      </c>
      <c r="CT831" t="s">
        <v>136</v>
      </c>
      <c r="CU831" t="s">
        <v>114</v>
      </c>
      <c r="CV831" t="s">
        <v>2470</v>
      </c>
      <c r="CW831" s="10" t="str">
        <f>"+18017358357"</f>
        <v>+18017358357</v>
      </c>
      <c r="CX831" t="s">
        <v>7565</v>
      </c>
      <c r="CY831" t="s">
        <v>132</v>
      </c>
      <c r="CZ831" t="s">
        <v>137</v>
      </c>
      <c r="DA831" t="s">
        <v>114</v>
      </c>
      <c r="DB831" t="s">
        <v>114</v>
      </c>
      <c r="DC831" t="s">
        <v>136</v>
      </c>
      <c r="DD831" t="s">
        <v>114</v>
      </c>
    </row>
    <row r="832" spans="1:113" ht="15" customHeight="1" x14ac:dyDescent="0.25">
      <c r="A832" t="s">
        <v>22875</v>
      </c>
      <c r="B832" t="s">
        <v>152</v>
      </c>
      <c r="C832" s="1">
        <v>45181.453634375001</v>
      </c>
      <c r="D832" s="1">
        <v>45250</v>
      </c>
      <c r="E832" t="s">
        <v>132</v>
      </c>
      <c r="F832" t="s">
        <v>700</v>
      </c>
      <c r="G832" t="str">
        <f>"37-2011.00"</f>
        <v>37-2011.00</v>
      </c>
      <c r="H832" t="s">
        <v>1089</v>
      </c>
      <c r="I832">
        <v>12</v>
      </c>
      <c r="J832">
        <v>12</v>
      </c>
      <c r="K832" s="1">
        <v>45256</v>
      </c>
      <c r="L832" s="1">
        <v>45366</v>
      </c>
      <c r="M832" s="1">
        <v>45256</v>
      </c>
      <c r="N832" s="1">
        <v>45366</v>
      </c>
      <c r="O832" t="s">
        <v>238</v>
      </c>
      <c r="P832" t="s">
        <v>22876</v>
      </c>
      <c r="Q832" t="s">
        <v>22877</v>
      </c>
      <c r="R832" t="s">
        <v>22878</v>
      </c>
      <c r="T832" t="s">
        <v>22879</v>
      </c>
      <c r="U832" t="s">
        <v>434</v>
      </c>
      <c r="V832" s="8" t="str">
        <f>"18078"</f>
        <v>18078</v>
      </c>
      <c r="W832" t="s">
        <v>118</v>
      </c>
      <c r="Y832" s="10">
        <v>14842393651</v>
      </c>
      <c r="AA832">
        <v>561730</v>
      </c>
      <c r="AB832" t="s">
        <v>22880</v>
      </c>
      <c r="AC832" t="s">
        <v>22881</v>
      </c>
      <c r="AE832" t="s">
        <v>1799</v>
      </c>
      <c r="AF832" t="s">
        <v>22878</v>
      </c>
      <c r="AH832" t="s">
        <v>22879</v>
      </c>
      <c r="AI832" t="s">
        <v>434</v>
      </c>
      <c r="AJ832" s="8" t="str">
        <f>"18078"</f>
        <v>18078</v>
      </c>
      <c r="AK832" t="s">
        <v>118</v>
      </c>
      <c r="AM832" s="10">
        <v>14842393651</v>
      </c>
      <c r="AO832" t="s">
        <v>132</v>
      </c>
      <c r="AP832" t="s">
        <v>121</v>
      </c>
      <c r="AQ832" t="s">
        <v>1172</v>
      </c>
      <c r="AR832" t="s">
        <v>1173</v>
      </c>
      <c r="AS832" t="s">
        <v>708</v>
      </c>
      <c r="AT832" t="s">
        <v>3325</v>
      </c>
      <c r="AV832" t="s">
        <v>603</v>
      </c>
      <c r="AW832" t="s">
        <v>127</v>
      </c>
      <c r="AX832" s="8" t="str">
        <f>"78705"</f>
        <v>78705</v>
      </c>
      <c r="AY832" t="s">
        <v>118</v>
      </c>
      <c r="BA832" s="10">
        <v>15123470007</v>
      </c>
      <c r="BC832" t="s">
        <v>1175</v>
      </c>
      <c r="BD832" t="s">
        <v>22882</v>
      </c>
      <c r="BE832" t="s">
        <v>127</v>
      </c>
      <c r="BF832" t="s">
        <v>750</v>
      </c>
      <c r="BG832" t="s">
        <v>434</v>
      </c>
      <c r="BH832" s="1">
        <v>45180.833333333336</v>
      </c>
      <c r="BI832">
        <v>42</v>
      </c>
      <c r="BJ832">
        <v>6</v>
      </c>
      <c r="BK832">
        <v>6</v>
      </c>
      <c r="BL832">
        <v>6</v>
      </c>
      <c r="BM832">
        <v>6</v>
      </c>
      <c r="BN832">
        <v>6</v>
      </c>
      <c r="BO832">
        <v>6</v>
      </c>
      <c r="BP832">
        <v>6</v>
      </c>
      <c r="BQ832" t="str">
        <f>"8:00 AM"</f>
        <v>8:00 AM</v>
      </c>
      <c r="BR832" t="str">
        <f>"5:00 PM"</f>
        <v>5:00 PM</v>
      </c>
      <c r="BS832" t="s">
        <v>131</v>
      </c>
      <c r="BT832">
        <v>0</v>
      </c>
      <c r="BU832">
        <v>0</v>
      </c>
      <c r="BV832" t="s">
        <v>114</v>
      </c>
      <c r="BX832" t="s">
        <v>131</v>
      </c>
      <c r="BY832" t="s">
        <v>22883</v>
      </c>
      <c r="CA832" t="s">
        <v>22884</v>
      </c>
      <c r="CB832" t="s">
        <v>434</v>
      </c>
      <c r="CC832" s="8" t="str">
        <f>"18037"</f>
        <v>18037</v>
      </c>
      <c r="CD832" t="s">
        <v>7658</v>
      </c>
      <c r="CE832" t="s">
        <v>7659</v>
      </c>
      <c r="CF832" s="12">
        <v>17.5</v>
      </c>
      <c r="CG832" s="12">
        <v>17.5</v>
      </c>
      <c r="CH832" s="12">
        <v>26.25</v>
      </c>
      <c r="CI832" s="12">
        <v>26.25</v>
      </c>
      <c r="CJ832" t="s">
        <v>135</v>
      </c>
      <c r="CK832" t="s">
        <v>22885</v>
      </c>
      <c r="CL832" t="s">
        <v>22886</v>
      </c>
      <c r="CO832" t="s">
        <v>132</v>
      </c>
      <c r="CP832" t="s">
        <v>136</v>
      </c>
      <c r="CQ832" t="s">
        <v>136</v>
      </c>
      <c r="CR832" t="s">
        <v>136</v>
      </c>
      <c r="CS832" t="s">
        <v>136</v>
      </c>
      <c r="CT832" t="s">
        <v>136</v>
      </c>
      <c r="CU832" t="s">
        <v>136</v>
      </c>
      <c r="CV832" s="2" t="s">
        <v>22887</v>
      </c>
      <c r="CW832" s="10" t="str">
        <f>"+16109720176"</f>
        <v>+16109720176</v>
      </c>
      <c r="CX832" t="s">
        <v>22888</v>
      </c>
      <c r="CY832" t="s">
        <v>132</v>
      </c>
      <c r="CZ832" t="s">
        <v>137</v>
      </c>
      <c r="DA832" t="s">
        <v>114</v>
      </c>
      <c r="DB832" t="s">
        <v>114</v>
      </c>
      <c r="DC832" t="s">
        <v>136</v>
      </c>
      <c r="DD832" t="s">
        <v>114</v>
      </c>
    </row>
    <row r="833" spans="1:113" ht="15" customHeight="1" x14ac:dyDescent="0.25">
      <c r="A833" t="s">
        <v>16151</v>
      </c>
      <c r="B833" t="s">
        <v>152</v>
      </c>
      <c r="C833" s="1">
        <v>45176.725323032406</v>
      </c>
      <c r="D833" s="1">
        <v>45250</v>
      </c>
      <c r="E833" t="s">
        <v>132</v>
      </c>
      <c r="F833" t="s">
        <v>16152</v>
      </c>
      <c r="G833" t="str">
        <f>"37-3011.00"</f>
        <v>37-3011.00</v>
      </c>
      <c r="H833" t="s">
        <v>429</v>
      </c>
      <c r="I833">
        <v>8</v>
      </c>
      <c r="J833">
        <v>8</v>
      </c>
      <c r="K833" s="1">
        <v>45251</v>
      </c>
      <c r="L833" s="1">
        <v>45397</v>
      </c>
      <c r="M833" s="1">
        <v>45251</v>
      </c>
      <c r="N833" s="1">
        <v>45397</v>
      </c>
      <c r="O833" t="s">
        <v>238</v>
      </c>
      <c r="P833" t="s">
        <v>16153</v>
      </c>
      <c r="R833" t="s">
        <v>16154</v>
      </c>
      <c r="T833" t="s">
        <v>2298</v>
      </c>
      <c r="U833" t="s">
        <v>434</v>
      </c>
      <c r="V833" s="8" t="str">
        <f>"19382"</f>
        <v>19382</v>
      </c>
      <c r="W833" t="s">
        <v>118</v>
      </c>
      <c r="Y833" s="10">
        <v>16105876499</v>
      </c>
      <c r="AA833">
        <v>56173</v>
      </c>
      <c r="AB833" t="s">
        <v>16155</v>
      </c>
      <c r="AC833" t="s">
        <v>3490</v>
      </c>
      <c r="AE833" t="s">
        <v>1349</v>
      </c>
      <c r="AF833" t="s">
        <v>16154</v>
      </c>
      <c r="AH833" t="s">
        <v>2298</v>
      </c>
      <c r="AI833" t="s">
        <v>434</v>
      </c>
      <c r="AJ833" s="8" t="str">
        <f>"19382"</f>
        <v>19382</v>
      </c>
      <c r="AK833" t="s">
        <v>118</v>
      </c>
      <c r="AM833" s="10">
        <v>16105876499</v>
      </c>
      <c r="AO833" t="s">
        <v>132</v>
      </c>
      <c r="AP833" t="s">
        <v>248</v>
      </c>
      <c r="AQ833" t="s">
        <v>577</v>
      </c>
      <c r="AR833" t="s">
        <v>578</v>
      </c>
      <c r="AT833" t="s">
        <v>579</v>
      </c>
      <c r="AV833" t="s">
        <v>580</v>
      </c>
      <c r="AW833" t="s">
        <v>581</v>
      </c>
      <c r="AX833" s="8" t="str">
        <f>"22903"</f>
        <v>22903</v>
      </c>
      <c r="AY833" t="s">
        <v>118</v>
      </c>
      <c r="BA833" s="10">
        <v>14342634300</v>
      </c>
      <c r="BC833" t="s">
        <v>2909</v>
      </c>
      <c r="BD833" t="s">
        <v>583</v>
      </c>
      <c r="BG833" t="s">
        <v>434</v>
      </c>
      <c r="BH833" s="1">
        <v>45175.833333333336</v>
      </c>
      <c r="BI833">
        <v>40</v>
      </c>
      <c r="BJ833">
        <v>0</v>
      </c>
      <c r="BK833">
        <v>8</v>
      </c>
      <c r="BL833">
        <v>8</v>
      </c>
      <c r="BM833">
        <v>8</v>
      </c>
      <c r="BN833">
        <v>8</v>
      </c>
      <c r="BO833">
        <v>8</v>
      </c>
      <c r="BP833">
        <v>0</v>
      </c>
      <c r="BQ833" t="str">
        <f>"8:00 AM"</f>
        <v>8:00 AM</v>
      </c>
      <c r="BR833" t="str">
        <f>"4:30 PM"</f>
        <v>4:30 PM</v>
      </c>
      <c r="BS833" t="s">
        <v>131</v>
      </c>
      <c r="BT833">
        <v>0</v>
      </c>
      <c r="BU833">
        <v>0</v>
      </c>
      <c r="BV833" t="s">
        <v>114</v>
      </c>
      <c r="BX833" s="2" t="s">
        <v>16156</v>
      </c>
      <c r="BY833" t="s">
        <v>16157</v>
      </c>
      <c r="CA833" t="s">
        <v>3022</v>
      </c>
      <c r="CB833" t="s">
        <v>434</v>
      </c>
      <c r="CC833" s="8" t="str">
        <f>"19355"</f>
        <v>19355</v>
      </c>
      <c r="CD833" t="s">
        <v>1781</v>
      </c>
      <c r="CE833" t="s">
        <v>443</v>
      </c>
      <c r="CF833" s="12">
        <v>18.71</v>
      </c>
      <c r="CG833" s="12">
        <v>18.71</v>
      </c>
      <c r="CH833" s="12">
        <v>28.07</v>
      </c>
      <c r="CI833" s="12">
        <v>28.07</v>
      </c>
      <c r="CJ833" t="s">
        <v>135</v>
      </c>
      <c r="CK833" t="s">
        <v>9713</v>
      </c>
      <c r="CL833" t="s">
        <v>16158</v>
      </c>
      <c r="CO833" t="s">
        <v>132</v>
      </c>
      <c r="CP833" t="s">
        <v>136</v>
      </c>
      <c r="CQ833" t="s">
        <v>114</v>
      </c>
      <c r="CR833" t="s">
        <v>136</v>
      </c>
      <c r="CS833" t="s">
        <v>136</v>
      </c>
      <c r="CT833" t="s">
        <v>136</v>
      </c>
      <c r="CU833" t="s">
        <v>136</v>
      </c>
      <c r="CV833" t="s">
        <v>16159</v>
      </c>
      <c r="CW833" s="10" t="str">
        <f>"+14843241161"</f>
        <v>+14843241161</v>
      </c>
      <c r="CX833" t="s">
        <v>132</v>
      </c>
      <c r="CY833" t="s">
        <v>1997</v>
      </c>
      <c r="CZ833" t="s">
        <v>137</v>
      </c>
      <c r="DA833" t="s">
        <v>114</v>
      </c>
      <c r="DB833" t="s">
        <v>114</v>
      </c>
      <c r="DC833" t="s">
        <v>136</v>
      </c>
      <c r="DD833" t="s">
        <v>114</v>
      </c>
      <c r="DE833" t="s">
        <v>2912</v>
      </c>
      <c r="DF833" t="s">
        <v>2913</v>
      </c>
      <c r="DH833" t="s">
        <v>583</v>
      </c>
      <c r="DI833" t="s">
        <v>2909</v>
      </c>
    </row>
    <row r="834" spans="1:113" ht="15" customHeight="1" x14ac:dyDescent="0.25">
      <c r="A834" t="s">
        <v>14502</v>
      </c>
      <c r="B834" t="s">
        <v>152</v>
      </c>
      <c r="C834" s="1">
        <v>45174.490601041667</v>
      </c>
      <c r="D834" s="1">
        <v>45250</v>
      </c>
      <c r="E834" t="s">
        <v>132</v>
      </c>
      <c r="F834" t="s">
        <v>14503</v>
      </c>
      <c r="G834" t="str">
        <f>"25-3021.00"</f>
        <v>25-3021.00</v>
      </c>
      <c r="H834" t="s">
        <v>720</v>
      </c>
      <c r="I834">
        <v>40</v>
      </c>
      <c r="J834">
        <v>40</v>
      </c>
      <c r="K834" s="1">
        <v>45262</v>
      </c>
      <c r="L834" s="1">
        <v>45389</v>
      </c>
      <c r="M834" s="1">
        <v>45262</v>
      </c>
      <c r="N834" s="1">
        <v>45389</v>
      </c>
      <c r="O834" t="s">
        <v>238</v>
      </c>
      <c r="P834" t="s">
        <v>4360</v>
      </c>
      <c r="Q834" t="s">
        <v>4361</v>
      </c>
      <c r="R834" t="s">
        <v>4362</v>
      </c>
      <c r="S834" t="s">
        <v>4363</v>
      </c>
      <c r="T834" t="s">
        <v>210</v>
      </c>
      <c r="U834" t="s">
        <v>211</v>
      </c>
      <c r="V834" s="8" t="str">
        <f>"84060"</f>
        <v>84060</v>
      </c>
      <c r="W834" t="s">
        <v>118</v>
      </c>
      <c r="Y834" s="10">
        <v>14356456653</v>
      </c>
      <c r="AA834">
        <v>72111</v>
      </c>
      <c r="AB834" t="s">
        <v>4364</v>
      </c>
      <c r="AC834" t="s">
        <v>4365</v>
      </c>
      <c r="AE834" t="s">
        <v>2016</v>
      </c>
      <c r="AF834" t="s">
        <v>4366</v>
      </c>
      <c r="AG834" t="s">
        <v>4362</v>
      </c>
      <c r="AH834" t="s">
        <v>210</v>
      </c>
      <c r="AI834" t="s">
        <v>211</v>
      </c>
      <c r="AJ834" s="8" t="str">
        <f>"84060"</f>
        <v>84060</v>
      </c>
      <c r="AK834" t="s">
        <v>118</v>
      </c>
      <c r="AM834" s="10">
        <v>14356456653</v>
      </c>
      <c r="AO834" t="s">
        <v>4367</v>
      </c>
      <c r="AP834" t="s">
        <v>121</v>
      </c>
      <c r="AQ834" t="s">
        <v>1675</v>
      </c>
      <c r="AR834" t="s">
        <v>1676</v>
      </c>
      <c r="AS834" t="s">
        <v>1677</v>
      </c>
      <c r="AT834" t="s">
        <v>1678</v>
      </c>
      <c r="AU834" t="s">
        <v>296</v>
      </c>
      <c r="AV834" t="s">
        <v>1679</v>
      </c>
      <c r="AW834" t="s">
        <v>402</v>
      </c>
      <c r="AX834" s="8" t="str">
        <f>"91361"</f>
        <v>91361</v>
      </c>
      <c r="AY834" t="s">
        <v>118</v>
      </c>
      <c r="BA834" s="10">
        <v>18052611393</v>
      </c>
      <c r="BC834" t="s">
        <v>1680</v>
      </c>
      <c r="BD834" t="s">
        <v>1681</v>
      </c>
      <c r="BE834" t="s">
        <v>140</v>
      </c>
      <c r="BF834" t="s">
        <v>146</v>
      </c>
      <c r="BG834" t="s">
        <v>211</v>
      </c>
      <c r="BH834" s="1">
        <v>45158.833333333336</v>
      </c>
      <c r="BI834">
        <v>35</v>
      </c>
      <c r="BJ834">
        <v>5</v>
      </c>
      <c r="BK834">
        <v>5</v>
      </c>
      <c r="BL834">
        <v>5</v>
      </c>
      <c r="BM834">
        <v>5</v>
      </c>
      <c r="BN834">
        <v>5</v>
      </c>
      <c r="BO834">
        <v>5</v>
      </c>
      <c r="BP834">
        <v>5</v>
      </c>
      <c r="BQ834" t="str">
        <f>"8:30 AM"</f>
        <v>8:30 AM</v>
      </c>
      <c r="BR834" t="str">
        <f>"4:00 PM"</f>
        <v>4:00 PM</v>
      </c>
      <c r="BS834" t="s">
        <v>131</v>
      </c>
      <c r="BT834">
        <v>0</v>
      </c>
      <c r="BU834">
        <v>9</v>
      </c>
      <c r="BV834" t="s">
        <v>114</v>
      </c>
      <c r="BX834" s="2" t="s">
        <v>14504</v>
      </c>
      <c r="BY834" t="s">
        <v>4362</v>
      </c>
      <c r="CA834" t="s">
        <v>210</v>
      </c>
      <c r="CB834" t="s">
        <v>211</v>
      </c>
      <c r="CC834" s="8" t="str">
        <f>"84060"</f>
        <v>84060</v>
      </c>
      <c r="CD834" t="s">
        <v>228</v>
      </c>
      <c r="CE834" t="s">
        <v>229</v>
      </c>
      <c r="CF834" s="12">
        <v>22.47</v>
      </c>
      <c r="CG834" s="12">
        <v>51.45</v>
      </c>
      <c r="CH834" s="12">
        <v>33.71</v>
      </c>
      <c r="CI834" s="12">
        <v>77.180000000000007</v>
      </c>
      <c r="CJ834" t="s">
        <v>135</v>
      </c>
      <c r="CK834" t="s">
        <v>14505</v>
      </c>
      <c r="CL834" t="s">
        <v>14506</v>
      </c>
      <c r="CO834" t="s">
        <v>132</v>
      </c>
      <c r="CP834" t="s">
        <v>114</v>
      </c>
      <c r="CQ834" t="s">
        <v>114</v>
      </c>
      <c r="CR834" t="s">
        <v>136</v>
      </c>
      <c r="CS834" t="s">
        <v>136</v>
      </c>
      <c r="CT834" t="s">
        <v>136</v>
      </c>
      <c r="CU834" t="s">
        <v>136</v>
      </c>
      <c r="CV834" s="2" t="s">
        <v>14507</v>
      </c>
      <c r="CW834" s="10" t="str">
        <f>"+14356456635"</f>
        <v>+14356456635</v>
      </c>
      <c r="CX834" t="s">
        <v>14508</v>
      </c>
      <c r="CY834" t="s">
        <v>132</v>
      </c>
      <c r="CZ834" t="s">
        <v>137</v>
      </c>
      <c r="DA834" t="s">
        <v>114</v>
      </c>
      <c r="DB834" t="s">
        <v>114</v>
      </c>
      <c r="DC834" t="s">
        <v>136</v>
      </c>
      <c r="DD834" t="s">
        <v>114</v>
      </c>
    </row>
    <row r="835" spans="1:113" ht="15" customHeight="1" x14ac:dyDescent="0.25">
      <c r="A835" t="s">
        <v>6520</v>
      </c>
      <c r="B835" t="s">
        <v>152</v>
      </c>
      <c r="C835" s="1">
        <v>45171.001120370369</v>
      </c>
      <c r="D835" s="1">
        <v>45250</v>
      </c>
      <c r="E835" t="s">
        <v>132</v>
      </c>
      <c r="F835" t="s">
        <v>6521</v>
      </c>
      <c r="G835" t="str">
        <f>"47-4051.00"</f>
        <v>47-4051.00</v>
      </c>
      <c r="H835" t="s">
        <v>5632</v>
      </c>
      <c r="I835">
        <v>9</v>
      </c>
      <c r="J835">
        <v>9</v>
      </c>
      <c r="K835" s="1">
        <v>45261</v>
      </c>
      <c r="L835" s="1">
        <v>45381</v>
      </c>
      <c r="M835" s="1">
        <v>45261</v>
      </c>
      <c r="N835" s="1">
        <v>45381</v>
      </c>
      <c r="O835" t="s">
        <v>238</v>
      </c>
      <c r="P835" t="s">
        <v>6522</v>
      </c>
      <c r="R835" t="s">
        <v>6523</v>
      </c>
      <c r="T835" t="s">
        <v>6524</v>
      </c>
      <c r="U835" t="s">
        <v>2194</v>
      </c>
      <c r="V835" s="8" t="str">
        <f>"03106"</f>
        <v>03106</v>
      </c>
      <c r="W835" t="s">
        <v>118</v>
      </c>
      <c r="Y835" s="10">
        <v>16039312281</v>
      </c>
      <c r="AA835">
        <v>56173</v>
      </c>
      <c r="AB835" t="s">
        <v>6525</v>
      </c>
      <c r="AC835" t="s">
        <v>6526</v>
      </c>
      <c r="AE835" t="s">
        <v>2907</v>
      </c>
      <c r="AF835" t="s">
        <v>6523</v>
      </c>
      <c r="AH835" t="s">
        <v>6524</v>
      </c>
      <c r="AI835" t="s">
        <v>2194</v>
      </c>
      <c r="AJ835" s="8" t="str">
        <f>"03106"</f>
        <v>03106</v>
      </c>
      <c r="AK835" t="s">
        <v>118</v>
      </c>
      <c r="AM835" s="10">
        <v>16039312281</v>
      </c>
      <c r="AO835" t="s">
        <v>6527</v>
      </c>
      <c r="AP835" t="s">
        <v>248</v>
      </c>
      <c r="AQ835" t="s">
        <v>3124</v>
      </c>
      <c r="AR835" t="s">
        <v>3125</v>
      </c>
      <c r="AS835" t="s">
        <v>132</v>
      </c>
      <c r="AT835" t="s">
        <v>1032</v>
      </c>
      <c r="AU835" t="s">
        <v>852</v>
      </c>
      <c r="AV835" t="s">
        <v>853</v>
      </c>
      <c r="AW835" t="s">
        <v>854</v>
      </c>
      <c r="AX835" s="8" t="str">
        <f>"83814"</f>
        <v>83814</v>
      </c>
      <c r="AY835" t="s">
        <v>118</v>
      </c>
      <c r="BA835" s="10">
        <v>12087772654</v>
      </c>
      <c r="BC835" t="s">
        <v>6528</v>
      </c>
      <c r="BD835" t="s">
        <v>856</v>
      </c>
      <c r="BG835" t="s">
        <v>2194</v>
      </c>
      <c r="BH835" s="1">
        <v>45177.833333333336</v>
      </c>
      <c r="BI835">
        <v>35</v>
      </c>
      <c r="BJ835">
        <v>0</v>
      </c>
      <c r="BK835">
        <v>7</v>
      </c>
      <c r="BL835">
        <v>7</v>
      </c>
      <c r="BM835">
        <v>7</v>
      </c>
      <c r="BN835">
        <v>7</v>
      </c>
      <c r="BO835">
        <v>7</v>
      </c>
      <c r="BP835">
        <v>0</v>
      </c>
      <c r="BQ835" t="str">
        <f>"7:30 AM"</f>
        <v>7:30 AM</v>
      </c>
      <c r="BR835" t="str">
        <f>"4:00 PM"</f>
        <v>4:00 PM</v>
      </c>
      <c r="BS835" t="s">
        <v>131</v>
      </c>
      <c r="BT835">
        <v>0</v>
      </c>
      <c r="BU835">
        <v>0</v>
      </c>
      <c r="BV835" t="s">
        <v>114</v>
      </c>
      <c r="BX835" t="s">
        <v>4985</v>
      </c>
      <c r="BY835" t="s">
        <v>6529</v>
      </c>
      <c r="CA835" t="s">
        <v>6524</v>
      </c>
      <c r="CB835" t="s">
        <v>2194</v>
      </c>
      <c r="CC835" s="8" t="str">
        <f>"03106"</f>
        <v>03106</v>
      </c>
      <c r="CD835" t="s">
        <v>6530</v>
      </c>
      <c r="CE835" t="s">
        <v>2399</v>
      </c>
      <c r="CF835" s="12">
        <v>25.94</v>
      </c>
      <c r="CH835" s="12">
        <v>38.909999999999997</v>
      </c>
      <c r="CJ835" t="s">
        <v>135</v>
      </c>
      <c r="CK835" t="s">
        <v>132</v>
      </c>
      <c r="CL835" t="s">
        <v>6531</v>
      </c>
      <c r="CO835" t="s">
        <v>132</v>
      </c>
      <c r="CP835" t="s">
        <v>136</v>
      </c>
      <c r="CQ835" t="s">
        <v>136</v>
      </c>
      <c r="CR835" t="s">
        <v>136</v>
      </c>
      <c r="CS835" t="s">
        <v>136</v>
      </c>
      <c r="CT835" t="s">
        <v>136</v>
      </c>
      <c r="CU835" t="s">
        <v>136</v>
      </c>
      <c r="CV835" t="s">
        <v>1040</v>
      </c>
      <c r="CW835" s="10" t="str">
        <f>"+16039312281"</f>
        <v>+16039312281</v>
      </c>
      <c r="CX835" t="s">
        <v>6527</v>
      </c>
      <c r="CY835" t="s">
        <v>132</v>
      </c>
      <c r="CZ835" t="s">
        <v>137</v>
      </c>
      <c r="DA835" t="s">
        <v>114</v>
      </c>
      <c r="DB835" t="s">
        <v>136</v>
      </c>
      <c r="DC835" t="s">
        <v>136</v>
      </c>
      <c r="DD835" t="s">
        <v>114</v>
      </c>
    </row>
    <row r="836" spans="1:113" ht="15" customHeight="1" x14ac:dyDescent="0.25">
      <c r="A836" t="s">
        <v>22325</v>
      </c>
      <c r="B836" t="s">
        <v>152</v>
      </c>
      <c r="C836" s="1">
        <v>45167.557553009261</v>
      </c>
      <c r="D836" s="1">
        <v>45250</v>
      </c>
      <c r="E836" t="s">
        <v>114</v>
      </c>
      <c r="F836" t="s">
        <v>22326</v>
      </c>
      <c r="G836" t="str">
        <f>"45-4011.00"</f>
        <v>45-4011.00</v>
      </c>
      <c r="H836" t="s">
        <v>842</v>
      </c>
      <c r="I836">
        <v>15</v>
      </c>
      <c r="J836">
        <v>15</v>
      </c>
      <c r="K836" s="1">
        <v>45242</v>
      </c>
      <c r="L836" s="1">
        <v>45459</v>
      </c>
      <c r="M836" s="1">
        <v>45242</v>
      </c>
      <c r="N836" s="1">
        <v>45459</v>
      </c>
      <c r="O836" t="s">
        <v>238</v>
      </c>
      <c r="P836" t="s">
        <v>22327</v>
      </c>
      <c r="R836" t="s">
        <v>22328</v>
      </c>
      <c r="T836" t="s">
        <v>22329</v>
      </c>
      <c r="U836" t="s">
        <v>1691</v>
      </c>
      <c r="V836" s="8" t="str">
        <f>"29728"</f>
        <v>29728</v>
      </c>
      <c r="W836" t="s">
        <v>118</v>
      </c>
      <c r="Y836" s="10">
        <v>18436801911</v>
      </c>
      <c r="AA836">
        <v>11321</v>
      </c>
      <c r="AB836" t="s">
        <v>22330</v>
      </c>
      <c r="AC836" t="s">
        <v>3369</v>
      </c>
      <c r="AD836" t="s">
        <v>3324</v>
      </c>
      <c r="AE836" t="s">
        <v>1580</v>
      </c>
      <c r="AF836" t="s">
        <v>22328</v>
      </c>
      <c r="AH836" t="s">
        <v>22329</v>
      </c>
      <c r="AI836" t="s">
        <v>1691</v>
      </c>
      <c r="AJ836" s="8" t="str">
        <f>"29728"</f>
        <v>29728</v>
      </c>
      <c r="AK836" t="s">
        <v>118</v>
      </c>
      <c r="AM836" s="10">
        <v>18435170748</v>
      </c>
      <c r="AO836" t="s">
        <v>22331</v>
      </c>
      <c r="AX836" s="8" t="str">
        <f>""</f>
        <v/>
      </c>
      <c r="BG836" t="s">
        <v>1691</v>
      </c>
      <c r="BH836" s="1">
        <v>45136.833333333336</v>
      </c>
      <c r="BI836">
        <v>40</v>
      </c>
      <c r="BJ836">
        <v>0</v>
      </c>
      <c r="BK836">
        <v>8</v>
      </c>
      <c r="BL836">
        <v>8</v>
      </c>
      <c r="BM836">
        <v>8</v>
      </c>
      <c r="BN836">
        <v>8</v>
      </c>
      <c r="BO836">
        <v>8</v>
      </c>
      <c r="BP836">
        <v>0</v>
      </c>
      <c r="BQ836" t="str">
        <f>"7:00 AM"</f>
        <v>7:00 AM</v>
      </c>
      <c r="BR836" t="str">
        <f>"4:00 PM"</f>
        <v>4:00 PM</v>
      </c>
      <c r="BS836" t="s">
        <v>131</v>
      </c>
      <c r="BT836">
        <v>0</v>
      </c>
      <c r="BU836">
        <v>0</v>
      </c>
      <c r="BV836" t="s">
        <v>114</v>
      </c>
      <c r="BX836" s="2" t="s">
        <v>22332</v>
      </c>
      <c r="BY836" t="s">
        <v>22333</v>
      </c>
      <c r="CA836" t="s">
        <v>22334</v>
      </c>
      <c r="CB836" t="s">
        <v>1691</v>
      </c>
      <c r="CC836" s="8" t="str">
        <f>"29009"</f>
        <v>29009</v>
      </c>
      <c r="CD836" t="s">
        <v>7830</v>
      </c>
      <c r="CE836" t="s">
        <v>5017</v>
      </c>
      <c r="CF836" s="12">
        <v>13.71</v>
      </c>
      <c r="CH836" s="12">
        <v>20.57</v>
      </c>
      <c r="CJ836" t="s">
        <v>135</v>
      </c>
      <c r="CL836" t="s">
        <v>22335</v>
      </c>
      <c r="CO836" t="s">
        <v>132</v>
      </c>
      <c r="CP836" t="s">
        <v>114</v>
      </c>
      <c r="CQ836" t="s">
        <v>136</v>
      </c>
      <c r="CR836" t="s">
        <v>136</v>
      </c>
      <c r="CS836" t="s">
        <v>136</v>
      </c>
      <c r="CT836" t="s">
        <v>136</v>
      </c>
      <c r="CU836" t="s">
        <v>136</v>
      </c>
      <c r="CV836" s="2" t="s">
        <v>22336</v>
      </c>
      <c r="CW836" s="10" t="str">
        <f>"+18435170748"</f>
        <v>+18435170748</v>
      </c>
      <c r="CX836" t="s">
        <v>22337</v>
      </c>
      <c r="CY836" t="s">
        <v>132</v>
      </c>
      <c r="CZ836" t="s">
        <v>137</v>
      </c>
      <c r="DA836" t="s">
        <v>114</v>
      </c>
      <c r="DB836" t="s">
        <v>114</v>
      </c>
      <c r="DC836" t="s">
        <v>136</v>
      </c>
      <c r="DD836" t="s">
        <v>114</v>
      </c>
    </row>
    <row r="837" spans="1:113" ht="15" customHeight="1" x14ac:dyDescent="0.25">
      <c r="A837" t="s">
        <v>21217</v>
      </c>
      <c r="B837" t="s">
        <v>152</v>
      </c>
      <c r="C837" s="1">
        <v>45167.458191087964</v>
      </c>
      <c r="D837" s="1">
        <v>45250</v>
      </c>
      <c r="E837" t="s">
        <v>114</v>
      </c>
      <c r="F837" t="s">
        <v>700</v>
      </c>
      <c r="G837" t="str">
        <f>"49-9099.00"</f>
        <v>49-9099.00</v>
      </c>
      <c r="H837" t="s">
        <v>3863</v>
      </c>
      <c r="I837">
        <v>43</v>
      </c>
      <c r="J837">
        <v>43</v>
      </c>
      <c r="K837" s="1">
        <v>45242</v>
      </c>
      <c r="L837" s="1">
        <v>45371</v>
      </c>
      <c r="M837" s="1">
        <v>45242</v>
      </c>
      <c r="N837" s="1">
        <v>45371</v>
      </c>
      <c r="O837" t="s">
        <v>238</v>
      </c>
      <c r="P837" t="s">
        <v>21218</v>
      </c>
      <c r="R837" t="s">
        <v>21219</v>
      </c>
      <c r="T837" t="s">
        <v>3262</v>
      </c>
      <c r="U837" t="s">
        <v>127</v>
      </c>
      <c r="V837" s="8" t="str">
        <f>"79705"</f>
        <v>79705</v>
      </c>
      <c r="W837" t="s">
        <v>118</v>
      </c>
      <c r="Y837" s="10">
        <v>14325534423</v>
      </c>
      <c r="AA837">
        <v>238210</v>
      </c>
      <c r="AB837" t="s">
        <v>21220</v>
      </c>
      <c r="AC837" t="s">
        <v>2718</v>
      </c>
      <c r="AE837" t="s">
        <v>2928</v>
      </c>
      <c r="AF837" t="s">
        <v>21219</v>
      </c>
      <c r="AH837" t="s">
        <v>3262</v>
      </c>
      <c r="AI837" t="s">
        <v>127</v>
      </c>
      <c r="AJ837" s="8" t="str">
        <f>"79705"</f>
        <v>79705</v>
      </c>
      <c r="AK837" t="s">
        <v>118</v>
      </c>
      <c r="AM837" s="10">
        <v>14325534423</v>
      </c>
      <c r="AO837" t="s">
        <v>132</v>
      </c>
      <c r="AP837" t="s">
        <v>121</v>
      </c>
      <c r="AQ837" t="s">
        <v>1172</v>
      </c>
      <c r="AR837" t="s">
        <v>1173</v>
      </c>
      <c r="AS837" t="s">
        <v>708</v>
      </c>
      <c r="AT837" t="s">
        <v>3325</v>
      </c>
      <c r="AV837" t="s">
        <v>603</v>
      </c>
      <c r="AW837" t="s">
        <v>127</v>
      </c>
      <c r="AX837" s="8" t="str">
        <f>"78705"</f>
        <v>78705</v>
      </c>
      <c r="AY837" t="s">
        <v>118</v>
      </c>
      <c r="BA837" s="10">
        <v>15123470007</v>
      </c>
      <c r="BC837" t="s">
        <v>1175</v>
      </c>
      <c r="BD837" t="s">
        <v>1176</v>
      </c>
      <c r="BE837" t="s">
        <v>127</v>
      </c>
      <c r="BF837" t="s">
        <v>750</v>
      </c>
      <c r="BG837" t="s">
        <v>127</v>
      </c>
      <c r="BH837" s="1">
        <v>45166.833333333336</v>
      </c>
      <c r="BI837">
        <v>40</v>
      </c>
      <c r="BJ837">
        <v>0</v>
      </c>
      <c r="BK837">
        <v>8</v>
      </c>
      <c r="BL837">
        <v>8</v>
      </c>
      <c r="BM837">
        <v>8</v>
      </c>
      <c r="BN837">
        <v>8</v>
      </c>
      <c r="BO837">
        <v>8</v>
      </c>
      <c r="BP837">
        <v>0</v>
      </c>
      <c r="BQ837" t="str">
        <f>"7:00 AM"</f>
        <v>7:00 AM</v>
      </c>
      <c r="BR837" t="str">
        <f>"4:00 PM"</f>
        <v>4:00 PM</v>
      </c>
      <c r="BS837" t="s">
        <v>131</v>
      </c>
      <c r="BT837">
        <v>0</v>
      </c>
      <c r="BU837">
        <v>0</v>
      </c>
      <c r="BV837" t="s">
        <v>114</v>
      </c>
      <c r="BX837" t="s">
        <v>1789</v>
      </c>
      <c r="BY837" t="s">
        <v>13817</v>
      </c>
      <c r="CA837" t="s">
        <v>3262</v>
      </c>
      <c r="CB837" t="s">
        <v>127</v>
      </c>
      <c r="CC837" s="8" t="str">
        <f>"79706"</f>
        <v>79706</v>
      </c>
      <c r="CD837" t="s">
        <v>3263</v>
      </c>
      <c r="CE837" t="s">
        <v>3264</v>
      </c>
      <c r="CF837" s="12">
        <v>26.32</v>
      </c>
      <c r="CG837" s="12">
        <v>26.32</v>
      </c>
      <c r="CH837" s="12">
        <v>39.479999999999997</v>
      </c>
      <c r="CI837" s="12">
        <v>39.479999999999997</v>
      </c>
      <c r="CJ837" t="s">
        <v>135</v>
      </c>
      <c r="CL837" t="s">
        <v>21221</v>
      </c>
      <c r="CO837" t="s">
        <v>132</v>
      </c>
      <c r="CP837" t="s">
        <v>136</v>
      </c>
      <c r="CQ837" t="s">
        <v>136</v>
      </c>
      <c r="CR837" t="s">
        <v>136</v>
      </c>
      <c r="CS837" t="s">
        <v>136</v>
      </c>
      <c r="CT837" t="s">
        <v>136</v>
      </c>
      <c r="CU837" t="s">
        <v>114</v>
      </c>
      <c r="CV837" t="s">
        <v>4797</v>
      </c>
      <c r="CW837" s="10" t="str">
        <f>"+14325707166"</f>
        <v>+14325707166</v>
      </c>
      <c r="CX837" t="s">
        <v>13822</v>
      </c>
      <c r="CY837" t="s">
        <v>132</v>
      </c>
      <c r="CZ837" t="s">
        <v>137</v>
      </c>
      <c r="DA837" t="s">
        <v>114</v>
      </c>
      <c r="DB837" t="s">
        <v>114</v>
      </c>
      <c r="DC837" t="s">
        <v>136</v>
      </c>
      <c r="DD837" t="s">
        <v>114</v>
      </c>
    </row>
    <row r="838" spans="1:113" ht="15" customHeight="1" x14ac:dyDescent="0.25">
      <c r="A838" t="s">
        <v>6756</v>
      </c>
      <c r="B838" t="s">
        <v>152</v>
      </c>
      <c r="C838" s="1">
        <v>45118.505602662037</v>
      </c>
      <c r="D838" s="1">
        <v>45250</v>
      </c>
      <c r="E838" t="s">
        <v>114</v>
      </c>
      <c r="F838" t="s">
        <v>700</v>
      </c>
      <c r="G838" t="str">
        <f>"37-3011.00"</f>
        <v>37-3011.00</v>
      </c>
      <c r="H838" t="s">
        <v>429</v>
      </c>
      <c r="I838">
        <v>300</v>
      </c>
      <c r="J838">
        <v>300</v>
      </c>
      <c r="K838" s="1">
        <v>45200</v>
      </c>
      <c r="L838" s="1">
        <v>45382</v>
      </c>
      <c r="M838" s="1">
        <v>45200</v>
      </c>
      <c r="N838" s="1">
        <v>45382</v>
      </c>
      <c r="O838" t="s">
        <v>238</v>
      </c>
      <c r="P838" t="s">
        <v>4079</v>
      </c>
      <c r="R838" t="s">
        <v>6757</v>
      </c>
      <c r="T838" t="s">
        <v>221</v>
      </c>
      <c r="U838" t="s">
        <v>211</v>
      </c>
      <c r="V838" s="8" t="str">
        <f>"84011 "</f>
        <v xml:space="preserve">84011 </v>
      </c>
      <c r="W838" t="s">
        <v>118</v>
      </c>
      <c r="Y838" s="10">
        <v>18013653333</v>
      </c>
      <c r="AA838">
        <v>5617</v>
      </c>
      <c r="AB838" t="s">
        <v>6758</v>
      </c>
      <c r="AC838" t="s">
        <v>4921</v>
      </c>
      <c r="AE838" t="s">
        <v>561</v>
      </c>
      <c r="AF838" t="s">
        <v>4080</v>
      </c>
      <c r="AH838" t="s">
        <v>4081</v>
      </c>
      <c r="AI838" t="s">
        <v>211</v>
      </c>
      <c r="AJ838" s="8" t="str">
        <f>"84011"</f>
        <v>84011</v>
      </c>
      <c r="AK838" t="s">
        <v>118</v>
      </c>
      <c r="AM838" s="10">
        <v>18013653333</v>
      </c>
      <c r="AO838" t="s">
        <v>132</v>
      </c>
      <c r="AP838" t="s">
        <v>121</v>
      </c>
      <c r="AQ838" t="s">
        <v>1172</v>
      </c>
      <c r="AR838" t="s">
        <v>1173</v>
      </c>
      <c r="AS838" t="s">
        <v>708</v>
      </c>
      <c r="AT838" t="s">
        <v>6759</v>
      </c>
      <c r="AV838" t="s">
        <v>603</v>
      </c>
      <c r="AW838" t="s">
        <v>127</v>
      </c>
      <c r="AX838" s="8" t="str">
        <f>"78758"</f>
        <v>78758</v>
      </c>
      <c r="AY838" t="s">
        <v>118</v>
      </c>
      <c r="BA838" s="10">
        <v>15128722894</v>
      </c>
      <c r="BC838" t="s">
        <v>1175</v>
      </c>
      <c r="BD838" t="s">
        <v>4086</v>
      </c>
      <c r="BE838" t="s">
        <v>127</v>
      </c>
      <c r="BF838" t="s">
        <v>750</v>
      </c>
      <c r="BG838" t="s">
        <v>211</v>
      </c>
      <c r="BH838" s="1">
        <v>45117.833333333336</v>
      </c>
      <c r="BI838">
        <v>40</v>
      </c>
      <c r="BJ838">
        <v>0</v>
      </c>
      <c r="BK838">
        <v>8</v>
      </c>
      <c r="BL838">
        <v>8</v>
      </c>
      <c r="BM838">
        <v>8</v>
      </c>
      <c r="BN838">
        <v>8</v>
      </c>
      <c r="BO838">
        <v>8</v>
      </c>
      <c r="BP838">
        <v>0</v>
      </c>
      <c r="BQ838" t="str">
        <f>"8:00 AM"</f>
        <v>8:00 AM</v>
      </c>
      <c r="BR838" t="str">
        <f>"5:00 PM"</f>
        <v>5:00 PM</v>
      </c>
      <c r="BS838" t="s">
        <v>131</v>
      </c>
      <c r="BT838">
        <v>0</v>
      </c>
      <c r="BU838">
        <v>0</v>
      </c>
      <c r="BV838" t="s">
        <v>114</v>
      </c>
      <c r="BX838" t="s">
        <v>6760</v>
      </c>
      <c r="BY838" t="s">
        <v>6761</v>
      </c>
      <c r="CA838" t="s">
        <v>6762</v>
      </c>
      <c r="CB838" t="s">
        <v>211</v>
      </c>
      <c r="CC838" s="8" t="str">
        <f>"84011"</f>
        <v>84011</v>
      </c>
      <c r="CD838" t="s">
        <v>4300</v>
      </c>
      <c r="CE838" t="s">
        <v>1482</v>
      </c>
      <c r="CF838" s="12">
        <v>18.920000000000002</v>
      </c>
      <c r="CG838" s="12">
        <v>18.920000000000002</v>
      </c>
      <c r="CH838" s="12">
        <v>28.38</v>
      </c>
      <c r="CJ838" t="s">
        <v>135</v>
      </c>
      <c r="CL838" t="s">
        <v>6763</v>
      </c>
      <c r="CO838" t="s">
        <v>132</v>
      </c>
      <c r="CP838" t="s">
        <v>136</v>
      </c>
      <c r="CQ838" t="s">
        <v>136</v>
      </c>
      <c r="CR838" t="s">
        <v>136</v>
      </c>
      <c r="CS838" t="s">
        <v>114</v>
      </c>
      <c r="CT838" t="s">
        <v>136</v>
      </c>
      <c r="CU838" t="s">
        <v>136</v>
      </c>
      <c r="CV838" t="s">
        <v>6764</v>
      </c>
      <c r="CW838" s="10" t="str">
        <f>"+13852282684"</f>
        <v>+13852282684</v>
      </c>
      <c r="CX838" t="s">
        <v>6765</v>
      </c>
      <c r="CY838" t="s">
        <v>132</v>
      </c>
      <c r="CZ838" t="s">
        <v>137</v>
      </c>
      <c r="DA838" t="s">
        <v>114</v>
      </c>
      <c r="DB838" t="s">
        <v>114</v>
      </c>
      <c r="DC838" t="s">
        <v>136</v>
      </c>
      <c r="DD838" t="s">
        <v>114</v>
      </c>
    </row>
    <row r="839" spans="1:113" ht="15" customHeight="1" x14ac:dyDescent="0.25">
      <c r="A839" t="s">
        <v>12617</v>
      </c>
      <c r="B839" t="s">
        <v>152</v>
      </c>
      <c r="C839" s="1">
        <v>45110.49316111111</v>
      </c>
      <c r="D839" s="1">
        <v>45250</v>
      </c>
      <c r="E839" t="s">
        <v>114</v>
      </c>
      <c r="F839" t="s">
        <v>10955</v>
      </c>
      <c r="G839" t="str">
        <f>"45-4011.00"</f>
        <v>45-4011.00</v>
      </c>
      <c r="H839" t="s">
        <v>842</v>
      </c>
      <c r="I839">
        <v>165</v>
      </c>
      <c r="J839">
        <v>165</v>
      </c>
      <c r="K839" s="1">
        <v>45200</v>
      </c>
      <c r="L839" s="1">
        <v>45397</v>
      </c>
      <c r="M839" s="1">
        <v>45200</v>
      </c>
      <c r="N839" s="1">
        <v>45397</v>
      </c>
      <c r="O839" t="s">
        <v>238</v>
      </c>
      <c r="P839" t="s">
        <v>12618</v>
      </c>
      <c r="R839" t="s">
        <v>12619</v>
      </c>
      <c r="T839" t="s">
        <v>12620</v>
      </c>
      <c r="U839" t="s">
        <v>1825</v>
      </c>
      <c r="V839" s="8" t="str">
        <f>"71647"</f>
        <v>71647</v>
      </c>
      <c r="W839" t="s">
        <v>118</v>
      </c>
      <c r="Y839" s="10">
        <v>18704638101</v>
      </c>
      <c r="AA839">
        <v>115310</v>
      </c>
      <c r="AB839" t="s">
        <v>12621</v>
      </c>
      <c r="AC839" t="s">
        <v>9812</v>
      </c>
      <c r="AD839" t="s">
        <v>931</v>
      </c>
      <c r="AE839" t="s">
        <v>12622</v>
      </c>
      <c r="AF839" t="s">
        <v>12623</v>
      </c>
      <c r="AH839" t="s">
        <v>12620</v>
      </c>
      <c r="AI839" t="s">
        <v>1825</v>
      </c>
      <c r="AJ839" s="8" t="str">
        <f>"71647"</f>
        <v>71647</v>
      </c>
      <c r="AK839" t="s">
        <v>118</v>
      </c>
      <c r="AM839" s="10">
        <v>18704638909</v>
      </c>
      <c r="AO839" t="s">
        <v>12624</v>
      </c>
      <c r="AX839" s="8" t="str">
        <f>""</f>
        <v/>
      </c>
      <c r="BG839" t="s">
        <v>1825</v>
      </c>
      <c r="BH839" s="1">
        <v>45106.833333333336</v>
      </c>
      <c r="BI839">
        <v>40</v>
      </c>
      <c r="BJ839">
        <v>0</v>
      </c>
      <c r="BK839">
        <v>8</v>
      </c>
      <c r="BL839">
        <v>8</v>
      </c>
      <c r="BM839">
        <v>8</v>
      </c>
      <c r="BN839">
        <v>8</v>
      </c>
      <c r="BO839">
        <v>8</v>
      </c>
      <c r="BP839">
        <v>0</v>
      </c>
      <c r="BQ839" t="str">
        <f>"7:00 AM"</f>
        <v>7:00 AM</v>
      </c>
      <c r="BR839" t="str">
        <f>"3:00 PM"</f>
        <v>3:00 PM</v>
      </c>
      <c r="BS839" t="s">
        <v>131</v>
      </c>
      <c r="BT839">
        <v>0</v>
      </c>
      <c r="BU839">
        <v>3</v>
      </c>
      <c r="BV839" t="s">
        <v>114</v>
      </c>
      <c r="BX839" t="s">
        <v>12625</v>
      </c>
      <c r="BY839" t="s">
        <v>12619</v>
      </c>
      <c r="CA839" t="s">
        <v>12620</v>
      </c>
      <c r="CB839" t="s">
        <v>1825</v>
      </c>
      <c r="CC839" s="8" t="str">
        <f>"71647"</f>
        <v>71647</v>
      </c>
      <c r="CD839" t="s">
        <v>12626</v>
      </c>
      <c r="CE839" t="s">
        <v>3741</v>
      </c>
      <c r="CF839" s="12">
        <v>16.2</v>
      </c>
      <c r="CG839" s="12">
        <v>23.76</v>
      </c>
      <c r="CJ839" t="s">
        <v>135</v>
      </c>
      <c r="CK839" t="s">
        <v>12627</v>
      </c>
      <c r="CL839" t="s">
        <v>12628</v>
      </c>
      <c r="CO839" t="s">
        <v>132</v>
      </c>
      <c r="CP839" t="s">
        <v>136</v>
      </c>
      <c r="CQ839" t="s">
        <v>136</v>
      </c>
      <c r="CR839" t="s">
        <v>114</v>
      </c>
      <c r="CS839" t="s">
        <v>114</v>
      </c>
      <c r="CT839" t="s">
        <v>136</v>
      </c>
      <c r="CU839" t="s">
        <v>136</v>
      </c>
      <c r="CV839" t="s">
        <v>12629</v>
      </c>
      <c r="CW839" s="10" t="str">
        <f>"+18704638909"</f>
        <v>+18704638909</v>
      </c>
      <c r="CX839" t="s">
        <v>12624</v>
      </c>
      <c r="CY839" t="s">
        <v>132</v>
      </c>
      <c r="CZ839" t="s">
        <v>137</v>
      </c>
      <c r="DA839" t="s">
        <v>114</v>
      </c>
      <c r="DB839" t="s">
        <v>114</v>
      </c>
      <c r="DC839" t="s">
        <v>136</v>
      </c>
      <c r="DD839" t="s">
        <v>114</v>
      </c>
    </row>
    <row r="840" spans="1:113" ht="15" customHeight="1" x14ac:dyDescent="0.25">
      <c r="A840" t="s">
        <v>19387</v>
      </c>
      <c r="B840" t="s">
        <v>152</v>
      </c>
      <c r="C840" s="1">
        <v>45220.347621759262</v>
      </c>
      <c r="D840" s="1">
        <v>45247</v>
      </c>
      <c r="E840" t="s">
        <v>132</v>
      </c>
      <c r="F840" t="s">
        <v>236</v>
      </c>
      <c r="G840" t="str">
        <f>"39-3091.00"</f>
        <v>39-3091.00</v>
      </c>
      <c r="H840" t="s">
        <v>237</v>
      </c>
      <c r="I840">
        <v>30</v>
      </c>
      <c r="J840">
        <v>30</v>
      </c>
      <c r="K840" s="1">
        <v>45310</v>
      </c>
      <c r="L840" s="1">
        <v>45614</v>
      </c>
      <c r="M840" s="1">
        <v>45310</v>
      </c>
      <c r="N840" s="1">
        <v>45614</v>
      </c>
      <c r="O840" t="s">
        <v>238</v>
      </c>
      <c r="P840" t="s">
        <v>19388</v>
      </c>
      <c r="R840" t="s">
        <v>19389</v>
      </c>
      <c r="S840" t="s">
        <v>19390</v>
      </c>
      <c r="T840" t="s">
        <v>126</v>
      </c>
      <c r="U840" t="s">
        <v>127</v>
      </c>
      <c r="V840" s="8" t="str">
        <f>"78260"</f>
        <v>78260</v>
      </c>
      <c r="W840" t="s">
        <v>118</v>
      </c>
      <c r="Y840" s="10">
        <v>12103170525</v>
      </c>
      <c r="AA840">
        <v>71399</v>
      </c>
      <c r="AB840" t="s">
        <v>16434</v>
      </c>
      <c r="AC840" t="s">
        <v>2947</v>
      </c>
      <c r="AD840" t="s">
        <v>2022</v>
      </c>
      <c r="AE840" t="s">
        <v>629</v>
      </c>
      <c r="AF840" t="s">
        <v>19391</v>
      </c>
      <c r="AG840" t="s">
        <v>19390</v>
      </c>
      <c r="AH840" t="s">
        <v>126</v>
      </c>
      <c r="AI840" t="s">
        <v>127</v>
      </c>
      <c r="AJ840" s="8" t="str">
        <f>"78260"</f>
        <v>78260</v>
      </c>
      <c r="AK840" t="s">
        <v>118</v>
      </c>
      <c r="AM840" s="10">
        <v>12103170525</v>
      </c>
      <c r="AO840" t="s">
        <v>19392</v>
      </c>
      <c r="AP840" t="s">
        <v>248</v>
      </c>
      <c r="AQ840" t="s">
        <v>249</v>
      </c>
      <c r="AR840" t="s">
        <v>250</v>
      </c>
      <c r="AS840" t="s">
        <v>251</v>
      </c>
      <c r="AT840" t="s">
        <v>252</v>
      </c>
      <c r="AU840" t="s">
        <v>253</v>
      </c>
      <c r="AV840" t="s">
        <v>254</v>
      </c>
      <c r="AW840" t="s">
        <v>127</v>
      </c>
      <c r="AX840" s="8" t="str">
        <f>"78550"</f>
        <v>78550</v>
      </c>
      <c r="AY840" t="s">
        <v>118</v>
      </c>
      <c r="BA840" s="10">
        <v>19564408720</v>
      </c>
      <c r="BB840" s="3" t="s">
        <v>256</v>
      </c>
      <c r="BC840" t="s">
        <v>257</v>
      </c>
      <c r="BD840" t="s">
        <v>258</v>
      </c>
      <c r="BG840" t="s">
        <v>127</v>
      </c>
      <c r="BH840" s="1">
        <v>45219.833333333336</v>
      </c>
      <c r="BI840">
        <v>40</v>
      </c>
      <c r="BJ840">
        <v>8</v>
      </c>
      <c r="BK840">
        <v>0</v>
      </c>
      <c r="BL840">
        <v>0</v>
      </c>
      <c r="BM840">
        <v>8</v>
      </c>
      <c r="BN840">
        <v>8</v>
      </c>
      <c r="BO840">
        <v>8</v>
      </c>
      <c r="BP840">
        <v>8</v>
      </c>
      <c r="BQ840" t="str">
        <f>"1:00 PM"</f>
        <v>1:00 PM</v>
      </c>
      <c r="BR840" t="str">
        <f>"10:00 PM"</f>
        <v>10:00 PM</v>
      </c>
      <c r="BS840" t="s">
        <v>131</v>
      </c>
      <c r="BT840">
        <v>0</v>
      </c>
      <c r="BU840">
        <v>0</v>
      </c>
      <c r="BV840" t="s">
        <v>114</v>
      </c>
      <c r="BX840" s="2" t="s">
        <v>2255</v>
      </c>
      <c r="BY840" t="s">
        <v>19389</v>
      </c>
      <c r="CA840" t="s">
        <v>126</v>
      </c>
      <c r="CB840" t="s">
        <v>127</v>
      </c>
      <c r="CC840" s="8" t="str">
        <f>"78260"</f>
        <v>78260</v>
      </c>
      <c r="CD840" t="s">
        <v>1941</v>
      </c>
      <c r="CE840" t="s">
        <v>1287</v>
      </c>
      <c r="CF840" s="12">
        <v>9.94</v>
      </c>
      <c r="CG840" s="12">
        <v>16.3</v>
      </c>
      <c r="CJ840" t="s">
        <v>135</v>
      </c>
      <c r="CK840" t="s">
        <v>264</v>
      </c>
      <c r="CL840" t="s">
        <v>19393</v>
      </c>
      <c r="CO840" t="s">
        <v>132</v>
      </c>
      <c r="CP840" t="s">
        <v>136</v>
      </c>
      <c r="CQ840" t="s">
        <v>136</v>
      </c>
      <c r="CR840" t="s">
        <v>114</v>
      </c>
      <c r="CS840" t="s">
        <v>136</v>
      </c>
      <c r="CT840" t="s">
        <v>136</v>
      </c>
      <c r="CU840" t="s">
        <v>136</v>
      </c>
      <c r="CV840" t="s">
        <v>2258</v>
      </c>
      <c r="CW840" s="10" t="str">
        <f>"+12103170525"</f>
        <v>+12103170525</v>
      </c>
      <c r="CX840" t="s">
        <v>19394</v>
      </c>
      <c r="CY840" t="s">
        <v>132</v>
      </c>
      <c r="CZ840" t="s">
        <v>137</v>
      </c>
      <c r="DA840" t="s">
        <v>114</v>
      </c>
      <c r="DB840" t="s">
        <v>136</v>
      </c>
      <c r="DC840" t="s">
        <v>136</v>
      </c>
      <c r="DD840" t="s">
        <v>114</v>
      </c>
    </row>
    <row r="841" spans="1:113" ht="15" customHeight="1" x14ac:dyDescent="0.25">
      <c r="A841" t="s">
        <v>11389</v>
      </c>
      <c r="B841" t="s">
        <v>152</v>
      </c>
      <c r="C841" s="1">
        <v>45218.488211111115</v>
      </c>
      <c r="D841" s="1">
        <v>45247</v>
      </c>
      <c r="E841" t="s">
        <v>132</v>
      </c>
      <c r="F841" t="s">
        <v>11390</v>
      </c>
      <c r="G841" t="str">
        <f>"37-1012.00"</f>
        <v>37-1012.00</v>
      </c>
      <c r="H841" t="s">
        <v>3140</v>
      </c>
      <c r="I841">
        <v>3</v>
      </c>
      <c r="J841">
        <v>3</v>
      </c>
      <c r="K841" s="1">
        <v>45295</v>
      </c>
      <c r="L841" s="1">
        <v>45600</v>
      </c>
      <c r="M841" s="1">
        <v>45295</v>
      </c>
      <c r="N841" s="1">
        <v>45600</v>
      </c>
      <c r="O841" t="s">
        <v>116</v>
      </c>
      <c r="P841" t="s">
        <v>10233</v>
      </c>
      <c r="R841" t="s">
        <v>668</v>
      </c>
      <c r="T841" t="s">
        <v>669</v>
      </c>
      <c r="U841" t="s">
        <v>127</v>
      </c>
      <c r="V841" s="8" t="str">
        <f>"77598"</f>
        <v>77598</v>
      </c>
      <c r="W841" t="s">
        <v>118</v>
      </c>
      <c r="Y841" s="10">
        <v>12812801100</v>
      </c>
      <c r="AA841">
        <v>56173</v>
      </c>
      <c r="AB841" t="s">
        <v>670</v>
      </c>
      <c r="AC841" t="s">
        <v>671</v>
      </c>
      <c r="AE841" t="s">
        <v>405</v>
      </c>
      <c r="AF841" t="s">
        <v>668</v>
      </c>
      <c r="AH841" t="s">
        <v>669</v>
      </c>
      <c r="AI841" t="s">
        <v>127</v>
      </c>
      <c r="AJ841" s="8" t="str">
        <f>"77598"</f>
        <v>77598</v>
      </c>
      <c r="AK841" t="s">
        <v>118</v>
      </c>
      <c r="AM841" s="10">
        <v>12812801100</v>
      </c>
      <c r="AO841" t="s">
        <v>672</v>
      </c>
      <c r="AP841" t="s">
        <v>248</v>
      </c>
      <c r="AQ841" t="s">
        <v>673</v>
      </c>
      <c r="AR841" t="s">
        <v>674</v>
      </c>
      <c r="AT841" t="s">
        <v>579</v>
      </c>
      <c r="AV841" t="s">
        <v>580</v>
      </c>
      <c r="AW841" t="s">
        <v>581</v>
      </c>
      <c r="AX841" s="8" t="str">
        <f>"22903"</f>
        <v>22903</v>
      </c>
      <c r="AY841" t="s">
        <v>118</v>
      </c>
      <c r="BA841" s="10">
        <v>14342634300</v>
      </c>
      <c r="BC841" t="s">
        <v>675</v>
      </c>
      <c r="BD841" t="s">
        <v>583</v>
      </c>
      <c r="BG841" t="s">
        <v>819</v>
      </c>
      <c r="BH841" s="1">
        <v>45217.833333333336</v>
      </c>
      <c r="BI841">
        <v>35</v>
      </c>
      <c r="BJ841">
        <v>0</v>
      </c>
      <c r="BK841">
        <v>7</v>
      </c>
      <c r="BL841">
        <v>7</v>
      </c>
      <c r="BM841">
        <v>7</v>
      </c>
      <c r="BN841">
        <v>7</v>
      </c>
      <c r="BO841">
        <v>7</v>
      </c>
      <c r="BP841">
        <v>0</v>
      </c>
      <c r="BQ841" t="str">
        <f>"7:00 AM"</f>
        <v>7:00 AM</v>
      </c>
      <c r="BR841" t="str">
        <f>"3:00 PM"</f>
        <v>3:00 PM</v>
      </c>
      <c r="BS841" t="s">
        <v>131</v>
      </c>
      <c r="BT841">
        <v>0</v>
      </c>
      <c r="BU841">
        <v>12</v>
      </c>
      <c r="BV841" t="s">
        <v>136</v>
      </c>
      <c r="BW841">
        <v>10</v>
      </c>
      <c r="BX841" s="2" t="s">
        <v>11391</v>
      </c>
      <c r="BY841" t="s">
        <v>10234</v>
      </c>
      <c r="CA841" t="s">
        <v>10158</v>
      </c>
      <c r="CB841" t="s">
        <v>819</v>
      </c>
      <c r="CC841" s="8" t="str">
        <f>"46176"</f>
        <v>46176</v>
      </c>
      <c r="CD841" t="s">
        <v>1054</v>
      </c>
      <c r="CE841" t="s">
        <v>2111</v>
      </c>
      <c r="CF841" s="12">
        <v>28.31</v>
      </c>
      <c r="CH841" s="12">
        <v>42.47</v>
      </c>
      <c r="CJ841" t="s">
        <v>135</v>
      </c>
      <c r="CK841" t="s">
        <v>590</v>
      </c>
      <c r="CL841" t="s">
        <v>11392</v>
      </c>
      <c r="CO841" t="s">
        <v>132</v>
      </c>
      <c r="CP841" t="s">
        <v>136</v>
      </c>
      <c r="CQ841" t="s">
        <v>114</v>
      </c>
      <c r="CR841" t="s">
        <v>136</v>
      </c>
      <c r="CS841" t="s">
        <v>114</v>
      </c>
      <c r="CT841" t="s">
        <v>136</v>
      </c>
      <c r="CU841" t="s">
        <v>136</v>
      </c>
      <c r="CV841" t="s">
        <v>11393</v>
      </c>
      <c r="CW841" s="10" t="str">
        <f>"N/A"</f>
        <v>N/A</v>
      </c>
      <c r="CX841" t="s">
        <v>682</v>
      </c>
      <c r="CY841" t="s">
        <v>2680</v>
      </c>
      <c r="CZ841" t="s">
        <v>137</v>
      </c>
      <c r="DA841" t="s">
        <v>114</v>
      </c>
      <c r="DB841" t="s">
        <v>136</v>
      </c>
      <c r="DC841" t="s">
        <v>136</v>
      </c>
      <c r="DD841" t="s">
        <v>114</v>
      </c>
      <c r="DE841" t="s">
        <v>673</v>
      </c>
      <c r="DF841" t="s">
        <v>674</v>
      </c>
      <c r="DH841" t="s">
        <v>583</v>
      </c>
      <c r="DI841" t="s">
        <v>675</v>
      </c>
    </row>
    <row r="842" spans="1:113" ht="15" customHeight="1" x14ac:dyDescent="0.25">
      <c r="A842" t="s">
        <v>20204</v>
      </c>
      <c r="B842" t="s">
        <v>152</v>
      </c>
      <c r="C842" s="1">
        <v>45218.475437847221</v>
      </c>
      <c r="D842" s="1">
        <v>45247</v>
      </c>
      <c r="E842" t="s">
        <v>132</v>
      </c>
      <c r="F842" t="s">
        <v>14775</v>
      </c>
      <c r="G842" t="str">
        <f>"37-1012.00"</f>
        <v>37-1012.00</v>
      </c>
      <c r="H842" t="s">
        <v>3140</v>
      </c>
      <c r="I842">
        <v>3</v>
      </c>
      <c r="J842">
        <v>3</v>
      </c>
      <c r="K842" s="1">
        <v>45295</v>
      </c>
      <c r="L842" s="1">
        <v>45600</v>
      </c>
      <c r="M842" s="1">
        <v>45295</v>
      </c>
      <c r="N842" s="1">
        <v>45600</v>
      </c>
      <c r="O842" t="s">
        <v>116</v>
      </c>
      <c r="P842" t="s">
        <v>11045</v>
      </c>
      <c r="R842" t="s">
        <v>668</v>
      </c>
      <c r="T842" t="s">
        <v>669</v>
      </c>
      <c r="U842" t="s">
        <v>127</v>
      </c>
      <c r="V842" s="8" t="str">
        <f>"77598"</f>
        <v>77598</v>
      </c>
      <c r="W842" t="s">
        <v>118</v>
      </c>
      <c r="Y842" s="10">
        <v>12812801100</v>
      </c>
      <c r="AA842">
        <v>56173</v>
      </c>
      <c r="AB842" t="s">
        <v>670</v>
      </c>
      <c r="AC842" t="s">
        <v>671</v>
      </c>
      <c r="AE842" t="s">
        <v>405</v>
      </c>
      <c r="AF842" t="s">
        <v>668</v>
      </c>
      <c r="AH842" t="s">
        <v>669</v>
      </c>
      <c r="AI842" t="s">
        <v>127</v>
      </c>
      <c r="AJ842" s="8" t="str">
        <f>"77598"</f>
        <v>77598</v>
      </c>
      <c r="AK842" t="s">
        <v>118</v>
      </c>
      <c r="AM842" s="10">
        <v>12812801100</v>
      </c>
      <c r="AO842" t="s">
        <v>672</v>
      </c>
      <c r="AP842" t="s">
        <v>248</v>
      </c>
      <c r="AQ842" t="s">
        <v>673</v>
      </c>
      <c r="AR842" t="s">
        <v>674</v>
      </c>
      <c r="AT842" t="s">
        <v>579</v>
      </c>
      <c r="AV842" t="s">
        <v>580</v>
      </c>
      <c r="AW842" t="s">
        <v>581</v>
      </c>
      <c r="AX842" s="8" t="str">
        <f>"22903"</f>
        <v>22903</v>
      </c>
      <c r="AY842" t="s">
        <v>118</v>
      </c>
      <c r="BA842" s="10">
        <v>14342634300</v>
      </c>
      <c r="BC842" t="s">
        <v>675</v>
      </c>
      <c r="BD842" t="s">
        <v>583</v>
      </c>
      <c r="BG842" t="s">
        <v>127</v>
      </c>
      <c r="BH842" s="1">
        <v>45217.833333333336</v>
      </c>
      <c r="BI842">
        <v>35</v>
      </c>
      <c r="BJ842">
        <v>0</v>
      </c>
      <c r="BK842">
        <v>7</v>
      </c>
      <c r="BL842">
        <v>7</v>
      </c>
      <c r="BM842">
        <v>7</v>
      </c>
      <c r="BN842">
        <v>7</v>
      </c>
      <c r="BO842">
        <v>7</v>
      </c>
      <c r="BP842">
        <v>0</v>
      </c>
      <c r="BQ842" t="str">
        <f>"7:00 AM"</f>
        <v>7:00 AM</v>
      </c>
      <c r="BR842" t="str">
        <f>"3:00 PM"</f>
        <v>3:00 PM</v>
      </c>
      <c r="BS842" t="s">
        <v>131</v>
      </c>
      <c r="BT842">
        <v>0</v>
      </c>
      <c r="BU842">
        <v>12</v>
      </c>
      <c r="BV842" t="s">
        <v>136</v>
      </c>
      <c r="BW842">
        <v>10</v>
      </c>
      <c r="BX842" s="2" t="s">
        <v>7464</v>
      </c>
      <c r="BY842" t="s">
        <v>20205</v>
      </c>
      <c r="CA842" t="s">
        <v>5180</v>
      </c>
      <c r="CB842" t="s">
        <v>127</v>
      </c>
      <c r="CC842" s="8" t="str">
        <f>"77303"</f>
        <v>77303</v>
      </c>
      <c r="CD842" t="s">
        <v>878</v>
      </c>
      <c r="CE842" t="s">
        <v>879</v>
      </c>
      <c r="CF842" s="12">
        <v>24.17</v>
      </c>
      <c r="CH842" s="12">
        <v>36.26</v>
      </c>
      <c r="CJ842" t="s">
        <v>135</v>
      </c>
      <c r="CK842" t="s">
        <v>590</v>
      </c>
      <c r="CL842" t="s">
        <v>20206</v>
      </c>
      <c r="CO842" t="s">
        <v>132</v>
      </c>
      <c r="CP842" t="s">
        <v>136</v>
      </c>
      <c r="CQ842" t="s">
        <v>114</v>
      </c>
      <c r="CR842" t="s">
        <v>136</v>
      </c>
      <c r="CS842" t="s">
        <v>114</v>
      </c>
      <c r="CT842" t="s">
        <v>136</v>
      </c>
      <c r="CU842" t="s">
        <v>136</v>
      </c>
      <c r="CV842" t="s">
        <v>20207</v>
      </c>
      <c r="CW842" s="10" t="str">
        <f>"N/A"</f>
        <v>N/A</v>
      </c>
      <c r="CX842" t="s">
        <v>682</v>
      </c>
      <c r="CY842" t="s">
        <v>1853</v>
      </c>
      <c r="CZ842" t="s">
        <v>137</v>
      </c>
      <c r="DA842" t="s">
        <v>114</v>
      </c>
      <c r="DB842" t="s">
        <v>136</v>
      </c>
      <c r="DC842" t="s">
        <v>136</v>
      </c>
      <c r="DD842" t="s">
        <v>114</v>
      </c>
      <c r="DE842" t="s">
        <v>673</v>
      </c>
      <c r="DF842" t="s">
        <v>674</v>
      </c>
      <c r="DH842" t="s">
        <v>583</v>
      </c>
      <c r="DI842" t="s">
        <v>675</v>
      </c>
    </row>
    <row r="843" spans="1:113" ht="15" customHeight="1" x14ac:dyDescent="0.25">
      <c r="A843" t="s">
        <v>12023</v>
      </c>
      <c r="B843" t="s">
        <v>152</v>
      </c>
      <c r="C843" s="1">
        <v>45216.654097453706</v>
      </c>
      <c r="D843" s="1">
        <v>45247</v>
      </c>
      <c r="E843" t="s">
        <v>132</v>
      </c>
      <c r="F843" t="s">
        <v>12024</v>
      </c>
      <c r="G843" t="str">
        <f>"41-9091.00"</f>
        <v>41-9091.00</v>
      </c>
      <c r="H843" t="s">
        <v>2113</v>
      </c>
      <c r="I843">
        <v>12</v>
      </c>
      <c r="J843">
        <v>12</v>
      </c>
      <c r="K843" s="1">
        <v>45306</v>
      </c>
      <c r="L843" s="1">
        <v>45580</v>
      </c>
      <c r="M843" s="1">
        <v>45306</v>
      </c>
      <c r="N843" s="1">
        <v>45580</v>
      </c>
      <c r="O843" t="s">
        <v>238</v>
      </c>
      <c r="P843" t="s">
        <v>12025</v>
      </c>
      <c r="Q843" t="s">
        <v>12026</v>
      </c>
      <c r="R843" t="s">
        <v>12027</v>
      </c>
      <c r="T843" t="s">
        <v>12028</v>
      </c>
      <c r="U843" t="s">
        <v>1776</v>
      </c>
      <c r="V843" s="8" t="str">
        <f>"08033"</f>
        <v>08033</v>
      </c>
      <c r="W843" t="s">
        <v>118</v>
      </c>
      <c r="Y843" s="10">
        <v>18562005168</v>
      </c>
      <c r="AA843">
        <v>722330</v>
      </c>
      <c r="AB843" t="s">
        <v>12029</v>
      </c>
      <c r="AC843" t="s">
        <v>4170</v>
      </c>
      <c r="AE843" t="s">
        <v>12030</v>
      </c>
      <c r="AF843" t="s">
        <v>12027</v>
      </c>
      <c r="AH843" t="s">
        <v>12028</v>
      </c>
      <c r="AI843" t="s">
        <v>1776</v>
      </c>
      <c r="AJ843" s="8" t="str">
        <f>"08033"</f>
        <v>08033</v>
      </c>
      <c r="AK843" t="s">
        <v>118</v>
      </c>
      <c r="AM843" s="10">
        <v>18562005168</v>
      </c>
      <c r="AO843" t="s">
        <v>12031</v>
      </c>
      <c r="AP843" t="s">
        <v>121</v>
      </c>
      <c r="AQ843" t="s">
        <v>12032</v>
      </c>
      <c r="AR843" t="s">
        <v>2210</v>
      </c>
      <c r="AS843" t="s">
        <v>250</v>
      </c>
      <c r="AT843" t="s">
        <v>12033</v>
      </c>
      <c r="AV843" t="s">
        <v>12034</v>
      </c>
      <c r="AW843" t="s">
        <v>222</v>
      </c>
      <c r="AX843" s="8" t="str">
        <f>"01776-3033"</f>
        <v>01776-3033</v>
      </c>
      <c r="AY843" t="s">
        <v>118</v>
      </c>
      <c r="BA843" s="10">
        <v>15088723573</v>
      </c>
      <c r="BC843" t="s">
        <v>12035</v>
      </c>
      <c r="BD843" t="s">
        <v>12036</v>
      </c>
      <c r="BE843" t="s">
        <v>6049</v>
      </c>
      <c r="BF843" t="s">
        <v>2118</v>
      </c>
      <c r="BG843" t="s">
        <v>1776</v>
      </c>
      <c r="BH843" s="1">
        <v>45200.833333333336</v>
      </c>
      <c r="BI843">
        <v>35</v>
      </c>
      <c r="BJ843">
        <v>0</v>
      </c>
      <c r="BK843">
        <v>7</v>
      </c>
      <c r="BL843">
        <v>7</v>
      </c>
      <c r="BM843">
        <v>7</v>
      </c>
      <c r="BN843">
        <v>7</v>
      </c>
      <c r="BO843">
        <v>7</v>
      </c>
      <c r="BP843">
        <v>0</v>
      </c>
      <c r="BQ843" t="str">
        <f>"1:00 PM"</f>
        <v>1:00 PM</v>
      </c>
      <c r="BR843" t="str">
        <f>"8:00 PM"</f>
        <v>8:00 PM</v>
      </c>
      <c r="BS843" t="s">
        <v>131</v>
      </c>
      <c r="BT843">
        <v>0</v>
      </c>
      <c r="BU843">
        <v>0</v>
      </c>
      <c r="BV843" t="s">
        <v>114</v>
      </c>
      <c r="BX843" t="s">
        <v>131</v>
      </c>
      <c r="BY843" t="s">
        <v>12037</v>
      </c>
      <c r="CA843" t="s">
        <v>12038</v>
      </c>
      <c r="CB843" t="s">
        <v>1776</v>
      </c>
      <c r="CC843" s="8" t="str">
        <f>"08638"</f>
        <v>08638</v>
      </c>
      <c r="CD843" t="s">
        <v>3298</v>
      </c>
      <c r="CE843" t="s">
        <v>12039</v>
      </c>
      <c r="CF843" s="12">
        <v>19.34</v>
      </c>
      <c r="CJ843" t="s">
        <v>135</v>
      </c>
      <c r="CL843" t="s">
        <v>12040</v>
      </c>
      <c r="CO843" t="s">
        <v>132</v>
      </c>
      <c r="CP843" t="s">
        <v>136</v>
      </c>
      <c r="CQ843" t="s">
        <v>114</v>
      </c>
      <c r="CR843" t="s">
        <v>114</v>
      </c>
      <c r="CS843" t="s">
        <v>136</v>
      </c>
      <c r="CT843" t="s">
        <v>136</v>
      </c>
      <c r="CU843" t="s">
        <v>114</v>
      </c>
      <c r="CV843" t="s">
        <v>12041</v>
      </c>
      <c r="CW843" s="10" t="str">
        <f>"+18562005168"</f>
        <v>+18562005168</v>
      </c>
      <c r="CX843" t="s">
        <v>12031</v>
      </c>
      <c r="CY843" t="s">
        <v>132</v>
      </c>
      <c r="CZ843" t="s">
        <v>137</v>
      </c>
      <c r="DA843" t="s">
        <v>114</v>
      </c>
      <c r="DB843" t="s">
        <v>136</v>
      </c>
      <c r="DC843" t="s">
        <v>136</v>
      </c>
      <c r="DD843" t="s">
        <v>114</v>
      </c>
    </row>
    <row r="844" spans="1:113" ht="15" customHeight="1" x14ac:dyDescent="0.25">
      <c r="A844" t="s">
        <v>18389</v>
      </c>
      <c r="B844" t="s">
        <v>152</v>
      </c>
      <c r="C844" s="1">
        <v>45216.535823148151</v>
      </c>
      <c r="D844" s="1">
        <v>45247</v>
      </c>
      <c r="E844" t="s">
        <v>132</v>
      </c>
      <c r="F844" t="s">
        <v>236</v>
      </c>
      <c r="G844" t="str">
        <f>"39-3091.00"</f>
        <v>39-3091.00</v>
      </c>
      <c r="H844" t="s">
        <v>237</v>
      </c>
      <c r="I844">
        <v>12</v>
      </c>
      <c r="J844">
        <v>12</v>
      </c>
      <c r="K844" s="1">
        <v>45306</v>
      </c>
      <c r="L844" s="1">
        <v>45608</v>
      </c>
      <c r="M844" s="1">
        <v>45306</v>
      </c>
      <c r="N844" s="1">
        <v>45608</v>
      </c>
      <c r="O844" t="s">
        <v>238</v>
      </c>
      <c r="P844" t="s">
        <v>18390</v>
      </c>
      <c r="Q844" t="s">
        <v>18391</v>
      </c>
      <c r="R844" t="s">
        <v>18392</v>
      </c>
      <c r="T844" t="s">
        <v>17594</v>
      </c>
      <c r="U844" t="s">
        <v>402</v>
      </c>
      <c r="V844" s="8" t="str">
        <f>"95336"</f>
        <v>95336</v>
      </c>
      <c r="W844" t="s">
        <v>118</v>
      </c>
      <c r="Y844" s="10">
        <v>19169959363</v>
      </c>
      <c r="AA844">
        <v>7139</v>
      </c>
      <c r="AB844" t="s">
        <v>16834</v>
      </c>
      <c r="AC844" t="s">
        <v>708</v>
      </c>
      <c r="AE844" t="s">
        <v>561</v>
      </c>
      <c r="AF844" t="s">
        <v>18392</v>
      </c>
      <c r="AH844" t="s">
        <v>17594</v>
      </c>
      <c r="AI844" t="s">
        <v>402</v>
      </c>
      <c r="AJ844" s="8" t="str">
        <f>"95336"</f>
        <v>95336</v>
      </c>
      <c r="AK844" t="s">
        <v>118</v>
      </c>
      <c r="AM844" s="10">
        <v>12098153085</v>
      </c>
      <c r="AO844" t="s">
        <v>18393</v>
      </c>
      <c r="AP844" t="s">
        <v>248</v>
      </c>
      <c r="AQ844" t="s">
        <v>249</v>
      </c>
      <c r="AR844" t="s">
        <v>250</v>
      </c>
      <c r="AS844" t="s">
        <v>251</v>
      </c>
      <c r="AT844" t="s">
        <v>252</v>
      </c>
      <c r="AU844" t="s">
        <v>253</v>
      </c>
      <c r="AV844" t="s">
        <v>254</v>
      </c>
      <c r="AW844" t="s">
        <v>127</v>
      </c>
      <c r="AX844" s="8" t="str">
        <f>"78550"</f>
        <v>78550</v>
      </c>
      <c r="AY844" t="s">
        <v>118</v>
      </c>
      <c r="AZ844" t="s">
        <v>255</v>
      </c>
      <c r="BA844" s="10">
        <v>19564408720</v>
      </c>
      <c r="BB844" s="3" t="s">
        <v>256</v>
      </c>
      <c r="BC844" t="s">
        <v>257</v>
      </c>
      <c r="BD844" t="s">
        <v>258</v>
      </c>
      <c r="BG844" t="s">
        <v>402</v>
      </c>
      <c r="BH844" s="1">
        <v>45215.833333333336</v>
      </c>
      <c r="BI844">
        <v>40</v>
      </c>
      <c r="BJ844">
        <v>8</v>
      </c>
      <c r="BK844">
        <v>0</v>
      </c>
      <c r="BL844">
        <v>0</v>
      </c>
      <c r="BM844">
        <v>8</v>
      </c>
      <c r="BN844">
        <v>8</v>
      </c>
      <c r="BO844">
        <v>8</v>
      </c>
      <c r="BP844">
        <v>8</v>
      </c>
      <c r="BQ844" t="str">
        <f>"1:00 PM"</f>
        <v>1:00 PM</v>
      </c>
      <c r="BR844" t="str">
        <f>"10:00 PM"</f>
        <v>10:00 PM</v>
      </c>
      <c r="BS844" t="s">
        <v>131</v>
      </c>
      <c r="BT844">
        <v>0</v>
      </c>
      <c r="BU844">
        <v>0</v>
      </c>
      <c r="BV844" t="s">
        <v>114</v>
      </c>
      <c r="BX844" s="2" t="s">
        <v>259</v>
      </c>
      <c r="BY844" t="s">
        <v>18394</v>
      </c>
      <c r="CA844" t="s">
        <v>18395</v>
      </c>
      <c r="CB844" t="s">
        <v>402</v>
      </c>
      <c r="CC844" s="8" t="str">
        <f>"95336"</f>
        <v>95336</v>
      </c>
      <c r="CD844" t="s">
        <v>13607</v>
      </c>
      <c r="CE844" t="s">
        <v>13608</v>
      </c>
      <c r="CF844" s="12">
        <v>9.94</v>
      </c>
      <c r="CG844" s="12">
        <v>18.75</v>
      </c>
      <c r="CJ844" t="s">
        <v>135</v>
      </c>
      <c r="CK844" t="s">
        <v>264</v>
      </c>
      <c r="CL844" t="s">
        <v>18396</v>
      </c>
      <c r="CO844" t="s">
        <v>132</v>
      </c>
      <c r="CP844" t="s">
        <v>136</v>
      </c>
      <c r="CQ844" t="s">
        <v>136</v>
      </c>
      <c r="CR844" t="s">
        <v>114</v>
      </c>
      <c r="CS844" t="s">
        <v>136</v>
      </c>
      <c r="CT844" t="s">
        <v>136</v>
      </c>
      <c r="CU844" t="s">
        <v>136</v>
      </c>
      <c r="CV844" t="s">
        <v>266</v>
      </c>
      <c r="CW844" s="10" t="str">
        <f>"+12098153085"</f>
        <v>+12098153085</v>
      </c>
      <c r="CX844" t="s">
        <v>18393</v>
      </c>
      <c r="CY844" t="s">
        <v>132</v>
      </c>
      <c r="CZ844" t="s">
        <v>137</v>
      </c>
      <c r="DA844" t="s">
        <v>114</v>
      </c>
      <c r="DB844" t="s">
        <v>114</v>
      </c>
      <c r="DC844" t="s">
        <v>136</v>
      </c>
      <c r="DD844" t="s">
        <v>114</v>
      </c>
    </row>
    <row r="845" spans="1:113" ht="15" customHeight="1" x14ac:dyDescent="0.25">
      <c r="A845" t="s">
        <v>10345</v>
      </c>
      <c r="B845" t="s">
        <v>152</v>
      </c>
      <c r="C845" s="1">
        <v>45216.476525578706</v>
      </c>
      <c r="D845" s="1">
        <v>45247</v>
      </c>
      <c r="E845" t="s">
        <v>132</v>
      </c>
      <c r="F845" t="s">
        <v>3098</v>
      </c>
      <c r="G845" t="str">
        <f>"39-3091.00"</f>
        <v>39-3091.00</v>
      </c>
      <c r="H845" t="s">
        <v>237</v>
      </c>
      <c r="I845">
        <v>45</v>
      </c>
      <c r="J845">
        <v>45</v>
      </c>
      <c r="K845" s="1">
        <v>45306</v>
      </c>
      <c r="L845" s="1">
        <v>45610</v>
      </c>
      <c r="M845" s="1">
        <v>45306</v>
      </c>
      <c r="N845" s="1">
        <v>45610</v>
      </c>
      <c r="O845" t="s">
        <v>238</v>
      </c>
      <c r="P845" t="s">
        <v>8888</v>
      </c>
      <c r="R845" t="s">
        <v>8889</v>
      </c>
      <c r="S845" t="s">
        <v>8890</v>
      </c>
      <c r="T845" t="s">
        <v>2926</v>
      </c>
      <c r="U845" t="s">
        <v>158</v>
      </c>
      <c r="V845" s="8" t="str">
        <f>"49686"</f>
        <v>49686</v>
      </c>
      <c r="W845" t="s">
        <v>118</v>
      </c>
      <c r="Y845" s="10">
        <v>12319466886</v>
      </c>
      <c r="Z845" s="3" t="s">
        <v>256</v>
      </c>
      <c r="AA845">
        <v>71119</v>
      </c>
      <c r="AB845" t="s">
        <v>8891</v>
      </c>
      <c r="AC845" t="s">
        <v>4170</v>
      </c>
      <c r="AE845" t="s">
        <v>2850</v>
      </c>
      <c r="AF845" t="s">
        <v>8889</v>
      </c>
      <c r="AG845" t="s">
        <v>8890</v>
      </c>
      <c r="AH845" t="s">
        <v>2926</v>
      </c>
      <c r="AI845" t="s">
        <v>158</v>
      </c>
      <c r="AJ845" s="8" t="str">
        <f>"49686"</f>
        <v>49686</v>
      </c>
      <c r="AK845" t="s">
        <v>118</v>
      </c>
      <c r="AM845" s="10">
        <v>18132992322</v>
      </c>
      <c r="AN845" s="3" t="s">
        <v>256</v>
      </c>
      <c r="AO845" t="s">
        <v>8892</v>
      </c>
      <c r="AP845" t="s">
        <v>248</v>
      </c>
      <c r="AQ845" t="s">
        <v>249</v>
      </c>
      <c r="AR845" t="s">
        <v>250</v>
      </c>
      <c r="AS845" t="s">
        <v>251</v>
      </c>
      <c r="AT845" t="s">
        <v>252</v>
      </c>
      <c r="AU845" t="s">
        <v>253</v>
      </c>
      <c r="AV845" t="s">
        <v>254</v>
      </c>
      <c r="AW845" t="s">
        <v>127</v>
      </c>
      <c r="AX845" s="8" t="str">
        <f>"78550"</f>
        <v>78550</v>
      </c>
      <c r="AY845" t="s">
        <v>118</v>
      </c>
      <c r="AZ845" t="s">
        <v>255</v>
      </c>
      <c r="BA845" s="10">
        <v>19564408720</v>
      </c>
      <c r="BB845" s="3" t="s">
        <v>256</v>
      </c>
      <c r="BC845" t="s">
        <v>338</v>
      </c>
      <c r="BD845" t="s">
        <v>258</v>
      </c>
      <c r="BG845" t="s">
        <v>158</v>
      </c>
      <c r="BH845" s="1">
        <v>45215.833333333336</v>
      </c>
      <c r="BI845">
        <v>40</v>
      </c>
      <c r="BJ845">
        <v>8</v>
      </c>
      <c r="BK845">
        <v>0</v>
      </c>
      <c r="BL845">
        <v>0</v>
      </c>
      <c r="BM845">
        <v>8</v>
      </c>
      <c r="BN845">
        <v>8</v>
      </c>
      <c r="BO845">
        <v>8</v>
      </c>
      <c r="BP845">
        <v>8</v>
      </c>
      <c r="BQ845" t="str">
        <f>"1:00 PM"</f>
        <v>1:00 PM</v>
      </c>
      <c r="BR845" t="str">
        <f>"10:00 PM"</f>
        <v>10:00 PM</v>
      </c>
      <c r="BS845" t="s">
        <v>131</v>
      </c>
      <c r="BT845">
        <v>0</v>
      </c>
      <c r="BU845">
        <v>0</v>
      </c>
      <c r="BV845" t="s">
        <v>114</v>
      </c>
      <c r="BX845" s="2" t="s">
        <v>2396</v>
      </c>
      <c r="BY845" t="s">
        <v>8889</v>
      </c>
      <c r="CA845" t="s">
        <v>2926</v>
      </c>
      <c r="CB845" t="s">
        <v>158</v>
      </c>
      <c r="CC845" s="8" t="str">
        <f>"49686"</f>
        <v>49686</v>
      </c>
      <c r="CD845" t="s">
        <v>2130</v>
      </c>
      <c r="CE845" t="s">
        <v>175</v>
      </c>
      <c r="CF845" s="12">
        <v>10.95</v>
      </c>
      <c r="CG845" s="12">
        <v>13.74</v>
      </c>
      <c r="CJ845" t="s">
        <v>135</v>
      </c>
      <c r="CK845" t="s">
        <v>342</v>
      </c>
      <c r="CL845" t="s">
        <v>8893</v>
      </c>
      <c r="CO845" t="s">
        <v>132</v>
      </c>
      <c r="CP845" t="s">
        <v>136</v>
      </c>
      <c r="CQ845" t="s">
        <v>136</v>
      </c>
      <c r="CR845" t="s">
        <v>114</v>
      </c>
      <c r="CS845" t="s">
        <v>136</v>
      </c>
      <c r="CT845" t="s">
        <v>136</v>
      </c>
      <c r="CU845" t="s">
        <v>136</v>
      </c>
      <c r="CV845" t="s">
        <v>344</v>
      </c>
      <c r="CW845" s="10" t="str">
        <f>"+18132992322"</f>
        <v>+18132992322</v>
      </c>
      <c r="CX845" t="s">
        <v>8892</v>
      </c>
      <c r="CY845" t="s">
        <v>132</v>
      </c>
      <c r="CZ845" t="s">
        <v>137</v>
      </c>
      <c r="DA845" t="s">
        <v>114</v>
      </c>
      <c r="DB845" t="s">
        <v>136</v>
      </c>
      <c r="DC845" t="s">
        <v>136</v>
      </c>
      <c r="DD845" t="s">
        <v>114</v>
      </c>
    </row>
    <row r="846" spans="1:113" ht="15" customHeight="1" x14ac:dyDescent="0.25">
      <c r="A846" t="s">
        <v>8887</v>
      </c>
      <c r="B846" t="s">
        <v>152</v>
      </c>
      <c r="C846" s="1">
        <v>45216.443167245372</v>
      </c>
      <c r="D846" s="1">
        <v>45247</v>
      </c>
      <c r="E846" t="s">
        <v>132</v>
      </c>
      <c r="F846" t="s">
        <v>3098</v>
      </c>
      <c r="G846" t="str">
        <f>"39-3091.00"</f>
        <v>39-3091.00</v>
      </c>
      <c r="H846" t="s">
        <v>237</v>
      </c>
      <c r="I846">
        <v>45</v>
      </c>
      <c r="J846">
        <v>45</v>
      </c>
      <c r="K846" s="1">
        <v>45306</v>
      </c>
      <c r="L846" s="1">
        <v>45610</v>
      </c>
      <c r="M846" s="1">
        <v>45306</v>
      </c>
      <c r="N846" s="1">
        <v>45610</v>
      </c>
      <c r="O846" t="s">
        <v>238</v>
      </c>
      <c r="P846" t="s">
        <v>8888</v>
      </c>
      <c r="R846" t="s">
        <v>8889</v>
      </c>
      <c r="S846" t="s">
        <v>8890</v>
      </c>
      <c r="T846" t="s">
        <v>2926</v>
      </c>
      <c r="U846" t="s">
        <v>158</v>
      </c>
      <c r="V846" s="8" t="str">
        <f>"49686"</f>
        <v>49686</v>
      </c>
      <c r="W846" t="s">
        <v>118</v>
      </c>
      <c r="Y846" s="10">
        <v>12319466886</v>
      </c>
      <c r="Z846" s="3" t="s">
        <v>256</v>
      </c>
      <c r="AA846">
        <v>71119</v>
      </c>
      <c r="AB846" t="s">
        <v>8891</v>
      </c>
      <c r="AC846" t="s">
        <v>4170</v>
      </c>
      <c r="AE846" t="s">
        <v>2850</v>
      </c>
      <c r="AF846" t="s">
        <v>8889</v>
      </c>
      <c r="AG846" t="s">
        <v>8890</v>
      </c>
      <c r="AH846" t="s">
        <v>2926</v>
      </c>
      <c r="AI846" t="s">
        <v>158</v>
      </c>
      <c r="AJ846" s="8" t="str">
        <f>"49686"</f>
        <v>49686</v>
      </c>
      <c r="AK846" t="s">
        <v>118</v>
      </c>
      <c r="AM846" s="10">
        <v>18132992322</v>
      </c>
      <c r="AN846" s="3" t="s">
        <v>256</v>
      </c>
      <c r="AO846" t="s">
        <v>8892</v>
      </c>
      <c r="AP846" t="s">
        <v>248</v>
      </c>
      <c r="AQ846" t="s">
        <v>249</v>
      </c>
      <c r="AR846" t="s">
        <v>250</v>
      </c>
      <c r="AS846" t="s">
        <v>251</v>
      </c>
      <c r="AT846" t="s">
        <v>252</v>
      </c>
      <c r="AU846" t="s">
        <v>253</v>
      </c>
      <c r="AV846" t="s">
        <v>254</v>
      </c>
      <c r="AW846" t="s">
        <v>127</v>
      </c>
      <c r="AX846" s="8" t="str">
        <f>"78550"</f>
        <v>78550</v>
      </c>
      <c r="AY846" t="s">
        <v>118</v>
      </c>
      <c r="AZ846" t="s">
        <v>255</v>
      </c>
      <c r="BA846" s="10">
        <v>19564408720</v>
      </c>
      <c r="BB846" s="3" t="s">
        <v>256</v>
      </c>
      <c r="BC846" t="s">
        <v>338</v>
      </c>
      <c r="BD846" t="s">
        <v>258</v>
      </c>
      <c r="BG846" t="s">
        <v>158</v>
      </c>
      <c r="BH846" s="1">
        <v>45215.833333333336</v>
      </c>
      <c r="BI846">
        <v>40</v>
      </c>
      <c r="BJ846">
        <v>8</v>
      </c>
      <c r="BK846">
        <v>0</v>
      </c>
      <c r="BL846">
        <v>0</v>
      </c>
      <c r="BM846">
        <v>8</v>
      </c>
      <c r="BN846">
        <v>8</v>
      </c>
      <c r="BO846">
        <v>8</v>
      </c>
      <c r="BP846">
        <v>8</v>
      </c>
      <c r="BQ846" t="str">
        <f>"1:00 PM"</f>
        <v>1:00 PM</v>
      </c>
      <c r="BR846" t="str">
        <f>"10:00 PM"</f>
        <v>10:00 PM</v>
      </c>
      <c r="BS846" t="s">
        <v>131</v>
      </c>
      <c r="BT846">
        <v>0</v>
      </c>
      <c r="BU846">
        <v>0</v>
      </c>
      <c r="BV846" t="s">
        <v>114</v>
      </c>
      <c r="BX846" s="2" t="s">
        <v>2396</v>
      </c>
      <c r="BY846" t="s">
        <v>8889</v>
      </c>
      <c r="CA846" t="s">
        <v>2926</v>
      </c>
      <c r="CB846" t="s">
        <v>158</v>
      </c>
      <c r="CC846" s="8" t="str">
        <f>"49686"</f>
        <v>49686</v>
      </c>
      <c r="CD846" t="s">
        <v>2130</v>
      </c>
      <c r="CE846" t="s">
        <v>175</v>
      </c>
      <c r="CF846" s="12">
        <v>10.95</v>
      </c>
      <c r="CG846" s="12">
        <v>13.74</v>
      </c>
      <c r="CJ846" t="s">
        <v>135</v>
      </c>
      <c r="CK846" t="s">
        <v>342</v>
      </c>
      <c r="CL846" t="s">
        <v>8893</v>
      </c>
      <c r="CO846" t="s">
        <v>132</v>
      </c>
      <c r="CP846" t="s">
        <v>136</v>
      </c>
      <c r="CQ846" t="s">
        <v>136</v>
      </c>
      <c r="CR846" t="s">
        <v>114</v>
      </c>
      <c r="CS846" t="s">
        <v>136</v>
      </c>
      <c r="CT846" t="s">
        <v>136</v>
      </c>
      <c r="CU846" t="s">
        <v>136</v>
      </c>
      <c r="CV846" t="s">
        <v>4970</v>
      </c>
      <c r="CW846" s="10" t="str">
        <f>"+18132992322"</f>
        <v>+18132992322</v>
      </c>
      <c r="CX846" t="s">
        <v>8892</v>
      </c>
      <c r="CY846" t="s">
        <v>132</v>
      </c>
      <c r="CZ846" t="s">
        <v>137</v>
      </c>
      <c r="DA846" t="s">
        <v>114</v>
      </c>
      <c r="DB846" t="s">
        <v>136</v>
      </c>
      <c r="DC846" t="s">
        <v>136</v>
      </c>
      <c r="DD846" t="s">
        <v>114</v>
      </c>
    </row>
    <row r="847" spans="1:113" ht="15" customHeight="1" x14ac:dyDescent="0.25">
      <c r="A847" t="s">
        <v>22784</v>
      </c>
      <c r="B847" t="s">
        <v>152</v>
      </c>
      <c r="C847" s="1">
        <v>45216.363424537034</v>
      </c>
      <c r="D847" s="1">
        <v>45247</v>
      </c>
      <c r="E847" t="s">
        <v>132</v>
      </c>
      <c r="F847" t="s">
        <v>2324</v>
      </c>
      <c r="G847" t="str">
        <f>"35-3023.00"</f>
        <v>35-3023.00</v>
      </c>
      <c r="H847" t="s">
        <v>1365</v>
      </c>
      <c r="I847">
        <v>25</v>
      </c>
      <c r="J847">
        <v>25</v>
      </c>
      <c r="K847" s="1">
        <v>45306</v>
      </c>
      <c r="L847" s="1">
        <v>45595</v>
      </c>
      <c r="M847" s="1">
        <v>45306</v>
      </c>
      <c r="N847" s="1">
        <v>45595</v>
      </c>
      <c r="O847" t="s">
        <v>238</v>
      </c>
      <c r="P847" t="s">
        <v>22785</v>
      </c>
      <c r="R847" t="s">
        <v>22786</v>
      </c>
      <c r="T847" t="s">
        <v>11288</v>
      </c>
      <c r="U847" t="s">
        <v>402</v>
      </c>
      <c r="V847" s="8" t="str">
        <f>"93657"</f>
        <v>93657</v>
      </c>
      <c r="W847" t="s">
        <v>118</v>
      </c>
      <c r="Y847" s="10">
        <v>15596965471</v>
      </c>
      <c r="AA847">
        <v>71399</v>
      </c>
      <c r="AB847" t="s">
        <v>3123</v>
      </c>
      <c r="AC847" t="s">
        <v>22787</v>
      </c>
      <c r="AE847" t="s">
        <v>561</v>
      </c>
      <c r="AF847" t="s">
        <v>22788</v>
      </c>
      <c r="AH847" t="s">
        <v>11288</v>
      </c>
      <c r="AI847" t="s">
        <v>402</v>
      </c>
      <c r="AJ847" s="8" t="str">
        <f>"93657"</f>
        <v>93657</v>
      </c>
      <c r="AK847" t="s">
        <v>118</v>
      </c>
      <c r="AM847" s="10">
        <v>15596965471</v>
      </c>
      <c r="AO847" t="s">
        <v>22789</v>
      </c>
      <c r="AP847" t="s">
        <v>248</v>
      </c>
      <c r="AQ847" t="s">
        <v>249</v>
      </c>
      <c r="AR847" t="s">
        <v>250</v>
      </c>
      <c r="AS847" t="s">
        <v>251</v>
      </c>
      <c r="AT847" t="s">
        <v>252</v>
      </c>
      <c r="AU847" t="s">
        <v>253</v>
      </c>
      <c r="AV847" t="s">
        <v>254</v>
      </c>
      <c r="AW847" t="s">
        <v>127</v>
      </c>
      <c r="AX847" s="8" t="str">
        <f>"78550"</f>
        <v>78550</v>
      </c>
      <c r="AY847" t="s">
        <v>118</v>
      </c>
      <c r="BA847" s="10">
        <v>19564408720</v>
      </c>
      <c r="BB847" s="3" t="s">
        <v>256</v>
      </c>
      <c r="BC847" t="s">
        <v>257</v>
      </c>
      <c r="BD847" t="s">
        <v>258</v>
      </c>
      <c r="BG847" t="s">
        <v>402</v>
      </c>
      <c r="BH847" s="1">
        <v>45215.833333333336</v>
      </c>
      <c r="BI847">
        <v>40</v>
      </c>
      <c r="BJ847">
        <v>8</v>
      </c>
      <c r="BK847">
        <v>0</v>
      </c>
      <c r="BL847">
        <v>0</v>
      </c>
      <c r="BM847">
        <v>8</v>
      </c>
      <c r="BN847">
        <v>8</v>
      </c>
      <c r="BO847">
        <v>8</v>
      </c>
      <c r="BP847">
        <v>8</v>
      </c>
      <c r="BQ847" t="str">
        <f>"1:00 PM"</f>
        <v>1:00 PM</v>
      </c>
      <c r="BR847" t="str">
        <f>"10:00 PM"</f>
        <v>10:00 PM</v>
      </c>
      <c r="BS847" t="s">
        <v>131</v>
      </c>
      <c r="BT847">
        <v>0</v>
      </c>
      <c r="BU847">
        <v>0</v>
      </c>
      <c r="BV847" t="s">
        <v>114</v>
      </c>
      <c r="BX847" s="2" t="s">
        <v>259</v>
      </c>
      <c r="BY847" t="s">
        <v>22786</v>
      </c>
      <c r="CA847" t="s">
        <v>11288</v>
      </c>
      <c r="CB847" t="s">
        <v>402</v>
      </c>
      <c r="CC847" s="8" t="str">
        <f>"93657"</f>
        <v>93657</v>
      </c>
      <c r="CD847" t="s">
        <v>3277</v>
      </c>
      <c r="CE847" t="s">
        <v>3278</v>
      </c>
      <c r="CF847" s="12">
        <v>15.5</v>
      </c>
      <c r="CG847" s="12">
        <v>18.38</v>
      </c>
      <c r="CJ847" t="s">
        <v>135</v>
      </c>
      <c r="CK847" t="s">
        <v>264</v>
      </c>
      <c r="CL847" t="s">
        <v>22790</v>
      </c>
      <c r="CO847" t="s">
        <v>132</v>
      </c>
      <c r="CP847" t="s">
        <v>136</v>
      </c>
      <c r="CQ847" t="s">
        <v>136</v>
      </c>
      <c r="CR847" t="s">
        <v>114</v>
      </c>
      <c r="CS847" t="s">
        <v>136</v>
      </c>
      <c r="CT847" t="s">
        <v>136</v>
      </c>
      <c r="CU847" t="s">
        <v>136</v>
      </c>
      <c r="CV847" t="s">
        <v>22791</v>
      </c>
      <c r="CW847" s="10" t="str">
        <f>"+15596965471"</f>
        <v>+15596965471</v>
      </c>
      <c r="CX847" t="s">
        <v>22789</v>
      </c>
      <c r="CY847" t="s">
        <v>132</v>
      </c>
      <c r="CZ847" t="s">
        <v>137</v>
      </c>
      <c r="DA847" t="s">
        <v>114</v>
      </c>
      <c r="DB847" t="s">
        <v>114</v>
      </c>
      <c r="DC847" t="s">
        <v>136</v>
      </c>
      <c r="DD847" t="s">
        <v>114</v>
      </c>
    </row>
    <row r="848" spans="1:113" ht="15" customHeight="1" x14ac:dyDescent="0.25">
      <c r="A848" t="s">
        <v>12042</v>
      </c>
      <c r="B848" t="s">
        <v>152</v>
      </c>
      <c r="C848" s="1">
        <v>45216.357868749998</v>
      </c>
      <c r="D848" s="1">
        <v>45247</v>
      </c>
      <c r="E848" t="s">
        <v>132</v>
      </c>
      <c r="F848" t="s">
        <v>236</v>
      </c>
      <c r="G848" t="str">
        <f>"39-3091.00"</f>
        <v>39-3091.00</v>
      </c>
      <c r="H848" t="s">
        <v>237</v>
      </c>
      <c r="I848">
        <v>99</v>
      </c>
      <c r="J848">
        <v>99</v>
      </c>
      <c r="K848" s="1">
        <v>45306</v>
      </c>
      <c r="L848" s="1">
        <v>45610</v>
      </c>
      <c r="M848" s="1">
        <v>45306</v>
      </c>
      <c r="N848" s="1">
        <v>45610</v>
      </c>
      <c r="O848" t="s">
        <v>238</v>
      </c>
      <c r="P848" t="s">
        <v>12043</v>
      </c>
      <c r="Q848" t="s">
        <v>132</v>
      </c>
      <c r="R848" t="s">
        <v>12044</v>
      </c>
      <c r="S848" t="s">
        <v>12045</v>
      </c>
      <c r="T848" t="s">
        <v>2864</v>
      </c>
      <c r="U848" t="s">
        <v>558</v>
      </c>
      <c r="V848" s="8" t="str">
        <f>"85286"</f>
        <v>85286</v>
      </c>
      <c r="W848" t="s">
        <v>118</v>
      </c>
      <c r="X848" t="s">
        <v>132</v>
      </c>
      <c r="Y848" s="10">
        <v>16025241483</v>
      </c>
      <c r="Z848" s="3" t="s">
        <v>256</v>
      </c>
      <c r="AA848">
        <v>71399</v>
      </c>
      <c r="AB848" t="s">
        <v>2869</v>
      </c>
      <c r="AC848" t="s">
        <v>8012</v>
      </c>
      <c r="AD848" t="s">
        <v>132</v>
      </c>
      <c r="AE848" t="s">
        <v>629</v>
      </c>
      <c r="AF848" t="s">
        <v>12044</v>
      </c>
      <c r="AG848" t="s">
        <v>12045</v>
      </c>
      <c r="AH848" t="s">
        <v>2864</v>
      </c>
      <c r="AI848" t="s">
        <v>558</v>
      </c>
      <c r="AJ848" s="8" t="str">
        <f>"85286"</f>
        <v>85286</v>
      </c>
      <c r="AK848" t="s">
        <v>118</v>
      </c>
      <c r="AM848" s="10">
        <v>16027631617</v>
      </c>
      <c r="AN848" s="3" t="s">
        <v>256</v>
      </c>
      <c r="AO848" t="s">
        <v>12046</v>
      </c>
      <c r="AP848" t="s">
        <v>248</v>
      </c>
      <c r="AQ848" t="s">
        <v>249</v>
      </c>
      <c r="AR848" t="s">
        <v>250</v>
      </c>
      <c r="AS848" t="s">
        <v>251</v>
      </c>
      <c r="AT848" t="s">
        <v>252</v>
      </c>
      <c r="AU848" t="s">
        <v>253</v>
      </c>
      <c r="AV848" t="s">
        <v>254</v>
      </c>
      <c r="AW848" t="s">
        <v>127</v>
      </c>
      <c r="AX848" s="8" t="str">
        <f>"78550"</f>
        <v>78550</v>
      </c>
      <c r="AY848" t="s">
        <v>118</v>
      </c>
      <c r="AZ848" t="s">
        <v>255</v>
      </c>
      <c r="BA848" s="10">
        <v>19564408720</v>
      </c>
      <c r="BB848" s="3" t="s">
        <v>256</v>
      </c>
      <c r="BC848" t="s">
        <v>257</v>
      </c>
      <c r="BD848" t="s">
        <v>258</v>
      </c>
      <c r="BG848" t="s">
        <v>558</v>
      </c>
      <c r="BH848" s="1">
        <v>45215.833333333336</v>
      </c>
      <c r="BI848">
        <v>40</v>
      </c>
      <c r="BJ848">
        <v>8</v>
      </c>
      <c r="BK848">
        <v>0</v>
      </c>
      <c r="BL848">
        <v>0</v>
      </c>
      <c r="BM848">
        <v>8</v>
      </c>
      <c r="BN848">
        <v>8</v>
      </c>
      <c r="BO848">
        <v>8</v>
      </c>
      <c r="BP848">
        <v>8</v>
      </c>
      <c r="BQ848" t="str">
        <f>"1:00 PM"</f>
        <v>1:00 PM</v>
      </c>
      <c r="BR848" t="str">
        <f>"10:00 PM"</f>
        <v>10:00 PM</v>
      </c>
      <c r="BS848" t="s">
        <v>131</v>
      </c>
      <c r="BT848">
        <v>0</v>
      </c>
      <c r="BU848">
        <v>0</v>
      </c>
      <c r="BV848" t="s">
        <v>114</v>
      </c>
      <c r="BX848" s="2" t="s">
        <v>259</v>
      </c>
      <c r="BY848" t="s">
        <v>12044</v>
      </c>
      <c r="CA848" t="s">
        <v>2864</v>
      </c>
      <c r="CB848" t="s">
        <v>558</v>
      </c>
      <c r="CC848" s="8" t="str">
        <f>"85286"</f>
        <v>85286</v>
      </c>
      <c r="CD848" t="s">
        <v>1391</v>
      </c>
      <c r="CE848" t="s">
        <v>565</v>
      </c>
      <c r="CF848" s="12">
        <v>11.45</v>
      </c>
      <c r="CG848" s="12">
        <v>17.25</v>
      </c>
      <c r="CJ848" t="s">
        <v>135</v>
      </c>
      <c r="CK848" t="s">
        <v>264</v>
      </c>
      <c r="CL848" t="s">
        <v>12047</v>
      </c>
      <c r="CO848" t="s">
        <v>132</v>
      </c>
      <c r="CP848" t="s">
        <v>136</v>
      </c>
      <c r="CQ848" t="s">
        <v>136</v>
      </c>
      <c r="CR848" t="s">
        <v>114</v>
      </c>
      <c r="CS848" t="s">
        <v>136</v>
      </c>
      <c r="CT848" t="s">
        <v>136</v>
      </c>
      <c r="CU848" t="s">
        <v>136</v>
      </c>
      <c r="CV848" t="s">
        <v>2258</v>
      </c>
      <c r="CW848" s="10" t="str">
        <f>"+16025241483"</f>
        <v>+16025241483</v>
      </c>
      <c r="CX848" t="s">
        <v>12046</v>
      </c>
      <c r="CY848" t="s">
        <v>132</v>
      </c>
      <c r="CZ848" t="s">
        <v>137</v>
      </c>
      <c r="DA848" t="s">
        <v>114</v>
      </c>
      <c r="DB848" t="s">
        <v>136</v>
      </c>
      <c r="DC848" t="s">
        <v>136</v>
      </c>
      <c r="DD848" t="s">
        <v>114</v>
      </c>
    </row>
    <row r="849" spans="1:113" ht="15" customHeight="1" x14ac:dyDescent="0.25">
      <c r="A849" t="s">
        <v>23405</v>
      </c>
      <c r="B849" t="s">
        <v>152</v>
      </c>
      <c r="C849" s="1">
        <v>45216.35102141204</v>
      </c>
      <c r="D849" s="1">
        <v>45247</v>
      </c>
      <c r="E849" t="s">
        <v>132</v>
      </c>
      <c r="F849" t="s">
        <v>236</v>
      </c>
      <c r="G849" t="str">
        <f>"39-3091.00"</f>
        <v>39-3091.00</v>
      </c>
      <c r="H849" t="s">
        <v>237</v>
      </c>
      <c r="I849">
        <v>27</v>
      </c>
      <c r="J849">
        <v>27</v>
      </c>
      <c r="K849" s="1">
        <v>45306</v>
      </c>
      <c r="L849" s="1">
        <v>45610</v>
      </c>
      <c r="M849" s="1">
        <v>45306</v>
      </c>
      <c r="N849" s="1">
        <v>45610</v>
      </c>
      <c r="O849" t="s">
        <v>238</v>
      </c>
      <c r="P849" t="s">
        <v>23406</v>
      </c>
      <c r="Q849" t="s">
        <v>23407</v>
      </c>
      <c r="R849" t="s">
        <v>19176</v>
      </c>
      <c r="T849" t="s">
        <v>16963</v>
      </c>
      <c r="U849" t="s">
        <v>127</v>
      </c>
      <c r="V849" s="8" t="str">
        <f>"78569"</f>
        <v>78569</v>
      </c>
      <c r="W849" t="s">
        <v>118</v>
      </c>
      <c r="Y849" s="10">
        <v>19567435422</v>
      </c>
      <c r="AA849">
        <v>7139</v>
      </c>
      <c r="AB849" t="s">
        <v>2000</v>
      </c>
      <c r="AC849" t="s">
        <v>23408</v>
      </c>
      <c r="AD849" t="s">
        <v>7259</v>
      </c>
      <c r="AE849" t="s">
        <v>561</v>
      </c>
      <c r="AF849" t="s">
        <v>19176</v>
      </c>
      <c r="AH849" t="s">
        <v>16963</v>
      </c>
      <c r="AI849" t="s">
        <v>127</v>
      </c>
      <c r="AJ849" s="8" t="str">
        <f>"78569"</f>
        <v>78569</v>
      </c>
      <c r="AK849" t="s">
        <v>118</v>
      </c>
      <c r="AM849" s="10">
        <v>19568027617</v>
      </c>
      <c r="AO849" t="s">
        <v>19177</v>
      </c>
      <c r="AP849" t="s">
        <v>248</v>
      </c>
      <c r="AQ849" t="s">
        <v>249</v>
      </c>
      <c r="AR849" t="s">
        <v>250</v>
      </c>
      <c r="AS849" t="s">
        <v>251</v>
      </c>
      <c r="AT849" t="s">
        <v>252</v>
      </c>
      <c r="AU849" t="s">
        <v>253</v>
      </c>
      <c r="AV849" t="s">
        <v>254</v>
      </c>
      <c r="AW849" t="s">
        <v>127</v>
      </c>
      <c r="AX849" s="8" t="str">
        <f>"78550"</f>
        <v>78550</v>
      </c>
      <c r="AY849" t="s">
        <v>118</v>
      </c>
      <c r="BA849" s="10">
        <v>19564408720</v>
      </c>
      <c r="BB849" s="3" t="s">
        <v>256</v>
      </c>
      <c r="BC849" t="s">
        <v>257</v>
      </c>
      <c r="BD849" t="s">
        <v>258</v>
      </c>
      <c r="BG849" t="s">
        <v>127</v>
      </c>
      <c r="BH849" s="1">
        <v>45215.833333333336</v>
      </c>
      <c r="BI849">
        <v>40</v>
      </c>
      <c r="BJ849">
        <v>8</v>
      </c>
      <c r="BK849">
        <v>0</v>
      </c>
      <c r="BL849">
        <v>0</v>
      </c>
      <c r="BM849">
        <v>8</v>
      </c>
      <c r="BN849">
        <v>8</v>
      </c>
      <c r="BO849">
        <v>8</v>
      </c>
      <c r="BP849">
        <v>8</v>
      </c>
      <c r="BQ849" t="str">
        <f>"1:00 PM"</f>
        <v>1:00 PM</v>
      </c>
      <c r="BR849" t="str">
        <f>"10:00 PM"</f>
        <v>10:00 PM</v>
      </c>
      <c r="BS849" t="s">
        <v>131</v>
      </c>
      <c r="BT849">
        <v>0</v>
      </c>
      <c r="BU849">
        <v>0</v>
      </c>
      <c r="BV849" t="s">
        <v>114</v>
      </c>
      <c r="BX849" s="2" t="s">
        <v>2255</v>
      </c>
      <c r="BY849" t="s">
        <v>16962</v>
      </c>
      <c r="CA849" t="s">
        <v>16963</v>
      </c>
      <c r="CB849" t="s">
        <v>127</v>
      </c>
      <c r="CC849" s="8" t="str">
        <f>"78569"</f>
        <v>78569</v>
      </c>
      <c r="CD849" t="s">
        <v>16964</v>
      </c>
      <c r="CE849" t="s">
        <v>1590</v>
      </c>
      <c r="CF849" s="12">
        <v>9.23</v>
      </c>
      <c r="CG849" s="12">
        <v>13.51</v>
      </c>
      <c r="CJ849" t="s">
        <v>135</v>
      </c>
      <c r="CK849" t="s">
        <v>264</v>
      </c>
      <c r="CL849" t="s">
        <v>23409</v>
      </c>
      <c r="CO849" t="s">
        <v>132</v>
      </c>
      <c r="CP849" t="s">
        <v>136</v>
      </c>
      <c r="CQ849" t="s">
        <v>136</v>
      </c>
      <c r="CR849" t="s">
        <v>114</v>
      </c>
      <c r="CS849" t="s">
        <v>136</v>
      </c>
      <c r="CT849" t="s">
        <v>136</v>
      </c>
      <c r="CU849" t="s">
        <v>136</v>
      </c>
      <c r="CV849" t="s">
        <v>2258</v>
      </c>
      <c r="CW849" s="10" t="str">
        <f>"+19568027617"</f>
        <v>+19568027617</v>
      </c>
      <c r="CX849" t="s">
        <v>19177</v>
      </c>
      <c r="CY849" t="s">
        <v>132</v>
      </c>
      <c r="CZ849" t="s">
        <v>137</v>
      </c>
      <c r="DA849" t="s">
        <v>114</v>
      </c>
      <c r="DB849" t="s">
        <v>136</v>
      </c>
      <c r="DC849" t="s">
        <v>136</v>
      </c>
      <c r="DD849" t="s">
        <v>114</v>
      </c>
    </row>
    <row r="850" spans="1:113" ht="15" customHeight="1" x14ac:dyDescent="0.25">
      <c r="A850" t="s">
        <v>19174</v>
      </c>
      <c r="B850" t="s">
        <v>152</v>
      </c>
      <c r="C850" s="1">
        <v>45216.349540509262</v>
      </c>
      <c r="D850" s="1">
        <v>45247</v>
      </c>
      <c r="E850" t="s">
        <v>132</v>
      </c>
      <c r="F850" t="s">
        <v>236</v>
      </c>
      <c r="G850" t="str">
        <f>"39-3091.00"</f>
        <v>39-3091.00</v>
      </c>
      <c r="H850" t="s">
        <v>237</v>
      </c>
      <c r="I850">
        <v>9</v>
      </c>
      <c r="J850">
        <v>9</v>
      </c>
      <c r="K850" s="1">
        <v>45306</v>
      </c>
      <c r="L850" s="1">
        <v>45610</v>
      </c>
      <c r="M850" s="1">
        <v>45306</v>
      </c>
      <c r="N850" s="1">
        <v>45610</v>
      </c>
      <c r="O850" t="s">
        <v>238</v>
      </c>
      <c r="P850" t="s">
        <v>19175</v>
      </c>
      <c r="R850" t="s">
        <v>19176</v>
      </c>
      <c r="T850" t="s">
        <v>16963</v>
      </c>
      <c r="U850" t="s">
        <v>127</v>
      </c>
      <c r="V850" s="8" t="str">
        <f>"78569-2503"</f>
        <v>78569-2503</v>
      </c>
      <c r="W850" t="s">
        <v>118</v>
      </c>
      <c r="Y850" s="10">
        <v>19568931669</v>
      </c>
      <c r="AA850">
        <v>71399</v>
      </c>
      <c r="AB850" t="s">
        <v>2000</v>
      </c>
      <c r="AC850" t="s">
        <v>14815</v>
      </c>
      <c r="AD850" t="s">
        <v>2223</v>
      </c>
      <c r="AE850" t="s">
        <v>987</v>
      </c>
      <c r="AF850" t="s">
        <v>19176</v>
      </c>
      <c r="AH850" t="s">
        <v>16963</v>
      </c>
      <c r="AI850" t="s">
        <v>127</v>
      </c>
      <c r="AJ850" s="8" t="str">
        <f>"78569-2503"</f>
        <v>78569-2503</v>
      </c>
      <c r="AK850" t="s">
        <v>118</v>
      </c>
      <c r="AM850" s="10">
        <v>19568931669</v>
      </c>
      <c r="AO850" t="s">
        <v>19177</v>
      </c>
      <c r="AP850" t="s">
        <v>248</v>
      </c>
      <c r="AQ850" t="s">
        <v>249</v>
      </c>
      <c r="AR850" t="s">
        <v>250</v>
      </c>
      <c r="AS850" t="s">
        <v>251</v>
      </c>
      <c r="AT850" t="s">
        <v>252</v>
      </c>
      <c r="AU850" t="s">
        <v>253</v>
      </c>
      <c r="AV850" t="s">
        <v>254</v>
      </c>
      <c r="AW850" t="s">
        <v>127</v>
      </c>
      <c r="AX850" s="8" t="str">
        <f>"78550"</f>
        <v>78550</v>
      </c>
      <c r="AY850" t="s">
        <v>118</v>
      </c>
      <c r="BA850" s="10">
        <v>19564408720</v>
      </c>
      <c r="BB850" s="3" t="s">
        <v>256</v>
      </c>
      <c r="BC850" t="s">
        <v>257</v>
      </c>
      <c r="BD850" t="s">
        <v>258</v>
      </c>
      <c r="BG850" t="s">
        <v>127</v>
      </c>
      <c r="BH850" s="1">
        <v>45215.833333333336</v>
      </c>
      <c r="BI850">
        <v>40</v>
      </c>
      <c r="BJ850">
        <v>8</v>
      </c>
      <c r="BK850">
        <v>0</v>
      </c>
      <c r="BL850">
        <v>0</v>
      </c>
      <c r="BM850">
        <v>8</v>
      </c>
      <c r="BN850">
        <v>8</v>
      </c>
      <c r="BO850">
        <v>8</v>
      </c>
      <c r="BP850">
        <v>8</v>
      </c>
      <c r="BQ850" t="str">
        <f>"1:00 PM"</f>
        <v>1:00 PM</v>
      </c>
      <c r="BR850" t="str">
        <f>"10:00 PM"</f>
        <v>10:00 PM</v>
      </c>
      <c r="BS850" t="s">
        <v>131</v>
      </c>
      <c r="BT850">
        <v>0</v>
      </c>
      <c r="BU850">
        <v>0</v>
      </c>
      <c r="BV850" t="s">
        <v>114</v>
      </c>
      <c r="BX850" s="2" t="s">
        <v>2255</v>
      </c>
      <c r="BY850" t="s">
        <v>16962</v>
      </c>
      <c r="CA850" t="s">
        <v>16963</v>
      </c>
      <c r="CB850" t="s">
        <v>127</v>
      </c>
      <c r="CC850" s="8" t="str">
        <f>"78569"</f>
        <v>78569</v>
      </c>
      <c r="CD850" t="s">
        <v>16964</v>
      </c>
      <c r="CE850" t="s">
        <v>1590</v>
      </c>
      <c r="CF850" s="12">
        <v>9.23</v>
      </c>
      <c r="CG850" s="12">
        <v>13.51</v>
      </c>
      <c r="CJ850" t="s">
        <v>135</v>
      </c>
      <c r="CK850" t="s">
        <v>264</v>
      </c>
      <c r="CL850" t="s">
        <v>19178</v>
      </c>
      <c r="CO850" t="s">
        <v>132</v>
      </c>
      <c r="CP850" t="s">
        <v>136</v>
      </c>
      <c r="CQ850" t="s">
        <v>136</v>
      </c>
      <c r="CR850" t="s">
        <v>114</v>
      </c>
      <c r="CS850" t="s">
        <v>136</v>
      </c>
      <c r="CT850" t="s">
        <v>136</v>
      </c>
      <c r="CU850" t="s">
        <v>136</v>
      </c>
      <c r="CV850" t="s">
        <v>2258</v>
      </c>
      <c r="CW850" s="10" t="str">
        <f>"+19568931669"</f>
        <v>+19568931669</v>
      </c>
      <c r="CX850" t="s">
        <v>19179</v>
      </c>
      <c r="CY850" t="s">
        <v>132</v>
      </c>
      <c r="CZ850" t="s">
        <v>137</v>
      </c>
      <c r="DA850" t="s">
        <v>114</v>
      </c>
      <c r="DB850" t="s">
        <v>136</v>
      </c>
      <c r="DC850" t="s">
        <v>136</v>
      </c>
      <c r="DD850" t="s">
        <v>114</v>
      </c>
    </row>
    <row r="851" spans="1:113" ht="15" customHeight="1" x14ac:dyDescent="0.25">
      <c r="A851" t="s">
        <v>1276</v>
      </c>
      <c r="B851" t="s">
        <v>152</v>
      </c>
      <c r="C851" s="1">
        <v>45216.347919675929</v>
      </c>
      <c r="D851" s="1">
        <v>45247</v>
      </c>
      <c r="E851" t="s">
        <v>132</v>
      </c>
      <c r="F851" t="s">
        <v>236</v>
      </c>
      <c r="G851" t="str">
        <f>"39-3091.00"</f>
        <v>39-3091.00</v>
      </c>
      <c r="H851" t="s">
        <v>237</v>
      </c>
      <c r="I851">
        <v>30</v>
      </c>
      <c r="J851">
        <v>30</v>
      </c>
      <c r="K851" s="1">
        <v>45306</v>
      </c>
      <c r="L851" s="1">
        <v>45608</v>
      </c>
      <c r="M851" s="1">
        <v>45306</v>
      </c>
      <c r="N851" s="1">
        <v>45608</v>
      </c>
      <c r="O851" t="s">
        <v>238</v>
      </c>
      <c r="P851" t="s">
        <v>1277</v>
      </c>
      <c r="R851" t="s">
        <v>1278</v>
      </c>
      <c r="S851" t="s">
        <v>1279</v>
      </c>
      <c r="T851" t="s">
        <v>1280</v>
      </c>
      <c r="U851" t="s">
        <v>127</v>
      </c>
      <c r="V851" s="8" t="str">
        <f>"78132"</f>
        <v>78132</v>
      </c>
      <c r="W851" t="s">
        <v>118</v>
      </c>
      <c r="Y851" s="10">
        <v>17632322305</v>
      </c>
      <c r="AA851">
        <v>71399</v>
      </c>
      <c r="AB851" t="s">
        <v>1281</v>
      </c>
      <c r="AC851" t="s">
        <v>1282</v>
      </c>
      <c r="AE851" t="s">
        <v>1283</v>
      </c>
      <c r="AF851" t="s">
        <v>1278</v>
      </c>
      <c r="AG851" t="s">
        <v>1284</v>
      </c>
      <c r="AH851" t="s">
        <v>1280</v>
      </c>
      <c r="AI851" t="s">
        <v>127</v>
      </c>
      <c r="AJ851" s="8" t="str">
        <f>"78132"</f>
        <v>78132</v>
      </c>
      <c r="AK851" t="s">
        <v>118</v>
      </c>
      <c r="AM851" s="10">
        <v>17632322305</v>
      </c>
      <c r="AO851" t="s">
        <v>1285</v>
      </c>
      <c r="AP851" t="s">
        <v>248</v>
      </c>
      <c r="AQ851" t="s">
        <v>249</v>
      </c>
      <c r="AR851" t="s">
        <v>250</v>
      </c>
      <c r="AS851" t="s">
        <v>251</v>
      </c>
      <c r="AT851" t="s">
        <v>252</v>
      </c>
      <c r="AU851" t="s">
        <v>253</v>
      </c>
      <c r="AV851" t="s">
        <v>254</v>
      </c>
      <c r="AW851" t="s">
        <v>127</v>
      </c>
      <c r="AX851" s="8" t="str">
        <f>"78550"</f>
        <v>78550</v>
      </c>
      <c r="AY851" t="s">
        <v>118</v>
      </c>
      <c r="AZ851" t="s">
        <v>255</v>
      </c>
      <c r="BA851" s="10">
        <v>19564408720</v>
      </c>
      <c r="BB851" s="3" t="s">
        <v>256</v>
      </c>
      <c r="BC851" t="s">
        <v>257</v>
      </c>
      <c r="BD851" t="s">
        <v>258</v>
      </c>
      <c r="BG851" t="s">
        <v>127</v>
      </c>
      <c r="BH851" s="1">
        <v>45215.833333333336</v>
      </c>
      <c r="BI851">
        <v>40</v>
      </c>
      <c r="BJ851">
        <v>8</v>
      </c>
      <c r="BK851">
        <v>0</v>
      </c>
      <c r="BL851">
        <v>0</v>
      </c>
      <c r="BM851">
        <v>8</v>
      </c>
      <c r="BN851">
        <v>8</v>
      </c>
      <c r="BO851">
        <v>8</v>
      </c>
      <c r="BP851">
        <v>8</v>
      </c>
      <c r="BQ851" t="str">
        <f>"1:00 PM"</f>
        <v>1:00 PM</v>
      </c>
      <c r="BR851" t="str">
        <f>"10:00 PM"</f>
        <v>10:00 PM</v>
      </c>
      <c r="BS851" t="s">
        <v>131</v>
      </c>
      <c r="BT851">
        <v>0</v>
      </c>
      <c r="BU851">
        <v>0</v>
      </c>
      <c r="BV851" t="s">
        <v>114</v>
      </c>
      <c r="BX851" s="2" t="s">
        <v>259</v>
      </c>
      <c r="BY851" t="s">
        <v>1278</v>
      </c>
      <c r="CA851" t="s">
        <v>1280</v>
      </c>
      <c r="CB851" t="s">
        <v>127</v>
      </c>
      <c r="CC851" s="8" t="str">
        <f>"78132"</f>
        <v>78132</v>
      </c>
      <c r="CD851" t="s">
        <v>1286</v>
      </c>
      <c r="CE851" t="s">
        <v>1287</v>
      </c>
      <c r="CF851" s="12">
        <v>10.1</v>
      </c>
      <c r="CG851" s="12">
        <v>18.8</v>
      </c>
      <c r="CJ851" t="s">
        <v>135</v>
      </c>
      <c r="CK851" t="s">
        <v>264</v>
      </c>
      <c r="CL851" t="s">
        <v>1288</v>
      </c>
      <c r="CO851" t="s">
        <v>132</v>
      </c>
      <c r="CP851" t="s">
        <v>136</v>
      </c>
      <c r="CQ851" t="s">
        <v>136</v>
      </c>
      <c r="CR851" t="s">
        <v>114</v>
      </c>
      <c r="CS851" t="s">
        <v>136</v>
      </c>
      <c r="CT851" t="s">
        <v>136</v>
      </c>
      <c r="CU851" t="s">
        <v>136</v>
      </c>
      <c r="CV851" t="s">
        <v>266</v>
      </c>
      <c r="CW851" s="10" t="str">
        <f>"+17632322305"</f>
        <v>+17632322305</v>
      </c>
      <c r="CX851" t="s">
        <v>1285</v>
      </c>
      <c r="CY851" t="s">
        <v>132</v>
      </c>
      <c r="CZ851" t="s">
        <v>137</v>
      </c>
      <c r="DA851" t="s">
        <v>114</v>
      </c>
      <c r="DB851" t="s">
        <v>136</v>
      </c>
      <c r="DC851" t="s">
        <v>136</v>
      </c>
      <c r="DD851" t="s">
        <v>114</v>
      </c>
    </row>
    <row r="852" spans="1:113" ht="15" customHeight="1" x14ac:dyDescent="0.25">
      <c r="A852" t="s">
        <v>8278</v>
      </c>
      <c r="B852" t="s">
        <v>152</v>
      </c>
      <c r="C852" s="1">
        <v>45216.346671296298</v>
      </c>
      <c r="D852" s="1">
        <v>45247</v>
      </c>
      <c r="E852" t="s">
        <v>132</v>
      </c>
      <c r="F852" t="s">
        <v>236</v>
      </c>
      <c r="G852" t="str">
        <f>"39-3091.00"</f>
        <v>39-3091.00</v>
      </c>
      <c r="H852" t="s">
        <v>237</v>
      </c>
      <c r="I852">
        <v>88</v>
      </c>
      <c r="J852">
        <v>88</v>
      </c>
      <c r="K852" s="1">
        <v>45306</v>
      </c>
      <c r="L852" s="1">
        <v>45610</v>
      </c>
      <c r="M852" s="1">
        <v>45306</v>
      </c>
      <c r="N852" s="1">
        <v>45610</v>
      </c>
      <c r="O852" t="s">
        <v>238</v>
      </c>
      <c r="P852" t="s">
        <v>8279</v>
      </c>
      <c r="Q852" t="s">
        <v>132</v>
      </c>
      <c r="R852" t="s">
        <v>8280</v>
      </c>
      <c r="S852" t="s">
        <v>8281</v>
      </c>
      <c r="T852" t="s">
        <v>7054</v>
      </c>
      <c r="U852" t="s">
        <v>402</v>
      </c>
      <c r="V852" s="8" t="str">
        <f>"92509"</f>
        <v>92509</v>
      </c>
      <c r="W852" t="s">
        <v>118</v>
      </c>
      <c r="X852" t="s">
        <v>132</v>
      </c>
      <c r="Y852" s="10">
        <v>19094220776</v>
      </c>
      <c r="Z852" s="3" t="s">
        <v>256</v>
      </c>
      <c r="AA852">
        <v>71399</v>
      </c>
      <c r="AB852" t="s">
        <v>8282</v>
      </c>
      <c r="AC852" t="s">
        <v>8283</v>
      </c>
      <c r="AD852" t="s">
        <v>3976</v>
      </c>
      <c r="AE852" t="s">
        <v>1836</v>
      </c>
      <c r="AF852" t="s">
        <v>8280</v>
      </c>
      <c r="AG852" t="s">
        <v>8284</v>
      </c>
      <c r="AH852" t="s">
        <v>7054</v>
      </c>
      <c r="AI852" t="s">
        <v>402</v>
      </c>
      <c r="AJ852" s="8" t="str">
        <f>"92509"</f>
        <v>92509</v>
      </c>
      <c r="AK852" t="s">
        <v>118</v>
      </c>
      <c r="AM852" s="10">
        <v>19514538092</v>
      </c>
      <c r="AN852" s="3" t="s">
        <v>256</v>
      </c>
      <c r="AO852" t="s">
        <v>8285</v>
      </c>
      <c r="AP852" t="s">
        <v>248</v>
      </c>
      <c r="AQ852" t="s">
        <v>249</v>
      </c>
      <c r="AR852" t="s">
        <v>250</v>
      </c>
      <c r="AS852" t="s">
        <v>251</v>
      </c>
      <c r="AT852" t="s">
        <v>252</v>
      </c>
      <c r="AU852" t="s">
        <v>253</v>
      </c>
      <c r="AV852" t="s">
        <v>254</v>
      </c>
      <c r="AW852" t="s">
        <v>127</v>
      </c>
      <c r="AX852" s="8" t="str">
        <f>"78550"</f>
        <v>78550</v>
      </c>
      <c r="AY852" t="s">
        <v>118</v>
      </c>
      <c r="BA852" s="10">
        <v>19564408720</v>
      </c>
      <c r="BB852" s="3" t="s">
        <v>256</v>
      </c>
      <c r="BC852" t="s">
        <v>257</v>
      </c>
      <c r="BD852" t="s">
        <v>258</v>
      </c>
      <c r="BG852" t="s">
        <v>402</v>
      </c>
      <c r="BH852" s="1">
        <v>45215.833333333336</v>
      </c>
      <c r="BI852">
        <v>40</v>
      </c>
      <c r="BJ852">
        <v>8</v>
      </c>
      <c r="BK852">
        <v>0</v>
      </c>
      <c r="BL852">
        <v>0</v>
      </c>
      <c r="BM852">
        <v>8</v>
      </c>
      <c r="BN852">
        <v>8</v>
      </c>
      <c r="BO852">
        <v>8</v>
      </c>
      <c r="BP852">
        <v>8</v>
      </c>
      <c r="BQ852" t="str">
        <f>"1:00 PM"</f>
        <v>1:00 PM</v>
      </c>
      <c r="BR852" t="str">
        <f>"10:00 PM"</f>
        <v>10:00 PM</v>
      </c>
      <c r="BS852" t="s">
        <v>131</v>
      </c>
      <c r="BT852">
        <v>0</v>
      </c>
      <c r="BU852">
        <v>0</v>
      </c>
      <c r="BV852" t="s">
        <v>114</v>
      </c>
      <c r="BX852" s="2" t="s">
        <v>2255</v>
      </c>
      <c r="BY852" t="s">
        <v>8280</v>
      </c>
      <c r="CA852" t="s">
        <v>7054</v>
      </c>
      <c r="CB852" t="s">
        <v>402</v>
      </c>
      <c r="CC852" s="8" t="str">
        <f>"92509"</f>
        <v>92509</v>
      </c>
      <c r="CD852" t="s">
        <v>5876</v>
      </c>
      <c r="CE852" t="s">
        <v>4484</v>
      </c>
      <c r="CF852" s="12">
        <v>13.61</v>
      </c>
      <c r="CG852" s="12">
        <v>18.399999999999999</v>
      </c>
      <c r="CJ852" t="s">
        <v>135</v>
      </c>
      <c r="CK852" t="s">
        <v>264</v>
      </c>
      <c r="CL852" t="s">
        <v>8286</v>
      </c>
      <c r="CO852" t="s">
        <v>132</v>
      </c>
      <c r="CP852" t="s">
        <v>136</v>
      </c>
      <c r="CQ852" t="s">
        <v>136</v>
      </c>
      <c r="CR852" t="s">
        <v>114</v>
      </c>
      <c r="CS852" t="s">
        <v>136</v>
      </c>
      <c r="CT852" t="s">
        <v>136</v>
      </c>
      <c r="CU852" t="s">
        <v>136</v>
      </c>
      <c r="CV852" t="s">
        <v>2258</v>
      </c>
      <c r="CW852" s="10" t="str">
        <f>"+19094220776"</f>
        <v>+19094220776</v>
      </c>
      <c r="CX852" t="s">
        <v>8287</v>
      </c>
      <c r="CY852" t="s">
        <v>132</v>
      </c>
      <c r="CZ852" t="s">
        <v>137</v>
      </c>
      <c r="DA852" t="s">
        <v>114</v>
      </c>
      <c r="DB852" t="s">
        <v>114</v>
      </c>
      <c r="DC852" t="s">
        <v>136</v>
      </c>
      <c r="DD852" t="s">
        <v>114</v>
      </c>
    </row>
    <row r="853" spans="1:113" ht="15" customHeight="1" x14ac:dyDescent="0.25">
      <c r="A853" t="s">
        <v>17169</v>
      </c>
      <c r="B853" t="s">
        <v>152</v>
      </c>
      <c r="C853" s="1">
        <v>45216.345356481484</v>
      </c>
      <c r="D853" s="1">
        <v>45247</v>
      </c>
      <c r="E853" t="s">
        <v>132</v>
      </c>
      <c r="F853" t="s">
        <v>236</v>
      </c>
      <c r="G853" t="str">
        <f>"39-3091.00"</f>
        <v>39-3091.00</v>
      </c>
      <c r="H853" t="s">
        <v>237</v>
      </c>
      <c r="I853">
        <v>49</v>
      </c>
      <c r="J853">
        <v>49</v>
      </c>
      <c r="K853" s="1">
        <v>45306</v>
      </c>
      <c r="L853" s="1">
        <v>45610</v>
      </c>
      <c r="M853" s="1">
        <v>45306</v>
      </c>
      <c r="N853" s="1">
        <v>45610</v>
      </c>
      <c r="O853" t="s">
        <v>238</v>
      </c>
      <c r="P853" t="s">
        <v>17170</v>
      </c>
      <c r="R853" t="s">
        <v>17171</v>
      </c>
      <c r="S853" t="s">
        <v>17172</v>
      </c>
      <c r="T853" t="s">
        <v>17173</v>
      </c>
      <c r="U853" t="s">
        <v>984</v>
      </c>
      <c r="V853" s="8" t="str">
        <f>"64477"</f>
        <v>64477</v>
      </c>
      <c r="W853" t="s">
        <v>118</v>
      </c>
      <c r="Y853" s="10">
        <v>18163095968</v>
      </c>
      <c r="AA853">
        <v>7139</v>
      </c>
      <c r="AB853" t="s">
        <v>7775</v>
      </c>
      <c r="AC853" t="s">
        <v>9795</v>
      </c>
      <c r="AE853" t="s">
        <v>9834</v>
      </c>
      <c r="AF853" t="s">
        <v>17171</v>
      </c>
      <c r="AG853" t="s">
        <v>17174</v>
      </c>
      <c r="AH853" t="s">
        <v>17173</v>
      </c>
      <c r="AI853" t="s">
        <v>984</v>
      </c>
      <c r="AJ853" s="8" t="str">
        <f>"64477"</f>
        <v>64477</v>
      </c>
      <c r="AK853" t="s">
        <v>118</v>
      </c>
      <c r="AM853" s="10">
        <v>18163095968</v>
      </c>
      <c r="AO853" t="s">
        <v>17175</v>
      </c>
      <c r="AP853" t="s">
        <v>248</v>
      </c>
      <c r="AQ853" t="s">
        <v>249</v>
      </c>
      <c r="AR853" t="s">
        <v>250</v>
      </c>
      <c r="AS853" t="s">
        <v>251</v>
      </c>
      <c r="AT853" t="s">
        <v>252</v>
      </c>
      <c r="AU853" t="s">
        <v>253</v>
      </c>
      <c r="AV853" t="s">
        <v>254</v>
      </c>
      <c r="AW853" t="s">
        <v>127</v>
      </c>
      <c r="AX853" s="8" t="str">
        <f>"78550"</f>
        <v>78550</v>
      </c>
      <c r="AY853" t="s">
        <v>118</v>
      </c>
      <c r="AZ853" t="s">
        <v>255</v>
      </c>
      <c r="BA853" s="10">
        <v>19564408720</v>
      </c>
      <c r="BB853" s="3" t="s">
        <v>256</v>
      </c>
      <c r="BC853" t="s">
        <v>257</v>
      </c>
      <c r="BD853" t="s">
        <v>258</v>
      </c>
      <c r="BG853" t="s">
        <v>984</v>
      </c>
      <c r="BH853" s="1">
        <v>45215.833333333336</v>
      </c>
      <c r="BI853">
        <v>40</v>
      </c>
      <c r="BJ853">
        <v>8</v>
      </c>
      <c r="BK853">
        <v>0</v>
      </c>
      <c r="BL853">
        <v>0</v>
      </c>
      <c r="BM853">
        <v>8</v>
      </c>
      <c r="BN853">
        <v>8</v>
      </c>
      <c r="BO853">
        <v>8</v>
      </c>
      <c r="BP853">
        <v>8</v>
      </c>
      <c r="BQ853" t="str">
        <f>"1:00 PM"</f>
        <v>1:00 PM</v>
      </c>
      <c r="BR853" t="str">
        <f>"10:00 PM"</f>
        <v>10:00 PM</v>
      </c>
      <c r="BS853" t="s">
        <v>131</v>
      </c>
      <c r="BT853">
        <v>0</v>
      </c>
      <c r="BU853">
        <v>0</v>
      </c>
      <c r="BV853" t="s">
        <v>114</v>
      </c>
      <c r="BX853" s="2" t="s">
        <v>259</v>
      </c>
      <c r="BY853" t="s">
        <v>17171</v>
      </c>
      <c r="CA853" t="s">
        <v>17173</v>
      </c>
      <c r="CB853" t="s">
        <v>984</v>
      </c>
      <c r="CC853" s="8" t="str">
        <f>"64477"</f>
        <v>64477</v>
      </c>
      <c r="CD853" t="s">
        <v>3716</v>
      </c>
      <c r="CE853" t="s">
        <v>2431</v>
      </c>
      <c r="CF853" s="12">
        <v>9.23</v>
      </c>
      <c r="CG853" s="12">
        <v>13.31</v>
      </c>
      <c r="CJ853" t="s">
        <v>135</v>
      </c>
      <c r="CK853" t="s">
        <v>264</v>
      </c>
      <c r="CL853" t="s">
        <v>17176</v>
      </c>
      <c r="CO853" t="s">
        <v>132</v>
      </c>
      <c r="CP853" t="s">
        <v>136</v>
      </c>
      <c r="CQ853" t="s">
        <v>136</v>
      </c>
      <c r="CR853" t="s">
        <v>114</v>
      </c>
      <c r="CS853" t="s">
        <v>136</v>
      </c>
      <c r="CT853" t="s">
        <v>136</v>
      </c>
      <c r="CU853" t="s">
        <v>136</v>
      </c>
      <c r="CV853" t="s">
        <v>2258</v>
      </c>
      <c r="CW853" s="10" t="str">
        <f>"+18163095968"</f>
        <v>+18163095968</v>
      </c>
      <c r="CX853" t="s">
        <v>17175</v>
      </c>
      <c r="CY853" t="s">
        <v>132</v>
      </c>
      <c r="CZ853" t="s">
        <v>137</v>
      </c>
      <c r="DA853" t="s">
        <v>114</v>
      </c>
      <c r="DB853" t="s">
        <v>136</v>
      </c>
      <c r="DC853" t="s">
        <v>136</v>
      </c>
      <c r="DD853" t="s">
        <v>114</v>
      </c>
    </row>
    <row r="854" spans="1:113" ht="15" customHeight="1" x14ac:dyDescent="0.25">
      <c r="A854" t="s">
        <v>18651</v>
      </c>
      <c r="B854" t="s">
        <v>152</v>
      </c>
      <c r="C854" s="1">
        <v>45215.757998611109</v>
      </c>
      <c r="D854" s="1">
        <v>45247</v>
      </c>
      <c r="E854" t="s">
        <v>132</v>
      </c>
      <c r="F854" t="s">
        <v>3098</v>
      </c>
      <c r="G854" t="str">
        <f>"39-3091.00"</f>
        <v>39-3091.00</v>
      </c>
      <c r="H854" t="s">
        <v>237</v>
      </c>
      <c r="I854">
        <v>25</v>
      </c>
      <c r="J854">
        <v>25</v>
      </c>
      <c r="K854" s="1">
        <v>45292</v>
      </c>
      <c r="L854" s="1">
        <v>45596</v>
      </c>
      <c r="M854" s="1">
        <v>45292</v>
      </c>
      <c r="N854" s="1">
        <v>45596</v>
      </c>
      <c r="O854" t="s">
        <v>238</v>
      </c>
      <c r="P854" t="s">
        <v>18652</v>
      </c>
      <c r="R854" t="s">
        <v>18653</v>
      </c>
      <c r="S854" t="s">
        <v>18654</v>
      </c>
      <c r="T854" t="s">
        <v>11085</v>
      </c>
      <c r="U854" t="s">
        <v>140</v>
      </c>
      <c r="V854" s="8" t="str">
        <f>"33534"</f>
        <v>33534</v>
      </c>
      <c r="W854" t="s">
        <v>118</v>
      </c>
      <c r="Y854" s="10">
        <v>18132990366</v>
      </c>
      <c r="Z854" s="3" t="s">
        <v>256</v>
      </c>
      <c r="AA854">
        <v>71119</v>
      </c>
      <c r="AB854" t="s">
        <v>3566</v>
      </c>
      <c r="AC854" t="s">
        <v>13717</v>
      </c>
      <c r="AD854" t="s">
        <v>4170</v>
      </c>
      <c r="AE854" t="s">
        <v>561</v>
      </c>
      <c r="AF854" t="s">
        <v>18653</v>
      </c>
      <c r="AG854" t="s">
        <v>18654</v>
      </c>
      <c r="AH854" t="s">
        <v>11085</v>
      </c>
      <c r="AI854" t="s">
        <v>140</v>
      </c>
      <c r="AJ854" s="8" t="str">
        <f>"33534"</f>
        <v>33534</v>
      </c>
      <c r="AK854" t="s">
        <v>118</v>
      </c>
      <c r="AM854" s="10">
        <v>18132990366</v>
      </c>
      <c r="AN854" s="3" t="s">
        <v>256</v>
      </c>
      <c r="AO854" t="s">
        <v>18655</v>
      </c>
      <c r="AP854" t="s">
        <v>248</v>
      </c>
      <c r="AQ854" t="s">
        <v>249</v>
      </c>
      <c r="AR854" t="s">
        <v>250</v>
      </c>
      <c r="AS854" t="s">
        <v>251</v>
      </c>
      <c r="AT854" t="s">
        <v>252</v>
      </c>
      <c r="AU854" t="s">
        <v>253</v>
      </c>
      <c r="AV854" t="s">
        <v>254</v>
      </c>
      <c r="AW854" t="s">
        <v>127</v>
      </c>
      <c r="AX854" s="8" t="str">
        <f>"78550"</f>
        <v>78550</v>
      </c>
      <c r="AY854" t="s">
        <v>118</v>
      </c>
      <c r="AZ854" t="s">
        <v>692</v>
      </c>
      <c r="BA854" s="10">
        <v>19564408720</v>
      </c>
      <c r="BB854" s="3" t="s">
        <v>256</v>
      </c>
      <c r="BC854" t="s">
        <v>338</v>
      </c>
      <c r="BD854" t="s">
        <v>258</v>
      </c>
      <c r="BG854" t="s">
        <v>140</v>
      </c>
      <c r="BH854" s="1">
        <v>45214.833333333336</v>
      </c>
      <c r="BI854">
        <v>40</v>
      </c>
      <c r="BJ854">
        <v>8</v>
      </c>
      <c r="BK854">
        <v>0</v>
      </c>
      <c r="BL854">
        <v>0</v>
      </c>
      <c r="BM854">
        <v>8</v>
      </c>
      <c r="BN854">
        <v>8</v>
      </c>
      <c r="BO854">
        <v>8</v>
      </c>
      <c r="BP854">
        <v>8</v>
      </c>
      <c r="BQ854" t="str">
        <f>"1:00 PM"</f>
        <v>1:00 PM</v>
      </c>
      <c r="BR854" t="str">
        <f>"10:00 PM"</f>
        <v>10:00 PM</v>
      </c>
      <c r="BS854" t="s">
        <v>131</v>
      </c>
      <c r="BT854">
        <v>0</v>
      </c>
      <c r="BU854">
        <v>0</v>
      </c>
      <c r="BV854" t="s">
        <v>114</v>
      </c>
      <c r="BX854" s="2" t="s">
        <v>8224</v>
      </c>
      <c r="BY854" t="s">
        <v>18653</v>
      </c>
      <c r="CA854" t="s">
        <v>5064</v>
      </c>
      <c r="CB854" t="s">
        <v>140</v>
      </c>
      <c r="CC854" s="8" t="str">
        <f>"33534"</f>
        <v>33534</v>
      </c>
      <c r="CD854" t="s">
        <v>781</v>
      </c>
      <c r="CE854" t="s">
        <v>467</v>
      </c>
      <c r="CF854" s="12">
        <v>10.16</v>
      </c>
      <c r="CG854" s="12">
        <v>14.79</v>
      </c>
      <c r="CJ854" t="s">
        <v>135</v>
      </c>
      <c r="CK854" t="s">
        <v>342</v>
      </c>
      <c r="CL854" t="s">
        <v>18656</v>
      </c>
      <c r="CO854" t="s">
        <v>132</v>
      </c>
      <c r="CP854" t="s">
        <v>136</v>
      </c>
      <c r="CQ854" t="s">
        <v>136</v>
      </c>
      <c r="CR854" t="s">
        <v>114</v>
      </c>
      <c r="CS854" t="s">
        <v>136</v>
      </c>
      <c r="CT854" t="s">
        <v>136</v>
      </c>
      <c r="CU854" t="s">
        <v>136</v>
      </c>
      <c r="CV854" t="s">
        <v>344</v>
      </c>
      <c r="CW854" s="10" t="str">
        <f>"+18132990366"</f>
        <v>+18132990366</v>
      </c>
      <c r="CX854" t="s">
        <v>18657</v>
      </c>
      <c r="CY854" t="s">
        <v>132</v>
      </c>
      <c r="CZ854" t="s">
        <v>137</v>
      </c>
      <c r="DA854" t="s">
        <v>114</v>
      </c>
      <c r="DB854" t="s">
        <v>136</v>
      </c>
      <c r="DC854" t="s">
        <v>136</v>
      </c>
      <c r="DD854" t="s">
        <v>114</v>
      </c>
    </row>
    <row r="855" spans="1:113" ht="15" customHeight="1" x14ac:dyDescent="0.25">
      <c r="A855" t="s">
        <v>21654</v>
      </c>
      <c r="B855" t="s">
        <v>152</v>
      </c>
      <c r="C855" s="1">
        <v>45211.427270486114</v>
      </c>
      <c r="D855" s="1">
        <v>45247</v>
      </c>
      <c r="E855" t="s">
        <v>132</v>
      </c>
      <c r="F855" t="s">
        <v>21655</v>
      </c>
      <c r="G855" t="str">
        <f>"51-3092.00"</f>
        <v>51-3092.00</v>
      </c>
      <c r="H855" t="s">
        <v>2976</v>
      </c>
      <c r="I855">
        <v>5</v>
      </c>
      <c r="J855">
        <v>5</v>
      </c>
      <c r="K855" s="1">
        <v>45295</v>
      </c>
      <c r="L855" s="1">
        <v>45412</v>
      </c>
      <c r="M855" s="1">
        <v>45295</v>
      </c>
      <c r="N855" s="1">
        <v>45412</v>
      </c>
      <c r="O855" t="s">
        <v>238</v>
      </c>
      <c r="P855" t="s">
        <v>16731</v>
      </c>
      <c r="R855" t="s">
        <v>17317</v>
      </c>
      <c r="S855" t="s">
        <v>5960</v>
      </c>
      <c r="T855" t="s">
        <v>7330</v>
      </c>
      <c r="U855" t="s">
        <v>792</v>
      </c>
      <c r="V855" s="8" t="str">
        <f>"98004"</f>
        <v>98004</v>
      </c>
      <c r="W855" t="s">
        <v>118</v>
      </c>
      <c r="Y855" s="10">
        <v>12066825949</v>
      </c>
      <c r="AA855">
        <v>311710</v>
      </c>
      <c r="AB855" t="s">
        <v>2869</v>
      </c>
      <c r="AC855" t="s">
        <v>278</v>
      </c>
      <c r="AE855" t="s">
        <v>17318</v>
      </c>
      <c r="AF855" t="s">
        <v>21656</v>
      </c>
      <c r="AH855" t="s">
        <v>7330</v>
      </c>
      <c r="AI855" t="s">
        <v>792</v>
      </c>
      <c r="AJ855" s="8" t="str">
        <f>"98004"</f>
        <v>98004</v>
      </c>
      <c r="AK855" t="s">
        <v>118</v>
      </c>
      <c r="AM855" s="10">
        <v>12066825949</v>
      </c>
      <c r="AO855" t="s">
        <v>16734</v>
      </c>
      <c r="AP855" t="s">
        <v>121</v>
      </c>
      <c r="AQ855" t="s">
        <v>2739</v>
      </c>
      <c r="AR855" t="s">
        <v>9684</v>
      </c>
      <c r="AS855" t="s">
        <v>2709</v>
      </c>
      <c r="AT855" t="s">
        <v>9685</v>
      </c>
      <c r="AU855" t="s">
        <v>1071</v>
      </c>
      <c r="AV855" t="s">
        <v>3673</v>
      </c>
      <c r="AW855" t="s">
        <v>792</v>
      </c>
      <c r="AX855" s="8" t="str">
        <f>"98104"</f>
        <v>98104</v>
      </c>
      <c r="AY855" t="s">
        <v>118</v>
      </c>
      <c r="BA855" s="10">
        <v>12067578354</v>
      </c>
      <c r="BC855" t="s">
        <v>9686</v>
      </c>
      <c r="BD855" t="s">
        <v>9687</v>
      </c>
      <c r="BE855" t="s">
        <v>792</v>
      </c>
      <c r="BF855" t="s">
        <v>172</v>
      </c>
      <c r="BG855" t="s">
        <v>2706</v>
      </c>
      <c r="BH855" s="1">
        <v>45209.833333333336</v>
      </c>
      <c r="BI855">
        <v>84</v>
      </c>
      <c r="BJ855">
        <v>12</v>
      </c>
      <c r="BK855">
        <v>12</v>
      </c>
      <c r="BL855">
        <v>12</v>
      </c>
      <c r="BM855">
        <v>12</v>
      </c>
      <c r="BN855">
        <v>12</v>
      </c>
      <c r="BO855">
        <v>12</v>
      </c>
      <c r="BP855">
        <v>12</v>
      </c>
      <c r="BQ855" t="str">
        <f>"6:00 AM"</f>
        <v>6:00 AM</v>
      </c>
      <c r="BR855" t="str">
        <f>"6:00 PM"</f>
        <v>6:00 PM</v>
      </c>
      <c r="BS855" t="s">
        <v>131</v>
      </c>
      <c r="BT855">
        <v>0</v>
      </c>
      <c r="BU855">
        <v>24</v>
      </c>
      <c r="BV855" t="s">
        <v>114</v>
      </c>
      <c r="BX855" s="2" t="s">
        <v>21657</v>
      </c>
      <c r="BY855" t="s">
        <v>21658</v>
      </c>
      <c r="CA855" t="s">
        <v>16199</v>
      </c>
      <c r="CB855" t="s">
        <v>2706</v>
      </c>
      <c r="CC855" s="8" t="str">
        <f>"99692"</f>
        <v>99692</v>
      </c>
      <c r="CD855" t="s">
        <v>16200</v>
      </c>
      <c r="CE855" t="s">
        <v>2714</v>
      </c>
      <c r="CF855" s="12">
        <v>20.059999999999999</v>
      </c>
      <c r="CG855" s="12">
        <v>40</v>
      </c>
      <c r="CH855" s="12">
        <v>30.09</v>
      </c>
      <c r="CI855" s="12">
        <v>60</v>
      </c>
      <c r="CJ855" t="s">
        <v>135</v>
      </c>
      <c r="CK855" t="s">
        <v>21659</v>
      </c>
      <c r="CL855" t="s">
        <v>21660</v>
      </c>
      <c r="CO855" t="s">
        <v>132</v>
      </c>
      <c r="CP855" t="s">
        <v>136</v>
      </c>
      <c r="CQ855" t="s">
        <v>114</v>
      </c>
      <c r="CR855" t="s">
        <v>136</v>
      </c>
      <c r="CS855" t="s">
        <v>114</v>
      </c>
      <c r="CT855" t="s">
        <v>136</v>
      </c>
      <c r="CU855" t="s">
        <v>136</v>
      </c>
      <c r="CV855" t="s">
        <v>17324</v>
      </c>
      <c r="CW855" s="10" t="str">
        <f>"N/A"</f>
        <v>N/A</v>
      </c>
      <c r="CX855" t="s">
        <v>9695</v>
      </c>
      <c r="CY855" t="s">
        <v>9696</v>
      </c>
      <c r="CZ855" t="s">
        <v>137</v>
      </c>
      <c r="DA855" t="s">
        <v>114</v>
      </c>
      <c r="DB855" t="s">
        <v>114</v>
      </c>
      <c r="DC855" t="s">
        <v>136</v>
      </c>
      <c r="DD855" t="s">
        <v>114</v>
      </c>
    </row>
    <row r="856" spans="1:113" ht="15" customHeight="1" x14ac:dyDescent="0.25">
      <c r="A856" t="s">
        <v>17315</v>
      </c>
      <c r="B856" t="s">
        <v>152</v>
      </c>
      <c r="C856" s="1">
        <v>45211.423855208333</v>
      </c>
      <c r="D856" s="1">
        <v>45247</v>
      </c>
      <c r="E856" t="s">
        <v>132</v>
      </c>
      <c r="F856" t="s">
        <v>17316</v>
      </c>
      <c r="G856" t="str">
        <f>"51-3022.00"</f>
        <v>51-3022.00</v>
      </c>
      <c r="H856" t="s">
        <v>1004</v>
      </c>
      <c r="I856">
        <v>13</v>
      </c>
      <c r="J856">
        <v>13</v>
      </c>
      <c r="K856" s="1">
        <v>45292</v>
      </c>
      <c r="L856" s="1">
        <v>45412</v>
      </c>
      <c r="M856" s="1">
        <v>45292</v>
      </c>
      <c r="N856" s="1">
        <v>45412</v>
      </c>
      <c r="O856" t="s">
        <v>238</v>
      </c>
      <c r="P856" t="s">
        <v>16731</v>
      </c>
      <c r="R856" t="s">
        <v>17317</v>
      </c>
      <c r="S856" t="s">
        <v>5960</v>
      </c>
      <c r="T856" t="s">
        <v>7330</v>
      </c>
      <c r="U856" t="s">
        <v>792</v>
      </c>
      <c r="V856" s="8" t="str">
        <f>"98004"</f>
        <v>98004</v>
      </c>
      <c r="W856" t="s">
        <v>118</v>
      </c>
      <c r="Y856" s="10">
        <v>12066825949</v>
      </c>
      <c r="AA856">
        <v>311710</v>
      </c>
      <c r="AB856" t="s">
        <v>2869</v>
      </c>
      <c r="AC856" t="s">
        <v>278</v>
      </c>
      <c r="AE856" t="s">
        <v>17318</v>
      </c>
      <c r="AF856" t="s">
        <v>17319</v>
      </c>
      <c r="AG856" t="s">
        <v>11369</v>
      </c>
      <c r="AH856" t="s">
        <v>7330</v>
      </c>
      <c r="AI856" t="s">
        <v>792</v>
      </c>
      <c r="AJ856" s="8" t="str">
        <f>"98004"</f>
        <v>98004</v>
      </c>
      <c r="AK856" t="s">
        <v>118</v>
      </c>
      <c r="AM856" s="10">
        <v>12066825949</v>
      </c>
      <c r="AO856" t="s">
        <v>16734</v>
      </c>
      <c r="AP856" t="s">
        <v>121</v>
      </c>
      <c r="AQ856" t="s">
        <v>2739</v>
      </c>
      <c r="AR856" t="s">
        <v>9684</v>
      </c>
      <c r="AS856" t="s">
        <v>2709</v>
      </c>
      <c r="AT856" t="s">
        <v>9685</v>
      </c>
      <c r="AU856" t="s">
        <v>1071</v>
      </c>
      <c r="AV856" t="s">
        <v>3673</v>
      </c>
      <c r="AW856" t="s">
        <v>792</v>
      </c>
      <c r="AX856" s="8" t="str">
        <f>"98104"</f>
        <v>98104</v>
      </c>
      <c r="AY856" t="s">
        <v>118</v>
      </c>
      <c r="BA856" s="10">
        <v>12067578354</v>
      </c>
      <c r="BC856" t="s">
        <v>9686</v>
      </c>
      <c r="BD856" t="s">
        <v>9687</v>
      </c>
      <c r="BE856" t="s">
        <v>792</v>
      </c>
      <c r="BF856" t="s">
        <v>172</v>
      </c>
      <c r="BG856" t="s">
        <v>2706</v>
      </c>
      <c r="BH856" s="1">
        <v>45210.833333333336</v>
      </c>
      <c r="BI856">
        <v>40</v>
      </c>
      <c r="BJ856">
        <v>0</v>
      </c>
      <c r="BK856">
        <v>8</v>
      </c>
      <c r="BL856">
        <v>8</v>
      </c>
      <c r="BM856">
        <v>8</v>
      </c>
      <c r="BN856">
        <v>8</v>
      </c>
      <c r="BO856">
        <v>8</v>
      </c>
      <c r="BP856">
        <v>0</v>
      </c>
      <c r="BQ856" t="str">
        <f>"8:00 AM"</f>
        <v>8:00 AM</v>
      </c>
      <c r="BR856" t="str">
        <f>"5:00 PM"</f>
        <v>5:00 PM</v>
      </c>
      <c r="BS856" t="s">
        <v>131</v>
      </c>
      <c r="BT856">
        <v>0</v>
      </c>
      <c r="BU856">
        <v>24</v>
      </c>
      <c r="BV856" t="s">
        <v>114</v>
      </c>
      <c r="BX856" s="2" t="s">
        <v>17320</v>
      </c>
      <c r="BY856" t="s">
        <v>17321</v>
      </c>
      <c r="CA856" t="s">
        <v>16199</v>
      </c>
      <c r="CB856" t="s">
        <v>2706</v>
      </c>
      <c r="CC856" s="8" t="str">
        <f>"99692"</f>
        <v>99692</v>
      </c>
      <c r="CD856" t="s">
        <v>16200</v>
      </c>
      <c r="CE856" t="s">
        <v>2714</v>
      </c>
      <c r="CF856" s="12">
        <v>17.149999999999999</v>
      </c>
      <c r="CH856" s="12">
        <v>25.73</v>
      </c>
      <c r="CJ856" t="s">
        <v>135</v>
      </c>
      <c r="CK856" t="s">
        <v>17322</v>
      </c>
      <c r="CL856" t="s">
        <v>17323</v>
      </c>
      <c r="CO856" t="s">
        <v>132</v>
      </c>
      <c r="CP856" t="s">
        <v>136</v>
      </c>
      <c r="CQ856" t="s">
        <v>114</v>
      </c>
      <c r="CR856" t="s">
        <v>136</v>
      </c>
      <c r="CS856" t="s">
        <v>114</v>
      </c>
      <c r="CT856" t="s">
        <v>136</v>
      </c>
      <c r="CU856" t="s">
        <v>136</v>
      </c>
      <c r="CV856" t="s">
        <v>17324</v>
      </c>
      <c r="CW856" s="10" t="str">
        <f>"N/A"</f>
        <v>N/A</v>
      </c>
      <c r="CX856" t="s">
        <v>9695</v>
      </c>
      <c r="CY856" t="s">
        <v>9696</v>
      </c>
      <c r="CZ856" t="s">
        <v>137</v>
      </c>
      <c r="DA856" t="s">
        <v>114</v>
      </c>
      <c r="DB856" t="s">
        <v>114</v>
      </c>
      <c r="DC856" t="s">
        <v>136</v>
      </c>
      <c r="DD856" t="s">
        <v>114</v>
      </c>
    </row>
    <row r="857" spans="1:113" ht="15" customHeight="1" x14ac:dyDescent="0.25">
      <c r="A857" t="s">
        <v>684</v>
      </c>
      <c r="B857" t="s">
        <v>152</v>
      </c>
      <c r="C857" s="1">
        <v>45210.731450810184</v>
      </c>
      <c r="D857" s="1">
        <v>45247</v>
      </c>
      <c r="E857" t="s">
        <v>132</v>
      </c>
      <c r="F857" t="s">
        <v>685</v>
      </c>
      <c r="G857" t="str">
        <f>"39-3091.00"</f>
        <v>39-3091.00</v>
      </c>
      <c r="H857" t="s">
        <v>237</v>
      </c>
      <c r="I857">
        <v>50</v>
      </c>
      <c r="J857">
        <v>50</v>
      </c>
      <c r="K857" s="1">
        <v>45292</v>
      </c>
      <c r="L857" s="1">
        <v>45596</v>
      </c>
      <c r="M857" s="1">
        <v>45292</v>
      </c>
      <c r="N857" s="1">
        <v>45596</v>
      </c>
      <c r="O857" t="s">
        <v>238</v>
      </c>
      <c r="P857" t="s">
        <v>686</v>
      </c>
      <c r="R857" t="s">
        <v>687</v>
      </c>
      <c r="T857" t="s">
        <v>688</v>
      </c>
      <c r="U857" t="s">
        <v>140</v>
      </c>
      <c r="V857" s="8" t="str">
        <f>"34990"</f>
        <v>34990</v>
      </c>
      <c r="W857" t="s">
        <v>118</v>
      </c>
      <c r="Y857" s="10">
        <v>18133769942</v>
      </c>
      <c r="Z857" s="3" t="s">
        <v>256</v>
      </c>
      <c r="AA857">
        <v>71399</v>
      </c>
      <c r="AB857" t="s">
        <v>689</v>
      </c>
      <c r="AC857" t="s">
        <v>690</v>
      </c>
      <c r="AE857" t="s">
        <v>561</v>
      </c>
      <c r="AF857" t="s">
        <v>687</v>
      </c>
      <c r="AH857" t="s">
        <v>688</v>
      </c>
      <c r="AI857" t="s">
        <v>140</v>
      </c>
      <c r="AJ857" s="8" t="str">
        <f>"34990"</f>
        <v>34990</v>
      </c>
      <c r="AK857" t="s">
        <v>118</v>
      </c>
      <c r="AM857" s="10">
        <v>18133769942</v>
      </c>
      <c r="AN857" s="3" t="s">
        <v>256</v>
      </c>
      <c r="AO857" t="s">
        <v>691</v>
      </c>
      <c r="AP857" t="s">
        <v>248</v>
      </c>
      <c r="AQ857" t="s">
        <v>249</v>
      </c>
      <c r="AR857" t="s">
        <v>250</v>
      </c>
      <c r="AS857" t="s">
        <v>251</v>
      </c>
      <c r="AT857" t="s">
        <v>252</v>
      </c>
      <c r="AU857" t="s">
        <v>253</v>
      </c>
      <c r="AV857" t="s">
        <v>254</v>
      </c>
      <c r="AW857" t="s">
        <v>127</v>
      </c>
      <c r="AX857" s="8" t="str">
        <f>"78550"</f>
        <v>78550</v>
      </c>
      <c r="AY857" t="s">
        <v>118</v>
      </c>
      <c r="AZ857" t="s">
        <v>692</v>
      </c>
      <c r="BA857" s="10">
        <v>19564408720</v>
      </c>
      <c r="BB857" s="3" t="s">
        <v>256</v>
      </c>
      <c r="BC857" t="s">
        <v>338</v>
      </c>
      <c r="BD857" t="s">
        <v>258</v>
      </c>
      <c r="BG857" t="s">
        <v>140</v>
      </c>
      <c r="BH857" s="1">
        <v>45209.833333333336</v>
      </c>
      <c r="BI857">
        <v>40</v>
      </c>
      <c r="BJ857">
        <v>8</v>
      </c>
      <c r="BK857">
        <v>0</v>
      </c>
      <c r="BL857">
        <v>0</v>
      </c>
      <c r="BM857">
        <v>8</v>
      </c>
      <c r="BN857">
        <v>8</v>
      </c>
      <c r="BO857">
        <v>8</v>
      </c>
      <c r="BP857">
        <v>8</v>
      </c>
      <c r="BQ857" t="str">
        <f>"1:00 PM"</f>
        <v>1:00 PM</v>
      </c>
      <c r="BR857" t="str">
        <f>"10:00 PM"</f>
        <v>10:00 PM</v>
      </c>
      <c r="BS857" t="s">
        <v>131</v>
      </c>
      <c r="BT857">
        <v>0</v>
      </c>
      <c r="BU857">
        <v>0</v>
      </c>
      <c r="BV857" t="s">
        <v>114</v>
      </c>
      <c r="BX857" s="2" t="s">
        <v>339</v>
      </c>
      <c r="BY857" t="s">
        <v>693</v>
      </c>
      <c r="CA857" t="s">
        <v>694</v>
      </c>
      <c r="CB857" t="s">
        <v>140</v>
      </c>
      <c r="CC857" s="8" t="str">
        <f>"34990"</f>
        <v>34990</v>
      </c>
      <c r="CD857" t="s">
        <v>695</v>
      </c>
      <c r="CE857" t="s">
        <v>696</v>
      </c>
      <c r="CF857" s="12">
        <v>11.46</v>
      </c>
      <c r="CG857" s="12">
        <v>14.31</v>
      </c>
      <c r="CJ857" t="s">
        <v>135</v>
      </c>
      <c r="CK857" t="s">
        <v>342</v>
      </c>
      <c r="CL857" t="s">
        <v>697</v>
      </c>
      <c r="CO857" t="s">
        <v>132</v>
      </c>
      <c r="CP857" t="s">
        <v>136</v>
      </c>
      <c r="CQ857" t="s">
        <v>136</v>
      </c>
      <c r="CR857" t="s">
        <v>114</v>
      </c>
      <c r="CS857" t="s">
        <v>136</v>
      </c>
      <c r="CT857" t="s">
        <v>136</v>
      </c>
      <c r="CU857" t="s">
        <v>136</v>
      </c>
      <c r="CV857" t="s">
        <v>698</v>
      </c>
      <c r="CW857" s="10" t="str">
        <f>"+18133769942"</f>
        <v>+18133769942</v>
      </c>
      <c r="CX857" t="s">
        <v>691</v>
      </c>
      <c r="CY857" t="s">
        <v>132</v>
      </c>
      <c r="CZ857" t="s">
        <v>137</v>
      </c>
      <c r="DA857" t="s">
        <v>114</v>
      </c>
      <c r="DB857" t="s">
        <v>136</v>
      </c>
      <c r="DC857" t="s">
        <v>136</v>
      </c>
      <c r="DD857" t="s">
        <v>114</v>
      </c>
    </row>
    <row r="858" spans="1:113" ht="15" customHeight="1" x14ac:dyDescent="0.25">
      <c r="A858" t="s">
        <v>11740</v>
      </c>
      <c r="B858" t="s">
        <v>152</v>
      </c>
      <c r="C858" s="1">
        <v>45210.332406828704</v>
      </c>
      <c r="D858" s="1">
        <v>45247</v>
      </c>
      <c r="E858" t="s">
        <v>132</v>
      </c>
      <c r="F858" t="s">
        <v>236</v>
      </c>
      <c r="G858" t="str">
        <f>"35-3023.00"</f>
        <v>35-3023.00</v>
      </c>
      <c r="H858" t="s">
        <v>1365</v>
      </c>
      <c r="I858">
        <v>36</v>
      </c>
      <c r="J858">
        <v>36</v>
      </c>
      <c r="K858" s="1">
        <v>45300</v>
      </c>
      <c r="L858" s="1">
        <v>45604</v>
      </c>
      <c r="M858" s="1">
        <v>45300</v>
      </c>
      <c r="N858" s="1">
        <v>45604</v>
      </c>
      <c r="O858" t="s">
        <v>238</v>
      </c>
      <c r="P858" t="s">
        <v>11741</v>
      </c>
      <c r="R858" t="s">
        <v>11742</v>
      </c>
      <c r="S858" t="s">
        <v>11743</v>
      </c>
      <c r="T858" t="s">
        <v>11744</v>
      </c>
      <c r="U858" t="s">
        <v>543</v>
      </c>
      <c r="V858" s="8" t="str">
        <f>"45837"</f>
        <v>45837</v>
      </c>
      <c r="W858" t="s">
        <v>118</v>
      </c>
      <c r="Y858" s="10">
        <v>19376249145</v>
      </c>
      <c r="AA858">
        <v>71399</v>
      </c>
      <c r="AB858" t="s">
        <v>11745</v>
      </c>
      <c r="AC858" t="s">
        <v>11746</v>
      </c>
      <c r="AE858" t="s">
        <v>1386</v>
      </c>
      <c r="AF858" t="s">
        <v>11747</v>
      </c>
      <c r="AG858" t="s">
        <v>11743</v>
      </c>
      <c r="AH858" t="s">
        <v>11748</v>
      </c>
      <c r="AI858" t="s">
        <v>543</v>
      </c>
      <c r="AJ858" s="8" t="str">
        <f>"45837"</f>
        <v>45837</v>
      </c>
      <c r="AK858" t="s">
        <v>118</v>
      </c>
      <c r="AM858" s="10">
        <v>19376249145</v>
      </c>
      <c r="AO858" t="s">
        <v>11749</v>
      </c>
      <c r="AP858" t="s">
        <v>248</v>
      </c>
      <c r="AQ858" t="s">
        <v>249</v>
      </c>
      <c r="AR858" t="s">
        <v>250</v>
      </c>
      <c r="AS858" t="s">
        <v>251</v>
      </c>
      <c r="AT858" t="s">
        <v>252</v>
      </c>
      <c r="AU858" t="s">
        <v>253</v>
      </c>
      <c r="AV858" t="s">
        <v>254</v>
      </c>
      <c r="AW858" t="s">
        <v>127</v>
      </c>
      <c r="AX858" s="8" t="str">
        <f>"78550"</f>
        <v>78550</v>
      </c>
      <c r="AY858" t="s">
        <v>118</v>
      </c>
      <c r="AZ858" t="s">
        <v>255</v>
      </c>
      <c r="BA858" s="10">
        <v>19564408720</v>
      </c>
      <c r="BB858" s="3" t="s">
        <v>256</v>
      </c>
      <c r="BC858" t="s">
        <v>257</v>
      </c>
      <c r="BD858" t="s">
        <v>258</v>
      </c>
      <c r="BG858" t="s">
        <v>543</v>
      </c>
      <c r="BH858" s="1">
        <v>45209.833333333336</v>
      </c>
      <c r="BI858">
        <v>40</v>
      </c>
      <c r="BJ858">
        <v>8</v>
      </c>
      <c r="BK858">
        <v>0</v>
      </c>
      <c r="BL858">
        <v>0</v>
      </c>
      <c r="BM858">
        <v>8</v>
      </c>
      <c r="BN858">
        <v>8</v>
      </c>
      <c r="BO858">
        <v>8</v>
      </c>
      <c r="BP858">
        <v>8</v>
      </c>
      <c r="BQ858" t="str">
        <f>"1:00 PM"</f>
        <v>1:00 PM</v>
      </c>
      <c r="BR858" t="str">
        <f>"10:00 PM"</f>
        <v>10:00 PM</v>
      </c>
      <c r="BS858" t="s">
        <v>131</v>
      </c>
      <c r="BT858">
        <v>0</v>
      </c>
      <c r="BU858">
        <v>0</v>
      </c>
      <c r="BV858" t="s">
        <v>114</v>
      </c>
      <c r="BX858" s="2" t="s">
        <v>259</v>
      </c>
      <c r="BY858" t="s">
        <v>11742</v>
      </c>
      <c r="CA858" t="s">
        <v>11748</v>
      </c>
      <c r="CB858" t="s">
        <v>543</v>
      </c>
      <c r="CC858" s="8" t="str">
        <f>"45837"</f>
        <v>45837</v>
      </c>
      <c r="CD858" t="s">
        <v>6036</v>
      </c>
      <c r="CE858" t="s">
        <v>2574</v>
      </c>
      <c r="CF858" s="12">
        <v>10.59</v>
      </c>
      <c r="CG858" s="12">
        <v>14.08</v>
      </c>
      <c r="CJ858" t="s">
        <v>135</v>
      </c>
      <c r="CK858" t="s">
        <v>264</v>
      </c>
      <c r="CL858" t="s">
        <v>11750</v>
      </c>
      <c r="CO858" t="s">
        <v>132</v>
      </c>
      <c r="CP858" t="s">
        <v>136</v>
      </c>
      <c r="CQ858" t="s">
        <v>136</v>
      </c>
      <c r="CR858" t="s">
        <v>114</v>
      </c>
      <c r="CS858" t="s">
        <v>136</v>
      </c>
      <c r="CT858" t="s">
        <v>136</v>
      </c>
      <c r="CU858" t="s">
        <v>136</v>
      </c>
      <c r="CV858" t="s">
        <v>266</v>
      </c>
      <c r="CW858" s="10" t="str">
        <f>"+19376249145"</f>
        <v>+19376249145</v>
      </c>
      <c r="CX858" t="s">
        <v>11749</v>
      </c>
      <c r="CY858" t="s">
        <v>132</v>
      </c>
      <c r="CZ858" t="s">
        <v>137</v>
      </c>
      <c r="DA858" t="s">
        <v>114</v>
      </c>
      <c r="DB858" t="s">
        <v>136</v>
      </c>
      <c r="DC858" t="s">
        <v>136</v>
      </c>
      <c r="DD858" t="s">
        <v>114</v>
      </c>
    </row>
    <row r="859" spans="1:113" ht="15" customHeight="1" x14ac:dyDescent="0.25">
      <c r="A859" t="s">
        <v>19697</v>
      </c>
      <c r="B859" t="s">
        <v>152</v>
      </c>
      <c r="C859" s="1">
        <v>45206.131423726853</v>
      </c>
      <c r="D859" s="1">
        <v>45247</v>
      </c>
      <c r="E859" t="s">
        <v>132</v>
      </c>
      <c r="F859" t="s">
        <v>1381</v>
      </c>
      <c r="G859" t="str">
        <f>"35-3023.00"</f>
        <v>35-3023.00</v>
      </c>
      <c r="H859" t="s">
        <v>1365</v>
      </c>
      <c r="I859">
        <v>18</v>
      </c>
      <c r="J859">
        <v>18</v>
      </c>
      <c r="K859" s="1">
        <v>45296</v>
      </c>
      <c r="L859" s="1">
        <v>45600</v>
      </c>
      <c r="M859" s="1">
        <v>45296</v>
      </c>
      <c r="N859" s="1">
        <v>45600</v>
      </c>
      <c r="O859" t="s">
        <v>116</v>
      </c>
      <c r="P859" t="s">
        <v>19698</v>
      </c>
      <c r="R859" t="s">
        <v>19699</v>
      </c>
      <c r="T859" t="s">
        <v>557</v>
      </c>
      <c r="U859" t="s">
        <v>558</v>
      </c>
      <c r="V859" s="8" t="str">
        <f>"85122"</f>
        <v>85122</v>
      </c>
      <c r="W859" t="s">
        <v>118</v>
      </c>
      <c r="Y859" s="10">
        <v>16027631372</v>
      </c>
      <c r="AA859">
        <v>71399</v>
      </c>
      <c r="AB859" t="s">
        <v>19700</v>
      </c>
      <c r="AC859" t="s">
        <v>2679</v>
      </c>
      <c r="AE859" t="s">
        <v>1386</v>
      </c>
      <c r="AF859" t="s">
        <v>19699</v>
      </c>
      <c r="AH859" t="s">
        <v>557</v>
      </c>
      <c r="AI859" t="s">
        <v>558</v>
      </c>
      <c r="AJ859" s="8" t="str">
        <f>"85122"</f>
        <v>85122</v>
      </c>
      <c r="AK859" t="s">
        <v>118</v>
      </c>
      <c r="AM859" s="10">
        <v>16027631372</v>
      </c>
      <c r="AO859" t="s">
        <v>19701</v>
      </c>
      <c r="AP859" t="s">
        <v>248</v>
      </c>
      <c r="AQ859" t="s">
        <v>960</v>
      </c>
      <c r="AR859" t="s">
        <v>961</v>
      </c>
      <c r="AS859" t="s">
        <v>962</v>
      </c>
      <c r="AT859" t="s">
        <v>963</v>
      </c>
      <c r="AU859" t="s">
        <v>296</v>
      </c>
      <c r="AV859" t="s">
        <v>964</v>
      </c>
      <c r="AW859" t="s">
        <v>127</v>
      </c>
      <c r="AX859" s="8" t="str">
        <f>"75033"</f>
        <v>75033</v>
      </c>
      <c r="AY859" t="s">
        <v>118</v>
      </c>
      <c r="BA859" s="10">
        <v>19727789690</v>
      </c>
      <c r="BC859" t="s">
        <v>1388</v>
      </c>
      <c r="BD859" t="s">
        <v>966</v>
      </c>
      <c r="BG859" t="s">
        <v>558</v>
      </c>
      <c r="BH859" s="1">
        <v>45205.833333333336</v>
      </c>
      <c r="BI859">
        <v>40</v>
      </c>
      <c r="BJ859">
        <v>8</v>
      </c>
      <c r="BK859">
        <v>8</v>
      </c>
      <c r="BL859">
        <v>0</v>
      </c>
      <c r="BM859">
        <v>8</v>
      </c>
      <c r="BN859">
        <v>0</v>
      </c>
      <c r="BO859">
        <v>8</v>
      </c>
      <c r="BP859">
        <v>8</v>
      </c>
      <c r="BQ859" t="str">
        <f>"10:00 AM"</f>
        <v>10:00 AM</v>
      </c>
      <c r="BR859" t="str">
        <f>"7:00 PM"</f>
        <v>7:00 PM</v>
      </c>
      <c r="BS859" t="s">
        <v>131</v>
      </c>
      <c r="BT859">
        <v>0</v>
      </c>
      <c r="BU859">
        <v>0</v>
      </c>
      <c r="BV859" t="s">
        <v>114</v>
      </c>
      <c r="BX859" s="2" t="s">
        <v>19702</v>
      </c>
      <c r="BY859" t="s">
        <v>19703</v>
      </c>
      <c r="CA859" t="s">
        <v>2960</v>
      </c>
      <c r="CB859" t="s">
        <v>558</v>
      </c>
      <c r="CC859" s="8" t="str">
        <f>"85007"</f>
        <v>85007</v>
      </c>
      <c r="CD859" t="s">
        <v>1391</v>
      </c>
      <c r="CE859" t="s">
        <v>565</v>
      </c>
      <c r="CF859" s="12">
        <v>11.04</v>
      </c>
      <c r="CG859" s="12">
        <v>16</v>
      </c>
      <c r="CH859" s="12">
        <v>24</v>
      </c>
      <c r="CI859" s="12">
        <v>32</v>
      </c>
      <c r="CJ859" t="s">
        <v>135</v>
      </c>
      <c r="CK859" t="s">
        <v>1392</v>
      </c>
      <c r="CL859" t="s">
        <v>19704</v>
      </c>
      <c r="CO859" t="s">
        <v>132</v>
      </c>
      <c r="CP859" t="s">
        <v>136</v>
      </c>
      <c r="CQ859" t="s">
        <v>136</v>
      </c>
      <c r="CR859" t="s">
        <v>136</v>
      </c>
      <c r="CS859" t="s">
        <v>136</v>
      </c>
      <c r="CT859" t="s">
        <v>136</v>
      </c>
      <c r="CU859" t="s">
        <v>136</v>
      </c>
      <c r="CV859" t="s">
        <v>19705</v>
      </c>
      <c r="CW859" s="10" t="str">
        <f>"+16027631372"</f>
        <v>+16027631372</v>
      </c>
      <c r="CX859" t="s">
        <v>132</v>
      </c>
      <c r="CY859" t="s">
        <v>1395</v>
      </c>
      <c r="CZ859" t="s">
        <v>137</v>
      </c>
      <c r="DA859" t="s">
        <v>114</v>
      </c>
      <c r="DB859" t="s">
        <v>136</v>
      </c>
      <c r="DC859" t="s">
        <v>136</v>
      </c>
      <c r="DD859" t="s">
        <v>114</v>
      </c>
    </row>
    <row r="860" spans="1:113" ht="15" customHeight="1" x14ac:dyDescent="0.25">
      <c r="A860" t="s">
        <v>8914</v>
      </c>
      <c r="B860" t="s">
        <v>152</v>
      </c>
      <c r="C860" s="1">
        <v>45205.271240972223</v>
      </c>
      <c r="D860" s="1">
        <v>45247</v>
      </c>
      <c r="E860" t="s">
        <v>132</v>
      </c>
      <c r="F860" t="s">
        <v>1953</v>
      </c>
      <c r="G860" t="str">
        <f>"37-3011.00"</f>
        <v>37-3011.00</v>
      </c>
      <c r="H860" t="s">
        <v>429</v>
      </c>
      <c r="I860">
        <v>15</v>
      </c>
      <c r="J860">
        <v>15</v>
      </c>
      <c r="K860" s="1">
        <v>45295</v>
      </c>
      <c r="L860" s="1">
        <v>45600</v>
      </c>
      <c r="M860" s="1">
        <v>45295</v>
      </c>
      <c r="N860" s="1">
        <v>45600</v>
      </c>
      <c r="O860" t="s">
        <v>116</v>
      </c>
      <c r="P860" t="s">
        <v>3344</v>
      </c>
      <c r="R860" t="s">
        <v>668</v>
      </c>
      <c r="T860" t="s">
        <v>669</v>
      </c>
      <c r="U860" t="s">
        <v>127</v>
      </c>
      <c r="V860" s="8" t="str">
        <f>"77598"</f>
        <v>77598</v>
      </c>
      <c r="W860" t="s">
        <v>118</v>
      </c>
      <c r="Y860" s="10">
        <v>12812801100</v>
      </c>
      <c r="AA860">
        <v>56173</v>
      </c>
      <c r="AB860" t="s">
        <v>670</v>
      </c>
      <c r="AC860" t="s">
        <v>671</v>
      </c>
      <c r="AE860" t="s">
        <v>405</v>
      </c>
      <c r="AF860" t="s">
        <v>668</v>
      </c>
      <c r="AH860" t="s">
        <v>669</v>
      </c>
      <c r="AI860" t="s">
        <v>127</v>
      </c>
      <c r="AJ860" s="8" t="str">
        <f>"77598"</f>
        <v>77598</v>
      </c>
      <c r="AK860" t="s">
        <v>118</v>
      </c>
      <c r="AM860" s="10">
        <v>12812801100</v>
      </c>
      <c r="AO860" t="s">
        <v>672</v>
      </c>
      <c r="AP860" t="s">
        <v>248</v>
      </c>
      <c r="AQ860" t="s">
        <v>673</v>
      </c>
      <c r="AR860" t="s">
        <v>674</v>
      </c>
      <c r="AT860" t="s">
        <v>579</v>
      </c>
      <c r="AV860" t="s">
        <v>580</v>
      </c>
      <c r="AW860" t="s">
        <v>581</v>
      </c>
      <c r="AX860" s="8" t="str">
        <f>"22903"</f>
        <v>22903</v>
      </c>
      <c r="AY860" t="s">
        <v>118</v>
      </c>
      <c r="BA860" s="10">
        <v>14342634300</v>
      </c>
      <c r="BC860" t="s">
        <v>675</v>
      </c>
      <c r="BD860" t="s">
        <v>583</v>
      </c>
      <c r="BG860" t="s">
        <v>127</v>
      </c>
      <c r="BH860" s="1">
        <v>45204.833333333336</v>
      </c>
      <c r="BI860">
        <v>40</v>
      </c>
      <c r="BJ860">
        <v>0</v>
      </c>
      <c r="BK860">
        <v>8</v>
      </c>
      <c r="BL860">
        <v>8</v>
      </c>
      <c r="BM860">
        <v>8</v>
      </c>
      <c r="BN860">
        <v>8</v>
      </c>
      <c r="BO860">
        <v>8</v>
      </c>
      <c r="BP860">
        <v>0</v>
      </c>
      <c r="BQ860" t="str">
        <f>"7:00 AM"</f>
        <v>7:00 AM</v>
      </c>
      <c r="BR860" t="str">
        <f>"4:00 PM"</f>
        <v>4:00 PM</v>
      </c>
      <c r="BS860" t="s">
        <v>131</v>
      </c>
      <c r="BT860">
        <v>0</v>
      </c>
      <c r="BU860">
        <v>0</v>
      </c>
      <c r="BV860" t="s">
        <v>114</v>
      </c>
      <c r="BX860" s="2" t="s">
        <v>676</v>
      </c>
      <c r="BY860" t="s">
        <v>8915</v>
      </c>
      <c r="CA860" t="s">
        <v>3345</v>
      </c>
      <c r="CB860" t="s">
        <v>127</v>
      </c>
      <c r="CC860" s="8" t="str">
        <f>"77320"</f>
        <v>77320</v>
      </c>
      <c r="CD860" t="s">
        <v>2412</v>
      </c>
      <c r="CE860" t="s">
        <v>619</v>
      </c>
      <c r="CF860" s="12">
        <v>14.62</v>
      </c>
      <c r="CH860" s="12">
        <v>21.93</v>
      </c>
      <c r="CJ860" t="s">
        <v>135</v>
      </c>
      <c r="CK860" t="s">
        <v>590</v>
      </c>
      <c r="CL860" t="s">
        <v>8916</v>
      </c>
      <c r="CO860" t="s">
        <v>132</v>
      </c>
      <c r="CP860" t="s">
        <v>136</v>
      </c>
      <c r="CQ860" t="s">
        <v>114</v>
      </c>
      <c r="CR860" t="s">
        <v>136</v>
      </c>
      <c r="CS860" t="s">
        <v>136</v>
      </c>
      <c r="CT860" t="s">
        <v>136</v>
      </c>
      <c r="CU860" t="s">
        <v>136</v>
      </c>
      <c r="CV860" t="s">
        <v>681</v>
      </c>
      <c r="CW860" s="10" t="str">
        <f>"N/A"</f>
        <v>N/A</v>
      </c>
      <c r="CX860" t="s">
        <v>682</v>
      </c>
      <c r="CY860" t="s">
        <v>1853</v>
      </c>
      <c r="CZ860" t="s">
        <v>137</v>
      </c>
      <c r="DA860" t="s">
        <v>114</v>
      </c>
      <c r="DB860" t="s">
        <v>136</v>
      </c>
      <c r="DC860" t="s">
        <v>136</v>
      </c>
      <c r="DD860" t="s">
        <v>114</v>
      </c>
      <c r="DE860" t="s">
        <v>673</v>
      </c>
      <c r="DF860" t="s">
        <v>674</v>
      </c>
      <c r="DH860" t="s">
        <v>583</v>
      </c>
      <c r="DI860" t="s">
        <v>675</v>
      </c>
    </row>
    <row r="861" spans="1:113" ht="15" customHeight="1" x14ac:dyDescent="0.25">
      <c r="A861" t="s">
        <v>12137</v>
      </c>
      <c r="B861" t="s">
        <v>152</v>
      </c>
      <c r="C861" s="1">
        <v>45205.268291666667</v>
      </c>
      <c r="D861" s="1">
        <v>45247</v>
      </c>
      <c r="E861" t="s">
        <v>132</v>
      </c>
      <c r="F861" t="s">
        <v>665</v>
      </c>
      <c r="G861" t="str">
        <f>"37-3013.00"</f>
        <v>37-3013.00</v>
      </c>
      <c r="H861" t="s">
        <v>666</v>
      </c>
      <c r="I861">
        <v>100</v>
      </c>
      <c r="J861">
        <v>100</v>
      </c>
      <c r="K861" s="1">
        <v>45295</v>
      </c>
      <c r="L861" s="1">
        <v>45600</v>
      </c>
      <c r="M861" s="1">
        <v>45295</v>
      </c>
      <c r="N861" s="1">
        <v>45600</v>
      </c>
      <c r="O861" t="s">
        <v>116</v>
      </c>
      <c r="P861" t="s">
        <v>11045</v>
      </c>
      <c r="R861" t="s">
        <v>668</v>
      </c>
      <c r="T861" t="s">
        <v>669</v>
      </c>
      <c r="U861" t="s">
        <v>127</v>
      </c>
      <c r="V861" s="8" t="str">
        <f>"77598"</f>
        <v>77598</v>
      </c>
      <c r="W861" t="s">
        <v>118</v>
      </c>
      <c r="Y861" s="10">
        <v>12812801100</v>
      </c>
      <c r="AA861">
        <v>56173</v>
      </c>
      <c r="AB861" t="s">
        <v>670</v>
      </c>
      <c r="AC861" t="s">
        <v>671</v>
      </c>
      <c r="AE861" t="s">
        <v>405</v>
      </c>
      <c r="AF861" t="s">
        <v>668</v>
      </c>
      <c r="AH861" t="s">
        <v>669</v>
      </c>
      <c r="AI861" t="s">
        <v>127</v>
      </c>
      <c r="AJ861" s="8" t="str">
        <f>"77598"</f>
        <v>77598</v>
      </c>
      <c r="AK861" t="s">
        <v>118</v>
      </c>
      <c r="AM861" s="10">
        <v>12812801100</v>
      </c>
      <c r="AO861" t="s">
        <v>672</v>
      </c>
      <c r="AP861" t="s">
        <v>248</v>
      </c>
      <c r="AQ861" t="s">
        <v>673</v>
      </c>
      <c r="AR861" t="s">
        <v>674</v>
      </c>
      <c r="AT861" t="s">
        <v>579</v>
      </c>
      <c r="AV861" t="s">
        <v>580</v>
      </c>
      <c r="AW861" t="s">
        <v>581</v>
      </c>
      <c r="AX861" s="8" t="str">
        <f>"22903"</f>
        <v>22903</v>
      </c>
      <c r="AY861" t="s">
        <v>118</v>
      </c>
      <c r="BA861" s="10">
        <v>14342634300</v>
      </c>
      <c r="BC861" t="s">
        <v>675</v>
      </c>
      <c r="BD861" t="s">
        <v>583</v>
      </c>
      <c r="BG861" t="s">
        <v>127</v>
      </c>
      <c r="BH861" s="1">
        <v>45204.833333333336</v>
      </c>
      <c r="BI861">
        <v>40</v>
      </c>
      <c r="BJ861">
        <v>0</v>
      </c>
      <c r="BK861">
        <v>8</v>
      </c>
      <c r="BL861">
        <v>8</v>
      </c>
      <c r="BM861">
        <v>8</v>
      </c>
      <c r="BN861">
        <v>8</v>
      </c>
      <c r="BO861">
        <v>8</v>
      </c>
      <c r="BP861">
        <v>0</v>
      </c>
      <c r="BQ861" t="str">
        <f>"7:00 AM"</f>
        <v>7:00 AM</v>
      </c>
      <c r="BR861" t="str">
        <f>"4:00 PM"</f>
        <v>4:00 PM</v>
      </c>
      <c r="BS861" t="s">
        <v>131</v>
      </c>
      <c r="BT861">
        <v>0</v>
      </c>
      <c r="BU861">
        <v>0</v>
      </c>
      <c r="BV861" t="s">
        <v>114</v>
      </c>
      <c r="BX861" s="2" t="s">
        <v>676</v>
      </c>
      <c r="BY861" t="s">
        <v>12138</v>
      </c>
      <c r="CA861" t="s">
        <v>5180</v>
      </c>
      <c r="CB861" t="s">
        <v>127</v>
      </c>
      <c r="CC861" s="8" t="str">
        <f>"77303"</f>
        <v>77303</v>
      </c>
      <c r="CD861" t="s">
        <v>878</v>
      </c>
      <c r="CE861" t="s">
        <v>879</v>
      </c>
      <c r="CF861" s="12">
        <v>18.329999999999998</v>
      </c>
      <c r="CH861" s="12">
        <v>27.5</v>
      </c>
      <c r="CJ861" t="s">
        <v>135</v>
      </c>
      <c r="CK861" t="s">
        <v>590</v>
      </c>
      <c r="CL861" t="s">
        <v>12139</v>
      </c>
      <c r="CO861" t="s">
        <v>132</v>
      </c>
      <c r="CP861" t="s">
        <v>136</v>
      </c>
      <c r="CQ861" t="s">
        <v>114</v>
      </c>
      <c r="CR861" t="s">
        <v>136</v>
      </c>
      <c r="CS861" t="s">
        <v>136</v>
      </c>
      <c r="CT861" t="s">
        <v>136</v>
      </c>
      <c r="CU861" t="s">
        <v>136</v>
      </c>
      <c r="CV861" t="s">
        <v>681</v>
      </c>
      <c r="CW861" s="10" t="str">
        <f>"N/A"</f>
        <v>N/A</v>
      </c>
      <c r="CX861" t="s">
        <v>682</v>
      </c>
      <c r="CY861" t="s">
        <v>1853</v>
      </c>
      <c r="CZ861" t="s">
        <v>137</v>
      </c>
      <c r="DA861" t="s">
        <v>114</v>
      </c>
      <c r="DB861" t="s">
        <v>136</v>
      </c>
      <c r="DC861" t="s">
        <v>136</v>
      </c>
      <c r="DD861" t="s">
        <v>114</v>
      </c>
      <c r="DE861" t="s">
        <v>673</v>
      </c>
      <c r="DF861" t="s">
        <v>674</v>
      </c>
      <c r="DH861" t="s">
        <v>583</v>
      </c>
      <c r="DI861" t="s">
        <v>675</v>
      </c>
    </row>
    <row r="862" spans="1:113" ht="15" customHeight="1" x14ac:dyDescent="0.25">
      <c r="A862" t="s">
        <v>17022</v>
      </c>
      <c r="B862" t="s">
        <v>152</v>
      </c>
      <c r="C862" s="1">
        <v>45202.983438425923</v>
      </c>
      <c r="D862" s="1">
        <v>45247</v>
      </c>
      <c r="E862" t="s">
        <v>132</v>
      </c>
      <c r="F862" t="s">
        <v>17023</v>
      </c>
      <c r="G862" t="str">
        <f>"37-3011.00"</f>
        <v>37-3011.00</v>
      </c>
      <c r="H862" t="s">
        <v>429</v>
      </c>
      <c r="I862">
        <v>3</v>
      </c>
      <c r="J862">
        <v>3</v>
      </c>
      <c r="K862" s="1">
        <v>45277</v>
      </c>
      <c r="L862" s="1">
        <v>45397</v>
      </c>
      <c r="M862" s="1">
        <v>45277</v>
      </c>
      <c r="N862" s="1">
        <v>45397</v>
      </c>
      <c r="O862" t="s">
        <v>238</v>
      </c>
      <c r="P862" t="s">
        <v>17024</v>
      </c>
      <c r="R862" t="s">
        <v>10929</v>
      </c>
      <c r="T862" t="s">
        <v>5127</v>
      </c>
      <c r="U862" t="s">
        <v>434</v>
      </c>
      <c r="V862" s="8" t="str">
        <f>"15108"</f>
        <v>15108</v>
      </c>
      <c r="W862" t="s">
        <v>118</v>
      </c>
      <c r="Y862" s="10">
        <v>14123297091</v>
      </c>
      <c r="AA862">
        <v>56173</v>
      </c>
      <c r="AB862" t="s">
        <v>17025</v>
      </c>
      <c r="AC862" t="s">
        <v>17026</v>
      </c>
      <c r="AE862" t="s">
        <v>2372</v>
      </c>
      <c r="AF862" t="s">
        <v>10928</v>
      </c>
      <c r="AH862" t="s">
        <v>5127</v>
      </c>
      <c r="AI862" t="s">
        <v>434</v>
      </c>
      <c r="AJ862" s="8" t="str">
        <f>"15108"</f>
        <v>15108</v>
      </c>
      <c r="AK862" t="s">
        <v>118</v>
      </c>
      <c r="AM862" s="10">
        <v>14123297091</v>
      </c>
      <c r="AO862" t="s">
        <v>17027</v>
      </c>
      <c r="AP862" t="s">
        <v>248</v>
      </c>
      <c r="AQ862" t="s">
        <v>960</v>
      </c>
      <c r="AR862" t="s">
        <v>961</v>
      </c>
      <c r="AS862" t="s">
        <v>962</v>
      </c>
      <c r="AT862" t="s">
        <v>963</v>
      </c>
      <c r="AU862" t="s">
        <v>296</v>
      </c>
      <c r="AV862" t="s">
        <v>964</v>
      </c>
      <c r="AW862" t="s">
        <v>127</v>
      </c>
      <c r="AX862" s="8" t="str">
        <f>"75033"</f>
        <v>75033</v>
      </c>
      <c r="AY862" t="s">
        <v>118</v>
      </c>
      <c r="BA862" s="10">
        <v>19727789690</v>
      </c>
      <c r="BC862" t="s">
        <v>1951</v>
      </c>
      <c r="BD862" t="s">
        <v>966</v>
      </c>
      <c r="BG862" t="s">
        <v>434</v>
      </c>
      <c r="BH862" s="1">
        <v>45201.833333333336</v>
      </c>
      <c r="BI862">
        <v>40</v>
      </c>
      <c r="BJ862">
        <v>0</v>
      </c>
      <c r="BK862">
        <v>8</v>
      </c>
      <c r="BL862">
        <v>8</v>
      </c>
      <c r="BM862">
        <v>8</v>
      </c>
      <c r="BN862">
        <v>8</v>
      </c>
      <c r="BO862">
        <v>8</v>
      </c>
      <c r="BP862">
        <v>0</v>
      </c>
      <c r="BQ862" t="str">
        <f>"8:00 AM"</f>
        <v>8:00 AM</v>
      </c>
      <c r="BR862" t="str">
        <f>"4:30 PM"</f>
        <v>4:30 PM</v>
      </c>
      <c r="BS862" t="s">
        <v>131</v>
      </c>
      <c r="BT862">
        <v>0</v>
      </c>
      <c r="BU862">
        <v>0</v>
      </c>
      <c r="BV862" t="s">
        <v>114</v>
      </c>
      <c r="BX862" s="2" t="s">
        <v>17028</v>
      </c>
      <c r="BY862" t="s">
        <v>10928</v>
      </c>
      <c r="CA862" t="s">
        <v>5127</v>
      </c>
      <c r="CB862" t="s">
        <v>434</v>
      </c>
      <c r="CC862" s="8" t="str">
        <f>"15108"</f>
        <v>15108</v>
      </c>
      <c r="CD862" t="s">
        <v>1886</v>
      </c>
      <c r="CE862" t="s">
        <v>1887</v>
      </c>
      <c r="CF862" s="12">
        <v>16.84</v>
      </c>
      <c r="CG862" s="12">
        <v>16.84</v>
      </c>
      <c r="CH862" s="12">
        <v>25.26</v>
      </c>
      <c r="CI862" s="12">
        <v>25.26</v>
      </c>
      <c r="CJ862" t="s">
        <v>135</v>
      </c>
      <c r="CK862" t="s">
        <v>973</v>
      </c>
      <c r="CL862" t="s">
        <v>17029</v>
      </c>
      <c r="CO862" t="s">
        <v>132</v>
      </c>
      <c r="CP862" t="s">
        <v>136</v>
      </c>
      <c r="CQ862" t="s">
        <v>136</v>
      </c>
      <c r="CR862" t="s">
        <v>136</v>
      </c>
      <c r="CS862" t="s">
        <v>136</v>
      </c>
      <c r="CT862" t="s">
        <v>136</v>
      </c>
      <c r="CU862" t="s">
        <v>136</v>
      </c>
      <c r="CV862" s="2" t="s">
        <v>17030</v>
      </c>
      <c r="CW862" s="10" t="str">
        <f>"+14123297091"</f>
        <v>+14123297091</v>
      </c>
      <c r="CX862" t="s">
        <v>132</v>
      </c>
      <c r="CY862" t="s">
        <v>1997</v>
      </c>
      <c r="CZ862" t="s">
        <v>137</v>
      </c>
      <c r="DA862" t="s">
        <v>114</v>
      </c>
      <c r="DB862" t="s">
        <v>136</v>
      </c>
      <c r="DC862" t="s">
        <v>136</v>
      </c>
      <c r="DD862" t="s">
        <v>114</v>
      </c>
    </row>
    <row r="863" spans="1:113" ht="15" customHeight="1" x14ac:dyDescent="0.25">
      <c r="A863" t="s">
        <v>7021</v>
      </c>
      <c r="B863" t="s">
        <v>152</v>
      </c>
      <c r="C863" s="1">
        <v>45202.720260879629</v>
      </c>
      <c r="D863" s="1">
        <v>45247</v>
      </c>
      <c r="E863" t="s">
        <v>132</v>
      </c>
      <c r="F863" t="s">
        <v>685</v>
      </c>
      <c r="G863" t="str">
        <f>"39-3091.00"</f>
        <v>39-3091.00</v>
      </c>
      <c r="H863" t="s">
        <v>237</v>
      </c>
      <c r="I863">
        <v>9</v>
      </c>
      <c r="J863">
        <v>9</v>
      </c>
      <c r="K863" s="1">
        <v>45292</v>
      </c>
      <c r="L863" s="1">
        <v>45596</v>
      </c>
      <c r="M863" s="1">
        <v>45292</v>
      </c>
      <c r="N863" s="1">
        <v>45596</v>
      </c>
      <c r="O863" t="s">
        <v>238</v>
      </c>
      <c r="P863" t="s">
        <v>7022</v>
      </c>
      <c r="R863" t="s">
        <v>7023</v>
      </c>
      <c r="S863" t="s">
        <v>7024</v>
      </c>
      <c r="T863" t="s">
        <v>4288</v>
      </c>
      <c r="U863" t="s">
        <v>211</v>
      </c>
      <c r="V863" s="8" t="str">
        <f>"84040"</f>
        <v>84040</v>
      </c>
      <c r="W863" t="s">
        <v>118</v>
      </c>
      <c r="Y863" s="10">
        <v>18013098081</v>
      </c>
      <c r="Z863" s="3" t="s">
        <v>256</v>
      </c>
      <c r="AA863">
        <v>71399</v>
      </c>
      <c r="AB863" t="s">
        <v>7025</v>
      </c>
      <c r="AC863" t="s">
        <v>7026</v>
      </c>
      <c r="AE863" t="s">
        <v>561</v>
      </c>
      <c r="AF863" t="s">
        <v>7023</v>
      </c>
      <c r="AG863" t="s">
        <v>7024</v>
      </c>
      <c r="AH863" t="s">
        <v>4288</v>
      </c>
      <c r="AI863" t="s">
        <v>211</v>
      </c>
      <c r="AJ863" s="8" t="str">
        <f>"84040"</f>
        <v>84040</v>
      </c>
      <c r="AK863" t="s">
        <v>118</v>
      </c>
      <c r="AM863" s="10">
        <v>18013098081</v>
      </c>
      <c r="AN863" s="3" t="s">
        <v>256</v>
      </c>
      <c r="AO863" t="s">
        <v>7027</v>
      </c>
      <c r="AP863" t="s">
        <v>248</v>
      </c>
      <c r="AQ863" t="s">
        <v>249</v>
      </c>
      <c r="AR863" t="s">
        <v>250</v>
      </c>
      <c r="AS863" t="s">
        <v>251</v>
      </c>
      <c r="AT863" t="s">
        <v>252</v>
      </c>
      <c r="AU863" t="s">
        <v>253</v>
      </c>
      <c r="AV863" t="s">
        <v>254</v>
      </c>
      <c r="AW863" t="s">
        <v>127</v>
      </c>
      <c r="AX863" s="8" t="str">
        <f>"78550"</f>
        <v>78550</v>
      </c>
      <c r="AY863" t="s">
        <v>118</v>
      </c>
      <c r="AZ863" t="s">
        <v>255</v>
      </c>
      <c r="BA863" s="10">
        <v>19564408720</v>
      </c>
      <c r="BB863" s="3" t="s">
        <v>256</v>
      </c>
      <c r="BC863" t="s">
        <v>338</v>
      </c>
      <c r="BD863" t="s">
        <v>258</v>
      </c>
      <c r="BG863" t="s">
        <v>402</v>
      </c>
      <c r="BH863" s="1">
        <v>45201.833333333336</v>
      </c>
      <c r="BI863">
        <v>40</v>
      </c>
      <c r="BJ863">
        <v>8</v>
      </c>
      <c r="BK863">
        <v>0</v>
      </c>
      <c r="BL863">
        <v>0</v>
      </c>
      <c r="BM863">
        <v>8</v>
      </c>
      <c r="BN863">
        <v>8</v>
      </c>
      <c r="BO863">
        <v>8</v>
      </c>
      <c r="BP863">
        <v>8</v>
      </c>
      <c r="BQ863" t="str">
        <f>"1:00 PM"</f>
        <v>1:00 PM</v>
      </c>
      <c r="BR863" t="str">
        <f>"10:00 PM"</f>
        <v>10:00 PM</v>
      </c>
      <c r="BS863" t="s">
        <v>131</v>
      </c>
      <c r="BT863">
        <v>0</v>
      </c>
      <c r="BU863">
        <v>0</v>
      </c>
      <c r="BV863" t="s">
        <v>114</v>
      </c>
      <c r="BX863" s="2" t="s">
        <v>339</v>
      </c>
      <c r="BY863" t="s">
        <v>7028</v>
      </c>
      <c r="CA863" t="s">
        <v>7029</v>
      </c>
      <c r="CB863" t="s">
        <v>402</v>
      </c>
      <c r="CC863" s="8" t="str">
        <f>"95815"</f>
        <v>95815</v>
      </c>
      <c r="CD863" t="s">
        <v>7030</v>
      </c>
      <c r="CE863" t="s">
        <v>728</v>
      </c>
      <c r="CF863" s="12">
        <v>13.88</v>
      </c>
      <c r="CG863" s="12">
        <v>18.399999999999999</v>
      </c>
      <c r="CJ863" t="s">
        <v>135</v>
      </c>
      <c r="CK863" t="s">
        <v>342</v>
      </c>
      <c r="CL863" t="s">
        <v>7031</v>
      </c>
      <c r="CO863" t="s">
        <v>132</v>
      </c>
      <c r="CP863" t="s">
        <v>136</v>
      </c>
      <c r="CQ863" t="s">
        <v>136</v>
      </c>
      <c r="CR863" t="s">
        <v>114</v>
      </c>
      <c r="CS863" t="s">
        <v>136</v>
      </c>
      <c r="CT863" t="s">
        <v>136</v>
      </c>
      <c r="CU863" t="s">
        <v>136</v>
      </c>
      <c r="CV863" t="s">
        <v>344</v>
      </c>
      <c r="CW863" s="10" t="str">
        <f>"+18013098081"</f>
        <v>+18013098081</v>
      </c>
      <c r="CX863" t="s">
        <v>7027</v>
      </c>
      <c r="CY863" t="s">
        <v>132</v>
      </c>
      <c r="CZ863" t="s">
        <v>137</v>
      </c>
      <c r="DA863" t="s">
        <v>114</v>
      </c>
      <c r="DB863" t="s">
        <v>114</v>
      </c>
      <c r="DC863" t="s">
        <v>136</v>
      </c>
      <c r="DD863" t="s">
        <v>114</v>
      </c>
    </row>
    <row r="864" spans="1:113" ht="15" customHeight="1" x14ac:dyDescent="0.25">
      <c r="A864" t="s">
        <v>13170</v>
      </c>
      <c r="B864" t="s">
        <v>152</v>
      </c>
      <c r="C864" s="1">
        <v>45201.014399768515</v>
      </c>
      <c r="D864" s="1">
        <v>45247</v>
      </c>
      <c r="E864" t="s">
        <v>132</v>
      </c>
      <c r="F864" t="s">
        <v>1595</v>
      </c>
      <c r="G864" t="str">
        <f>"37-3011.00"</f>
        <v>37-3011.00</v>
      </c>
      <c r="H864" t="s">
        <v>429</v>
      </c>
      <c r="I864">
        <v>45</v>
      </c>
      <c r="J864">
        <v>45</v>
      </c>
      <c r="K864" s="1">
        <v>45291</v>
      </c>
      <c r="L864" s="1">
        <v>45595</v>
      </c>
      <c r="M864" s="1">
        <v>45291</v>
      </c>
      <c r="N864" s="1">
        <v>45595</v>
      </c>
      <c r="O864" t="s">
        <v>116</v>
      </c>
      <c r="P864" t="s">
        <v>12675</v>
      </c>
      <c r="Q864" t="s">
        <v>12676</v>
      </c>
      <c r="R864" t="s">
        <v>13171</v>
      </c>
      <c r="T864" t="s">
        <v>1264</v>
      </c>
      <c r="U864" t="s">
        <v>127</v>
      </c>
      <c r="V864" s="8" t="str">
        <f>"75220"</f>
        <v>75220</v>
      </c>
      <c r="W864" t="s">
        <v>118</v>
      </c>
      <c r="Y864" s="10">
        <v>12143585296</v>
      </c>
      <c r="AA864">
        <v>56173</v>
      </c>
      <c r="AB864" t="s">
        <v>12678</v>
      </c>
      <c r="AC864" t="s">
        <v>12679</v>
      </c>
      <c r="AE864" t="s">
        <v>12680</v>
      </c>
      <c r="AF864" t="s">
        <v>12677</v>
      </c>
      <c r="AH864" t="s">
        <v>1264</v>
      </c>
      <c r="AI864" t="s">
        <v>127</v>
      </c>
      <c r="AJ864" s="8" t="str">
        <f>"75220"</f>
        <v>75220</v>
      </c>
      <c r="AK864" t="s">
        <v>118</v>
      </c>
      <c r="AM864" s="10">
        <v>12143585296</v>
      </c>
      <c r="AO864" t="s">
        <v>12681</v>
      </c>
      <c r="AP864" t="s">
        <v>248</v>
      </c>
      <c r="AQ864" t="s">
        <v>960</v>
      </c>
      <c r="AR864" t="s">
        <v>961</v>
      </c>
      <c r="AS864" t="s">
        <v>962</v>
      </c>
      <c r="AT864" t="s">
        <v>963</v>
      </c>
      <c r="AU864" t="s">
        <v>296</v>
      </c>
      <c r="AV864" t="s">
        <v>964</v>
      </c>
      <c r="AW864" t="s">
        <v>127</v>
      </c>
      <c r="AX864" s="8" t="str">
        <f>"75033"</f>
        <v>75033</v>
      </c>
      <c r="AY864" t="s">
        <v>118</v>
      </c>
      <c r="BA864" s="10">
        <v>19727789690</v>
      </c>
      <c r="BC864" t="s">
        <v>12682</v>
      </c>
      <c r="BD864" t="s">
        <v>966</v>
      </c>
      <c r="BG864" t="s">
        <v>2608</v>
      </c>
      <c r="BH864" s="1">
        <v>45200.833333333336</v>
      </c>
      <c r="BI864">
        <v>40</v>
      </c>
      <c r="BJ864">
        <v>0</v>
      </c>
      <c r="BK864">
        <v>8</v>
      </c>
      <c r="BL864">
        <v>8</v>
      </c>
      <c r="BM864">
        <v>8</v>
      </c>
      <c r="BN864">
        <v>8</v>
      </c>
      <c r="BO864">
        <v>8</v>
      </c>
      <c r="BP864">
        <v>0</v>
      </c>
      <c r="BQ864" t="str">
        <f>"6:45 AM"</f>
        <v>6:45 AM</v>
      </c>
      <c r="BR864" t="str">
        <f>"3:45 PM"</f>
        <v>3:45 PM</v>
      </c>
      <c r="BS864" t="s">
        <v>131</v>
      </c>
      <c r="BT864">
        <v>0</v>
      </c>
      <c r="BU864">
        <v>0</v>
      </c>
      <c r="BV864" t="s">
        <v>114</v>
      </c>
      <c r="BX864" s="2" t="s">
        <v>13172</v>
      </c>
      <c r="BY864" t="s">
        <v>13173</v>
      </c>
      <c r="CA864" t="s">
        <v>5840</v>
      </c>
      <c r="CB864" t="s">
        <v>2608</v>
      </c>
      <c r="CC864" s="8" t="str">
        <f>"73013"</f>
        <v>73013</v>
      </c>
      <c r="CD864" t="s">
        <v>3576</v>
      </c>
      <c r="CE864" t="s">
        <v>3577</v>
      </c>
      <c r="CF864" s="12">
        <v>16.149999999999999</v>
      </c>
      <c r="CH864" s="12">
        <v>24.23</v>
      </c>
      <c r="CJ864" t="s">
        <v>135</v>
      </c>
      <c r="CK864" t="s">
        <v>12684</v>
      </c>
      <c r="CL864" t="s">
        <v>13174</v>
      </c>
      <c r="CO864" t="s">
        <v>132</v>
      </c>
      <c r="CP864" t="s">
        <v>136</v>
      </c>
      <c r="CQ864" t="s">
        <v>136</v>
      </c>
      <c r="CR864" t="s">
        <v>136</v>
      </c>
      <c r="CS864" t="s">
        <v>136</v>
      </c>
      <c r="CT864" t="s">
        <v>136</v>
      </c>
      <c r="CU864" t="s">
        <v>136</v>
      </c>
      <c r="CV864" t="s">
        <v>12686</v>
      </c>
      <c r="CW864" s="10" t="str">
        <f>"+12143585296"</f>
        <v>+12143585296</v>
      </c>
      <c r="CX864" t="s">
        <v>132</v>
      </c>
      <c r="CY864" t="s">
        <v>3447</v>
      </c>
      <c r="CZ864" t="s">
        <v>137</v>
      </c>
      <c r="DA864" t="s">
        <v>114</v>
      </c>
      <c r="DB864" t="s">
        <v>136</v>
      </c>
      <c r="DC864" t="s">
        <v>136</v>
      </c>
      <c r="DD864" t="s">
        <v>114</v>
      </c>
    </row>
    <row r="865" spans="1:113" ht="15" customHeight="1" x14ac:dyDescent="0.25">
      <c r="A865" t="s">
        <v>20367</v>
      </c>
      <c r="B865" t="s">
        <v>152</v>
      </c>
      <c r="C865" s="1">
        <v>45197.722059027779</v>
      </c>
      <c r="D865" s="1">
        <v>45247</v>
      </c>
      <c r="E865" t="s">
        <v>132</v>
      </c>
      <c r="F865" t="s">
        <v>7945</v>
      </c>
      <c r="G865" t="str">
        <f>"51-3022.00"</f>
        <v>51-3022.00</v>
      </c>
      <c r="H865" t="s">
        <v>1004</v>
      </c>
      <c r="I865">
        <v>28</v>
      </c>
      <c r="J865">
        <v>28</v>
      </c>
      <c r="K865" s="1">
        <v>45272</v>
      </c>
      <c r="L865" s="1">
        <v>45458</v>
      </c>
      <c r="M865" s="1">
        <v>45272</v>
      </c>
      <c r="N865" s="1">
        <v>45458</v>
      </c>
      <c r="O865" t="s">
        <v>238</v>
      </c>
      <c r="P865" t="s">
        <v>20368</v>
      </c>
      <c r="R865" t="s">
        <v>20369</v>
      </c>
      <c r="S865" t="s">
        <v>20370</v>
      </c>
      <c r="T865" t="s">
        <v>6012</v>
      </c>
      <c r="U865" t="s">
        <v>333</v>
      </c>
      <c r="V865" s="8" t="str">
        <f>"70517"</f>
        <v>70517</v>
      </c>
      <c r="W865" t="s">
        <v>118</v>
      </c>
      <c r="Y865" s="10">
        <v>15048588322</v>
      </c>
      <c r="AA865">
        <v>311710</v>
      </c>
      <c r="AB865" t="s">
        <v>20371</v>
      </c>
      <c r="AC865" t="s">
        <v>1616</v>
      </c>
      <c r="AD865" t="s">
        <v>2947</v>
      </c>
      <c r="AE865" t="s">
        <v>561</v>
      </c>
      <c r="AF865" t="s">
        <v>20369</v>
      </c>
      <c r="AG865" t="s">
        <v>20370</v>
      </c>
      <c r="AH865" t="s">
        <v>6012</v>
      </c>
      <c r="AI865" t="s">
        <v>333</v>
      </c>
      <c r="AJ865" s="8" t="str">
        <f>"70517"</f>
        <v>70517</v>
      </c>
      <c r="AK865" t="s">
        <v>118</v>
      </c>
      <c r="AM865" s="10">
        <v>15048588322</v>
      </c>
      <c r="AO865" t="s">
        <v>20372</v>
      </c>
      <c r="AP865" t="s">
        <v>121</v>
      </c>
      <c r="AQ865" t="s">
        <v>3627</v>
      </c>
      <c r="AR865" t="s">
        <v>2309</v>
      </c>
      <c r="AS865" t="s">
        <v>5087</v>
      </c>
      <c r="AT865" t="s">
        <v>5088</v>
      </c>
      <c r="AV865" t="s">
        <v>5089</v>
      </c>
      <c r="AW865" t="s">
        <v>333</v>
      </c>
      <c r="AX865" s="8" t="str">
        <f>"70535"</f>
        <v>70535</v>
      </c>
      <c r="AY865" t="s">
        <v>118</v>
      </c>
      <c r="BA865" s="10">
        <v>13374663722</v>
      </c>
      <c r="BC865" t="s">
        <v>5090</v>
      </c>
      <c r="BD865" t="s">
        <v>20373</v>
      </c>
      <c r="BE865" t="s">
        <v>333</v>
      </c>
      <c r="BF865" t="s">
        <v>2190</v>
      </c>
      <c r="BG865" t="s">
        <v>333</v>
      </c>
      <c r="BH865" s="1">
        <v>45196.833333333336</v>
      </c>
      <c r="BI865">
        <v>35</v>
      </c>
      <c r="BJ865">
        <v>0</v>
      </c>
      <c r="BK865">
        <v>7</v>
      </c>
      <c r="BL865">
        <v>7</v>
      </c>
      <c r="BM865">
        <v>7</v>
      </c>
      <c r="BN865">
        <v>7</v>
      </c>
      <c r="BO865">
        <v>7</v>
      </c>
      <c r="BP865">
        <v>0</v>
      </c>
      <c r="BQ865" t="str">
        <f>"5:00 AM"</f>
        <v>5:00 AM</v>
      </c>
      <c r="BR865" t="str">
        <f>"1:00 PM"</f>
        <v>1:00 PM</v>
      </c>
      <c r="BS865" t="s">
        <v>131</v>
      </c>
      <c r="BT865">
        <v>0</v>
      </c>
      <c r="BU865">
        <v>0</v>
      </c>
      <c r="BV865" t="s">
        <v>114</v>
      </c>
      <c r="BX865" t="s">
        <v>1570</v>
      </c>
      <c r="BY865" t="s">
        <v>20369</v>
      </c>
      <c r="CA865" t="s">
        <v>6012</v>
      </c>
      <c r="CB865" t="s">
        <v>333</v>
      </c>
      <c r="CC865" s="8" t="str">
        <f>"70517"</f>
        <v>70517</v>
      </c>
      <c r="CD865" t="s">
        <v>6027</v>
      </c>
      <c r="CE865" t="s">
        <v>1818</v>
      </c>
      <c r="CF865" s="12">
        <v>11.2</v>
      </c>
      <c r="CG865" s="12">
        <v>11.2</v>
      </c>
      <c r="CH865" s="12">
        <v>16.8</v>
      </c>
      <c r="CI865" s="12">
        <v>16.8</v>
      </c>
      <c r="CJ865" t="s">
        <v>135</v>
      </c>
      <c r="CK865" t="s">
        <v>20374</v>
      </c>
      <c r="CL865" t="s">
        <v>20375</v>
      </c>
      <c r="CO865" t="s">
        <v>132</v>
      </c>
      <c r="CP865" t="s">
        <v>114</v>
      </c>
      <c r="CQ865" t="s">
        <v>136</v>
      </c>
      <c r="CR865" t="s">
        <v>136</v>
      </c>
      <c r="CS865" t="s">
        <v>136</v>
      </c>
      <c r="CT865" t="s">
        <v>136</v>
      </c>
      <c r="CU865" t="s">
        <v>136</v>
      </c>
      <c r="CV865" t="s">
        <v>20376</v>
      </c>
      <c r="CW865" s="10" t="str">
        <f>"+13377582001"</f>
        <v>+13377582001</v>
      </c>
      <c r="CX865" t="s">
        <v>20372</v>
      </c>
      <c r="CY865" t="s">
        <v>132</v>
      </c>
      <c r="CZ865" t="s">
        <v>137</v>
      </c>
      <c r="DA865" t="s">
        <v>114</v>
      </c>
      <c r="DB865" t="s">
        <v>114</v>
      </c>
      <c r="DC865" t="s">
        <v>136</v>
      </c>
      <c r="DD865" t="s">
        <v>114</v>
      </c>
    </row>
    <row r="866" spans="1:113" ht="15" customHeight="1" x14ac:dyDescent="0.25">
      <c r="A866" t="s">
        <v>9104</v>
      </c>
      <c r="B866" t="s">
        <v>152</v>
      </c>
      <c r="C866" s="1">
        <v>45189.63654965278</v>
      </c>
      <c r="D866" s="1">
        <v>45247</v>
      </c>
      <c r="E866" t="s">
        <v>132</v>
      </c>
      <c r="F866" t="s">
        <v>9105</v>
      </c>
      <c r="G866" t="str">
        <f>"51-3022.00"</f>
        <v>51-3022.00</v>
      </c>
      <c r="H866" t="s">
        <v>1004</v>
      </c>
      <c r="I866">
        <v>100</v>
      </c>
      <c r="J866">
        <v>100</v>
      </c>
      <c r="K866" s="1">
        <v>45275</v>
      </c>
      <c r="L866" s="1">
        <v>45488</v>
      </c>
      <c r="M866" s="1">
        <v>45275</v>
      </c>
      <c r="N866" s="1">
        <v>45488</v>
      </c>
      <c r="O866" t="s">
        <v>238</v>
      </c>
      <c r="P866" t="s">
        <v>9106</v>
      </c>
      <c r="R866" t="s">
        <v>9107</v>
      </c>
      <c r="T866" t="s">
        <v>6152</v>
      </c>
      <c r="U866" t="s">
        <v>333</v>
      </c>
      <c r="V866" s="8" t="str">
        <f>"70526"</f>
        <v>70526</v>
      </c>
      <c r="W866" t="s">
        <v>118</v>
      </c>
      <c r="Y866" s="10">
        <v>13377836220</v>
      </c>
      <c r="AA866">
        <v>31171</v>
      </c>
      <c r="AB866" t="s">
        <v>6323</v>
      </c>
      <c r="AC866" t="s">
        <v>4967</v>
      </c>
      <c r="AE866" t="s">
        <v>561</v>
      </c>
      <c r="AF866" t="s">
        <v>9107</v>
      </c>
      <c r="AH866" t="s">
        <v>6152</v>
      </c>
      <c r="AI866" t="s">
        <v>333</v>
      </c>
      <c r="AJ866" s="8" t="str">
        <f>"70526"</f>
        <v>70526</v>
      </c>
      <c r="AK866" t="s">
        <v>118</v>
      </c>
      <c r="AM866" s="10">
        <v>13377836220</v>
      </c>
      <c r="AO866" t="s">
        <v>6325</v>
      </c>
      <c r="AP866" t="s">
        <v>121</v>
      </c>
      <c r="AQ866" t="s">
        <v>3627</v>
      </c>
      <c r="AR866" t="s">
        <v>2309</v>
      </c>
      <c r="AS866" t="s">
        <v>5087</v>
      </c>
      <c r="AT866" t="s">
        <v>5088</v>
      </c>
      <c r="AV866" t="s">
        <v>5089</v>
      </c>
      <c r="AW866" t="s">
        <v>333</v>
      </c>
      <c r="AX866" s="8" t="str">
        <f>"70535"</f>
        <v>70535</v>
      </c>
      <c r="AY866" t="s">
        <v>118</v>
      </c>
      <c r="BA866" s="10">
        <v>13374663722</v>
      </c>
      <c r="BC866" t="s">
        <v>5090</v>
      </c>
      <c r="BD866" t="s">
        <v>5091</v>
      </c>
      <c r="BE866" t="s">
        <v>333</v>
      </c>
      <c r="BF866" t="s">
        <v>2190</v>
      </c>
      <c r="BG866" t="s">
        <v>333</v>
      </c>
      <c r="BH866" s="1">
        <v>45188.833333333336</v>
      </c>
      <c r="BI866">
        <v>35</v>
      </c>
      <c r="BJ866">
        <v>0</v>
      </c>
      <c r="BK866">
        <v>7</v>
      </c>
      <c r="BL866">
        <v>7</v>
      </c>
      <c r="BM866">
        <v>7</v>
      </c>
      <c r="BN866">
        <v>7</v>
      </c>
      <c r="BO866">
        <v>7</v>
      </c>
      <c r="BP866">
        <v>0</v>
      </c>
      <c r="BQ866" t="str">
        <f>"6:00 AM"</f>
        <v>6:00 AM</v>
      </c>
      <c r="BR866" t="str">
        <f>"3:00 PM"</f>
        <v>3:00 PM</v>
      </c>
      <c r="BS866" t="s">
        <v>131</v>
      </c>
      <c r="BT866">
        <v>0</v>
      </c>
      <c r="BU866">
        <v>0</v>
      </c>
      <c r="BV866" t="s">
        <v>114</v>
      </c>
      <c r="BX866" s="2" t="s">
        <v>9108</v>
      </c>
      <c r="BY866" t="s">
        <v>9107</v>
      </c>
      <c r="CA866" t="s">
        <v>6152</v>
      </c>
      <c r="CB866" t="s">
        <v>333</v>
      </c>
      <c r="CC866" s="8" t="str">
        <f>"70526"</f>
        <v>70526</v>
      </c>
      <c r="CD866" t="s">
        <v>6328</v>
      </c>
      <c r="CE866" t="s">
        <v>1818</v>
      </c>
      <c r="CF866" s="12">
        <v>11.2</v>
      </c>
      <c r="CG866" s="12">
        <v>11.2</v>
      </c>
      <c r="CH866" s="12">
        <v>16.8</v>
      </c>
      <c r="CI866" s="12">
        <v>16.8</v>
      </c>
      <c r="CJ866" t="s">
        <v>135</v>
      </c>
      <c r="CK866" t="s">
        <v>9109</v>
      </c>
      <c r="CL866" t="s">
        <v>9110</v>
      </c>
      <c r="CO866" t="s">
        <v>132</v>
      </c>
      <c r="CP866" t="s">
        <v>114</v>
      </c>
      <c r="CQ866" t="s">
        <v>136</v>
      </c>
      <c r="CR866" t="s">
        <v>136</v>
      </c>
      <c r="CS866" t="s">
        <v>136</v>
      </c>
      <c r="CT866" t="s">
        <v>136</v>
      </c>
      <c r="CU866" t="s">
        <v>136</v>
      </c>
      <c r="CV866" t="s">
        <v>9111</v>
      </c>
      <c r="CW866" s="10" t="str">
        <f>"+13377836220"</f>
        <v>+13377836220</v>
      </c>
      <c r="CX866" t="s">
        <v>6325</v>
      </c>
      <c r="CY866" t="s">
        <v>132</v>
      </c>
      <c r="CZ866" t="s">
        <v>137</v>
      </c>
      <c r="DA866" t="s">
        <v>114</v>
      </c>
      <c r="DB866" t="s">
        <v>114</v>
      </c>
      <c r="DC866" t="s">
        <v>136</v>
      </c>
      <c r="DD866" t="s">
        <v>114</v>
      </c>
    </row>
    <row r="867" spans="1:113" ht="15" customHeight="1" x14ac:dyDescent="0.25">
      <c r="A867" t="s">
        <v>19459</v>
      </c>
      <c r="B867" t="s">
        <v>152</v>
      </c>
      <c r="C867" s="1">
        <v>45188.872840046293</v>
      </c>
      <c r="D867" s="1">
        <v>45247</v>
      </c>
      <c r="E867" t="s">
        <v>132</v>
      </c>
      <c r="F867" t="s">
        <v>449</v>
      </c>
      <c r="G867" t="str">
        <f>"37-2012.00"</f>
        <v>37-2012.00</v>
      </c>
      <c r="H867" t="s">
        <v>205</v>
      </c>
      <c r="I867">
        <v>20</v>
      </c>
      <c r="J867">
        <v>20</v>
      </c>
      <c r="K867" s="1">
        <v>45275</v>
      </c>
      <c r="L867" s="1">
        <v>45412</v>
      </c>
      <c r="M867" s="1">
        <v>45275</v>
      </c>
      <c r="N867" s="1">
        <v>45412</v>
      </c>
      <c r="O867" t="s">
        <v>116</v>
      </c>
      <c r="P867" t="s">
        <v>19460</v>
      </c>
      <c r="Q867" t="s">
        <v>19461</v>
      </c>
      <c r="R867" t="s">
        <v>19462</v>
      </c>
      <c r="S867" t="s">
        <v>7460</v>
      </c>
      <c r="T867" t="s">
        <v>19463</v>
      </c>
      <c r="U867" t="s">
        <v>188</v>
      </c>
      <c r="V867" s="8" t="str">
        <f>"80487"</f>
        <v>80487</v>
      </c>
      <c r="W867" t="s">
        <v>118</v>
      </c>
      <c r="Y867" s="10">
        <v>19708752854</v>
      </c>
      <c r="AA867">
        <v>53131</v>
      </c>
      <c r="AB867" t="s">
        <v>3556</v>
      </c>
      <c r="AC867" t="s">
        <v>12588</v>
      </c>
      <c r="AD867" t="s">
        <v>10559</v>
      </c>
      <c r="AE867" t="s">
        <v>19464</v>
      </c>
      <c r="AF867" t="s">
        <v>19465</v>
      </c>
      <c r="AG867" t="s">
        <v>5960</v>
      </c>
      <c r="AH867" t="s">
        <v>11905</v>
      </c>
      <c r="AI867" t="s">
        <v>188</v>
      </c>
      <c r="AJ867" s="8" t="str">
        <f>"80487"</f>
        <v>80487</v>
      </c>
      <c r="AK867" t="s">
        <v>118</v>
      </c>
      <c r="AM867" s="10">
        <v>19708752854</v>
      </c>
      <c r="AO867" t="s">
        <v>19466</v>
      </c>
      <c r="AX867" s="8" t="str">
        <f>""</f>
        <v/>
      </c>
      <c r="BG867" t="s">
        <v>188</v>
      </c>
      <c r="BH867" s="1">
        <v>45187.833333333336</v>
      </c>
      <c r="BI867">
        <v>36</v>
      </c>
      <c r="BJ867">
        <v>6</v>
      </c>
      <c r="BK867">
        <v>6</v>
      </c>
      <c r="BL867">
        <v>6</v>
      </c>
      <c r="BM867">
        <v>6</v>
      </c>
      <c r="BN867">
        <v>0</v>
      </c>
      <c r="BO867">
        <v>6</v>
      </c>
      <c r="BP867">
        <v>6</v>
      </c>
      <c r="BQ867" t="str">
        <f>"8:00 AM"</f>
        <v>8:00 AM</v>
      </c>
      <c r="BR867" t="str">
        <f>"2:00 PM"</f>
        <v>2:00 PM</v>
      </c>
      <c r="BS867" t="s">
        <v>131</v>
      </c>
      <c r="BT867">
        <v>0</v>
      </c>
      <c r="BU867">
        <v>0</v>
      </c>
      <c r="BV867" t="s">
        <v>114</v>
      </c>
      <c r="BX867" s="2" t="s">
        <v>19467</v>
      </c>
      <c r="BY867" t="s">
        <v>19462</v>
      </c>
      <c r="BZ867" t="s">
        <v>7460</v>
      </c>
      <c r="CA867" t="s">
        <v>19463</v>
      </c>
      <c r="CB867" t="s">
        <v>188</v>
      </c>
      <c r="CC867" s="8" t="str">
        <f>"80487"</f>
        <v>80487</v>
      </c>
      <c r="CD867" t="s">
        <v>11908</v>
      </c>
      <c r="CE867" t="s">
        <v>1038</v>
      </c>
      <c r="CF867" s="12">
        <v>18.3</v>
      </c>
      <c r="CH867" s="12">
        <v>27.45</v>
      </c>
      <c r="CJ867" t="s">
        <v>135</v>
      </c>
      <c r="CK867" t="s">
        <v>19468</v>
      </c>
      <c r="CL867" t="s">
        <v>19469</v>
      </c>
      <c r="CO867" t="s">
        <v>132</v>
      </c>
      <c r="CP867" t="s">
        <v>114</v>
      </c>
      <c r="CQ867" t="s">
        <v>114</v>
      </c>
      <c r="CR867" t="s">
        <v>136</v>
      </c>
      <c r="CS867" t="s">
        <v>136</v>
      </c>
      <c r="CT867" t="s">
        <v>136</v>
      </c>
      <c r="CU867" t="s">
        <v>136</v>
      </c>
      <c r="CV867" t="s">
        <v>19470</v>
      </c>
      <c r="CW867" s="10" t="str">
        <f>"+19708752854"</f>
        <v>+19708752854</v>
      </c>
      <c r="CX867" t="s">
        <v>19471</v>
      </c>
      <c r="CY867" t="s">
        <v>19472</v>
      </c>
      <c r="CZ867" t="s">
        <v>137</v>
      </c>
      <c r="DA867" t="s">
        <v>114</v>
      </c>
      <c r="DB867" t="s">
        <v>114</v>
      </c>
      <c r="DC867" t="s">
        <v>136</v>
      </c>
      <c r="DD867" t="s">
        <v>114</v>
      </c>
    </row>
    <row r="868" spans="1:113" ht="15" customHeight="1" x14ac:dyDescent="0.25">
      <c r="A868" t="s">
        <v>23569</v>
      </c>
      <c r="B868" t="s">
        <v>152</v>
      </c>
      <c r="C868" s="1">
        <v>45184.830321990739</v>
      </c>
      <c r="D868" s="1">
        <v>45247</v>
      </c>
      <c r="E868" t="s">
        <v>132</v>
      </c>
      <c r="F868" t="s">
        <v>2319</v>
      </c>
      <c r="G868" t="str">
        <f>"53-3033.00"</f>
        <v>53-3033.00</v>
      </c>
      <c r="H868" t="s">
        <v>2973</v>
      </c>
      <c r="I868">
        <v>3</v>
      </c>
      <c r="J868">
        <v>3</v>
      </c>
      <c r="K868" s="1">
        <v>45261</v>
      </c>
      <c r="L868" s="1">
        <v>45478</v>
      </c>
      <c r="M868" s="1">
        <v>45261</v>
      </c>
      <c r="N868" s="1">
        <v>45478</v>
      </c>
      <c r="O868" t="s">
        <v>238</v>
      </c>
      <c r="P868" t="s">
        <v>23570</v>
      </c>
      <c r="R868" t="s">
        <v>23571</v>
      </c>
      <c r="T868" t="s">
        <v>23572</v>
      </c>
      <c r="U868" t="s">
        <v>333</v>
      </c>
      <c r="V868" s="8" t="str">
        <f>"70775"</f>
        <v>70775</v>
      </c>
      <c r="W868" t="s">
        <v>118</v>
      </c>
      <c r="Y868" s="10">
        <v>12252005249</v>
      </c>
      <c r="AA868">
        <v>4244</v>
      </c>
      <c r="AB868" t="s">
        <v>3023</v>
      </c>
      <c r="AC868" t="s">
        <v>14257</v>
      </c>
      <c r="AE868" t="s">
        <v>561</v>
      </c>
      <c r="AF868" t="s">
        <v>23571</v>
      </c>
      <c r="AH868" t="s">
        <v>23572</v>
      </c>
      <c r="AI868" t="s">
        <v>333</v>
      </c>
      <c r="AJ868" s="8" t="str">
        <f>"70775"</f>
        <v>70775</v>
      </c>
      <c r="AK868" t="s">
        <v>118</v>
      </c>
      <c r="AM868" s="10">
        <v>12252005249</v>
      </c>
      <c r="AO868" t="s">
        <v>23573</v>
      </c>
      <c r="AP868" t="s">
        <v>121</v>
      </c>
      <c r="AQ868" t="s">
        <v>3627</v>
      </c>
      <c r="AR868" t="s">
        <v>2309</v>
      </c>
      <c r="AS868" t="s">
        <v>5087</v>
      </c>
      <c r="AT868" t="s">
        <v>5088</v>
      </c>
      <c r="AV868" t="s">
        <v>5089</v>
      </c>
      <c r="AW868" t="s">
        <v>333</v>
      </c>
      <c r="AX868" s="8" t="str">
        <f>"70535"</f>
        <v>70535</v>
      </c>
      <c r="AY868" t="s">
        <v>118</v>
      </c>
      <c r="BA868" s="10">
        <v>13374663722</v>
      </c>
      <c r="BC868" t="s">
        <v>5090</v>
      </c>
      <c r="BD868" t="s">
        <v>10193</v>
      </c>
      <c r="BE868" t="s">
        <v>333</v>
      </c>
      <c r="BF868" t="s">
        <v>2190</v>
      </c>
      <c r="BG868" t="s">
        <v>333</v>
      </c>
      <c r="BH868" s="1">
        <v>45183.833333333336</v>
      </c>
      <c r="BI868">
        <v>40</v>
      </c>
      <c r="BJ868">
        <v>0</v>
      </c>
      <c r="BK868">
        <v>0</v>
      </c>
      <c r="BL868">
        <v>8</v>
      </c>
      <c r="BM868">
        <v>8</v>
      </c>
      <c r="BN868">
        <v>8</v>
      </c>
      <c r="BO868">
        <v>8</v>
      </c>
      <c r="BP868">
        <v>8</v>
      </c>
      <c r="BQ868" t="str">
        <f>"5:00 AM"</f>
        <v>5:00 AM</v>
      </c>
      <c r="BR868" t="str">
        <f>"6:00 PM"</f>
        <v>6:00 PM</v>
      </c>
      <c r="BS868" t="s">
        <v>131</v>
      </c>
      <c r="BT868">
        <v>0</v>
      </c>
      <c r="BU868">
        <v>0</v>
      </c>
      <c r="BV868" t="s">
        <v>114</v>
      </c>
      <c r="BX868" s="2" t="s">
        <v>23574</v>
      </c>
      <c r="BY868" t="s">
        <v>23575</v>
      </c>
      <c r="CA868" t="s">
        <v>5089</v>
      </c>
      <c r="CB868" t="s">
        <v>333</v>
      </c>
      <c r="CC868" s="8" t="str">
        <f>"70535"</f>
        <v>70535</v>
      </c>
      <c r="CD868" t="s">
        <v>16759</v>
      </c>
      <c r="CE868" t="s">
        <v>5008</v>
      </c>
      <c r="CF868" s="12">
        <v>16.02</v>
      </c>
      <c r="CG868" s="12">
        <v>16.02</v>
      </c>
      <c r="CH868" s="12">
        <v>24.03</v>
      </c>
      <c r="CI868" s="12">
        <v>24.03</v>
      </c>
      <c r="CJ868" t="s">
        <v>135</v>
      </c>
      <c r="CL868" t="s">
        <v>23576</v>
      </c>
      <c r="CO868" t="s">
        <v>132</v>
      </c>
      <c r="CP868" t="s">
        <v>136</v>
      </c>
      <c r="CQ868" t="s">
        <v>136</v>
      </c>
      <c r="CR868" t="s">
        <v>136</v>
      </c>
      <c r="CS868" t="s">
        <v>136</v>
      </c>
      <c r="CT868" t="s">
        <v>136</v>
      </c>
      <c r="CU868" t="s">
        <v>136</v>
      </c>
      <c r="CV868" t="s">
        <v>23577</v>
      </c>
      <c r="CW868" s="10" t="str">
        <f>"+12252005249"</f>
        <v>+12252005249</v>
      </c>
      <c r="CX868" t="s">
        <v>23573</v>
      </c>
      <c r="CY868" t="s">
        <v>132</v>
      </c>
      <c r="CZ868" t="s">
        <v>137</v>
      </c>
      <c r="DA868" t="s">
        <v>114</v>
      </c>
      <c r="DB868" t="s">
        <v>114</v>
      </c>
      <c r="DC868" t="s">
        <v>136</v>
      </c>
      <c r="DD868" t="s">
        <v>114</v>
      </c>
    </row>
    <row r="869" spans="1:113" ht="15" customHeight="1" x14ac:dyDescent="0.25">
      <c r="A869" t="s">
        <v>10728</v>
      </c>
      <c r="B869" t="s">
        <v>152</v>
      </c>
      <c r="C869" s="1">
        <v>45184.785529513887</v>
      </c>
      <c r="D869" s="1">
        <v>45247</v>
      </c>
      <c r="E869" t="s">
        <v>132</v>
      </c>
      <c r="F869" t="s">
        <v>9342</v>
      </c>
      <c r="G869" t="str">
        <f>"53-3031.00"</f>
        <v>53-3031.00</v>
      </c>
      <c r="H869" t="s">
        <v>3454</v>
      </c>
      <c r="I869">
        <v>9</v>
      </c>
      <c r="J869">
        <v>9</v>
      </c>
      <c r="K869" s="1">
        <v>45271</v>
      </c>
      <c r="L869" s="1">
        <v>45515</v>
      </c>
      <c r="M869" s="1">
        <v>45271</v>
      </c>
      <c r="N869" s="1">
        <v>45515</v>
      </c>
      <c r="O869" t="s">
        <v>238</v>
      </c>
      <c r="P869" t="s">
        <v>10729</v>
      </c>
      <c r="R869" t="s">
        <v>10730</v>
      </c>
      <c r="T869" t="s">
        <v>2564</v>
      </c>
      <c r="U869" t="s">
        <v>127</v>
      </c>
      <c r="V869" s="8" t="str">
        <f>"77040"</f>
        <v>77040</v>
      </c>
      <c r="W869" t="s">
        <v>118</v>
      </c>
      <c r="Y869" s="10">
        <v>17139399393</v>
      </c>
      <c r="AA869">
        <v>424460</v>
      </c>
      <c r="AB869" t="s">
        <v>10731</v>
      </c>
      <c r="AC869" t="s">
        <v>2679</v>
      </c>
      <c r="AD869" t="s">
        <v>425</v>
      </c>
      <c r="AE869" t="s">
        <v>629</v>
      </c>
      <c r="AF869" t="s">
        <v>10730</v>
      </c>
      <c r="AH869" t="s">
        <v>2564</v>
      </c>
      <c r="AI869" t="s">
        <v>127</v>
      </c>
      <c r="AJ869" s="8" t="str">
        <f>"77040"</f>
        <v>77040</v>
      </c>
      <c r="AK869" t="s">
        <v>118</v>
      </c>
      <c r="AM869" s="10">
        <v>17134462864</v>
      </c>
      <c r="AO869" t="s">
        <v>10732</v>
      </c>
      <c r="AP869" t="s">
        <v>121</v>
      </c>
      <c r="AQ869" t="s">
        <v>3627</v>
      </c>
      <c r="AR869" t="s">
        <v>2309</v>
      </c>
      <c r="AS869" t="s">
        <v>5087</v>
      </c>
      <c r="AT869" t="s">
        <v>5088</v>
      </c>
      <c r="AV869" t="s">
        <v>5089</v>
      </c>
      <c r="AW869" t="s">
        <v>333</v>
      </c>
      <c r="AX869" s="8" t="str">
        <f>"70535"</f>
        <v>70535</v>
      </c>
      <c r="AY869" t="s">
        <v>118</v>
      </c>
      <c r="BA869" s="10">
        <v>13374663722</v>
      </c>
      <c r="BC869" t="s">
        <v>5090</v>
      </c>
      <c r="BD869" t="s">
        <v>5091</v>
      </c>
      <c r="BE869" t="s">
        <v>333</v>
      </c>
      <c r="BF869" t="s">
        <v>2190</v>
      </c>
      <c r="BG869" t="s">
        <v>127</v>
      </c>
      <c r="BH869" s="1">
        <v>45183.833333333336</v>
      </c>
      <c r="BI869">
        <v>36</v>
      </c>
      <c r="BJ869">
        <v>5</v>
      </c>
      <c r="BK869">
        <v>3</v>
      </c>
      <c r="BL869">
        <v>3</v>
      </c>
      <c r="BM869">
        <v>3</v>
      </c>
      <c r="BN869">
        <v>6</v>
      </c>
      <c r="BO869">
        <v>8</v>
      </c>
      <c r="BP869">
        <v>8</v>
      </c>
      <c r="BQ869" t="str">
        <f>"4:00 AM"</f>
        <v>4:00 AM</v>
      </c>
      <c r="BR869" t="str">
        <f>"1:00 PM"</f>
        <v>1:00 PM</v>
      </c>
      <c r="BS869" t="s">
        <v>131</v>
      </c>
      <c r="BT869">
        <v>0</v>
      </c>
      <c r="BU869">
        <v>0</v>
      </c>
      <c r="BV869" t="s">
        <v>114</v>
      </c>
      <c r="BX869" s="2" t="s">
        <v>10733</v>
      </c>
      <c r="BY869" t="s">
        <v>10734</v>
      </c>
      <c r="CA869" t="s">
        <v>2564</v>
      </c>
      <c r="CB869" t="s">
        <v>127</v>
      </c>
      <c r="CC869" s="8" t="str">
        <f>"77040"</f>
        <v>77040</v>
      </c>
      <c r="CD869" t="s">
        <v>3327</v>
      </c>
      <c r="CE869" t="s">
        <v>879</v>
      </c>
      <c r="CF869" s="12">
        <v>15.82</v>
      </c>
      <c r="CG869" s="12">
        <v>15.82</v>
      </c>
      <c r="CH869" s="12">
        <v>23.73</v>
      </c>
      <c r="CI869" s="12">
        <v>23.73</v>
      </c>
      <c r="CJ869" t="s">
        <v>135</v>
      </c>
      <c r="CK869" t="s">
        <v>10735</v>
      </c>
      <c r="CL869" t="s">
        <v>10736</v>
      </c>
      <c r="CO869" t="s">
        <v>132</v>
      </c>
      <c r="CP869" t="s">
        <v>114</v>
      </c>
      <c r="CQ869" t="s">
        <v>136</v>
      </c>
      <c r="CR869" t="s">
        <v>136</v>
      </c>
      <c r="CS869" t="s">
        <v>136</v>
      </c>
      <c r="CT869" t="s">
        <v>136</v>
      </c>
      <c r="CU869" t="s">
        <v>136</v>
      </c>
      <c r="CV869" s="2" t="s">
        <v>10737</v>
      </c>
      <c r="CW869" s="10" t="str">
        <f>"+17139399393"</f>
        <v>+17139399393</v>
      </c>
      <c r="CX869" t="s">
        <v>10732</v>
      </c>
      <c r="CY869" t="s">
        <v>132</v>
      </c>
      <c r="CZ869" t="s">
        <v>137</v>
      </c>
      <c r="DA869" t="s">
        <v>114</v>
      </c>
      <c r="DB869" t="s">
        <v>114</v>
      </c>
      <c r="DC869" t="s">
        <v>136</v>
      </c>
      <c r="DD869" t="s">
        <v>114</v>
      </c>
    </row>
    <row r="870" spans="1:113" ht="15" customHeight="1" x14ac:dyDescent="0.25">
      <c r="A870" t="s">
        <v>6319</v>
      </c>
      <c r="B870" t="s">
        <v>152</v>
      </c>
      <c r="C870" s="1">
        <v>45180.453385532404</v>
      </c>
      <c r="D870" s="1">
        <v>45247</v>
      </c>
      <c r="E870" t="s">
        <v>132</v>
      </c>
      <c r="F870" t="s">
        <v>6320</v>
      </c>
      <c r="G870" t="str">
        <f>"53-7062.00"</f>
        <v>53-7062.00</v>
      </c>
      <c r="H870" t="s">
        <v>2078</v>
      </c>
      <c r="I870">
        <v>12</v>
      </c>
      <c r="J870">
        <v>12</v>
      </c>
      <c r="K870" s="1">
        <v>45261</v>
      </c>
      <c r="L870" s="1">
        <v>45505</v>
      </c>
      <c r="M870" s="1">
        <v>45261</v>
      </c>
      <c r="N870" s="1">
        <v>45505</v>
      </c>
      <c r="O870" t="s">
        <v>238</v>
      </c>
      <c r="P870" t="s">
        <v>6321</v>
      </c>
      <c r="R870" t="s">
        <v>6322</v>
      </c>
      <c r="T870" t="s">
        <v>6152</v>
      </c>
      <c r="U870" t="s">
        <v>333</v>
      </c>
      <c r="V870" s="8" t="str">
        <f>"70526"</f>
        <v>70526</v>
      </c>
      <c r="W870" t="s">
        <v>118</v>
      </c>
      <c r="Y870" s="10">
        <v>13377836220</v>
      </c>
      <c r="AA870">
        <v>424460</v>
      </c>
      <c r="AB870" t="s">
        <v>6323</v>
      </c>
      <c r="AC870" t="s">
        <v>6324</v>
      </c>
      <c r="AD870" t="s">
        <v>3587</v>
      </c>
      <c r="AE870" t="s">
        <v>561</v>
      </c>
      <c r="AF870" t="s">
        <v>6322</v>
      </c>
      <c r="AH870" t="s">
        <v>6152</v>
      </c>
      <c r="AI870" t="s">
        <v>333</v>
      </c>
      <c r="AJ870" s="8" t="str">
        <f>"70526"</f>
        <v>70526</v>
      </c>
      <c r="AK870" t="s">
        <v>118</v>
      </c>
      <c r="AM870" s="10">
        <v>13377836220</v>
      </c>
      <c r="AO870" t="s">
        <v>6325</v>
      </c>
      <c r="AP870" t="s">
        <v>121</v>
      </c>
      <c r="AQ870" t="s">
        <v>3627</v>
      </c>
      <c r="AR870" t="s">
        <v>2309</v>
      </c>
      <c r="AS870" t="s">
        <v>5087</v>
      </c>
      <c r="AT870" t="s">
        <v>5088</v>
      </c>
      <c r="AU870" t="s">
        <v>6326</v>
      </c>
      <c r="AV870" t="s">
        <v>5089</v>
      </c>
      <c r="AW870" t="s">
        <v>333</v>
      </c>
      <c r="AX870" s="8" t="str">
        <f>"70535"</f>
        <v>70535</v>
      </c>
      <c r="AY870" t="s">
        <v>118</v>
      </c>
      <c r="BA870" s="10">
        <v>13374663722</v>
      </c>
      <c r="BC870" t="s">
        <v>5090</v>
      </c>
      <c r="BD870" t="s">
        <v>5091</v>
      </c>
      <c r="BE870" t="s">
        <v>333</v>
      </c>
      <c r="BF870" t="s">
        <v>2190</v>
      </c>
      <c r="BG870" t="s">
        <v>333</v>
      </c>
      <c r="BH870" s="1">
        <v>45176.833333333336</v>
      </c>
      <c r="BI870">
        <v>35</v>
      </c>
      <c r="BJ870">
        <v>0</v>
      </c>
      <c r="BK870">
        <v>7</v>
      </c>
      <c r="BL870">
        <v>7</v>
      </c>
      <c r="BM870">
        <v>7</v>
      </c>
      <c r="BN870">
        <v>7</v>
      </c>
      <c r="BO870">
        <v>7</v>
      </c>
      <c r="BP870">
        <v>0</v>
      </c>
      <c r="BQ870" t="str">
        <f>"6:00 AM"</f>
        <v>6:00 AM</v>
      </c>
      <c r="BR870" t="str">
        <f>"3:00 PM"</f>
        <v>3:00 PM</v>
      </c>
      <c r="BS870" t="s">
        <v>131</v>
      </c>
      <c r="BT870">
        <v>0</v>
      </c>
      <c r="BU870">
        <v>0</v>
      </c>
      <c r="BV870" t="s">
        <v>114</v>
      </c>
      <c r="BX870" s="2" t="s">
        <v>6327</v>
      </c>
      <c r="BY870" t="s">
        <v>6322</v>
      </c>
      <c r="CA870" t="s">
        <v>6152</v>
      </c>
      <c r="CB870" t="s">
        <v>333</v>
      </c>
      <c r="CC870" s="8" t="str">
        <f>"70526"</f>
        <v>70526</v>
      </c>
      <c r="CD870" t="s">
        <v>6328</v>
      </c>
      <c r="CE870" t="s">
        <v>1818</v>
      </c>
      <c r="CF870" s="12">
        <v>15.65</v>
      </c>
      <c r="CG870" s="12">
        <v>15.65</v>
      </c>
      <c r="CH870" s="12">
        <v>23.48</v>
      </c>
      <c r="CI870" s="12">
        <v>23.48</v>
      </c>
      <c r="CJ870" t="s">
        <v>135</v>
      </c>
      <c r="CK870" t="s">
        <v>6329</v>
      </c>
      <c r="CL870" t="s">
        <v>6330</v>
      </c>
      <c r="CO870" t="s">
        <v>132</v>
      </c>
      <c r="CP870" t="s">
        <v>114</v>
      </c>
      <c r="CQ870" t="s">
        <v>136</v>
      </c>
      <c r="CR870" t="s">
        <v>136</v>
      </c>
      <c r="CS870" t="s">
        <v>136</v>
      </c>
      <c r="CT870" t="s">
        <v>136</v>
      </c>
      <c r="CU870" t="s">
        <v>136</v>
      </c>
      <c r="CV870" t="s">
        <v>6331</v>
      </c>
      <c r="CW870" s="10" t="str">
        <f>"+13377836220"</f>
        <v>+13377836220</v>
      </c>
      <c r="CX870" t="s">
        <v>6325</v>
      </c>
      <c r="CY870" t="s">
        <v>132</v>
      </c>
      <c r="CZ870" t="s">
        <v>137</v>
      </c>
      <c r="DA870" t="s">
        <v>114</v>
      </c>
      <c r="DB870" t="s">
        <v>114</v>
      </c>
      <c r="DC870" t="s">
        <v>136</v>
      </c>
      <c r="DD870" t="s">
        <v>114</v>
      </c>
    </row>
    <row r="871" spans="1:113" ht="15" customHeight="1" x14ac:dyDescent="0.25">
      <c r="A871" t="s">
        <v>151</v>
      </c>
      <c r="B871" t="s">
        <v>152</v>
      </c>
      <c r="C871" s="1">
        <v>45177.619268518516</v>
      </c>
      <c r="D871" s="1">
        <v>45247</v>
      </c>
      <c r="E871" t="s">
        <v>132</v>
      </c>
      <c r="F871" t="s">
        <v>153</v>
      </c>
      <c r="G871" t="str">
        <f>"35-2014.00"</f>
        <v>35-2014.00</v>
      </c>
      <c r="H871" t="s">
        <v>154</v>
      </c>
      <c r="I871">
        <v>15</v>
      </c>
      <c r="J871">
        <v>15</v>
      </c>
      <c r="K871" s="1">
        <v>45261</v>
      </c>
      <c r="L871" s="1">
        <v>45412</v>
      </c>
      <c r="M871" s="1">
        <v>45261</v>
      </c>
      <c r="N871" s="1">
        <v>45412</v>
      </c>
      <c r="O871" t="s">
        <v>116</v>
      </c>
      <c r="P871" t="s">
        <v>155</v>
      </c>
      <c r="R871" t="s">
        <v>156</v>
      </c>
      <c r="T871" t="s">
        <v>157</v>
      </c>
      <c r="U871" t="s">
        <v>158</v>
      </c>
      <c r="V871" s="8" t="str">
        <f>"49713"</f>
        <v>49713</v>
      </c>
      <c r="W871" t="s">
        <v>118</v>
      </c>
      <c r="Y871" s="10">
        <v>18556887024</v>
      </c>
      <c r="AA871">
        <v>721110</v>
      </c>
      <c r="AB871" t="s">
        <v>159</v>
      </c>
      <c r="AC871" t="s">
        <v>160</v>
      </c>
      <c r="AE871" t="s">
        <v>161</v>
      </c>
      <c r="AF871" t="s">
        <v>156</v>
      </c>
      <c r="AH871" t="s">
        <v>157</v>
      </c>
      <c r="AI871" t="s">
        <v>158</v>
      </c>
      <c r="AJ871" s="8" t="str">
        <f>"49713"</f>
        <v>49713</v>
      </c>
      <c r="AK871" t="s">
        <v>118</v>
      </c>
      <c r="AM871" s="10">
        <v>12315496095</v>
      </c>
      <c r="AO871" t="s">
        <v>162</v>
      </c>
      <c r="AP871" t="s">
        <v>121</v>
      </c>
      <c r="AQ871" t="s">
        <v>163</v>
      </c>
      <c r="AR871" t="s">
        <v>164</v>
      </c>
      <c r="AS871" t="s">
        <v>165</v>
      </c>
      <c r="AT871" t="s">
        <v>166</v>
      </c>
      <c r="AU871" t="s">
        <v>167</v>
      </c>
      <c r="AV871" t="s">
        <v>168</v>
      </c>
      <c r="AW871" t="s">
        <v>169</v>
      </c>
      <c r="AX871" s="8" t="str">
        <f>"55402"</f>
        <v>55402</v>
      </c>
      <c r="AY871" t="s">
        <v>118</v>
      </c>
      <c r="BA871" s="10">
        <v>16124927165</v>
      </c>
      <c r="BC871" t="s">
        <v>170</v>
      </c>
      <c r="BD871" t="s">
        <v>171</v>
      </c>
      <c r="BE871" t="s">
        <v>169</v>
      </c>
      <c r="BF871" t="s">
        <v>172</v>
      </c>
      <c r="BG871" t="s">
        <v>158</v>
      </c>
      <c r="BH871" s="1">
        <v>45176.833333333336</v>
      </c>
      <c r="BI871">
        <v>35</v>
      </c>
      <c r="BJ871">
        <v>7</v>
      </c>
      <c r="BK871">
        <v>7</v>
      </c>
      <c r="BL871">
        <v>7</v>
      </c>
      <c r="BM871">
        <v>7</v>
      </c>
      <c r="BN871">
        <v>7</v>
      </c>
      <c r="BO871">
        <v>0</v>
      </c>
      <c r="BP871">
        <v>0</v>
      </c>
      <c r="BQ871" t="str">
        <f>"5:30 AM"</f>
        <v>5:30 AM</v>
      </c>
      <c r="BR871" t="str">
        <f>"11:00 PM"</f>
        <v>11:00 PM</v>
      </c>
      <c r="BS871" t="s">
        <v>131</v>
      </c>
      <c r="BT871">
        <v>0</v>
      </c>
      <c r="BU871">
        <v>0</v>
      </c>
      <c r="BV871" t="s">
        <v>114</v>
      </c>
      <c r="BX871" s="2" t="s">
        <v>173</v>
      </c>
      <c r="BY871" t="s">
        <v>156</v>
      </c>
      <c r="CA871" t="s">
        <v>157</v>
      </c>
      <c r="CB871" t="s">
        <v>158</v>
      </c>
      <c r="CC871" s="8" t="str">
        <f>"49713"</f>
        <v>49713</v>
      </c>
      <c r="CD871" t="s">
        <v>174</v>
      </c>
      <c r="CE871" t="s">
        <v>175</v>
      </c>
      <c r="CF871" s="12">
        <v>18</v>
      </c>
      <c r="CH871" s="12">
        <v>27</v>
      </c>
      <c r="CJ871" t="s">
        <v>135</v>
      </c>
      <c r="CK871" t="s">
        <v>176</v>
      </c>
      <c r="CL871" t="s">
        <v>177</v>
      </c>
      <c r="CO871" t="s">
        <v>132</v>
      </c>
      <c r="CP871" t="s">
        <v>114</v>
      </c>
      <c r="CQ871" t="s">
        <v>136</v>
      </c>
      <c r="CR871" t="s">
        <v>136</v>
      </c>
      <c r="CS871" t="s">
        <v>136</v>
      </c>
      <c r="CT871" t="s">
        <v>136</v>
      </c>
      <c r="CU871" t="s">
        <v>136</v>
      </c>
      <c r="CV871" s="2" t="s">
        <v>178</v>
      </c>
      <c r="CW871" s="10" t="str">
        <f>"N/A"</f>
        <v>N/A</v>
      </c>
      <c r="CX871" t="s">
        <v>179</v>
      </c>
      <c r="CY871" t="s">
        <v>180</v>
      </c>
      <c r="CZ871" t="s">
        <v>137</v>
      </c>
      <c r="DA871" t="s">
        <v>114</v>
      </c>
      <c r="DB871" t="s">
        <v>136</v>
      </c>
      <c r="DC871" t="s">
        <v>136</v>
      </c>
      <c r="DD871" t="s">
        <v>114</v>
      </c>
    </row>
    <row r="872" spans="1:113" ht="15" customHeight="1" x14ac:dyDescent="0.25">
      <c r="A872" t="s">
        <v>16956</v>
      </c>
      <c r="B872" t="s">
        <v>152</v>
      </c>
      <c r="C872" s="1">
        <v>45216.377940046295</v>
      </c>
      <c r="D872" s="1">
        <v>45246</v>
      </c>
      <c r="E872" t="s">
        <v>132</v>
      </c>
      <c r="F872" t="s">
        <v>236</v>
      </c>
      <c r="G872" t="str">
        <f>"39-3091.00"</f>
        <v>39-3091.00</v>
      </c>
      <c r="H872" t="s">
        <v>237</v>
      </c>
      <c r="I872">
        <v>20</v>
      </c>
      <c r="J872">
        <v>20</v>
      </c>
      <c r="K872" s="1">
        <v>45306</v>
      </c>
      <c r="L872" s="1">
        <v>45610</v>
      </c>
      <c r="M872" s="1">
        <v>45306</v>
      </c>
      <c r="N872" s="1">
        <v>45610</v>
      </c>
      <c r="O872" t="s">
        <v>238</v>
      </c>
      <c r="P872" t="s">
        <v>16957</v>
      </c>
      <c r="R872" t="s">
        <v>16958</v>
      </c>
      <c r="T872" t="s">
        <v>254</v>
      </c>
      <c r="U872" t="s">
        <v>127</v>
      </c>
      <c r="V872" s="8" t="str">
        <f>"78550"</f>
        <v>78550</v>
      </c>
      <c r="W872" t="s">
        <v>118</v>
      </c>
      <c r="Y872" s="10">
        <v>19562456930</v>
      </c>
      <c r="AA872">
        <v>71399</v>
      </c>
      <c r="AB872" t="s">
        <v>16959</v>
      </c>
      <c r="AC872" t="s">
        <v>16960</v>
      </c>
      <c r="AE872" t="s">
        <v>561</v>
      </c>
      <c r="AF872" t="s">
        <v>16958</v>
      </c>
      <c r="AH872" t="s">
        <v>254</v>
      </c>
      <c r="AI872" t="s">
        <v>127</v>
      </c>
      <c r="AJ872" s="8" t="str">
        <f>"78550"</f>
        <v>78550</v>
      </c>
      <c r="AK872" t="s">
        <v>118</v>
      </c>
      <c r="AM872" s="10">
        <v>19562456930</v>
      </c>
      <c r="AO872" t="s">
        <v>16961</v>
      </c>
      <c r="AP872" t="s">
        <v>248</v>
      </c>
      <c r="AQ872" t="s">
        <v>249</v>
      </c>
      <c r="AR872" t="s">
        <v>250</v>
      </c>
      <c r="AS872" t="s">
        <v>251</v>
      </c>
      <c r="AT872" t="s">
        <v>252</v>
      </c>
      <c r="AU872" t="s">
        <v>253</v>
      </c>
      <c r="AV872" t="s">
        <v>254</v>
      </c>
      <c r="AW872" t="s">
        <v>127</v>
      </c>
      <c r="AX872" s="8" t="str">
        <f>"78550"</f>
        <v>78550</v>
      </c>
      <c r="AY872" t="s">
        <v>118</v>
      </c>
      <c r="BA872" s="10">
        <v>19564408720</v>
      </c>
      <c r="BB872" s="3" t="s">
        <v>256</v>
      </c>
      <c r="BC872" t="s">
        <v>257</v>
      </c>
      <c r="BD872" t="s">
        <v>258</v>
      </c>
      <c r="BG872" t="s">
        <v>127</v>
      </c>
      <c r="BH872" s="1">
        <v>45215.833333333336</v>
      </c>
      <c r="BI872">
        <v>40</v>
      </c>
      <c r="BJ872">
        <v>8</v>
      </c>
      <c r="BK872">
        <v>0</v>
      </c>
      <c r="BL872">
        <v>0</v>
      </c>
      <c r="BM872">
        <v>8</v>
      </c>
      <c r="BN872">
        <v>8</v>
      </c>
      <c r="BO872">
        <v>8</v>
      </c>
      <c r="BP872">
        <v>8</v>
      </c>
      <c r="BQ872" t="str">
        <f>"1:00 PM"</f>
        <v>1:00 PM</v>
      </c>
      <c r="BR872" t="str">
        <f>"10:00 PM"</f>
        <v>10:00 PM</v>
      </c>
      <c r="BS872" t="s">
        <v>131</v>
      </c>
      <c r="BT872">
        <v>0</v>
      </c>
      <c r="BU872">
        <v>0</v>
      </c>
      <c r="BV872" t="s">
        <v>114</v>
      </c>
      <c r="BX872" s="2" t="s">
        <v>2255</v>
      </c>
      <c r="BY872" t="s">
        <v>16962</v>
      </c>
      <c r="CA872" t="s">
        <v>16963</v>
      </c>
      <c r="CB872" t="s">
        <v>127</v>
      </c>
      <c r="CC872" s="8" t="str">
        <f>"78569"</f>
        <v>78569</v>
      </c>
      <c r="CD872" t="s">
        <v>16964</v>
      </c>
      <c r="CE872" t="s">
        <v>1590</v>
      </c>
      <c r="CF872" s="12">
        <v>9.23</v>
      </c>
      <c r="CG872" s="12">
        <v>13.51</v>
      </c>
      <c r="CJ872" t="s">
        <v>135</v>
      </c>
      <c r="CK872" t="s">
        <v>264</v>
      </c>
      <c r="CL872" t="s">
        <v>16965</v>
      </c>
      <c r="CO872" t="s">
        <v>132</v>
      </c>
      <c r="CP872" t="s">
        <v>136</v>
      </c>
      <c r="CQ872" t="s">
        <v>136</v>
      </c>
      <c r="CR872" t="s">
        <v>114</v>
      </c>
      <c r="CS872" t="s">
        <v>136</v>
      </c>
      <c r="CT872" t="s">
        <v>136</v>
      </c>
      <c r="CU872" t="s">
        <v>136</v>
      </c>
      <c r="CV872" t="s">
        <v>2258</v>
      </c>
      <c r="CW872" s="10" t="str">
        <f>"+19562456930"</f>
        <v>+19562456930</v>
      </c>
      <c r="CX872" t="s">
        <v>16961</v>
      </c>
      <c r="CY872" t="s">
        <v>132</v>
      </c>
      <c r="CZ872" t="s">
        <v>137</v>
      </c>
      <c r="DA872" t="s">
        <v>114</v>
      </c>
      <c r="DB872" t="s">
        <v>136</v>
      </c>
      <c r="DC872" t="s">
        <v>136</v>
      </c>
      <c r="DD872" t="s">
        <v>114</v>
      </c>
    </row>
    <row r="873" spans="1:113" ht="15" customHeight="1" x14ac:dyDescent="0.25">
      <c r="A873" t="s">
        <v>327</v>
      </c>
      <c r="B873" t="s">
        <v>152</v>
      </c>
      <c r="C873" s="1">
        <v>45215.695477546295</v>
      </c>
      <c r="D873" s="1">
        <v>45246</v>
      </c>
      <c r="E873" t="s">
        <v>132</v>
      </c>
      <c r="F873" t="s">
        <v>328</v>
      </c>
      <c r="G873" t="str">
        <f>"39-3091.00"</f>
        <v>39-3091.00</v>
      </c>
      <c r="H873" t="s">
        <v>237</v>
      </c>
      <c r="I873">
        <v>50</v>
      </c>
      <c r="J873">
        <v>50</v>
      </c>
      <c r="K873" s="1">
        <v>45292</v>
      </c>
      <c r="L873" s="1">
        <v>45596</v>
      </c>
      <c r="M873" s="1">
        <v>45292</v>
      </c>
      <c r="N873" s="1">
        <v>45596</v>
      </c>
      <c r="O873" t="s">
        <v>238</v>
      </c>
      <c r="P873" t="s">
        <v>329</v>
      </c>
      <c r="R873" t="s">
        <v>330</v>
      </c>
      <c r="S873" t="s">
        <v>331</v>
      </c>
      <c r="T873" t="s">
        <v>332</v>
      </c>
      <c r="U873" t="s">
        <v>333</v>
      </c>
      <c r="V873" s="8" t="str">
        <f>"70458"</f>
        <v>70458</v>
      </c>
      <c r="W873" t="s">
        <v>118</v>
      </c>
      <c r="Y873" s="10">
        <v>19859603013</v>
      </c>
      <c r="Z873" s="3" t="s">
        <v>256</v>
      </c>
      <c r="AA873">
        <v>71399</v>
      </c>
      <c r="AB873" t="s">
        <v>334</v>
      </c>
      <c r="AC873" t="s">
        <v>335</v>
      </c>
      <c r="AE873" t="s">
        <v>336</v>
      </c>
      <c r="AF873" t="s">
        <v>330</v>
      </c>
      <c r="AG873" t="s">
        <v>331</v>
      </c>
      <c r="AH873" t="s">
        <v>332</v>
      </c>
      <c r="AI873" t="s">
        <v>333</v>
      </c>
      <c r="AJ873" s="8" t="str">
        <f>"70458"</f>
        <v>70458</v>
      </c>
      <c r="AK873" t="s">
        <v>118</v>
      </c>
      <c r="AM873" s="10">
        <v>19859603013</v>
      </c>
      <c r="AN873" s="3" t="s">
        <v>256</v>
      </c>
      <c r="AO873" t="s">
        <v>337</v>
      </c>
      <c r="AP873" t="s">
        <v>248</v>
      </c>
      <c r="AQ873" t="s">
        <v>249</v>
      </c>
      <c r="AR873" t="s">
        <v>250</v>
      </c>
      <c r="AS873" t="s">
        <v>251</v>
      </c>
      <c r="AT873" t="s">
        <v>252</v>
      </c>
      <c r="AU873" t="s">
        <v>253</v>
      </c>
      <c r="AV873" t="s">
        <v>254</v>
      </c>
      <c r="AW873" t="s">
        <v>127</v>
      </c>
      <c r="AX873" s="8" t="str">
        <f>"78550"</f>
        <v>78550</v>
      </c>
      <c r="AY873" t="s">
        <v>118</v>
      </c>
      <c r="AZ873" t="s">
        <v>255</v>
      </c>
      <c r="BA873" s="10">
        <v>19564408720</v>
      </c>
      <c r="BB873" s="3" t="s">
        <v>256</v>
      </c>
      <c r="BC873" t="s">
        <v>338</v>
      </c>
      <c r="BD873" t="s">
        <v>258</v>
      </c>
      <c r="BG873" t="s">
        <v>333</v>
      </c>
      <c r="BH873" s="1">
        <v>45214.833333333336</v>
      </c>
      <c r="BI873">
        <v>40</v>
      </c>
      <c r="BJ873">
        <v>8</v>
      </c>
      <c r="BK873">
        <v>0</v>
      </c>
      <c r="BL873">
        <v>0</v>
      </c>
      <c r="BM873">
        <v>8</v>
      </c>
      <c r="BN873">
        <v>8</v>
      </c>
      <c r="BO873">
        <v>8</v>
      </c>
      <c r="BP873">
        <v>8</v>
      </c>
      <c r="BQ873" t="str">
        <f>"1:00 PM"</f>
        <v>1:00 PM</v>
      </c>
      <c r="BR873" t="str">
        <f>"10:00 PM"</f>
        <v>10:00 PM</v>
      </c>
      <c r="BS873" t="s">
        <v>131</v>
      </c>
      <c r="BT873">
        <v>0</v>
      </c>
      <c r="BU873">
        <v>0</v>
      </c>
      <c r="BV873" t="s">
        <v>114</v>
      </c>
      <c r="BX873" s="2" t="s">
        <v>339</v>
      </c>
      <c r="BY873" t="s">
        <v>330</v>
      </c>
      <c r="CA873" t="s">
        <v>332</v>
      </c>
      <c r="CB873" t="s">
        <v>333</v>
      </c>
      <c r="CC873" s="8" t="str">
        <f>"70458"</f>
        <v>70458</v>
      </c>
      <c r="CD873" t="s">
        <v>340</v>
      </c>
      <c r="CE873" t="s">
        <v>341</v>
      </c>
      <c r="CF873" s="12">
        <v>10.38</v>
      </c>
      <c r="CG873" s="12">
        <v>14.79</v>
      </c>
      <c r="CJ873" t="s">
        <v>135</v>
      </c>
      <c r="CK873" t="s">
        <v>342</v>
      </c>
      <c r="CL873" t="s">
        <v>343</v>
      </c>
      <c r="CO873" t="s">
        <v>132</v>
      </c>
      <c r="CP873" t="s">
        <v>136</v>
      </c>
      <c r="CQ873" t="s">
        <v>136</v>
      </c>
      <c r="CR873" t="s">
        <v>114</v>
      </c>
      <c r="CS873" t="s">
        <v>136</v>
      </c>
      <c r="CT873" t="s">
        <v>136</v>
      </c>
      <c r="CU873" t="s">
        <v>136</v>
      </c>
      <c r="CV873" t="s">
        <v>344</v>
      </c>
      <c r="CW873" s="10" t="str">
        <f>"+19859603013"</f>
        <v>+19859603013</v>
      </c>
      <c r="CX873" t="s">
        <v>337</v>
      </c>
      <c r="CY873" t="s">
        <v>132</v>
      </c>
      <c r="CZ873" t="s">
        <v>137</v>
      </c>
      <c r="DA873" t="s">
        <v>114</v>
      </c>
      <c r="DB873" t="s">
        <v>136</v>
      </c>
      <c r="DC873" t="s">
        <v>136</v>
      </c>
      <c r="DD873" t="s">
        <v>114</v>
      </c>
    </row>
    <row r="874" spans="1:113" ht="15" customHeight="1" x14ac:dyDescent="0.25">
      <c r="A874" t="s">
        <v>20441</v>
      </c>
      <c r="B874" t="s">
        <v>152</v>
      </c>
      <c r="C874" s="1">
        <v>45212.606345138891</v>
      </c>
      <c r="D874" s="1">
        <v>45246</v>
      </c>
      <c r="E874" t="s">
        <v>132</v>
      </c>
      <c r="F874" t="s">
        <v>3544</v>
      </c>
      <c r="G874" t="str">
        <f>"51-3022.00"</f>
        <v>51-3022.00</v>
      </c>
      <c r="H874" t="s">
        <v>1004</v>
      </c>
      <c r="I874">
        <v>50</v>
      </c>
      <c r="J874">
        <v>50</v>
      </c>
      <c r="K874" s="1">
        <v>45300</v>
      </c>
      <c r="L874" s="1">
        <v>45565</v>
      </c>
      <c r="M874" s="1">
        <v>45300</v>
      </c>
      <c r="N874" s="1">
        <v>45565</v>
      </c>
      <c r="O874" t="s">
        <v>238</v>
      </c>
      <c r="P874" t="s">
        <v>20442</v>
      </c>
      <c r="R874" t="s">
        <v>20443</v>
      </c>
      <c r="S874" t="s">
        <v>5960</v>
      </c>
      <c r="T874" t="s">
        <v>20444</v>
      </c>
      <c r="U874" t="s">
        <v>903</v>
      </c>
      <c r="V874" s="8" t="str">
        <f>"04856"</f>
        <v>04856</v>
      </c>
      <c r="W874" t="s">
        <v>118</v>
      </c>
      <c r="Y874" s="10">
        <v>12075944444</v>
      </c>
      <c r="AA874">
        <v>31171</v>
      </c>
      <c r="AB874" t="s">
        <v>15324</v>
      </c>
      <c r="AC874" t="s">
        <v>2449</v>
      </c>
      <c r="AD874" t="s">
        <v>3319</v>
      </c>
      <c r="AE874" t="s">
        <v>9975</v>
      </c>
      <c r="AF874" t="s">
        <v>20443</v>
      </c>
      <c r="AG874" t="s">
        <v>5960</v>
      </c>
      <c r="AH874" t="s">
        <v>20444</v>
      </c>
      <c r="AI874" t="s">
        <v>903</v>
      </c>
      <c r="AJ874" s="8" t="str">
        <f>"04856"</f>
        <v>04856</v>
      </c>
      <c r="AK874" t="s">
        <v>118</v>
      </c>
      <c r="AM874" s="10">
        <v>12075944444</v>
      </c>
      <c r="AO874" t="s">
        <v>20445</v>
      </c>
      <c r="AP874" t="s">
        <v>121</v>
      </c>
      <c r="AQ874" t="s">
        <v>1978</v>
      </c>
      <c r="AR874" t="s">
        <v>705</v>
      </c>
      <c r="AS874" t="s">
        <v>1979</v>
      </c>
      <c r="AT874" t="s">
        <v>1980</v>
      </c>
      <c r="AU874" t="s">
        <v>1981</v>
      </c>
      <c r="AV874" t="s">
        <v>2916</v>
      </c>
      <c r="AW874" t="s">
        <v>1722</v>
      </c>
      <c r="AX874" s="8" t="str">
        <f>"21117"</f>
        <v>21117</v>
      </c>
      <c r="AY874" t="s">
        <v>118</v>
      </c>
      <c r="BA874" s="10">
        <v>14435014240</v>
      </c>
      <c r="BC874" t="s">
        <v>1982</v>
      </c>
      <c r="BD874" t="s">
        <v>9671</v>
      </c>
      <c r="BE874" t="s">
        <v>358</v>
      </c>
      <c r="BF874" t="s">
        <v>11035</v>
      </c>
      <c r="BG874" t="s">
        <v>2706</v>
      </c>
      <c r="BH874" s="1">
        <v>45211.833333333336</v>
      </c>
      <c r="BI874">
        <v>35</v>
      </c>
      <c r="BJ874">
        <v>5</v>
      </c>
      <c r="BK874">
        <v>5</v>
      </c>
      <c r="BL874">
        <v>5</v>
      </c>
      <c r="BM874">
        <v>5</v>
      </c>
      <c r="BN874">
        <v>5</v>
      </c>
      <c r="BO874">
        <v>5</v>
      </c>
      <c r="BP874">
        <v>5</v>
      </c>
      <c r="BQ874" t="str">
        <f>"6:00 AM"</f>
        <v>6:00 AM</v>
      </c>
      <c r="BR874" t="str">
        <f>"6:00 PM"</f>
        <v>6:00 PM</v>
      </c>
      <c r="BS874" t="s">
        <v>131</v>
      </c>
      <c r="BT874">
        <v>0</v>
      </c>
      <c r="BU874">
        <v>0</v>
      </c>
      <c r="BV874" t="s">
        <v>114</v>
      </c>
      <c r="BX874" s="2" t="s">
        <v>20446</v>
      </c>
      <c r="BY874" t="s">
        <v>20447</v>
      </c>
      <c r="BZ874" t="s">
        <v>20448</v>
      </c>
      <c r="CA874" t="s">
        <v>16199</v>
      </c>
      <c r="CB874" t="s">
        <v>2706</v>
      </c>
      <c r="CC874" s="8" t="str">
        <f>"99692"</f>
        <v>99692</v>
      </c>
      <c r="CD874" t="s">
        <v>16200</v>
      </c>
      <c r="CE874" t="s">
        <v>2714</v>
      </c>
      <c r="CF874" s="12">
        <v>17.149999999999999</v>
      </c>
      <c r="CJ874" t="s">
        <v>135</v>
      </c>
      <c r="CK874" t="s">
        <v>19761</v>
      </c>
      <c r="CL874" t="s">
        <v>20449</v>
      </c>
      <c r="CO874" t="s">
        <v>132</v>
      </c>
      <c r="CP874" t="s">
        <v>136</v>
      </c>
      <c r="CQ874" t="s">
        <v>136</v>
      </c>
      <c r="CR874" t="s">
        <v>114</v>
      </c>
      <c r="CS874" t="s">
        <v>136</v>
      </c>
      <c r="CT874" t="s">
        <v>136</v>
      </c>
      <c r="CU874" t="s">
        <v>136</v>
      </c>
      <c r="CV874" t="s">
        <v>20450</v>
      </c>
      <c r="CW874" s="10" t="str">
        <f>"+12067064166"</f>
        <v>+12067064166</v>
      </c>
      <c r="CX874" t="s">
        <v>20451</v>
      </c>
      <c r="CY874" t="s">
        <v>20452</v>
      </c>
      <c r="CZ874" t="s">
        <v>137</v>
      </c>
      <c r="DA874" t="s">
        <v>114</v>
      </c>
      <c r="DB874" t="s">
        <v>136</v>
      </c>
      <c r="DC874" t="s">
        <v>136</v>
      </c>
      <c r="DD874" t="s">
        <v>114</v>
      </c>
    </row>
    <row r="875" spans="1:113" ht="15" customHeight="1" x14ac:dyDescent="0.25">
      <c r="A875" t="s">
        <v>15613</v>
      </c>
      <c r="B875" t="s">
        <v>152</v>
      </c>
      <c r="C875" s="1">
        <v>45212.53453611111</v>
      </c>
      <c r="D875" s="1">
        <v>45246</v>
      </c>
      <c r="E875" t="s">
        <v>132</v>
      </c>
      <c r="F875" t="s">
        <v>3544</v>
      </c>
      <c r="G875" t="str">
        <f>"51-3022.00"</f>
        <v>51-3022.00</v>
      </c>
      <c r="H875" t="s">
        <v>1004</v>
      </c>
      <c r="I875">
        <v>60</v>
      </c>
      <c r="J875">
        <v>60</v>
      </c>
      <c r="K875" s="1">
        <v>45292</v>
      </c>
      <c r="L875" s="1">
        <v>45535</v>
      </c>
      <c r="M875" s="1">
        <v>45292</v>
      </c>
      <c r="N875" s="1">
        <v>45535</v>
      </c>
      <c r="O875" t="s">
        <v>238</v>
      </c>
      <c r="P875" t="s">
        <v>15614</v>
      </c>
      <c r="R875" t="s">
        <v>15615</v>
      </c>
      <c r="T875" t="s">
        <v>5882</v>
      </c>
      <c r="U875" t="s">
        <v>479</v>
      </c>
      <c r="V875" s="8" t="str">
        <f>"97015"</f>
        <v>97015</v>
      </c>
      <c r="W875" t="s">
        <v>118</v>
      </c>
      <c r="Y875" s="10">
        <v>15039054298</v>
      </c>
      <c r="AA875">
        <v>3117</v>
      </c>
      <c r="AB875" t="s">
        <v>15616</v>
      </c>
      <c r="AC875" t="s">
        <v>8137</v>
      </c>
      <c r="AE875" t="s">
        <v>15617</v>
      </c>
      <c r="AF875" t="s">
        <v>15615</v>
      </c>
      <c r="AH875" t="s">
        <v>5882</v>
      </c>
      <c r="AI875" t="s">
        <v>479</v>
      </c>
      <c r="AJ875" s="8" t="str">
        <f>"97015"</f>
        <v>97015</v>
      </c>
      <c r="AK875" t="s">
        <v>118</v>
      </c>
      <c r="AM875" s="10">
        <v>15039052425</v>
      </c>
      <c r="AO875" t="s">
        <v>15618</v>
      </c>
      <c r="AP875" t="s">
        <v>121</v>
      </c>
      <c r="AQ875" t="s">
        <v>1978</v>
      </c>
      <c r="AR875" t="s">
        <v>705</v>
      </c>
      <c r="AS875" t="s">
        <v>1979</v>
      </c>
      <c r="AT875" t="s">
        <v>1980</v>
      </c>
      <c r="AU875" t="s">
        <v>1981</v>
      </c>
      <c r="AV875" t="s">
        <v>2916</v>
      </c>
      <c r="AW875" t="s">
        <v>1722</v>
      </c>
      <c r="AX875" s="8" t="str">
        <f>"21117"</f>
        <v>21117</v>
      </c>
      <c r="AY875" t="s">
        <v>118</v>
      </c>
      <c r="BA875" s="10">
        <v>14435014240</v>
      </c>
      <c r="BC875" t="s">
        <v>1982</v>
      </c>
      <c r="BD875" t="s">
        <v>9671</v>
      </c>
      <c r="BE875" t="s">
        <v>358</v>
      </c>
      <c r="BF875" t="s">
        <v>11035</v>
      </c>
      <c r="BG875" t="s">
        <v>792</v>
      </c>
      <c r="BH875" s="1">
        <v>45210.833333333336</v>
      </c>
      <c r="BI875">
        <v>40</v>
      </c>
      <c r="BJ875">
        <v>6</v>
      </c>
      <c r="BK875">
        <v>6</v>
      </c>
      <c r="BL875">
        <v>6</v>
      </c>
      <c r="BM875">
        <v>6</v>
      </c>
      <c r="BN875">
        <v>6</v>
      </c>
      <c r="BO875">
        <v>5</v>
      </c>
      <c r="BP875">
        <v>5</v>
      </c>
      <c r="BQ875" t="str">
        <f>"6:00 AM"</f>
        <v>6:00 AM</v>
      </c>
      <c r="BR875" t="str">
        <f>"12:00 AM"</f>
        <v>12:00 AM</v>
      </c>
      <c r="BS875" t="s">
        <v>131</v>
      </c>
      <c r="BT875">
        <v>0</v>
      </c>
      <c r="BU875">
        <v>0</v>
      </c>
      <c r="BV875" t="s">
        <v>114</v>
      </c>
      <c r="BX875" s="2" t="s">
        <v>15619</v>
      </c>
      <c r="BY875" t="s">
        <v>15620</v>
      </c>
      <c r="CA875" t="s">
        <v>15621</v>
      </c>
      <c r="CB875" t="s">
        <v>792</v>
      </c>
      <c r="CC875" s="8" t="str">
        <f>"98595"</f>
        <v>98595</v>
      </c>
      <c r="CD875" t="s">
        <v>5449</v>
      </c>
      <c r="CE875" t="s">
        <v>5450</v>
      </c>
      <c r="CF875" s="12">
        <v>15.74</v>
      </c>
      <c r="CH875" s="12">
        <v>23.61</v>
      </c>
      <c r="CJ875" t="s">
        <v>135</v>
      </c>
      <c r="CK875" t="s">
        <v>7229</v>
      </c>
      <c r="CL875" t="s">
        <v>15622</v>
      </c>
      <c r="CO875" t="s">
        <v>132</v>
      </c>
      <c r="CP875" t="s">
        <v>136</v>
      </c>
      <c r="CQ875" t="s">
        <v>136</v>
      </c>
      <c r="CR875" t="s">
        <v>136</v>
      </c>
      <c r="CS875" t="s">
        <v>136</v>
      </c>
      <c r="CT875" t="s">
        <v>136</v>
      </c>
      <c r="CU875" t="s">
        <v>136</v>
      </c>
      <c r="CV875" t="s">
        <v>1987</v>
      </c>
      <c r="CW875" s="10" t="str">
        <f>"+15039054427"</f>
        <v>+15039054427</v>
      </c>
      <c r="CX875" t="s">
        <v>15623</v>
      </c>
      <c r="CY875" t="s">
        <v>15624</v>
      </c>
      <c r="CZ875" t="s">
        <v>137</v>
      </c>
      <c r="DA875" t="s">
        <v>114</v>
      </c>
      <c r="DB875" t="s">
        <v>136</v>
      </c>
      <c r="DC875" t="s">
        <v>136</v>
      </c>
      <c r="DD875" t="s">
        <v>114</v>
      </c>
    </row>
    <row r="876" spans="1:113" ht="15" customHeight="1" x14ac:dyDescent="0.25">
      <c r="A876" t="s">
        <v>22451</v>
      </c>
      <c r="B876" t="s">
        <v>152</v>
      </c>
      <c r="C876" s="1">
        <v>45211.709716550926</v>
      </c>
      <c r="D876" s="1">
        <v>45246</v>
      </c>
      <c r="E876" t="s">
        <v>132</v>
      </c>
      <c r="F876" t="s">
        <v>22452</v>
      </c>
      <c r="G876" t="str">
        <f>"39-3091.00"</f>
        <v>39-3091.00</v>
      </c>
      <c r="H876" t="s">
        <v>237</v>
      </c>
      <c r="I876">
        <v>25</v>
      </c>
      <c r="J876">
        <v>25</v>
      </c>
      <c r="K876" s="1">
        <v>45301</v>
      </c>
      <c r="L876" s="1">
        <v>45605</v>
      </c>
      <c r="M876" s="1">
        <v>45301</v>
      </c>
      <c r="N876" s="1">
        <v>45605</v>
      </c>
      <c r="O876" t="s">
        <v>238</v>
      </c>
      <c r="P876" t="s">
        <v>22453</v>
      </c>
      <c r="Q876" t="s">
        <v>132</v>
      </c>
      <c r="R876" t="s">
        <v>22454</v>
      </c>
      <c r="S876" t="s">
        <v>22455</v>
      </c>
      <c r="T876" t="s">
        <v>7054</v>
      </c>
      <c r="U876" t="s">
        <v>402</v>
      </c>
      <c r="V876" s="8" t="str">
        <f>"92505"</f>
        <v>92505</v>
      </c>
      <c r="W876" t="s">
        <v>118</v>
      </c>
      <c r="X876" t="s">
        <v>132</v>
      </c>
      <c r="Y876" s="10">
        <v>19513241447</v>
      </c>
      <c r="Z876" s="3" t="s">
        <v>256</v>
      </c>
      <c r="AA876">
        <v>71399</v>
      </c>
      <c r="AB876" t="s">
        <v>22456</v>
      </c>
      <c r="AC876" t="s">
        <v>7792</v>
      </c>
      <c r="AD876" t="s">
        <v>132</v>
      </c>
      <c r="AE876" t="s">
        <v>1836</v>
      </c>
      <c r="AF876" t="s">
        <v>22454</v>
      </c>
      <c r="AG876" t="s">
        <v>22455</v>
      </c>
      <c r="AH876" t="s">
        <v>7054</v>
      </c>
      <c r="AI876" t="s">
        <v>402</v>
      </c>
      <c r="AJ876" s="8" t="str">
        <f>"92505"</f>
        <v>92505</v>
      </c>
      <c r="AK876" t="s">
        <v>118</v>
      </c>
      <c r="AM876" s="10">
        <v>19512040789</v>
      </c>
      <c r="AN876" s="3" t="s">
        <v>256</v>
      </c>
      <c r="AO876" t="s">
        <v>22457</v>
      </c>
      <c r="AP876" t="s">
        <v>248</v>
      </c>
      <c r="AQ876" t="s">
        <v>249</v>
      </c>
      <c r="AR876" t="s">
        <v>250</v>
      </c>
      <c r="AS876" t="s">
        <v>251</v>
      </c>
      <c r="AT876" t="s">
        <v>252</v>
      </c>
      <c r="AU876" t="s">
        <v>253</v>
      </c>
      <c r="AV876" t="s">
        <v>254</v>
      </c>
      <c r="AW876" t="s">
        <v>127</v>
      </c>
      <c r="AX876" s="8" t="str">
        <f>"78550"</f>
        <v>78550</v>
      </c>
      <c r="AY876" t="s">
        <v>118</v>
      </c>
      <c r="BA876" s="10">
        <v>19564408720</v>
      </c>
      <c r="BB876" s="3" t="s">
        <v>256</v>
      </c>
      <c r="BC876" t="s">
        <v>3829</v>
      </c>
      <c r="BD876" t="s">
        <v>258</v>
      </c>
      <c r="BG876" t="s">
        <v>402</v>
      </c>
      <c r="BH876" s="1">
        <v>45210.833333333336</v>
      </c>
      <c r="BI876">
        <v>35</v>
      </c>
      <c r="BJ876">
        <v>7</v>
      </c>
      <c r="BK876">
        <v>0</v>
      </c>
      <c r="BL876">
        <v>0</v>
      </c>
      <c r="BM876">
        <v>7</v>
      </c>
      <c r="BN876">
        <v>7</v>
      </c>
      <c r="BO876">
        <v>7</v>
      </c>
      <c r="BP876">
        <v>7</v>
      </c>
      <c r="BQ876" t="str">
        <f>"1:00 PM"</f>
        <v>1:00 PM</v>
      </c>
      <c r="BR876" t="str">
        <f>"9:00 PM"</f>
        <v>9:00 PM</v>
      </c>
      <c r="BS876" t="s">
        <v>131</v>
      </c>
      <c r="BT876">
        <v>0</v>
      </c>
      <c r="BU876">
        <v>0</v>
      </c>
      <c r="BV876" t="s">
        <v>114</v>
      </c>
      <c r="BX876" s="2" t="s">
        <v>259</v>
      </c>
      <c r="BY876" t="s">
        <v>22458</v>
      </c>
      <c r="CA876" t="s">
        <v>22459</v>
      </c>
      <c r="CB876" t="s">
        <v>402</v>
      </c>
      <c r="CC876" s="8" t="str">
        <f>"92337"</f>
        <v>92337</v>
      </c>
      <c r="CD876" t="s">
        <v>4483</v>
      </c>
      <c r="CE876" t="s">
        <v>4484</v>
      </c>
      <c r="CF876" s="12">
        <v>14.63</v>
      </c>
      <c r="CG876" s="12">
        <v>16.899999999999999</v>
      </c>
      <c r="CJ876" t="s">
        <v>135</v>
      </c>
      <c r="CK876" t="s">
        <v>264</v>
      </c>
      <c r="CL876" t="s">
        <v>22460</v>
      </c>
      <c r="CO876" t="s">
        <v>132</v>
      </c>
      <c r="CP876" t="s">
        <v>136</v>
      </c>
      <c r="CQ876" t="s">
        <v>136</v>
      </c>
      <c r="CR876" t="s">
        <v>114</v>
      </c>
      <c r="CS876" t="s">
        <v>136</v>
      </c>
      <c r="CT876" t="s">
        <v>136</v>
      </c>
      <c r="CU876" t="s">
        <v>136</v>
      </c>
      <c r="CV876" t="s">
        <v>2258</v>
      </c>
      <c r="CW876" s="10" t="str">
        <f>"+19513241447"</f>
        <v>+19513241447</v>
      </c>
      <c r="CX876" t="s">
        <v>22461</v>
      </c>
      <c r="CY876" t="s">
        <v>132</v>
      </c>
      <c r="CZ876" t="s">
        <v>137</v>
      </c>
      <c r="DA876" t="s">
        <v>114</v>
      </c>
      <c r="DB876" t="s">
        <v>114</v>
      </c>
      <c r="DC876" t="s">
        <v>136</v>
      </c>
      <c r="DD876" t="s">
        <v>114</v>
      </c>
    </row>
    <row r="877" spans="1:113" ht="15" customHeight="1" x14ac:dyDescent="0.25">
      <c r="A877" t="s">
        <v>14227</v>
      </c>
      <c r="B877" t="s">
        <v>152</v>
      </c>
      <c r="C877" s="1">
        <v>45211.349474074072</v>
      </c>
      <c r="D877" s="1">
        <v>45246</v>
      </c>
      <c r="E877" t="s">
        <v>132</v>
      </c>
      <c r="F877" t="s">
        <v>236</v>
      </c>
      <c r="G877" t="str">
        <f>"39-3091.00"</f>
        <v>39-3091.00</v>
      </c>
      <c r="H877" t="s">
        <v>237</v>
      </c>
      <c r="I877">
        <v>40</v>
      </c>
      <c r="J877">
        <v>40</v>
      </c>
      <c r="K877" s="1">
        <v>45301</v>
      </c>
      <c r="L877" s="1">
        <v>45596</v>
      </c>
      <c r="M877" s="1">
        <v>45301</v>
      </c>
      <c r="N877" s="1">
        <v>45596</v>
      </c>
      <c r="O877" t="s">
        <v>238</v>
      </c>
      <c r="P877" t="s">
        <v>14228</v>
      </c>
      <c r="Q877" t="s">
        <v>14229</v>
      </c>
      <c r="R877" t="s">
        <v>14230</v>
      </c>
      <c r="S877" t="s">
        <v>14231</v>
      </c>
      <c r="T877" t="s">
        <v>14232</v>
      </c>
      <c r="U877" t="s">
        <v>127</v>
      </c>
      <c r="V877" s="8" t="str">
        <f>"76640"</f>
        <v>76640</v>
      </c>
      <c r="W877" t="s">
        <v>118</v>
      </c>
      <c r="Y877" s="10">
        <v>12544950527</v>
      </c>
      <c r="AA877">
        <v>711190</v>
      </c>
      <c r="AB877" t="s">
        <v>14233</v>
      </c>
      <c r="AC877" t="s">
        <v>2787</v>
      </c>
      <c r="AE877" t="s">
        <v>378</v>
      </c>
      <c r="AF877" t="s">
        <v>14230</v>
      </c>
      <c r="AG877" t="s">
        <v>14231</v>
      </c>
      <c r="AH877" t="s">
        <v>14232</v>
      </c>
      <c r="AI877" t="s">
        <v>127</v>
      </c>
      <c r="AJ877" s="8" t="str">
        <f>"76640"</f>
        <v>76640</v>
      </c>
      <c r="AK877" t="s">
        <v>118</v>
      </c>
      <c r="AM877" s="10">
        <v>12544950527</v>
      </c>
      <c r="AO877" t="s">
        <v>14234</v>
      </c>
      <c r="AP877" t="s">
        <v>248</v>
      </c>
      <c r="AQ877" t="s">
        <v>249</v>
      </c>
      <c r="AR877" t="s">
        <v>250</v>
      </c>
      <c r="AS877" t="s">
        <v>251</v>
      </c>
      <c r="AT877" t="s">
        <v>252</v>
      </c>
      <c r="AU877" t="s">
        <v>253</v>
      </c>
      <c r="AV877" t="s">
        <v>254</v>
      </c>
      <c r="AW877" t="s">
        <v>127</v>
      </c>
      <c r="AX877" s="8" t="str">
        <f>"78550"</f>
        <v>78550</v>
      </c>
      <c r="AY877" t="s">
        <v>118</v>
      </c>
      <c r="AZ877" t="s">
        <v>255</v>
      </c>
      <c r="BA877" s="10">
        <v>19564408720</v>
      </c>
      <c r="BB877" s="3" t="s">
        <v>256</v>
      </c>
      <c r="BC877" t="s">
        <v>257</v>
      </c>
      <c r="BD877" t="s">
        <v>258</v>
      </c>
      <c r="BG877" t="s">
        <v>127</v>
      </c>
      <c r="BH877" s="1">
        <v>45210.833333333336</v>
      </c>
      <c r="BI877">
        <v>40</v>
      </c>
      <c r="BJ877">
        <v>8</v>
      </c>
      <c r="BK877">
        <v>0</v>
      </c>
      <c r="BL877">
        <v>0</v>
      </c>
      <c r="BM877">
        <v>8</v>
      </c>
      <c r="BN877">
        <v>8</v>
      </c>
      <c r="BO877">
        <v>8</v>
      </c>
      <c r="BP877">
        <v>8</v>
      </c>
      <c r="BQ877" t="str">
        <f>"1:00 PM"</f>
        <v>1:00 PM</v>
      </c>
      <c r="BR877" t="str">
        <f>"10:00 PM"</f>
        <v>10:00 PM</v>
      </c>
      <c r="BS877" t="s">
        <v>131</v>
      </c>
      <c r="BT877">
        <v>0</v>
      </c>
      <c r="BU877">
        <v>0</v>
      </c>
      <c r="BV877" t="s">
        <v>114</v>
      </c>
      <c r="BX877" s="2" t="s">
        <v>259</v>
      </c>
      <c r="BY877" t="s">
        <v>14235</v>
      </c>
      <c r="CA877" t="s">
        <v>14236</v>
      </c>
      <c r="CB877" t="s">
        <v>127</v>
      </c>
      <c r="CC877" s="8" t="str">
        <f>"78363"</f>
        <v>78363</v>
      </c>
      <c r="CD877" t="s">
        <v>14237</v>
      </c>
      <c r="CE877" t="s">
        <v>1590</v>
      </c>
      <c r="CF877" s="12">
        <v>9.18</v>
      </c>
      <c r="CG877" s="12">
        <v>12.36</v>
      </c>
      <c r="CJ877" t="s">
        <v>135</v>
      </c>
      <c r="CK877" t="s">
        <v>264</v>
      </c>
      <c r="CL877" t="s">
        <v>14238</v>
      </c>
      <c r="CO877" t="s">
        <v>132</v>
      </c>
      <c r="CP877" t="s">
        <v>136</v>
      </c>
      <c r="CQ877" t="s">
        <v>136</v>
      </c>
      <c r="CR877" t="s">
        <v>114</v>
      </c>
      <c r="CS877" t="s">
        <v>136</v>
      </c>
      <c r="CT877" t="s">
        <v>136</v>
      </c>
      <c r="CU877" t="s">
        <v>136</v>
      </c>
      <c r="CV877" t="s">
        <v>14239</v>
      </c>
      <c r="CW877" s="10" t="str">
        <f>"+12544950527"</f>
        <v>+12544950527</v>
      </c>
      <c r="CX877" t="s">
        <v>14240</v>
      </c>
      <c r="CY877" t="s">
        <v>132</v>
      </c>
      <c r="CZ877" t="s">
        <v>137</v>
      </c>
      <c r="DA877" t="s">
        <v>114</v>
      </c>
      <c r="DB877" t="s">
        <v>136</v>
      </c>
      <c r="DC877" t="s">
        <v>136</v>
      </c>
      <c r="DD877" t="s">
        <v>114</v>
      </c>
    </row>
    <row r="878" spans="1:113" ht="15" customHeight="1" x14ac:dyDescent="0.25">
      <c r="A878" t="s">
        <v>23741</v>
      </c>
      <c r="B878" t="s">
        <v>152</v>
      </c>
      <c r="C878" s="1">
        <v>45210.727608796296</v>
      </c>
      <c r="D878" s="1">
        <v>45246</v>
      </c>
      <c r="E878" t="s">
        <v>132</v>
      </c>
      <c r="F878" t="s">
        <v>22128</v>
      </c>
      <c r="G878" t="str">
        <f>"51-3092.00"</f>
        <v>51-3092.00</v>
      </c>
      <c r="H878" t="s">
        <v>2976</v>
      </c>
      <c r="I878">
        <v>1</v>
      </c>
      <c r="J878">
        <v>1</v>
      </c>
      <c r="K878" s="1">
        <v>45292</v>
      </c>
      <c r="L878" s="1">
        <v>45402</v>
      </c>
      <c r="M878" s="1">
        <v>45292</v>
      </c>
      <c r="N878" s="1">
        <v>45402</v>
      </c>
      <c r="O878" t="s">
        <v>238</v>
      </c>
      <c r="P878" t="s">
        <v>16189</v>
      </c>
      <c r="R878" t="s">
        <v>16190</v>
      </c>
      <c r="T878" t="s">
        <v>16191</v>
      </c>
      <c r="U878" t="s">
        <v>792</v>
      </c>
      <c r="V878" s="8" t="str">
        <f>"98052"</f>
        <v>98052</v>
      </c>
      <c r="W878" t="s">
        <v>118</v>
      </c>
      <c r="Y878" s="10">
        <v>14258691703</v>
      </c>
      <c r="AA878">
        <v>311710</v>
      </c>
      <c r="AB878" t="s">
        <v>16192</v>
      </c>
      <c r="AC878" t="s">
        <v>16193</v>
      </c>
      <c r="AE878" t="s">
        <v>16194</v>
      </c>
      <c r="AF878" t="s">
        <v>16190</v>
      </c>
      <c r="AH878" t="s">
        <v>16191</v>
      </c>
      <c r="AI878" t="s">
        <v>792</v>
      </c>
      <c r="AJ878" s="8" t="str">
        <f>"98052"</f>
        <v>98052</v>
      </c>
      <c r="AK878" t="s">
        <v>118</v>
      </c>
      <c r="AM878" s="10">
        <v>14258691703</v>
      </c>
      <c r="AO878" t="s">
        <v>16195</v>
      </c>
      <c r="AP878" t="s">
        <v>121</v>
      </c>
      <c r="AQ878" t="s">
        <v>2739</v>
      </c>
      <c r="AR878" t="s">
        <v>9684</v>
      </c>
      <c r="AS878" t="s">
        <v>2709</v>
      </c>
      <c r="AT878" t="s">
        <v>9685</v>
      </c>
      <c r="AU878" t="s">
        <v>1071</v>
      </c>
      <c r="AV878" t="s">
        <v>3673</v>
      </c>
      <c r="AW878" t="s">
        <v>792</v>
      </c>
      <c r="AX878" s="8" t="str">
        <f>"98104"</f>
        <v>98104</v>
      </c>
      <c r="AY878" t="s">
        <v>118</v>
      </c>
      <c r="BA878" s="10">
        <v>12067578354</v>
      </c>
      <c r="BC878" t="s">
        <v>9686</v>
      </c>
      <c r="BD878" t="s">
        <v>9687</v>
      </c>
      <c r="BE878" t="s">
        <v>792</v>
      </c>
      <c r="BF878" t="s">
        <v>2142</v>
      </c>
      <c r="BG878" t="s">
        <v>2706</v>
      </c>
      <c r="BH878" s="1">
        <v>45209.833333333336</v>
      </c>
      <c r="BI878">
        <v>72</v>
      </c>
      <c r="BJ878">
        <v>0</v>
      </c>
      <c r="BK878">
        <v>12</v>
      </c>
      <c r="BL878">
        <v>12</v>
      </c>
      <c r="BM878">
        <v>12</v>
      </c>
      <c r="BN878">
        <v>12</v>
      </c>
      <c r="BO878">
        <v>12</v>
      </c>
      <c r="BP878">
        <v>12</v>
      </c>
      <c r="BQ878" t="str">
        <f>"6:00 AM"</f>
        <v>6:00 AM</v>
      </c>
      <c r="BR878" t="str">
        <f>"6:00 PM"</f>
        <v>6:00 PM</v>
      </c>
      <c r="BS878" t="s">
        <v>131</v>
      </c>
      <c r="BT878">
        <v>0</v>
      </c>
      <c r="BU878">
        <v>24</v>
      </c>
      <c r="BV878" t="s">
        <v>114</v>
      </c>
      <c r="BX878" s="2" t="s">
        <v>23742</v>
      </c>
      <c r="BY878" t="s">
        <v>23743</v>
      </c>
      <c r="CA878" t="s">
        <v>23744</v>
      </c>
      <c r="CB878" t="s">
        <v>2706</v>
      </c>
      <c r="CC878" s="8" t="str">
        <f>"99692"</f>
        <v>99692</v>
      </c>
      <c r="CD878" t="s">
        <v>16200</v>
      </c>
      <c r="CE878" t="s">
        <v>2714</v>
      </c>
      <c r="CF878" s="12">
        <v>20.059999999999999</v>
      </c>
      <c r="CH878" s="12">
        <v>30.09</v>
      </c>
      <c r="CJ878" t="s">
        <v>135</v>
      </c>
      <c r="CK878" t="s">
        <v>9692</v>
      </c>
      <c r="CL878" t="s">
        <v>23745</v>
      </c>
      <c r="CO878" t="s">
        <v>132</v>
      </c>
      <c r="CP878" t="s">
        <v>114</v>
      </c>
      <c r="CQ878" t="s">
        <v>114</v>
      </c>
      <c r="CR878" t="s">
        <v>136</v>
      </c>
      <c r="CS878" t="s">
        <v>114</v>
      </c>
      <c r="CT878" t="s">
        <v>136</v>
      </c>
      <c r="CU878" t="s">
        <v>136</v>
      </c>
      <c r="CV878" t="s">
        <v>16202</v>
      </c>
      <c r="CW878" s="10" t="str">
        <f>"N/A"</f>
        <v>N/A</v>
      </c>
      <c r="CX878" t="s">
        <v>9695</v>
      </c>
      <c r="CY878" t="s">
        <v>9696</v>
      </c>
      <c r="CZ878" t="s">
        <v>137</v>
      </c>
      <c r="DA878" t="s">
        <v>114</v>
      </c>
      <c r="DB878" t="s">
        <v>114</v>
      </c>
      <c r="DC878" t="s">
        <v>136</v>
      </c>
      <c r="DD878" t="s">
        <v>114</v>
      </c>
    </row>
    <row r="879" spans="1:113" ht="15" customHeight="1" x14ac:dyDescent="0.25">
      <c r="A879" t="s">
        <v>18680</v>
      </c>
      <c r="B879" t="s">
        <v>152</v>
      </c>
      <c r="C879" s="1">
        <v>45210.713518865741</v>
      </c>
      <c r="D879" s="1">
        <v>45246</v>
      </c>
      <c r="E879" t="s">
        <v>132</v>
      </c>
      <c r="F879" t="s">
        <v>685</v>
      </c>
      <c r="G879" t="str">
        <f>"35-3023.00"</f>
        <v>35-3023.00</v>
      </c>
      <c r="H879" t="s">
        <v>1365</v>
      </c>
      <c r="I879">
        <v>33</v>
      </c>
      <c r="J879">
        <v>33</v>
      </c>
      <c r="K879" s="1">
        <v>45292</v>
      </c>
      <c r="L879" s="1">
        <v>45596</v>
      </c>
      <c r="M879" s="1">
        <v>45292</v>
      </c>
      <c r="N879" s="1">
        <v>45596</v>
      </c>
      <c r="O879" t="s">
        <v>238</v>
      </c>
      <c r="P879" t="s">
        <v>18681</v>
      </c>
      <c r="Q879" t="s">
        <v>18682</v>
      </c>
      <c r="R879" t="s">
        <v>18683</v>
      </c>
      <c r="T879" t="s">
        <v>11320</v>
      </c>
      <c r="U879" t="s">
        <v>434</v>
      </c>
      <c r="V879" s="8" t="str">
        <f>"16127"</f>
        <v>16127</v>
      </c>
      <c r="W879" t="s">
        <v>118</v>
      </c>
      <c r="Y879" s="10">
        <v>17247484788</v>
      </c>
      <c r="Z879" s="3" t="s">
        <v>256</v>
      </c>
      <c r="AA879">
        <v>71399</v>
      </c>
      <c r="AB879" t="s">
        <v>11318</v>
      </c>
      <c r="AC879" t="s">
        <v>3249</v>
      </c>
      <c r="AE879" t="s">
        <v>629</v>
      </c>
      <c r="AF879" t="s">
        <v>18683</v>
      </c>
      <c r="AH879" t="s">
        <v>11320</v>
      </c>
      <c r="AI879" t="s">
        <v>434</v>
      </c>
      <c r="AJ879" s="8" t="str">
        <f>"16127"</f>
        <v>16127</v>
      </c>
      <c r="AK879" t="s">
        <v>118</v>
      </c>
      <c r="AM879" s="10">
        <v>14126385087</v>
      </c>
      <c r="AN879" s="3" t="s">
        <v>256</v>
      </c>
      <c r="AO879" t="s">
        <v>18684</v>
      </c>
      <c r="AP879" t="s">
        <v>248</v>
      </c>
      <c r="AQ879" t="s">
        <v>249</v>
      </c>
      <c r="AR879" t="s">
        <v>250</v>
      </c>
      <c r="AS879" t="s">
        <v>251</v>
      </c>
      <c r="AT879" t="s">
        <v>252</v>
      </c>
      <c r="AU879" t="s">
        <v>253</v>
      </c>
      <c r="AV879" t="s">
        <v>254</v>
      </c>
      <c r="AW879" t="s">
        <v>127</v>
      </c>
      <c r="AX879" s="8" t="str">
        <f>"78550"</f>
        <v>78550</v>
      </c>
      <c r="AY879" t="s">
        <v>118</v>
      </c>
      <c r="AZ879" t="s">
        <v>255</v>
      </c>
      <c r="BA879" s="10">
        <v>19564408720</v>
      </c>
      <c r="BB879" s="3" t="s">
        <v>256</v>
      </c>
      <c r="BC879" t="s">
        <v>338</v>
      </c>
      <c r="BD879" t="s">
        <v>258</v>
      </c>
      <c r="BG879" t="s">
        <v>434</v>
      </c>
      <c r="BH879" s="1">
        <v>45209.833333333336</v>
      </c>
      <c r="BI879">
        <v>40</v>
      </c>
      <c r="BJ879">
        <v>8</v>
      </c>
      <c r="BK879">
        <v>0</v>
      </c>
      <c r="BL879">
        <v>0</v>
      </c>
      <c r="BM879">
        <v>8</v>
      </c>
      <c r="BN879">
        <v>8</v>
      </c>
      <c r="BO879">
        <v>8</v>
      </c>
      <c r="BP879">
        <v>8</v>
      </c>
      <c r="BQ879" t="str">
        <f>"1:00 PM"</f>
        <v>1:00 PM</v>
      </c>
      <c r="BR879" t="str">
        <f>"10:00 PM"</f>
        <v>10:00 PM</v>
      </c>
      <c r="BS879" t="s">
        <v>131</v>
      </c>
      <c r="BT879">
        <v>0</v>
      </c>
      <c r="BU879">
        <v>0</v>
      </c>
      <c r="BV879" t="s">
        <v>114</v>
      </c>
      <c r="BX879" s="2" t="s">
        <v>339</v>
      </c>
      <c r="BY879" t="s">
        <v>18685</v>
      </c>
      <c r="CA879" t="s">
        <v>11317</v>
      </c>
      <c r="CB879" t="s">
        <v>434</v>
      </c>
      <c r="CC879" s="8" t="str">
        <f>"16127"</f>
        <v>16127</v>
      </c>
      <c r="CD879" t="s">
        <v>3298</v>
      </c>
      <c r="CE879" t="s">
        <v>3206</v>
      </c>
      <c r="CF879" s="12">
        <v>11.25</v>
      </c>
      <c r="CG879" s="12">
        <v>15.12</v>
      </c>
      <c r="CJ879" t="s">
        <v>135</v>
      </c>
      <c r="CK879" t="s">
        <v>342</v>
      </c>
      <c r="CL879" t="s">
        <v>18686</v>
      </c>
      <c r="CO879" t="s">
        <v>132</v>
      </c>
      <c r="CP879" t="s">
        <v>136</v>
      </c>
      <c r="CQ879" t="s">
        <v>136</v>
      </c>
      <c r="CR879" t="s">
        <v>114</v>
      </c>
      <c r="CS879" t="s">
        <v>136</v>
      </c>
      <c r="CT879" t="s">
        <v>136</v>
      </c>
      <c r="CU879" t="s">
        <v>136</v>
      </c>
      <c r="CV879" t="s">
        <v>18687</v>
      </c>
      <c r="CW879" s="10" t="str">
        <f>"+17247484788"</f>
        <v>+17247484788</v>
      </c>
      <c r="CX879" t="s">
        <v>18684</v>
      </c>
      <c r="CY879" t="s">
        <v>132</v>
      </c>
      <c r="CZ879" t="s">
        <v>137</v>
      </c>
      <c r="DA879" t="s">
        <v>114</v>
      </c>
      <c r="DB879" t="s">
        <v>136</v>
      </c>
      <c r="DC879" t="s">
        <v>136</v>
      </c>
      <c r="DD879" t="s">
        <v>114</v>
      </c>
    </row>
    <row r="880" spans="1:113" ht="15" customHeight="1" x14ac:dyDescent="0.25">
      <c r="A880" t="s">
        <v>14524</v>
      </c>
      <c r="B880" t="s">
        <v>152</v>
      </c>
      <c r="C880" s="1">
        <v>45209.688259027775</v>
      </c>
      <c r="D880" s="1">
        <v>45246</v>
      </c>
      <c r="E880" t="s">
        <v>132</v>
      </c>
      <c r="F880" t="s">
        <v>7945</v>
      </c>
      <c r="G880" t="str">
        <f>"51-3022.00"</f>
        <v>51-3022.00</v>
      </c>
      <c r="H880" t="s">
        <v>1004</v>
      </c>
      <c r="I880">
        <v>120</v>
      </c>
      <c r="J880">
        <v>120</v>
      </c>
      <c r="K880" s="1">
        <v>45284</v>
      </c>
      <c r="L880" s="1">
        <v>45478</v>
      </c>
      <c r="M880" s="1">
        <v>45284</v>
      </c>
      <c r="N880" s="1">
        <v>45478</v>
      </c>
      <c r="O880" t="s">
        <v>238</v>
      </c>
      <c r="P880" t="s">
        <v>14525</v>
      </c>
      <c r="R880" t="s">
        <v>14526</v>
      </c>
      <c r="T880" t="s">
        <v>10190</v>
      </c>
      <c r="U880" t="s">
        <v>333</v>
      </c>
      <c r="V880" s="8" t="str">
        <f>"70554"</f>
        <v>70554</v>
      </c>
      <c r="W880" t="s">
        <v>118</v>
      </c>
      <c r="Y880" s="10">
        <v>13372244577</v>
      </c>
      <c r="AA880">
        <v>31171</v>
      </c>
      <c r="AB880" t="s">
        <v>4920</v>
      </c>
      <c r="AC880" t="s">
        <v>2787</v>
      </c>
      <c r="AE880" t="s">
        <v>561</v>
      </c>
      <c r="AF880" t="s">
        <v>14527</v>
      </c>
      <c r="AH880" t="s">
        <v>10190</v>
      </c>
      <c r="AI880" t="s">
        <v>333</v>
      </c>
      <c r="AJ880" s="8" t="str">
        <f>"70554"</f>
        <v>70554</v>
      </c>
      <c r="AK880" t="s">
        <v>118</v>
      </c>
      <c r="AM880" s="10">
        <v>13372244577</v>
      </c>
      <c r="AO880" t="s">
        <v>14528</v>
      </c>
      <c r="AP880" t="s">
        <v>121</v>
      </c>
      <c r="AQ880" t="s">
        <v>7419</v>
      </c>
      <c r="AR880" t="s">
        <v>990</v>
      </c>
      <c r="AS880" t="s">
        <v>7420</v>
      </c>
      <c r="AT880" t="s">
        <v>7421</v>
      </c>
      <c r="AU880" t="s">
        <v>7422</v>
      </c>
      <c r="AV880" t="s">
        <v>3501</v>
      </c>
      <c r="AW880" t="s">
        <v>127</v>
      </c>
      <c r="AX880" s="8" t="str">
        <f>"75082"</f>
        <v>75082</v>
      </c>
      <c r="AY880" t="s">
        <v>118</v>
      </c>
      <c r="BA880" s="10">
        <v>14699407805</v>
      </c>
      <c r="BC880" t="s">
        <v>7423</v>
      </c>
      <c r="BD880" t="s">
        <v>7424</v>
      </c>
      <c r="BE880" t="s">
        <v>333</v>
      </c>
      <c r="BF880" t="s">
        <v>2190</v>
      </c>
      <c r="BG880" t="s">
        <v>333</v>
      </c>
      <c r="BH880" s="1">
        <v>45208.833333333336</v>
      </c>
      <c r="BI880">
        <v>35</v>
      </c>
      <c r="BJ880">
        <v>0</v>
      </c>
      <c r="BK880">
        <v>7</v>
      </c>
      <c r="BL880">
        <v>7</v>
      </c>
      <c r="BM880">
        <v>7</v>
      </c>
      <c r="BN880">
        <v>7</v>
      </c>
      <c r="BO880">
        <v>7</v>
      </c>
      <c r="BP880">
        <v>0</v>
      </c>
      <c r="BQ880" t="str">
        <f>"6:00 AM"</f>
        <v>6:00 AM</v>
      </c>
      <c r="BR880" t="str">
        <f>"2:00 PM"</f>
        <v>2:00 PM</v>
      </c>
      <c r="BS880" t="s">
        <v>131</v>
      </c>
      <c r="BT880">
        <v>0</v>
      </c>
      <c r="BU880">
        <v>1</v>
      </c>
      <c r="BV880" t="s">
        <v>114</v>
      </c>
      <c r="BX880" s="2" t="s">
        <v>14529</v>
      </c>
      <c r="BY880" t="s">
        <v>14526</v>
      </c>
      <c r="CA880" t="s">
        <v>10190</v>
      </c>
      <c r="CB880" t="s">
        <v>333</v>
      </c>
      <c r="CC880" s="8" t="str">
        <f>"70554"</f>
        <v>70554</v>
      </c>
      <c r="CD880" t="s">
        <v>10195</v>
      </c>
      <c r="CE880" t="s">
        <v>4268</v>
      </c>
      <c r="CF880" s="12">
        <v>13.24</v>
      </c>
      <c r="CG880" s="12">
        <v>13.24</v>
      </c>
      <c r="CH880" s="12">
        <v>19.86</v>
      </c>
      <c r="CI880" s="12">
        <v>19.86</v>
      </c>
      <c r="CJ880" t="s">
        <v>135</v>
      </c>
      <c r="CK880" t="s">
        <v>12106</v>
      </c>
      <c r="CL880" t="s">
        <v>14530</v>
      </c>
      <c r="CO880" t="s">
        <v>132</v>
      </c>
      <c r="CP880" t="s">
        <v>114</v>
      </c>
      <c r="CQ880" t="s">
        <v>136</v>
      </c>
      <c r="CR880" t="s">
        <v>136</v>
      </c>
      <c r="CS880" t="s">
        <v>114</v>
      </c>
      <c r="CT880" t="s">
        <v>136</v>
      </c>
      <c r="CU880" t="s">
        <v>136</v>
      </c>
      <c r="CV880" s="2" t="s">
        <v>14531</v>
      </c>
      <c r="CW880" s="10" t="str">
        <f>"+13372244577"</f>
        <v>+13372244577</v>
      </c>
      <c r="CX880" t="s">
        <v>14528</v>
      </c>
      <c r="CY880" t="s">
        <v>132</v>
      </c>
      <c r="CZ880" t="s">
        <v>137</v>
      </c>
      <c r="DA880" t="s">
        <v>114</v>
      </c>
      <c r="DB880" t="s">
        <v>114</v>
      </c>
      <c r="DC880" t="s">
        <v>136</v>
      </c>
      <c r="DD880" t="s">
        <v>114</v>
      </c>
      <c r="DE880" t="s">
        <v>7425</v>
      </c>
      <c r="DF880" t="s">
        <v>2001</v>
      </c>
      <c r="DG880" t="s">
        <v>3587</v>
      </c>
      <c r="DH880" t="s">
        <v>7424</v>
      </c>
      <c r="DI880" t="s">
        <v>7426</v>
      </c>
    </row>
    <row r="881" spans="1:113" ht="15" customHeight="1" x14ac:dyDescent="0.25">
      <c r="A881" t="s">
        <v>21824</v>
      </c>
      <c r="B881" t="s">
        <v>152</v>
      </c>
      <c r="C881" s="1">
        <v>45209.299974652778</v>
      </c>
      <c r="D881" s="1">
        <v>45246</v>
      </c>
      <c r="E881" t="s">
        <v>132</v>
      </c>
      <c r="F881" t="s">
        <v>236</v>
      </c>
      <c r="G881" t="str">
        <f>"39-3091.00"</f>
        <v>39-3091.00</v>
      </c>
      <c r="H881" t="s">
        <v>237</v>
      </c>
      <c r="I881">
        <v>22</v>
      </c>
      <c r="J881">
        <v>22</v>
      </c>
      <c r="K881" s="1">
        <v>45299</v>
      </c>
      <c r="L881" s="1">
        <v>45603</v>
      </c>
      <c r="M881" s="1">
        <v>45299</v>
      </c>
      <c r="N881" s="1">
        <v>45603</v>
      </c>
      <c r="O881" t="s">
        <v>238</v>
      </c>
      <c r="P881" t="s">
        <v>21825</v>
      </c>
      <c r="Q881" t="s">
        <v>21826</v>
      </c>
      <c r="R881" t="s">
        <v>21827</v>
      </c>
      <c r="T881" t="s">
        <v>2161</v>
      </c>
      <c r="U881" t="s">
        <v>127</v>
      </c>
      <c r="V881" s="8" t="str">
        <f>"78415"</f>
        <v>78415</v>
      </c>
      <c r="W881" t="s">
        <v>118</v>
      </c>
      <c r="Y881" s="10">
        <v>18064381183</v>
      </c>
      <c r="AA881">
        <v>71399</v>
      </c>
      <c r="AB881" t="s">
        <v>2580</v>
      </c>
      <c r="AC881" t="s">
        <v>21828</v>
      </c>
      <c r="AE881" t="s">
        <v>561</v>
      </c>
      <c r="AF881" t="s">
        <v>21827</v>
      </c>
      <c r="AH881" t="s">
        <v>2161</v>
      </c>
      <c r="AI881" t="s">
        <v>127</v>
      </c>
      <c r="AJ881" s="8" t="str">
        <f>"78415"</f>
        <v>78415</v>
      </c>
      <c r="AK881" t="s">
        <v>118</v>
      </c>
      <c r="AM881" s="10">
        <v>18064381183</v>
      </c>
      <c r="AO881" t="s">
        <v>21829</v>
      </c>
      <c r="AP881" t="s">
        <v>248</v>
      </c>
      <c r="AQ881" t="s">
        <v>249</v>
      </c>
      <c r="AR881" t="s">
        <v>250</v>
      </c>
      <c r="AS881" t="s">
        <v>251</v>
      </c>
      <c r="AT881" t="s">
        <v>252</v>
      </c>
      <c r="AU881" t="s">
        <v>253</v>
      </c>
      <c r="AV881" t="s">
        <v>254</v>
      </c>
      <c r="AW881" t="s">
        <v>127</v>
      </c>
      <c r="AX881" s="8" t="str">
        <f>"78550"</f>
        <v>78550</v>
      </c>
      <c r="AY881" t="s">
        <v>118</v>
      </c>
      <c r="BA881" s="10">
        <v>19564408720</v>
      </c>
      <c r="BB881" s="3" t="s">
        <v>256</v>
      </c>
      <c r="BC881" t="s">
        <v>257</v>
      </c>
      <c r="BD881" t="s">
        <v>258</v>
      </c>
      <c r="BG881" t="s">
        <v>127</v>
      </c>
      <c r="BH881" s="1">
        <v>45208.833333333336</v>
      </c>
      <c r="BI881">
        <v>40</v>
      </c>
      <c r="BJ881">
        <v>8</v>
      </c>
      <c r="BK881">
        <v>0</v>
      </c>
      <c r="BL881">
        <v>0</v>
      </c>
      <c r="BM881">
        <v>8</v>
      </c>
      <c r="BN881">
        <v>8</v>
      </c>
      <c r="BO881">
        <v>8</v>
      </c>
      <c r="BP881">
        <v>8</v>
      </c>
      <c r="BQ881" t="str">
        <f>"1:00 PM"</f>
        <v>1:00 PM</v>
      </c>
      <c r="BR881" t="str">
        <f>"10:00 PM"</f>
        <v>10:00 PM</v>
      </c>
      <c r="BS881" t="s">
        <v>131</v>
      </c>
      <c r="BT881">
        <v>0</v>
      </c>
      <c r="BU881">
        <v>0</v>
      </c>
      <c r="BV881" t="s">
        <v>114</v>
      </c>
      <c r="BX881" s="2" t="s">
        <v>2255</v>
      </c>
      <c r="BY881" t="s">
        <v>21827</v>
      </c>
      <c r="CA881" t="s">
        <v>2161</v>
      </c>
      <c r="CB881" t="s">
        <v>127</v>
      </c>
      <c r="CC881" s="8" t="str">
        <f>"78415"</f>
        <v>78415</v>
      </c>
      <c r="CD881" t="s">
        <v>2162</v>
      </c>
      <c r="CE881" t="s">
        <v>2163</v>
      </c>
      <c r="CF881" s="12">
        <v>9.94</v>
      </c>
      <c r="CG881" s="12">
        <v>14.34</v>
      </c>
      <c r="CJ881" t="s">
        <v>135</v>
      </c>
      <c r="CK881" t="s">
        <v>264</v>
      </c>
      <c r="CL881" t="s">
        <v>21830</v>
      </c>
      <c r="CO881" t="s">
        <v>132</v>
      </c>
      <c r="CP881" t="s">
        <v>136</v>
      </c>
      <c r="CQ881" t="s">
        <v>136</v>
      </c>
      <c r="CR881" t="s">
        <v>114</v>
      </c>
      <c r="CS881" t="s">
        <v>136</v>
      </c>
      <c r="CT881" t="s">
        <v>136</v>
      </c>
      <c r="CU881" t="s">
        <v>136</v>
      </c>
      <c r="CV881" t="s">
        <v>21831</v>
      </c>
      <c r="CW881" s="10" t="str">
        <f>"+18064381183"</f>
        <v>+18064381183</v>
      </c>
      <c r="CX881" t="s">
        <v>21829</v>
      </c>
      <c r="CY881" t="s">
        <v>132</v>
      </c>
      <c r="CZ881" t="s">
        <v>137</v>
      </c>
      <c r="DA881" t="s">
        <v>114</v>
      </c>
      <c r="DB881" t="s">
        <v>136</v>
      </c>
      <c r="DC881" t="s">
        <v>136</v>
      </c>
      <c r="DD881" t="s">
        <v>114</v>
      </c>
    </row>
    <row r="882" spans="1:113" ht="15" customHeight="1" x14ac:dyDescent="0.25">
      <c r="A882" t="s">
        <v>22497</v>
      </c>
      <c r="B882" t="s">
        <v>152</v>
      </c>
      <c r="C882" s="1">
        <v>45208.700404513889</v>
      </c>
      <c r="D882" s="1">
        <v>45246</v>
      </c>
      <c r="E882" t="s">
        <v>132</v>
      </c>
      <c r="F882" t="s">
        <v>3544</v>
      </c>
      <c r="G882" t="str">
        <f>"51-3022.00"</f>
        <v>51-3022.00</v>
      </c>
      <c r="H882" t="s">
        <v>1004</v>
      </c>
      <c r="I882">
        <v>350</v>
      </c>
      <c r="J882">
        <v>350</v>
      </c>
      <c r="K882" s="1">
        <v>45292</v>
      </c>
      <c r="L882" s="1">
        <v>45412</v>
      </c>
      <c r="M882" s="1">
        <v>45292</v>
      </c>
      <c r="N882" s="1">
        <v>45412</v>
      </c>
      <c r="O882" t="s">
        <v>238</v>
      </c>
      <c r="P882" t="s">
        <v>21606</v>
      </c>
      <c r="R882" t="s">
        <v>22498</v>
      </c>
      <c r="S882" t="s">
        <v>296</v>
      </c>
      <c r="T882" t="s">
        <v>16191</v>
      </c>
      <c r="U882" t="s">
        <v>792</v>
      </c>
      <c r="V882" s="8" t="str">
        <f>"98052"</f>
        <v>98052</v>
      </c>
      <c r="W882" t="s">
        <v>118</v>
      </c>
      <c r="Y882" s="10">
        <v>14258818181</v>
      </c>
      <c r="AA882">
        <v>31171</v>
      </c>
      <c r="AB882" t="s">
        <v>21608</v>
      </c>
      <c r="AC882" t="s">
        <v>21609</v>
      </c>
      <c r="AE882" t="s">
        <v>405</v>
      </c>
      <c r="AF882" t="s">
        <v>22498</v>
      </c>
      <c r="AG882" t="s">
        <v>296</v>
      </c>
      <c r="AH882" t="s">
        <v>16191</v>
      </c>
      <c r="AI882" t="s">
        <v>792</v>
      </c>
      <c r="AJ882" s="8" t="str">
        <f>"98052"</f>
        <v>98052</v>
      </c>
      <c r="AK882" t="s">
        <v>118</v>
      </c>
      <c r="AM882" s="10">
        <v>14258615245</v>
      </c>
      <c r="AO882" t="s">
        <v>21610</v>
      </c>
      <c r="AP882" t="s">
        <v>121</v>
      </c>
      <c r="AQ882" t="s">
        <v>1978</v>
      </c>
      <c r="AR882" t="s">
        <v>705</v>
      </c>
      <c r="AS882" t="s">
        <v>1979</v>
      </c>
      <c r="AT882" t="s">
        <v>3109</v>
      </c>
      <c r="AU882" t="s">
        <v>1981</v>
      </c>
      <c r="AV882" t="s">
        <v>2916</v>
      </c>
      <c r="AW882" t="s">
        <v>1722</v>
      </c>
      <c r="AX882" s="8" t="str">
        <f>"21117"</f>
        <v>21117</v>
      </c>
      <c r="AY882" t="s">
        <v>118</v>
      </c>
      <c r="BA882" s="10">
        <v>14435014240</v>
      </c>
      <c r="BC882" t="s">
        <v>1982</v>
      </c>
      <c r="BD882" t="s">
        <v>9671</v>
      </c>
      <c r="BE882" t="s">
        <v>358</v>
      </c>
      <c r="BF882" t="s">
        <v>1984</v>
      </c>
      <c r="BG882" t="s">
        <v>2706</v>
      </c>
      <c r="BH882" s="1">
        <v>45207.833333333336</v>
      </c>
      <c r="BI882">
        <v>35</v>
      </c>
      <c r="BJ882">
        <v>5</v>
      </c>
      <c r="BK882">
        <v>5</v>
      </c>
      <c r="BL882">
        <v>5</v>
      </c>
      <c r="BM882">
        <v>5</v>
      </c>
      <c r="BN882">
        <v>5</v>
      </c>
      <c r="BO882">
        <v>5</v>
      </c>
      <c r="BP882">
        <v>5</v>
      </c>
      <c r="BQ882" t="str">
        <f>"6:00 AM"</f>
        <v>6:00 AM</v>
      </c>
      <c r="BR882" t="str">
        <f>"6:00 PM"</f>
        <v>6:00 PM</v>
      </c>
      <c r="BS882" t="s">
        <v>131</v>
      </c>
      <c r="BT882">
        <v>0</v>
      </c>
      <c r="BU882">
        <v>0</v>
      </c>
      <c r="BV882" t="s">
        <v>114</v>
      </c>
      <c r="BX882" s="2" t="s">
        <v>22499</v>
      </c>
      <c r="BY882" t="s">
        <v>16198</v>
      </c>
      <c r="CA882" t="s">
        <v>16199</v>
      </c>
      <c r="CB882" t="s">
        <v>2706</v>
      </c>
      <c r="CC882" s="8" t="str">
        <f>"99692"</f>
        <v>99692</v>
      </c>
      <c r="CD882" t="s">
        <v>16200</v>
      </c>
      <c r="CE882" t="s">
        <v>2714</v>
      </c>
      <c r="CF882" s="12">
        <v>17.149999999999999</v>
      </c>
      <c r="CH882" s="12">
        <v>25.73</v>
      </c>
      <c r="CJ882" t="s">
        <v>135</v>
      </c>
      <c r="CK882" t="s">
        <v>22500</v>
      </c>
      <c r="CL882" t="s">
        <v>21613</v>
      </c>
      <c r="CO882" t="s">
        <v>132</v>
      </c>
      <c r="CP882" t="s">
        <v>114</v>
      </c>
      <c r="CQ882" t="s">
        <v>136</v>
      </c>
      <c r="CR882" t="s">
        <v>136</v>
      </c>
      <c r="CS882" t="s">
        <v>136</v>
      </c>
      <c r="CT882" t="s">
        <v>136</v>
      </c>
      <c r="CU882" t="s">
        <v>136</v>
      </c>
      <c r="CV882" t="s">
        <v>1987</v>
      </c>
      <c r="CW882" s="10" t="str">
        <f>"+14258818181"</f>
        <v>+14258818181</v>
      </c>
      <c r="CX882" t="s">
        <v>21615</v>
      </c>
      <c r="CY882" t="s">
        <v>21616</v>
      </c>
      <c r="CZ882" t="s">
        <v>137</v>
      </c>
      <c r="DA882" t="s">
        <v>114</v>
      </c>
      <c r="DB882" t="s">
        <v>136</v>
      </c>
      <c r="DC882" t="s">
        <v>136</v>
      </c>
      <c r="DD882" t="s">
        <v>114</v>
      </c>
    </row>
    <row r="883" spans="1:113" ht="15" customHeight="1" x14ac:dyDescent="0.25">
      <c r="A883" t="s">
        <v>19539</v>
      </c>
      <c r="B883" t="s">
        <v>152</v>
      </c>
      <c r="C883" s="1">
        <v>45207.67197314815</v>
      </c>
      <c r="D883" s="1">
        <v>45246</v>
      </c>
      <c r="E883" t="s">
        <v>132</v>
      </c>
      <c r="F883" t="s">
        <v>19540</v>
      </c>
      <c r="G883" t="str">
        <f>"37-3011.00"</f>
        <v>37-3011.00</v>
      </c>
      <c r="H883" t="s">
        <v>429</v>
      </c>
      <c r="I883">
        <v>75</v>
      </c>
      <c r="J883">
        <v>75</v>
      </c>
      <c r="K883" s="1">
        <v>45287</v>
      </c>
      <c r="L883" s="1">
        <v>45566</v>
      </c>
      <c r="M883" s="1">
        <v>45287</v>
      </c>
      <c r="N883" s="1">
        <v>45566</v>
      </c>
      <c r="O883" t="s">
        <v>238</v>
      </c>
      <c r="P883" t="s">
        <v>19541</v>
      </c>
      <c r="R883" t="s">
        <v>19542</v>
      </c>
      <c r="T883" t="s">
        <v>3598</v>
      </c>
      <c r="U883" t="s">
        <v>819</v>
      </c>
      <c r="V883" s="8" t="str">
        <f>"47371"</f>
        <v>47371</v>
      </c>
      <c r="W883" t="s">
        <v>118</v>
      </c>
      <c r="Y883" s="10">
        <v>12602513707</v>
      </c>
      <c r="AA883">
        <v>561730</v>
      </c>
      <c r="AB883" t="s">
        <v>19543</v>
      </c>
      <c r="AC883" t="s">
        <v>9048</v>
      </c>
      <c r="AE883" t="s">
        <v>2542</v>
      </c>
      <c r="AF883" t="s">
        <v>19544</v>
      </c>
      <c r="AH883" t="s">
        <v>3598</v>
      </c>
      <c r="AI883" t="s">
        <v>819</v>
      </c>
      <c r="AJ883" s="8" t="str">
        <f>"47371"</f>
        <v>47371</v>
      </c>
      <c r="AK883" t="s">
        <v>118</v>
      </c>
      <c r="AM883" s="10">
        <v>12602513707</v>
      </c>
      <c r="AO883" t="s">
        <v>19545</v>
      </c>
      <c r="AP883" t="s">
        <v>248</v>
      </c>
      <c r="AQ883" t="s">
        <v>5378</v>
      </c>
      <c r="AR883" t="s">
        <v>5379</v>
      </c>
      <c r="AT883" t="s">
        <v>5380</v>
      </c>
      <c r="AV883" t="s">
        <v>2539</v>
      </c>
      <c r="AW883" t="s">
        <v>854</v>
      </c>
      <c r="AX883" s="8" t="str">
        <f>"83815"</f>
        <v>83815</v>
      </c>
      <c r="AY883" t="s">
        <v>118</v>
      </c>
      <c r="BA883" s="10">
        <v>12089303246</v>
      </c>
      <c r="BC883" t="s">
        <v>2549</v>
      </c>
      <c r="BD883" t="s">
        <v>2550</v>
      </c>
      <c r="BG883" t="s">
        <v>819</v>
      </c>
      <c r="BH883" s="1">
        <v>45206.833333333336</v>
      </c>
      <c r="BI883">
        <v>35</v>
      </c>
      <c r="BJ883">
        <v>0</v>
      </c>
      <c r="BK883">
        <v>7</v>
      </c>
      <c r="BL883">
        <v>7</v>
      </c>
      <c r="BM883">
        <v>7</v>
      </c>
      <c r="BN883">
        <v>7</v>
      </c>
      <c r="BO883">
        <v>7</v>
      </c>
      <c r="BP883">
        <v>0</v>
      </c>
      <c r="BQ883" t="str">
        <f>"7:00 AM"</f>
        <v>7:00 AM</v>
      </c>
      <c r="BR883" t="str">
        <f>"5:00 PM"</f>
        <v>5:00 PM</v>
      </c>
      <c r="BS883" t="s">
        <v>131</v>
      </c>
      <c r="BT883">
        <v>0</v>
      </c>
      <c r="BU883">
        <v>0</v>
      </c>
      <c r="BV883" t="s">
        <v>114</v>
      </c>
      <c r="BX883" s="2" t="s">
        <v>19546</v>
      </c>
      <c r="BY883" t="s">
        <v>19547</v>
      </c>
      <c r="CA883" t="s">
        <v>3598</v>
      </c>
      <c r="CB883" t="s">
        <v>819</v>
      </c>
      <c r="CC883" s="8" t="str">
        <f>"47371"</f>
        <v>47371</v>
      </c>
      <c r="CD883" t="s">
        <v>1107</v>
      </c>
      <c r="CE883" t="s">
        <v>2037</v>
      </c>
      <c r="CF883" s="12">
        <v>13.6</v>
      </c>
      <c r="CG883" s="12">
        <v>16.989999999999998</v>
      </c>
      <c r="CH883" s="12">
        <v>20.399999999999999</v>
      </c>
      <c r="CI883" s="12">
        <v>25.49</v>
      </c>
      <c r="CJ883" t="s">
        <v>5501</v>
      </c>
      <c r="CK883" t="s">
        <v>19548</v>
      </c>
      <c r="CL883" t="s">
        <v>19549</v>
      </c>
      <c r="CO883" t="s">
        <v>132</v>
      </c>
      <c r="CP883" t="s">
        <v>136</v>
      </c>
      <c r="CQ883" t="s">
        <v>136</v>
      </c>
      <c r="CR883" t="s">
        <v>136</v>
      </c>
      <c r="CS883" t="s">
        <v>136</v>
      </c>
      <c r="CT883" t="s">
        <v>136</v>
      </c>
      <c r="CU883" t="s">
        <v>136</v>
      </c>
      <c r="CV883" t="s">
        <v>19550</v>
      </c>
      <c r="CW883" s="10" t="str">
        <f>"+12602513707"</f>
        <v>+12602513707</v>
      </c>
      <c r="CX883" t="s">
        <v>19545</v>
      </c>
      <c r="CY883" t="s">
        <v>132</v>
      </c>
      <c r="CZ883" t="s">
        <v>137</v>
      </c>
      <c r="DA883" t="s">
        <v>114</v>
      </c>
      <c r="DB883" t="s">
        <v>114</v>
      </c>
      <c r="DC883" t="s">
        <v>136</v>
      </c>
      <c r="DD883" t="s">
        <v>114</v>
      </c>
    </row>
    <row r="884" spans="1:113" ht="15" customHeight="1" x14ac:dyDescent="0.25">
      <c r="A884" t="s">
        <v>9180</v>
      </c>
      <c r="B884" t="s">
        <v>152</v>
      </c>
      <c r="C884" s="1">
        <v>45206.372193287039</v>
      </c>
      <c r="D884" s="1">
        <v>45246</v>
      </c>
      <c r="E884" t="s">
        <v>132</v>
      </c>
      <c r="F884" t="s">
        <v>2324</v>
      </c>
      <c r="G884" t="str">
        <f>"35-3023.00"</f>
        <v>35-3023.00</v>
      </c>
      <c r="H884" t="s">
        <v>1365</v>
      </c>
      <c r="I884">
        <v>20</v>
      </c>
      <c r="J884">
        <v>20</v>
      </c>
      <c r="K884" s="1">
        <v>45296</v>
      </c>
      <c r="L884" s="1">
        <v>45599</v>
      </c>
      <c r="M884" s="1">
        <v>45296</v>
      </c>
      <c r="N884" s="1">
        <v>45599</v>
      </c>
      <c r="O884" t="s">
        <v>238</v>
      </c>
      <c r="P884" t="s">
        <v>9181</v>
      </c>
      <c r="R884" t="s">
        <v>9182</v>
      </c>
      <c r="S884" t="s">
        <v>9183</v>
      </c>
      <c r="T884" t="s">
        <v>603</v>
      </c>
      <c r="U884" t="s">
        <v>127</v>
      </c>
      <c r="V884" s="8" t="str">
        <f>"78702"</f>
        <v>78702</v>
      </c>
      <c r="W884" t="s">
        <v>118</v>
      </c>
      <c r="Y884" s="10">
        <v>15126192510</v>
      </c>
      <c r="AA884">
        <v>71399</v>
      </c>
      <c r="AB884" t="s">
        <v>9184</v>
      </c>
      <c r="AC884" t="s">
        <v>1858</v>
      </c>
      <c r="AE884" t="s">
        <v>561</v>
      </c>
      <c r="AF884" t="s">
        <v>9182</v>
      </c>
      <c r="AG884" t="s">
        <v>9183</v>
      </c>
      <c r="AH884" t="s">
        <v>603</v>
      </c>
      <c r="AI884" t="s">
        <v>127</v>
      </c>
      <c r="AJ884" s="8" t="str">
        <f>"78702"</f>
        <v>78702</v>
      </c>
      <c r="AK884" t="s">
        <v>118</v>
      </c>
      <c r="AM884" s="10">
        <v>15126192510</v>
      </c>
      <c r="AO884" t="s">
        <v>9185</v>
      </c>
      <c r="AP884" t="s">
        <v>248</v>
      </c>
      <c r="AQ884" t="s">
        <v>249</v>
      </c>
      <c r="AR884" t="s">
        <v>250</v>
      </c>
      <c r="AS884" t="s">
        <v>251</v>
      </c>
      <c r="AT884" t="s">
        <v>252</v>
      </c>
      <c r="AU884" t="s">
        <v>253</v>
      </c>
      <c r="AV884" t="s">
        <v>254</v>
      </c>
      <c r="AW884" t="s">
        <v>127</v>
      </c>
      <c r="AX884" s="8" t="str">
        <f>"78550"</f>
        <v>78550</v>
      </c>
      <c r="AY884" t="s">
        <v>118</v>
      </c>
      <c r="BA884" s="10">
        <v>19564408720</v>
      </c>
      <c r="BB884" s="3" t="s">
        <v>256</v>
      </c>
      <c r="BC884" t="s">
        <v>257</v>
      </c>
      <c r="BD884" t="s">
        <v>258</v>
      </c>
      <c r="BG884" t="s">
        <v>127</v>
      </c>
      <c r="BH884" s="1">
        <v>45205.833333333336</v>
      </c>
      <c r="BI884">
        <v>40</v>
      </c>
      <c r="BJ884">
        <v>8</v>
      </c>
      <c r="BK884">
        <v>0</v>
      </c>
      <c r="BL884">
        <v>0</v>
      </c>
      <c r="BM884">
        <v>8</v>
      </c>
      <c r="BN884">
        <v>8</v>
      </c>
      <c r="BO884">
        <v>8</v>
      </c>
      <c r="BP884">
        <v>8</v>
      </c>
      <c r="BQ884" t="str">
        <f>"1:00 PM"</f>
        <v>1:00 PM</v>
      </c>
      <c r="BR884" t="str">
        <f>"10:00 PM"</f>
        <v>10:00 PM</v>
      </c>
      <c r="BS884" t="s">
        <v>131</v>
      </c>
      <c r="BT884">
        <v>0</v>
      </c>
      <c r="BU884">
        <v>0</v>
      </c>
      <c r="BV884" t="s">
        <v>114</v>
      </c>
      <c r="BX884" s="2" t="s">
        <v>2255</v>
      </c>
      <c r="BY884" t="s">
        <v>9186</v>
      </c>
      <c r="CA884" t="s">
        <v>9187</v>
      </c>
      <c r="CB884" t="s">
        <v>127</v>
      </c>
      <c r="CC884" s="8" t="str">
        <f>"78612"</f>
        <v>78612</v>
      </c>
      <c r="CD884" t="s">
        <v>9188</v>
      </c>
      <c r="CE884" t="s">
        <v>324</v>
      </c>
      <c r="CF884" s="12">
        <v>9.7200000000000006</v>
      </c>
      <c r="CG884" s="12">
        <v>13.57</v>
      </c>
      <c r="CJ884" t="s">
        <v>135</v>
      </c>
      <c r="CK884" t="s">
        <v>264</v>
      </c>
      <c r="CL884" t="s">
        <v>9189</v>
      </c>
      <c r="CO884" t="s">
        <v>132</v>
      </c>
      <c r="CP884" t="s">
        <v>136</v>
      </c>
      <c r="CQ884" t="s">
        <v>136</v>
      </c>
      <c r="CR884" t="s">
        <v>114</v>
      </c>
      <c r="CS884" t="s">
        <v>136</v>
      </c>
      <c r="CT884" t="s">
        <v>136</v>
      </c>
      <c r="CU884" t="s">
        <v>136</v>
      </c>
      <c r="CV884" t="s">
        <v>2258</v>
      </c>
      <c r="CW884" s="10" t="str">
        <f>"+15126192510"</f>
        <v>+15126192510</v>
      </c>
      <c r="CX884" t="s">
        <v>9185</v>
      </c>
      <c r="CY884" t="s">
        <v>132</v>
      </c>
      <c r="CZ884" t="s">
        <v>137</v>
      </c>
      <c r="DA884" t="s">
        <v>114</v>
      </c>
      <c r="DB884" t="s">
        <v>136</v>
      </c>
      <c r="DC884" t="s">
        <v>136</v>
      </c>
      <c r="DD884" t="s">
        <v>114</v>
      </c>
    </row>
    <row r="885" spans="1:113" ht="15" customHeight="1" x14ac:dyDescent="0.25">
      <c r="A885" t="s">
        <v>19366</v>
      </c>
      <c r="B885" t="s">
        <v>152</v>
      </c>
      <c r="C885" s="1">
        <v>45206.085587268521</v>
      </c>
      <c r="D885" s="1">
        <v>45246</v>
      </c>
      <c r="E885" t="s">
        <v>132</v>
      </c>
      <c r="F885" t="s">
        <v>1381</v>
      </c>
      <c r="G885" t="str">
        <f>"39-3091.00"</f>
        <v>39-3091.00</v>
      </c>
      <c r="H885" t="s">
        <v>237</v>
      </c>
      <c r="I885">
        <v>30</v>
      </c>
      <c r="J885">
        <v>30</v>
      </c>
      <c r="K885" s="1">
        <v>45296</v>
      </c>
      <c r="L885" s="1">
        <v>45600</v>
      </c>
      <c r="M885" s="1">
        <v>45296</v>
      </c>
      <c r="N885" s="1">
        <v>45600</v>
      </c>
      <c r="O885" t="s">
        <v>238</v>
      </c>
      <c r="P885" t="s">
        <v>19367</v>
      </c>
      <c r="R885" t="s">
        <v>19368</v>
      </c>
      <c r="T885" t="s">
        <v>19369</v>
      </c>
      <c r="U885" t="s">
        <v>558</v>
      </c>
      <c r="V885" s="8" t="str">
        <f>"85339"</f>
        <v>85339</v>
      </c>
      <c r="W885" t="s">
        <v>118</v>
      </c>
      <c r="Y885" s="10">
        <v>16027639955</v>
      </c>
      <c r="AA885">
        <v>71399</v>
      </c>
      <c r="AB885" t="s">
        <v>19370</v>
      </c>
      <c r="AC885" t="s">
        <v>7795</v>
      </c>
      <c r="AE885" t="s">
        <v>1386</v>
      </c>
      <c r="AF885" t="s">
        <v>19368</v>
      </c>
      <c r="AH885" t="s">
        <v>19369</v>
      </c>
      <c r="AI885" t="s">
        <v>558</v>
      </c>
      <c r="AJ885" s="8" t="str">
        <f>"85339"</f>
        <v>85339</v>
      </c>
      <c r="AK885" t="s">
        <v>118</v>
      </c>
      <c r="AM885" s="10">
        <v>16027639955</v>
      </c>
      <c r="AO885" t="s">
        <v>19371</v>
      </c>
      <c r="AP885" t="s">
        <v>248</v>
      </c>
      <c r="AQ885" t="s">
        <v>960</v>
      </c>
      <c r="AR885" t="s">
        <v>961</v>
      </c>
      <c r="AS885" t="s">
        <v>962</v>
      </c>
      <c r="AT885" t="s">
        <v>963</v>
      </c>
      <c r="AU885" t="s">
        <v>296</v>
      </c>
      <c r="AV885" t="s">
        <v>964</v>
      </c>
      <c r="AW885" t="s">
        <v>127</v>
      </c>
      <c r="AX885" s="8" t="str">
        <f>"75033"</f>
        <v>75033</v>
      </c>
      <c r="AY885" t="s">
        <v>118</v>
      </c>
      <c r="BA885" s="10">
        <v>19727789690</v>
      </c>
      <c r="BC885" t="s">
        <v>1388</v>
      </c>
      <c r="BD885" t="s">
        <v>966</v>
      </c>
      <c r="BG885" t="s">
        <v>558</v>
      </c>
      <c r="BH885" s="1">
        <v>45205.833333333336</v>
      </c>
      <c r="BI885">
        <v>40</v>
      </c>
      <c r="BJ885">
        <v>8</v>
      </c>
      <c r="BK885">
        <v>8</v>
      </c>
      <c r="BL885">
        <v>0</v>
      </c>
      <c r="BM885">
        <v>8</v>
      </c>
      <c r="BN885">
        <v>0</v>
      </c>
      <c r="BO885">
        <v>8</v>
      </c>
      <c r="BP885">
        <v>8</v>
      </c>
      <c r="BQ885" t="str">
        <f>"10:00 AM"</f>
        <v>10:00 AM</v>
      </c>
      <c r="BR885" t="str">
        <f>"7:00 PM"</f>
        <v>7:00 PM</v>
      </c>
      <c r="BS885" t="s">
        <v>131</v>
      </c>
      <c r="BT885">
        <v>0</v>
      </c>
      <c r="BU885">
        <v>0</v>
      </c>
      <c r="BV885" t="s">
        <v>114</v>
      </c>
      <c r="BX885" s="2" t="s">
        <v>19372</v>
      </c>
      <c r="BY885" t="s">
        <v>1390</v>
      </c>
      <c r="CA885" t="s">
        <v>2960</v>
      </c>
      <c r="CB885" t="s">
        <v>558</v>
      </c>
      <c r="CC885" s="8" t="str">
        <f>"85007"</f>
        <v>85007</v>
      </c>
      <c r="CD885" t="s">
        <v>1391</v>
      </c>
      <c r="CE885" t="s">
        <v>565</v>
      </c>
      <c r="CF885" s="12">
        <v>11.74</v>
      </c>
      <c r="CG885" s="12">
        <v>17.489999999999998</v>
      </c>
      <c r="CH885" s="12">
        <v>20.48</v>
      </c>
      <c r="CI885" s="12">
        <v>32.86</v>
      </c>
      <c r="CJ885" t="s">
        <v>135</v>
      </c>
      <c r="CK885" t="s">
        <v>1392</v>
      </c>
      <c r="CL885" t="s">
        <v>19373</v>
      </c>
      <c r="CO885" t="s">
        <v>132</v>
      </c>
      <c r="CP885" t="s">
        <v>136</v>
      </c>
      <c r="CQ885" t="s">
        <v>136</v>
      </c>
      <c r="CR885" t="s">
        <v>136</v>
      </c>
      <c r="CS885" t="s">
        <v>136</v>
      </c>
      <c r="CT885" t="s">
        <v>136</v>
      </c>
      <c r="CU885" t="s">
        <v>136</v>
      </c>
      <c r="CV885" t="s">
        <v>2972</v>
      </c>
      <c r="CW885" s="10" t="str">
        <f>"+16027639955"</f>
        <v>+16027639955</v>
      </c>
      <c r="CX885" t="s">
        <v>132</v>
      </c>
      <c r="CY885" t="s">
        <v>1395</v>
      </c>
      <c r="CZ885" t="s">
        <v>137</v>
      </c>
      <c r="DA885" t="s">
        <v>114</v>
      </c>
      <c r="DB885" t="s">
        <v>136</v>
      </c>
      <c r="DC885" t="s">
        <v>136</v>
      </c>
      <c r="DD885" t="s">
        <v>114</v>
      </c>
    </row>
    <row r="886" spans="1:113" ht="15" customHeight="1" x14ac:dyDescent="0.25">
      <c r="A886" t="s">
        <v>664</v>
      </c>
      <c r="B886" t="s">
        <v>152</v>
      </c>
      <c r="C886" s="1">
        <v>45205.275502083336</v>
      </c>
      <c r="D886" s="1">
        <v>45246</v>
      </c>
      <c r="E886" t="s">
        <v>132</v>
      </c>
      <c r="F886" t="s">
        <v>665</v>
      </c>
      <c r="G886" t="str">
        <f>"37-3013.00"</f>
        <v>37-3013.00</v>
      </c>
      <c r="H886" t="s">
        <v>666</v>
      </c>
      <c r="I886">
        <v>40</v>
      </c>
      <c r="J886">
        <v>40</v>
      </c>
      <c r="K886" s="1">
        <v>45295</v>
      </c>
      <c r="L886" s="1">
        <v>45600</v>
      </c>
      <c r="M886" s="1">
        <v>45295</v>
      </c>
      <c r="N886" s="1">
        <v>45600</v>
      </c>
      <c r="O886" t="s">
        <v>116</v>
      </c>
      <c r="P886" t="s">
        <v>667</v>
      </c>
      <c r="R886" t="s">
        <v>668</v>
      </c>
      <c r="T886" t="s">
        <v>669</v>
      </c>
      <c r="U886" t="s">
        <v>127</v>
      </c>
      <c r="V886" s="8" t="str">
        <f>"77598"</f>
        <v>77598</v>
      </c>
      <c r="W886" t="s">
        <v>118</v>
      </c>
      <c r="Y886" s="10">
        <v>12812801100</v>
      </c>
      <c r="AA886">
        <v>56173</v>
      </c>
      <c r="AB886" t="s">
        <v>670</v>
      </c>
      <c r="AC886" t="s">
        <v>671</v>
      </c>
      <c r="AE886" t="s">
        <v>405</v>
      </c>
      <c r="AF886" t="s">
        <v>668</v>
      </c>
      <c r="AH886" t="s">
        <v>669</v>
      </c>
      <c r="AI886" t="s">
        <v>127</v>
      </c>
      <c r="AJ886" s="8" t="str">
        <f>"77598"</f>
        <v>77598</v>
      </c>
      <c r="AK886" t="s">
        <v>118</v>
      </c>
      <c r="AM886" s="10">
        <v>12812801100</v>
      </c>
      <c r="AO886" t="s">
        <v>672</v>
      </c>
      <c r="AP886" t="s">
        <v>248</v>
      </c>
      <c r="AQ886" t="s">
        <v>673</v>
      </c>
      <c r="AR886" t="s">
        <v>674</v>
      </c>
      <c r="AT886" t="s">
        <v>579</v>
      </c>
      <c r="AV886" t="s">
        <v>580</v>
      </c>
      <c r="AW886" t="s">
        <v>581</v>
      </c>
      <c r="AX886" s="8" t="str">
        <f>"22903"</f>
        <v>22903</v>
      </c>
      <c r="AY886" t="s">
        <v>118</v>
      </c>
      <c r="BA886" s="10">
        <v>14342634300</v>
      </c>
      <c r="BC886" t="s">
        <v>675</v>
      </c>
      <c r="BD886" t="s">
        <v>583</v>
      </c>
      <c r="BG886" t="s">
        <v>333</v>
      </c>
      <c r="BH886" s="1">
        <v>45204.833333333336</v>
      </c>
      <c r="BI886">
        <v>40</v>
      </c>
      <c r="BJ886">
        <v>0</v>
      </c>
      <c r="BK886">
        <v>8</v>
      </c>
      <c r="BL886">
        <v>8</v>
      </c>
      <c r="BM886">
        <v>8</v>
      </c>
      <c r="BN886">
        <v>8</v>
      </c>
      <c r="BO886">
        <v>8</v>
      </c>
      <c r="BP886">
        <v>0</v>
      </c>
      <c r="BQ886" t="str">
        <f>"7:00 AM"</f>
        <v>7:00 AM</v>
      </c>
      <c r="BR886" t="str">
        <f>"4:00 PM"</f>
        <v>4:00 PM</v>
      </c>
      <c r="BS886" t="s">
        <v>131</v>
      </c>
      <c r="BT886">
        <v>0</v>
      </c>
      <c r="BU886">
        <v>0</v>
      </c>
      <c r="BV886" t="s">
        <v>114</v>
      </c>
      <c r="BX886" s="2" t="s">
        <v>676</v>
      </c>
      <c r="BY886" t="s">
        <v>677</v>
      </c>
      <c r="CA886" t="s">
        <v>678</v>
      </c>
      <c r="CB886" t="s">
        <v>333</v>
      </c>
      <c r="CC886" s="8" t="str">
        <f>"70121"</f>
        <v>70121</v>
      </c>
      <c r="CD886" t="s">
        <v>679</v>
      </c>
      <c r="CE886" t="s">
        <v>341</v>
      </c>
      <c r="CF886" s="12">
        <v>21.33</v>
      </c>
      <c r="CH886" s="12">
        <v>32</v>
      </c>
      <c r="CJ886" t="s">
        <v>135</v>
      </c>
      <c r="CK886" t="s">
        <v>590</v>
      </c>
      <c r="CL886" t="s">
        <v>680</v>
      </c>
      <c r="CO886" t="s">
        <v>132</v>
      </c>
      <c r="CP886" t="s">
        <v>136</v>
      </c>
      <c r="CQ886" t="s">
        <v>114</v>
      </c>
      <c r="CR886" t="s">
        <v>136</v>
      </c>
      <c r="CS886" t="s">
        <v>136</v>
      </c>
      <c r="CT886" t="s">
        <v>136</v>
      </c>
      <c r="CU886" t="s">
        <v>136</v>
      </c>
      <c r="CV886" t="s">
        <v>681</v>
      </c>
      <c r="CW886" s="10" t="str">
        <f>"N/A"</f>
        <v>N/A</v>
      </c>
      <c r="CX886" t="s">
        <v>682</v>
      </c>
      <c r="CY886" t="s">
        <v>683</v>
      </c>
      <c r="CZ886" t="s">
        <v>137</v>
      </c>
      <c r="DA886" t="s">
        <v>114</v>
      </c>
      <c r="DB886" t="s">
        <v>136</v>
      </c>
      <c r="DC886" t="s">
        <v>136</v>
      </c>
      <c r="DD886" t="s">
        <v>114</v>
      </c>
      <c r="DE886" t="s">
        <v>673</v>
      </c>
      <c r="DF886" t="s">
        <v>674</v>
      </c>
      <c r="DH886" t="s">
        <v>583</v>
      </c>
      <c r="DI886" t="s">
        <v>675</v>
      </c>
    </row>
    <row r="887" spans="1:113" ht="15" customHeight="1" x14ac:dyDescent="0.25">
      <c r="A887" t="s">
        <v>19619</v>
      </c>
      <c r="B887" t="s">
        <v>152</v>
      </c>
      <c r="C887" s="1">
        <v>45205.275026736112</v>
      </c>
      <c r="D887" s="1">
        <v>45246</v>
      </c>
      <c r="E887" t="s">
        <v>132</v>
      </c>
      <c r="F887" t="s">
        <v>10285</v>
      </c>
      <c r="G887" t="str">
        <f>"37-1012.00"</f>
        <v>37-1012.00</v>
      </c>
      <c r="H887" t="s">
        <v>3140</v>
      </c>
      <c r="I887">
        <v>4</v>
      </c>
      <c r="J887">
        <v>4</v>
      </c>
      <c r="K887" s="1">
        <v>45295</v>
      </c>
      <c r="L887" s="1">
        <v>45600</v>
      </c>
      <c r="M887" s="1">
        <v>45295</v>
      </c>
      <c r="N887" s="1">
        <v>45600</v>
      </c>
      <c r="O887" t="s">
        <v>116</v>
      </c>
      <c r="P887" t="s">
        <v>667</v>
      </c>
      <c r="R887" t="s">
        <v>668</v>
      </c>
      <c r="T887" t="s">
        <v>669</v>
      </c>
      <c r="U887" t="s">
        <v>127</v>
      </c>
      <c r="V887" s="8" t="str">
        <f>"77598"</f>
        <v>77598</v>
      </c>
      <c r="W887" t="s">
        <v>118</v>
      </c>
      <c r="Y887" s="10">
        <v>12812801100</v>
      </c>
      <c r="AA887">
        <v>56173</v>
      </c>
      <c r="AB887" t="s">
        <v>670</v>
      </c>
      <c r="AC887" t="s">
        <v>671</v>
      </c>
      <c r="AE887" t="s">
        <v>405</v>
      </c>
      <c r="AF887" t="s">
        <v>668</v>
      </c>
      <c r="AH887" t="s">
        <v>669</v>
      </c>
      <c r="AI887" t="s">
        <v>127</v>
      </c>
      <c r="AJ887" s="8" t="str">
        <f>"77598"</f>
        <v>77598</v>
      </c>
      <c r="AK887" t="s">
        <v>118</v>
      </c>
      <c r="AM887" s="10">
        <v>12812801100</v>
      </c>
      <c r="AO887" t="s">
        <v>672</v>
      </c>
      <c r="AP887" t="s">
        <v>248</v>
      </c>
      <c r="AQ887" t="s">
        <v>673</v>
      </c>
      <c r="AR887" t="s">
        <v>674</v>
      </c>
      <c r="AT887" t="s">
        <v>579</v>
      </c>
      <c r="AV887" t="s">
        <v>580</v>
      </c>
      <c r="AW887" t="s">
        <v>581</v>
      </c>
      <c r="AX887" s="8" t="str">
        <f>"22903"</f>
        <v>22903</v>
      </c>
      <c r="AY887" t="s">
        <v>118</v>
      </c>
      <c r="BA887" s="10">
        <v>14342634300</v>
      </c>
      <c r="BC887" t="s">
        <v>675</v>
      </c>
      <c r="BD887" t="s">
        <v>583</v>
      </c>
      <c r="BG887" t="s">
        <v>333</v>
      </c>
      <c r="BH887" s="1">
        <v>45204.833333333336</v>
      </c>
      <c r="BI887">
        <v>40</v>
      </c>
      <c r="BJ887">
        <v>0</v>
      </c>
      <c r="BK887">
        <v>8</v>
      </c>
      <c r="BL887">
        <v>8</v>
      </c>
      <c r="BM887">
        <v>8</v>
      </c>
      <c r="BN887">
        <v>8</v>
      </c>
      <c r="BO887">
        <v>8</v>
      </c>
      <c r="BP887">
        <v>0</v>
      </c>
      <c r="BQ887" t="str">
        <f>"7:00 AM"</f>
        <v>7:00 AM</v>
      </c>
      <c r="BR887" t="str">
        <f>"4:00 PM"</f>
        <v>4:00 PM</v>
      </c>
      <c r="BS887" t="s">
        <v>131</v>
      </c>
      <c r="BT887">
        <v>0</v>
      </c>
      <c r="BU887">
        <v>12</v>
      </c>
      <c r="BV887" t="s">
        <v>136</v>
      </c>
      <c r="BW887">
        <v>10</v>
      </c>
      <c r="BX887" s="2" t="s">
        <v>7464</v>
      </c>
      <c r="BY887" t="s">
        <v>677</v>
      </c>
      <c r="CA887" t="s">
        <v>678</v>
      </c>
      <c r="CB887" t="s">
        <v>333</v>
      </c>
      <c r="CC887" s="8" t="str">
        <f>"70121"</f>
        <v>70121</v>
      </c>
      <c r="CD887" t="s">
        <v>679</v>
      </c>
      <c r="CE887" t="s">
        <v>341</v>
      </c>
      <c r="CF887" s="12">
        <v>24.63</v>
      </c>
      <c r="CH887" s="12">
        <v>36.950000000000003</v>
      </c>
      <c r="CJ887" t="s">
        <v>135</v>
      </c>
      <c r="CK887" t="s">
        <v>590</v>
      </c>
      <c r="CL887" t="s">
        <v>19620</v>
      </c>
      <c r="CO887" t="s">
        <v>132</v>
      </c>
      <c r="CP887" t="s">
        <v>136</v>
      </c>
      <c r="CQ887" t="s">
        <v>114</v>
      </c>
      <c r="CR887" t="s">
        <v>136</v>
      </c>
      <c r="CS887" t="s">
        <v>114</v>
      </c>
      <c r="CT887" t="s">
        <v>136</v>
      </c>
      <c r="CU887" t="s">
        <v>136</v>
      </c>
      <c r="CV887" t="s">
        <v>681</v>
      </c>
      <c r="CW887" s="10" t="str">
        <f>"N/A"</f>
        <v>N/A</v>
      </c>
      <c r="CX887" t="s">
        <v>682</v>
      </c>
      <c r="CY887" t="s">
        <v>683</v>
      </c>
      <c r="CZ887" t="s">
        <v>137</v>
      </c>
      <c r="DA887" t="s">
        <v>114</v>
      </c>
      <c r="DB887" t="s">
        <v>136</v>
      </c>
      <c r="DC887" t="s">
        <v>136</v>
      </c>
      <c r="DD887" t="s">
        <v>114</v>
      </c>
      <c r="DE887" t="s">
        <v>673</v>
      </c>
      <c r="DF887" t="s">
        <v>674</v>
      </c>
      <c r="DH887" t="s">
        <v>583</v>
      </c>
      <c r="DI887" t="s">
        <v>675</v>
      </c>
    </row>
    <row r="888" spans="1:113" ht="15" customHeight="1" x14ac:dyDescent="0.25">
      <c r="A888" t="s">
        <v>23257</v>
      </c>
      <c r="B888" t="s">
        <v>152</v>
      </c>
      <c r="C888" s="1">
        <v>45205.274571527778</v>
      </c>
      <c r="D888" s="1">
        <v>45246</v>
      </c>
      <c r="E888" t="s">
        <v>132</v>
      </c>
      <c r="F888" t="s">
        <v>665</v>
      </c>
      <c r="G888" t="str">
        <f>"37-3013.00"</f>
        <v>37-3013.00</v>
      </c>
      <c r="H888" t="s">
        <v>666</v>
      </c>
      <c r="I888">
        <v>65</v>
      </c>
      <c r="J888">
        <v>65</v>
      </c>
      <c r="K888" s="1">
        <v>45295</v>
      </c>
      <c r="L888" s="1">
        <v>45600</v>
      </c>
      <c r="M888" s="1">
        <v>45295</v>
      </c>
      <c r="N888" s="1">
        <v>45600</v>
      </c>
      <c r="O888" t="s">
        <v>116</v>
      </c>
      <c r="P888" t="s">
        <v>4872</v>
      </c>
      <c r="R888" t="s">
        <v>668</v>
      </c>
      <c r="T888" t="s">
        <v>669</v>
      </c>
      <c r="U888" t="s">
        <v>127</v>
      </c>
      <c r="V888" s="8" t="str">
        <f>"77598"</f>
        <v>77598</v>
      </c>
      <c r="W888" t="s">
        <v>118</v>
      </c>
      <c r="Y888" s="10">
        <v>12812801100</v>
      </c>
      <c r="AA888">
        <v>56173</v>
      </c>
      <c r="AB888" t="s">
        <v>670</v>
      </c>
      <c r="AC888" t="s">
        <v>671</v>
      </c>
      <c r="AE888" t="s">
        <v>405</v>
      </c>
      <c r="AF888" t="s">
        <v>668</v>
      </c>
      <c r="AH888" t="s">
        <v>669</v>
      </c>
      <c r="AI888" t="s">
        <v>127</v>
      </c>
      <c r="AJ888" s="8" t="str">
        <f>"77598"</f>
        <v>77598</v>
      </c>
      <c r="AK888" t="s">
        <v>118</v>
      </c>
      <c r="AM888" s="10">
        <v>12812801100</v>
      </c>
      <c r="AO888" t="s">
        <v>672</v>
      </c>
      <c r="AP888" t="s">
        <v>248</v>
      </c>
      <c r="AQ888" t="s">
        <v>673</v>
      </c>
      <c r="AR888" t="s">
        <v>674</v>
      </c>
      <c r="AT888" t="s">
        <v>579</v>
      </c>
      <c r="AV888" t="s">
        <v>580</v>
      </c>
      <c r="AW888" t="s">
        <v>581</v>
      </c>
      <c r="AX888" s="8" t="str">
        <f>"22903"</f>
        <v>22903</v>
      </c>
      <c r="AY888" t="s">
        <v>118</v>
      </c>
      <c r="BA888" s="10">
        <v>14342634300</v>
      </c>
      <c r="BC888" t="s">
        <v>675</v>
      </c>
      <c r="BD888" t="s">
        <v>583</v>
      </c>
      <c r="BG888" t="s">
        <v>386</v>
      </c>
      <c r="BH888" s="1">
        <v>45204.833333333336</v>
      </c>
      <c r="BI888">
        <v>40</v>
      </c>
      <c r="BJ888">
        <v>0</v>
      </c>
      <c r="BK888">
        <v>8</v>
      </c>
      <c r="BL888">
        <v>8</v>
      </c>
      <c r="BM888">
        <v>8</v>
      </c>
      <c r="BN888">
        <v>8</v>
      </c>
      <c r="BO888">
        <v>8</v>
      </c>
      <c r="BP888">
        <v>0</v>
      </c>
      <c r="BQ888" t="str">
        <f>"7:00 AM"</f>
        <v>7:00 AM</v>
      </c>
      <c r="BR888" t="str">
        <f>"4:00 PM"</f>
        <v>4:00 PM</v>
      </c>
      <c r="BS888" t="s">
        <v>131</v>
      </c>
      <c r="BT888">
        <v>0</v>
      </c>
      <c r="BU888">
        <v>0</v>
      </c>
      <c r="BV888" t="s">
        <v>114</v>
      </c>
      <c r="BX888" s="2" t="s">
        <v>676</v>
      </c>
      <c r="BY888" t="s">
        <v>4873</v>
      </c>
      <c r="CA888" t="s">
        <v>1046</v>
      </c>
      <c r="CB888" t="s">
        <v>386</v>
      </c>
      <c r="CC888" s="8" t="str">
        <f>"38133"</f>
        <v>38133</v>
      </c>
      <c r="CD888" t="s">
        <v>1054</v>
      </c>
      <c r="CE888" t="s">
        <v>1055</v>
      </c>
      <c r="CF888" s="12">
        <v>22.49</v>
      </c>
      <c r="CH888" s="12">
        <v>33.74</v>
      </c>
      <c r="CJ888" t="s">
        <v>135</v>
      </c>
      <c r="CK888" t="s">
        <v>590</v>
      </c>
      <c r="CL888" t="s">
        <v>23258</v>
      </c>
      <c r="CO888" t="s">
        <v>132</v>
      </c>
      <c r="CP888" t="s">
        <v>136</v>
      </c>
      <c r="CQ888" t="s">
        <v>114</v>
      </c>
      <c r="CR888" t="s">
        <v>136</v>
      </c>
      <c r="CS888" t="s">
        <v>136</v>
      </c>
      <c r="CT888" t="s">
        <v>136</v>
      </c>
      <c r="CU888" t="s">
        <v>136</v>
      </c>
      <c r="CV888" t="s">
        <v>681</v>
      </c>
      <c r="CW888" s="10" t="str">
        <f>"N/A"</f>
        <v>N/A</v>
      </c>
      <c r="CX888" t="s">
        <v>682</v>
      </c>
      <c r="CY888" t="s">
        <v>2911</v>
      </c>
      <c r="CZ888" t="s">
        <v>137</v>
      </c>
      <c r="DA888" t="s">
        <v>114</v>
      </c>
      <c r="DB888" t="s">
        <v>136</v>
      </c>
      <c r="DC888" t="s">
        <v>136</v>
      </c>
      <c r="DD888" t="s">
        <v>114</v>
      </c>
      <c r="DE888" t="s">
        <v>673</v>
      </c>
      <c r="DF888" t="s">
        <v>674</v>
      </c>
      <c r="DH888" t="s">
        <v>583</v>
      </c>
      <c r="DI888" t="s">
        <v>675</v>
      </c>
    </row>
    <row r="889" spans="1:113" ht="15" customHeight="1" x14ac:dyDescent="0.25">
      <c r="A889" t="s">
        <v>10284</v>
      </c>
      <c r="B889" t="s">
        <v>152</v>
      </c>
      <c r="C889" s="1">
        <v>45205.274122222225</v>
      </c>
      <c r="D889" s="1">
        <v>45246</v>
      </c>
      <c r="E889" t="s">
        <v>132</v>
      </c>
      <c r="F889" t="s">
        <v>10285</v>
      </c>
      <c r="G889" t="str">
        <f>"37-1012.00"</f>
        <v>37-1012.00</v>
      </c>
      <c r="H889" t="s">
        <v>3140</v>
      </c>
      <c r="I889">
        <v>4</v>
      </c>
      <c r="J889">
        <v>4</v>
      </c>
      <c r="K889" s="1">
        <v>45295</v>
      </c>
      <c r="L889" s="1">
        <v>45600</v>
      </c>
      <c r="M889" s="1">
        <v>45295</v>
      </c>
      <c r="N889" s="1">
        <v>45600</v>
      </c>
      <c r="O889" t="s">
        <v>116</v>
      </c>
      <c r="P889" t="s">
        <v>4872</v>
      </c>
      <c r="R889" t="s">
        <v>668</v>
      </c>
      <c r="T889" t="s">
        <v>669</v>
      </c>
      <c r="U889" t="s">
        <v>127</v>
      </c>
      <c r="V889" s="8" t="str">
        <f>"77598"</f>
        <v>77598</v>
      </c>
      <c r="W889" t="s">
        <v>118</v>
      </c>
      <c r="Y889" s="10">
        <v>12812801100</v>
      </c>
      <c r="AA889">
        <v>56173</v>
      </c>
      <c r="AB889" t="s">
        <v>670</v>
      </c>
      <c r="AC889" t="s">
        <v>671</v>
      </c>
      <c r="AE889" t="s">
        <v>405</v>
      </c>
      <c r="AF889" t="s">
        <v>668</v>
      </c>
      <c r="AH889" t="s">
        <v>669</v>
      </c>
      <c r="AI889" t="s">
        <v>127</v>
      </c>
      <c r="AJ889" s="8" t="str">
        <f>"77598"</f>
        <v>77598</v>
      </c>
      <c r="AK889" t="s">
        <v>118</v>
      </c>
      <c r="AM889" s="10">
        <v>12812801100</v>
      </c>
      <c r="AO889" t="s">
        <v>672</v>
      </c>
      <c r="AP889" t="s">
        <v>248</v>
      </c>
      <c r="AQ889" t="s">
        <v>673</v>
      </c>
      <c r="AR889" t="s">
        <v>674</v>
      </c>
      <c r="AT889" t="s">
        <v>579</v>
      </c>
      <c r="AV889" t="s">
        <v>580</v>
      </c>
      <c r="AW889" t="s">
        <v>581</v>
      </c>
      <c r="AX889" s="8" t="str">
        <f>"22903"</f>
        <v>22903</v>
      </c>
      <c r="AY889" t="s">
        <v>118</v>
      </c>
      <c r="BA889" s="10">
        <v>14342634300</v>
      </c>
      <c r="BC889" t="s">
        <v>675</v>
      </c>
      <c r="BD889" t="s">
        <v>583</v>
      </c>
      <c r="BG889" t="s">
        <v>386</v>
      </c>
      <c r="BH889" s="1">
        <v>45204.833333333336</v>
      </c>
      <c r="BI889">
        <v>40</v>
      </c>
      <c r="BJ889">
        <v>0</v>
      </c>
      <c r="BK889">
        <v>8</v>
      </c>
      <c r="BL889">
        <v>8</v>
      </c>
      <c r="BM889">
        <v>8</v>
      </c>
      <c r="BN889">
        <v>8</v>
      </c>
      <c r="BO889">
        <v>8</v>
      </c>
      <c r="BP889">
        <v>0</v>
      </c>
      <c r="BQ889" t="str">
        <f>"7:00 AM"</f>
        <v>7:00 AM</v>
      </c>
      <c r="BR889" t="str">
        <f>"4:00 PM"</f>
        <v>4:00 PM</v>
      </c>
      <c r="BS889" t="s">
        <v>131</v>
      </c>
      <c r="BT889">
        <v>0</v>
      </c>
      <c r="BU889">
        <v>12</v>
      </c>
      <c r="BV889" t="s">
        <v>136</v>
      </c>
      <c r="BW889">
        <v>10</v>
      </c>
      <c r="BX889" s="2" t="s">
        <v>7464</v>
      </c>
      <c r="BY889" t="s">
        <v>4873</v>
      </c>
      <c r="CA889" t="s">
        <v>1046</v>
      </c>
      <c r="CB889" t="s">
        <v>386</v>
      </c>
      <c r="CC889" s="8" t="str">
        <f>"38133"</f>
        <v>38133</v>
      </c>
      <c r="CD889" t="s">
        <v>1054</v>
      </c>
      <c r="CE889" t="s">
        <v>1055</v>
      </c>
      <c r="CF889" s="12">
        <v>23.27</v>
      </c>
      <c r="CH889" s="12">
        <v>34.909999999999997</v>
      </c>
      <c r="CJ889" t="s">
        <v>135</v>
      </c>
      <c r="CK889" t="s">
        <v>590</v>
      </c>
      <c r="CL889" t="s">
        <v>10286</v>
      </c>
      <c r="CO889" t="s">
        <v>132</v>
      </c>
      <c r="CP889" t="s">
        <v>136</v>
      </c>
      <c r="CQ889" t="s">
        <v>114</v>
      </c>
      <c r="CR889" t="s">
        <v>136</v>
      </c>
      <c r="CS889" t="s">
        <v>114</v>
      </c>
      <c r="CT889" t="s">
        <v>136</v>
      </c>
      <c r="CU889" t="s">
        <v>136</v>
      </c>
      <c r="CV889" t="s">
        <v>681</v>
      </c>
      <c r="CW889" s="10" t="str">
        <f>"N/A"</f>
        <v>N/A</v>
      </c>
      <c r="CX889" t="s">
        <v>682</v>
      </c>
      <c r="CY889" t="s">
        <v>2911</v>
      </c>
      <c r="CZ889" t="s">
        <v>137</v>
      </c>
      <c r="DA889" t="s">
        <v>114</v>
      </c>
      <c r="DB889" t="s">
        <v>136</v>
      </c>
      <c r="DC889" t="s">
        <v>136</v>
      </c>
      <c r="DD889" t="s">
        <v>114</v>
      </c>
      <c r="DE889" t="s">
        <v>673</v>
      </c>
      <c r="DF889" t="s">
        <v>674</v>
      </c>
      <c r="DH889" t="s">
        <v>583</v>
      </c>
      <c r="DI889" t="s">
        <v>675</v>
      </c>
    </row>
    <row r="890" spans="1:113" ht="15" customHeight="1" x14ac:dyDescent="0.25">
      <c r="A890" t="s">
        <v>21812</v>
      </c>
      <c r="B890" t="s">
        <v>152</v>
      </c>
      <c r="C890" s="1">
        <v>45205.271759953706</v>
      </c>
      <c r="D890" s="1">
        <v>45246</v>
      </c>
      <c r="E890" t="s">
        <v>132</v>
      </c>
      <c r="F890" t="s">
        <v>9057</v>
      </c>
      <c r="G890" t="str">
        <f>"37-3011.00"</f>
        <v>37-3011.00</v>
      </c>
      <c r="H890" t="s">
        <v>429</v>
      </c>
      <c r="I890">
        <v>25</v>
      </c>
      <c r="J890">
        <v>25</v>
      </c>
      <c r="K890" s="1">
        <v>45295</v>
      </c>
      <c r="L890" s="1">
        <v>45600</v>
      </c>
      <c r="M890" s="1">
        <v>45295</v>
      </c>
      <c r="N890" s="1">
        <v>45600</v>
      </c>
      <c r="O890" t="s">
        <v>116</v>
      </c>
      <c r="P890" t="s">
        <v>7469</v>
      </c>
      <c r="R890" t="s">
        <v>668</v>
      </c>
      <c r="T890" t="s">
        <v>669</v>
      </c>
      <c r="U890" t="s">
        <v>127</v>
      </c>
      <c r="V890" s="8" t="str">
        <f>"77598"</f>
        <v>77598</v>
      </c>
      <c r="W890" t="s">
        <v>118</v>
      </c>
      <c r="Y890" s="10">
        <v>12812801100</v>
      </c>
      <c r="AA890">
        <v>56173</v>
      </c>
      <c r="AB890" t="s">
        <v>670</v>
      </c>
      <c r="AC890" t="s">
        <v>671</v>
      </c>
      <c r="AE890" t="s">
        <v>405</v>
      </c>
      <c r="AF890" t="s">
        <v>668</v>
      </c>
      <c r="AH890" t="s">
        <v>669</v>
      </c>
      <c r="AI890" t="s">
        <v>127</v>
      </c>
      <c r="AJ890" s="8" t="str">
        <f>"77598"</f>
        <v>77598</v>
      </c>
      <c r="AK890" t="s">
        <v>118</v>
      </c>
      <c r="AM890" s="10">
        <v>12812801100</v>
      </c>
      <c r="AO890" t="s">
        <v>672</v>
      </c>
      <c r="AP890" t="s">
        <v>248</v>
      </c>
      <c r="AQ890" t="s">
        <v>673</v>
      </c>
      <c r="AR890" t="s">
        <v>674</v>
      </c>
      <c r="AT890" t="s">
        <v>579</v>
      </c>
      <c r="AV890" t="s">
        <v>580</v>
      </c>
      <c r="AW890" t="s">
        <v>581</v>
      </c>
      <c r="AX890" s="8" t="str">
        <f>"22903"</f>
        <v>22903</v>
      </c>
      <c r="AY890" t="s">
        <v>118</v>
      </c>
      <c r="BA890" s="10">
        <v>14342634300</v>
      </c>
      <c r="BC890" t="s">
        <v>675</v>
      </c>
      <c r="BD890" t="s">
        <v>583</v>
      </c>
      <c r="BG890" t="s">
        <v>386</v>
      </c>
      <c r="BH890" s="1">
        <v>45204.833333333336</v>
      </c>
      <c r="BI890">
        <v>40</v>
      </c>
      <c r="BJ890">
        <v>0</v>
      </c>
      <c r="BK890">
        <v>8</v>
      </c>
      <c r="BL890">
        <v>8</v>
      </c>
      <c r="BM890">
        <v>8</v>
      </c>
      <c r="BN890">
        <v>8</v>
      </c>
      <c r="BO890">
        <v>8</v>
      </c>
      <c r="BP890">
        <v>0</v>
      </c>
      <c r="BQ890" t="str">
        <f>"7:00 AM"</f>
        <v>7:00 AM</v>
      </c>
      <c r="BR890" t="str">
        <f>"4:00 PM"</f>
        <v>4:00 PM</v>
      </c>
      <c r="BS890" t="s">
        <v>131</v>
      </c>
      <c r="BT890">
        <v>0</v>
      </c>
      <c r="BU890">
        <v>0</v>
      </c>
      <c r="BV890" t="s">
        <v>114</v>
      </c>
      <c r="BX890" s="2" t="s">
        <v>12816</v>
      </c>
      <c r="BY890" t="s">
        <v>19747</v>
      </c>
      <c r="CA890" t="s">
        <v>7470</v>
      </c>
      <c r="CB890" t="s">
        <v>386</v>
      </c>
      <c r="CC890" s="8" t="str">
        <f>"37917"</f>
        <v>37917</v>
      </c>
      <c r="CD890" t="s">
        <v>3350</v>
      </c>
      <c r="CE890" t="s">
        <v>3276</v>
      </c>
      <c r="CF890" s="12">
        <v>16.32</v>
      </c>
      <c r="CH890" s="12">
        <v>24.48</v>
      </c>
      <c r="CJ890" t="s">
        <v>135</v>
      </c>
      <c r="CK890" t="s">
        <v>590</v>
      </c>
      <c r="CL890" t="s">
        <v>21813</v>
      </c>
      <c r="CO890" t="s">
        <v>132</v>
      </c>
      <c r="CP890" t="s">
        <v>136</v>
      </c>
      <c r="CQ890" t="s">
        <v>114</v>
      </c>
      <c r="CR890" t="s">
        <v>136</v>
      </c>
      <c r="CS890" t="s">
        <v>136</v>
      </c>
      <c r="CT890" t="s">
        <v>136</v>
      </c>
      <c r="CU890" t="s">
        <v>136</v>
      </c>
      <c r="CV890" t="s">
        <v>681</v>
      </c>
      <c r="CW890" s="10" t="str">
        <f>"N/A"</f>
        <v>N/A</v>
      </c>
      <c r="CX890" t="s">
        <v>682</v>
      </c>
      <c r="CY890" t="s">
        <v>2911</v>
      </c>
      <c r="CZ890" t="s">
        <v>137</v>
      </c>
      <c r="DA890" t="s">
        <v>114</v>
      </c>
      <c r="DB890" t="s">
        <v>136</v>
      </c>
      <c r="DC890" t="s">
        <v>136</v>
      </c>
      <c r="DD890" t="s">
        <v>114</v>
      </c>
      <c r="DE890" t="s">
        <v>673</v>
      </c>
      <c r="DF890" t="s">
        <v>674</v>
      </c>
      <c r="DH890" t="s">
        <v>583</v>
      </c>
      <c r="DI890" t="s">
        <v>675</v>
      </c>
    </row>
    <row r="891" spans="1:113" ht="15" customHeight="1" x14ac:dyDescent="0.25">
      <c r="A891" t="s">
        <v>14062</v>
      </c>
      <c r="B891" t="s">
        <v>152</v>
      </c>
      <c r="C891" s="1">
        <v>45205.266784722226</v>
      </c>
      <c r="D891" s="1">
        <v>45246</v>
      </c>
      <c r="E891" t="s">
        <v>132</v>
      </c>
      <c r="F891" t="s">
        <v>665</v>
      </c>
      <c r="G891" t="str">
        <f>"37-3013.00"</f>
        <v>37-3013.00</v>
      </c>
      <c r="H891" t="s">
        <v>666</v>
      </c>
      <c r="I891">
        <v>35</v>
      </c>
      <c r="J891">
        <v>35</v>
      </c>
      <c r="K891" s="1">
        <v>45295</v>
      </c>
      <c r="L891" s="1">
        <v>45600</v>
      </c>
      <c r="M891" s="1">
        <v>45295</v>
      </c>
      <c r="N891" s="1">
        <v>45600</v>
      </c>
      <c r="O891" t="s">
        <v>116</v>
      </c>
      <c r="P891" t="s">
        <v>10874</v>
      </c>
      <c r="R891" t="s">
        <v>668</v>
      </c>
      <c r="T891" t="s">
        <v>669</v>
      </c>
      <c r="U891" t="s">
        <v>127</v>
      </c>
      <c r="V891" s="8" t="str">
        <f>"77598"</f>
        <v>77598</v>
      </c>
      <c r="W891" t="s">
        <v>118</v>
      </c>
      <c r="Y891" s="10">
        <v>12812801100</v>
      </c>
      <c r="AA891">
        <v>56173</v>
      </c>
      <c r="AB891" t="s">
        <v>670</v>
      </c>
      <c r="AC891" t="s">
        <v>671</v>
      </c>
      <c r="AE891" t="s">
        <v>405</v>
      </c>
      <c r="AF891" t="s">
        <v>668</v>
      </c>
      <c r="AH891" t="s">
        <v>669</v>
      </c>
      <c r="AI891" t="s">
        <v>127</v>
      </c>
      <c r="AJ891" s="8" t="str">
        <f>"77598"</f>
        <v>77598</v>
      </c>
      <c r="AK891" t="s">
        <v>118</v>
      </c>
      <c r="AM891" s="10">
        <v>12812801100</v>
      </c>
      <c r="AO891" t="s">
        <v>672</v>
      </c>
      <c r="AP891" t="s">
        <v>248</v>
      </c>
      <c r="AQ891" t="s">
        <v>673</v>
      </c>
      <c r="AR891" t="s">
        <v>674</v>
      </c>
      <c r="AT891" t="s">
        <v>579</v>
      </c>
      <c r="AV891" t="s">
        <v>580</v>
      </c>
      <c r="AW891" t="s">
        <v>581</v>
      </c>
      <c r="AX891" s="8" t="str">
        <f>"22903"</f>
        <v>22903</v>
      </c>
      <c r="AY891" t="s">
        <v>118</v>
      </c>
      <c r="BA891" s="10">
        <v>14342634300</v>
      </c>
      <c r="BC891" t="s">
        <v>675</v>
      </c>
      <c r="BD891" t="s">
        <v>583</v>
      </c>
      <c r="BG891" t="s">
        <v>333</v>
      </c>
      <c r="BH891" s="1">
        <v>45204.833333333336</v>
      </c>
      <c r="BI891">
        <v>40</v>
      </c>
      <c r="BJ891">
        <v>0</v>
      </c>
      <c r="BK891">
        <v>8</v>
      </c>
      <c r="BL891">
        <v>8</v>
      </c>
      <c r="BM891">
        <v>8</v>
      </c>
      <c r="BN891">
        <v>8</v>
      </c>
      <c r="BO891">
        <v>8</v>
      </c>
      <c r="BP891">
        <v>0</v>
      </c>
      <c r="BQ891" t="str">
        <f>"7:00 AM"</f>
        <v>7:00 AM</v>
      </c>
      <c r="BR891" t="str">
        <f>"4:00 PM"</f>
        <v>4:00 PM</v>
      </c>
      <c r="BS891" t="s">
        <v>131</v>
      </c>
      <c r="BT891">
        <v>0</v>
      </c>
      <c r="BU891">
        <v>0</v>
      </c>
      <c r="BV891" t="s">
        <v>114</v>
      </c>
      <c r="BX891" s="2" t="s">
        <v>676</v>
      </c>
      <c r="BY891" t="s">
        <v>10875</v>
      </c>
      <c r="CA891" t="s">
        <v>1814</v>
      </c>
      <c r="CB891" t="s">
        <v>333</v>
      </c>
      <c r="CC891" s="8" t="str">
        <f>"70816"</f>
        <v>70816</v>
      </c>
      <c r="CD891" t="s">
        <v>1929</v>
      </c>
      <c r="CE891" t="s">
        <v>1930</v>
      </c>
      <c r="CF891" s="12">
        <v>19.88</v>
      </c>
      <c r="CH891" s="12">
        <v>29.82</v>
      </c>
      <c r="CJ891" t="s">
        <v>135</v>
      </c>
      <c r="CK891" t="s">
        <v>590</v>
      </c>
      <c r="CL891" t="s">
        <v>14063</v>
      </c>
      <c r="CO891" t="s">
        <v>132</v>
      </c>
      <c r="CP891" t="s">
        <v>136</v>
      </c>
      <c r="CQ891" t="s">
        <v>114</v>
      </c>
      <c r="CR891" t="s">
        <v>136</v>
      </c>
      <c r="CS891" t="s">
        <v>136</v>
      </c>
      <c r="CT891" t="s">
        <v>136</v>
      </c>
      <c r="CU891" t="s">
        <v>136</v>
      </c>
      <c r="CV891" t="s">
        <v>681</v>
      </c>
      <c r="CW891" s="10" t="str">
        <f>"N/A"</f>
        <v>N/A</v>
      </c>
      <c r="CX891" t="s">
        <v>682</v>
      </c>
      <c r="CY891" t="s">
        <v>683</v>
      </c>
      <c r="CZ891" t="s">
        <v>137</v>
      </c>
      <c r="DA891" t="s">
        <v>114</v>
      </c>
      <c r="DB891" t="s">
        <v>136</v>
      </c>
      <c r="DC891" t="s">
        <v>136</v>
      </c>
      <c r="DD891" t="s">
        <v>114</v>
      </c>
      <c r="DE891" t="s">
        <v>673</v>
      </c>
      <c r="DF891" t="s">
        <v>674</v>
      </c>
      <c r="DH891" t="s">
        <v>583</v>
      </c>
      <c r="DI891" t="s">
        <v>675</v>
      </c>
    </row>
    <row r="892" spans="1:113" ht="15" customHeight="1" x14ac:dyDescent="0.25">
      <c r="A892" t="s">
        <v>12853</v>
      </c>
      <c r="B892" t="s">
        <v>152</v>
      </c>
      <c r="C892" s="1">
        <v>45205.26630844907</v>
      </c>
      <c r="D892" s="1">
        <v>45246</v>
      </c>
      <c r="E892" t="s">
        <v>132</v>
      </c>
      <c r="F892" t="s">
        <v>10285</v>
      </c>
      <c r="G892" t="str">
        <f>"37-1012.00"</f>
        <v>37-1012.00</v>
      </c>
      <c r="H892" t="s">
        <v>3140</v>
      </c>
      <c r="I892">
        <v>4</v>
      </c>
      <c r="J892">
        <v>4</v>
      </c>
      <c r="K892" s="1">
        <v>45295</v>
      </c>
      <c r="L892" s="1">
        <v>45600</v>
      </c>
      <c r="M892" s="1">
        <v>45295</v>
      </c>
      <c r="N892" s="1">
        <v>45600</v>
      </c>
      <c r="O892" t="s">
        <v>116</v>
      </c>
      <c r="P892" t="s">
        <v>10874</v>
      </c>
      <c r="R892" t="s">
        <v>668</v>
      </c>
      <c r="T892" t="s">
        <v>669</v>
      </c>
      <c r="U892" t="s">
        <v>127</v>
      </c>
      <c r="V892" s="8" t="str">
        <f>"77598"</f>
        <v>77598</v>
      </c>
      <c r="W892" t="s">
        <v>118</v>
      </c>
      <c r="Y892" s="10">
        <v>12812801100</v>
      </c>
      <c r="AA892">
        <v>56173</v>
      </c>
      <c r="AB892" t="s">
        <v>670</v>
      </c>
      <c r="AC892" t="s">
        <v>671</v>
      </c>
      <c r="AE892" t="s">
        <v>405</v>
      </c>
      <c r="AF892" t="s">
        <v>668</v>
      </c>
      <c r="AH892" t="s">
        <v>669</v>
      </c>
      <c r="AI892" t="s">
        <v>127</v>
      </c>
      <c r="AJ892" s="8" t="str">
        <f>"77598"</f>
        <v>77598</v>
      </c>
      <c r="AK892" t="s">
        <v>118</v>
      </c>
      <c r="AM892" s="10">
        <v>12812801100</v>
      </c>
      <c r="AO892" t="s">
        <v>672</v>
      </c>
      <c r="AP892" t="s">
        <v>248</v>
      </c>
      <c r="AQ892" t="s">
        <v>673</v>
      </c>
      <c r="AR892" t="s">
        <v>674</v>
      </c>
      <c r="AT892" t="s">
        <v>579</v>
      </c>
      <c r="AV892" t="s">
        <v>580</v>
      </c>
      <c r="AW892" t="s">
        <v>581</v>
      </c>
      <c r="AX892" s="8" t="str">
        <f>"22903"</f>
        <v>22903</v>
      </c>
      <c r="AY892" t="s">
        <v>118</v>
      </c>
      <c r="BA892" s="10">
        <v>14342634300</v>
      </c>
      <c r="BC892" t="s">
        <v>675</v>
      </c>
      <c r="BD892" t="s">
        <v>583</v>
      </c>
      <c r="BG892" t="s">
        <v>333</v>
      </c>
      <c r="BH892" s="1">
        <v>45204.833333333336</v>
      </c>
      <c r="BI892">
        <v>40</v>
      </c>
      <c r="BJ892">
        <v>0</v>
      </c>
      <c r="BK892">
        <v>8</v>
      </c>
      <c r="BL892">
        <v>8</v>
      </c>
      <c r="BM892">
        <v>8</v>
      </c>
      <c r="BN892">
        <v>8</v>
      </c>
      <c r="BO892">
        <v>8</v>
      </c>
      <c r="BP892">
        <v>0</v>
      </c>
      <c r="BQ892" t="str">
        <f>"7:00 AM"</f>
        <v>7:00 AM</v>
      </c>
      <c r="BR892" t="str">
        <f>"4:00 PM"</f>
        <v>4:00 PM</v>
      </c>
      <c r="BS892" t="s">
        <v>131</v>
      </c>
      <c r="BT892">
        <v>0</v>
      </c>
      <c r="BU892">
        <v>12</v>
      </c>
      <c r="BV892" t="s">
        <v>136</v>
      </c>
      <c r="BW892">
        <v>10</v>
      </c>
      <c r="BX892" s="2" t="s">
        <v>12854</v>
      </c>
      <c r="BY892" t="s">
        <v>10875</v>
      </c>
      <c r="CA892" t="s">
        <v>1814</v>
      </c>
      <c r="CB892" t="s">
        <v>333</v>
      </c>
      <c r="CC892" s="8" t="str">
        <f>"70816"</f>
        <v>70816</v>
      </c>
      <c r="CD892" t="s">
        <v>1929</v>
      </c>
      <c r="CE892" t="s">
        <v>1930</v>
      </c>
      <c r="CF892" s="12">
        <v>24.76</v>
      </c>
      <c r="CH892" s="12">
        <v>37.14</v>
      </c>
      <c r="CJ892" t="s">
        <v>135</v>
      </c>
      <c r="CK892" t="s">
        <v>590</v>
      </c>
      <c r="CL892" t="s">
        <v>12855</v>
      </c>
      <c r="CO892" t="s">
        <v>132</v>
      </c>
      <c r="CP892" t="s">
        <v>136</v>
      </c>
      <c r="CQ892" t="s">
        <v>114</v>
      </c>
      <c r="CR892" t="s">
        <v>136</v>
      </c>
      <c r="CS892" t="s">
        <v>114</v>
      </c>
      <c r="CT892" t="s">
        <v>136</v>
      </c>
      <c r="CU892" t="s">
        <v>136</v>
      </c>
      <c r="CV892" t="s">
        <v>681</v>
      </c>
      <c r="CW892" s="10" t="str">
        <f>"N/A"</f>
        <v>N/A</v>
      </c>
      <c r="CX892" t="s">
        <v>682</v>
      </c>
      <c r="CY892" t="s">
        <v>683</v>
      </c>
      <c r="CZ892" t="s">
        <v>137</v>
      </c>
      <c r="DA892" t="s">
        <v>114</v>
      </c>
      <c r="DB892" t="s">
        <v>136</v>
      </c>
      <c r="DC892" t="s">
        <v>136</v>
      </c>
      <c r="DD892" t="s">
        <v>114</v>
      </c>
      <c r="DE892" t="s">
        <v>673</v>
      </c>
      <c r="DF892" t="s">
        <v>674</v>
      </c>
      <c r="DH892" t="s">
        <v>583</v>
      </c>
      <c r="DI892" t="s">
        <v>675</v>
      </c>
    </row>
    <row r="893" spans="1:113" ht="15" customHeight="1" x14ac:dyDescent="0.25">
      <c r="A893" t="s">
        <v>11688</v>
      </c>
      <c r="B893" t="s">
        <v>152</v>
      </c>
      <c r="C893" s="1">
        <v>45205.265825000002</v>
      </c>
      <c r="D893" s="1">
        <v>45246</v>
      </c>
      <c r="E893" t="s">
        <v>132</v>
      </c>
      <c r="F893" t="s">
        <v>665</v>
      </c>
      <c r="G893" t="str">
        <f>"37-3013.00"</f>
        <v>37-3013.00</v>
      </c>
      <c r="H893" t="s">
        <v>666</v>
      </c>
      <c r="I893">
        <v>30</v>
      </c>
      <c r="J893">
        <v>30</v>
      </c>
      <c r="K893" s="1">
        <v>45295</v>
      </c>
      <c r="L893" s="1">
        <v>45600</v>
      </c>
      <c r="M893" s="1">
        <v>45295</v>
      </c>
      <c r="N893" s="1">
        <v>45600</v>
      </c>
      <c r="O893" t="s">
        <v>116</v>
      </c>
      <c r="P893" t="s">
        <v>11689</v>
      </c>
      <c r="R893" t="s">
        <v>668</v>
      </c>
      <c r="T893" t="s">
        <v>669</v>
      </c>
      <c r="U893" t="s">
        <v>127</v>
      </c>
      <c r="V893" s="8" t="str">
        <f>"77598"</f>
        <v>77598</v>
      </c>
      <c r="W893" t="s">
        <v>118</v>
      </c>
      <c r="Y893" s="10">
        <v>12812801100</v>
      </c>
      <c r="AA893">
        <v>56173</v>
      </c>
      <c r="AB893" t="s">
        <v>670</v>
      </c>
      <c r="AC893" t="s">
        <v>671</v>
      </c>
      <c r="AE893" t="s">
        <v>405</v>
      </c>
      <c r="AF893" t="s">
        <v>668</v>
      </c>
      <c r="AH893" t="s">
        <v>669</v>
      </c>
      <c r="AI893" t="s">
        <v>127</v>
      </c>
      <c r="AJ893" s="8" t="str">
        <f>"77598"</f>
        <v>77598</v>
      </c>
      <c r="AK893" t="s">
        <v>118</v>
      </c>
      <c r="AM893" s="10">
        <v>12812801100</v>
      </c>
      <c r="AO893" t="s">
        <v>672</v>
      </c>
      <c r="AP893" t="s">
        <v>248</v>
      </c>
      <c r="AQ893" t="s">
        <v>673</v>
      </c>
      <c r="AR893" t="s">
        <v>674</v>
      </c>
      <c r="AT893" t="s">
        <v>579</v>
      </c>
      <c r="AV893" t="s">
        <v>580</v>
      </c>
      <c r="AW893" t="s">
        <v>581</v>
      </c>
      <c r="AX893" s="8" t="str">
        <f>"22903"</f>
        <v>22903</v>
      </c>
      <c r="AY893" t="s">
        <v>118</v>
      </c>
      <c r="BA893" s="10">
        <v>14342634300</v>
      </c>
      <c r="BC893" t="s">
        <v>675</v>
      </c>
      <c r="BD893" t="s">
        <v>583</v>
      </c>
      <c r="BG893" t="s">
        <v>127</v>
      </c>
      <c r="BH893" s="1">
        <v>45204.833333333336</v>
      </c>
      <c r="BI893">
        <v>40</v>
      </c>
      <c r="BJ893">
        <v>0</v>
      </c>
      <c r="BK893">
        <v>8</v>
      </c>
      <c r="BL893">
        <v>8</v>
      </c>
      <c r="BM893">
        <v>8</v>
      </c>
      <c r="BN893">
        <v>8</v>
      </c>
      <c r="BO893">
        <v>8</v>
      </c>
      <c r="BP893">
        <v>0</v>
      </c>
      <c r="BQ893" t="str">
        <f>"7:00 AM"</f>
        <v>7:00 AM</v>
      </c>
      <c r="BR893" t="str">
        <f>"4:00 PM"</f>
        <v>4:00 PM</v>
      </c>
      <c r="BS893" t="s">
        <v>131</v>
      </c>
      <c r="BT893">
        <v>0</v>
      </c>
      <c r="BU893">
        <v>0</v>
      </c>
      <c r="BV893" t="s">
        <v>114</v>
      </c>
      <c r="BX893" s="2" t="s">
        <v>676</v>
      </c>
      <c r="BY893" t="s">
        <v>11690</v>
      </c>
      <c r="CA893" t="s">
        <v>11691</v>
      </c>
      <c r="CB893" t="s">
        <v>127</v>
      </c>
      <c r="CC893" s="8" t="str">
        <f>"78602"</f>
        <v>78602</v>
      </c>
      <c r="CD893" t="s">
        <v>9188</v>
      </c>
      <c r="CE893" t="s">
        <v>324</v>
      </c>
      <c r="CF893" s="12">
        <v>18.329999999999998</v>
      </c>
      <c r="CH893" s="12">
        <v>27.5</v>
      </c>
      <c r="CJ893" t="s">
        <v>135</v>
      </c>
      <c r="CK893" t="s">
        <v>590</v>
      </c>
      <c r="CL893" t="s">
        <v>11692</v>
      </c>
      <c r="CO893" t="s">
        <v>132</v>
      </c>
      <c r="CP893" t="s">
        <v>136</v>
      </c>
      <c r="CQ893" t="s">
        <v>114</v>
      </c>
      <c r="CR893" t="s">
        <v>136</v>
      </c>
      <c r="CS893" t="s">
        <v>136</v>
      </c>
      <c r="CT893" t="s">
        <v>136</v>
      </c>
      <c r="CU893" t="s">
        <v>136</v>
      </c>
      <c r="CV893" t="s">
        <v>11693</v>
      </c>
      <c r="CW893" s="10" t="str">
        <f>"N/A"</f>
        <v>N/A</v>
      </c>
      <c r="CX893" t="s">
        <v>682</v>
      </c>
      <c r="CY893" t="s">
        <v>1853</v>
      </c>
      <c r="CZ893" t="s">
        <v>137</v>
      </c>
      <c r="DA893" t="s">
        <v>114</v>
      </c>
      <c r="DB893" t="s">
        <v>136</v>
      </c>
      <c r="DC893" t="s">
        <v>136</v>
      </c>
      <c r="DD893" t="s">
        <v>114</v>
      </c>
      <c r="DE893" t="s">
        <v>673</v>
      </c>
      <c r="DF893" t="s">
        <v>674</v>
      </c>
      <c r="DH893" t="s">
        <v>583</v>
      </c>
      <c r="DI893" t="s">
        <v>675</v>
      </c>
    </row>
    <row r="894" spans="1:113" ht="15" customHeight="1" x14ac:dyDescent="0.25">
      <c r="A894" t="s">
        <v>8676</v>
      </c>
      <c r="B894" t="s">
        <v>152</v>
      </c>
      <c r="C894" s="1">
        <v>45204.741810300926</v>
      </c>
      <c r="D894" s="1">
        <v>45246</v>
      </c>
      <c r="E894" t="s">
        <v>132</v>
      </c>
      <c r="F894" t="s">
        <v>685</v>
      </c>
      <c r="G894" t="str">
        <f>"35-3023.00"</f>
        <v>35-3023.00</v>
      </c>
      <c r="H894" t="s">
        <v>1365</v>
      </c>
      <c r="I894">
        <v>20</v>
      </c>
      <c r="J894">
        <v>20</v>
      </c>
      <c r="K894" s="1">
        <v>45279</v>
      </c>
      <c r="L894" s="1">
        <v>45551</v>
      </c>
      <c r="M894" s="1">
        <v>45279</v>
      </c>
      <c r="N894" s="1">
        <v>45551</v>
      </c>
      <c r="O894" t="s">
        <v>238</v>
      </c>
      <c r="P894" t="s">
        <v>8677</v>
      </c>
      <c r="R894" t="s">
        <v>8678</v>
      </c>
      <c r="S894" t="s">
        <v>8679</v>
      </c>
      <c r="T894" t="s">
        <v>573</v>
      </c>
      <c r="V894" s="8" t="str">
        <f>"30338"</f>
        <v>30338</v>
      </c>
      <c r="W894" t="s">
        <v>8680</v>
      </c>
      <c r="Y894" s="10">
        <v>19412707311</v>
      </c>
      <c r="Z894" s="3" t="s">
        <v>256</v>
      </c>
      <c r="AA894">
        <v>71399</v>
      </c>
      <c r="AB894" t="s">
        <v>8681</v>
      </c>
      <c r="AC894" t="s">
        <v>4425</v>
      </c>
      <c r="AE894" t="s">
        <v>561</v>
      </c>
      <c r="AF894" t="s">
        <v>8678</v>
      </c>
      <c r="AG894" t="s">
        <v>8679</v>
      </c>
      <c r="AH894" t="s">
        <v>573</v>
      </c>
      <c r="AI894" t="s">
        <v>550</v>
      </c>
      <c r="AJ894" s="8" t="str">
        <f>"30338"</f>
        <v>30338</v>
      </c>
      <c r="AK894" t="s">
        <v>118</v>
      </c>
      <c r="AM894" s="10">
        <v>19412707311</v>
      </c>
      <c r="AN894" s="3" t="s">
        <v>256</v>
      </c>
      <c r="AO894" t="s">
        <v>8682</v>
      </c>
      <c r="AP894" t="s">
        <v>248</v>
      </c>
      <c r="AQ894" t="s">
        <v>249</v>
      </c>
      <c r="AR894" t="s">
        <v>250</v>
      </c>
      <c r="AS894" t="s">
        <v>251</v>
      </c>
      <c r="AT894" t="s">
        <v>252</v>
      </c>
      <c r="AU894" t="s">
        <v>253</v>
      </c>
      <c r="AV894" t="s">
        <v>254</v>
      </c>
      <c r="AW894" t="s">
        <v>127</v>
      </c>
      <c r="AX894" s="8" t="str">
        <f>"78550"</f>
        <v>78550</v>
      </c>
      <c r="AY894" t="s">
        <v>118</v>
      </c>
      <c r="AZ894" t="s">
        <v>255</v>
      </c>
      <c r="BA894" s="10">
        <v>19564408720</v>
      </c>
      <c r="BB894" s="3" t="s">
        <v>256</v>
      </c>
      <c r="BC894" t="s">
        <v>338</v>
      </c>
      <c r="BD894" t="s">
        <v>258</v>
      </c>
      <c r="BG894" t="s">
        <v>550</v>
      </c>
      <c r="BH894" s="1">
        <v>45203.833333333336</v>
      </c>
      <c r="BI894">
        <v>40</v>
      </c>
      <c r="BJ894">
        <v>8</v>
      </c>
      <c r="BK894">
        <v>0</v>
      </c>
      <c r="BL894">
        <v>0</v>
      </c>
      <c r="BM894">
        <v>8</v>
      </c>
      <c r="BN894">
        <v>8</v>
      </c>
      <c r="BO894">
        <v>8</v>
      </c>
      <c r="BP894">
        <v>8</v>
      </c>
      <c r="BQ894" t="str">
        <f>"1:00 PM"</f>
        <v>1:00 PM</v>
      </c>
      <c r="BR894" t="str">
        <f>"10:00 PM"</f>
        <v>10:00 PM</v>
      </c>
      <c r="BS894" t="s">
        <v>131</v>
      </c>
      <c r="BT894">
        <v>0</v>
      </c>
      <c r="BU894">
        <v>0</v>
      </c>
      <c r="BV894" t="s">
        <v>114</v>
      </c>
      <c r="BX894" s="2" t="s">
        <v>339</v>
      </c>
      <c r="BY894" t="s">
        <v>8678</v>
      </c>
      <c r="CA894" t="s">
        <v>573</v>
      </c>
      <c r="CB894" t="s">
        <v>550</v>
      </c>
      <c r="CC894" s="8" t="str">
        <f>"30338"</f>
        <v>30338</v>
      </c>
      <c r="CD894" t="s">
        <v>3096</v>
      </c>
      <c r="CE894" t="s">
        <v>552</v>
      </c>
      <c r="CF894" s="12">
        <v>11.42</v>
      </c>
      <c r="CG894" s="12">
        <v>11.65</v>
      </c>
      <c r="CJ894" t="s">
        <v>135</v>
      </c>
      <c r="CK894" t="s">
        <v>342</v>
      </c>
      <c r="CL894" t="s">
        <v>8683</v>
      </c>
      <c r="CO894" t="s">
        <v>132</v>
      </c>
      <c r="CP894" t="s">
        <v>136</v>
      </c>
      <c r="CQ894" t="s">
        <v>136</v>
      </c>
      <c r="CR894" t="s">
        <v>114</v>
      </c>
      <c r="CS894" t="s">
        <v>136</v>
      </c>
      <c r="CT894" t="s">
        <v>136</v>
      </c>
      <c r="CU894" t="s">
        <v>136</v>
      </c>
      <c r="CV894" t="s">
        <v>698</v>
      </c>
      <c r="CW894" s="10" t="str">
        <f>"+19412707311"</f>
        <v>+19412707311</v>
      </c>
      <c r="CX894" t="s">
        <v>8682</v>
      </c>
      <c r="CY894" t="s">
        <v>132</v>
      </c>
      <c r="CZ894" t="s">
        <v>137</v>
      </c>
      <c r="DA894" t="s">
        <v>114</v>
      </c>
      <c r="DB894" t="s">
        <v>136</v>
      </c>
      <c r="DC894" t="s">
        <v>136</v>
      </c>
      <c r="DD894" t="s">
        <v>114</v>
      </c>
    </row>
    <row r="895" spans="1:113" ht="15" customHeight="1" x14ac:dyDescent="0.25">
      <c r="A895" t="s">
        <v>840</v>
      </c>
      <c r="B895" t="s">
        <v>152</v>
      </c>
      <c r="C895" s="1">
        <v>45204.566445486111</v>
      </c>
      <c r="D895" s="1">
        <v>45246</v>
      </c>
      <c r="E895" t="s">
        <v>132</v>
      </c>
      <c r="F895" t="s">
        <v>841</v>
      </c>
      <c r="G895" t="str">
        <f>"45-4011.00"</f>
        <v>45-4011.00</v>
      </c>
      <c r="H895" t="s">
        <v>842</v>
      </c>
      <c r="I895">
        <v>75</v>
      </c>
      <c r="J895">
        <v>75</v>
      </c>
      <c r="K895" s="1">
        <v>45292</v>
      </c>
      <c r="L895" s="1">
        <v>45596</v>
      </c>
      <c r="M895" s="1">
        <v>45292</v>
      </c>
      <c r="N895" s="1">
        <v>45596</v>
      </c>
      <c r="O895" t="s">
        <v>116</v>
      </c>
      <c r="P895" t="s">
        <v>843</v>
      </c>
      <c r="R895" t="s">
        <v>844</v>
      </c>
      <c r="T895" t="s">
        <v>845</v>
      </c>
      <c r="U895" t="s">
        <v>479</v>
      </c>
      <c r="V895" s="8" t="str">
        <f>"97502"</f>
        <v>97502</v>
      </c>
      <c r="W895" t="s">
        <v>118</v>
      </c>
      <c r="Y895" s="10">
        <v>15419441381</v>
      </c>
      <c r="AA895">
        <v>11531</v>
      </c>
      <c r="AB895" t="s">
        <v>846</v>
      </c>
      <c r="AC895" t="s">
        <v>847</v>
      </c>
      <c r="AD895" t="s">
        <v>132</v>
      </c>
      <c r="AE895" t="s">
        <v>629</v>
      </c>
      <c r="AF895" t="s">
        <v>844</v>
      </c>
      <c r="AH895" t="s">
        <v>845</v>
      </c>
      <c r="AI895" t="s">
        <v>479</v>
      </c>
      <c r="AJ895" s="8" t="str">
        <f>"97502"</f>
        <v>97502</v>
      </c>
      <c r="AK895" t="s">
        <v>118</v>
      </c>
      <c r="AM895" s="10">
        <v>15419441381</v>
      </c>
      <c r="AO895" t="s">
        <v>848</v>
      </c>
      <c r="AP895" t="s">
        <v>248</v>
      </c>
      <c r="AQ895" t="s">
        <v>849</v>
      </c>
      <c r="AR895" t="s">
        <v>850</v>
      </c>
      <c r="AS895" t="s">
        <v>132</v>
      </c>
      <c r="AT895" t="s">
        <v>851</v>
      </c>
      <c r="AU895" t="s">
        <v>852</v>
      </c>
      <c r="AV895" t="s">
        <v>853</v>
      </c>
      <c r="AW895" t="s">
        <v>854</v>
      </c>
      <c r="AX895" s="8" t="str">
        <f>"83814"</f>
        <v>83814</v>
      </c>
      <c r="AY895" t="s">
        <v>118</v>
      </c>
      <c r="BA895" s="10">
        <v>12087772654</v>
      </c>
      <c r="BC895" t="s">
        <v>855</v>
      </c>
      <c r="BD895" t="s">
        <v>856</v>
      </c>
      <c r="BG895" t="s">
        <v>479</v>
      </c>
      <c r="BH895" s="1">
        <v>45201.833333333336</v>
      </c>
      <c r="BI895">
        <v>40</v>
      </c>
      <c r="BJ895">
        <v>0</v>
      </c>
      <c r="BK895">
        <v>8</v>
      </c>
      <c r="BL895">
        <v>8</v>
      </c>
      <c r="BM895">
        <v>8</v>
      </c>
      <c r="BN895">
        <v>8</v>
      </c>
      <c r="BO895">
        <v>8</v>
      </c>
      <c r="BP895">
        <v>0</v>
      </c>
      <c r="BQ895" t="str">
        <f>"6:00 AM"</f>
        <v>6:00 AM</v>
      </c>
      <c r="BR895" t="str">
        <f>"2:00 PM"</f>
        <v>2:00 PM</v>
      </c>
      <c r="BS895" t="s">
        <v>131</v>
      </c>
      <c r="BT895">
        <v>0</v>
      </c>
      <c r="BU895">
        <v>3</v>
      </c>
      <c r="BV895" t="s">
        <v>114</v>
      </c>
      <c r="BX895" s="2" t="s">
        <v>857</v>
      </c>
      <c r="BY895" t="s">
        <v>858</v>
      </c>
      <c r="CA895" t="s">
        <v>845</v>
      </c>
      <c r="CB895" t="s">
        <v>479</v>
      </c>
      <c r="CC895" s="8" t="str">
        <f>"97502"</f>
        <v>97502</v>
      </c>
      <c r="CD895" t="s">
        <v>859</v>
      </c>
      <c r="CE895" t="s">
        <v>860</v>
      </c>
      <c r="CF895" s="12">
        <v>12.21</v>
      </c>
      <c r="CG895" s="12">
        <v>35</v>
      </c>
      <c r="CH895" s="12">
        <v>18.32</v>
      </c>
      <c r="CI895" s="12">
        <v>52.5</v>
      </c>
      <c r="CJ895" t="s">
        <v>135</v>
      </c>
      <c r="CK895" t="s">
        <v>861</v>
      </c>
      <c r="CL895" t="s">
        <v>862</v>
      </c>
      <c r="CO895" t="s">
        <v>132</v>
      </c>
      <c r="CP895" t="s">
        <v>136</v>
      </c>
      <c r="CQ895" t="s">
        <v>136</v>
      </c>
      <c r="CR895" t="s">
        <v>136</v>
      </c>
      <c r="CS895" t="s">
        <v>114</v>
      </c>
      <c r="CT895" t="s">
        <v>136</v>
      </c>
      <c r="CU895" t="s">
        <v>136</v>
      </c>
      <c r="CV895" s="2" t="s">
        <v>863</v>
      </c>
      <c r="CW895" s="10" t="str">
        <f>"+15419441381"</f>
        <v>+15419441381</v>
      </c>
      <c r="CX895" t="s">
        <v>848</v>
      </c>
      <c r="CY895" t="s">
        <v>132</v>
      </c>
      <c r="CZ895" t="s">
        <v>137</v>
      </c>
      <c r="DA895" t="s">
        <v>114</v>
      </c>
      <c r="DB895" t="s">
        <v>136</v>
      </c>
      <c r="DC895" t="s">
        <v>136</v>
      </c>
      <c r="DD895" t="s">
        <v>114</v>
      </c>
    </row>
    <row r="896" spans="1:113" ht="15" customHeight="1" x14ac:dyDescent="0.25">
      <c r="A896" t="s">
        <v>4501</v>
      </c>
      <c r="B896" t="s">
        <v>152</v>
      </c>
      <c r="C896" s="1">
        <v>45203.79455486111</v>
      </c>
      <c r="D896" s="1">
        <v>45246</v>
      </c>
      <c r="E896" t="s">
        <v>132</v>
      </c>
      <c r="F896" t="s">
        <v>2020</v>
      </c>
      <c r="G896" t="str">
        <f>"37-3011.00"</f>
        <v>37-3011.00</v>
      </c>
      <c r="H896" t="s">
        <v>429</v>
      </c>
      <c r="I896">
        <v>65</v>
      </c>
      <c r="J896">
        <v>65</v>
      </c>
      <c r="K896" s="1">
        <v>45293</v>
      </c>
      <c r="L896" s="1">
        <v>45598</v>
      </c>
      <c r="M896" s="1">
        <v>45293</v>
      </c>
      <c r="N896" s="1">
        <v>45598</v>
      </c>
      <c r="O896" t="s">
        <v>116</v>
      </c>
      <c r="P896" t="s">
        <v>4502</v>
      </c>
      <c r="R896" t="s">
        <v>4503</v>
      </c>
      <c r="S896" t="s">
        <v>4383</v>
      </c>
      <c r="T896" t="s">
        <v>4504</v>
      </c>
      <c r="U896" t="s">
        <v>386</v>
      </c>
      <c r="V896" s="8" t="str">
        <f>"37013"</f>
        <v>37013</v>
      </c>
      <c r="W896" t="s">
        <v>118</v>
      </c>
      <c r="Y896" s="10">
        <v>16157812077</v>
      </c>
      <c r="AA896">
        <v>56173</v>
      </c>
      <c r="AB896" t="s">
        <v>3274</v>
      </c>
      <c r="AC896" t="s">
        <v>3462</v>
      </c>
      <c r="AE896" t="s">
        <v>4384</v>
      </c>
      <c r="AF896" t="s">
        <v>4503</v>
      </c>
      <c r="AG896" t="s">
        <v>4385</v>
      </c>
      <c r="AH896" t="s">
        <v>4504</v>
      </c>
      <c r="AI896" t="s">
        <v>386</v>
      </c>
      <c r="AJ896" s="8" t="str">
        <f>"37013"</f>
        <v>37013</v>
      </c>
      <c r="AK896" t="s">
        <v>118</v>
      </c>
      <c r="AM896" s="10">
        <v>16157812077</v>
      </c>
      <c r="AO896" t="s">
        <v>132</v>
      </c>
      <c r="AP896" t="s">
        <v>248</v>
      </c>
      <c r="AQ896" t="s">
        <v>673</v>
      </c>
      <c r="AR896" t="s">
        <v>674</v>
      </c>
      <c r="AT896" t="s">
        <v>579</v>
      </c>
      <c r="AV896" t="s">
        <v>580</v>
      </c>
      <c r="AW896" t="s">
        <v>581</v>
      </c>
      <c r="AX896" s="8" t="str">
        <f>"22903"</f>
        <v>22903</v>
      </c>
      <c r="AY896" t="s">
        <v>118</v>
      </c>
      <c r="BA896" s="10">
        <v>14342634300</v>
      </c>
      <c r="BC896" t="s">
        <v>675</v>
      </c>
      <c r="BD896" t="s">
        <v>583</v>
      </c>
      <c r="BG896" t="s">
        <v>386</v>
      </c>
      <c r="BH896" s="1">
        <v>45202.833333333336</v>
      </c>
      <c r="BI896">
        <v>40</v>
      </c>
      <c r="BJ896">
        <v>0</v>
      </c>
      <c r="BK896">
        <v>8</v>
      </c>
      <c r="BL896">
        <v>8</v>
      </c>
      <c r="BM896">
        <v>8</v>
      </c>
      <c r="BN896">
        <v>8</v>
      </c>
      <c r="BO896">
        <v>8</v>
      </c>
      <c r="BP896">
        <v>0</v>
      </c>
      <c r="BQ896" t="str">
        <f>"7:00 AM"</f>
        <v>7:00 AM</v>
      </c>
      <c r="BR896" t="str">
        <f>"4:00 PM"</f>
        <v>4:00 PM</v>
      </c>
      <c r="BS896" t="s">
        <v>131</v>
      </c>
      <c r="BT896">
        <v>0</v>
      </c>
      <c r="BU896">
        <v>0</v>
      </c>
      <c r="BV896" t="s">
        <v>114</v>
      </c>
      <c r="BX896" s="2" t="s">
        <v>4505</v>
      </c>
      <c r="BY896" t="s">
        <v>4506</v>
      </c>
      <c r="CA896" t="s">
        <v>4504</v>
      </c>
      <c r="CB896" t="s">
        <v>386</v>
      </c>
      <c r="CC896" s="8" t="str">
        <f>"37013"</f>
        <v>37013</v>
      </c>
      <c r="CD896" t="s">
        <v>4507</v>
      </c>
      <c r="CE896" t="s">
        <v>3752</v>
      </c>
      <c r="CF896" s="12">
        <v>17.05</v>
      </c>
      <c r="CH896" s="12">
        <v>25.58</v>
      </c>
      <c r="CJ896" t="s">
        <v>135</v>
      </c>
      <c r="CK896" t="s">
        <v>590</v>
      </c>
      <c r="CL896" t="s">
        <v>4508</v>
      </c>
      <c r="CO896" t="s">
        <v>132</v>
      </c>
      <c r="CP896" t="s">
        <v>136</v>
      </c>
      <c r="CQ896" t="s">
        <v>114</v>
      </c>
      <c r="CR896" t="s">
        <v>136</v>
      </c>
      <c r="CS896" t="s">
        <v>136</v>
      </c>
      <c r="CT896" t="s">
        <v>136</v>
      </c>
      <c r="CU896" t="s">
        <v>136</v>
      </c>
      <c r="CV896" t="s">
        <v>4388</v>
      </c>
      <c r="CW896" s="10" t="str">
        <f>"+16157812077"</f>
        <v>+16157812077</v>
      </c>
      <c r="CX896" t="s">
        <v>132</v>
      </c>
      <c r="CY896" t="s">
        <v>2911</v>
      </c>
      <c r="CZ896" t="s">
        <v>137</v>
      </c>
      <c r="DA896" t="s">
        <v>114</v>
      </c>
      <c r="DB896" t="s">
        <v>136</v>
      </c>
      <c r="DC896" t="s">
        <v>136</v>
      </c>
      <c r="DD896" t="s">
        <v>114</v>
      </c>
      <c r="DE896" t="s">
        <v>673</v>
      </c>
      <c r="DF896" t="s">
        <v>674</v>
      </c>
      <c r="DH896" t="s">
        <v>583</v>
      </c>
      <c r="DI896" t="s">
        <v>675</v>
      </c>
    </row>
    <row r="897" spans="1:113" ht="15" customHeight="1" x14ac:dyDescent="0.25">
      <c r="A897" t="s">
        <v>19593</v>
      </c>
      <c r="B897" t="s">
        <v>152</v>
      </c>
      <c r="C897" s="1">
        <v>45203.702681712966</v>
      </c>
      <c r="D897" s="1">
        <v>45246</v>
      </c>
      <c r="E897" t="s">
        <v>132</v>
      </c>
      <c r="F897" t="s">
        <v>3098</v>
      </c>
      <c r="G897" t="str">
        <f>"35-3023.00"</f>
        <v>35-3023.00</v>
      </c>
      <c r="H897" t="s">
        <v>1365</v>
      </c>
      <c r="I897">
        <v>10</v>
      </c>
      <c r="J897">
        <v>10</v>
      </c>
      <c r="K897" s="1">
        <v>45292</v>
      </c>
      <c r="L897" s="1">
        <v>45596</v>
      </c>
      <c r="M897" s="1">
        <v>45292</v>
      </c>
      <c r="N897" s="1">
        <v>45596</v>
      </c>
      <c r="O897" t="s">
        <v>238</v>
      </c>
      <c r="P897" t="s">
        <v>10156</v>
      </c>
      <c r="R897" t="s">
        <v>10157</v>
      </c>
      <c r="T897" t="s">
        <v>10158</v>
      </c>
      <c r="U897" t="s">
        <v>819</v>
      </c>
      <c r="V897" s="8" t="str">
        <f>"46176"</f>
        <v>46176</v>
      </c>
      <c r="W897" t="s">
        <v>118</v>
      </c>
      <c r="Y897" s="10">
        <v>13219600035</v>
      </c>
      <c r="Z897" s="3" t="s">
        <v>256</v>
      </c>
      <c r="AA897">
        <v>71119</v>
      </c>
      <c r="AB897" t="s">
        <v>10159</v>
      </c>
      <c r="AC897" t="s">
        <v>2849</v>
      </c>
      <c r="AD897" t="s">
        <v>1798</v>
      </c>
      <c r="AE897" t="s">
        <v>561</v>
      </c>
      <c r="AF897" t="s">
        <v>10157</v>
      </c>
      <c r="AH897" t="s">
        <v>10160</v>
      </c>
      <c r="AI897" t="s">
        <v>819</v>
      </c>
      <c r="AJ897" s="8" t="str">
        <f>"46176"</f>
        <v>46176</v>
      </c>
      <c r="AK897" t="s">
        <v>118</v>
      </c>
      <c r="AM897" s="10">
        <v>13219600035</v>
      </c>
      <c r="AN897" s="3" t="s">
        <v>256</v>
      </c>
      <c r="AO897" t="s">
        <v>10161</v>
      </c>
      <c r="AP897" t="s">
        <v>248</v>
      </c>
      <c r="AQ897" t="s">
        <v>249</v>
      </c>
      <c r="AR897" t="s">
        <v>250</v>
      </c>
      <c r="AS897" t="s">
        <v>251</v>
      </c>
      <c r="AT897" t="s">
        <v>252</v>
      </c>
      <c r="AU897" t="s">
        <v>253</v>
      </c>
      <c r="AV897" t="s">
        <v>254</v>
      </c>
      <c r="AW897" t="s">
        <v>127</v>
      </c>
      <c r="AX897" s="8" t="str">
        <f>"78550"</f>
        <v>78550</v>
      </c>
      <c r="AY897" t="s">
        <v>118</v>
      </c>
      <c r="AZ897" t="s">
        <v>255</v>
      </c>
      <c r="BA897" s="10">
        <v>19564408720</v>
      </c>
      <c r="BB897" s="3" t="s">
        <v>256</v>
      </c>
      <c r="BC897" t="s">
        <v>338</v>
      </c>
      <c r="BD897" t="s">
        <v>258</v>
      </c>
      <c r="BG897" t="s">
        <v>819</v>
      </c>
      <c r="BH897" s="1">
        <v>45202.833333333336</v>
      </c>
      <c r="BI897">
        <v>40</v>
      </c>
      <c r="BJ897">
        <v>8</v>
      </c>
      <c r="BK897">
        <v>0</v>
      </c>
      <c r="BL897">
        <v>0</v>
      </c>
      <c r="BM897">
        <v>8</v>
      </c>
      <c r="BN897">
        <v>8</v>
      </c>
      <c r="BO897">
        <v>8</v>
      </c>
      <c r="BP897">
        <v>8</v>
      </c>
      <c r="BQ897" t="str">
        <f>"1:00 PM"</f>
        <v>1:00 PM</v>
      </c>
      <c r="BR897" t="str">
        <f>"10:00 PM"</f>
        <v>10:00 PM</v>
      </c>
      <c r="BS897" t="s">
        <v>131</v>
      </c>
      <c r="BT897">
        <v>0</v>
      </c>
      <c r="BU897">
        <v>0</v>
      </c>
      <c r="BV897" t="s">
        <v>114</v>
      </c>
      <c r="BX897" s="2" t="s">
        <v>2396</v>
      </c>
      <c r="BY897" t="s">
        <v>10157</v>
      </c>
      <c r="CA897" t="s">
        <v>10160</v>
      </c>
      <c r="CB897" t="s">
        <v>819</v>
      </c>
      <c r="CC897" s="8" t="str">
        <f>"46176"</f>
        <v>46176</v>
      </c>
      <c r="CD897" t="s">
        <v>1054</v>
      </c>
      <c r="CE897" t="s">
        <v>2111</v>
      </c>
      <c r="CF897" s="12">
        <v>11.37</v>
      </c>
      <c r="CG897" s="12">
        <v>15.12</v>
      </c>
      <c r="CJ897" t="s">
        <v>135</v>
      </c>
      <c r="CK897" t="s">
        <v>342</v>
      </c>
      <c r="CL897" t="s">
        <v>19594</v>
      </c>
      <c r="CO897" t="s">
        <v>132</v>
      </c>
      <c r="CP897" t="s">
        <v>136</v>
      </c>
      <c r="CQ897" t="s">
        <v>136</v>
      </c>
      <c r="CR897" t="s">
        <v>114</v>
      </c>
      <c r="CS897" t="s">
        <v>136</v>
      </c>
      <c r="CT897" t="s">
        <v>136</v>
      </c>
      <c r="CU897" t="s">
        <v>136</v>
      </c>
      <c r="CV897" t="s">
        <v>344</v>
      </c>
      <c r="CW897" s="10" t="str">
        <f>"+13219600035"</f>
        <v>+13219600035</v>
      </c>
      <c r="CX897" t="s">
        <v>10161</v>
      </c>
      <c r="CY897" t="s">
        <v>132</v>
      </c>
      <c r="CZ897" t="s">
        <v>137</v>
      </c>
      <c r="DA897" t="s">
        <v>114</v>
      </c>
      <c r="DB897" t="s">
        <v>136</v>
      </c>
      <c r="DC897" t="s">
        <v>136</v>
      </c>
      <c r="DD897" t="s">
        <v>114</v>
      </c>
    </row>
    <row r="898" spans="1:113" ht="15" customHeight="1" x14ac:dyDescent="0.25">
      <c r="A898" t="s">
        <v>22749</v>
      </c>
      <c r="B898" t="s">
        <v>152</v>
      </c>
      <c r="C898" s="1">
        <v>45203.373289236108</v>
      </c>
      <c r="D898" s="1">
        <v>45246</v>
      </c>
      <c r="E898" t="s">
        <v>132</v>
      </c>
      <c r="F898" t="s">
        <v>2020</v>
      </c>
      <c r="G898" t="str">
        <f>"37-3011.00"</f>
        <v>37-3011.00</v>
      </c>
      <c r="H898" t="s">
        <v>429</v>
      </c>
      <c r="I898">
        <v>45</v>
      </c>
      <c r="J898">
        <v>45</v>
      </c>
      <c r="K898" s="1">
        <v>45293</v>
      </c>
      <c r="L898" s="1">
        <v>45598</v>
      </c>
      <c r="M898" s="1">
        <v>45293</v>
      </c>
      <c r="N898" s="1">
        <v>45598</v>
      </c>
      <c r="O898" t="s">
        <v>116</v>
      </c>
      <c r="P898" t="s">
        <v>22750</v>
      </c>
      <c r="R898" t="s">
        <v>22751</v>
      </c>
      <c r="S898" t="s">
        <v>4385</v>
      </c>
      <c r="T898" t="s">
        <v>14869</v>
      </c>
      <c r="U898" t="s">
        <v>375</v>
      </c>
      <c r="V898" s="8" t="str">
        <f>"27703"</f>
        <v>27703</v>
      </c>
      <c r="W898" t="s">
        <v>118</v>
      </c>
      <c r="Y898" s="10">
        <v>17045090020</v>
      </c>
      <c r="AA898">
        <v>56173</v>
      </c>
      <c r="AB898" t="s">
        <v>3274</v>
      </c>
      <c r="AC898" t="s">
        <v>3462</v>
      </c>
      <c r="AE898" t="s">
        <v>4384</v>
      </c>
      <c r="AF898" t="s">
        <v>22751</v>
      </c>
      <c r="AG898" t="s">
        <v>4385</v>
      </c>
      <c r="AH898" t="s">
        <v>14869</v>
      </c>
      <c r="AI898" t="s">
        <v>375</v>
      </c>
      <c r="AJ898" s="8" t="str">
        <f>"27703"</f>
        <v>27703</v>
      </c>
      <c r="AK898" t="s">
        <v>118</v>
      </c>
      <c r="AM898" s="10">
        <v>17045090020</v>
      </c>
      <c r="AN898">
        <v>114</v>
      </c>
      <c r="AO898" t="s">
        <v>132</v>
      </c>
      <c r="AP898" t="s">
        <v>248</v>
      </c>
      <c r="AQ898" t="s">
        <v>673</v>
      </c>
      <c r="AR898" t="s">
        <v>674</v>
      </c>
      <c r="AT898" t="s">
        <v>579</v>
      </c>
      <c r="AV898" t="s">
        <v>580</v>
      </c>
      <c r="AW898" t="s">
        <v>581</v>
      </c>
      <c r="AX898" s="8" t="str">
        <f>"22903"</f>
        <v>22903</v>
      </c>
      <c r="AY898" t="s">
        <v>118</v>
      </c>
      <c r="BA898" s="10">
        <v>14342634300</v>
      </c>
      <c r="BC898" t="s">
        <v>675</v>
      </c>
      <c r="BD898" t="s">
        <v>583</v>
      </c>
      <c r="BG898" t="s">
        <v>375</v>
      </c>
      <c r="BH898" s="1">
        <v>45202.833333333336</v>
      </c>
      <c r="BI898">
        <v>40</v>
      </c>
      <c r="BJ898">
        <v>0</v>
      </c>
      <c r="BK898">
        <v>8</v>
      </c>
      <c r="BL898">
        <v>8</v>
      </c>
      <c r="BM898">
        <v>8</v>
      </c>
      <c r="BN898">
        <v>8</v>
      </c>
      <c r="BO898">
        <v>8</v>
      </c>
      <c r="BP898">
        <v>0</v>
      </c>
      <c r="BQ898" t="str">
        <f>"7:00 AM"</f>
        <v>7:00 AM</v>
      </c>
      <c r="BR898" t="str">
        <f>"4:00 PM"</f>
        <v>4:00 PM</v>
      </c>
      <c r="BS898" t="s">
        <v>131</v>
      </c>
      <c r="BT898">
        <v>0</v>
      </c>
      <c r="BU898">
        <v>0</v>
      </c>
      <c r="BV898" t="s">
        <v>114</v>
      </c>
      <c r="BX898" s="2" t="s">
        <v>22752</v>
      </c>
      <c r="BY898" t="s">
        <v>22753</v>
      </c>
      <c r="CA898" t="s">
        <v>14869</v>
      </c>
      <c r="CB898" t="s">
        <v>375</v>
      </c>
      <c r="CC898" s="8" t="str">
        <f>"27703"</f>
        <v>27703</v>
      </c>
      <c r="CD898" t="s">
        <v>14870</v>
      </c>
      <c r="CE898" t="s">
        <v>2386</v>
      </c>
      <c r="CF898" s="12">
        <v>17.41</v>
      </c>
      <c r="CH898" s="12">
        <v>26.12</v>
      </c>
      <c r="CJ898" t="s">
        <v>135</v>
      </c>
      <c r="CK898" t="s">
        <v>590</v>
      </c>
      <c r="CL898" t="s">
        <v>22754</v>
      </c>
      <c r="CO898" t="s">
        <v>132</v>
      </c>
      <c r="CP898" t="s">
        <v>136</v>
      </c>
      <c r="CQ898" t="s">
        <v>114</v>
      </c>
      <c r="CR898" t="s">
        <v>136</v>
      </c>
      <c r="CS898" t="s">
        <v>136</v>
      </c>
      <c r="CT898" t="s">
        <v>136</v>
      </c>
      <c r="CU898" t="s">
        <v>136</v>
      </c>
      <c r="CV898" t="s">
        <v>4388</v>
      </c>
      <c r="CW898" s="10" t="str">
        <f>"+17045090020"</f>
        <v>+17045090020</v>
      </c>
      <c r="CX898" t="s">
        <v>132</v>
      </c>
      <c r="CY898" t="s">
        <v>1954</v>
      </c>
      <c r="CZ898" t="s">
        <v>137</v>
      </c>
      <c r="DA898" t="s">
        <v>114</v>
      </c>
      <c r="DB898" t="s">
        <v>136</v>
      </c>
      <c r="DC898" t="s">
        <v>136</v>
      </c>
      <c r="DD898" t="s">
        <v>114</v>
      </c>
      <c r="DE898" t="s">
        <v>673</v>
      </c>
      <c r="DF898" t="s">
        <v>674</v>
      </c>
      <c r="DH898" t="s">
        <v>583</v>
      </c>
      <c r="DI898" t="s">
        <v>675</v>
      </c>
    </row>
    <row r="899" spans="1:113" ht="15" customHeight="1" x14ac:dyDescent="0.25">
      <c r="A899" t="s">
        <v>22604</v>
      </c>
      <c r="B899" t="s">
        <v>152</v>
      </c>
      <c r="C899" s="1">
        <v>45202.587644444444</v>
      </c>
      <c r="D899" s="1">
        <v>45246</v>
      </c>
      <c r="E899" t="s">
        <v>132</v>
      </c>
      <c r="F899" t="s">
        <v>1247</v>
      </c>
      <c r="G899" t="str">
        <f>"45-4011.00"</f>
        <v>45-4011.00</v>
      </c>
      <c r="H899" t="s">
        <v>842</v>
      </c>
      <c r="I899">
        <v>34</v>
      </c>
      <c r="J899">
        <v>34</v>
      </c>
      <c r="K899" s="1">
        <v>45292</v>
      </c>
      <c r="L899" s="1">
        <v>45580</v>
      </c>
      <c r="M899" s="1">
        <v>45292</v>
      </c>
      <c r="N899" s="1">
        <v>45580</v>
      </c>
      <c r="O899" t="s">
        <v>116</v>
      </c>
      <c r="P899" t="s">
        <v>22605</v>
      </c>
      <c r="R899" t="s">
        <v>22606</v>
      </c>
      <c r="T899" t="s">
        <v>845</v>
      </c>
      <c r="U899" t="s">
        <v>479</v>
      </c>
      <c r="V899" s="8" t="str">
        <f>"97502"</f>
        <v>97502</v>
      </c>
      <c r="W899" t="s">
        <v>118</v>
      </c>
      <c r="Y899" s="10">
        <v>15412271447</v>
      </c>
      <c r="AA899">
        <v>11531</v>
      </c>
      <c r="AB899" t="s">
        <v>22607</v>
      </c>
      <c r="AC899" t="s">
        <v>16616</v>
      </c>
      <c r="AD899" t="s">
        <v>132</v>
      </c>
      <c r="AE899" t="s">
        <v>1283</v>
      </c>
      <c r="AF899" t="s">
        <v>22606</v>
      </c>
      <c r="AH899" t="s">
        <v>845</v>
      </c>
      <c r="AI899" t="s">
        <v>479</v>
      </c>
      <c r="AJ899" s="8" t="str">
        <f>"97502"</f>
        <v>97502</v>
      </c>
      <c r="AK899" t="s">
        <v>118</v>
      </c>
      <c r="AM899" s="10">
        <v>15412271447</v>
      </c>
      <c r="AO899" t="s">
        <v>22608</v>
      </c>
      <c r="AP899" t="s">
        <v>248</v>
      </c>
      <c r="AQ899" t="s">
        <v>849</v>
      </c>
      <c r="AR899" t="s">
        <v>850</v>
      </c>
      <c r="AS899" t="s">
        <v>132</v>
      </c>
      <c r="AT899" t="s">
        <v>851</v>
      </c>
      <c r="AU899" t="s">
        <v>852</v>
      </c>
      <c r="AV899" t="s">
        <v>853</v>
      </c>
      <c r="AW899" t="s">
        <v>854</v>
      </c>
      <c r="AX899" s="8" t="str">
        <f>"83814"</f>
        <v>83814</v>
      </c>
      <c r="AY899" t="s">
        <v>118</v>
      </c>
      <c r="BA899" s="10">
        <v>12087772654</v>
      </c>
      <c r="BC899" t="s">
        <v>855</v>
      </c>
      <c r="BD899" t="s">
        <v>856</v>
      </c>
      <c r="BG899" t="s">
        <v>479</v>
      </c>
      <c r="BH899" s="1">
        <v>45201.833333333336</v>
      </c>
      <c r="BI899">
        <v>40</v>
      </c>
      <c r="BJ899">
        <v>0</v>
      </c>
      <c r="BK899">
        <v>8</v>
      </c>
      <c r="BL899">
        <v>8</v>
      </c>
      <c r="BM899">
        <v>8</v>
      </c>
      <c r="BN899">
        <v>8</v>
      </c>
      <c r="BO899">
        <v>8</v>
      </c>
      <c r="BP899">
        <v>0</v>
      </c>
      <c r="BQ899" t="str">
        <f>"7:00 AM"</f>
        <v>7:00 AM</v>
      </c>
      <c r="BR899" t="str">
        <f>"3:30 PM"</f>
        <v>3:30 PM</v>
      </c>
      <c r="BS899" t="s">
        <v>131</v>
      </c>
      <c r="BT899">
        <v>0</v>
      </c>
      <c r="BU899">
        <v>3</v>
      </c>
      <c r="BV899" t="s">
        <v>114</v>
      </c>
      <c r="BX899" s="2" t="s">
        <v>4989</v>
      </c>
      <c r="BY899" t="s">
        <v>22609</v>
      </c>
      <c r="CA899" t="s">
        <v>845</v>
      </c>
      <c r="CB899" t="s">
        <v>479</v>
      </c>
      <c r="CC899" s="8" t="str">
        <f>"97502"</f>
        <v>97502</v>
      </c>
      <c r="CD899" t="s">
        <v>859</v>
      </c>
      <c r="CE899" t="s">
        <v>860</v>
      </c>
      <c r="CF899" s="12">
        <v>11.15</v>
      </c>
      <c r="CG899" s="12">
        <v>33</v>
      </c>
      <c r="CH899" s="12">
        <v>16.73</v>
      </c>
      <c r="CI899" s="12">
        <v>49.5</v>
      </c>
      <c r="CJ899" t="s">
        <v>135</v>
      </c>
      <c r="CK899" t="s">
        <v>861</v>
      </c>
      <c r="CL899" t="s">
        <v>22610</v>
      </c>
      <c r="CO899" t="s">
        <v>132</v>
      </c>
      <c r="CP899" t="s">
        <v>136</v>
      </c>
      <c r="CQ899" t="s">
        <v>136</v>
      </c>
      <c r="CR899" t="s">
        <v>136</v>
      </c>
      <c r="CS899" t="s">
        <v>114</v>
      </c>
      <c r="CT899" t="s">
        <v>136</v>
      </c>
      <c r="CU899" t="s">
        <v>136</v>
      </c>
      <c r="CV899" t="s">
        <v>1040</v>
      </c>
      <c r="CW899" s="10" t="str">
        <f>"+15412271447"</f>
        <v>+15412271447</v>
      </c>
      <c r="CX899" t="s">
        <v>22611</v>
      </c>
      <c r="CY899" t="s">
        <v>132</v>
      </c>
      <c r="CZ899" t="s">
        <v>137</v>
      </c>
      <c r="DA899" t="s">
        <v>114</v>
      </c>
      <c r="DB899" t="s">
        <v>136</v>
      </c>
      <c r="DC899" t="s">
        <v>136</v>
      </c>
      <c r="DD899" t="s">
        <v>114</v>
      </c>
    </row>
    <row r="900" spans="1:113" ht="15" customHeight="1" x14ac:dyDescent="0.25">
      <c r="A900" t="s">
        <v>16775</v>
      </c>
      <c r="B900" t="s">
        <v>152</v>
      </c>
      <c r="C900" s="1">
        <v>45201.566886458335</v>
      </c>
      <c r="D900" s="1">
        <v>45246</v>
      </c>
      <c r="E900" t="s">
        <v>132</v>
      </c>
      <c r="F900" t="s">
        <v>1247</v>
      </c>
      <c r="G900" t="str">
        <f>"45-4011.00"</f>
        <v>45-4011.00</v>
      </c>
      <c r="H900" t="s">
        <v>842</v>
      </c>
      <c r="I900">
        <v>75</v>
      </c>
      <c r="J900">
        <v>75</v>
      </c>
      <c r="K900" s="1">
        <v>45276</v>
      </c>
      <c r="L900" s="1">
        <v>45569</v>
      </c>
      <c r="M900" s="1">
        <v>45276</v>
      </c>
      <c r="N900" s="1">
        <v>45569</v>
      </c>
      <c r="O900" t="s">
        <v>116</v>
      </c>
      <c r="P900" t="s">
        <v>16776</v>
      </c>
      <c r="R900" t="s">
        <v>16777</v>
      </c>
      <c r="T900" t="s">
        <v>2906</v>
      </c>
      <c r="U900" t="s">
        <v>479</v>
      </c>
      <c r="V900" s="8" t="str">
        <f>"97504"</f>
        <v>97504</v>
      </c>
      <c r="W900" t="s">
        <v>118</v>
      </c>
      <c r="Y900" s="10">
        <v>15416468695</v>
      </c>
      <c r="AA900">
        <v>11531</v>
      </c>
      <c r="AB900" t="s">
        <v>4811</v>
      </c>
      <c r="AC900" t="s">
        <v>16778</v>
      </c>
      <c r="AE900" t="s">
        <v>629</v>
      </c>
      <c r="AF900" t="s">
        <v>16777</v>
      </c>
      <c r="AH900" t="s">
        <v>2906</v>
      </c>
      <c r="AI900" t="s">
        <v>479</v>
      </c>
      <c r="AJ900" s="8" t="str">
        <f>"97504"</f>
        <v>97504</v>
      </c>
      <c r="AK900" t="s">
        <v>118</v>
      </c>
      <c r="AM900" s="10">
        <v>15416468695</v>
      </c>
      <c r="AO900" t="s">
        <v>16779</v>
      </c>
      <c r="AP900" t="s">
        <v>248</v>
      </c>
      <c r="AQ900" t="s">
        <v>849</v>
      </c>
      <c r="AR900" t="s">
        <v>850</v>
      </c>
      <c r="AS900" t="s">
        <v>132</v>
      </c>
      <c r="AT900" t="s">
        <v>851</v>
      </c>
      <c r="AU900" t="s">
        <v>852</v>
      </c>
      <c r="AV900" t="s">
        <v>853</v>
      </c>
      <c r="AW900" t="s">
        <v>854</v>
      </c>
      <c r="AX900" s="8" t="str">
        <f>"83814"</f>
        <v>83814</v>
      </c>
      <c r="AY900" t="s">
        <v>118</v>
      </c>
      <c r="BA900" s="10">
        <v>12087772654</v>
      </c>
      <c r="BC900" t="s">
        <v>855</v>
      </c>
      <c r="BD900" t="s">
        <v>856</v>
      </c>
      <c r="BG900" t="s">
        <v>479</v>
      </c>
      <c r="BH900" s="1">
        <v>45175.833333333336</v>
      </c>
      <c r="BI900">
        <v>40</v>
      </c>
      <c r="BJ900">
        <v>0</v>
      </c>
      <c r="BK900">
        <v>8</v>
      </c>
      <c r="BL900">
        <v>8</v>
      </c>
      <c r="BM900">
        <v>8</v>
      </c>
      <c r="BN900">
        <v>8</v>
      </c>
      <c r="BO900">
        <v>8</v>
      </c>
      <c r="BP900">
        <v>0</v>
      </c>
      <c r="BQ900" t="str">
        <f>"6:00 AM"</f>
        <v>6:00 AM</v>
      </c>
      <c r="BR900" t="str">
        <f>"3:00 PM"</f>
        <v>3:00 PM</v>
      </c>
      <c r="BS900" t="s">
        <v>131</v>
      </c>
      <c r="BT900">
        <v>0</v>
      </c>
      <c r="BU900">
        <v>3</v>
      </c>
      <c r="BV900" t="s">
        <v>114</v>
      </c>
      <c r="BX900" s="2" t="s">
        <v>16780</v>
      </c>
      <c r="BY900" t="s">
        <v>16781</v>
      </c>
      <c r="CA900" t="s">
        <v>2906</v>
      </c>
      <c r="CB900" t="s">
        <v>479</v>
      </c>
      <c r="CC900" s="8" t="str">
        <f>"97504"</f>
        <v>97504</v>
      </c>
      <c r="CD900" t="s">
        <v>859</v>
      </c>
      <c r="CE900" t="s">
        <v>860</v>
      </c>
      <c r="CF900" s="12">
        <v>16.350000000000001</v>
      </c>
      <c r="CG900" s="12">
        <v>24.28</v>
      </c>
      <c r="CH900" s="12">
        <v>24.53</v>
      </c>
      <c r="CI900" s="12">
        <v>36.42</v>
      </c>
      <c r="CJ900" t="s">
        <v>135</v>
      </c>
      <c r="CK900" t="s">
        <v>861</v>
      </c>
      <c r="CL900" t="s">
        <v>16782</v>
      </c>
      <c r="CO900" t="s">
        <v>132</v>
      </c>
      <c r="CP900" t="s">
        <v>136</v>
      </c>
      <c r="CQ900" t="s">
        <v>136</v>
      </c>
      <c r="CR900" t="s">
        <v>136</v>
      </c>
      <c r="CS900" t="s">
        <v>114</v>
      </c>
      <c r="CT900" t="s">
        <v>136</v>
      </c>
      <c r="CU900" t="s">
        <v>136</v>
      </c>
      <c r="CV900" t="s">
        <v>1040</v>
      </c>
      <c r="CW900" s="10" t="str">
        <f>"+15416468695"</f>
        <v>+15416468695</v>
      </c>
      <c r="CX900" t="s">
        <v>16779</v>
      </c>
      <c r="CY900" t="s">
        <v>132</v>
      </c>
      <c r="CZ900" t="s">
        <v>137</v>
      </c>
      <c r="DA900" t="s">
        <v>114</v>
      </c>
      <c r="DB900" t="s">
        <v>114</v>
      </c>
      <c r="DC900" t="s">
        <v>136</v>
      </c>
      <c r="DD900" t="s">
        <v>114</v>
      </c>
    </row>
    <row r="901" spans="1:113" ht="15" customHeight="1" x14ac:dyDescent="0.25">
      <c r="A901" t="s">
        <v>22539</v>
      </c>
      <c r="B901" t="s">
        <v>152</v>
      </c>
      <c r="C901" s="1">
        <v>45201.455925578703</v>
      </c>
      <c r="D901" s="1">
        <v>45246</v>
      </c>
      <c r="E901" t="s">
        <v>132</v>
      </c>
      <c r="F901" t="s">
        <v>22540</v>
      </c>
      <c r="G901" t="str">
        <f>"37-2011.00"</f>
        <v>37-2011.00</v>
      </c>
      <c r="H901" t="s">
        <v>1089</v>
      </c>
      <c r="I901">
        <v>12</v>
      </c>
      <c r="J901">
        <v>12</v>
      </c>
      <c r="K901" s="1">
        <v>45278</v>
      </c>
      <c r="L901" s="1">
        <v>45382</v>
      </c>
      <c r="M901" s="1">
        <v>45278</v>
      </c>
      <c r="N901" s="1">
        <v>45382</v>
      </c>
      <c r="O901" t="s">
        <v>238</v>
      </c>
      <c r="P901" t="s">
        <v>22541</v>
      </c>
      <c r="Q901" t="s">
        <v>22541</v>
      </c>
      <c r="R901" t="s">
        <v>22542</v>
      </c>
      <c r="T901" t="s">
        <v>20974</v>
      </c>
      <c r="U901" t="s">
        <v>211</v>
      </c>
      <c r="V901" s="8" t="str">
        <f>"84065"</f>
        <v>84065</v>
      </c>
      <c r="W901" t="s">
        <v>118</v>
      </c>
      <c r="Y901" s="10">
        <v>18017122575</v>
      </c>
      <c r="AA901">
        <v>56173</v>
      </c>
      <c r="AB901" t="s">
        <v>2021</v>
      </c>
      <c r="AC901" t="s">
        <v>13969</v>
      </c>
      <c r="AD901" t="s">
        <v>22543</v>
      </c>
      <c r="AE901" t="s">
        <v>22544</v>
      </c>
      <c r="AF901" t="s">
        <v>20973</v>
      </c>
      <c r="AH901" t="s">
        <v>22545</v>
      </c>
      <c r="AI901" t="s">
        <v>211</v>
      </c>
      <c r="AJ901" s="8" t="str">
        <f>"84065"</f>
        <v>84065</v>
      </c>
      <c r="AK901" t="s">
        <v>118</v>
      </c>
      <c r="AM901" s="10">
        <v>18015416263</v>
      </c>
      <c r="AO901" t="s">
        <v>22546</v>
      </c>
      <c r="AX901" s="8" t="str">
        <f>""</f>
        <v/>
      </c>
      <c r="BG901" t="s">
        <v>211</v>
      </c>
      <c r="BH901" s="1">
        <v>45200.833333333336</v>
      </c>
      <c r="BI901">
        <v>40</v>
      </c>
      <c r="BJ901">
        <v>0</v>
      </c>
      <c r="BK901">
        <v>8</v>
      </c>
      <c r="BL901">
        <v>8</v>
      </c>
      <c r="BM901">
        <v>8</v>
      </c>
      <c r="BN901">
        <v>8</v>
      </c>
      <c r="BO901">
        <v>8</v>
      </c>
      <c r="BP901">
        <v>0</v>
      </c>
      <c r="BQ901" t="str">
        <f>"7:00 AM"</f>
        <v>7:00 AM</v>
      </c>
      <c r="BR901" t="str">
        <f>"4:00 PM"</f>
        <v>4:00 PM</v>
      </c>
      <c r="BS901" t="s">
        <v>131</v>
      </c>
      <c r="BT901">
        <v>2</v>
      </c>
      <c r="BU901">
        <v>2</v>
      </c>
      <c r="BV901" t="s">
        <v>114</v>
      </c>
      <c r="BX901" t="s">
        <v>22547</v>
      </c>
      <c r="BY901" t="s">
        <v>20973</v>
      </c>
      <c r="CA901" t="s">
        <v>10128</v>
      </c>
      <c r="CB901" t="s">
        <v>211</v>
      </c>
      <c r="CC901" s="8" t="str">
        <f>"84065"</f>
        <v>84065</v>
      </c>
      <c r="CD901" t="s">
        <v>1567</v>
      </c>
      <c r="CE901" t="s">
        <v>1568</v>
      </c>
      <c r="CF901" s="12">
        <v>14.3</v>
      </c>
      <c r="CH901" s="12">
        <v>21.45</v>
      </c>
      <c r="CJ901" t="s">
        <v>135</v>
      </c>
      <c r="CL901" t="s">
        <v>22548</v>
      </c>
      <c r="CO901" t="s">
        <v>132</v>
      </c>
      <c r="CP901" t="s">
        <v>114</v>
      </c>
      <c r="CQ901" t="s">
        <v>136</v>
      </c>
      <c r="CR901" t="s">
        <v>136</v>
      </c>
      <c r="CS901" t="s">
        <v>136</v>
      </c>
      <c r="CT901" t="s">
        <v>136</v>
      </c>
      <c r="CU901" t="s">
        <v>136</v>
      </c>
      <c r="CV901" s="2" t="s">
        <v>22549</v>
      </c>
      <c r="CW901" s="10" t="str">
        <f>"+18015416263"</f>
        <v>+18015416263</v>
      </c>
      <c r="CX901" t="s">
        <v>22546</v>
      </c>
      <c r="CY901" t="s">
        <v>132</v>
      </c>
      <c r="CZ901" t="s">
        <v>137</v>
      </c>
      <c r="DA901" t="s">
        <v>114</v>
      </c>
      <c r="DB901" t="s">
        <v>114</v>
      </c>
      <c r="DC901" t="s">
        <v>136</v>
      </c>
      <c r="DD901" t="s">
        <v>114</v>
      </c>
    </row>
    <row r="902" spans="1:113" ht="15" customHeight="1" x14ac:dyDescent="0.25">
      <c r="A902" t="s">
        <v>14645</v>
      </c>
      <c r="B902" t="s">
        <v>152</v>
      </c>
      <c r="C902" s="1">
        <v>45197.651269097223</v>
      </c>
      <c r="D902" s="1">
        <v>45246</v>
      </c>
      <c r="E902" t="s">
        <v>132</v>
      </c>
      <c r="F902" t="s">
        <v>2417</v>
      </c>
      <c r="G902" t="str">
        <f>"37-2012.00"</f>
        <v>37-2012.00</v>
      </c>
      <c r="H902" t="s">
        <v>205</v>
      </c>
      <c r="I902">
        <v>34</v>
      </c>
      <c r="J902">
        <v>34</v>
      </c>
      <c r="K902" s="1">
        <v>45272</v>
      </c>
      <c r="L902" s="1">
        <v>45546</v>
      </c>
      <c r="M902" s="1">
        <v>45272</v>
      </c>
      <c r="N902" s="1">
        <v>45546</v>
      </c>
      <c r="O902" t="s">
        <v>116</v>
      </c>
      <c r="P902" t="s">
        <v>2418</v>
      </c>
      <c r="R902" t="s">
        <v>2419</v>
      </c>
      <c r="T902" t="s">
        <v>2420</v>
      </c>
      <c r="U902" t="s">
        <v>386</v>
      </c>
      <c r="V902" s="8" t="str">
        <f>"38555"</f>
        <v>38555</v>
      </c>
      <c r="W902" t="s">
        <v>118</v>
      </c>
      <c r="Y902" s="10">
        <v>18004891718</v>
      </c>
      <c r="AA902">
        <v>56172</v>
      </c>
      <c r="AB902" t="s">
        <v>6839</v>
      </c>
      <c r="AC902" t="s">
        <v>6840</v>
      </c>
      <c r="AE902" t="s">
        <v>6841</v>
      </c>
      <c r="AF902" t="s">
        <v>2419</v>
      </c>
      <c r="AH902" t="s">
        <v>2420</v>
      </c>
      <c r="AI902" t="s">
        <v>386</v>
      </c>
      <c r="AJ902" s="8" t="str">
        <f>"38555"</f>
        <v>38555</v>
      </c>
      <c r="AK902" t="s">
        <v>118</v>
      </c>
      <c r="AM902" s="10">
        <v>14077231164</v>
      </c>
      <c r="AO902" t="s">
        <v>2422</v>
      </c>
      <c r="AX902" s="8" t="str">
        <f>""</f>
        <v/>
      </c>
      <c r="BG902" t="s">
        <v>188</v>
      </c>
      <c r="BH902" s="1">
        <v>45196.833333333336</v>
      </c>
      <c r="BI902">
        <v>35</v>
      </c>
      <c r="BJ902">
        <v>7</v>
      </c>
      <c r="BK902">
        <v>0</v>
      </c>
      <c r="BL902">
        <v>0</v>
      </c>
      <c r="BM902">
        <v>7</v>
      </c>
      <c r="BN902">
        <v>7</v>
      </c>
      <c r="BO902">
        <v>7</v>
      </c>
      <c r="BP902">
        <v>7</v>
      </c>
      <c r="BQ902" t="str">
        <f>"9:00 AM"</f>
        <v>9:00 AM</v>
      </c>
      <c r="BR902" t="str">
        <f>"4:00 PM"</f>
        <v>4:00 PM</v>
      </c>
      <c r="BS902" t="s">
        <v>131</v>
      </c>
      <c r="BT902">
        <v>0</v>
      </c>
      <c r="BU902">
        <v>3</v>
      </c>
      <c r="BV902" t="s">
        <v>114</v>
      </c>
      <c r="BX902" s="2" t="s">
        <v>2423</v>
      </c>
      <c r="BY902" t="s">
        <v>14646</v>
      </c>
      <c r="CA902" t="s">
        <v>4788</v>
      </c>
      <c r="CB902" t="s">
        <v>188</v>
      </c>
      <c r="CC902" s="8" t="str">
        <f>"81615"</f>
        <v>81615</v>
      </c>
      <c r="CD902" t="s">
        <v>4789</v>
      </c>
      <c r="CE902" t="s">
        <v>1038</v>
      </c>
      <c r="CF902" s="12">
        <v>18.29</v>
      </c>
      <c r="CH902" s="12">
        <v>27.44</v>
      </c>
      <c r="CJ902" t="s">
        <v>305</v>
      </c>
      <c r="CK902" t="s">
        <v>14647</v>
      </c>
      <c r="CL902" t="s">
        <v>14648</v>
      </c>
      <c r="CO902" t="s">
        <v>132</v>
      </c>
      <c r="CP902" t="s">
        <v>136</v>
      </c>
      <c r="CQ902" t="s">
        <v>136</v>
      </c>
      <c r="CR902" t="s">
        <v>136</v>
      </c>
      <c r="CS902" t="s">
        <v>136</v>
      </c>
      <c r="CT902" t="s">
        <v>136</v>
      </c>
      <c r="CU902" t="s">
        <v>136</v>
      </c>
      <c r="CV902" s="2" t="s">
        <v>14649</v>
      </c>
      <c r="CW902" s="10" t="str">
        <f>"+14077231139"</f>
        <v>+14077231139</v>
      </c>
      <c r="CX902" t="s">
        <v>2427</v>
      </c>
      <c r="CY902" t="s">
        <v>132</v>
      </c>
      <c r="CZ902" t="s">
        <v>137</v>
      </c>
      <c r="DA902" t="s">
        <v>114</v>
      </c>
      <c r="DB902" t="s">
        <v>136</v>
      </c>
      <c r="DC902" t="s">
        <v>136</v>
      </c>
      <c r="DD902" t="s">
        <v>114</v>
      </c>
    </row>
    <row r="903" spans="1:113" ht="15" customHeight="1" x14ac:dyDescent="0.25">
      <c r="A903" t="s">
        <v>21661</v>
      </c>
      <c r="B903" t="s">
        <v>152</v>
      </c>
      <c r="C903" s="1">
        <v>45194.635426736109</v>
      </c>
      <c r="D903" s="1">
        <v>45246</v>
      </c>
      <c r="E903" t="s">
        <v>132</v>
      </c>
      <c r="F903" t="s">
        <v>2417</v>
      </c>
      <c r="G903" t="str">
        <f>"37-2012.00"</f>
        <v>37-2012.00</v>
      </c>
      <c r="H903" t="s">
        <v>205</v>
      </c>
      <c r="I903">
        <v>20</v>
      </c>
      <c r="J903">
        <v>20</v>
      </c>
      <c r="K903" s="1">
        <v>45269</v>
      </c>
      <c r="L903" s="1">
        <v>45543</v>
      </c>
      <c r="M903" s="1">
        <v>45269</v>
      </c>
      <c r="N903" s="1">
        <v>45543</v>
      </c>
      <c r="O903" t="s">
        <v>116</v>
      </c>
      <c r="P903" t="s">
        <v>2418</v>
      </c>
      <c r="R903" t="s">
        <v>2419</v>
      </c>
      <c r="T903" t="s">
        <v>2420</v>
      </c>
      <c r="U903" t="s">
        <v>386</v>
      </c>
      <c r="V903" s="8" t="str">
        <f>"38555"</f>
        <v>38555</v>
      </c>
      <c r="W903" t="s">
        <v>118</v>
      </c>
      <c r="Y903" s="10">
        <v>18004891718</v>
      </c>
      <c r="AA903">
        <v>56172</v>
      </c>
      <c r="AB903" t="s">
        <v>6839</v>
      </c>
      <c r="AC903" t="s">
        <v>6840</v>
      </c>
      <c r="AE903" t="s">
        <v>6841</v>
      </c>
      <c r="AF903" t="s">
        <v>2419</v>
      </c>
      <c r="AH903" t="s">
        <v>2420</v>
      </c>
      <c r="AI903" t="s">
        <v>386</v>
      </c>
      <c r="AJ903" s="8" t="str">
        <f>"38555"</f>
        <v>38555</v>
      </c>
      <c r="AK903" t="s">
        <v>118</v>
      </c>
      <c r="AM903" s="10">
        <v>14077231164</v>
      </c>
      <c r="AO903" t="s">
        <v>2422</v>
      </c>
      <c r="AX903" s="8" t="str">
        <f>""</f>
        <v/>
      </c>
      <c r="BG903" t="s">
        <v>434</v>
      </c>
      <c r="BH903" s="1">
        <v>45193.833333333336</v>
      </c>
      <c r="BI903">
        <v>35</v>
      </c>
      <c r="BJ903">
        <v>7</v>
      </c>
      <c r="BK903">
        <v>0</v>
      </c>
      <c r="BL903">
        <v>0</v>
      </c>
      <c r="BM903">
        <v>7</v>
      </c>
      <c r="BN903">
        <v>7</v>
      </c>
      <c r="BO903">
        <v>7</v>
      </c>
      <c r="BP903">
        <v>7</v>
      </c>
      <c r="BQ903" t="str">
        <f>"9:00 AM"</f>
        <v>9:00 AM</v>
      </c>
      <c r="BR903" t="str">
        <f>"4:00 PM"</f>
        <v>4:00 PM</v>
      </c>
      <c r="BS903" t="s">
        <v>131</v>
      </c>
      <c r="BT903">
        <v>0</v>
      </c>
      <c r="BU903">
        <v>3</v>
      </c>
      <c r="BV903" t="s">
        <v>114</v>
      </c>
      <c r="BX903" s="2" t="s">
        <v>2423</v>
      </c>
      <c r="BY903" t="s">
        <v>21662</v>
      </c>
      <c r="CA903" t="s">
        <v>21663</v>
      </c>
      <c r="CB903" t="s">
        <v>434</v>
      </c>
      <c r="CC903" s="8" t="str">
        <f>"18301"</f>
        <v>18301</v>
      </c>
      <c r="CD903" t="s">
        <v>303</v>
      </c>
      <c r="CE903" t="s">
        <v>11348</v>
      </c>
      <c r="CF903" s="12">
        <v>14.13</v>
      </c>
      <c r="CH903" s="12">
        <v>21.2</v>
      </c>
      <c r="CJ903" t="s">
        <v>305</v>
      </c>
      <c r="CK903" t="s">
        <v>21664</v>
      </c>
      <c r="CL903" t="s">
        <v>21665</v>
      </c>
      <c r="CO903" t="s">
        <v>132</v>
      </c>
      <c r="CP903" t="s">
        <v>114</v>
      </c>
      <c r="CQ903" t="s">
        <v>136</v>
      </c>
      <c r="CR903" t="s">
        <v>136</v>
      </c>
      <c r="CS903" t="s">
        <v>136</v>
      </c>
      <c r="CT903" t="s">
        <v>136</v>
      </c>
      <c r="CU903" t="s">
        <v>136</v>
      </c>
      <c r="CV903" t="s">
        <v>21666</v>
      </c>
      <c r="CW903" s="10" t="str">
        <f>"+14077231139"</f>
        <v>+14077231139</v>
      </c>
      <c r="CX903" t="s">
        <v>2427</v>
      </c>
      <c r="CY903" t="s">
        <v>132</v>
      </c>
      <c r="CZ903" t="s">
        <v>137</v>
      </c>
      <c r="DA903" t="s">
        <v>114</v>
      </c>
      <c r="DB903" t="s">
        <v>136</v>
      </c>
      <c r="DC903" t="s">
        <v>136</v>
      </c>
      <c r="DD903" t="s">
        <v>114</v>
      </c>
    </row>
    <row r="904" spans="1:113" ht="15" customHeight="1" x14ac:dyDescent="0.25">
      <c r="A904" t="s">
        <v>16893</v>
      </c>
      <c r="B904" t="s">
        <v>152</v>
      </c>
      <c r="C904" s="1">
        <v>45191.549732523148</v>
      </c>
      <c r="D904" s="1">
        <v>45246</v>
      </c>
      <c r="E904" t="s">
        <v>132</v>
      </c>
      <c r="F904" t="s">
        <v>8030</v>
      </c>
      <c r="G904" t="str">
        <f>"35-3023.00"</f>
        <v>35-3023.00</v>
      </c>
      <c r="H904" t="s">
        <v>1365</v>
      </c>
      <c r="I904">
        <v>4</v>
      </c>
      <c r="J904">
        <v>4</v>
      </c>
      <c r="K904" s="1">
        <v>45275</v>
      </c>
      <c r="L904" s="1">
        <v>45397</v>
      </c>
      <c r="M904" s="1">
        <v>45275</v>
      </c>
      <c r="N904" s="1">
        <v>45397</v>
      </c>
      <c r="O904" t="s">
        <v>238</v>
      </c>
      <c r="P904" t="s">
        <v>16894</v>
      </c>
      <c r="R904" t="s">
        <v>16895</v>
      </c>
      <c r="S904" t="s">
        <v>16896</v>
      </c>
      <c r="T904" t="s">
        <v>16223</v>
      </c>
      <c r="U904" t="s">
        <v>140</v>
      </c>
      <c r="V904" s="8" t="str">
        <f>"33570"</f>
        <v>33570</v>
      </c>
      <c r="W904" t="s">
        <v>118</v>
      </c>
      <c r="Y904" s="10">
        <v>13862882856</v>
      </c>
      <c r="AA904">
        <v>7139</v>
      </c>
      <c r="AB904" t="s">
        <v>16897</v>
      </c>
      <c r="AC904" t="s">
        <v>16898</v>
      </c>
      <c r="AE904" t="s">
        <v>120</v>
      </c>
      <c r="AF904" t="s">
        <v>16895</v>
      </c>
      <c r="AG904" t="s">
        <v>16896</v>
      </c>
      <c r="AH904" t="s">
        <v>16223</v>
      </c>
      <c r="AI904" t="s">
        <v>140</v>
      </c>
      <c r="AJ904" s="8" t="str">
        <f>"33570"</f>
        <v>33570</v>
      </c>
      <c r="AK904" t="s">
        <v>118</v>
      </c>
      <c r="AM904" s="10">
        <v>13862882856</v>
      </c>
      <c r="AO904" t="s">
        <v>16899</v>
      </c>
      <c r="AP904" t="s">
        <v>248</v>
      </c>
      <c r="AQ904" t="s">
        <v>249</v>
      </c>
      <c r="AR904" t="s">
        <v>250</v>
      </c>
      <c r="AS904" t="s">
        <v>251</v>
      </c>
      <c r="AT904" t="s">
        <v>252</v>
      </c>
      <c r="AU904" t="s">
        <v>253</v>
      </c>
      <c r="AV904" t="s">
        <v>254</v>
      </c>
      <c r="AW904" t="s">
        <v>127</v>
      </c>
      <c r="AX904" s="8" t="str">
        <f>"78550"</f>
        <v>78550</v>
      </c>
      <c r="AY904" t="s">
        <v>118</v>
      </c>
      <c r="BA904" s="10">
        <v>19564408720</v>
      </c>
      <c r="BB904" s="3" t="s">
        <v>256</v>
      </c>
      <c r="BC904" t="s">
        <v>257</v>
      </c>
      <c r="BD904" t="s">
        <v>258</v>
      </c>
      <c r="BG904" t="s">
        <v>140</v>
      </c>
      <c r="BH904" s="1">
        <v>45190.833333333336</v>
      </c>
      <c r="BI904">
        <v>40</v>
      </c>
      <c r="BJ904">
        <v>8</v>
      </c>
      <c r="BK904">
        <v>0</v>
      </c>
      <c r="BL904">
        <v>0</v>
      </c>
      <c r="BM904">
        <v>8</v>
      </c>
      <c r="BN904">
        <v>8</v>
      </c>
      <c r="BO904">
        <v>8</v>
      </c>
      <c r="BP904">
        <v>8</v>
      </c>
      <c r="BQ904" t="str">
        <f>"1:00 PM"</f>
        <v>1:00 PM</v>
      </c>
      <c r="BR904" t="str">
        <f>"10:00 PM"</f>
        <v>10:00 PM</v>
      </c>
      <c r="BS904" t="s">
        <v>131</v>
      </c>
      <c r="BT904">
        <v>0</v>
      </c>
      <c r="BU904">
        <v>0</v>
      </c>
      <c r="BV904" t="s">
        <v>114</v>
      </c>
      <c r="BX904" s="2" t="s">
        <v>259</v>
      </c>
      <c r="BY904" t="s">
        <v>16900</v>
      </c>
      <c r="CA904" t="s">
        <v>16223</v>
      </c>
      <c r="CB904" t="s">
        <v>140</v>
      </c>
      <c r="CC904" s="8" t="str">
        <f>"33570"</f>
        <v>33570</v>
      </c>
      <c r="CD904" t="s">
        <v>781</v>
      </c>
      <c r="CE904" t="s">
        <v>467</v>
      </c>
      <c r="CF904" s="12">
        <v>13</v>
      </c>
      <c r="CG904" s="12">
        <v>13</v>
      </c>
      <c r="CJ904" t="s">
        <v>135</v>
      </c>
      <c r="CK904" t="s">
        <v>264</v>
      </c>
      <c r="CL904" t="s">
        <v>16901</v>
      </c>
      <c r="CO904" t="s">
        <v>132</v>
      </c>
      <c r="CP904" t="s">
        <v>136</v>
      </c>
      <c r="CQ904" t="s">
        <v>136</v>
      </c>
      <c r="CR904" t="s">
        <v>114</v>
      </c>
      <c r="CS904" t="s">
        <v>136</v>
      </c>
      <c r="CT904" t="s">
        <v>136</v>
      </c>
      <c r="CU904" t="s">
        <v>136</v>
      </c>
      <c r="CV904" t="s">
        <v>16902</v>
      </c>
      <c r="CW904" s="10" t="str">
        <f>"+13862882856"</f>
        <v>+13862882856</v>
      </c>
      <c r="CX904" t="s">
        <v>16899</v>
      </c>
      <c r="CY904" t="s">
        <v>132</v>
      </c>
      <c r="CZ904" t="s">
        <v>137</v>
      </c>
      <c r="DA904" t="s">
        <v>114</v>
      </c>
      <c r="DB904" t="s">
        <v>136</v>
      </c>
      <c r="DC904" t="s">
        <v>136</v>
      </c>
      <c r="DD904" t="s">
        <v>114</v>
      </c>
    </row>
    <row r="905" spans="1:113" ht="15" customHeight="1" x14ac:dyDescent="0.25">
      <c r="A905" t="s">
        <v>8494</v>
      </c>
      <c r="B905" t="s">
        <v>152</v>
      </c>
      <c r="C905" s="1">
        <v>45187.564437731482</v>
      </c>
      <c r="D905" s="1">
        <v>45246</v>
      </c>
      <c r="E905" t="s">
        <v>132</v>
      </c>
      <c r="F905" t="s">
        <v>153</v>
      </c>
      <c r="G905" t="str">
        <f>"35-2014.00"</f>
        <v>35-2014.00</v>
      </c>
      <c r="H905" t="s">
        <v>154</v>
      </c>
      <c r="I905">
        <v>10</v>
      </c>
      <c r="J905">
        <v>10</v>
      </c>
      <c r="K905" s="1">
        <v>45275</v>
      </c>
      <c r="L905" s="1">
        <v>45412</v>
      </c>
      <c r="M905" s="1">
        <v>45275</v>
      </c>
      <c r="N905" s="1">
        <v>45412</v>
      </c>
      <c r="O905" t="s">
        <v>238</v>
      </c>
      <c r="P905" t="s">
        <v>8495</v>
      </c>
      <c r="Q905" t="s">
        <v>8496</v>
      </c>
      <c r="R905" t="s">
        <v>8497</v>
      </c>
      <c r="S905" t="s">
        <v>8498</v>
      </c>
      <c r="T905" t="s">
        <v>8499</v>
      </c>
      <c r="U905" t="s">
        <v>792</v>
      </c>
      <c r="V905" s="8" t="str">
        <f>"98068"</f>
        <v>98068</v>
      </c>
      <c r="W905" t="s">
        <v>118</v>
      </c>
      <c r="Y905" s="10">
        <v>14254347669</v>
      </c>
      <c r="AA905">
        <v>713920</v>
      </c>
      <c r="AB905" t="s">
        <v>8500</v>
      </c>
      <c r="AC905" t="s">
        <v>8501</v>
      </c>
      <c r="AE905" t="s">
        <v>8502</v>
      </c>
      <c r="AF905" t="s">
        <v>8497</v>
      </c>
      <c r="AG905" t="s">
        <v>8498</v>
      </c>
      <c r="AH905" t="s">
        <v>8499</v>
      </c>
      <c r="AI905" t="s">
        <v>792</v>
      </c>
      <c r="AJ905" s="8" t="str">
        <f>"98068"</f>
        <v>98068</v>
      </c>
      <c r="AK905" t="s">
        <v>118</v>
      </c>
      <c r="AM905" s="10">
        <v>14254347669</v>
      </c>
      <c r="AO905" t="s">
        <v>8503</v>
      </c>
      <c r="AP905" t="s">
        <v>121</v>
      </c>
      <c r="AQ905" t="s">
        <v>276</v>
      </c>
      <c r="AR905" t="s">
        <v>277</v>
      </c>
      <c r="AS905" t="s">
        <v>278</v>
      </c>
      <c r="AT905" t="s">
        <v>279</v>
      </c>
      <c r="AU905" t="s">
        <v>280</v>
      </c>
      <c r="AV905" t="s">
        <v>281</v>
      </c>
      <c r="AW905" t="s">
        <v>222</v>
      </c>
      <c r="AX905" s="8" t="str">
        <f>"01701"</f>
        <v>01701</v>
      </c>
      <c r="AY905" t="s">
        <v>118</v>
      </c>
      <c r="AZ905" s="3" t="s">
        <v>2321</v>
      </c>
      <c r="BA905" s="10">
        <v>16179399444</v>
      </c>
      <c r="BC905" t="s">
        <v>282</v>
      </c>
      <c r="BD905" t="s">
        <v>283</v>
      </c>
      <c r="BE905" t="s">
        <v>222</v>
      </c>
      <c r="BF905" t="s">
        <v>284</v>
      </c>
      <c r="BG905" t="s">
        <v>792</v>
      </c>
      <c r="BH905" s="1">
        <v>45186.833333333336</v>
      </c>
      <c r="BI905">
        <v>40</v>
      </c>
      <c r="BJ905">
        <v>0</v>
      </c>
      <c r="BK905">
        <v>8</v>
      </c>
      <c r="BL905">
        <v>8</v>
      </c>
      <c r="BM905">
        <v>8</v>
      </c>
      <c r="BN905">
        <v>8</v>
      </c>
      <c r="BO905">
        <v>8</v>
      </c>
      <c r="BP905">
        <v>0</v>
      </c>
      <c r="BQ905" t="str">
        <f>"7:00 AM"</f>
        <v>7:00 AM</v>
      </c>
      <c r="BR905" t="str">
        <f>"3:00 PM"</f>
        <v>3:00 PM</v>
      </c>
      <c r="BS905" t="s">
        <v>131</v>
      </c>
      <c r="BT905">
        <v>0</v>
      </c>
      <c r="BU905">
        <v>6</v>
      </c>
      <c r="BV905" t="s">
        <v>114</v>
      </c>
      <c r="BX905" s="2" t="s">
        <v>8504</v>
      </c>
      <c r="BY905" t="s">
        <v>8497</v>
      </c>
      <c r="CA905" t="s">
        <v>8499</v>
      </c>
      <c r="CB905" t="s">
        <v>792</v>
      </c>
      <c r="CC905" s="8" t="str">
        <f>"98068"</f>
        <v>98068</v>
      </c>
      <c r="CD905" t="s">
        <v>8505</v>
      </c>
      <c r="CE905" t="s">
        <v>5850</v>
      </c>
      <c r="CF905" s="12">
        <v>18.59</v>
      </c>
      <c r="CG905" s="12">
        <v>21.5</v>
      </c>
      <c r="CH905" s="12">
        <v>27.89</v>
      </c>
      <c r="CI905" s="12">
        <v>32.25</v>
      </c>
      <c r="CJ905" t="s">
        <v>135</v>
      </c>
      <c r="CK905" t="s">
        <v>8506</v>
      </c>
      <c r="CL905" t="s">
        <v>8507</v>
      </c>
      <c r="CO905" t="s">
        <v>132</v>
      </c>
      <c r="CP905" t="s">
        <v>114</v>
      </c>
      <c r="CQ905" t="s">
        <v>136</v>
      </c>
      <c r="CR905" t="s">
        <v>136</v>
      </c>
      <c r="CS905" t="s">
        <v>136</v>
      </c>
      <c r="CT905" t="s">
        <v>136</v>
      </c>
      <c r="CU905" t="s">
        <v>136</v>
      </c>
      <c r="CV905" t="s">
        <v>8508</v>
      </c>
      <c r="CW905" s="10" t="str">
        <f>"+14254347669"</f>
        <v>+14254347669</v>
      </c>
      <c r="CX905" t="s">
        <v>8503</v>
      </c>
      <c r="CY905" t="s">
        <v>132</v>
      </c>
      <c r="CZ905" t="s">
        <v>137</v>
      </c>
      <c r="DA905" t="s">
        <v>114</v>
      </c>
      <c r="DB905" t="s">
        <v>114</v>
      </c>
      <c r="DC905" t="s">
        <v>136</v>
      </c>
      <c r="DD905" t="s">
        <v>114</v>
      </c>
    </row>
    <row r="906" spans="1:113" ht="15" customHeight="1" x14ac:dyDescent="0.25">
      <c r="A906" t="s">
        <v>18688</v>
      </c>
      <c r="B906" t="s">
        <v>152</v>
      </c>
      <c r="C906" s="1">
        <v>45174.485602314817</v>
      </c>
      <c r="D906" s="1">
        <v>45246</v>
      </c>
      <c r="E906" t="s">
        <v>132</v>
      </c>
      <c r="F906" t="s">
        <v>10795</v>
      </c>
      <c r="G906" t="str">
        <f>"37-2012.00"</f>
        <v>37-2012.00</v>
      </c>
      <c r="H906" t="s">
        <v>205</v>
      </c>
      <c r="I906">
        <v>100</v>
      </c>
      <c r="J906">
        <v>100</v>
      </c>
      <c r="K906" s="1">
        <v>45249</v>
      </c>
      <c r="L906" s="1">
        <v>45550</v>
      </c>
      <c r="M906" s="1">
        <v>45249</v>
      </c>
      <c r="N906" s="1">
        <v>45550</v>
      </c>
      <c r="O906" t="s">
        <v>238</v>
      </c>
      <c r="P906" t="s">
        <v>15422</v>
      </c>
      <c r="Q906" t="s">
        <v>15422</v>
      </c>
      <c r="R906" t="s">
        <v>10797</v>
      </c>
      <c r="S906" t="s">
        <v>10796</v>
      </c>
      <c r="T906" t="s">
        <v>2724</v>
      </c>
      <c r="U906" t="s">
        <v>140</v>
      </c>
      <c r="V906" s="8" t="str">
        <f>"32408"</f>
        <v>32408</v>
      </c>
      <c r="W906" t="s">
        <v>118</v>
      </c>
      <c r="Y906" s="10">
        <v>17864929774</v>
      </c>
      <c r="AA906">
        <v>561720</v>
      </c>
      <c r="AB906" t="s">
        <v>10248</v>
      </c>
      <c r="AC906" t="s">
        <v>10249</v>
      </c>
      <c r="AE906" t="s">
        <v>629</v>
      </c>
      <c r="AF906" t="s">
        <v>10247</v>
      </c>
      <c r="AH906" t="s">
        <v>2773</v>
      </c>
      <c r="AI906" t="s">
        <v>140</v>
      </c>
      <c r="AJ906" s="8" t="str">
        <f>"32408"</f>
        <v>32408</v>
      </c>
      <c r="AK906" t="s">
        <v>118</v>
      </c>
      <c r="AM906" s="10">
        <v>17864929774</v>
      </c>
      <c r="AO906" t="s">
        <v>10250</v>
      </c>
      <c r="AX906" s="8" t="str">
        <f>""</f>
        <v/>
      </c>
      <c r="BG906" t="s">
        <v>967</v>
      </c>
      <c r="BH906" s="1">
        <v>45173.833333333336</v>
      </c>
      <c r="BI906">
        <v>35</v>
      </c>
      <c r="BJ906">
        <v>5</v>
      </c>
      <c r="BK906">
        <v>5</v>
      </c>
      <c r="BL906">
        <v>5</v>
      </c>
      <c r="BM906">
        <v>5</v>
      </c>
      <c r="BN906">
        <v>5</v>
      </c>
      <c r="BO906">
        <v>5</v>
      </c>
      <c r="BP906">
        <v>5</v>
      </c>
      <c r="BQ906" t="str">
        <f>"8:00 AM"</f>
        <v>8:00 AM</v>
      </c>
      <c r="BR906" t="str">
        <f>"4:00 PM"</f>
        <v>4:00 PM</v>
      </c>
      <c r="BS906" t="s">
        <v>131</v>
      </c>
      <c r="BT906">
        <v>0</v>
      </c>
      <c r="BU906">
        <v>1</v>
      </c>
      <c r="BV906" t="s">
        <v>114</v>
      </c>
      <c r="BX906" s="2" t="s">
        <v>18689</v>
      </c>
      <c r="BY906" t="s">
        <v>18690</v>
      </c>
      <c r="CA906" t="s">
        <v>970</v>
      </c>
      <c r="CB906" t="s">
        <v>967</v>
      </c>
      <c r="CC906" s="8" t="str">
        <f>"89449"</f>
        <v>89449</v>
      </c>
      <c r="CD906" t="s">
        <v>971</v>
      </c>
      <c r="CE906" t="s">
        <v>972</v>
      </c>
      <c r="CF906" s="12">
        <v>12.48</v>
      </c>
      <c r="CG906" s="12">
        <v>16</v>
      </c>
      <c r="CH906" s="12">
        <v>18.72</v>
      </c>
      <c r="CI906" s="12">
        <v>24</v>
      </c>
      <c r="CJ906" t="s">
        <v>135</v>
      </c>
      <c r="CK906" t="s">
        <v>10253</v>
      </c>
      <c r="CL906" t="s">
        <v>18691</v>
      </c>
      <c r="CO906" t="s">
        <v>132</v>
      </c>
      <c r="CP906" t="s">
        <v>136</v>
      </c>
      <c r="CQ906" t="s">
        <v>114</v>
      </c>
      <c r="CR906" t="s">
        <v>136</v>
      </c>
      <c r="CS906" t="s">
        <v>114</v>
      </c>
      <c r="CT906" t="s">
        <v>136</v>
      </c>
      <c r="CU906" t="s">
        <v>136</v>
      </c>
      <c r="CV906" s="2" t="s">
        <v>10255</v>
      </c>
      <c r="CW906" s="10" t="str">
        <f>"+17869429774"</f>
        <v>+17869429774</v>
      </c>
      <c r="CX906" t="s">
        <v>18692</v>
      </c>
      <c r="CY906" t="s">
        <v>132</v>
      </c>
      <c r="CZ906" t="s">
        <v>137</v>
      </c>
      <c r="DA906" t="s">
        <v>114</v>
      </c>
      <c r="DB906" t="s">
        <v>114</v>
      </c>
      <c r="DC906" t="s">
        <v>136</v>
      </c>
      <c r="DD906" t="s">
        <v>114</v>
      </c>
    </row>
    <row r="907" spans="1:113" ht="15" customHeight="1" x14ac:dyDescent="0.25">
      <c r="A907" t="s">
        <v>14634</v>
      </c>
      <c r="B907" t="s">
        <v>152</v>
      </c>
      <c r="C907" s="1">
        <v>45159.702846296299</v>
      </c>
      <c r="D907" s="1">
        <v>45246</v>
      </c>
      <c r="E907" t="s">
        <v>136</v>
      </c>
      <c r="F907" t="s">
        <v>153</v>
      </c>
      <c r="G907" t="str">
        <f>"35-2014.00"</f>
        <v>35-2014.00</v>
      </c>
      <c r="H907" t="s">
        <v>154</v>
      </c>
      <c r="I907">
        <v>10</v>
      </c>
      <c r="J907">
        <v>10</v>
      </c>
      <c r="K907" s="1">
        <v>45236</v>
      </c>
      <c r="L907" s="1">
        <v>45401</v>
      </c>
      <c r="M907" s="1">
        <v>45236</v>
      </c>
      <c r="N907" s="1">
        <v>45401</v>
      </c>
      <c r="O907" t="s">
        <v>116</v>
      </c>
      <c r="P907" t="s">
        <v>14635</v>
      </c>
      <c r="Q907" t="s">
        <v>14636</v>
      </c>
      <c r="R907" t="s">
        <v>6040</v>
      </c>
      <c r="S907" t="s">
        <v>6041</v>
      </c>
      <c r="T907" t="s">
        <v>573</v>
      </c>
      <c r="U907" t="s">
        <v>550</v>
      </c>
      <c r="V907" s="8" t="str">
        <f>"30346"</f>
        <v>30346</v>
      </c>
      <c r="W907" t="s">
        <v>118</v>
      </c>
      <c r="Y907" s="10">
        <v>19709238234</v>
      </c>
      <c r="AA907">
        <v>721110</v>
      </c>
      <c r="AB907" t="s">
        <v>14637</v>
      </c>
      <c r="AC907" t="s">
        <v>2309</v>
      </c>
      <c r="AE907" t="s">
        <v>1104</v>
      </c>
      <c r="AF907" t="s">
        <v>14638</v>
      </c>
      <c r="AG907" t="s">
        <v>14639</v>
      </c>
      <c r="AH907" t="s">
        <v>4788</v>
      </c>
      <c r="AI907" t="s">
        <v>188</v>
      </c>
      <c r="AJ907" s="8" t="str">
        <f>"81615"</f>
        <v>81615</v>
      </c>
      <c r="AK907" t="s">
        <v>118</v>
      </c>
      <c r="AM907" s="10">
        <v>19709238234</v>
      </c>
      <c r="AO907" t="s">
        <v>14640</v>
      </c>
      <c r="AP907" t="s">
        <v>121</v>
      </c>
      <c r="AQ907" t="s">
        <v>276</v>
      </c>
      <c r="AR907" t="s">
        <v>277</v>
      </c>
      <c r="AS907" t="s">
        <v>278</v>
      </c>
      <c r="AT907" t="s">
        <v>279</v>
      </c>
      <c r="AU907" t="s">
        <v>280</v>
      </c>
      <c r="AV907" t="s">
        <v>281</v>
      </c>
      <c r="AW907" t="s">
        <v>222</v>
      </c>
      <c r="AX907" s="8" t="str">
        <f>"01701"</f>
        <v>01701</v>
      </c>
      <c r="AY907" t="s">
        <v>118</v>
      </c>
      <c r="BA907" s="10">
        <v>16179399444</v>
      </c>
      <c r="BC907" t="s">
        <v>282</v>
      </c>
      <c r="BD907" t="s">
        <v>283</v>
      </c>
      <c r="BE907" t="s">
        <v>222</v>
      </c>
      <c r="BF907" t="s">
        <v>284</v>
      </c>
      <c r="BG907" t="s">
        <v>188</v>
      </c>
      <c r="BH907" s="1">
        <v>45158.833333333336</v>
      </c>
      <c r="BI907">
        <v>40</v>
      </c>
      <c r="BJ907">
        <v>0</v>
      </c>
      <c r="BK907">
        <v>8</v>
      </c>
      <c r="BL907">
        <v>8</v>
      </c>
      <c r="BM907">
        <v>8</v>
      </c>
      <c r="BN907">
        <v>8</v>
      </c>
      <c r="BO907">
        <v>8</v>
      </c>
      <c r="BP907">
        <v>0</v>
      </c>
      <c r="BQ907" t="str">
        <f>"5:00 AM"</f>
        <v>5:00 AM</v>
      </c>
      <c r="BR907" t="str">
        <f>"1:00 PM"</f>
        <v>1:00 PM</v>
      </c>
      <c r="BS907" t="s">
        <v>131</v>
      </c>
      <c r="BT907">
        <v>0</v>
      </c>
      <c r="BU907">
        <v>6</v>
      </c>
      <c r="BV907" t="s">
        <v>114</v>
      </c>
      <c r="BX907" s="2" t="s">
        <v>14641</v>
      </c>
      <c r="BY907" t="s">
        <v>14638</v>
      </c>
      <c r="CA907" t="s">
        <v>4788</v>
      </c>
      <c r="CB907" t="s">
        <v>188</v>
      </c>
      <c r="CC907" s="8" t="str">
        <f>"81615"</f>
        <v>81615</v>
      </c>
      <c r="CD907" t="s">
        <v>4789</v>
      </c>
      <c r="CE907" t="s">
        <v>1038</v>
      </c>
      <c r="CF907" s="12">
        <v>21</v>
      </c>
      <c r="CG907" s="12">
        <v>32</v>
      </c>
      <c r="CH907" s="12">
        <v>31.5</v>
      </c>
      <c r="CI907" s="12">
        <v>48</v>
      </c>
      <c r="CJ907" t="s">
        <v>135</v>
      </c>
      <c r="CK907" t="s">
        <v>14642</v>
      </c>
      <c r="CL907" t="s">
        <v>14643</v>
      </c>
      <c r="CO907" t="s">
        <v>132</v>
      </c>
      <c r="CP907" t="s">
        <v>136</v>
      </c>
      <c r="CQ907" t="s">
        <v>114</v>
      </c>
      <c r="CR907" t="s">
        <v>136</v>
      </c>
      <c r="CS907" t="s">
        <v>136</v>
      </c>
      <c r="CT907" t="s">
        <v>136</v>
      </c>
      <c r="CU907" t="s">
        <v>136</v>
      </c>
      <c r="CV907" s="2" t="s">
        <v>14644</v>
      </c>
      <c r="CW907" s="10" t="str">
        <f>"+19709238234"</f>
        <v>+19709238234</v>
      </c>
      <c r="CX907" t="s">
        <v>14640</v>
      </c>
      <c r="CY907" t="s">
        <v>132</v>
      </c>
      <c r="CZ907" t="s">
        <v>137</v>
      </c>
      <c r="DA907" t="s">
        <v>114</v>
      </c>
      <c r="DB907" t="s">
        <v>114</v>
      </c>
      <c r="DC907" t="s">
        <v>136</v>
      </c>
      <c r="DD907" t="s">
        <v>114</v>
      </c>
    </row>
    <row r="908" spans="1:113" ht="15" customHeight="1" x14ac:dyDescent="0.25">
      <c r="A908" t="s">
        <v>17346</v>
      </c>
      <c r="B908" t="s">
        <v>152</v>
      </c>
      <c r="C908" s="1">
        <v>45211.347803703706</v>
      </c>
      <c r="D908" s="1">
        <v>45245</v>
      </c>
      <c r="E908" t="s">
        <v>132</v>
      </c>
      <c r="F908" t="s">
        <v>236</v>
      </c>
      <c r="G908" t="str">
        <f>"39-3091.00"</f>
        <v>39-3091.00</v>
      </c>
      <c r="H908" t="s">
        <v>237</v>
      </c>
      <c r="I908">
        <v>20</v>
      </c>
      <c r="J908">
        <v>20</v>
      </c>
      <c r="K908" s="1">
        <v>45301</v>
      </c>
      <c r="L908" s="1">
        <v>45594</v>
      </c>
      <c r="M908" s="1">
        <v>45301</v>
      </c>
      <c r="N908" s="1">
        <v>45594</v>
      </c>
      <c r="O908" t="s">
        <v>238</v>
      </c>
      <c r="P908" t="s">
        <v>17347</v>
      </c>
      <c r="R908" t="s">
        <v>17348</v>
      </c>
      <c r="S908" t="s">
        <v>17349</v>
      </c>
      <c r="T908" t="s">
        <v>6033</v>
      </c>
      <c r="U908" t="s">
        <v>117</v>
      </c>
      <c r="V908" s="8" t="str">
        <f>"62208"</f>
        <v>62208</v>
      </c>
      <c r="W908" t="s">
        <v>118</v>
      </c>
      <c r="Y908" s="10">
        <v>16184073044</v>
      </c>
      <c r="AA908">
        <v>71399</v>
      </c>
      <c r="AB908" t="s">
        <v>17350</v>
      </c>
      <c r="AC908" t="s">
        <v>278</v>
      </c>
      <c r="AE908" t="s">
        <v>629</v>
      </c>
      <c r="AF908" t="s">
        <v>17348</v>
      </c>
      <c r="AG908" t="s">
        <v>17349</v>
      </c>
      <c r="AH908" t="s">
        <v>6033</v>
      </c>
      <c r="AI908" t="s">
        <v>117</v>
      </c>
      <c r="AJ908" s="8" t="str">
        <f>"62208"</f>
        <v>62208</v>
      </c>
      <c r="AK908" t="s">
        <v>118</v>
      </c>
      <c r="AM908" s="10">
        <v>16184073044</v>
      </c>
      <c r="AO908" t="s">
        <v>17351</v>
      </c>
      <c r="AP908" t="s">
        <v>248</v>
      </c>
      <c r="AQ908" t="s">
        <v>249</v>
      </c>
      <c r="AR908" t="s">
        <v>250</v>
      </c>
      <c r="AS908" t="s">
        <v>251</v>
      </c>
      <c r="AT908" t="s">
        <v>252</v>
      </c>
      <c r="AU908" t="s">
        <v>253</v>
      </c>
      <c r="AV908" t="s">
        <v>254</v>
      </c>
      <c r="AW908" t="s">
        <v>127</v>
      </c>
      <c r="AX908" s="8" t="str">
        <f>"78550"</f>
        <v>78550</v>
      </c>
      <c r="AY908" t="s">
        <v>118</v>
      </c>
      <c r="BA908" s="10">
        <v>19564408720</v>
      </c>
      <c r="BB908" s="3" t="s">
        <v>256</v>
      </c>
      <c r="BC908" t="s">
        <v>257</v>
      </c>
      <c r="BD908" t="s">
        <v>258</v>
      </c>
      <c r="BG908" t="s">
        <v>117</v>
      </c>
      <c r="BH908" s="1">
        <v>45210.833333333336</v>
      </c>
      <c r="BI908">
        <v>40</v>
      </c>
      <c r="BJ908">
        <v>8</v>
      </c>
      <c r="BK908">
        <v>0</v>
      </c>
      <c r="BL908">
        <v>0</v>
      </c>
      <c r="BM908">
        <v>8</v>
      </c>
      <c r="BN908">
        <v>8</v>
      </c>
      <c r="BO908">
        <v>8</v>
      </c>
      <c r="BP908">
        <v>8</v>
      </c>
      <c r="BQ908" t="str">
        <f>"1:00 PM"</f>
        <v>1:00 PM</v>
      </c>
      <c r="BR908" t="str">
        <f>"10:00 PM"</f>
        <v>10:00 PM</v>
      </c>
      <c r="BS908" t="s">
        <v>131</v>
      </c>
      <c r="BT908">
        <v>0</v>
      </c>
      <c r="BU908">
        <v>0</v>
      </c>
      <c r="BV908" t="s">
        <v>114</v>
      </c>
      <c r="BX908" s="2" t="s">
        <v>259</v>
      </c>
      <c r="BY908" t="s">
        <v>12533</v>
      </c>
      <c r="CA908" t="s">
        <v>5118</v>
      </c>
      <c r="CB908" t="s">
        <v>117</v>
      </c>
      <c r="CC908" s="8" t="str">
        <f>"62232"</f>
        <v>62232</v>
      </c>
      <c r="CD908" t="s">
        <v>3271</v>
      </c>
      <c r="CE908" t="s">
        <v>1856</v>
      </c>
      <c r="CF908" s="12">
        <v>10.48</v>
      </c>
      <c r="CG908" s="12">
        <v>15.1</v>
      </c>
      <c r="CJ908" t="s">
        <v>135</v>
      </c>
      <c r="CK908" t="s">
        <v>264</v>
      </c>
      <c r="CL908" t="s">
        <v>17352</v>
      </c>
      <c r="CO908" t="s">
        <v>132</v>
      </c>
      <c r="CP908" t="s">
        <v>136</v>
      </c>
      <c r="CQ908" t="s">
        <v>136</v>
      </c>
      <c r="CR908" t="s">
        <v>114</v>
      </c>
      <c r="CS908" t="s">
        <v>136</v>
      </c>
      <c r="CT908" t="s">
        <v>136</v>
      </c>
      <c r="CU908" t="s">
        <v>136</v>
      </c>
      <c r="CV908" t="s">
        <v>2258</v>
      </c>
      <c r="CW908" s="10" t="str">
        <f>"+16184073044"</f>
        <v>+16184073044</v>
      </c>
      <c r="CX908" t="s">
        <v>17351</v>
      </c>
      <c r="CY908" t="s">
        <v>132</v>
      </c>
      <c r="CZ908" t="s">
        <v>137</v>
      </c>
      <c r="DA908" t="s">
        <v>114</v>
      </c>
      <c r="DB908" t="s">
        <v>136</v>
      </c>
      <c r="DC908" t="s">
        <v>136</v>
      </c>
      <c r="DD908" t="s">
        <v>114</v>
      </c>
    </row>
    <row r="909" spans="1:113" ht="15" customHeight="1" x14ac:dyDescent="0.25">
      <c r="A909" t="s">
        <v>6599</v>
      </c>
      <c r="B909" t="s">
        <v>152</v>
      </c>
      <c r="C909" s="1">
        <v>45206.456930439817</v>
      </c>
      <c r="D909" s="1">
        <v>45245</v>
      </c>
      <c r="E909" t="s">
        <v>132</v>
      </c>
      <c r="F909" t="s">
        <v>3098</v>
      </c>
      <c r="G909" t="str">
        <f>"39-3091.00"</f>
        <v>39-3091.00</v>
      </c>
      <c r="H909" t="s">
        <v>237</v>
      </c>
      <c r="I909">
        <v>45</v>
      </c>
      <c r="J909">
        <v>45</v>
      </c>
      <c r="K909" s="1">
        <v>45296</v>
      </c>
      <c r="L909" s="1">
        <v>45600</v>
      </c>
      <c r="M909" s="1">
        <v>45296</v>
      </c>
      <c r="N909" s="1">
        <v>45600</v>
      </c>
      <c r="O909" t="s">
        <v>238</v>
      </c>
      <c r="P909" t="s">
        <v>6600</v>
      </c>
      <c r="R909" t="s">
        <v>6601</v>
      </c>
      <c r="T909" t="s">
        <v>6602</v>
      </c>
      <c r="U909" t="s">
        <v>169</v>
      </c>
      <c r="V909" s="8" t="str">
        <f>"55047"</f>
        <v>55047</v>
      </c>
      <c r="W909" t="s">
        <v>118</v>
      </c>
      <c r="Y909" s="10">
        <v>16513386884</v>
      </c>
      <c r="Z909" s="3" t="s">
        <v>256</v>
      </c>
      <c r="AA909">
        <v>711190</v>
      </c>
      <c r="AB909" t="s">
        <v>868</v>
      </c>
      <c r="AC909" t="s">
        <v>2133</v>
      </c>
      <c r="AE909" t="s">
        <v>561</v>
      </c>
      <c r="AF909" t="s">
        <v>6603</v>
      </c>
      <c r="AH909" t="s">
        <v>6604</v>
      </c>
      <c r="AI909" t="s">
        <v>169</v>
      </c>
      <c r="AJ909" s="8" t="str">
        <f>"55047"</f>
        <v>55047</v>
      </c>
      <c r="AK909" t="s">
        <v>118</v>
      </c>
      <c r="AM909" s="10">
        <v>16513386884</v>
      </c>
      <c r="AN909" s="3" t="s">
        <v>256</v>
      </c>
      <c r="AO909" t="s">
        <v>6605</v>
      </c>
      <c r="AP909" t="s">
        <v>248</v>
      </c>
      <c r="AQ909" t="s">
        <v>249</v>
      </c>
      <c r="AR909" t="s">
        <v>250</v>
      </c>
      <c r="AS909" t="s">
        <v>251</v>
      </c>
      <c r="AT909" t="s">
        <v>252</v>
      </c>
      <c r="AU909" t="s">
        <v>253</v>
      </c>
      <c r="AV909" t="s">
        <v>254</v>
      </c>
      <c r="AW909" t="s">
        <v>127</v>
      </c>
      <c r="AX909" s="8" t="str">
        <f>"78550"</f>
        <v>78550</v>
      </c>
      <c r="AY909" t="s">
        <v>118</v>
      </c>
      <c r="AZ909" t="s">
        <v>255</v>
      </c>
      <c r="BA909" s="10">
        <v>19564408720</v>
      </c>
      <c r="BB909" s="3" t="s">
        <v>256</v>
      </c>
      <c r="BC909" t="s">
        <v>338</v>
      </c>
      <c r="BD909" t="s">
        <v>258</v>
      </c>
      <c r="BG909" t="s">
        <v>169</v>
      </c>
      <c r="BH909" s="1">
        <v>45205.833333333336</v>
      </c>
      <c r="BI909">
        <v>40</v>
      </c>
      <c r="BJ909">
        <v>8</v>
      </c>
      <c r="BK909">
        <v>0</v>
      </c>
      <c r="BL909">
        <v>0</v>
      </c>
      <c r="BM909">
        <v>8</v>
      </c>
      <c r="BN909">
        <v>8</v>
      </c>
      <c r="BO909">
        <v>8</v>
      </c>
      <c r="BP909">
        <v>8</v>
      </c>
      <c r="BQ909" t="str">
        <f>"1:00 PM"</f>
        <v>1:00 PM</v>
      </c>
      <c r="BR909" t="str">
        <f>"10:00 PM"</f>
        <v>10:00 PM</v>
      </c>
      <c r="BS909" t="s">
        <v>131</v>
      </c>
      <c r="BT909">
        <v>0</v>
      </c>
      <c r="BU909">
        <v>0</v>
      </c>
      <c r="BV909" t="s">
        <v>114</v>
      </c>
      <c r="BX909" s="2" t="s">
        <v>2396</v>
      </c>
      <c r="BY909" t="s">
        <v>6606</v>
      </c>
      <c r="CA909" t="s">
        <v>6607</v>
      </c>
      <c r="CB909" t="s">
        <v>2608</v>
      </c>
      <c r="CC909" s="8" t="str">
        <f>"74804"</f>
        <v>74804</v>
      </c>
      <c r="CD909" t="s">
        <v>6085</v>
      </c>
      <c r="CE909" t="s">
        <v>6608</v>
      </c>
      <c r="CF909" s="12">
        <v>9.1</v>
      </c>
      <c r="CG909" s="12">
        <v>12.43</v>
      </c>
      <c r="CJ909" t="s">
        <v>135</v>
      </c>
      <c r="CK909" t="s">
        <v>342</v>
      </c>
      <c r="CL909" t="s">
        <v>6609</v>
      </c>
      <c r="CO909" t="s">
        <v>132</v>
      </c>
      <c r="CP909" t="s">
        <v>136</v>
      </c>
      <c r="CQ909" t="s">
        <v>136</v>
      </c>
      <c r="CR909" t="s">
        <v>114</v>
      </c>
      <c r="CS909" t="s">
        <v>136</v>
      </c>
      <c r="CT909" t="s">
        <v>136</v>
      </c>
      <c r="CU909" t="s">
        <v>136</v>
      </c>
      <c r="CV909" t="s">
        <v>6610</v>
      </c>
      <c r="CW909" s="10" t="str">
        <f>"+16513386884"</f>
        <v>+16513386884</v>
      </c>
      <c r="CX909" t="s">
        <v>6605</v>
      </c>
      <c r="CY909" t="s">
        <v>132</v>
      </c>
      <c r="CZ909" t="s">
        <v>137</v>
      </c>
      <c r="DA909" t="s">
        <v>114</v>
      </c>
      <c r="DB909" t="s">
        <v>136</v>
      </c>
      <c r="DC909" t="s">
        <v>136</v>
      </c>
      <c r="DD909" t="s">
        <v>114</v>
      </c>
    </row>
    <row r="910" spans="1:113" ht="15" customHeight="1" x14ac:dyDescent="0.25">
      <c r="A910" t="s">
        <v>10115</v>
      </c>
      <c r="B910" t="s">
        <v>152</v>
      </c>
      <c r="C910" s="1">
        <v>45206.344136921296</v>
      </c>
      <c r="D910" s="1">
        <v>45245</v>
      </c>
      <c r="E910" t="s">
        <v>132</v>
      </c>
      <c r="F910" t="s">
        <v>2324</v>
      </c>
      <c r="G910" t="str">
        <f>"35-3023.00"</f>
        <v>35-3023.00</v>
      </c>
      <c r="H910" t="s">
        <v>1365</v>
      </c>
      <c r="I910">
        <v>11</v>
      </c>
      <c r="J910">
        <v>11</v>
      </c>
      <c r="K910" s="1">
        <v>45296</v>
      </c>
      <c r="L910" s="1">
        <v>45600</v>
      </c>
      <c r="M910" s="1">
        <v>45296</v>
      </c>
      <c r="N910" s="1">
        <v>45600</v>
      </c>
      <c r="O910" t="s">
        <v>238</v>
      </c>
      <c r="P910" t="s">
        <v>10116</v>
      </c>
      <c r="R910" t="s">
        <v>10117</v>
      </c>
      <c r="T910" t="s">
        <v>10118</v>
      </c>
      <c r="U910" t="s">
        <v>402</v>
      </c>
      <c r="V910" s="8" t="str">
        <f>"93307"</f>
        <v>93307</v>
      </c>
      <c r="W910" t="s">
        <v>118</v>
      </c>
      <c r="Y910" s="10">
        <v>16619796533</v>
      </c>
      <c r="AA910">
        <v>71399</v>
      </c>
      <c r="AB910" t="s">
        <v>10119</v>
      </c>
      <c r="AC910" t="s">
        <v>10120</v>
      </c>
      <c r="AE910" t="s">
        <v>629</v>
      </c>
      <c r="AF910" t="s">
        <v>10117</v>
      </c>
      <c r="AH910" t="s">
        <v>10118</v>
      </c>
      <c r="AI910" t="s">
        <v>402</v>
      </c>
      <c r="AJ910" s="8" t="str">
        <f>"93307"</f>
        <v>93307</v>
      </c>
      <c r="AK910" t="s">
        <v>118</v>
      </c>
      <c r="AM910" s="10">
        <v>16619796533</v>
      </c>
      <c r="AO910" t="s">
        <v>10121</v>
      </c>
      <c r="AP910" t="s">
        <v>248</v>
      </c>
      <c r="AQ910" t="s">
        <v>249</v>
      </c>
      <c r="AR910" t="s">
        <v>250</v>
      </c>
      <c r="AS910" t="s">
        <v>251</v>
      </c>
      <c r="AT910" t="s">
        <v>252</v>
      </c>
      <c r="AU910" t="s">
        <v>253</v>
      </c>
      <c r="AV910" t="s">
        <v>254</v>
      </c>
      <c r="AW910" t="s">
        <v>127</v>
      </c>
      <c r="AX910" s="8" t="str">
        <f>"78550"</f>
        <v>78550</v>
      </c>
      <c r="AY910" t="s">
        <v>118</v>
      </c>
      <c r="AZ910" t="s">
        <v>255</v>
      </c>
      <c r="BA910" s="10">
        <v>19564408720</v>
      </c>
      <c r="BB910" s="3" t="s">
        <v>256</v>
      </c>
      <c r="BC910" t="s">
        <v>257</v>
      </c>
      <c r="BD910" t="s">
        <v>258</v>
      </c>
      <c r="BG910" t="s">
        <v>402</v>
      </c>
      <c r="BH910" s="1">
        <v>45205.833333333336</v>
      </c>
      <c r="BI910">
        <v>40</v>
      </c>
      <c r="BJ910">
        <v>8</v>
      </c>
      <c r="BK910">
        <v>0</v>
      </c>
      <c r="BL910">
        <v>0</v>
      </c>
      <c r="BM910">
        <v>8</v>
      </c>
      <c r="BN910">
        <v>8</v>
      </c>
      <c r="BO910">
        <v>8</v>
      </c>
      <c r="BP910">
        <v>8</v>
      </c>
      <c r="BQ910" t="str">
        <f>"1:00 PM"</f>
        <v>1:00 PM</v>
      </c>
      <c r="BR910" t="str">
        <f>"10:00 PM"</f>
        <v>10:00 PM</v>
      </c>
      <c r="BS910" t="s">
        <v>131</v>
      </c>
      <c r="BT910">
        <v>0</v>
      </c>
      <c r="BU910">
        <v>0</v>
      </c>
      <c r="BV910" t="s">
        <v>114</v>
      </c>
      <c r="BX910" s="2" t="s">
        <v>259</v>
      </c>
      <c r="BY910" t="s">
        <v>10122</v>
      </c>
      <c r="CA910" t="s">
        <v>10118</v>
      </c>
      <c r="CB910" t="s">
        <v>402</v>
      </c>
      <c r="CC910" s="8" t="str">
        <f>"93307"</f>
        <v>93307</v>
      </c>
      <c r="CD910" t="s">
        <v>9751</v>
      </c>
      <c r="CE910" t="s">
        <v>9752</v>
      </c>
      <c r="CF910" s="12">
        <v>14.27</v>
      </c>
      <c r="CG910" s="12">
        <v>18.38</v>
      </c>
      <c r="CJ910" t="s">
        <v>135</v>
      </c>
      <c r="CK910" t="s">
        <v>264</v>
      </c>
      <c r="CL910" t="s">
        <v>10123</v>
      </c>
      <c r="CO910" t="s">
        <v>132</v>
      </c>
      <c r="CP910" t="s">
        <v>136</v>
      </c>
      <c r="CQ910" t="s">
        <v>136</v>
      </c>
      <c r="CR910" t="s">
        <v>114</v>
      </c>
      <c r="CS910" t="s">
        <v>136</v>
      </c>
      <c r="CT910" t="s">
        <v>136</v>
      </c>
      <c r="CU910" t="s">
        <v>136</v>
      </c>
      <c r="CV910" t="s">
        <v>2258</v>
      </c>
      <c r="CW910" s="10" t="str">
        <f>"+16619796533"</f>
        <v>+16619796533</v>
      </c>
      <c r="CX910" t="s">
        <v>10124</v>
      </c>
      <c r="CY910" t="s">
        <v>132</v>
      </c>
      <c r="CZ910" t="s">
        <v>137</v>
      </c>
      <c r="DA910" t="s">
        <v>114</v>
      </c>
      <c r="DB910" t="s">
        <v>114</v>
      </c>
      <c r="DC910" t="s">
        <v>136</v>
      </c>
      <c r="DD910" t="s">
        <v>114</v>
      </c>
    </row>
    <row r="911" spans="1:113" ht="15" customHeight="1" x14ac:dyDescent="0.25">
      <c r="A911" t="s">
        <v>14535</v>
      </c>
      <c r="B911" t="s">
        <v>152</v>
      </c>
      <c r="C911" s="1">
        <v>45206.337311921299</v>
      </c>
      <c r="D911" s="1">
        <v>45245</v>
      </c>
      <c r="E911" t="s">
        <v>132</v>
      </c>
      <c r="F911" t="s">
        <v>2324</v>
      </c>
      <c r="G911" t="str">
        <f>"35-3023.00"</f>
        <v>35-3023.00</v>
      </c>
      <c r="H911" t="s">
        <v>1365</v>
      </c>
      <c r="I911">
        <v>82</v>
      </c>
      <c r="J911">
        <v>82</v>
      </c>
      <c r="K911" s="1">
        <v>45296</v>
      </c>
      <c r="L911" s="1">
        <v>45600</v>
      </c>
      <c r="M911" s="1">
        <v>45296</v>
      </c>
      <c r="N911" s="1">
        <v>45600</v>
      </c>
      <c r="O911" t="s">
        <v>238</v>
      </c>
      <c r="P911" t="s">
        <v>14536</v>
      </c>
      <c r="R911" t="s">
        <v>14537</v>
      </c>
      <c r="S911" t="s">
        <v>5725</v>
      </c>
      <c r="T911" t="s">
        <v>10383</v>
      </c>
      <c r="U911" t="s">
        <v>140</v>
      </c>
      <c r="V911" s="8" t="str">
        <f>"34228"</f>
        <v>34228</v>
      </c>
      <c r="W911" t="s">
        <v>118</v>
      </c>
      <c r="Y911" s="10">
        <v>19415180859</v>
      </c>
      <c r="AA911">
        <v>71399</v>
      </c>
      <c r="AB911" t="s">
        <v>14538</v>
      </c>
      <c r="AC911" t="s">
        <v>11305</v>
      </c>
      <c r="AE911" t="s">
        <v>1836</v>
      </c>
      <c r="AF911" t="s">
        <v>14539</v>
      </c>
      <c r="AH911" t="s">
        <v>10383</v>
      </c>
      <c r="AI911" t="s">
        <v>140</v>
      </c>
      <c r="AJ911" s="8" t="str">
        <f>"34228"</f>
        <v>34228</v>
      </c>
      <c r="AK911" t="s">
        <v>118</v>
      </c>
      <c r="AM911" s="10">
        <v>19415180859</v>
      </c>
      <c r="AO911" t="s">
        <v>14540</v>
      </c>
      <c r="AP911" t="s">
        <v>248</v>
      </c>
      <c r="AQ911" t="s">
        <v>249</v>
      </c>
      <c r="AR911" t="s">
        <v>250</v>
      </c>
      <c r="AS911" t="s">
        <v>251</v>
      </c>
      <c r="AT911" t="s">
        <v>252</v>
      </c>
      <c r="AU911" t="s">
        <v>253</v>
      </c>
      <c r="AV911" t="s">
        <v>254</v>
      </c>
      <c r="AW911" t="s">
        <v>127</v>
      </c>
      <c r="AX911" s="8" t="str">
        <f>"78550"</f>
        <v>78550</v>
      </c>
      <c r="AY911" t="s">
        <v>118</v>
      </c>
      <c r="AZ911" t="s">
        <v>255</v>
      </c>
      <c r="BA911" s="10">
        <v>19564408720</v>
      </c>
      <c r="BB911" s="3" t="s">
        <v>256</v>
      </c>
      <c r="BC911" t="s">
        <v>257</v>
      </c>
      <c r="BD911" t="s">
        <v>258</v>
      </c>
      <c r="BG911" t="s">
        <v>558</v>
      </c>
      <c r="BH911" s="1">
        <v>45205.833333333336</v>
      </c>
      <c r="BI911">
        <v>40</v>
      </c>
      <c r="BJ911">
        <v>8</v>
      </c>
      <c r="BK911">
        <v>0</v>
      </c>
      <c r="BL911">
        <v>0</v>
      </c>
      <c r="BM911">
        <v>8</v>
      </c>
      <c r="BN911">
        <v>8</v>
      </c>
      <c r="BO911">
        <v>8</v>
      </c>
      <c r="BP911">
        <v>8</v>
      </c>
      <c r="BQ911" t="str">
        <f>"1:00 PM"</f>
        <v>1:00 PM</v>
      </c>
      <c r="BR911" t="str">
        <f>"10:00 PM"</f>
        <v>10:00 PM</v>
      </c>
      <c r="BS911" t="s">
        <v>131</v>
      </c>
      <c r="BT911">
        <v>0</v>
      </c>
      <c r="BU911">
        <v>0</v>
      </c>
      <c r="BV911" t="s">
        <v>114</v>
      </c>
      <c r="BX911" s="2" t="s">
        <v>259</v>
      </c>
      <c r="BY911" t="s">
        <v>14541</v>
      </c>
      <c r="CA911" t="s">
        <v>1658</v>
      </c>
      <c r="CB911" t="s">
        <v>558</v>
      </c>
      <c r="CC911" s="8" t="str">
        <f>"85260"</f>
        <v>85260</v>
      </c>
      <c r="CD911" t="s">
        <v>1391</v>
      </c>
      <c r="CE911" t="s">
        <v>565</v>
      </c>
      <c r="CF911" s="12">
        <v>11.5</v>
      </c>
      <c r="CG911" s="12">
        <v>18.38</v>
      </c>
      <c r="CJ911" t="s">
        <v>135</v>
      </c>
      <c r="CK911" t="s">
        <v>264</v>
      </c>
      <c r="CL911" t="s">
        <v>14542</v>
      </c>
      <c r="CO911" t="s">
        <v>132</v>
      </c>
      <c r="CP911" t="s">
        <v>136</v>
      </c>
      <c r="CQ911" t="s">
        <v>136</v>
      </c>
      <c r="CR911" t="s">
        <v>114</v>
      </c>
      <c r="CS911" t="s">
        <v>136</v>
      </c>
      <c r="CT911" t="s">
        <v>136</v>
      </c>
      <c r="CU911" t="s">
        <v>136</v>
      </c>
      <c r="CV911" t="s">
        <v>2258</v>
      </c>
      <c r="CW911" s="10" t="str">
        <f>"+19415180859"</f>
        <v>+19415180859</v>
      </c>
      <c r="CX911" t="s">
        <v>14543</v>
      </c>
      <c r="CY911" t="s">
        <v>132</v>
      </c>
      <c r="CZ911" t="s">
        <v>137</v>
      </c>
      <c r="DA911" t="s">
        <v>114</v>
      </c>
      <c r="DB911" t="s">
        <v>136</v>
      </c>
      <c r="DC911" t="s">
        <v>136</v>
      </c>
      <c r="DD911" t="s">
        <v>114</v>
      </c>
    </row>
    <row r="912" spans="1:113" ht="15" customHeight="1" x14ac:dyDescent="0.25">
      <c r="A912" t="s">
        <v>6648</v>
      </c>
      <c r="B912" t="s">
        <v>152</v>
      </c>
      <c r="C912" s="1">
        <v>45205.904186342595</v>
      </c>
      <c r="D912" s="1">
        <v>45245</v>
      </c>
      <c r="E912" t="s">
        <v>132</v>
      </c>
      <c r="F912" t="s">
        <v>1247</v>
      </c>
      <c r="G912" t="str">
        <f>"45-4011.00"</f>
        <v>45-4011.00</v>
      </c>
      <c r="H912" t="s">
        <v>842</v>
      </c>
      <c r="I912">
        <v>200</v>
      </c>
      <c r="J912">
        <v>200</v>
      </c>
      <c r="K912" s="1">
        <v>45295</v>
      </c>
      <c r="L912" s="1">
        <v>45591</v>
      </c>
      <c r="M912" s="1">
        <v>45295</v>
      </c>
      <c r="N912" s="1">
        <v>45591</v>
      </c>
      <c r="O912" t="s">
        <v>116</v>
      </c>
      <c r="P912" t="s">
        <v>6649</v>
      </c>
      <c r="R912" t="s">
        <v>6650</v>
      </c>
      <c r="T912" t="s">
        <v>2906</v>
      </c>
      <c r="U912" t="s">
        <v>479</v>
      </c>
      <c r="V912" s="8" t="str">
        <f>"97501"</f>
        <v>97501</v>
      </c>
      <c r="W912" t="s">
        <v>118</v>
      </c>
      <c r="Y912" s="10">
        <v>15418571106</v>
      </c>
      <c r="AA912">
        <v>115310</v>
      </c>
      <c r="AB912" t="s">
        <v>846</v>
      </c>
      <c r="AC912" t="s">
        <v>6651</v>
      </c>
      <c r="AD912" t="s">
        <v>132</v>
      </c>
      <c r="AE912" t="s">
        <v>629</v>
      </c>
      <c r="AF912" t="s">
        <v>6650</v>
      </c>
      <c r="AH912" t="s">
        <v>2906</v>
      </c>
      <c r="AI912" t="s">
        <v>479</v>
      </c>
      <c r="AJ912" s="8" t="str">
        <f>"97501"</f>
        <v>97501</v>
      </c>
      <c r="AK912" t="s">
        <v>118</v>
      </c>
      <c r="AM912" s="10">
        <v>15418571106</v>
      </c>
      <c r="AO912" t="s">
        <v>6652</v>
      </c>
      <c r="AP912" t="s">
        <v>248</v>
      </c>
      <c r="AQ912" t="s">
        <v>1030</v>
      </c>
      <c r="AR912" t="s">
        <v>1031</v>
      </c>
      <c r="AS912" t="s">
        <v>132</v>
      </c>
      <c r="AT912" t="s">
        <v>1253</v>
      </c>
      <c r="AU912" t="s">
        <v>852</v>
      </c>
      <c r="AV912" t="s">
        <v>853</v>
      </c>
      <c r="AW912" t="s">
        <v>854</v>
      </c>
      <c r="AX912" s="8" t="str">
        <f>"83814"</f>
        <v>83814</v>
      </c>
      <c r="AY912" t="s">
        <v>118</v>
      </c>
      <c r="BA912" s="10">
        <v>12087772654</v>
      </c>
      <c r="BC912" t="s">
        <v>2080</v>
      </c>
      <c r="BD912" t="s">
        <v>856</v>
      </c>
      <c r="BG912" t="s">
        <v>479</v>
      </c>
      <c r="BH912" s="1">
        <v>45200.833333333336</v>
      </c>
      <c r="BI912">
        <v>40</v>
      </c>
      <c r="BJ912">
        <v>0</v>
      </c>
      <c r="BK912">
        <v>8</v>
      </c>
      <c r="BL912">
        <v>8</v>
      </c>
      <c r="BM912">
        <v>8</v>
      </c>
      <c r="BN912">
        <v>8</v>
      </c>
      <c r="BO912">
        <v>8</v>
      </c>
      <c r="BP912">
        <v>0</v>
      </c>
      <c r="BQ912" t="str">
        <f>"6:00 AM"</f>
        <v>6:00 AM</v>
      </c>
      <c r="BR912" t="str">
        <f>"3:00 PM"</f>
        <v>3:00 PM</v>
      </c>
      <c r="BS912" t="s">
        <v>131</v>
      </c>
      <c r="BT912">
        <v>0</v>
      </c>
      <c r="BU912">
        <v>3</v>
      </c>
      <c r="BV912" t="s">
        <v>114</v>
      </c>
      <c r="BX912" t="s">
        <v>6653</v>
      </c>
      <c r="BY912" t="s">
        <v>6654</v>
      </c>
      <c r="CA912" t="s">
        <v>2906</v>
      </c>
      <c r="CB912" t="s">
        <v>479</v>
      </c>
      <c r="CC912" s="8" t="str">
        <f>"97501"</f>
        <v>97501</v>
      </c>
      <c r="CD912" t="s">
        <v>859</v>
      </c>
      <c r="CE912" t="s">
        <v>860</v>
      </c>
      <c r="CF912" s="12">
        <v>15.47</v>
      </c>
      <c r="CG912" s="12">
        <v>34.5</v>
      </c>
      <c r="CH912" s="12">
        <v>23.21</v>
      </c>
      <c r="CI912" s="12">
        <v>51.75</v>
      </c>
      <c r="CJ912" t="s">
        <v>135</v>
      </c>
      <c r="CK912" t="s">
        <v>861</v>
      </c>
      <c r="CL912" t="s">
        <v>6655</v>
      </c>
      <c r="CO912" t="s">
        <v>132</v>
      </c>
      <c r="CP912" t="s">
        <v>136</v>
      </c>
      <c r="CQ912" t="s">
        <v>136</v>
      </c>
      <c r="CR912" t="s">
        <v>136</v>
      </c>
      <c r="CS912" t="s">
        <v>114</v>
      </c>
      <c r="CT912" t="s">
        <v>136</v>
      </c>
      <c r="CU912" t="s">
        <v>136</v>
      </c>
      <c r="CV912" t="s">
        <v>1040</v>
      </c>
      <c r="CW912" s="10" t="str">
        <f>"+15418571106"</f>
        <v>+15418571106</v>
      </c>
      <c r="CX912" t="s">
        <v>6652</v>
      </c>
      <c r="CY912" t="s">
        <v>132</v>
      </c>
      <c r="CZ912" t="s">
        <v>137</v>
      </c>
      <c r="DA912" t="s">
        <v>114</v>
      </c>
      <c r="DB912" t="s">
        <v>114</v>
      </c>
      <c r="DC912" t="s">
        <v>136</v>
      </c>
      <c r="DD912" t="s">
        <v>114</v>
      </c>
    </row>
    <row r="913" spans="1:113" ht="15" customHeight="1" x14ac:dyDescent="0.25">
      <c r="A913" t="s">
        <v>17391</v>
      </c>
      <c r="B913" t="s">
        <v>152</v>
      </c>
      <c r="C913" s="1">
        <v>45205.276868865738</v>
      </c>
      <c r="D913" s="1">
        <v>45245</v>
      </c>
      <c r="E913" t="s">
        <v>132</v>
      </c>
      <c r="F913" t="s">
        <v>3203</v>
      </c>
      <c r="G913" t="str">
        <f>"37-3013.00"</f>
        <v>37-3013.00</v>
      </c>
      <c r="H913" t="s">
        <v>666</v>
      </c>
      <c r="I913">
        <v>20</v>
      </c>
      <c r="J913">
        <v>20</v>
      </c>
      <c r="K913" s="1">
        <v>45295</v>
      </c>
      <c r="L913" s="1">
        <v>45600</v>
      </c>
      <c r="M913" s="1">
        <v>45295</v>
      </c>
      <c r="N913" s="1">
        <v>45600</v>
      </c>
      <c r="O913" t="s">
        <v>116</v>
      </c>
      <c r="P913" t="s">
        <v>9616</v>
      </c>
      <c r="R913" t="s">
        <v>668</v>
      </c>
      <c r="T913" t="s">
        <v>669</v>
      </c>
      <c r="U913" t="s">
        <v>127</v>
      </c>
      <c r="V913" s="8" t="str">
        <f>"77598"</f>
        <v>77598</v>
      </c>
      <c r="W913" t="s">
        <v>118</v>
      </c>
      <c r="Y913" s="10">
        <v>12812801100</v>
      </c>
      <c r="AA913">
        <v>56173</v>
      </c>
      <c r="AB913" t="s">
        <v>670</v>
      </c>
      <c r="AC913" t="s">
        <v>671</v>
      </c>
      <c r="AE913" t="s">
        <v>405</v>
      </c>
      <c r="AF913" t="s">
        <v>668</v>
      </c>
      <c r="AH913" t="s">
        <v>669</v>
      </c>
      <c r="AI913" t="s">
        <v>127</v>
      </c>
      <c r="AJ913" s="8" t="str">
        <f>"77598"</f>
        <v>77598</v>
      </c>
      <c r="AK913" t="s">
        <v>118</v>
      </c>
      <c r="AM913" s="10">
        <v>12812801100</v>
      </c>
      <c r="AO913" t="s">
        <v>672</v>
      </c>
      <c r="AP913" t="s">
        <v>248</v>
      </c>
      <c r="AQ913" t="s">
        <v>673</v>
      </c>
      <c r="AR913" t="s">
        <v>674</v>
      </c>
      <c r="AT913" t="s">
        <v>579</v>
      </c>
      <c r="AV913" t="s">
        <v>580</v>
      </c>
      <c r="AW913" t="s">
        <v>581</v>
      </c>
      <c r="AX913" s="8" t="str">
        <f>"22903"</f>
        <v>22903</v>
      </c>
      <c r="AY913" t="s">
        <v>118</v>
      </c>
      <c r="BA913" s="10">
        <v>14342634300</v>
      </c>
      <c r="BC913" t="s">
        <v>675</v>
      </c>
      <c r="BD913" t="s">
        <v>583</v>
      </c>
      <c r="BG913" t="s">
        <v>2740</v>
      </c>
      <c r="BH913" s="1">
        <v>45204.833333333336</v>
      </c>
      <c r="BI913">
        <v>40</v>
      </c>
      <c r="BJ913">
        <v>0</v>
      </c>
      <c r="BK913">
        <v>8</v>
      </c>
      <c r="BL913">
        <v>8</v>
      </c>
      <c r="BM913">
        <v>8</v>
      </c>
      <c r="BN913">
        <v>8</v>
      </c>
      <c r="BO913">
        <v>8</v>
      </c>
      <c r="BP913">
        <v>0</v>
      </c>
      <c r="BQ913" t="str">
        <f>"7:00 AM"</f>
        <v>7:00 AM</v>
      </c>
      <c r="BR913" t="str">
        <f>"4:00 PM"</f>
        <v>4:00 PM</v>
      </c>
      <c r="BS913" t="s">
        <v>131</v>
      </c>
      <c r="BT913">
        <v>0</v>
      </c>
      <c r="BU913">
        <v>0</v>
      </c>
      <c r="BV913" t="s">
        <v>114</v>
      </c>
      <c r="BX913" s="2" t="s">
        <v>676</v>
      </c>
      <c r="BY913" t="s">
        <v>9617</v>
      </c>
      <c r="CA913" t="s">
        <v>9618</v>
      </c>
      <c r="CB913" t="s">
        <v>2740</v>
      </c>
      <c r="CC913" s="8" t="str">
        <f>"02886"</f>
        <v>02886</v>
      </c>
      <c r="CD913" t="s">
        <v>9619</v>
      </c>
      <c r="CE913" t="s">
        <v>5186</v>
      </c>
      <c r="CF913" s="12">
        <v>26.23</v>
      </c>
      <c r="CH913" s="12">
        <v>39.35</v>
      </c>
      <c r="CJ913" t="s">
        <v>135</v>
      </c>
      <c r="CK913" t="s">
        <v>590</v>
      </c>
      <c r="CL913" t="s">
        <v>17392</v>
      </c>
      <c r="CO913" t="s">
        <v>132</v>
      </c>
      <c r="CP913" t="s">
        <v>136</v>
      </c>
      <c r="CQ913" t="s">
        <v>114</v>
      </c>
      <c r="CR913" t="s">
        <v>136</v>
      </c>
      <c r="CS913" t="s">
        <v>136</v>
      </c>
      <c r="CT913" t="s">
        <v>136</v>
      </c>
      <c r="CU913" t="s">
        <v>136</v>
      </c>
      <c r="CV913" t="s">
        <v>681</v>
      </c>
      <c r="CW913" s="10" t="str">
        <f>"N/A"</f>
        <v>N/A</v>
      </c>
      <c r="CX913" t="s">
        <v>682</v>
      </c>
      <c r="CY913" t="s">
        <v>9620</v>
      </c>
      <c r="CZ913" t="s">
        <v>137</v>
      </c>
      <c r="DA913" t="s">
        <v>114</v>
      </c>
      <c r="DB913" t="s">
        <v>136</v>
      </c>
      <c r="DC913" t="s">
        <v>136</v>
      </c>
      <c r="DD913" t="s">
        <v>114</v>
      </c>
      <c r="DE913" t="s">
        <v>673</v>
      </c>
      <c r="DF913" t="s">
        <v>674</v>
      </c>
      <c r="DH913" t="s">
        <v>583</v>
      </c>
      <c r="DI913" t="s">
        <v>675</v>
      </c>
    </row>
    <row r="914" spans="1:113" ht="15" customHeight="1" x14ac:dyDescent="0.25">
      <c r="A914" t="s">
        <v>10232</v>
      </c>
      <c r="B914" t="s">
        <v>152</v>
      </c>
      <c r="C914" s="1">
        <v>45205.275979166669</v>
      </c>
      <c r="D914" s="1">
        <v>45245</v>
      </c>
      <c r="E914" t="s">
        <v>132</v>
      </c>
      <c r="F914" t="s">
        <v>665</v>
      </c>
      <c r="G914" t="str">
        <f>"37-3013.00"</f>
        <v>37-3013.00</v>
      </c>
      <c r="H914" t="s">
        <v>666</v>
      </c>
      <c r="I914">
        <v>50</v>
      </c>
      <c r="J914">
        <v>50</v>
      </c>
      <c r="K914" s="1">
        <v>45295</v>
      </c>
      <c r="L914" s="1">
        <v>45600</v>
      </c>
      <c r="M914" s="1">
        <v>45295</v>
      </c>
      <c r="N914" s="1">
        <v>45600</v>
      </c>
      <c r="O914" t="s">
        <v>116</v>
      </c>
      <c r="P914" t="s">
        <v>10233</v>
      </c>
      <c r="R914" t="s">
        <v>668</v>
      </c>
      <c r="T914" t="s">
        <v>669</v>
      </c>
      <c r="U914" t="s">
        <v>127</v>
      </c>
      <c r="V914" s="8" t="str">
        <f>"77598"</f>
        <v>77598</v>
      </c>
      <c r="W914" t="s">
        <v>118</v>
      </c>
      <c r="Y914" s="10">
        <v>12812801100</v>
      </c>
      <c r="AA914">
        <v>56173</v>
      </c>
      <c r="AB914" t="s">
        <v>670</v>
      </c>
      <c r="AC914" t="s">
        <v>671</v>
      </c>
      <c r="AE914" t="s">
        <v>405</v>
      </c>
      <c r="AF914" t="s">
        <v>668</v>
      </c>
      <c r="AH914" t="s">
        <v>669</v>
      </c>
      <c r="AI914" t="s">
        <v>127</v>
      </c>
      <c r="AJ914" s="8" t="str">
        <f>"77598"</f>
        <v>77598</v>
      </c>
      <c r="AK914" t="s">
        <v>118</v>
      </c>
      <c r="AM914" s="10">
        <v>12812801100</v>
      </c>
      <c r="AO914" t="s">
        <v>672</v>
      </c>
      <c r="AP914" t="s">
        <v>248</v>
      </c>
      <c r="AQ914" t="s">
        <v>673</v>
      </c>
      <c r="AR914" t="s">
        <v>674</v>
      </c>
      <c r="AT914" t="s">
        <v>579</v>
      </c>
      <c r="AV914" t="s">
        <v>580</v>
      </c>
      <c r="AW914" t="s">
        <v>581</v>
      </c>
      <c r="AX914" s="8" t="str">
        <f>"22903"</f>
        <v>22903</v>
      </c>
      <c r="AY914" t="s">
        <v>118</v>
      </c>
      <c r="BA914" s="10">
        <v>14342634300</v>
      </c>
      <c r="BC914" t="s">
        <v>675</v>
      </c>
      <c r="BD914" t="s">
        <v>583</v>
      </c>
      <c r="BG914" t="s">
        <v>819</v>
      </c>
      <c r="BH914" s="1">
        <v>45204.833333333336</v>
      </c>
      <c r="BI914">
        <v>40</v>
      </c>
      <c r="BJ914">
        <v>0</v>
      </c>
      <c r="BK914">
        <v>8</v>
      </c>
      <c r="BL914">
        <v>8</v>
      </c>
      <c r="BM914">
        <v>8</v>
      </c>
      <c r="BN914">
        <v>8</v>
      </c>
      <c r="BO914">
        <v>8</v>
      </c>
      <c r="BP914">
        <v>0</v>
      </c>
      <c r="BQ914" t="str">
        <f>"7:00 AM"</f>
        <v>7:00 AM</v>
      </c>
      <c r="BR914" t="str">
        <f>"4:00 PM"</f>
        <v>4:00 PM</v>
      </c>
      <c r="BS914" t="s">
        <v>131</v>
      </c>
      <c r="BT914">
        <v>0</v>
      </c>
      <c r="BU914">
        <v>0</v>
      </c>
      <c r="BV914" t="s">
        <v>114</v>
      </c>
      <c r="BX914" s="2" t="s">
        <v>676</v>
      </c>
      <c r="BY914" t="s">
        <v>10234</v>
      </c>
      <c r="CA914" t="s">
        <v>10158</v>
      </c>
      <c r="CB914" t="s">
        <v>819</v>
      </c>
      <c r="CC914" s="8" t="str">
        <f>"46176"</f>
        <v>46176</v>
      </c>
      <c r="CD914" t="s">
        <v>1054</v>
      </c>
      <c r="CE914" t="s">
        <v>2111</v>
      </c>
      <c r="CF914" s="12">
        <v>26.65</v>
      </c>
      <c r="CH914" s="12">
        <v>39.979999999999997</v>
      </c>
      <c r="CJ914" t="s">
        <v>135</v>
      </c>
      <c r="CK914" t="s">
        <v>590</v>
      </c>
      <c r="CL914" t="s">
        <v>10235</v>
      </c>
      <c r="CO914" t="s">
        <v>132</v>
      </c>
      <c r="CP914" t="s">
        <v>136</v>
      </c>
      <c r="CQ914" t="s">
        <v>114</v>
      </c>
      <c r="CR914" t="s">
        <v>136</v>
      </c>
      <c r="CS914" t="s">
        <v>136</v>
      </c>
      <c r="CT914" t="s">
        <v>136</v>
      </c>
      <c r="CU914" t="s">
        <v>136</v>
      </c>
      <c r="CV914" t="s">
        <v>681</v>
      </c>
      <c r="CW914" s="10" t="str">
        <f>"N/A"</f>
        <v>N/A</v>
      </c>
      <c r="CX914" t="s">
        <v>682</v>
      </c>
      <c r="CY914" t="s">
        <v>10236</v>
      </c>
      <c r="CZ914" t="s">
        <v>137</v>
      </c>
      <c r="DA914" t="s">
        <v>114</v>
      </c>
      <c r="DB914" t="s">
        <v>136</v>
      </c>
      <c r="DC914" t="s">
        <v>136</v>
      </c>
      <c r="DD914" t="s">
        <v>114</v>
      </c>
      <c r="DE914" t="s">
        <v>673</v>
      </c>
      <c r="DF914" t="s">
        <v>674</v>
      </c>
      <c r="DH914" t="s">
        <v>583</v>
      </c>
      <c r="DI914" t="s">
        <v>675</v>
      </c>
    </row>
    <row r="915" spans="1:113" ht="15" customHeight="1" x14ac:dyDescent="0.25">
      <c r="A915" t="s">
        <v>4728</v>
      </c>
      <c r="B915" t="s">
        <v>152</v>
      </c>
      <c r="C915" s="1">
        <v>45205.273656712961</v>
      </c>
      <c r="D915" s="1">
        <v>45245</v>
      </c>
      <c r="E915" t="s">
        <v>132</v>
      </c>
      <c r="F915" t="s">
        <v>665</v>
      </c>
      <c r="G915" t="str">
        <f>"37-3013.00"</f>
        <v>37-3013.00</v>
      </c>
      <c r="H915" t="s">
        <v>666</v>
      </c>
      <c r="I915">
        <v>20</v>
      </c>
      <c r="J915">
        <v>20</v>
      </c>
      <c r="K915" s="1">
        <v>45295</v>
      </c>
      <c r="L915" s="1">
        <v>45600</v>
      </c>
      <c r="M915" s="1">
        <v>45295</v>
      </c>
      <c r="N915" s="1">
        <v>45600</v>
      </c>
      <c r="O915" t="s">
        <v>116</v>
      </c>
      <c r="P915" t="s">
        <v>4729</v>
      </c>
      <c r="R915" t="s">
        <v>668</v>
      </c>
      <c r="T915" t="s">
        <v>669</v>
      </c>
      <c r="U915" t="s">
        <v>127</v>
      </c>
      <c r="V915" s="8" t="str">
        <f>"77598"</f>
        <v>77598</v>
      </c>
      <c r="W915" t="s">
        <v>118</v>
      </c>
      <c r="Y915" s="10">
        <v>12812801100</v>
      </c>
      <c r="AA915">
        <v>56173</v>
      </c>
      <c r="AB915" t="s">
        <v>670</v>
      </c>
      <c r="AC915" t="s">
        <v>671</v>
      </c>
      <c r="AE915" t="s">
        <v>405</v>
      </c>
      <c r="AF915" t="s">
        <v>668</v>
      </c>
      <c r="AH915" t="s">
        <v>669</v>
      </c>
      <c r="AI915" t="s">
        <v>127</v>
      </c>
      <c r="AJ915" s="8" t="str">
        <f>"77598"</f>
        <v>77598</v>
      </c>
      <c r="AK915" t="s">
        <v>118</v>
      </c>
      <c r="AM915" s="10">
        <v>12812801100</v>
      </c>
      <c r="AO915" t="s">
        <v>672</v>
      </c>
      <c r="AP915" t="s">
        <v>248</v>
      </c>
      <c r="AQ915" t="s">
        <v>673</v>
      </c>
      <c r="AR915" t="s">
        <v>674</v>
      </c>
      <c r="AT915" t="s">
        <v>579</v>
      </c>
      <c r="AV915" t="s">
        <v>580</v>
      </c>
      <c r="AW915" t="s">
        <v>581</v>
      </c>
      <c r="AX915" s="8" t="str">
        <f>"22903"</f>
        <v>22903</v>
      </c>
      <c r="AY915" t="s">
        <v>118</v>
      </c>
      <c r="BA915" s="10">
        <v>14342634300</v>
      </c>
      <c r="BC915" t="s">
        <v>675</v>
      </c>
      <c r="BD915" t="s">
        <v>583</v>
      </c>
      <c r="BG915" t="s">
        <v>581</v>
      </c>
      <c r="BH915" s="1">
        <v>45204.833333333336</v>
      </c>
      <c r="BI915">
        <v>40</v>
      </c>
      <c r="BJ915">
        <v>0</v>
      </c>
      <c r="BK915">
        <v>8</v>
      </c>
      <c r="BL915">
        <v>8</v>
      </c>
      <c r="BM915">
        <v>8</v>
      </c>
      <c r="BN915">
        <v>8</v>
      </c>
      <c r="BO915">
        <v>8</v>
      </c>
      <c r="BP915">
        <v>0</v>
      </c>
      <c r="BQ915" t="str">
        <f>"7:00 AM"</f>
        <v>7:00 AM</v>
      </c>
      <c r="BR915" t="str">
        <f>"4:00 PM"</f>
        <v>4:00 PM</v>
      </c>
      <c r="BS915" t="s">
        <v>131</v>
      </c>
      <c r="BT915">
        <v>0</v>
      </c>
      <c r="BU915">
        <v>0</v>
      </c>
      <c r="BV915" t="s">
        <v>114</v>
      </c>
      <c r="BX915" s="2" t="s">
        <v>676</v>
      </c>
      <c r="BY915" t="s">
        <v>4730</v>
      </c>
      <c r="CA915" t="s">
        <v>4731</v>
      </c>
      <c r="CB915" t="s">
        <v>581</v>
      </c>
      <c r="CC915" s="8" t="str">
        <f>"22079"</f>
        <v>22079</v>
      </c>
      <c r="CD915" t="s">
        <v>2457</v>
      </c>
      <c r="CE915" t="s">
        <v>1794</v>
      </c>
      <c r="CF915" s="12">
        <v>24.23</v>
      </c>
      <c r="CH915" s="12">
        <v>36.35</v>
      </c>
      <c r="CJ915" t="s">
        <v>135</v>
      </c>
      <c r="CK915" t="s">
        <v>590</v>
      </c>
      <c r="CL915" t="s">
        <v>4732</v>
      </c>
      <c r="CO915" t="s">
        <v>132</v>
      </c>
      <c r="CP915" t="s">
        <v>136</v>
      </c>
      <c r="CQ915" t="s">
        <v>114</v>
      </c>
      <c r="CR915" t="s">
        <v>136</v>
      </c>
      <c r="CS915" t="s">
        <v>136</v>
      </c>
      <c r="CT915" t="s">
        <v>136</v>
      </c>
      <c r="CU915" t="s">
        <v>136</v>
      </c>
      <c r="CV915" t="s">
        <v>681</v>
      </c>
      <c r="CW915" s="10" t="str">
        <f>"N/A"</f>
        <v>N/A</v>
      </c>
      <c r="CX915" t="s">
        <v>682</v>
      </c>
      <c r="CY915" t="s">
        <v>3471</v>
      </c>
      <c r="CZ915" t="s">
        <v>137</v>
      </c>
      <c r="DA915" t="s">
        <v>114</v>
      </c>
      <c r="DB915" t="s">
        <v>136</v>
      </c>
      <c r="DC915" t="s">
        <v>136</v>
      </c>
      <c r="DD915" t="s">
        <v>114</v>
      </c>
      <c r="DE915" t="s">
        <v>673</v>
      </c>
      <c r="DF915" t="s">
        <v>674</v>
      </c>
      <c r="DH915" t="s">
        <v>583</v>
      </c>
      <c r="DI915" t="s">
        <v>675</v>
      </c>
    </row>
    <row r="916" spans="1:113" ht="15" customHeight="1" x14ac:dyDescent="0.25">
      <c r="A916" t="s">
        <v>9056</v>
      </c>
      <c r="B916" t="s">
        <v>152</v>
      </c>
      <c r="C916" s="1">
        <v>45205.27024351852</v>
      </c>
      <c r="D916" s="1">
        <v>45245</v>
      </c>
      <c r="E916" t="s">
        <v>132</v>
      </c>
      <c r="F916" t="s">
        <v>9057</v>
      </c>
      <c r="G916" t="str">
        <f>"37-3011.00"</f>
        <v>37-3011.00</v>
      </c>
      <c r="H916" t="s">
        <v>429</v>
      </c>
      <c r="I916">
        <v>20</v>
      </c>
      <c r="J916">
        <v>20</v>
      </c>
      <c r="K916" s="1">
        <v>45295</v>
      </c>
      <c r="L916" s="1">
        <v>45600</v>
      </c>
      <c r="M916" s="1">
        <v>45295</v>
      </c>
      <c r="N916" s="1">
        <v>45600</v>
      </c>
      <c r="O916" t="s">
        <v>116</v>
      </c>
      <c r="P916" t="s">
        <v>3718</v>
      </c>
      <c r="R916" t="s">
        <v>668</v>
      </c>
      <c r="T916" t="s">
        <v>669</v>
      </c>
      <c r="U916" t="s">
        <v>127</v>
      </c>
      <c r="V916" s="8" t="str">
        <f>"77598"</f>
        <v>77598</v>
      </c>
      <c r="W916" t="s">
        <v>118</v>
      </c>
      <c r="Y916" s="10">
        <v>12812801100</v>
      </c>
      <c r="AA916">
        <v>56173</v>
      </c>
      <c r="AB916" t="s">
        <v>670</v>
      </c>
      <c r="AC916" t="s">
        <v>671</v>
      </c>
      <c r="AE916" t="s">
        <v>405</v>
      </c>
      <c r="AF916" t="s">
        <v>668</v>
      </c>
      <c r="AH916" t="s">
        <v>669</v>
      </c>
      <c r="AI916" t="s">
        <v>127</v>
      </c>
      <c r="AJ916" s="8" t="str">
        <f>"77598"</f>
        <v>77598</v>
      </c>
      <c r="AK916" t="s">
        <v>118</v>
      </c>
      <c r="AM916" s="10">
        <v>12812801100</v>
      </c>
      <c r="AO916" t="s">
        <v>672</v>
      </c>
      <c r="AP916" t="s">
        <v>248</v>
      </c>
      <c r="AQ916" t="s">
        <v>673</v>
      </c>
      <c r="AR916" t="s">
        <v>674</v>
      </c>
      <c r="AT916" t="s">
        <v>579</v>
      </c>
      <c r="AV916" t="s">
        <v>580</v>
      </c>
      <c r="AW916" t="s">
        <v>581</v>
      </c>
      <c r="AX916" s="8" t="str">
        <f>"22903"</f>
        <v>22903</v>
      </c>
      <c r="AY916" t="s">
        <v>118</v>
      </c>
      <c r="BA916" s="10">
        <v>14342634300</v>
      </c>
      <c r="BC916" t="s">
        <v>675</v>
      </c>
      <c r="BD916" t="s">
        <v>583</v>
      </c>
      <c r="BG916" t="s">
        <v>1154</v>
      </c>
      <c r="BH916" s="1">
        <v>45204.833333333336</v>
      </c>
      <c r="BI916">
        <v>40</v>
      </c>
      <c r="BJ916">
        <v>0</v>
      </c>
      <c r="BK916">
        <v>8</v>
      </c>
      <c r="BL916">
        <v>8</v>
      </c>
      <c r="BM916">
        <v>8</v>
      </c>
      <c r="BN916">
        <v>8</v>
      </c>
      <c r="BO916">
        <v>8</v>
      </c>
      <c r="BP916">
        <v>0</v>
      </c>
      <c r="BQ916" t="str">
        <f>"7:00 AM"</f>
        <v>7:00 AM</v>
      </c>
      <c r="BR916" t="str">
        <f>"4:00 PM"</f>
        <v>4:00 PM</v>
      </c>
      <c r="BS916" t="s">
        <v>131</v>
      </c>
      <c r="BT916">
        <v>0</v>
      </c>
      <c r="BU916">
        <v>0</v>
      </c>
      <c r="BV916" t="s">
        <v>114</v>
      </c>
      <c r="BX916" s="2" t="s">
        <v>676</v>
      </c>
      <c r="BY916" t="s">
        <v>9058</v>
      </c>
      <c r="CA916" t="s">
        <v>2087</v>
      </c>
      <c r="CB916" t="s">
        <v>1154</v>
      </c>
      <c r="CC916" s="8" t="str">
        <f>"38701"</f>
        <v>38701</v>
      </c>
      <c r="CD916" t="s">
        <v>806</v>
      </c>
      <c r="CE916" t="s">
        <v>3719</v>
      </c>
      <c r="CF916" s="12">
        <v>13.14</v>
      </c>
      <c r="CH916" s="12">
        <v>19.71</v>
      </c>
      <c r="CJ916" t="s">
        <v>135</v>
      </c>
      <c r="CK916" t="s">
        <v>590</v>
      </c>
      <c r="CL916" t="s">
        <v>9059</v>
      </c>
      <c r="CO916" t="s">
        <v>132</v>
      </c>
      <c r="CP916" t="s">
        <v>136</v>
      </c>
      <c r="CQ916" t="s">
        <v>114</v>
      </c>
      <c r="CR916" t="s">
        <v>136</v>
      </c>
      <c r="CS916" t="s">
        <v>136</v>
      </c>
      <c r="CT916" t="s">
        <v>136</v>
      </c>
      <c r="CU916" t="s">
        <v>136</v>
      </c>
      <c r="CV916" t="s">
        <v>681</v>
      </c>
      <c r="CW916" s="10" t="str">
        <f>"N/A"</f>
        <v>N/A</v>
      </c>
      <c r="CX916" t="s">
        <v>682</v>
      </c>
      <c r="CY916" t="s">
        <v>2678</v>
      </c>
      <c r="CZ916" t="s">
        <v>137</v>
      </c>
      <c r="DA916" t="s">
        <v>114</v>
      </c>
      <c r="DB916" t="s">
        <v>136</v>
      </c>
      <c r="DC916" t="s">
        <v>136</v>
      </c>
      <c r="DD916" t="s">
        <v>114</v>
      </c>
      <c r="DE916" t="s">
        <v>673</v>
      </c>
      <c r="DF916" t="s">
        <v>674</v>
      </c>
      <c r="DH916" t="s">
        <v>583</v>
      </c>
      <c r="DI916" t="s">
        <v>675</v>
      </c>
    </row>
    <row r="917" spans="1:113" ht="15" customHeight="1" x14ac:dyDescent="0.25">
      <c r="A917" t="s">
        <v>17063</v>
      </c>
      <c r="B917" t="s">
        <v>152</v>
      </c>
      <c r="C917" s="1">
        <v>45205.269758101851</v>
      </c>
      <c r="D917" s="1">
        <v>45245</v>
      </c>
      <c r="E917" t="s">
        <v>132</v>
      </c>
      <c r="F917" t="s">
        <v>665</v>
      </c>
      <c r="G917" t="str">
        <f>"37-3013.00"</f>
        <v>37-3013.00</v>
      </c>
      <c r="H917" t="s">
        <v>666</v>
      </c>
      <c r="I917">
        <v>40</v>
      </c>
      <c r="J917">
        <v>40</v>
      </c>
      <c r="K917" s="1">
        <v>45295</v>
      </c>
      <c r="L917" s="1">
        <v>45600</v>
      </c>
      <c r="M917" s="1">
        <v>45295</v>
      </c>
      <c r="N917" s="1">
        <v>45600</v>
      </c>
      <c r="O917" t="s">
        <v>116</v>
      </c>
      <c r="P917" t="s">
        <v>8216</v>
      </c>
      <c r="R917" t="s">
        <v>668</v>
      </c>
      <c r="T917" t="s">
        <v>669</v>
      </c>
      <c r="U917" t="s">
        <v>127</v>
      </c>
      <c r="V917" s="8" t="str">
        <f>"77598"</f>
        <v>77598</v>
      </c>
      <c r="W917" t="s">
        <v>118</v>
      </c>
      <c r="Y917" s="10">
        <v>12812801100</v>
      </c>
      <c r="AA917">
        <v>56173</v>
      </c>
      <c r="AB917" t="s">
        <v>670</v>
      </c>
      <c r="AC917" t="s">
        <v>671</v>
      </c>
      <c r="AE917" t="s">
        <v>405</v>
      </c>
      <c r="AF917" t="s">
        <v>668</v>
      </c>
      <c r="AH917" t="s">
        <v>669</v>
      </c>
      <c r="AI917" t="s">
        <v>127</v>
      </c>
      <c r="AJ917" s="8" t="str">
        <f>"77598"</f>
        <v>77598</v>
      </c>
      <c r="AK917" t="s">
        <v>118</v>
      </c>
      <c r="AM917" s="10">
        <v>12812801100</v>
      </c>
      <c r="AO917" t="s">
        <v>672</v>
      </c>
      <c r="AP917" t="s">
        <v>248</v>
      </c>
      <c r="AQ917" t="s">
        <v>673</v>
      </c>
      <c r="AR917" t="s">
        <v>674</v>
      </c>
      <c r="AT917" t="s">
        <v>579</v>
      </c>
      <c r="AV917" t="s">
        <v>580</v>
      </c>
      <c r="AW917" t="s">
        <v>581</v>
      </c>
      <c r="AX917" s="8" t="str">
        <f>"22903"</f>
        <v>22903</v>
      </c>
      <c r="AY917" t="s">
        <v>118</v>
      </c>
      <c r="BA917" s="10">
        <v>14342634300</v>
      </c>
      <c r="BC917" t="s">
        <v>675</v>
      </c>
      <c r="BD917" t="s">
        <v>583</v>
      </c>
      <c r="BG917" t="s">
        <v>140</v>
      </c>
      <c r="BH917" s="1">
        <v>45204.833333333336</v>
      </c>
      <c r="BI917">
        <v>40</v>
      </c>
      <c r="BJ917">
        <v>0</v>
      </c>
      <c r="BK917">
        <v>8</v>
      </c>
      <c r="BL917">
        <v>8</v>
      </c>
      <c r="BM917">
        <v>8</v>
      </c>
      <c r="BN917">
        <v>8</v>
      </c>
      <c r="BO917">
        <v>8</v>
      </c>
      <c r="BP917">
        <v>0</v>
      </c>
      <c r="BQ917" t="str">
        <f>"7:00 AM"</f>
        <v>7:00 AM</v>
      </c>
      <c r="BR917" t="str">
        <f>"4:00 PM"</f>
        <v>4:00 PM</v>
      </c>
      <c r="BS917" t="s">
        <v>131</v>
      </c>
      <c r="BT917">
        <v>0</v>
      </c>
      <c r="BU917">
        <v>0</v>
      </c>
      <c r="BV917" t="s">
        <v>114</v>
      </c>
      <c r="BX917" s="2" t="s">
        <v>676</v>
      </c>
      <c r="BY917" t="s">
        <v>8217</v>
      </c>
      <c r="CA917" t="s">
        <v>8218</v>
      </c>
      <c r="CB917" t="s">
        <v>140</v>
      </c>
      <c r="CC917" s="8" t="str">
        <f>"33903"</f>
        <v>33903</v>
      </c>
      <c r="CD917" t="s">
        <v>362</v>
      </c>
      <c r="CE917" t="s">
        <v>363</v>
      </c>
      <c r="CF917" s="12">
        <v>18.190000000000001</v>
      </c>
      <c r="CH917" s="12">
        <v>27.29</v>
      </c>
      <c r="CJ917" t="s">
        <v>135</v>
      </c>
      <c r="CK917" t="s">
        <v>590</v>
      </c>
      <c r="CL917" t="s">
        <v>17064</v>
      </c>
      <c r="CO917" t="s">
        <v>132</v>
      </c>
      <c r="CP917" t="s">
        <v>136</v>
      </c>
      <c r="CQ917" t="s">
        <v>114</v>
      </c>
      <c r="CR917" t="s">
        <v>136</v>
      </c>
      <c r="CS917" t="s">
        <v>136</v>
      </c>
      <c r="CT917" t="s">
        <v>136</v>
      </c>
      <c r="CU917" t="s">
        <v>136</v>
      </c>
      <c r="CV917" t="s">
        <v>681</v>
      </c>
      <c r="CW917" s="10" t="str">
        <f>"N/A"</f>
        <v>N/A</v>
      </c>
      <c r="CX917" t="s">
        <v>682</v>
      </c>
      <c r="CY917" t="s">
        <v>1876</v>
      </c>
      <c r="CZ917" t="s">
        <v>137</v>
      </c>
      <c r="DA917" t="s">
        <v>114</v>
      </c>
      <c r="DB917" t="s">
        <v>136</v>
      </c>
      <c r="DC917" t="s">
        <v>136</v>
      </c>
      <c r="DD917" t="s">
        <v>114</v>
      </c>
      <c r="DE917" t="s">
        <v>673</v>
      </c>
      <c r="DF917" t="s">
        <v>674</v>
      </c>
      <c r="DH917" t="s">
        <v>583</v>
      </c>
      <c r="DI917" t="s">
        <v>675</v>
      </c>
    </row>
    <row r="918" spans="1:113" ht="15" customHeight="1" x14ac:dyDescent="0.25">
      <c r="A918" t="s">
        <v>21688</v>
      </c>
      <c r="B918" t="s">
        <v>152</v>
      </c>
      <c r="C918" s="1">
        <v>45205.268754282406</v>
      </c>
      <c r="D918" s="1">
        <v>45245</v>
      </c>
      <c r="E918" t="s">
        <v>132</v>
      </c>
      <c r="F918" t="s">
        <v>665</v>
      </c>
      <c r="G918" t="str">
        <f>"37-3013.00"</f>
        <v>37-3013.00</v>
      </c>
      <c r="H918" t="s">
        <v>666</v>
      </c>
      <c r="I918">
        <v>6</v>
      </c>
      <c r="J918">
        <v>6</v>
      </c>
      <c r="K918" s="1">
        <v>45295</v>
      </c>
      <c r="L918" s="1">
        <v>45600</v>
      </c>
      <c r="M918" s="1">
        <v>45295</v>
      </c>
      <c r="N918" s="1">
        <v>45600</v>
      </c>
      <c r="O918" t="s">
        <v>116</v>
      </c>
      <c r="P918" t="s">
        <v>16234</v>
      </c>
      <c r="R918" t="s">
        <v>668</v>
      </c>
      <c r="T918" t="s">
        <v>669</v>
      </c>
      <c r="U918" t="s">
        <v>127</v>
      </c>
      <c r="V918" s="8" t="str">
        <f>"77598"</f>
        <v>77598</v>
      </c>
      <c r="W918" t="s">
        <v>118</v>
      </c>
      <c r="Y918" s="10">
        <v>12812801100</v>
      </c>
      <c r="AA918">
        <v>56173</v>
      </c>
      <c r="AB918" t="s">
        <v>670</v>
      </c>
      <c r="AC918" t="s">
        <v>671</v>
      </c>
      <c r="AE918" t="s">
        <v>405</v>
      </c>
      <c r="AF918" t="s">
        <v>668</v>
      </c>
      <c r="AH918" t="s">
        <v>669</v>
      </c>
      <c r="AI918" t="s">
        <v>127</v>
      </c>
      <c r="AJ918" s="8" t="str">
        <f>"77598"</f>
        <v>77598</v>
      </c>
      <c r="AK918" t="s">
        <v>118</v>
      </c>
      <c r="AM918" s="10">
        <v>12812801100</v>
      </c>
      <c r="AO918" t="s">
        <v>672</v>
      </c>
      <c r="AP918" t="s">
        <v>248</v>
      </c>
      <c r="AQ918" t="s">
        <v>673</v>
      </c>
      <c r="AR918" t="s">
        <v>674</v>
      </c>
      <c r="AT918" t="s">
        <v>579</v>
      </c>
      <c r="AV918" t="s">
        <v>580</v>
      </c>
      <c r="AW918" t="s">
        <v>581</v>
      </c>
      <c r="AX918" s="8" t="str">
        <f>"22903"</f>
        <v>22903</v>
      </c>
      <c r="AY918" t="s">
        <v>118</v>
      </c>
      <c r="BA918" s="10">
        <v>14342634300</v>
      </c>
      <c r="BC918" t="s">
        <v>675</v>
      </c>
      <c r="BD918" t="s">
        <v>583</v>
      </c>
      <c r="BG918" t="s">
        <v>127</v>
      </c>
      <c r="BH918" s="1">
        <v>45204.833333333336</v>
      </c>
      <c r="BI918">
        <v>40</v>
      </c>
      <c r="BJ918">
        <v>0</v>
      </c>
      <c r="BK918">
        <v>8</v>
      </c>
      <c r="BL918">
        <v>8</v>
      </c>
      <c r="BM918">
        <v>8</v>
      </c>
      <c r="BN918">
        <v>8</v>
      </c>
      <c r="BO918">
        <v>8</v>
      </c>
      <c r="BP918">
        <v>0</v>
      </c>
      <c r="BQ918" t="str">
        <f>"7:00 AM"</f>
        <v>7:00 AM</v>
      </c>
      <c r="BR918" t="str">
        <f>"4:00 PM"</f>
        <v>4:00 PM</v>
      </c>
      <c r="BS918" t="s">
        <v>131</v>
      </c>
      <c r="BT918">
        <v>0</v>
      </c>
      <c r="BU918">
        <v>0</v>
      </c>
      <c r="BV918" t="s">
        <v>114</v>
      </c>
      <c r="BX918" s="2" t="s">
        <v>12816</v>
      </c>
      <c r="BY918" t="s">
        <v>16235</v>
      </c>
      <c r="CA918" t="s">
        <v>2161</v>
      </c>
      <c r="CB918" t="s">
        <v>127</v>
      </c>
      <c r="CC918" s="8" t="str">
        <f>"78380"</f>
        <v>78380</v>
      </c>
      <c r="CD918" t="s">
        <v>2162</v>
      </c>
      <c r="CE918" t="s">
        <v>2163</v>
      </c>
      <c r="CF918" s="12">
        <v>17.02</v>
      </c>
      <c r="CH918" s="12">
        <v>25.53</v>
      </c>
      <c r="CJ918" t="s">
        <v>135</v>
      </c>
      <c r="CK918" t="s">
        <v>590</v>
      </c>
      <c r="CL918" t="s">
        <v>21689</v>
      </c>
      <c r="CO918" t="s">
        <v>132</v>
      </c>
      <c r="CP918" t="s">
        <v>136</v>
      </c>
      <c r="CQ918" t="s">
        <v>114</v>
      </c>
      <c r="CR918" t="s">
        <v>136</v>
      </c>
      <c r="CS918" t="s">
        <v>136</v>
      </c>
      <c r="CT918" t="s">
        <v>136</v>
      </c>
      <c r="CU918" t="s">
        <v>136</v>
      </c>
      <c r="CV918" t="s">
        <v>681</v>
      </c>
      <c r="CW918" s="10" t="str">
        <f>"N/A"</f>
        <v>N/A</v>
      </c>
      <c r="CX918" t="s">
        <v>682</v>
      </c>
      <c r="CY918" t="s">
        <v>1853</v>
      </c>
      <c r="CZ918" t="s">
        <v>137</v>
      </c>
      <c r="DA918" t="s">
        <v>114</v>
      </c>
      <c r="DB918" t="s">
        <v>136</v>
      </c>
      <c r="DC918" t="s">
        <v>136</v>
      </c>
      <c r="DD918" t="s">
        <v>114</v>
      </c>
      <c r="DE918" t="s">
        <v>673</v>
      </c>
      <c r="DF918" t="s">
        <v>674</v>
      </c>
      <c r="DH918" t="s">
        <v>583</v>
      </c>
      <c r="DI918" t="s">
        <v>675</v>
      </c>
    </row>
    <row r="919" spans="1:113" ht="15" customHeight="1" x14ac:dyDescent="0.25">
      <c r="A919" t="s">
        <v>18466</v>
      </c>
      <c r="B919" t="s">
        <v>152</v>
      </c>
      <c r="C919" s="1">
        <v>45205.267757175927</v>
      </c>
      <c r="D919" s="1">
        <v>45245</v>
      </c>
      <c r="E919" t="s">
        <v>132</v>
      </c>
      <c r="F919" t="s">
        <v>665</v>
      </c>
      <c r="G919" t="str">
        <f>"37-3013.00"</f>
        <v>37-3013.00</v>
      </c>
      <c r="H919" t="s">
        <v>666</v>
      </c>
      <c r="I919">
        <v>25</v>
      </c>
      <c r="J919">
        <v>25</v>
      </c>
      <c r="K919" s="1">
        <v>45295</v>
      </c>
      <c r="L919" s="1">
        <v>45600</v>
      </c>
      <c r="M919" s="1">
        <v>45295</v>
      </c>
      <c r="N919" s="1">
        <v>45600</v>
      </c>
      <c r="O919" t="s">
        <v>116</v>
      </c>
      <c r="P919" t="s">
        <v>12489</v>
      </c>
      <c r="R919" t="s">
        <v>668</v>
      </c>
      <c r="T919" t="s">
        <v>669</v>
      </c>
      <c r="U919" t="s">
        <v>127</v>
      </c>
      <c r="V919" s="8" t="str">
        <f>"77598"</f>
        <v>77598</v>
      </c>
      <c r="W919" t="s">
        <v>118</v>
      </c>
      <c r="Y919" s="10">
        <v>12812801100</v>
      </c>
      <c r="AA919">
        <v>56173</v>
      </c>
      <c r="AB919" t="s">
        <v>670</v>
      </c>
      <c r="AC919" t="s">
        <v>671</v>
      </c>
      <c r="AE919" t="s">
        <v>405</v>
      </c>
      <c r="AF919" t="s">
        <v>668</v>
      </c>
      <c r="AH919" t="s">
        <v>669</v>
      </c>
      <c r="AI919" t="s">
        <v>127</v>
      </c>
      <c r="AJ919" s="8" t="str">
        <f>"77598"</f>
        <v>77598</v>
      </c>
      <c r="AK919" t="s">
        <v>118</v>
      </c>
      <c r="AM919" s="10">
        <v>12812801100</v>
      </c>
      <c r="AO919" t="s">
        <v>672</v>
      </c>
      <c r="AP919" t="s">
        <v>248</v>
      </c>
      <c r="AQ919" t="s">
        <v>673</v>
      </c>
      <c r="AR919" t="s">
        <v>674</v>
      </c>
      <c r="AT919" t="s">
        <v>579</v>
      </c>
      <c r="AV919" t="s">
        <v>580</v>
      </c>
      <c r="AW919" t="s">
        <v>581</v>
      </c>
      <c r="AX919" s="8" t="str">
        <f>"22903"</f>
        <v>22903</v>
      </c>
      <c r="AY919" t="s">
        <v>118</v>
      </c>
      <c r="BA919" s="10">
        <v>14342634300</v>
      </c>
      <c r="BC919" t="s">
        <v>675</v>
      </c>
      <c r="BD919" t="s">
        <v>583</v>
      </c>
      <c r="BG919" t="s">
        <v>386</v>
      </c>
      <c r="BH919" s="1">
        <v>45204.833333333336</v>
      </c>
      <c r="BI919">
        <v>40</v>
      </c>
      <c r="BJ919">
        <v>0</v>
      </c>
      <c r="BK919">
        <v>8</v>
      </c>
      <c r="BL919">
        <v>8</v>
      </c>
      <c r="BM919">
        <v>8</v>
      </c>
      <c r="BN919">
        <v>8</v>
      </c>
      <c r="BO919">
        <v>8</v>
      </c>
      <c r="BP919">
        <v>0</v>
      </c>
      <c r="BQ919" t="str">
        <f>"7:00 AM"</f>
        <v>7:00 AM</v>
      </c>
      <c r="BR919" t="str">
        <f>"4:00 PM"</f>
        <v>4:00 PM</v>
      </c>
      <c r="BS919" t="s">
        <v>131</v>
      </c>
      <c r="BT919">
        <v>0</v>
      </c>
      <c r="BU919">
        <v>0</v>
      </c>
      <c r="BV919" t="s">
        <v>114</v>
      </c>
      <c r="BX919" s="2" t="s">
        <v>676</v>
      </c>
      <c r="BY919" t="s">
        <v>12490</v>
      </c>
      <c r="CA919" t="s">
        <v>2908</v>
      </c>
      <c r="CB919" t="s">
        <v>386</v>
      </c>
      <c r="CC919" s="8" t="str">
        <f>"37040"</f>
        <v>37040</v>
      </c>
      <c r="CD919" t="s">
        <v>878</v>
      </c>
      <c r="CE919" t="s">
        <v>2910</v>
      </c>
      <c r="CF919" s="12">
        <v>22.5</v>
      </c>
      <c r="CH919" s="12">
        <v>33.75</v>
      </c>
      <c r="CJ919" t="s">
        <v>135</v>
      </c>
      <c r="CK919" t="s">
        <v>590</v>
      </c>
      <c r="CL919" t="s">
        <v>18467</v>
      </c>
      <c r="CO919" t="s">
        <v>132</v>
      </c>
      <c r="CP919" t="s">
        <v>136</v>
      </c>
      <c r="CQ919" t="s">
        <v>114</v>
      </c>
      <c r="CR919" t="s">
        <v>136</v>
      </c>
      <c r="CS919" t="s">
        <v>136</v>
      </c>
      <c r="CT919" t="s">
        <v>136</v>
      </c>
      <c r="CU919" t="s">
        <v>136</v>
      </c>
      <c r="CV919" t="s">
        <v>681</v>
      </c>
      <c r="CW919" s="10" t="str">
        <f>"N/A"</f>
        <v>N/A</v>
      </c>
      <c r="CX919" t="s">
        <v>682</v>
      </c>
      <c r="CY919" t="s">
        <v>2911</v>
      </c>
      <c r="CZ919" t="s">
        <v>137</v>
      </c>
      <c r="DA919" t="s">
        <v>114</v>
      </c>
      <c r="DB919" t="s">
        <v>136</v>
      </c>
      <c r="DC919" t="s">
        <v>136</v>
      </c>
      <c r="DD919" t="s">
        <v>114</v>
      </c>
      <c r="DE919" t="s">
        <v>673</v>
      </c>
      <c r="DF919" t="s">
        <v>674</v>
      </c>
      <c r="DH919" t="s">
        <v>583</v>
      </c>
      <c r="DI919" t="s">
        <v>675</v>
      </c>
    </row>
    <row r="920" spans="1:113" ht="15" customHeight="1" x14ac:dyDescent="0.25">
      <c r="A920" t="s">
        <v>4380</v>
      </c>
      <c r="B920" t="s">
        <v>152</v>
      </c>
      <c r="C920" s="1">
        <v>45203.372546874998</v>
      </c>
      <c r="D920" s="1">
        <v>45245</v>
      </c>
      <c r="E920" t="s">
        <v>132</v>
      </c>
      <c r="F920" t="s">
        <v>2020</v>
      </c>
      <c r="G920" t="str">
        <f>"37-3011.00"</f>
        <v>37-3011.00</v>
      </c>
      <c r="H920" t="s">
        <v>429</v>
      </c>
      <c r="I920">
        <v>50</v>
      </c>
      <c r="J920">
        <v>50</v>
      </c>
      <c r="K920" s="1">
        <v>45293</v>
      </c>
      <c r="L920" s="1">
        <v>45598</v>
      </c>
      <c r="M920" s="1">
        <v>45293</v>
      </c>
      <c r="N920" s="1">
        <v>45598</v>
      </c>
      <c r="O920" t="s">
        <v>116</v>
      </c>
      <c r="P920" t="s">
        <v>4381</v>
      </c>
      <c r="R920" t="s">
        <v>4382</v>
      </c>
      <c r="S920" t="s">
        <v>4383</v>
      </c>
      <c r="T920" t="s">
        <v>3273</v>
      </c>
      <c r="U920" t="s">
        <v>375</v>
      </c>
      <c r="V920" s="8" t="str">
        <f>"28269"</f>
        <v>28269</v>
      </c>
      <c r="W920" t="s">
        <v>118</v>
      </c>
      <c r="Y920" s="10">
        <v>17045090020</v>
      </c>
      <c r="AA920">
        <v>56173</v>
      </c>
      <c r="AB920" t="s">
        <v>3274</v>
      </c>
      <c r="AC920" t="s">
        <v>3462</v>
      </c>
      <c r="AE920" t="s">
        <v>4384</v>
      </c>
      <c r="AF920" t="s">
        <v>4382</v>
      </c>
      <c r="AG920" t="s">
        <v>4385</v>
      </c>
      <c r="AH920" t="s">
        <v>3273</v>
      </c>
      <c r="AI920" t="s">
        <v>375</v>
      </c>
      <c r="AJ920" s="8" t="str">
        <f>"28269"</f>
        <v>28269</v>
      </c>
      <c r="AK920" t="s">
        <v>118</v>
      </c>
      <c r="AM920" s="10">
        <v>17045090020</v>
      </c>
      <c r="AN920">
        <v>114</v>
      </c>
      <c r="AO920" t="s">
        <v>132</v>
      </c>
      <c r="AP920" t="s">
        <v>248</v>
      </c>
      <c r="AQ920" t="s">
        <v>673</v>
      </c>
      <c r="AR920" t="s">
        <v>674</v>
      </c>
      <c r="AT920" t="s">
        <v>579</v>
      </c>
      <c r="AV920" t="s">
        <v>580</v>
      </c>
      <c r="AW920" t="s">
        <v>581</v>
      </c>
      <c r="AX920" s="8" t="str">
        <f>"22903"</f>
        <v>22903</v>
      </c>
      <c r="AY920" t="s">
        <v>118</v>
      </c>
      <c r="BA920" s="10">
        <v>14342634300</v>
      </c>
      <c r="BC920" t="s">
        <v>675</v>
      </c>
      <c r="BD920" t="s">
        <v>583</v>
      </c>
      <c r="BG920" t="s">
        <v>375</v>
      </c>
      <c r="BH920" s="1">
        <v>45202.833333333336</v>
      </c>
      <c r="BI920">
        <v>40</v>
      </c>
      <c r="BJ920">
        <v>0</v>
      </c>
      <c r="BK920">
        <v>8</v>
      </c>
      <c r="BL920">
        <v>8</v>
      </c>
      <c r="BM920">
        <v>8</v>
      </c>
      <c r="BN920">
        <v>8</v>
      </c>
      <c r="BO920">
        <v>8</v>
      </c>
      <c r="BP920">
        <v>0</v>
      </c>
      <c r="BQ920" t="str">
        <f>"7:00 AM"</f>
        <v>7:00 AM</v>
      </c>
      <c r="BR920" t="str">
        <f>"4:00 PM"</f>
        <v>4:00 PM</v>
      </c>
      <c r="BS920" t="s">
        <v>131</v>
      </c>
      <c r="BT920">
        <v>0</v>
      </c>
      <c r="BU920">
        <v>0</v>
      </c>
      <c r="BV920" t="s">
        <v>114</v>
      </c>
      <c r="BX920" s="2" t="s">
        <v>3464</v>
      </c>
      <c r="BY920" t="s">
        <v>4386</v>
      </c>
      <c r="CA920" t="s">
        <v>3273</v>
      </c>
      <c r="CB920" t="s">
        <v>375</v>
      </c>
      <c r="CC920" s="8" t="str">
        <f>"28269"</f>
        <v>28269</v>
      </c>
      <c r="CD920" t="s">
        <v>3275</v>
      </c>
      <c r="CE920" t="s">
        <v>2940</v>
      </c>
      <c r="CF920" s="12">
        <v>17.239999999999998</v>
      </c>
      <c r="CH920" s="12">
        <v>25.86</v>
      </c>
      <c r="CJ920" t="s">
        <v>135</v>
      </c>
      <c r="CK920" t="s">
        <v>590</v>
      </c>
      <c r="CL920" t="s">
        <v>4387</v>
      </c>
      <c r="CO920" t="s">
        <v>132</v>
      </c>
      <c r="CP920" t="s">
        <v>136</v>
      </c>
      <c r="CQ920" t="s">
        <v>114</v>
      </c>
      <c r="CR920" t="s">
        <v>136</v>
      </c>
      <c r="CS920" t="s">
        <v>136</v>
      </c>
      <c r="CT920" t="s">
        <v>136</v>
      </c>
      <c r="CU920" t="s">
        <v>136</v>
      </c>
      <c r="CV920" t="s">
        <v>4388</v>
      </c>
      <c r="CW920" s="10" t="str">
        <f>"+17045090020"</f>
        <v>+17045090020</v>
      </c>
      <c r="CX920" t="s">
        <v>132</v>
      </c>
      <c r="CY920" t="s">
        <v>1954</v>
      </c>
      <c r="CZ920" t="s">
        <v>137</v>
      </c>
      <c r="DA920" t="s">
        <v>114</v>
      </c>
      <c r="DB920" t="s">
        <v>136</v>
      </c>
      <c r="DC920" t="s">
        <v>136</v>
      </c>
      <c r="DD920" t="s">
        <v>114</v>
      </c>
      <c r="DE920" t="s">
        <v>673</v>
      </c>
      <c r="DF920" t="s">
        <v>674</v>
      </c>
      <c r="DH920" t="s">
        <v>583</v>
      </c>
      <c r="DI920" t="s">
        <v>675</v>
      </c>
    </row>
    <row r="921" spans="1:113" ht="15" customHeight="1" x14ac:dyDescent="0.25">
      <c r="A921" t="s">
        <v>11360</v>
      </c>
      <c r="B921" t="s">
        <v>152</v>
      </c>
      <c r="C921" s="1">
        <v>45202.960445254626</v>
      </c>
      <c r="D921" s="1">
        <v>45245</v>
      </c>
      <c r="E921" t="s">
        <v>132</v>
      </c>
      <c r="F921" t="s">
        <v>11361</v>
      </c>
      <c r="G921" t="str">
        <f>"51-6011.00"</f>
        <v>51-6011.00</v>
      </c>
      <c r="H921" t="s">
        <v>2015</v>
      </c>
      <c r="I921">
        <v>20</v>
      </c>
      <c r="J921">
        <v>20</v>
      </c>
      <c r="K921" s="1">
        <v>45292</v>
      </c>
      <c r="L921" s="1">
        <v>45596</v>
      </c>
      <c r="M921" s="1">
        <v>45292</v>
      </c>
      <c r="N921" s="1">
        <v>45596</v>
      </c>
      <c r="O921" t="s">
        <v>116</v>
      </c>
      <c r="P921" t="s">
        <v>11362</v>
      </c>
      <c r="R921" t="s">
        <v>11363</v>
      </c>
      <c r="T921" t="s">
        <v>139</v>
      </c>
      <c r="U921" t="s">
        <v>140</v>
      </c>
      <c r="V921" s="8" t="str">
        <f>"33147"</f>
        <v>33147</v>
      </c>
      <c r="W921" t="s">
        <v>118</v>
      </c>
      <c r="Y921" s="10">
        <v>13057606515</v>
      </c>
      <c r="AA921">
        <v>81232</v>
      </c>
      <c r="AB921" t="s">
        <v>11364</v>
      </c>
      <c r="AC921" t="s">
        <v>11365</v>
      </c>
      <c r="AE921" t="s">
        <v>11366</v>
      </c>
      <c r="AF921" t="s">
        <v>11363</v>
      </c>
      <c r="AH921" t="s">
        <v>139</v>
      </c>
      <c r="AI921" t="s">
        <v>140</v>
      </c>
      <c r="AJ921" s="8" t="str">
        <f>"33147"</f>
        <v>33147</v>
      </c>
      <c r="AK921" t="s">
        <v>118</v>
      </c>
      <c r="AM921" s="10">
        <v>13057606515</v>
      </c>
      <c r="AO921" t="s">
        <v>11367</v>
      </c>
      <c r="AP921" t="s">
        <v>121</v>
      </c>
      <c r="AQ921" t="s">
        <v>1122</v>
      </c>
      <c r="AR921" t="s">
        <v>1123</v>
      </c>
      <c r="AS921" t="s">
        <v>1124</v>
      </c>
      <c r="AT921" t="s">
        <v>1125</v>
      </c>
      <c r="AU921" t="s">
        <v>1126</v>
      </c>
      <c r="AV921" t="s">
        <v>139</v>
      </c>
      <c r="AW921" t="s">
        <v>140</v>
      </c>
      <c r="AX921" s="8" t="str">
        <f>"33186"</f>
        <v>33186</v>
      </c>
      <c r="AY921" t="s">
        <v>118</v>
      </c>
      <c r="BA921" s="10">
        <v>13056706767</v>
      </c>
      <c r="BC921" t="s">
        <v>1127</v>
      </c>
      <c r="BD921" t="s">
        <v>1128</v>
      </c>
      <c r="BE921" t="s">
        <v>140</v>
      </c>
      <c r="BF921" t="s">
        <v>1129</v>
      </c>
      <c r="BG921" t="s">
        <v>550</v>
      </c>
      <c r="BH921" s="1">
        <v>45201.833333333336</v>
      </c>
      <c r="BI921">
        <v>56</v>
      </c>
      <c r="BJ921">
        <v>8</v>
      </c>
      <c r="BK921">
        <v>8</v>
      </c>
      <c r="BL921">
        <v>8</v>
      </c>
      <c r="BM921">
        <v>8</v>
      </c>
      <c r="BN921">
        <v>8</v>
      </c>
      <c r="BO921">
        <v>8</v>
      </c>
      <c r="BP921">
        <v>8</v>
      </c>
      <c r="BQ921" t="str">
        <f>"8:00 AM"</f>
        <v>8:00 AM</v>
      </c>
      <c r="BR921" t="str">
        <f>"4:30 PM"</f>
        <v>4:30 PM</v>
      </c>
      <c r="BS921" t="s">
        <v>131</v>
      </c>
      <c r="BT921">
        <v>0</v>
      </c>
      <c r="BU921">
        <v>0</v>
      </c>
      <c r="BV921" t="s">
        <v>114</v>
      </c>
      <c r="BX921" t="s">
        <v>132</v>
      </c>
      <c r="BY921" t="s">
        <v>11368</v>
      </c>
      <c r="BZ921" t="s">
        <v>11369</v>
      </c>
      <c r="CA921" t="s">
        <v>11370</v>
      </c>
      <c r="CB921" t="s">
        <v>550</v>
      </c>
      <c r="CC921" s="8" t="str">
        <f>"30213"</f>
        <v>30213</v>
      </c>
      <c r="CD921" t="s">
        <v>3096</v>
      </c>
      <c r="CE921" t="s">
        <v>552</v>
      </c>
      <c r="CF921" s="12">
        <v>13.02</v>
      </c>
      <c r="CG921" s="12">
        <v>15</v>
      </c>
      <c r="CH921" s="12">
        <v>19.53</v>
      </c>
      <c r="CI921" s="12">
        <v>22.5</v>
      </c>
      <c r="CJ921" t="s">
        <v>135</v>
      </c>
      <c r="CL921" t="s">
        <v>11371</v>
      </c>
      <c r="CO921" t="s">
        <v>132</v>
      </c>
      <c r="CP921" t="s">
        <v>114</v>
      </c>
      <c r="CQ921" t="s">
        <v>136</v>
      </c>
      <c r="CR921" t="s">
        <v>136</v>
      </c>
      <c r="CS921" t="s">
        <v>136</v>
      </c>
      <c r="CT921" t="s">
        <v>136</v>
      </c>
      <c r="CU921" t="s">
        <v>136</v>
      </c>
      <c r="CV921" s="2" t="s">
        <v>11372</v>
      </c>
      <c r="CW921" s="10" t="str">
        <f>"+13057606515"</f>
        <v>+13057606515</v>
      </c>
      <c r="CX921" t="s">
        <v>11367</v>
      </c>
      <c r="CY921" t="s">
        <v>132</v>
      </c>
      <c r="CZ921" t="s">
        <v>137</v>
      </c>
      <c r="DA921" t="s">
        <v>114</v>
      </c>
      <c r="DB921" t="s">
        <v>136</v>
      </c>
      <c r="DC921" t="s">
        <v>136</v>
      </c>
      <c r="DD921" t="s">
        <v>114</v>
      </c>
    </row>
    <row r="922" spans="1:113" ht="15" customHeight="1" x14ac:dyDescent="0.25">
      <c r="A922" t="s">
        <v>8371</v>
      </c>
      <c r="B922" t="s">
        <v>152</v>
      </c>
      <c r="C922" s="1">
        <v>45202.610881944442</v>
      </c>
      <c r="D922" s="1">
        <v>45245</v>
      </c>
      <c r="E922" t="s">
        <v>132</v>
      </c>
      <c r="F922" t="s">
        <v>449</v>
      </c>
      <c r="G922" t="str">
        <f>"37-2012.00"</f>
        <v>37-2012.00</v>
      </c>
      <c r="H922" t="s">
        <v>205</v>
      </c>
      <c r="I922">
        <v>65</v>
      </c>
      <c r="J922">
        <v>65</v>
      </c>
      <c r="K922" s="1">
        <v>45292</v>
      </c>
      <c r="L922" s="1">
        <v>45549</v>
      </c>
      <c r="M922" s="1">
        <v>45292</v>
      </c>
      <c r="N922" s="1">
        <v>45549</v>
      </c>
      <c r="O922" t="s">
        <v>116</v>
      </c>
      <c r="P922" t="s">
        <v>8372</v>
      </c>
      <c r="Q922" t="s">
        <v>8373</v>
      </c>
      <c r="R922" t="s">
        <v>8374</v>
      </c>
      <c r="T922" t="s">
        <v>8375</v>
      </c>
      <c r="U922" t="s">
        <v>140</v>
      </c>
      <c r="V922" s="8" t="str">
        <f>"32550"</f>
        <v>32550</v>
      </c>
      <c r="W922" t="s">
        <v>118</v>
      </c>
      <c r="Y922" s="10">
        <v>18502678292</v>
      </c>
      <c r="AA922">
        <v>72111</v>
      </c>
      <c r="AB922" t="s">
        <v>8376</v>
      </c>
      <c r="AC922" t="s">
        <v>1118</v>
      </c>
      <c r="AE922" t="s">
        <v>456</v>
      </c>
      <c r="AF922" t="s">
        <v>8374</v>
      </c>
      <c r="AH922" t="s">
        <v>8375</v>
      </c>
      <c r="AI922" t="s">
        <v>140</v>
      </c>
      <c r="AJ922" s="8" t="str">
        <f>"32550"</f>
        <v>32550</v>
      </c>
      <c r="AK922" t="s">
        <v>118</v>
      </c>
      <c r="AM922" s="10">
        <v>18502678292</v>
      </c>
      <c r="AO922" t="s">
        <v>8377</v>
      </c>
      <c r="AP922" t="s">
        <v>248</v>
      </c>
      <c r="AQ922" t="s">
        <v>458</v>
      </c>
      <c r="AR922" t="s">
        <v>459</v>
      </c>
      <c r="AT922" t="s">
        <v>460</v>
      </c>
      <c r="AU922" t="s">
        <v>1374</v>
      </c>
      <c r="AV922" t="s">
        <v>1375</v>
      </c>
      <c r="AW922" t="s">
        <v>140</v>
      </c>
      <c r="AX922" s="8" t="str">
        <f>"33141"</f>
        <v>33141</v>
      </c>
      <c r="AY922" t="s">
        <v>118</v>
      </c>
      <c r="BA922" s="10">
        <v>17863480376</v>
      </c>
      <c r="BC922" t="s">
        <v>463</v>
      </c>
      <c r="BD922" t="s">
        <v>464</v>
      </c>
      <c r="BG922" t="s">
        <v>140</v>
      </c>
      <c r="BH922" s="1">
        <v>45201.833333333336</v>
      </c>
      <c r="BI922">
        <v>35</v>
      </c>
      <c r="BJ922">
        <v>7</v>
      </c>
      <c r="BK922">
        <v>7</v>
      </c>
      <c r="BL922">
        <v>0</v>
      </c>
      <c r="BM922">
        <v>0</v>
      </c>
      <c r="BN922">
        <v>7</v>
      </c>
      <c r="BO922">
        <v>7</v>
      </c>
      <c r="BP922">
        <v>7</v>
      </c>
      <c r="BQ922" t="str">
        <f>"8:00 AM"</f>
        <v>8:00 AM</v>
      </c>
      <c r="BR922" t="str">
        <f>"3:00 PM"</f>
        <v>3:00 PM</v>
      </c>
      <c r="BS922" t="s">
        <v>131</v>
      </c>
      <c r="BT922">
        <v>0</v>
      </c>
      <c r="BU922">
        <v>1</v>
      </c>
      <c r="BV922" t="s">
        <v>114</v>
      </c>
      <c r="BX922" t="s">
        <v>8378</v>
      </c>
      <c r="BY922" t="s">
        <v>8374</v>
      </c>
      <c r="CA922" t="s">
        <v>8375</v>
      </c>
      <c r="CB922" t="s">
        <v>140</v>
      </c>
      <c r="CC922" s="8" t="str">
        <f>"32550"</f>
        <v>32550</v>
      </c>
      <c r="CD922" t="s">
        <v>3313</v>
      </c>
      <c r="CE922" t="s">
        <v>3314</v>
      </c>
      <c r="CF922" s="12">
        <v>14.14</v>
      </c>
      <c r="CG922" s="12">
        <v>14.14</v>
      </c>
      <c r="CH922" s="12">
        <v>21.21</v>
      </c>
      <c r="CI922" s="12">
        <v>21.21</v>
      </c>
      <c r="CJ922" t="s">
        <v>135</v>
      </c>
      <c r="CL922" t="s">
        <v>8379</v>
      </c>
      <c r="CO922" t="s">
        <v>132</v>
      </c>
      <c r="CP922" t="s">
        <v>114</v>
      </c>
      <c r="CQ922" t="s">
        <v>136</v>
      </c>
      <c r="CR922" t="s">
        <v>136</v>
      </c>
      <c r="CS922" t="s">
        <v>114</v>
      </c>
      <c r="CT922" t="s">
        <v>136</v>
      </c>
      <c r="CU922" t="s">
        <v>136</v>
      </c>
      <c r="CV922" t="s">
        <v>8380</v>
      </c>
      <c r="CW922" s="10" t="str">
        <f>"+18502678271"</f>
        <v>+18502678271</v>
      </c>
      <c r="CX922" t="s">
        <v>8381</v>
      </c>
      <c r="CY922" t="s">
        <v>8382</v>
      </c>
      <c r="CZ922" t="s">
        <v>137</v>
      </c>
      <c r="DA922" t="s">
        <v>114</v>
      </c>
      <c r="DB922" t="s">
        <v>114</v>
      </c>
      <c r="DC922" t="s">
        <v>136</v>
      </c>
      <c r="DD922" t="s">
        <v>114</v>
      </c>
    </row>
    <row r="923" spans="1:113" ht="15" customHeight="1" x14ac:dyDescent="0.25">
      <c r="A923" t="s">
        <v>21726</v>
      </c>
      <c r="B923" t="s">
        <v>152</v>
      </c>
      <c r="C923" s="1">
        <v>45202.609209027774</v>
      </c>
      <c r="D923" s="1">
        <v>45245</v>
      </c>
      <c r="E923" t="s">
        <v>132</v>
      </c>
      <c r="F923" t="s">
        <v>1247</v>
      </c>
      <c r="G923" t="str">
        <f>"45-4011.00"</f>
        <v>45-4011.00</v>
      </c>
      <c r="H923" t="s">
        <v>842</v>
      </c>
      <c r="I923">
        <v>40</v>
      </c>
      <c r="J923">
        <v>40</v>
      </c>
      <c r="K923" s="1">
        <v>45292</v>
      </c>
      <c r="L923" s="1">
        <v>45535</v>
      </c>
      <c r="M923" s="1">
        <v>45292</v>
      </c>
      <c r="N923" s="1">
        <v>45535</v>
      </c>
      <c r="O923" t="s">
        <v>238</v>
      </c>
      <c r="P923" t="s">
        <v>21727</v>
      </c>
      <c r="R923" t="s">
        <v>21728</v>
      </c>
      <c r="T923" t="s">
        <v>10838</v>
      </c>
      <c r="U923" t="s">
        <v>479</v>
      </c>
      <c r="V923" s="8" t="str">
        <f>"97392"</f>
        <v>97392</v>
      </c>
      <c r="W923" t="s">
        <v>118</v>
      </c>
      <c r="Y923" s="10">
        <v>15035093409</v>
      </c>
      <c r="AA923">
        <v>11531</v>
      </c>
      <c r="AB923" t="s">
        <v>21729</v>
      </c>
      <c r="AC923" t="s">
        <v>21730</v>
      </c>
      <c r="AE923" t="s">
        <v>629</v>
      </c>
      <c r="AF923" t="s">
        <v>21728</v>
      </c>
      <c r="AH923" t="s">
        <v>10838</v>
      </c>
      <c r="AI923" t="s">
        <v>479</v>
      </c>
      <c r="AJ923" s="8" t="str">
        <f>"97392"</f>
        <v>97392</v>
      </c>
      <c r="AK923" t="s">
        <v>118</v>
      </c>
      <c r="AM923" s="10">
        <v>15035093409</v>
      </c>
      <c r="AO923" t="s">
        <v>21731</v>
      </c>
      <c r="AP923" t="s">
        <v>248</v>
      </c>
      <c r="AQ923" t="s">
        <v>2786</v>
      </c>
      <c r="AR923" t="s">
        <v>2787</v>
      </c>
      <c r="AS923" t="s">
        <v>160</v>
      </c>
      <c r="AT923" t="s">
        <v>1253</v>
      </c>
      <c r="AU923" t="s">
        <v>852</v>
      </c>
      <c r="AV923" t="s">
        <v>853</v>
      </c>
      <c r="AW923" t="s">
        <v>854</v>
      </c>
      <c r="AX923" s="8" t="str">
        <f>"83814"</f>
        <v>83814</v>
      </c>
      <c r="AY923" t="s">
        <v>118</v>
      </c>
      <c r="BA923" s="10">
        <v>12087772654</v>
      </c>
      <c r="BC923" t="s">
        <v>2788</v>
      </c>
      <c r="BD923" t="s">
        <v>856</v>
      </c>
      <c r="BG923" t="s">
        <v>479</v>
      </c>
      <c r="BH923" s="1">
        <v>45200.833333333336</v>
      </c>
      <c r="BI923">
        <v>40</v>
      </c>
      <c r="BJ923">
        <v>0</v>
      </c>
      <c r="BK923">
        <v>8</v>
      </c>
      <c r="BL923">
        <v>8</v>
      </c>
      <c r="BM923">
        <v>8</v>
      </c>
      <c r="BN923">
        <v>8</v>
      </c>
      <c r="BO923">
        <v>8</v>
      </c>
      <c r="BP923">
        <v>0</v>
      </c>
      <c r="BQ923" t="str">
        <f>"7:00 AM"</f>
        <v>7:00 AM</v>
      </c>
      <c r="BR923" t="str">
        <f>"3:30 PM"</f>
        <v>3:30 PM</v>
      </c>
      <c r="BS923" t="s">
        <v>131</v>
      </c>
      <c r="BT923">
        <v>0</v>
      </c>
      <c r="BU923">
        <v>3</v>
      </c>
      <c r="BV923" t="s">
        <v>114</v>
      </c>
      <c r="BX923" t="s">
        <v>11103</v>
      </c>
      <c r="BY923" t="s">
        <v>21732</v>
      </c>
      <c r="CA923" t="s">
        <v>10838</v>
      </c>
      <c r="CB923" t="s">
        <v>479</v>
      </c>
      <c r="CC923" s="8" t="str">
        <f>"97392"</f>
        <v>97392</v>
      </c>
      <c r="CD923" t="s">
        <v>1257</v>
      </c>
      <c r="CE923" t="s">
        <v>1258</v>
      </c>
      <c r="CF923" s="12">
        <v>12.21</v>
      </c>
      <c r="CG923" s="12">
        <v>24.44</v>
      </c>
      <c r="CH923" s="12">
        <v>18.32</v>
      </c>
      <c r="CI923" s="12">
        <v>36.659999999999997</v>
      </c>
      <c r="CJ923" t="s">
        <v>135</v>
      </c>
      <c r="CK923" t="s">
        <v>861</v>
      </c>
      <c r="CL923" t="s">
        <v>21733</v>
      </c>
      <c r="CO923" t="s">
        <v>132</v>
      </c>
      <c r="CP923" t="s">
        <v>136</v>
      </c>
      <c r="CQ923" t="s">
        <v>136</v>
      </c>
      <c r="CR923" t="s">
        <v>136</v>
      </c>
      <c r="CS923" t="s">
        <v>114</v>
      </c>
      <c r="CT923" t="s">
        <v>136</v>
      </c>
      <c r="CU923" t="s">
        <v>136</v>
      </c>
      <c r="CV923" t="s">
        <v>1040</v>
      </c>
      <c r="CW923" s="10" t="str">
        <f>"+15035093409"</f>
        <v>+15035093409</v>
      </c>
      <c r="CX923" t="s">
        <v>21731</v>
      </c>
      <c r="CY923" t="s">
        <v>132</v>
      </c>
      <c r="CZ923" t="s">
        <v>137</v>
      </c>
      <c r="DA923" t="s">
        <v>114</v>
      </c>
      <c r="DB923" t="s">
        <v>114</v>
      </c>
      <c r="DC923" t="s">
        <v>136</v>
      </c>
      <c r="DD923" t="s">
        <v>114</v>
      </c>
    </row>
    <row r="924" spans="1:113" ht="15" customHeight="1" x14ac:dyDescent="0.25">
      <c r="A924" t="s">
        <v>14493</v>
      </c>
      <c r="B924" t="s">
        <v>152</v>
      </c>
      <c r="C924" s="1">
        <v>45202.606589583331</v>
      </c>
      <c r="D924" s="1">
        <v>45245</v>
      </c>
      <c r="E924" t="s">
        <v>132</v>
      </c>
      <c r="F924" t="s">
        <v>9455</v>
      </c>
      <c r="G924" t="str">
        <f>"37-3011.00"</f>
        <v>37-3011.00</v>
      </c>
      <c r="H924" t="s">
        <v>429</v>
      </c>
      <c r="I924">
        <v>20</v>
      </c>
      <c r="J924">
        <v>20</v>
      </c>
      <c r="K924" s="1">
        <v>45292</v>
      </c>
      <c r="L924" s="1">
        <v>45565</v>
      </c>
      <c r="M924" s="1">
        <v>45292</v>
      </c>
      <c r="N924" s="1">
        <v>45565</v>
      </c>
      <c r="O924" t="s">
        <v>116</v>
      </c>
      <c r="P924" t="s">
        <v>8372</v>
      </c>
      <c r="Q924" t="s">
        <v>8373</v>
      </c>
      <c r="R924" t="s">
        <v>8374</v>
      </c>
      <c r="T924" t="s">
        <v>8375</v>
      </c>
      <c r="U924" t="s">
        <v>140</v>
      </c>
      <c r="V924" s="8" t="str">
        <f>"32550"</f>
        <v>32550</v>
      </c>
      <c r="W924" t="s">
        <v>118</v>
      </c>
      <c r="Y924" s="10">
        <v>18502782926</v>
      </c>
      <c r="AA924">
        <v>72111</v>
      </c>
      <c r="AB924" t="s">
        <v>8376</v>
      </c>
      <c r="AC924" t="s">
        <v>1118</v>
      </c>
      <c r="AE924" t="s">
        <v>456</v>
      </c>
      <c r="AF924" t="s">
        <v>8374</v>
      </c>
      <c r="AH924" t="s">
        <v>8375</v>
      </c>
      <c r="AI924" t="s">
        <v>140</v>
      </c>
      <c r="AJ924" s="8" t="str">
        <f>"32550"</f>
        <v>32550</v>
      </c>
      <c r="AK924" t="s">
        <v>118</v>
      </c>
      <c r="AM924" s="10">
        <v>18502678292</v>
      </c>
      <c r="AO924" t="s">
        <v>8377</v>
      </c>
      <c r="AP924" t="s">
        <v>248</v>
      </c>
      <c r="AQ924" t="s">
        <v>458</v>
      </c>
      <c r="AR924" t="s">
        <v>459</v>
      </c>
      <c r="AT924" t="s">
        <v>460</v>
      </c>
      <c r="AU924" t="s">
        <v>1374</v>
      </c>
      <c r="AV924" t="s">
        <v>1375</v>
      </c>
      <c r="AW924" t="s">
        <v>140</v>
      </c>
      <c r="AX924" s="8" t="str">
        <f>"33141"</f>
        <v>33141</v>
      </c>
      <c r="AY924" t="s">
        <v>118</v>
      </c>
      <c r="BA924" s="10">
        <v>17863480376</v>
      </c>
      <c r="BC924" t="s">
        <v>463</v>
      </c>
      <c r="BD924" t="s">
        <v>464</v>
      </c>
      <c r="BG924" t="s">
        <v>140</v>
      </c>
      <c r="BH924" s="1">
        <v>45201.833333333336</v>
      </c>
      <c r="BI924">
        <v>35</v>
      </c>
      <c r="BJ924">
        <v>7</v>
      </c>
      <c r="BK924">
        <v>7</v>
      </c>
      <c r="BL924">
        <v>0</v>
      </c>
      <c r="BM924">
        <v>0</v>
      </c>
      <c r="BN924">
        <v>7</v>
      </c>
      <c r="BO924">
        <v>7</v>
      </c>
      <c r="BP924">
        <v>7</v>
      </c>
      <c r="BQ924" t="str">
        <f>"6:00 AM"</f>
        <v>6:00 AM</v>
      </c>
      <c r="BR924" t="str">
        <f>"1:00 PM"</f>
        <v>1:00 PM</v>
      </c>
      <c r="BS924" t="s">
        <v>131</v>
      </c>
      <c r="BT924">
        <v>0</v>
      </c>
      <c r="BU924">
        <v>1</v>
      </c>
      <c r="BV924" t="s">
        <v>114</v>
      </c>
      <c r="BX924" t="s">
        <v>8378</v>
      </c>
      <c r="BY924" t="s">
        <v>8374</v>
      </c>
      <c r="CA924" t="s">
        <v>8375</v>
      </c>
      <c r="CB924" t="s">
        <v>140</v>
      </c>
      <c r="CC924" s="8" t="str">
        <f>"32550"</f>
        <v>32550</v>
      </c>
      <c r="CD924" t="s">
        <v>3313</v>
      </c>
      <c r="CE924" t="s">
        <v>3314</v>
      </c>
      <c r="CF924" s="12">
        <v>16.25</v>
      </c>
      <c r="CG924" s="12">
        <v>16.25</v>
      </c>
      <c r="CH924" s="12">
        <v>24.38</v>
      </c>
      <c r="CI924" s="12">
        <v>24.38</v>
      </c>
      <c r="CJ924" t="s">
        <v>135</v>
      </c>
      <c r="CL924" t="s">
        <v>14494</v>
      </c>
      <c r="CO924" t="s">
        <v>132</v>
      </c>
      <c r="CP924" t="s">
        <v>114</v>
      </c>
      <c r="CQ924" t="s">
        <v>136</v>
      </c>
      <c r="CR924" t="s">
        <v>136</v>
      </c>
      <c r="CS924" t="s">
        <v>114</v>
      </c>
      <c r="CT924" t="s">
        <v>136</v>
      </c>
      <c r="CU924" t="s">
        <v>136</v>
      </c>
      <c r="CV924" t="s">
        <v>8380</v>
      </c>
      <c r="CW924" s="10" t="str">
        <f>"+18502678271"</f>
        <v>+18502678271</v>
      </c>
      <c r="CX924" t="s">
        <v>8381</v>
      </c>
      <c r="CY924" t="s">
        <v>8382</v>
      </c>
      <c r="CZ924" t="s">
        <v>137</v>
      </c>
      <c r="DA924" t="s">
        <v>114</v>
      </c>
      <c r="DB924" t="s">
        <v>114</v>
      </c>
      <c r="DC924" t="s">
        <v>136</v>
      </c>
      <c r="DD924" t="s">
        <v>114</v>
      </c>
    </row>
    <row r="925" spans="1:113" ht="15" customHeight="1" x14ac:dyDescent="0.25">
      <c r="A925" t="s">
        <v>23805</v>
      </c>
      <c r="B925" t="s">
        <v>152</v>
      </c>
      <c r="C925" s="1">
        <v>45202.60164641204</v>
      </c>
      <c r="D925" s="1">
        <v>45245</v>
      </c>
      <c r="E925" t="s">
        <v>132</v>
      </c>
      <c r="F925" t="s">
        <v>23806</v>
      </c>
      <c r="G925" t="str">
        <f>"49-9071.00"</f>
        <v>49-9071.00</v>
      </c>
      <c r="H925" t="s">
        <v>5714</v>
      </c>
      <c r="I925">
        <v>5</v>
      </c>
      <c r="J925">
        <v>5</v>
      </c>
      <c r="K925" s="1">
        <v>45292</v>
      </c>
      <c r="L925" s="1">
        <v>45565</v>
      </c>
      <c r="M925" s="1">
        <v>45292</v>
      </c>
      <c r="N925" s="1">
        <v>45565</v>
      </c>
      <c r="O925" t="s">
        <v>116</v>
      </c>
      <c r="P925" t="s">
        <v>8372</v>
      </c>
      <c r="Q925" t="s">
        <v>8373</v>
      </c>
      <c r="R925" t="s">
        <v>8374</v>
      </c>
      <c r="T925" t="s">
        <v>8375</v>
      </c>
      <c r="U925" t="s">
        <v>140</v>
      </c>
      <c r="V925" s="8" t="str">
        <f>"32550"</f>
        <v>32550</v>
      </c>
      <c r="W925" t="s">
        <v>118</v>
      </c>
      <c r="Y925" s="10">
        <v>18502782926</v>
      </c>
      <c r="AA925">
        <v>72111</v>
      </c>
      <c r="AB925" t="s">
        <v>8376</v>
      </c>
      <c r="AC925" t="s">
        <v>1118</v>
      </c>
      <c r="AE925" t="s">
        <v>456</v>
      </c>
      <c r="AF925" t="s">
        <v>8374</v>
      </c>
      <c r="AH925" t="s">
        <v>8375</v>
      </c>
      <c r="AI925" t="s">
        <v>140</v>
      </c>
      <c r="AJ925" s="8" t="str">
        <f>"32550"</f>
        <v>32550</v>
      </c>
      <c r="AK925" t="s">
        <v>118</v>
      </c>
      <c r="AM925" s="10">
        <v>18502678292</v>
      </c>
      <c r="AO925" t="s">
        <v>8377</v>
      </c>
      <c r="AP925" t="s">
        <v>248</v>
      </c>
      <c r="AQ925" t="s">
        <v>458</v>
      </c>
      <c r="AR925" t="s">
        <v>459</v>
      </c>
      <c r="AT925" t="s">
        <v>460</v>
      </c>
      <c r="AU925" t="s">
        <v>1374</v>
      </c>
      <c r="AV925" t="s">
        <v>1375</v>
      </c>
      <c r="AW925" t="s">
        <v>140</v>
      </c>
      <c r="AX925" s="8" t="str">
        <f>"33141"</f>
        <v>33141</v>
      </c>
      <c r="AY925" t="s">
        <v>118</v>
      </c>
      <c r="BA925" s="10">
        <v>17863480376</v>
      </c>
      <c r="BC925" t="s">
        <v>463</v>
      </c>
      <c r="BD925" t="s">
        <v>464</v>
      </c>
      <c r="BG925" t="s">
        <v>140</v>
      </c>
      <c r="BH925" s="1">
        <v>45201.833333333336</v>
      </c>
      <c r="BI925">
        <v>35</v>
      </c>
      <c r="BJ925">
        <v>7</v>
      </c>
      <c r="BK925">
        <v>0</v>
      </c>
      <c r="BL925">
        <v>7</v>
      </c>
      <c r="BM925">
        <v>0</v>
      </c>
      <c r="BN925">
        <v>7</v>
      </c>
      <c r="BO925">
        <v>7</v>
      </c>
      <c r="BP925">
        <v>7</v>
      </c>
      <c r="BQ925" t="str">
        <f>"8:00 AM"</f>
        <v>8:00 AM</v>
      </c>
      <c r="BR925" t="str">
        <f>"3:00 PM"</f>
        <v>3:00 PM</v>
      </c>
      <c r="BS925" t="s">
        <v>131</v>
      </c>
      <c r="BT925">
        <v>0</v>
      </c>
      <c r="BU925">
        <v>1</v>
      </c>
      <c r="BV925" t="s">
        <v>114</v>
      </c>
      <c r="BX925" t="s">
        <v>23807</v>
      </c>
      <c r="BY925" t="s">
        <v>8374</v>
      </c>
      <c r="CA925" t="s">
        <v>8375</v>
      </c>
      <c r="CB925" t="s">
        <v>140</v>
      </c>
      <c r="CC925" s="8" t="str">
        <f>"32550"</f>
        <v>32550</v>
      </c>
      <c r="CD925" t="s">
        <v>3313</v>
      </c>
      <c r="CE925" t="s">
        <v>3314</v>
      </c>
      <c r="CF925" s="12">
        <v>19.39</v>
      </c>
      <c r="CG925" s="12">
        <v>19.39</v>
      </c>
      <c r="CH925" s="12">
        <v>29.09</v>
      </c>
      <c r="CI925" s="12">
        <v>29.09</v>
      </c>
      <c r="CJ925" t="s">
        <v>135</v>
      </c>
      <c r="CL925" t="s">
        <v>23808</v>
      </c>
      <c r="CO925" t="s">
        <v>132</v>
      </c>
      <c r="CP925" t="s">
        <v>114</v>
      </c>
      <c r="CQ925" t="s">
        <v>136</v>
      </c>
      <c r="CR925" t="s">
        <v>136</v>
      </c>
      <c r="CS925" t="s">
        <v>114</v>
      </c>
      <c r="CT925" t="s">
        <v>136</v>
      </c>
      <c r="CU925" t="s">
        <v>136</v>
      </c>
      <c r="CV925" t="s">
        <v>8380</v>
      </c>
      <c r="CW925" s="10" t="str">
        <f>"+18502678271"</f>
        <v>+18502678271</v>
      </c>
      <c r="CX925" t="s">
        <v>8381</v>
      </c>
      <c r="CY925" t="s">
        <v>8382</v>
      </c>
      <c r="CZ925" t="s">
        <v>137</v>
      </c>
      <c r="DA925" t="s">
        <v>114</v>
      </c>
      <c r="DB925" t="s">
        <v>114</v>
      </c>
      <c r="DC925" t="s">
        <v>136</v>
      </c>
      <c r="DD925" t="s">
        <v>114</v>
      </c>
    </row>
    <row r="926" spans="1:113" ht="15" customHeight="1" x14ac:dyDescent="0.25">
      <c r="A926" t="s">
        <v>15980</v>
      </c>
      <c r="B926" t="s">
        <v>152</v>
      </c>
      <c r="C926" s="1">
        <v>45202.406006944446</v>
      </c>
      <c r="D926" s="1">
        <v>45245</v>
      </c>
      <c r="E926" t="s">
        <v>132</v>
      </c>
      <c r="F926" t="s">
        <v>10884</v>
      </c>
      <c r="G926" t="str">
        <f>"35-9011.00"</f>
        <v>35-9011.00</v>
      </c>
      <c r="H926" t="s">
        <v>1512</v>
      </c>
      <c r="I926">
        <v>12</v>
      </c>
      <c r="J926">
        <v>12</v>
      </c>
      <c r="K926" s="1">
        <v>45292</v>
      </c>
      <c r="L926" s="1">
        <v>45596</v>
      </c>
      <c r="M926" s="1">
        <v>45292</v>
      </c>
      <c r="N926" s="1">
        <v>45596</v>
      </c>
      <c r="O926" t="s">
        <v>116</v>
      </c>
      <c r="P926" t="s">
        <v>4567</v>
      </c>
      <c r="Q926" t="s">
        <v>4568</v>
      </c>
      <c r="R926" t="s">
        <v>4569</v>
      </c>
      <c r="T926" t="s">
        <v>4570</v>
      </c>
      <c r="U926" t="s">
        <v>550</v>
      </c>
      <c r="V926" s="8" t="str">
        <f>"30303"</f>
        <v>30303</v>
      </c>
      <c r="W926" t="s">
        <v>118</v>
      </c>
      <c r="Y926" s="10">
        <v>14046590000</v>
      </c>
      <c r="AA926">
        <v>72111</v>
      </c>
      <c r="AB926" t="s">
        <v>3818</v>
      </c>
      <c r="AC926" t="s">
        <v>4571</v>
      </c>
      <c r="AE926" t="s">
        <v>4572</v>
      </c>
      <c r="AF926" t="s">
        <v>4569</v>
      </c>
      <c r="AH926" t="s">
        <v>4570</v>
      </c>
      <c r="AI926" t="s">
        <v>550</v>
      </c>
      <c r="AJ926" s="8" t="str">
        <f>"30303"</f>
        <v>30303</v>
      </c>
      <c r="AK926" t="s">
        <v>118</v>
      </c>
      <c r="AM926" s="10">
        <v>14046590000</v>
      </c>
      <c r="AO926" t="s">
        <v>4573</v>
      </c>
      <c r="AP926" t="s">
        <v>248</v>
      </c>
      <c r="AQ926" t="s">
        <v>960</v>
      </c>
      <c r="AR926" t="s">
        <v>961</v>
      </c>
      <c r="AS926" t="s">
        <v>962</v>
      </c>
      <c r="AT926" t="s">
        <v>963</v>
      </c>
      <c r="AU926" t="s">
        <v>296</v>
      </c>
      <c r="AV926" t="s">
        <v>964</v>
      </c>
      <c r="AW926" t="s">
        <v>127</v>
      </c>
      <c r="AX926" s="8" t="str">
        <f>"75033"</f>
        <v>75033</v>
      </c>
      <c r="AY926" t="s">
        <v>118</v>
      </c>
      <c r="BA926" s="10">
        <v>19727789690</v>
      </c>
      <c r="BC926" t="s">
        <v>1919</v>
      </c>
      <c r="BD926" t="s">
        <v>966</v>
      </c>
      <c r="BG926" t="s">
        <v>550</v>
      </c>
      <c r="BH926" s="1">
        <v>45201.833333333336</v>
      </c>
      <c r="BI926">
        <v>40</v>
      </c>
      <c r="BJ926">
        <v>8</v>
      </c>
      <c r="BK926">
        <v>0</v>
      </c>
      <c r="BL926">
        <v>0</v>
      </c>
      <c r="BM926">
        <v>8</v>
      </c>
      <c r="BN926">
        <v>8</v>
      </c>
      <c r="BO926">
        <v>8</v>
      </c>
      <c r="BP926">
        <v>8</v>
      </c>
      <c r="BQ926" t="str">
        <f>"3:00 PM"</f>
        <v>3:00 PM</v>
      </c>
      <c r="BR926" t="str">
        <f>"12:00 AM"</f>
        <v>12:00 AM</v>
      </c>
      <c r="BS926" t="s">
        <v>131</v>
      </c>
      <c r="BT926">
        <v>0</v>
      </c>
      <c r="BU926">
        <v>0</v>
      </c>
      <c r="BV926" t="s">
        <v>114</v>
      </c>
      <c r="BX926" t="s">
        <v>15981</v>
      </c>
      <c r="BY926" t="s">
        <v>4569</v>
      </c>
      <c r="CA926" t="s">
        <v>4570</v>
      </c>
      <c r="CB926" t="s">
        <v>550</v>
      </c>
      <c r="CC926" s="8" t="str">
        <f>"30303"</f>
        <v>30303</v>
      </c>
      <c r="CD926" t="s">
        <v>3096</v>
      </c>
      <c r="CE926" t="s">
        <v>552</v>
      </c>
      <c r="CF926" s="12">
        <v>15</v>
      </c>
      <c r="CH926" s="12">
        <v>22.5</v>
      </c>
      <c r="CJ926" t="s">
        <v>135</v>
      </c>
      <c r="CK926" s="2" t="s">
        <v>15982</v>
      </c>
      <c r="CL926" t="s">
        <v>15983</v>
      </c>
      <c r="CO926" t="s">
        <v>132</v>
      </c>
      <c r="CP926" t="s">
        <v>114</v>
      </c>
      <c r="CQ926" t="s">
        <v>114</v>
      </c>
      <c r="CR926" t="s">
        <v>136</v>
      </c>
      <c r="CS926" t="s">
        <v>136</v>
      </c>
      <c r="CT926" t="s">
        <v>136</v>
      </c>
      <c r="CU926" t="s">
        <v>136</v>
      </c>
      <c r="CV926" t="s">
        <v>15984</v>
      </c>
      <c r="CW926" s="10" t="str">
        <f>"+14046590000"</f>
        <v>+14046590000</v>
      </c>
      <c r="CX926" t="s">
        <v>132</v>
      </c>
      <c r="CY926" t="s">
        <v>7497</v>
      </c>
      <c r="CZ926" t="s">
        <v>137</v>
      </c>
      <c r="DA926" t="s">
        <v>114</v>
      </c>
      <c r="DB926" t="s">
        <v>114</v>
      </c>
      <c r="DC926" t="s">
        <v>136</v>
      </c>
      <c r="DD926" t="s">
        <v>114</v>
      </c>
    </row>
    <row r="927" spans="1:113" ht="15" customHeight="1" x14ac:dyDescent="0.25">
      <c r="A927" t="s">
        <v>15597</v>
      </c>
      <c r="B927" t="s">
        <v>152</v>
      </c>
      <c r="C927" s="1">
        <v>45202.389105092596</v>
      </c>
      <c r="D927" s="1">
        <v>45245</v>
      </c>
      <c r="E927" t="s">
        <v>132</v>
      </c>
      <c r="F927" t="s">
        <v>3098</v>
      </c>
      <c r="G927" t="str">
        <f>"35-3023.00"</f>
        <v>35-3023.00</v>
      </c>
      <c r="H927" t="s">
        <v>1365</v>
      </c>
      <c r="I927">
        <v>25</v>
      </c>
      <c r="J927">
        <v>25</v>
      </c>
      <c r="K927" s="1">
        <v>45292</v>
      </c>
      <c r="L927" s="1">
        <v>45596</v>
      </c>
      <c r="M927" s="1">
        <v>45292</v>
      </c>
      <c r="N927" s="1">
        <v>45596</v>
      </c>
      <c r="O927" t="s">
        <v>238</v>
      </c>
      <c r="P927" t="s">
        <v>15598</v>
      </c>
      <c r="Q927" t="s">
        <v>15599</v>
      </c>
      <c r="R927" t="s">
        <v>15600</v>
      </c>
      <c r="T927" t="s">
        <v>14926</v>
      </c>
      <c r="U927" t="s">
        <v>402</v>
      </c>
      <c r="V927" s="8" t="str">
        <f>"92647"</f>
        <v>92647</v>
      </c>
      <c r="W927" t="s">
        <v>118</v>
      </c>
      <c r="Y927" s="10">
        <v>17148940563</v>
      </c>
      <c r="Z927" s="3" t="s">
        <v>256</v>
      </c>
      <c r="AA927">
        <v>71399</v>
      </c>
      <c r="AB927" t="s">
        <v>15601</v>
      </c>
      <c r="AC927" t="s">
        <v>2679</v>
      </c>
      <c r="AE927" t="s">
        <v>561</v>
      </c>
      <c r="AF927" t="s">
        <v>15600</v>
      </c>
      <c r="AH927" t="s">
        <v>15602</v>
      </c>
      <c r="AI927" t="s">
        <v>402</v>
      </c>
      <c r="AJ927" s="8" t="str">
        <f>"92647"</f>
        <v>92647</v>
      </c>
      <c r="AK927" t="s">
        <v>118</v>
      </c>
      <c r="AM927" s="10">
        <v>17144033728</v>
      </c>
      <c r="AN927" s="3" t="s">
        <v>256</v>
      </c>
      <c r="AO927" t="s">
        <v>15603</v>
      </c>
      <c r="AP927" t="s">
        <v>248</v>
      </c>
      <c r="AQ927" t="s">
        <v>249</v>
      </c>
      <c r="AR927" t="s">
        <v>250</v>
      </c>
      <c r="AS927" t="s">
        <v>251</v>
      </c>
      <c r="AT927" t="s">
        <v>252</v>
      </c>
      <c r="AU927" t="s">
        <v>253</v>
      </c>
      <c r="AV927" t="s">
        <v>254</v>
      </c>
      <c r="AW927" t="s">
        <v>127</v>
      </c>
      <c r="AX927" s="8" t="str">
        <f>"78550"</f>
        <v>78550</v>
      </c>
      <c r="AY927" t="s">
        <v>118</v>
      </c>
      <c r="AZ927" t="s">
        <v>255</v>
      </c>
      <c r="BA927" s="10">
        <v>19564408720</v>
      </c>
      <c r="BB927" s="3" t="s">
        <v>256</v>
      </c>
      <c r="BC927" t="s">
        <v>338</v>
      </c>
      <c r="BD927" t="s">
        <v>258</v>
      </c>
      <c r="BG927" t="s">
        <v>402</v>
      </c>
      <c r="BH927" s="1">
        <v>45201.833333333336</v>
      </c>
      <c r="BI927">
        <v>40</v>
      </c>
      <c r="BJ927">
        <v>8</v>
      </c>
      <c r="BK927">
        <v>0</v>
      </c>
      <c r="BL927">
        <v>0</v>
      </c>
      <c r="BM927">
        <v>8</v>
      </c>
      <c r="BN927">
        <v>8</v>
      </c>
      <c r="BO927">
        <v>8</v>
      </c>
      <c r="BP927">
        <v>8</v>
      </c>
      <c r="BQ927" t="str">
        <f>"1:00 PM"</f>
        <v>1:00 PM</v>
      </c>
      <c r="BR927" t="str">
        <f>"10:00 PM"</f>
        <v>10:00 PM</v>
      </c>
      <c r="BS927" t="s">
        <v>131</v>
      </c>
      <c r="BT927">
        <v>0</v>
      </c>
      <c r="BU927">
        <v>0</v>
      </c>
      <c r="BV927" t="s">
        <v>114</v>
      </c>
      <c r="BX927" s="2" t="s">
        <v>2396</v>
      </c>
      <c r="BY927" t="s">
        <v>15600</v>
      </c>
      <c r="CA927" t="s">
        <v>14926</v>
      </c>
      <c r="CB927" t="s">
        <v>402</v>
      </c>
      <c r="CC927" s="8" t="str">
        <f>"92647"</f>
        <v>92647</v>
      </c>
      <c r="CD927" t="s">
        <v>2274</v>
      </c>
      <c r="CE927" t="s">
        <v>2969</v>
      </c>
      <c r="CF927" s="12">
        <v>14.27</v>
      </c>
      <c r="CG927" s="12">
        <v>16.43</v>
      </c>
      <c r="CJ927" t="s">
        <v>135</v>
      </c>
      <c r="CK927" t="s">
        <v>342</v>
      </c>
      <c r="CL927" t="s">
        <v>15604</v>
      </c>
      <c r="CO927" t="s">
        <v>132</v>
      </c>
      <c r="CP927" t="s">
        <v>136</v>
      </c>
      <c r="CQ927" t="s">
        <v>136</v>
      </c>
      <c r="CR927" t="s">
        <v>114</v>
      </c>
      <c r="CS927" t="s">
        <v>136</v>
      </c>
      <c r="CT927" t="s">
        <v>136</v>
      </c>
      <c r="CU927" t="s">
        <v>136</v>
      </c>
      <c r="CV927" t="s">
        <v>344</v>
      </c>
      <c r="CW927" s="10" t="str">
        <f>"+17148940563"</f>
        <v>+17148940563</v>
      </c>
      <c r="CX927" t="s">
        <v>15605</v>
      </c>
      <c r="CY927" t="s">
        <v>132</v>
      </c>
      <c r="CZ927" t="s">
        <v>137</v>
      </c>
      <c r="DA927" t="s">
        <v>114</v>
      </c>
      <c r="DB927" t="s">
        <v>114</v>
      </c>
      <c r="DC927" t="s">
        <v>136</v>
      </c>
      <c r="DD927" t="s">
        <v>114</v>
      </c>
    </row>
    <row r="928" spans="1:113" ht="15" customHeight="1" x14ac:dyDescent="0.25">
      <c r="A928" t="s">
        <v>19202</v>
      </c>
      <c r="B928" t="s">
        <v>152</v>
      </c>
      <c r="C928" s="1">
        <v>45202.374846412036</v>
      </c>
      <c r="D928" s="1">
        <v>45245</v>
      </c>
      <c r="E928" t="s">
        <v>132</v>
      </c>
      <c r="F928" t="s">
        <v>685</v>
      </c>
      <c r="G928" t="str">
        <f>"39-3091.00"</f>
        <v>39-3091.00</v>
      </c>
      <c r="H928" t="s">
        <v>237</v>
      </c>
      <c r="I928">
        <v>13</v>
      </c>
      <c r="J928">
        <v>13</v>
      </c>
      <c r="K928" s="1">
        <v>45292</v>
      </c>
      <c r="L928" s="1">
        <v>45596</v>
      </c>
      <c r="M928" s="1">
        <v>45292</v>
      </c>
      <c r="N928" s="1">
        <v>45596</v>
      </c>
      <c r="O928" t="s">
        <v>238</v>
      </c>
      <c r="P928" t="s">
        <v>19203</v>
      </c>
      <c r="R928" t="s">
        <v>19204</v>
      </c>
      <c r="T928" t="s">
        <v>19205</v>
      </c>
      <c r="U928" t="s">
        <v>402</v>
      </c>
      <c r="V928" s="8" t="str">
        <f>"91750"</f>
        <v>91750</v>
      </c>
      <c r="W928" t="s">
        <v>118</v>
      </c>
      <c r="Y928" s="10">
        <v>19093928029</v>
      </c>
      <c r="Z928" s="3" t="s">
        <v>256</v>
      </c>
      <c r="AA928">
        <v>71399</v>
      </c>
      <c r="AB928" t="s">
        <v>12227</v>
      </c>
      <c r="AC928" t="s">
        <v>1328</v>
      </c>
      <c r="AE928" t="s">
        <v>2729</v>
      </c>
      <c r="AF928" t="s">
        <v>19204</v>
      </c>
      <c r="AH928" t="s">
        <v>19205</v>
      </c>
      <c r="AI928" t="s">
        <v>402</v>
      </c>
      <c r="AJ928" s="8" t="str">
        <f>"91750"</f>
        <v>91750</v>
      </c>
      <c r="AK928" t="s">
        <v>118</v>
      </c>
      <c r="AM928" s="10">
        <v>19098167054</v>
      </c>
      <c r="AN928" s="3" t="s">
        <v>256</v>
      </c>
      <c r="AO928" t="s">
        <v>19206</v>
      </c>
      <c r="AP928" t="s">
        <v>248</v>
      </c>
      <c r="AQ928" t="s">
        <v>249</v>
      </c>
      <c r="AR928" t="s">
        <v>250</v>
      </c>
      <c r="AS928" t="s">
        <v>251</v>
      </c>
      <c r="AT928" t="s">
        <v>252</v>
      </c>
      <c r="AU928" t="s">
        <v>253</v>
      </c>
      <c r="AV928" t="s">
        <v>254</v>
      </c>
      <c r="AW928" t="s">
        <v>127</v>
      </c>
      <c r="AX928" s="8" t="str">
        <f>"78550"</f>
        <v>78550</v>
      </c>
      <c r="AY928" t="s">
        <v>118</v>
      </c>
      <c r="AZ928" t="s">
        <v>255</v>
      </c>
      <c r="BA928" s="10">
        <v>19564408720</v>
      </c>
      <c r="BB928" s="3" t="s">
        <v>256</v>
      </c>
      <c r="BC928" t="s">
        <v>338</v>
      </c>
      <c r="BD928" t="s">
        <v>258</v>
      </c>
      <c r="BG928" t="s">
        <v>402</v>
      </c>
      <c r="BH928" s="1">
        <v>45201.833333333336</v>
      </c>
      <c r="BI928">
        <v>40</v>
      </c>
      <c r="BJ928">
        <v>8</v>
      </c>
      <c r="BK928">
        <v>0</v>
      </c>
      <c r="BL928">
        <v>0</v>
      </c>
      <c r="BM928">
        <v>8</v>
      </c>
      <c r="BN928">
        <v>8</v>
      </c>
      <c r="BO928">
        <v>8</v>
      </c>
      <c r="BP928">
        <v>8</v>
      </c>
      <c r="BQ928" t="str">
        <f>"1:00 PM"</f>
        <v>1:00 PM</v>
      </c>
      <c r="BR928" t="str">
        <f>"10:00 PM"</f>
        <v>10:00 PM</v>
      </c>
      <c r="BS928" t="s">
        <v>131</v>
      </c>
      <c r="BT928">
        <v>0</v>
      </c>
      <c r="BU928">
        <v>0</v>
      </c>
      <c r="BV928" t="s">
        <v>114</v>
      </c>
      <c r="BX928" s="2" t="s">
        <v>339</v>
      </c>
      <c r="BY928" t="s">
        <v>19204</v>
      </c>
      <c r="CA928" t="s">
        <v>19205</v>
      </c>
      <c r="CB928" t="s">
        <v>402</v>
      </c>
      <c r="CC928" s="8" t="str">
        <f>"91750"</f>
        <v>91750</v>
      </c>
      <c r="CD928" t="s">
        <v>2968</v>
      </c>
      <c r="CE928" t="s">
        <v>2969</v>
      </c>
      <c r="CF928" s="12">
        <v>15.74</v>
      </c>
      <c r="CG928" s="12">
        <v>16</v>
      </c>
      <c r="CJ928" t="s">
        <v>135</v>
      </c>
      <c r="CK928" t="s">
        <v>342</v>
      </c>
      <c r="CL928" t="s">
        <v>19207</v>
      </c>
      <c r="CO928" t="s">
        <v>132</v>
      </c>
      <c r="CP928" t="s">
        <v>136</v>
      </c>
      <c r="CQ928" t="s">
        <v>136</v>
      </c>
      <c r="CR928" t="s">
        <v>114</v>
      </c>
      <c r="CS928" t="s">
        <v>136</v>
      </c>
      <c r="CT928" t="s">
        <v>136</v>
      </c>
      <c r="CU928" t="s">
        <v>136</v>
      </c>
      <c r="CV928" t="s">
        <v>4970</v>
      </c>
      <c r="CW928" s="10" t="str">
        <f>"+19093928029"</f>
        <v>+19093928029</v>
      </c>
      <c r="CX928" t="s">
        <v>19206</v>
      </c>
      <c r="CY928" t="s">
        <v>132</v>
      </c>
      <c r="CZ928" t="s">
        <v>137</v>
      </c>
      <c r="DA928" t="s">
        <v>114</v>
      </c>
      <c r="DB928" t="s">
        <v>114</v>
      </c>
      <c r="DC928" t="s">
        <v>136</v>
      </c>
      <c r="DD928" t="s">
        <v>114</v>
      </c>
    </row>
    <row r="929" spans="1:108" ht="15" customHeight="1" x14ac:dyDescent="0.25">
      <c r="A929" t="s">
        <v>7141</v>
      </c>
      <c r="B929" t="s">
        <v>152</v>
      </c>
      <c r="C929" s="1">
        <v>45202.321934259257</v>
      </c>
      <c r="D929" s="1">
        <v>45245</v>
      </c>
      <c r="E929" t="s">
        <v>132</v>
      </c>
      <c r="F929" t="s">
        <v>7142</v>
      </c>
      <c r="G929" t="str">
        <f>"35-3023.00"</f>
        <v>35-3023.00</v>
      </c>
      <c r="H929" t="s">
        <v>1365</v>
      </c>
      <c r="I929">
        <v>36</v>
      </c>
      <c r="J929">
        <v>36</v>
      </c>
      <c r="K929" s="1">
        <v>45292</v>
      </c>
      <c r="L929" s="1">
        <v>45596</v>
      </c>
      <c r="M929" s="1">
        <v>45292</v>
      </c>
      <c r="N929" s="1">
        <v>45596</v>
      </c>
      <c r="O929" t="s">
        <v>238</v>
      </c>
      <c r="P929" t="s">
        <v>7143</v>
      </c>
      <c r="R929" t="s">
        <v>7144</v>
      </c>
      <c r="T929" t="s">
        <v>7145</v>
      </c>
      <c r="U929" t="s">
        <v>140</v>
      </c>
      <c r="V929" s="8" t="str">
        <f>"34610"</f>
        <v>34610</v>
      </c>
      <c r="W929" t="s">
        <v>118</v>
      </c>
      <c r="Y929" s="10">
        <v>18134776952</v>
      </c>
      <c r="AA929">
        <v>71399</v>
      </c>
      <c r="AB929" t="s">
        <v>7146</v>
      </c>
      <c r="AC929" t="s">
        <v>560</v>
      </c>
      <c r="AE929" t="s">
        <v>629</v>
      </c>
      <c r="AF929" t="s">
        <v>7147</v>
      </c>
      <c r="AH929" t="s">
        <v>7145</v>
      </c>
      <c r="AI929" t="s">
        <v>140</v>
      </c>
      <c r="AJ929" s="8" t="str">
        <f>"34610"</f>
        <v>34610</v>
      </c>
      <c r="AK929" t="s">
        <v>118</v>
      </c>
      <c r="AM929" s="10">
        <v>18134776952</v>
      </c>
      <c r="AO929" t="s">
        <v>7148</v>
      </c>
      <c r="AP929" t="s">
        <v>248</v>
      </c>
      <c r="AQ929" t="s">
        <v>249</v>
      </c>
      <c r="AR929" t="s">
        <v>250</v>
      </c>
      <c r="AS929" t="s">
        <v>251</v>
      </c>
      <c r="AT929" t="s">
        <v>252</v>
      </c>
      <c r="AU929" t="s">
        <v>253</v>
      </c>
      <c r="AV929" t="s">
        <v>254</v>
      </c>
      <c r="AW929" t="s">
        <v>127</v>
      </c>
      <c r="AX929" s="8" t="str">
        <f>"78550"</f>
        <v>78550</v>
      </c>
      <c r="AY929" t="s">
        <v>118</v>
      </c>
      <c r="BA929" s="10">
        <v>19564408720</v>
      </c>
      <c r="BB929" s="3" t="s">
        <v>256</v>
      </c>
      <c r="BC929" t="s">
        <v>257</v>
      </c>
      <c r="BD929" t="s">
        <v>258</v>
      </c>
      <c r="BG929" t="s">
        <v>140</v>
      </c>
      <c r="BH929" s="1">
        <v>45201.833333333336</v>
      </c>
      <c r="BI929">
        <v>40</v>
      </c>
      <c r="BJ929">
        <v>8</v>
      </c>
      <c r="BK929">
        <v>0</v>
      </c>
      <c r="BL929">
        <v>0</v>
      </c>
      <c r="BM929">
        <v>8</v>
      </c>
      <c r="BN929">
        <v>8</v>
      </c>
      <c r="BO929">
        <v>8</v>
      </c>
      <c r="BP929">
        <v>8</v>
      </c>
      <c r="BQ929" t="str">
        <f>"1:00 PM"</f>
        <v>1:00 PM</v>
      </c>
      <c r="BR929" t="str">
        <f>"10:00 PM"</f>
        <v>10:00 PM</v>
      </c>
      <c r="BS929" t="s">
        <v>131</v>
      </c>
      <c r="BT929">
        <v>0</v>
      </c>
      <c r="BU929">
        <v>0</v>
      </c>
      <c r="BV929" t="s">
        <v>114</v>
      </c>
      <c r="BX929" s="2" t="s">
        <v>259</v>
      </c>
      <c r="BY929" t="s">
        <v>7149</v>
      </c>
      <c r="CA929" t="s">
        <v>7145</v>
      </c>
      <c r="CB929" t="s">
        <v>140</v>
      </c>
      <c r="CC929" s="8" t="str">
        <f>"34610"</f>
        <v>34610</v>
      </c>
      <c r="CD929" t="s">
        <v>3466</v>
      </c>
      <c r="CE929" t="s">
        <v>467</v>
      </c>
      <c r="CF929" s="12">
        <v>9.58</v>
      </c>
      <c r="CG929" s="12">
        <v>15.18</v>
      </c>
      <c r="CJ929" t="s">
        <v>135</v>
      </c>
      <c r="CK929" t="s">
        <v>264</v>
      </c>
      <c r="CL929" t="s">
        <v>7150</v>
      </c>
      <c r="CO929" t="s">
        <v>132</v>
      </c>
      <c r="CP929" t="s">
        <v>136</v>
      </c>
      <c r="CQ929" t="s">
        <v>136</v>
      </c>
      <c r="CR929" t="s">
        <v>114</v>
      </c>
      <c r="CS929" t="s">
        <v>136</v>
      </c>
      <c r="CT929" t="s">
        <v>136</v>
      </c>
      <c r="CU929" t="s">
        <v>136</v>
      </c>
      <c r="CV929" t="s">
        <v>7151</v>
      </c>
      <c r="CW929" s="10" t="str">
        <f>"+13132156459"</f>
        <v>+13132156459</v>
      </c>
      <c r="CX929" t="s">
        <v>7152</v>
      </c>
      <c r="CY929" t="s">
        <v>132</v>
      </c>
      <c r="CZ929" t="s">
        <v>137</v>
      </c>
      <c r="DA929" t="s">
        <v>114</v>
      </c>
      <c r="DB929" t="s">
        <v>136</v>
      </c>
      <c r="DC929" t="s">
        <v>136</v>
      </c>
      <c r="DD929" t="s">
        <v>114</v>
      </c>
    </row>
    <row r="930" spans="1:108" ht="15" customHeight="1" x14ac:dyDescent="0.25">
      <c r="A930" t="s">
        <v>18475</v>
      </c>
      <c r="B930" t="s">
        <v>152</v>
      </c>
      <c r="C930" s="1">
        <v>45202.315852777778</v>
      </c>
      <c r="D930" s="1">
        <v>45245</v>
      </c>
      <c r="E930" t="s">
        <v>132</v>
      </c>
      <c r="F930" t="s">
        <v>236</v>
      </c>
      <c r="G930" t="str">
        <f>"39-3091.00"</f>
        <v>39-3091.00</v>
      </c>
      <c r="H930" t="s">
        <v>237</v>
      </c>
      <c r="I930">
        <v>25</v>
      </c>
      <c r="J930">
        <v>25</v>
      </c>
      <c r="K930" s="1">
        <v>45292</v>
      </c>
      <c r="L930" s="1">
        <v>45596</v>
      </c>
      <c r="M930" s="1">
        <v>45292</v>
      </c>
      <c r="N930" s="1">
        <v>45596</v>
      </c>
      <c r="O930" t="s">
        <v>238</v>
      </c>
      <c r="P930" t="s">
        <v>18476</v>
      </c>
      <c r="R930" t="s">
        <v>18477</v>
      </c>
      <c r="T930" t="s">
        <v>18478</v>
      </c>
      <c r="U930" t="s">
        <v>140</v>
      </c>
      <c r="V930" s="8" t="str">
        <f>"34601"</f>
        <v>34601</v>
      </c>
      <c r="W930" t="s">
        <v>118</v>
      </c>
      <c r="Y930" s="10">
        <v>18137517597</v>
      </c>
      <c r="AA930">
        <v>71399</v>
      </c>
      <c r="AB930" t="s">
        <v>18479</v>
      </c>
      <c r="AC930" t="s">
        <v>2116</v>
      </c>
      <c r="AE930" t="s">
        <v>120</v>
      </c>
      <c r="AF930" t="s">
        <v>18480</v>
      </c>
      <c r="AH930" t="s">
        <v>18481</v>
      </c>
      <c r="AI930" t="s">
        <v>140</v>
      </c>
      <c r="AJ930" s="8" t="str">
        <f>"34601"</f>
        <v>34601</v>
      </c>
      <c r="AK930" t="s">
        <v>118</v>
      </c>
      <c r="AM930" s="10">
        <v>18137517597</v>
      </c>
      <c r="AO930" t="s">
        <v>18482</v>
      </c>
      <c r="AP930" t="s">
        <v>248</v>
      </c>
      <c r="AQ930" t="s">
        <v>249</v>
      </c>
      <c r="AR930" t="s">
        <v>250</v>
      </c>
      <c r="AS930" t="s">
        <v>251</v>
      </c>
      <c r="AT930" t="s">
        <v>252</v>
      </c>
      <c r="AU930" t="s">
        <v>253</v>
      </c>
      <c r="AV930" t="s">
        <v>254</v>
      </c>
      <c r="AW930" t="s">
        <v>127</v>
      </c>
      <c r="AX930" s="8" t="str">
        <f>"78550"</f>
        <v>78550</v>
      </c>
      <c r="AY930" t="s">
        <v>118</v>
      </c>
      <c r="BA930" s="10">
        <v>19564408720</v>
      </c>
      <c r="BB930" s="3" t="s">
        <v>256</v>
      </c>
      <c r="BC930" t="s">
        <v>257</v>
      </c>
      <c r="BD930" t="s">
        <v>258</v>
      </c>
      <c r="BG930" t="s">
        <v>140</v>
      </c>
      <c r="BH930" s="1">
        <v>45201.833333333336</v>
      </c>
      <c r="BI930">
        <v>40</v>
      </c>
      <c r="BJ930">
        <v>8</v>
      </c>
      <c r="BK930">
        <v>0</v>
      </c>
      <c r="BL930">
        <v>0</v>
      </c>
      <c r="BM930">
        <v>8</v>
      </c>
      <c r="BN930">
        <v>8</v>
      </c>
      <c r="BO930">
        <v>8</v>
      </c>
      <c r="BP930">
        <v>8</v>
      </c>
      <c r="BQ930" t="str">
        <f>"1:00 PM"</f>
        <v>1:00 PM</v>
      </c>
      <c r="BR930" t="str">
        <f>"10:00 PM"</f>
        <v>10:00 PM</v>
      </c>
      <c r="BS930" t="s">
        <v>131</v>
      </c>
      <c r="BT930">
        <v>0</v>
      </c>
      <c r="BU930">
        <v>0</v>
      </c>
      <c r="BV930" t="s">
        <v>114</v>
      </c>
      <c r="BX930" s="2" t="s">
        <v>259</v>
      </c>
      <c r="BY930" t="s">
        <v>18480</v>
      </c>
      <c r="CA930" t="s">
        <v>18481</v>
      </c>
      <c r="CB930" t="s">
        <v>140</v>
      </c>
      <c r="CC930" s="8" t="str">
        <f>"34601"</f>
        <v>34601</v>
      </c>
      <c r="CD930" t="s">
        <v>18483</v>
      </c>
      <c r="CE930" t="s">
        <v>467</v>
      </c>
      <c r="CF930" s="12">
        <v>9.61</v>
      </c>
      <c r="CG930" s="12">
        <v>15</v>
      </c>
      <c r="CJ930" t="s">
        <v>135</v>
      </c>
      <c r="CK930" t="s">
        <v>264</v>
      </c>
      <c r="CL930" t="s">
        <v>18484</v>
      </c>
      <c r="CO930" t="s">
        <v>132</v>
      </c>
      <c r="CP930" t="s">
        <v>136</v>
      </c>
      <c r="CQ930" t="s">
        <v>136</v>
      </c>
      <c r="CR930" t="s">
        <v>114</v>
      </c>
      <c r="CS930" t="s">
        <v>136</v>
      </c>
      <c r="CT930" t="s">
        <v>136</v>
      </c>
      <c r="CU930" t="s">
        <v>136</v>
      </c>
      <c r="CV930" t="s">
        <v>7151</v>
      </c>
      <c r="CW930" s="10" t="str">
        <f>"+18137517597"</f>
        <v>+18137517597</v>
      </c>
      <c r="CX930" t="s">
        <v>18482</v>
      </c>
      <c r="CY930" t="s">
        <v>132</v>
      </c>
      <c r="CZ930" t="s">
        <v>137</v>
      </c>
      <c r="DA930" t="s">
        <v>114</v>
      </c>
      <c r="DB930" t="s">
        <v>136</v>
      </c>
      <c r="DC930" t="s">
        <v>136</v>
      </c>
      <c r="DD930" t="s">
        <v>114</v>
      </c>
    </row>
    <row r="931" spans="1:108" ht="15" customHeight="1" x14ac:dyDescent="0.25">
      <c r="A931" t="s">
        <v>554</v>
      </c>
      <c r="B931" t="s">
        <v>152</v>
      </c>
      <c r="C931" s="1">
        <v>45202.311508680556</v>
      </c>
      <c r="D931" s="1">
        <v>45245</v>
      </c>
      <c r="E931" t="s">
        <v>132</v>
      </c>
      <c r="F931" t="s">
        <v>236</v>
      </c>
      <c r="G931" t="str">
        <f>"39-3091.00"</f>
        <v>39-3091.00</v>
      </c>
      <c r="H931" t="s">
        <v>237</v>
      </c>
      <c r="I931">
        <v>40</v>
      </c>
      <c r="J931">
        <v>40</v>
      </c>
      <c r="K931" s="1">
        <v>45292</v>
      </c>
      <c r="L931" s="1">
        <v>45596</v>
      </c>
      <c r="M931" s="1">
        <v>45292</v>
      </c>
      <c r="N931" s="1">
        <v>45596</v>
      </c>
      <c r="O931" t="s">
        <v>238</v>
      </c>
      <c r="P931" t="s">
        <v>555</v>
      </c>
      <c r="R931" t="s">
        <v>556</v>
      </c>
      <c r="S931" t="s">
        <v>132</v>
      </c>
      <c r="T931" t="s">
        <v>557</v>
      </c>
      <c r="U931" t="s">
        <v>558</v>
      </c>
      <c r="V931" s="8" t="str">
        <f>"85122"</f>
        <v>85122</v>
      </c>
      <c r="W931" t="s">
        <v>118</v>
      </c>
      <c r="Y931" s="10">
        <v>19517576607</v>
      </c>
      <c r="AA931">
        <v>71399</v>
      </c>
      <c r="AB931" t="s">
        <v>559</v>
      </c>
      <c r="AC931" t="s">
        <v>560</v>
      </c>
      <c r="AE931" t="s">
        <v>561</v>
      </c>
      <c r="AF931" t="s">
        <v>556</v>
      </c>
      <c r="AG931" t="s">
        <v>132</v>
      </c>
      <c r="AH931" t="s">
        <v>557</v>
      </c>
      <c r="AI931" t="s">
        <v>558</v>
      </c>
      <c r="AJ931" s="8" t="str">
        <f>"85122"</f>
        <v>85122</v>
      </c>
      <c r="AK931" t="s">
        <v>118</v>
      </c>
      <c r="AM931" s="10">
        <v>19517576607</v>
      </c>
      <c r="AO931" t="s">
        <v>562</v>
      </c>
      <c r="AP931" t="s">
        <v>248</v>
      </c>
      <c r="AQ931" t="s">
        <v>249</v>
      </c>
      <c r="AR931" t="s">
        <v>250</v>
      </c>
      <c r="AS931" t="s">
        <v>251</v>
      </c>
      <c r="AT931" t="s">
        <v>252</v>
      </c>
      <c r="AU931" t="s">
        <v>253</v>
      </c>
      <c r="AV931" t="s">
        <v>254</v>
      </c>
      <c r="AW931" t="s">
        <v>127</v>
      </c>
      <c r="AX931" s="8" t="str">
        <f>"78550"</f>
        <v>78550</v>
      </c>
      <c r="AY931" t="s">
        <v>118</v>
      </c>
      <c r="AZ931" t="s">
        <v>255</v>
      </c>
      <c r="BA931" s="10">
        <v>19564408720</v>
      </c>
      <c r="BB931" s="3" t="s">
        <v>256</v>
      </c>
      <c r="BC931" t="s">
        <v>257</v>
      </c>
      <c r="BD931" t="s">
        <v>258</v>
      </c>
      <c r="BG931" t="s">
        <v>558</v>
      </c>
      <c r="BH931" s="1">
        <v>45201.833333333336</v>
      </c>
      <c r="BI931">
        <v>40</v>
      </c>
      <c r="BJ931">
        <v>8</v>
      </c>
      <c r="BK931">
        <v>0</v>
      </c>
      <c r="BL931">
        <v>0</v>
      </c>
      <c r="BM931">
        <v>8</v>
      </c>
      <c r="BN931">
        <v>8</v>
      </c>
      <c r="BO931">
        <v>8</v>
      </c>
      <c r="BP931">
        <v>8</v>
      </c>
      <c r="BQ931" t="str">
        <f>"1:00 PM"</f>
        <v>1:00 PM</v>
      </c>
      <c r="BR931" t="str">
        <f>"10:00 PM"</f>
        <v>10:00 PM</v>
      </c>
      <c r="BS931" t="s">
        <v>131</v>
      </c>
      <c r="BT931">
        <v>0</v>
      </c>
      <c r="BU931">
        <v>0</v>
      </c>
      <c r="BV931" t="s">
        <v>114</v>
      </c>
      <c r="BX931" s="2" t="s">
        <v>259</v>
      </c>
      <c r="BY931" t="s">
        <v>563</v>
      </c>
      <c r="CA931" t="s">
        <v>557</v>
      </c>
      <c r="CB931" t="s">
        <v>558</v>
      </c>
      <c r="CC931" s="8" t="str">
        <f>"85122"</f>
        <v>85122</v>
      </c>
      <c r="CD931" t="s">
        <v>564</v>
      </c>
      <c r="CE931" t="s">
        <v>565</v>
      </c>
      <c r="CF931" s="12">
        <v>14.63</v>
      </c>
      <c r="CG931" s="12">
        <v>16.899999999999999</v>
      </c>
      <c r="CJ931" t="s">
        <v>135</v>
      </c>
      <c r="CK931" t="s">
        <v>264</v>
      </c>
      <c r="CL931" t="s">
        <v>566</v>
      </c>
      <c r="CO931" t="s">
        <v>132</v>
      </c>
      <c r="CP931" t="s">
        <v>136</v>
      </c>
      <c r="CQ931" t="s">
        <v>136</v>
      </c>
      <c r="CR931" t="s">
        <v>114</v>
      </c>
      <c r="CS931" t="s">
        <v>136</v>
      </c>
      <c r="CT931" t="s">
        <v>136</v>
      </c>
      <c r="CU931" t="s">
        <v>136</v>
      </c>
      <c r="CV931" t="s">
        <v>567</v>
      </c>
      <c r="CW931" s="10" t="str">
        <f>"+19517576607"</f>
        <v>+19517576607</v>
      </c>
      <c r="CX931" t="s">
        <v>562</v>
      </c>
      <c r="CY931" t="s">
        <v>132</v>
      </c>
      <c r="CZ931" t="s">
        <v>137</v>
      </c>
      <c r="DA931" t="s">
        <v>114</v>
      </c>
      <c r="DB931" t="s">
        <v>136</v>
      </c>
      <c r="DC931" t="s">
        <v>136</v>
      </c>
      <c r="DD931" t="s">
        <v>114</v>
      </c>
    </row>
    <row r="932" spans="1:108" ht="15" customHeight="1" x14ac:dyDescent="0.25">
      <c r="A932" t="s">
        <v>18300</v>
      </c>
      <c r="B932" t="s">
        <v>152</v>
      </c>
      <c r="C932" s="1">
        <v>45202.305697453703</v>
      </c>
      <c r="D932" s="1">
        <v>45245</v>
      </c>
      <c r="E932" t="s">
        <v>132</v>
      </c>
      <c r="F932" t="s">
        <v>236</v>
      </c>
      <c r="G932" t="str">
        <f>"39-3091.00"</f>
        <v>39-3091.00</v>
      </c>
      <c r="H932" t="s">
        <v>237</v>
      </c>
      <c r="I932">
        <v>130</v>
      </c>
      <c r="J932">
        <v>130</v>
      </c>
      <c r="K932" s="1">
        <v>45292</v>
      </c>
      <c r="L932" s="1">
        <v>45596</v>
      </c>
      <c r="M932" s="1">
        <v>45292</v>
      </c>
      <c r="N932" s="1">
        <v>45596</v>
      </c>
      <c r="O932" t="s">
        <v>238</v>
      </c>
      <c r="P932" t="s">
        <v>18301</v>
      </c>
      <c r="R932" t="s">
        <v>18302</v>
      </c>
      <c r="S932" t="s">
        <v>18303</v>
      </c>
      <c r="T932" t="s">
        <v>18304</v>
      </c>
      <c r="U932" t="s">
        <v>158</v>
      </c>
      <c r="V932" s="8" t="str">
        <f>"48169"</f>
        <v>48169</v>
      </c>
      <c r="W932" t="s">
        <v>118</v>
      </c>
      <c r="Y932" s="10">
        <v>17342661668</v>
      </c>
      <c r="AA932">
        <v>711190</v>
      </c>
      <c r="AB932" t="s">
        <v>7146</v>
      </c>
      <c r="AC932" t="s">
        <v>560</v>
      </c>
      <c r="AE932" t="s">
        <v>629</v>
      </c>
      <c r="AF932" t="s">
        <v>18302</v>
      </c>
      <c r="AG932" t="s">
        <v>18303</v>
      </c>
      <c r="AH932" t="s">
        <v>18304</v>
      </c>
      <c r="AI932" t="s">
        <v>158</v>
      </c>
      <c r="AJ932" s="8" t="str">
        <f>"48169"</f>
        <v>48169</v>
      </c>
      <c r="AK932" t="s">
        <v>118</v>
      </c>
      <c r="AM932" s="10">
        <v>18134776952</v>
      </c>
      <c r="AO932" t="s">
        <v>7148</v>
      </c>
      <c r="AP932" t="s">
        <v>248</v>
      </c>
      <c r="AQ932" t="s">
        <v>249</v>
      </c>
      <c r="AR932" t="s">
        <v>250</v>
      </c>
      <c r="AS932" t="s">
        <v>251</v>
      </c>
      <c r="AT932" t="s">
        <v>252</v>
      </c>
      <c r="AU932" t="s">
        <v>253</v>
      </c>
      <c r="AV932" t="s">
        <v>254</v>
      </c>
      <c r="AW932" t="s">
        <v>127</v>
      </c>
      <c r="AX932" s="8" t="str">
        <f>"78550"</f>
        <v>78550</v>
      </c>
      <c r="AY932" t="s">
        <v>118</v>
      </c>
      <c r="BA932" s="10">
        <v>19564408720</v>
      </c>
      <c r="BB932" s="3" t="s">
        <v>256</v>
      </c>
      <c r="BC932" t="s">
        <v>257</v>
      </c>
      <c r="BD932" t="s">
        <v>258</v>
      </c>
      <c r="BG932" t="s">
        <v>158</v>
      </c>
      <c r="BH932" s="1">
        <v>45201.833333333336</v>
      </c>
      <c r="BI932">
        <v>40</v>
      </c>
      <c r="BJ932">
        <v>8</v>
      </c>
      <c r="BK932">
        <v>0</v>
      </c>
      <c r="BL932">
        <v>0</v>
      </c>
      <c r="BM932">
        <v>8</v>
      </c>
      <c r="BN932">
        <v>8</v>
      </c>
      <c r="BO932">
        <v>8</v>
      </c>
      <c r="BP932">
        <v>8</v>
      </c>
      <c r="BQ932" t="str">
        <f>"1:00 PM"</f>
        <v>1:00 PM</v>
      </c>
      <c r="BR932" t="str">
        <f>"10:00 PM"</f>
        <v>10:00 PM</v>
      </c>
      <c r="BS932" t="s">
        <v>131</v>
      </c>
      <c r="BT932">
        <v>0</v>
      </c>
      <c r="BU932">
        <v>0</v>
      </c>
      <c r="BV932" t="s">
        <v>114</v>
      </c>
      <c r="BX932" s="2" t="s">
        <v>259</v>
      </c>
      <c r="BY932" t="s">
        <v>18302</v>
      </c>
      <c r="CA932" t="s">
        <v>18304</v>
      </c>
      <c r="CB932" t="s">
        <v>158</v>
      </c>
      <c r="CC932" s="8" t="str">
        <f>"48169"</f>
        <v>48169</v>
      </c>
      <c r="CD932" t="s">
        <v>2072</v>
      </c>
      <c r="CE932" t="s">
        <v>2228</v>
      </c>
      <c r="CF932" s="12">
        <v>9.61</v>
      </c>
      <c r="CG932" s="12">
        <v>15</v>
      </c>
      <c r="CJ932" t="s">
        <v>135</v>
      </c>
      <c r="CK932" t="s">
        <v>264</v>
      </c>
      <c r="CL932" t="s">
        <v>18305</v>
      </c>
      <c r="CO932" t="s">
        <v>132</v>
      </c>
      <c r="CP932" t="s">
        <v>136</v>
      </c>
      <c r="CQ932" t="s">
        <v>136</v>
      </c>
      <c r="CR932" t="s">
        <v>114</v>
      </c>
      <c r="CS932" t="s">
        <v>136</v>
      </c>
      <c r="CT932" t="s">
        <v>136</v>
      </c>
      <c r="CU932" t="s">
        <v>136</v>
      </c>
      <c r="CV932" t="s">
        <v>7151</v>
      </c>
      <c r="CW932" s="10" t="str">
        <f>"+17342661668"</f>
        <v>+17342661668</v>
      </c>
      <c r="CX932" t="s">
        <v>18306</v>
      </c>
      <c r="CY932" t="s">
        <v>132</v>
      </c>
      <c r="CZ932" t="s">
        <v>137</v>
      </c>
      <c r="DA932" t="s">
        <v>114</v>
      </c>
      <c r="DB932" t="s">
        <v>136</v>
      </c>
      <c r="DC932" t="s">
        <v>136</v>
      </c>
      <c r="DD932" t="s">
        <v>114</v>
      </c>
    </row>
    <row r="933" spans="1:108" ht="15" customHeight="1" x14ac:dyDescent="0.25">
      <c r="A933" t="s">
        <v>17291</v>
      </c>
      <c r="B933" t="s">
        <v>152</v>
      </c>
      <c r="C933" s="1">
        <v>45202.302837037038</v>
      </c>
      <c r="D933" s="1">
        <v>45245</v>
      </c>
      <c r="E933" t="s">
        <v>132</v>
      </c>
      <c r="F933" t="s">
        <v>17292</v>
      </c>
      <c r="G933" t="str">
        <f>"49-9071.00"</f>
        <v>49-9071.00</v>
      </c>
      <c r="H933" t="s">
        <v>5714</v>
      </c>
      <c r="I933">
        <v>13</v>
      </c>
      <c r="J933">
        <v>13</v>
      </c>
      <c r="K933" s="1">
        <v>45292</v>
      </c>
      <c r="L933" s="1">
        <v>45596</v>
      </c>
      <c r="M933" s="1">
        <v>45292</v>
      </c>
      <c r="N933" s="1">
        <v>45596</v>
      </c>
      <c r="O933" t="s">
        <v>238</v>
      </c>
      <c r="P933" t="s">
        <v>14077</v>
      </c>
      <c r="R933" t="s">
        <v>14078</v>
      </c>
      <c r="S933" t="s">
        <v>14079</v>
      </c>
      <c r="T933" t="s">
        <v>14080</v>
      </c>
      <c r="U933" t="s">
        <v>479</v>
      </c>
      <c r="V933" s="8" t="str">
        <f>"97008"</f>
        <v>97008</v>
      </c>
      <c r="W933" t="s">
        <v>118</v>
      </c>
      <c r="Y933" s="10">
        <v>15036436610</v>
      </c>
      <c r="AA933">
        <v>711190</v>
      </c>
      <c r="AB933" t="s">
        <v>14081</v>
      </c>
      <c r="AC933" t="s">
        <v>3548</v>
      </c>
      <c r="AD933" t="s">
        <v>2356</v>
      </c>
      <c r="AE933" t="s">
        <v>629</v>
      </c>
      <c r="AF933" t="s">
        <v>14078</v>
      </c>
      <c r="AG933" t="s">
        <v>14079</v>
      </c>
      <c r="AH933" t="s">
        <v>14080</v>
      </c>
      <c r="AI933" t="s">
        <v>479</v>
      </c>
      <c r="AJ933" s="8" t="str">
        <f>"97008"</f>
        <v>97008</v>
      </c>
      <c r="AK933" t="s">
        <v>118</v>
      </c>
      <c r="AM933" s="10">
        <v>14082106653</v>
      </c>
      <c r="AO933" t="s">
        <v>14082</v>
      </c>
      <c r="AP933" t="s">
        <v>248</v>
      </c>
      <c r="AQ933" t="s">
        <v>249</v>
      </c>
      <c r="AR933" t="s">
        <v>250</v>
      </c>
      <c r="AS933" t="s">
        <v>251</v>
      </c>
      <c r="AT933" t="s">
        <v>252</v>
      </c>
      <c r="AU933" t="s">
        <v>253</v>
      </c>
      <c r="AV933" t="s">
        <v>254</v>
      </c>
      <c r="AW933" t="s">
        <v>127</v>
      </c>
      <c r="AX933" s="8" t="str">
        <f>"78550"</f>
        <v>78550</v>
      </c>
      <c r="AY933" t="s">
        <v>118</v>
      </c>
      <c r="AZ933" t="s">
        <v>255</v>
      </c>
      <c r="BA933" s="10">
        <v>19564408720</v>
      </c>
      <c r="BB933" s="3" t="s">
        <v>256</v>
      </c>
      <c r="BC933" t="s">
        <v>257</v>
      </c>
      <c r="BD933" t="s">
        <v>258</v>
      </c>
      <c r="BG933" t="s">
        <v>792</v>
      </c>
      <c r="BH933" s="1">
        <v>45201.833333333336</v>
      </c>
      <c r="BI933">
        <v>40</v>
      </c>
      <c r="BJ933">
        <v>8</v>
      </c>
      <c r="BK933">
        <v>0</v>
      </c>
      <c r="BL933">
        <v>0</v>
      </c>
      <c r="BM933">
        <v>8</v>
      </c>
      <c r="BN933">
        <v>8</v>
      </c>
      <c r="BO933">
        <v>8</v>
      </c>
      <c r="BP933">
        <v>8</v>
      </c>
      <c r="BQ933" t="str">
        <f>"1:00 PM"</f>
        <v>1:00 PM</v>
      </c>
      <c r="BR933" t="str">
        <f>"10:00 PM"</f>
        <v>10:00 PM</v>
      </c>
      <c r="BS933" t="s">
        <v>131</v>
      </c>
      <c r="BT933">
        <v>0</v>
      </c>
      <c r="BU933">
        <v>6</v>
      </c>
      <c r="BV933" t="s">
        <v>114</v>
      </c>
      <c r="BX933" s="2" t="s">
        <v>259</v>
      </c>
      <c r="BY933" t="s">
        <v>14084</v>
      </c>
      <c r="CA933" t="s">
        <v>3673</v>
      </c>
      <c r="CB933" t="s">
        <v>792</v>
      </c>
      <c r="CC933" s="8" t="str">
        <f>"98109"</f>
        <v>98109</v>
      </c>
      <c r="CD933" t="s">
        <v>6912</v>
      </c>
      <c r="CE933" t="s">
        <v>9297</v>
      </c>
      <c r="CF933" s="12">
        <v>22.41</v>
      </c>
      <c r="CG933" s="12">
        <v>30.88</v>
      </c>
      <c r="CJ933" t="s">
        <v>135</v>
      </c>
      <c r="CK933" t="s">
        <v>264</v>
      </c>
      <c r="CL933" t="s">
        <v>17293</v>
      </c>
      <c r="CO933" t="s">
        <v>132</v>
      </c>
      <c r="CP933" t="s">
        <v>136</v>
      </c>
      <c r="CQ933" t="s">
        <v>136</v>
      </c>
      <c r="CR933" t="s">
        <v>114</v>
      </c>
      <c r="CS933" t="s">
        <v>136</v>
      </c>
      <c r="CT933" t="s">
        <v>136</v>
      </c>
      <c r="CU933" t="s">
        <v>136</v>
      </c>
      <c r="CV933" t="s">
        <v>14086</v>
      </c>
      <c r="CW933" s="10" t="str">
        <f>"N/A"</f>
        <v>N/A</v>
      </c>
      <c r="CX933" t="s">
        <v>14087</v>
      </c>
      <c r="CY933" t="s">
        <v>14088</v>
      </c>
      <c r="CZ933" t="s">
        <v>137</v>
      </c>
      <c r="DA933" t="s">
        <v>114</v>
      </c>
      <c r="DB933" t="s">
        <v>136</v>
      </c>
      <c r="DC933" t="s">
        <v>136</v>
      </c>
      <c r="DD933" t="s">
        <v>114</v>
      </c>
    </row>
    <row r="934" spans="1:108" ht="15" customHeight="1" x14ac:dyDescent="0.25">
      <c r="A934" t="s">
        <v>21569</v>
      </c>
      <c r="B934" t="s">
        <v>152</v>
      </c>
      <c r="C934" s="1">
        <v>45202.301828935182</v>
      </c>
      <c r="D934" s="1">
        <v>45245</v>
      </c>
      <c r="E934" t="s">
        <v>132</v>
      </c>
      <c r="F934" t="s">
        <v>21570</v>
      </c>
      <c r="G934" t="str">
        <f>"39-3091.00"</f>
        <v>39-3091.00</v>
      </c>
      <c r="H934" t="s">
        <v>237</v>
      </c>
      <c r="I934">
        <v>16</v>
      </c>
      <c r="J934">
        <v>16</v>
      </c>
      <c r="K934" s="1">
        <v>45292</v>
      </c>
      <c r="L934" s="1">
        <v>45596</v>
      </c>
      <c r="M934" s="1">
        <v>45292</v>
      </c>
      <c r="N934" s="1">
        <v>45596</v>
      </c>
      <c r="O934" t="s">
        <v>238</v>
      </c>
      <c r="P934" t="s">
        <v>14077</v>
      </c>
      <c r="R934" t="s">
        <v>14078</v>
      </c>
      <c r="S934" t="s">
        <v>14079</v>
      </c>
      <c r="T934" t="s">
        <v>14080</v>
      </c>
      <c r="U934" t="s">
        <v>479</v>
      </c>
      <c r="V934" s="8" t="str">
        <f>"97008"</f>
        <v>97008</v>
      </c>
      <c r="W934" t="s">
        <v>118</v>
      </c>
      <c r="Y934" s="10">
        <v>15036436610</v>
      </c>
      <c r="AA934">
        <v>71399</v>
      </c>
      <c r="AB934" t="s">
        <v>14081</v>
      </c>
      <c r="AC934" t="s">
        <v>3548</v>
      </c>
      <c r="AD934" t="s">
        <v>2291</v>
      </c>
      <c r="AE934" t="s">
        <v>629</v>
      </c>
      <c r="AF934" t="s">
        <v>14078</v>
      </c>
      <c r="AG934" t="s">
        <v>14079</v>
      </c>
      <c r="AH934" t="s">
        <v>14080</v>
      </c>
      <c r="AI934" t="s">
        <v>479</v>
      </c>
      <c r="AJ934" s="8" t="str">
        <f>"97008"</f>
        <v>97008</v>
      </c>
      <c r="AK934" t="s">
        <v>118</v>
      </c>
      <c r="AM934" s="10">
        <v>14082214282</v>
      </c>
      <c r="AO934" t="s">
        <v>14082</v>
      </c>
      <c r="AP934" t="s">
        <v>248</v>
      </c>
      <c r="AQ934" t="s">
        <v>249</v>
      </c>
      <c r="AR934" t="s">
        <v>250</v>
      </c>
      <c r="AS934" t="s">
        <v>251</v>
      </c>
      <c r="AT934" t="s">
        <v>252</v>
      </c>
      <c r="AU934" t="s">
        <v>253</v>
      </c>
      <c r="AV934" t="s">
        <v>254</v>
      </c>
      <c r="AW934" t="s">
        <v>127</v>
      </c>
      <c r="AX934" s="8" t="str">
        <f>"78550"</f>
        <v>78550</v>
      </c>
      <c r="AY934" t="s">
        <v>118</v>
      </c>
      <c r="BA934" s="10">
        <v>19564408720</v>
      </c>
      <c r="BB934" s="3" t="s">
        <v>256</v>
      </c>
      <c r="BC934" t="s">
        <v>3829</v>
      </c>
      <c r="BD934" t="s">
        <v>258</v>
      </c>
      <c r="BG934" t="s">
        <v>792</v>
      </c>
      <c r="BH934" s="1">
        <v>45201.833333333336</v>
      </c>
      <c r="BI934">
        <v>40</v>
      </c>
      <c r="BJ934">
        <v>8</v>
      </c>
      <c r="BK934">
        <v>0</v>
      </c>
      <c r="BL934">
        <v>0</v>
      </c>
      <c r="BM934">
        <v>8</v>
      </c>
      <c r="BN934">
        <v>8</v>
      </c>
      <c r="BO934">
        <v>8</v>
      </c>
      <c r="BP934">
        <v>8</v>
      </c>
      <c r="BQ934" t="str">
        <f>"1:00 PM"</f>
        <v>1:00 PM</v>
      </c>
      <c r="BR934" t="str">
        <f>"10:00 PM"</f>
        <v>10:00 PM</v>
      </c>
      <c r="BS934" t="s">
        <v>131</v>
      </c>
      <c r="BT934">
        <v>0</v>
      </c>
      <c r="BU934">
        <v>6</v>
      </c>
      <c r="BV934" t="s">
        <v>136</v>
      </c>
      <c r="BW934">
        <v>7</v>
      </c>
      <c r="BX934" s="2" t="s">
        <v>259</v>
      </c>
      <c r="BY934" t="s">
        <v>14084</v>
      </c>
      <c r="CA934" t="s">
        <v>3673</v>
      </c>
      <c r="CB934" t="s">
        <v>792</v>
      </c>
      <c r="CC934" s="8" t="str">
        <f>"98109"</f>
        <v>98109</v>
      </c>
      <c r="CD934" t="s">
        <v>6912</v>
      </c>
      <c r="CE934" t="s">
        <v>9297</v>
      </c>
      <c r="CF934" s="12">
        <v>18.75</v>
      </c>
      <c r="CG934" s="12">
        <v>18.75</v>
      </c>
      <c r="CJ934" t="s">
        <v>135</v>
      </c>
      <c r="CK934" t="s">
        <v>264</v>
      </c>
      <c r="CL934" t="s">
        <v>21571</v>
      </c>
      <c r="CO934" t="s">
        <v>132</v>
      </c>
      <c r="CP934" t="s">
        <v>136</v>
      </c>
      <c r="CQ934" t="s">
        <v>136</v>
      </c>
      <c r="CR934" t="s">
        <v>114</v>
      </c>
      <c r="CS934" t="s">
        <v>136</v>
      </c>
      <c r="CT934" t="s">
        <v>136</v>
      </c>
      <c r="CU934" t="s">
        <v>136</v>
      </c>
      <c r="CV934" t="s">
        <v>21572</v>
      </c>
      <c r="CW934" s="10" t="str">
        <f>"N/A"</f>
        <v>N/A</v>
      </c>
      <c r="CX934" t="s">
        <v>14087</v>
      </c>
      <c r="CY934" t="s">
        <v>14088</v>
      </c>
      <c r="CZ934" t="s">
        <v>137</v>
      </c>
      <c r="DA934" t="s">
        <v>114</v>
      </c>
      <c r="DB934" t="s">
        <v>136</v>
      </c>
      <c r="DC934" t="s">
        <v>136</v>
      </c>
      <c r="DD934" t="s">
        <v>114</v>
      </c>
    </row>
    <row r="935" spans="1:108" ht="15" customHeight="1" x14ac:dyDescent="0.25">
      <c r="A935" t="s">
        <v>14075</v>
      </c>
      <c r="B935" t="s">
        <v>152</v>
      </c>
      <c r="C935" s="1">
        <v>45202.300889120372</v>
      </c>
      <c r="D935" s="1">
        <v>45245</v>
      </c>
      <c r="E935" t="s">
        <v>132</v>
      </c>
      <c r="F935" t="s">
        <v>14076</v>
      </c>
      <c r="G935" t="str">
        <f>"53-3032.00"</f>
        <v>53-3032.00</v>
      </c>
      <c r="H935" t="s">
        <v>736</v>
      </c>
      <c r="I935">
        <v>28</v>
      </c>
      <c r="J935">
        <v>28</v>
      </c>
      <c r="K935" s="1">
        <v>45292</v>
      </c>
      <c r="L935" s="1">
        <v>45596</v>
      </c>
      <c r="M935" s="1">
        <v>45292</v>
      </c>
      <c r="N935" s="1">
        <v>45596</v>
      </c>
      <c r="O935" t="s">
        <v>238</v>
      </c>
      <c r="P935" t="s">
        <v>14077</v>
      </c>
      <c r="R935" t="s">
        <v>14078</v>
      </c>
      <c r="S935" t="s">
        <v>14079</v>
      </c>
      <c r="T935" t="s">
        <v>14080</v>
      </c>
      <c r="U935" t="s">
        <v>479</v>
      </c>
      <c r="V935" s="8" t="str">
        <f>"97008"</f>
        <v>97008</v>
      </c>
      <c r="W935" t="s">
        <v>118</v>
      </c>
      <c r="Y935" s="10">
        <v>15036436610</v>
      </c>
      <c r="AA935">
        <v>71399</v>
      </c>
      <c r="AB935" t="s">
        <v>14081</v>
      </c>
      <c r="AC935" t="s">
        <v>3548</v>
      </c>
      <c r="AD935" t="s">
        <v>2291</v>
      </c>
      <c r="AE935" t="s">
        <v>629</v>
      </c>
      <c r="AF935" t="s">
        <v>14078</v>
      </c>
      <c r="AG935" t="s">
        <v>14079</v>
      </c>
      <c r="AH935" t="s">
        <v>14080</v>
      </c>
      <c r="AI935" t="s">
        <v>479</v>
      </c>
      <c r="AJ935" s="8" t="str">
        <f>"97008"</f>
        <v>97008</v>
      </c>
      <c r="AK935" t="s">
        <v>118</v>
      </c>
      <c r="AM935" s="10">
        <v>14082214282</v>
      </c>
      <c r="AO935" t="s">
        <v>14082</v>
      </c>
      <c r="AP935" t="s">
        <v>248</v>
      </c>
      <c r="AQ935" t="s">
        <v>249</v>
      </c>
      <c r="AR935" t="s">
        <v>250</v>
      </c>
      <c r="AS935" t="s">
        <v>251</v>
      </c>
      <c r="AT935" t="s">
        <v>252</v>
      </c>
      <c r="AU935" t="s">
        <v>253</v>
      </c>
      <c r="AV935" t="s">
        <v>254</v>
      </c>
      <c r="AW935" t="s">
        <v>127</v>
      </c>
      <c r="AX935" s="8" t="str">
        <f>"78550"</f>
        <v>78550</v>
      </c>
      <c r="AY935" t="s">
        <v>118</v>
      </c>
      <c r="BA935" s="10">
        <v>19564408720</v>
      </c>
      <c r="BB935" s="3" t="s">
        <v>256</v>
      </c>
      <c r="BC935" t="s">
        <v>3829</v>
      </c>
      <c r="BD935" t="s">
        <v>258</v>
      </c>
      <c r="BG935" t="s">
        <v>792</v>
      </c>
      <c r="BH935" s="1">
        <v>45201.833333333336</v>
      </c>
      <c r="BI935">
        <v>40</v>
      </c>
      <c r="BJ935">
        <v>8</v>
      </c>
      <c r="BK935">
        <v>0</v>
      </c>
      <c r="BL935">
        <v>0</v>
      </c>
      <c r="BM935">
        <v>8</v>
      </c>
      <c r="BN935">
        <v>8</v>
      </c>
      <c r="BO935">
        <v>8</v>
      </c>
      <c r="BP935">
        <v>8</v>
      </c>
      <c r="BQ935" t="str">
        <f>"1:00 PM"</f>
        <v>1:00 PM</v>
      </c>
      <c r="BR935" t="str">
        <f>"10:00 PM"</f>
        <v>10:00 PM</v>
      </c>
      <c r="BS935" t="s">
        <v>131</v>
      </c>
      <c r="BT935">
        <v>0</v>
      </c>
      <c r="BU935">
        <v>0</v>
      </c>
      <c r="BV935" t="s">
        <v>114</v>
      </c>
      <c r="BX935" s="2" t="s">
        <v>14083</v>
      </c>
      <c r="BY935" t="s">
        <v>14084</v>
      </c>
      <c r="CA935" t="s">
        <v>3673</v>
      </c>
      <c r="CB935" t="s">
        <v>792</v>
      </c>
      <c r="CC935" s="8" t="str">
        <f>"98109"</f>
        <v>98109</v>
      </c>
      <c r="CD935" t="s">
        <v>6912</v>
      </c>
      <c r="CE935" t="s">
        <v>9297</v>
      </c>
      <c r="CF935" s="12">
        <v>23.42</v>
      </c>
      <c r="CG935" s="12">
        <v>30.83</v>
      </c>
      <c r="CJ935" t="s">
        <v>135</v>
      </c>
      <c r="CK935" t="s">
        <v>264</v>
      </c>
      <c r="CL935" t="s">
        <v>14085</v>
      </c>
      <c r="CO935" t="s">
        <v>132</v>
      </c>
      <c r="CP935" t="s">
        <v>136</v>
      </c>
      <c r="CQ935" t="s">
        <v>136</v>
      </c>
      <c r="CR935" t="s">
        <v>114</v>
      </c>
      <c r="CS935" t="s">
        <v>136</v>
      </c>
      <c r="CT935" t="s">
        <v>136</v>
      </c>
      <c r="CU935" t="s">
        <v>136</v>
      </c>
      <c r="CV935" t="s">
        <v>14086</v>
      </c>
      <c r="CW935" s="10" t="str">
        <f>"N/A"</f>
        <v>N/A</v>
      </c>
      <c r="CX935" t="s">
        <v>14087</v>
      </c>
      <c r="CY935" t="s">
        <v>14088</v>
      </c>
      <c r="CZ935" t="s">
        <v>137</v>
      </c>
      <c r="DA935" t="s">
        <v>114</v>
      </c>
      <c r="DB935" t="s">
        <v>136</v>
      </c>
      <c r="DC935" t="s">
        <v>136</v>
      </c>
      <c r="DD935" t="s">
        <v>114</v>
      </c>
    </row>
    <row r="936" spans="1:108" ht="15" customHeight="1" x14ac:dyDescent="0.25">
      <c r="A936" t="s">
        <v>18614</v>
      </c>
      <c r="B936" t="s">
        <v>152</v>
      </c>
      <c r="C936" s="1">
        <v>45202.299603587962</v>
      </c>
      <c r="D936" s="1">
        <v>45245</v>
      </c>
      <c r="E936" t="s">
        <v>132</v>
      </c>
      <c r="F936" t="s">
        <v>236</v>
      </c>
      <c r="G936" t="str">
        <f>"39-3091.00"</f>
        <v>39-3091.00</v>
      </c>
      <c r="H936" t="s">
        <v>237</v>
      </c>
      <c r="I936">
        <v>318</v>
      </c>
      <c r="J936">
        <v>318</v>
      </c>
      <c r="K936" s="1">
        <v>45292</v>
      </c>
      <c r="L936" s="1">
        <v>45596</v>
      </c>
      <c r="M936" s="1">
        <v>45292</v>
      </c>
      <c r="N936" s="1">
        <v>45596</v>
      </c>
      <c r="O936" t="s">
        <v>238</v>
      </c>
      <c r="P936" t="s">
        <v>14077</v>
      </c>
      <c r="R936" t="s">
        <v>14078</v>
      </c>
      <c r="S936" t="s">
        <v>14079</v>
      </c>
      <c r="T936" t="s">
        <v>14080</v>
      </c>
      <c r="U936" t="s">
        <v>479</v>
      </c>
      <c r="V936" s="8" t="str">
        <f>"97008"</f>
        <v>97008</v>
      </c>
      <c r="W936" t="s">
        <v>118</v>
      </c>
      <c r="Y936" s="10">
        <v>15036436610</v>
      </c>
      <c r="AA936">
        <v>71399</v>
      </c>
      <c r="AB936" t="s">
        <v>14081</v>
      </c>
      <c r="AC936" t="s">
        <v>3548</v>
      </c>
      <c r="AD936" t="s">
        <v>2291</v>
      </c>
      <c r="AE936" t="s">
        <v>629</v>
      </c>
      <c r="AF936" t="s">
        <v>14078</v>
      </c>
      <c r="AG936" t="s">
        <v>14079</v>
      </c>
      <c r="AH936" t="s">
        <v>14080</v>
      </c>
      <c r="AI936" t="s">
        <v>479</v>
      </c>
      <c r="AJ936" s="8" t="str">
        <f>"97008"</f>
        <v>97008</v>
      </c>
      <c r="AK936" t="s">
        <v>118</v>
      </c>
      <c r="AM936" s="10">
        <v>14082214282</v>
      </c>
      <c r="AO936" t="s">
        <v>14082</v>
      </c>
      <c r="AP936" t="s">
        <v>248</v>
      </c>
      <c r="AQ936" t="s">
        <v>249</v>
      </c>
      <c r="AR936" t="s">
        <v>250</v>
      </c>
      <c r="AS936" t="s">
        <v>251</v>
      </c>
      <c r="AT936" t="s">
        <v>252</v>
      </c>
      <c r="AU936" t="s">
        <v>253</v>
      </c>
      <c r="AV936" t="s">
        <v>254</v>
      </c>
      <c r="AW936" t="s">
        <v>127</v>
      </c>
      <c r="AX936" s="8" t="str">
        <f>"78550"</f>
        <v>78550</v>
      </c>
      <c r="AY936" t="s">
        <v>118</v>
      </c>
      <c r="BA936" s="10">
        <v>19564408720</v>
      </c>
      <c r="BB936" s="3" t="s">
        <v>256</v>
      </c>
      <c r="BC936" t="s">
        <v>3829</v>
      </c>
      <c r="BD936" t="s">
        <v>258</v>
      </c>
      <c r="BG936" t="s">
        <v>792</v>
      </c>
      <c r="BH936" s="1">
        <v>45201.833333333336</v>
      </c>
      <c r="BI936">
        <v>40</v>
      </c>
      <c r="BJ936">
        <v>8</v>
      </c>
      <c r="BK936">
        <v>0</v>
      </c>
      <c r="BL936">
        <v>0</v>
      </c>
      <c r="BM936">
        <v>8</v>
      </c>
      <c r="BN936">
        <v>8</v>
      </c>
      <c r="BO936">
        <v>8</v>
      </c>
      <c r="BP936">
        <v>8</v>
      </c>
      <c r="BQ936" t="str">
        <f>"1:00 PM"</f>
        <v>1:00 PM</v>
      </c>
      <c r="BR936" t="str">
        <f>"10:00 PM"</f>
        <v>10:00 PM</v>
      </c>
      <c r="BS936" t="s">
        <v>131</v>
      </c>
      <c r="BT936">
        <v>0</v>
      </c>
      <c r="BU936">
        <v>0</v>
      </c>
      <c r="BV936" t="s">
        <v>114</v>
      </c>
      <c r="BX936" s="2" t="s">
        <v>259</v>
      </c>
      <c r="BY936" t="s">
        <v>14084</v>
      </c>
      <c r="CA936" t="s">
        <v>3673</v>
      </c>
      <c r="CB936" t="s">
        <v>792</v>
      </c>
      <c r="CC936" s="8" t="str">
        <f>"98109"</f>
        <v>98109</v>
      </c>
      <c r="CD936" t="s">
        <v>6912</v>
      </c>
      <c r="CE936" t="s">
        <v>9297</v>
      </c>
      <c r="CF936" s="12">
        <v>11.37</v>
      </c>
      <c r="CG936" s="12">
        <v>18.75</v>
      </c>
      <c r="CJ936" t="s">
        <v>135</v>
      </c>
      <c r="CK936" t="s">
        <v>264</v>
      </c>
      <c r="CL936" t="s">
        <v>18615</v>
      </c>
      <c r="CO936" t="s">
        <v>132</v>
      </c>
      <c r="CP936" t="s">
        <v>136</v>
      </c>
      <c r="CQ936" t="s">
        <v>136</v>
      </c>
      <c r="CR936" t="s">
        <v>114</v>
      </c>
      <c r="CS936" t="s">
        <v>136</v>
      </c>
      <c r="CT936" t="s">
        <v>136</v>
      </c>
      <c r="CU936" t="s">
        <v>136</v>
      </c>
      <c r="CV936" t="s">
        <v>14086</v>
      </c>
      <c r="CW936" s="10" t="str">
        <f>"N/A"</f>
        <v>N/A</v>
      </c>
      <c r="CX936" t="s">
        <v>14087</v>
      </c>
      <c r="CY936" t="s">
        <v>14088</v>
      </c>
      <c r="CZ936" t="s">
        <v>137</v>
      </c>
      <c r="DA936" t="s">
        <v>114</v>
      </c>
      <c r="DB936" t="s">
        <v>136</v>
      </c>
      <c r="DC936" t="s">
        <v>136</v>
      </c>
      <c r="DD936" t="s">
        <v>114</v>
      </c>
    </row>
    <row r="937" spans="1:108" ht="15" customHeight="1" x14ac:dyDescent="0.25">
      <c r="A937" t="s">
        <v>21643</v>
      </c>
      <c r="B937" t="s">
        <v>152</v>
      </c>
      <c r="C937" s="1">
        <v>45197.715945138887</v>
      </c>
      <c r="D937" s="1">
        <v>45245</v>
      </c>
      <c r="E937" t="s">
        <v>132</v>
      </c>
      <c r="F937" t="s">
        <v>18606</v>
      </c>
      <c r="G937" t="str">
        <f>"39-3093.00"</f>
        <v>39-3093.00</v>
      </c>
      <c r="H937" t="s">
        <v>6032</v>
      </c>
      <c r="I937">
        <v>3</v>
      </c>
      <c r="J937">
        <v>3</v>
      </c>
      <c r="K937" s="1">
        <v>45275</v>
      </c>
      <c r="L937" s="1">
        <v>45383</v>
      </c>
      <c r="M937" s="1">
        <v>45275</v>
      </c>
      <c r="N937" s="1">
        <v>45383</v>
      </c>
      <c r="O937" t="s">
        <v>116</v>
      </c>
      <c r="P937" t="s">
        <v>14481</v>
      </c>
      <c r="Q937" t="s">
        <v>14482</v>
      </c>
      <c r="R937" t="s">
        <v>14483</v>
      </c>
      <c r="T937" t="s">
        <v>5036</v>
      </c>
      <c r="U937" t="s">
        <v>506</v>
      </c>
      <c r="V937" s="8" t="str">
        <f>"05091"</f>
        <v>05091</v>
      </c>
      <c r="W937" t="s">
        <v>118</v>
      </c>
      <c r="Y937" s="10">
        <v>18024576652</v>
      </c>
      <c r="AA937">
        <v>72111</v>
      </c>
      <c r="AB937" t="s">
        <v>14484</v>
      </c>
      <c r="AC937" t="s">
        <v>14485</v>
      </c>
      <c r="AE937" t="s">
        <v>1104</v>
      </c>
      <c r="AF937" t="s">
        <v>14483</v>
      </c>
      <c r="AH937" t="s">
        <v>5036</v>
      </c>
      <c r="AI937" t="s">
        <v>506</v>
      </c>
      <c r="AJ937" s="8" t="str">
        <f>"05091"</f>
        <v>05091</v>
      </c>
      <c r="AK937" t="s">
        <v>118</v>
      </c>
      <c r="AM937" s="10">
        <v>18024576652</v>
      </c>
      <c r="AO937" t="s">
        <v>14486</v>
      </c>
      <c r="AP937" t="s">
        <v>121</v>
      </c>
      <c r="AQ937" t="s">
        <v>276</v>
      </c>
      <c r="AR937" t="s">
        <v>277</v>
      </c>
      <c r="AS937" t="s">
        <v>278</v>
      </c>
      <c r="AT937" t="s">
        <v>279</v>
      </c>
      <c r="AU937" t="s">
        <v>280</v>
      </c>
      <c r="AV937" t="s">
        <v>281</v>
      </c>
      <c r="AW937" t="s">
        <v>222</v>
      </c>
      <c r="AX937" s="8" t="str">
        <f>"01701"</f>
        <v>01701</v>
      </c>
      <c r="AY937" t="s">
        <v>118</v>
      </c>
      <c r="BA937" s="10">
        <v>16179399444</v>
      </c>
      <c r="BC937" t="s">
        <v>282</v>
      </c>
      <c r="BD937" t="s">
        <v>283</v>
      </c>
      <c r="BE937" t="s">
        <v>222</v>
      </c>
      <c r="BF937" t="s">
        <v>284</v>
      </c>
      <c r="BG937" t="s">
        <v>506</v>
      </c>
      <c r="BH937" s="1">
        <v>45196.833333333336</v>
      </c>
      <c r="BI937">
        <v>35</v>
      </c>
      <c r="BJ937">
        <v>0</v>
      </c>
      <c r="BK937">
        <v>7</v>
      </c>
      <c r="BL937">
        <v>7</v>
      </c>
      <c r="BM937">
        <v>7</v>
      </c>
      <c r="BN937">
        <v>7</v>
      </c>
      <c r="BO937">
        <v>7</v>
      </c>
      <c r="BP937">
        <v>0</v>
      </c>
      <c r="BQ937" t="str">
        <f>"8:45 AM"</f>
        <v>8:45 AM</v>
      </c>
      <c r="BR937" t="str">
        <f>"3:45 PM"</f>
        <v>3:45 PM</v>
      </c>
      <c r="BS937" t="s">
        <v>131</v>
      </c>
      <c r="BT937">
        <v>0</v>
      </c>
      <c r="BU937">
        <v>3</v>
      </c>
      <c r="BV937" t="s">
        <v>114</v>
      </c>
      <c r="BX937" s="2" t="s">
        <v>21644</v>
      </c>
      <c r="BY937" t="s">
        <v>14488</v>
      </c>
      <c r="CA937" t="s">
        <v>5036</v>
      </c>
      <c r="CB937" t="s">
        <v>506</v>
      </c>
      <c r="CC937" s="8" t="str">
        <f>"05091"</f>
        <v>05091</v>
      </c>
      <c r="CD937" t="s">
        <v>14489</v>
      </c>
      <c r="CE937" t="s">
        <v>523</v>
      </c>
      <c r="CF937" s="12">
        <v>15.66</v>
      </c>
      <c r="CG937" s="12">
        <v>17</v>
      </c>
      <c r="CH937" s="12">
        <v>23.49</v>
      </c>
      <c r="CI937" s="12">
        <v>25.5</v>
      </c>
      <c r="CJ937" t="s">
        <v>135</v>
      </c>
      <c r="CK937" t="s">
        <v>21645</v>
      </c>
      <c r="CL937" t="s">
        <v>21646</v>
      </c>
      <c r="CO937" t="s">
        <v>132</v>
      </c>
      <c r="CP937" t="s">
        <v>114</v>
      </c>
      <c r="CQ937" t="s">
        <v>114</v>
      </c>
      <c r="CR937" t="s">
        <v>136</v>
      </c>
      <c r="CS937" t="s">
        <v>136</v>
      </c>
      <c r="CT937" t="s">
        <v>136</v>
      </c>
      <c r="CU937" t="s">
        <v>136</v>
      </c>
      <c r="CV937" t="s">
        <v>14492</v>
      </c>
      <c r="CW937" s="10" t="str">
        <f>"+18024576652"</f>
        <v>+18024576652</v>
      </c>
      <c r="CX937" t="s">
        <v>14486</v>
      </c>
      <c r="CY937" t="s">
        <v>132</v>
      </c>
      <c r="CZ937" t="s">
        <v>137</v>
      </c>
      <c r="DA937" t="s">
        <v>114</v>
      </c>
      <c r="DB937" t="s">
        <v>114</v>
      </c>
      <c r="DC937" t="s">
        <v>136</v>
      </c>
      <c r="DD937" t="s">
        <v>114</v>
      </c>
    </row>
    <row r="938" spans="1:108" ht="15" customHeight="1" x14ac:dyDescent="0.25">
      <c r="A938" t="s">
        <v>6490</v>
      </c>
      <c r="B938" t="s">
        <v>152</v>
      </c>
      <c r="C938" s="1">
        <v>45193.004346527778</v>
      </c>
      <c r="D938" s="1">
        <v>45245</v>
      </c>
      <c r="E938" t="s">
        <v>132</v>
      </c>
      <c r="F938" t="s">
        <v>3992</v>
      </c>
      <c r="G938" t="str">
        <f>"47-4051.00"</f>
        <v>47-4051.00</v>
      </c>
      <c r="H938" t="s">
        <v>5632</v>
      </c>
      <c r="I938">
        <v>45</v>
      </c>
      <c r="J938">
        <v>45</v>
      </c>
      <c r="K938" s="1">
        <v>45268</v>
      </c>
      <c r="L938" s="1">
        <v>45382</v>
      </c>
      <c r="M938" s="1">
        <v>45268</v>
      </c>
      <c r="N938" s="1">
        <v>45382</v>
      </c>
      <c r="O938" t="s">
        <v>238</v>
      </c>
      <c r="P938" t="s">
        <v>6491</v>
      </c>
      <c r="R938" t="s">
        <v>6492</v>
      </c>
      <c r="T938" t="s">
        <v>3995</v>
      </c>
      <c r="U938" t="s">
        <v>211</v>
      </c>
      <c r="V938" s="8" t="str">
        <f>"84003"</f>
        <v>84003</v>
      </c>
      <c r="W938" t="s">
        <v>118</v>
      </c>
      <c r="Y938" s="10">
        <v>18017630272</v>
      </c>
      <c r="AA938">
        <v>56173</v>
      </c>
      <c r="AB938" t="s">
        <v>1700</v>
      </c>
      <c r="AC938" t="s">
        <v>1701</v>
      </c>
      <c r="AE938" t="s">
        <v>2084</v>
      </c>
      <c r="AF938" t="s">
        <v>6492</v>
      </c>
      <c r="AH938" t="s">
        <v>3995</v>
      </c>
      <c r="AI938" t="s">
        <v>211</v>
      </c>
      <c r="AJ938" s="8" t="str">
        <f>"84003"</f>
        <v>84003</v>
      </c>
      <c r="AK938" t="s">
        <v>118</v>
      </c>
      <c r="AM938" s="10">
        <v>18017630272</v>
      </c>
      <c r="AO938" t="s">
        <v>6493</v>
      </c>
      <c r="AX938" s="8" t="str">
        <f>""</f>
        <v/>
      </c>
      <c r="BG938" t="s">
        <v>211</v>
      </c>
      <c r="BH938" s="1">
        <v>45191.833333333336</v>
      </c>
      <c r="BI938">
        <v>35</v>
      </c>
      <c r="BJ938">
        <v>0</v>
      </c>
      <c r="BK938">
        <v>7</v>
      </c>
      <c r="BL938">
        <v>7</v>
      </c>
      <c r="BM938">
        <v>7</v>
      </c>
      <c r="BN938">
        <v>7</v>
      </c>
      <c r="BO938">
        <v>7</v>
      </c>
      <c r="BP938">
        <v>0</v>
      </c>
      <c r="BQ938" t="str">
        <f>"8:00 AM"</f>
        <v>8:00 AM</v>
      </c>
      <c r="BR938" t="str">
        <f>"3:30 PM"</f>
        <v>3:30 PM</v>
      </c>
      <c r="BS938" t="s">
        <v>131</v>
      </c>
      <c r="BT938">
        <v>0</v>
      </c>
      <c r="BU938">
        <v>0</v>
      </c>
      <c r="BV938" t="s">
        <v>114</v>
      </c>
      <c r="BX938" t="s">
        <v>1789</v>
      </c>
      <c r="BY938" t="s">
        <v>6494</v>
      </c>
      <c r="CA938" t="s">
        <v>3995</v>
      </c>
      <c r="CB938" t="s">
        <v>211</v>
      </c>
      <c r="CC938" s="8" t="str">
        <f>"84003"</f>
        <v>84003</v>
      </c>
      <c r="CD938" t="s">
        <v>2468</v>
      </c>
      <c r="CE938" t="s">
        <v>2469</v>
      </c>
      <c r="CF938" s="12">
        <v>23.15</v>
      </c>
      <c r="CH938" s="12">
        <v>34.729999999999997</v>
      </c>
      <c r="CJ938" t="s">
        <v>135</v>
      </c>
      <c r="CK938" t="s">
        <v>6495</v>
      </c>
      <c r="CL938" t="s">
        <v>6496</v>
      </c>
      <c r="CO938" t="s">
        <v>132</v>
      </c>
      <c r="CP938" t="s">
        <v>136</v>
      </c>
      <c r="CQ938" t="s">
        <v>136</v>
      </c>
      <c r="CR938" t="s">
        <v>136</v>
      </c>
      <c r="CS938" t="s">
        <v>114</v>
      </c>
      <c r="CT938" t="s">
        <v>136</v>
      </c>
      <c r="CU938" t="s">
        <v>114</v>
      </c>
      <c r="CV938" t="s">
        <v>2470</v>
      </c>
      <c r="CW938" s="10" t="str">
        <f>"+18017630272"</f>
        <v>+18017630272</v>
      </c>
      <c r="CX938" t="s">
        <v>6493</v>
      </c>
      <c r="CY938" t="s">
        <v>132</v>
      </c>
      <c r="CZ938" t="s">
        <v>137</v>
      </c>
      <c r="DA938" t="s">
        <v>114</v>
      </c>
      <c r="DB938" t="s">
        <v>114</v>
      </c>
      <c r="DC938" t="s">
        <v>136</v>
      </c>
      <c r="DD938" t="s">
        <v>114</v>
      </c>
    </row>
    <row r="939" spans="1:108" ht="15" customHeight="1" x14ac:dyDescent="0.25">
      <c r="A939" t="s">
        <v>10187</v>
      </c>
      <c r="B939" t="s">
        <v>152</v>
      </c>
      <c r="C939" s="1">
        <v>45190.632006597225</v>
      </c>
      <c r="D939" s="1">
        <v>45245</v>
      </c>
      <c r="E939" t="s">
        <v>132</v>
      </c>
      <c r="F939" t="s">
        <v>9940</v>
      </c>
      <c r="G939" t="str">
        <f>"45-2041.00"</f>
        <v>45-2041.00</v>
      </c>
      <c r="H939" t="s">
        <v>5215</v>
      </c>
      <c r="I939">
        <v>8</v>
      </c>
      <c r="J939">
        <v>8</v>
      </c>
      <c r="K939" s="1">
        <v>45275</v>
      </c>
      <c r="L939" s="1">
        <v>45488</v>
      </c>
      <c r="M939" s="1">
        <v>45275</v>
      </c>
      <c r="N939" s="1">
        <v>45488</v>
      </c>
      <c r="O939" t="s">
        <v>238</v>
      </c>
      <c r="P939" t="s">
        <v>10188</v>
      </c>
      <c r="R939" t="s">
        <v>10189</v>
      </c>
      <c r="T939" t="s">
        <v>10190</v>
      </c>
      <c r="U939" t="s">
        <v>333</v>
      </c>
      <c r="V939" s="8" t="str">
        <f>"70554"</f>
        <v>70554</v>
      </c>
      <c r="W939" t="s">
        <v>118</v>
      </c>
      <c r="Y939" s="10">
        <v>13376587257</v>
      </c>
      <c r="AA939">
        <v>112512</v>
      </c>
      <c r="AB939" t="s">
        <v>10191</v>
      </c>
      <c r="AC939" t="s">
        <v>190</v>
      </c>
      <c r="AE939" t="s">
        <v>561</v>
      </c>
      <c r="AF939" t="s">
        <v>10189</v>
      </c>
      <c r="AH939" t="s">
        <v>10190</v>
      </c>
      <c r="AI939" t="s">
        <v>333</v>
      </c>
      <c r="AJ939" s="8" t="str">
        <f>"70554"</f>
        <v>70554</v>
      </c>
      <c r="AK939" t="s">
        <v>118</v>
      </c>
      <c r="AM939" s="10">
        <v>13376587257</v>
      </c>
      <c r="AO939" t="s">
        <v>10192</v>
      </c>
      <c r="AP939" t="s">
        <v>121</v>
      </c>
      <c r="AQ939" t="s">
        <v>3627</v>
      </c>
      <c r="AR939" t="s">
        <v>2309</v>
      </c>
      <c r="AS939" t="s">
        <v>5087</v>
      </c>
      <c r="AT939" t="s">
        <v>5088</v>
      </c>
      <c r="AV939" t="s">
        <v>5089</v>
      </c>
      <c r="AW939" t="s">
        <v>333</v>
      </c>
      <c r="AX939" s="8" t="str">
        <f>"70535"</f>
        <v>70535</v>
      </c>
      <c r="AY939" t="s">
        <v>118</v>
      </c>
      <c r="BA939" s="10">
        <v>13374663722</v>
      </c>
      <c r="BC939" t="s">
        <v>5090</v>
      </c>
      <c r="BD939" t="s">
        <v>10193</v>
      </c>
      <c r="BE939" t="s">
        <v>333</v>
      </c>
      <c r="BF939" t="s">
        <v>2190</v>
      </c>
      <c r="BG939" t="s">
        <v>333</v>
      </c>
      <c r="BH939" s="1">
        <v>45189.833333333336</v>
      </c>
      <c r="BI939">
        <v>40</v>
      </c>
      <c r="BJ939">
        <v>0</v>
      </c>
      <c r="BK939">
        <v>8</v>
      </c>
      <c r="BL939">
        <v>8</v>
      </c>
      <c r="BM939">
        <v>8</v>
      </c>
      <c r="BN939">
        <v>8</v>
      </c>
      <c r="BO939">
        <v>8</v>
      </c>
      <c r="BP939">
        <v>0</v>
      </c>
      <c r="BQ939" t="str">
        <f>"4:30 AM"</f>
        <v>4:30 AM</v>
      </c>
      <c r="BR939" t="str">
        <f>"2:30 PM"</f>
        <v>2:30 PM</v>
      </c>
      <c r="BS939" t="s">
        <v>131</v>
      </c>
      <c r="BT939">
        <v>0</v>
      </c>
      <c r="BU939">
        <v>3</v>
      </c>
      <c r="BV939" t="s">
        <v>114</v>
      </c>
      <c r="BX939" s="2" t="s">
        <v>10194</v>
      </c>
      <c r="BY939" t="s">
        <v>10189</v>
      </c>
      <c r="CA939" t="s">
        <v>10190</v>
      </c>
      <c r="CB939" t="s">
        <v>333</v>
      </c>
      <c r="CC939" s="8" t="str">
        <f>"70554"</f>
        <v>70554</v>
      </c>
      <c r="CD939" t="s">
        <v>10195</v>
      </c>
      <c r="CE939" t="s">
        <v>4268</v>
      </c>
      <c r="CF939" s="12">
        <v>16.170000000000002</v>
      </c>
      <c r="CG939" s="12">
        <v>16.170000000000002</v>
      </c>
      <c r="CH939" s="12">
        <v>24.26</v>
      </c>
      <c r="CI939" s="12">
        <v>24.26</v>
      </c>
      <c r="CJ939" t="s">
        <v>135</v>
      </c>
      <c r="CL939" t="s">
        <v>10196</v>
      </c>
      <c r="CO939" t="s">
        <v>132</v>
      </c>
      <c r="CP939" t="s">
        <v>114</v>
      </c>
      <c r="CQ939" t="s">
        <v>136</v>
      </c>
      <c r="CR939" t="s">
        <v>136</v>
      </c>
      <c r="CS939" t="s">
        <v>136</v>
      </c>
      <c r="CT939" t="s">
        <v>136</v>
      </c>
      <c r="CU939" t="s">
        <v>136</v>
      </c>
      <c r="CV939" t="s">
        <v>10197</v>
      </c>
      <c r="CW939" s="10" t="str">
        <f>"+13376587257"</f>
        <v>+13376587257</v>
      </c>
      <c r="CX939" t="s">
        <v>10192</v>
      </c>
      <c r="CY939" t="s">
        <v>132</v>
      </c>
      <c r="CZ939" t="s">
        <v>137</v>
      </c>
      <c r="DA939" t="s">
        <v>114</v>
      </c>
      <c r="DB939" t="s">
        <v>114</v>
      </c>
      <c r="DC939" t="s">
        <v>136</v>
      </c>
      <c r="DD939" t="s">
        <v>114</v>
      </c>
    </row>
    <row r="940" spans="1:108" ht="15" customHeight="1" x14ac:dyDescent="0.25">
      <c r="A940" t="s">
        <v>15657</v>
      </c>
      <c r="B940" t="s">
        <v>152</v>
      </c>
      <c r="C940" s="1">
        <v>45189.528874189811</v>
      </c>
      <c r="D940" s="1">
        <v>45245</v>
      </c>
      <c r="E940" t="s">
        <v>132</v>
      </c>
      <c r="F940" t="s">
        <v>7945</v>
      </c>
      <c r="G940" t="str">
        <f>"51-3022.00"</f>
        <v>51-3022.00</v>
      </c>
      <c r="H940" t="s">
        <v>1004</v>
      </c>
      <c r="I940">
        <v>60</v>
      </c>
      <c r="J940">
        <v>60</v>
      </c>
      <c r="K940" s="1">
        <v>45264</v>
      </c>
      <c r="L940" s="1">
        <v>45474</v>
      </c>
      <c r="M940" s="1">
        <v>45264</v>
      </c>
      <c r="N940" s="1">
        <v>45474</v>
      </c>
      <c r="O940" t="s">
        <v>238</v>
      </c>
      <c r="P940" t="s">
        <v>15658</v>
      </c>
      <c r="R940" t="s">
        <v>15659</v>
      </c>
      <c r="T940" t="s">
        <v>15660</v>
      </c>
      <c r="U940" t="s">
        <v>333</v>
      </c>
      <c r="V940" s="8" t="str">
        <f>"70510"</f>
        <v>70510</v>
      </c>
      <c r="W940" t="s">
        <v>118</v>
      </c>
      <c r="Y940" s="10">
        <v>13377897601</v>
      </c>
      <c r="AA940">
        <v>11116</v>
      </c>
      <c r="AB940" t="s">
        <v>15661</v>
      </c>
      <c r="AC940" t="s">
        <v>15662</v>
      </c>
      <c r="AE940" t="s">
        <v>561</v>
      </c>
      <c r="AF940" t="s">
        <v>15659</v>
      </c>
      <c r="AH940" t="s">
        <v>15660</v>
      </c>
      <c r="AI940" t="s">
        <v>333</v>
      </c>
      <c r="AJ940" s="8" t="str">
        <f>"70510"</f>
        <v>70510</v>
      </c>
      <c r="AK940" t="s">
        <v>118</v>
      </c>
      <c r="AM940" s="10">
        <v>13377897601</v>
      </c>
      <c r="AO940" t="s">
        <v>15663</v>
      </c>
      <c r="AP940" t="s">
        <v>121</v>
      </c>
      <c r="AQ940" t="s">
        <v>3627</v>
      </c>
      <c r="AR940" t="s">
        <v>2309</v>
      </c>
      <c r="AS940" t="s">
        <v>5087</v>
      </c>
      <c r="AT940" t="s">
        <v>5088</v>
      </c>
      <c r="AV940" t="s">
        <v>5089</v>
      </c>
      <c r="AW940" t="s">
        <v>333</v>
      </c>
      <c r="AX940" s="8" t="str">
        <f>"70535"</f>
        <v>70535</v>
      </c>
      <c r="AY940" t="s">
        <v>118</v>
      </c>
      <c r="BA940" s="10">
        <v>13374663722</v>
      </c>
      <c r="BC940" t="s">
        <v>5090</v>
      </c>
      <c r="BD940" t="s">
        <v>5091</v>
      </c>
      <c r="BE940" t="s">
        <v>333</v>
      </c>
      <c r="BF940" t="s">
        <v>2190</v>
      </c>
      <c r="BG940" t="s">
        <v>333</v>
      </c>
      <c r="BH940" s="1">
        <v>45188.833333333336</v>
      </c>
      <c r="BI940">
        <v>35</v>
      </c>
      <c r="BJ940">
        <v>0</v>
      </c>
      <c r="BK940">
        <v>7</v>
      </c>
      <c r="BL940">
        <v>7</v>
      </c>
      <c r="BM940">
        <v>7</v>
      </c>
      <c r="BN940">
        <v>7</v>
      </c>
      <c r="BO940">
        <v>7</v>
      </c>
      <c r="BP940">
        <v>0</v>
      </c>
      <c r="BQ940" t="str">
        <f>"6:00 AM"</f>
        <v>6:00 AM</v>
      </c>
      <c r="BR940" t="str">
        <f>"2:00 PM"</f>
        <v>2:00 PM</v>
      </c>
      <c r="BS940" t="s">
        <v>131</v>
      </c>
      <c r="BT940">
        <v>0</v>
      </c>
      <c r="BU940">
        <v>3</v>
      </c>
      <c r="BV940" t="s">
        <v>114</v>
      </c>
      <c r="BX940" s="2" t="s">
        <v>15664</v>
      </c>
      <c r="BY940" t="s">
        <v>15659</v>
      </c>
      <c r="CA940" t="s">
        <v>15660</v>
      </c>
      <c r="CB940" t="s">
        <v>333</v>
      </c>
      <c r="CC940" s="8" t="str">
        <f>"70511"</f>
        <v>70511</v>
      </c>
      <c r="CD940" t="s">
        <v>1817</v>
      </c>
      <c r="CE940" t="s">
        <v>1818</v>
      </c>
      <c r="CF940" s="12">
        <v>11.2</v>
      </c>
      <c r="CG940" s="12">
        <v>11.2</v>
      </c>
      <c r="CH940" s="12">
        <v>16.8</v>
      </c>
      <c r="CI940" s="12">
        <v>16.8</v>
      </c>
      <c r="CJ940" t="s">
        <v>135</v>
      </c>
      <c r="CK940" t="s">
        <v>15665</v>
      </c>
      <c r="CL940" t="s">
        <v>15666</v>
      </c>
      <c r="CO940" t="s">
        <v>132</v>
      </c>
      <c r="CP940" t="s">
        <v>136</v>
      </c>
      <c r="CQ940" t="s">
        <v>136</v>
      </c>
      <c r="CR940" t="s">
        <v>136</v>
      </c>
      <c r="CS940" t="s">
        <v>136</v>
      </c>
      <c r="CT940" t="s">
        <v>136</v>
      </c>
      <c r="CU940" t="s">
        <v>136</v>
      </c>
      <c r="CV940" t="s">
        <v>15667</v>
      </c>
      <c r="CW940" s="10" t="str">
        <f>"+13377897601"</f>
        <v>+13377897601</v>
      </c>
      <c r="CX940" t="s">
        <v>15663</v>
      </c>
      <c r="CY940" t="s">
        <v>132</v>
      </c>
      <c r="CZ940" t="s">
        <v>137</v>
      </c>
      <c r="DA940" t="s">
        <v>114</v>
      </c>
      <c r="DB940" t="s">
        <v>114</v>
      </c>
      <c r="DC940" t="s">
        <v>136</v>
      </c>
      <c r="DD940" t="s">
        <v>114</v>
      </c>
    </row>
    <row r="941" spans="1:108" ht="15" customHeight="1" x14ac:dyDescent="0.25">
      <c r="A941" t="s">
        <v>20663</v>
      </c>
      <c r="B941" t="s">
        <v>152</v>
      </c>
      <c r="C941" s="1">
        <v>45181.673105439811</v>
      </c>
      <c r="D941" s="1">
        <v>45245</v>
      </c>
      <c r="E941" t="s">
        <v>132</v>
      </c>
      <c r="F941" t="s">
        <v>3847</v>
      </c>
      <c r="G941" t="str">
        <f>"39-2021.00"</f>
        <v>39-2021.00</v>
      </c>
      <c r="H941" t="s">
        <v>2895</v>
      </c>
      <c r="I941">
        <v>8</v>
      </c>
      <c r="J941">
        <v>8</v>
      </c>
      <c r="K941" s="1">
        <v>45265</v>
      </c>
      <c r="L941" s="1">
        <v>45412</v>
      </c>
      <c r="M941" s="1">
        <v>45265</v>
      </c>
      <c r="N941" s="1">
        <v>45412</v>
      </c>
      <c r="O941" t="s">
        <v>238</v>
      </c>
      <c r="P941" t="s">
        <v>20664</v>
      </c>
      <c r="R941" t="s">
        <v>20665</v>
      </c>
      <c r="T941" t="s">
        <v>2923</v>
      </c>
      <c r="U941" t="s">
        <v>158</v>
      </c>
      <c r="V941" s="8" t="str">
        <f>"49009"</f>
        <v>49009</v>
      </c>
      <c r="W941" t="s">
        <v>118</v>
      </c>
      <c r="Y941" s="10">
        <v>12693751114</v>
      </c>
      <c r="AA941">
        <v>711212</v>
      </c>
      <c r="AB941" t="s">
        <v>20666</v>
      </c>
      <c r="AC941" t="s">
        <v>10925</v>
      </c>
      <c r="AD941" t="s">
        <v>1798</v>
      </c>
      <c r="AE941" t="s">
        <v>3852</v>
      </c>
      <c r="AF941" t="s">
        <v>20665</v>
      </c>
      <c r="AH941" t="s">
        <v>2923</v>
      </c>
      <c r="AI941" t="s">
        <v>158</v>
      </c>
      <c r="AJ941" s="8" t="str">
        <f>"49009"</f>
        <v>49009</v>
      </c>
      <c r="AK941" t="s">
        <v>118</v>
      </c>
      <c r="AM941" s="10">
        <v>12693751114</v>
      </c>
      <c r="AO941" t="s">
        <v>20667</v>
      </c>
      <c r="AP941" t="s">
        <v>121</v>
      </c>
      <c r="AQ941" t="s">
        <v>3854</v>
      </c>
      <c r="AR941" t="s">
        <v>144</v>
      </c>
      <c r="AS941" t="s">
        <v>3855</v>
      </c>
      <c r="AT941" t="s">
        <v>2605</v>
      </c>
      <c r="AU941" t="s">
        <v>2606</v>
      </c>
      <c r="AV941" t="s">
        <v>2607</v>
      </c>
      <c r="AW941" t="s">
        <v>2608</v>
      </c>
      <c r="AX941" s="8" t="str">
        <f>"73069"</f>
        <v>73069</v>
      </c>
      <c r="AY941" t="s">
        <v>118</v>
      </c>
      <c r="BA941" s="10">
        <v>14053642525</v>
      </c>
      <c r="BC941" t="s">
        <v>2609</v>
      </c>
      <c r="BD941" t="s">
        <v>2610</v>
      </c>
      <c r="BE941" t="s">
        <v>2608</v>
      </c>
      <c r="BF941" t="s">
        <v>2611</v>
      </c>
      <c r="BG941" t="s">
        <v>543</v>
      </c>
      <c r="BH941" s="1">
        <v>45180.833333333336</v>
      </c>
      <c r="BI941">
        <v>56</v>
      </c>
      <c r="BJ941">
        <v>8</v>
      </c>
      <c r="BK941">
        <v>8</v>
      </c>
      <c r="BL941">
        <v>8</v>
      </c>
      <c r="BM941">
        <v>8</v>
      </c>
      <c r="BN941">
        <v>8</v>
      </c>
      <c r="BO941">
        <v>8</v>
      </c>
      <c r="BP941">
        <v>8</v>
      </c>
      <c r="BQ941" t="str">
        <f>"5:00 AM"</f>
        <v>5:00 AM</v>
      </c>
      <c r="BR941" t="str">
        <f>"5:00 PM"</f>
        <v>5:00 PM</v>
      </c>
      <c r="BS941" t="s">
        <v>131</v>
      </c>
      <c r="BT941">
        <v>0</v>
      </c>
      <c r="BU941">
        <v>1</v>
      </c>
      <c r="BV941" t="s">
        <v>114</v>
      </c>
      <c r="BX941" s="2" t="s">
        <v>4212</v>
      </c>
      <c r="BY941" t="s">
        <v>20668</v>
      </c>
      <c r="BZ941" t="s">
        <v>20669</v>
      </c>
      <c r="CA941" t="s">
        <v>20670</v>
      </c>
      <c r="CB941" t="s">
        <v>543</v>
      </c>
      <c r="CC941" s="8" t="str">
        <f>"44515"</f>
        <v>44515</v>
      </c>
      <c r="CD941" t="s">
        <v>11073</v>
      </c>
      <c r="CE941" t="s">
        <v>3206</v>
      </c>
      <c r="CF941" s="12">
        <v>12.95</v>
      </c>
      <c r="CG941" s="12">
        <v>12.95</v>
      </c>
      <c r="CH941" s="12">
        <v>19.43</v>
      </c>
      <c r="CI941" s="12">
        <v>19.43</v>
      </c>
      <c r="CJ941" t="s">
        <v>135</v>
      </c>
      <c r="CK941" t="s">
        <v>132</v>
      </c>
      <c r="CL941" t="s">
        <v>20671</v>
      </c>
      <c r="CO941" t="s">
        <v>132</v>
      </c>
      <c r="CP941" t="s">
        <v>114</v>
      </c>
      <c r="CQ941" t="s">
        <v>114</v>
      </c>
      <c r="CR941" t="s">
        <v>136</v>
      </c>
      <c r="CS941" t="s">
        <v>114</v>
      </c>
      <c r="CT941" t="s">
        <v>136</v>
      </c>
      <c r="CU941" t="s">
        <v>136</v>
      </c>
      <c r="CV941" t="s">
        <v>4029</v>
      </c>
      <c r="CW941" s="10" t="str">
        <f>"+12693751114"</f>
        <v>+12693751114</v>
      </c>
      <c r="CX941" t="s">
        <v>20667</v>
      </c>
      <c r="CY941" t="s">
        <v>132</v>
      </c>
      <c r="CZ941" t="s">
        <v>137</v>
      </c>
      <c r="DA941" t="s">
        <v>114</v>
      </c>
      <c r="DB941" t="s">
        <v>114</v>
      </c>
      <c r="DC941" t="s">
        <v>136</v>
      </c>
      <c r="DD941" t="s">
        <v>114</v>
      </c>
    </row>
    <row r="942" spans="1:108" ht="15" customHeight="1" x14ac:dyDescent="0.25">
      <c r="A942" t="s">
        <v>20801</v>
      </c>
      <c r="B942" t="s">
        <v>152</v>
      </c>
      <c r="C942" s="1">
        <v>45177.767600115738</v>
      </c>
      <c r="D942" s="1">
        <v>45245</v>
      </c>
      <c r="E942" t="s">
        <v>132</v>
      </c>
      <c r="F942" t="s">
        <v>685</v>
      </c>
      <c r="G942" t="str">
        <f>"35-3023.00"</f>
        <v>35-3023.00</v>
      </c>
      <c r="H942" t="s">
        <v>1365</v>
      </c>
      <c r="I942">
        <v>25</v>
      </c>
      <c r="J942">
        <v>25</v>
      </c>
      <c r="K942" s="1">
        <v>45252</v>
      </c>
      <c r="L942" s="1">
        <v>45504</v>
      </c>
      <c r="M942" s="1">
        <v>45252</v>
      </c>
      <c r="N942" s="1">
        <v>45504</v>
      </c>
      <c r="O942" t="s">
        <v>238</v>
      </c>
      <c r="P942" t="s">
        <v>20802</v>
      </c>
      <c r="R942" t="s">
        <v>20803</v>
      </c>
      <c r="T942" t="s">
        <v>20804</v>
      </c>
      <c r="U942" t="s">
        <v>543</v>
      </c>
      <c r="V942" s="8" t="str">
        <f>"43015"</f>
        <v>43015</v>
      </c>
      <c r="W942" t="s">
        <v>118</v>
      </c>
      <c r="Y942" s="10">
        <v>13525526656</v>
      </c>
      <c r="Z942" s="3" t="s">
        <v>256</v>
      </c>
      <c r="AA942">
        <v>7139</v>
      </c>
      <c r="AB942" t="s">
        <v>16566</v>
      </c>
      <c r="AC942" t="s">
        <v>250</v>
      </c>
      <c r="AE942" t="s">
        <v>561</v>
      </c>
      <c r="AF942" t="s">
        <v>20805</v>
      </c>
      <c r="AG942" t="s">
        <v>20806</v>
      </c>
      <c r="AH942" t="s">
        <v>20804</v>
      </c>
      <c r="AI942" t="s">
        <v>543</v>
      </c>
      <c r="AJ942" s="8" t="str">
        <f>"43015"</f>
        <v>43015</v>
      </c>
      <c r="AK942" t="s">
        <v>118</v>
      </c>
      <c r="AM942" s="10">
        <v>13525526656</v>
      </c>
      <c r="AN942" s="3" t="s">
        <v>256</v>
      </c>
      <c r="AO942" t="s">
        <v>20807</v>
      </c>
      <c r="AP942" t="s">
        <v>248</v>
      </c>
      <c r="AQ942" t="s">
        <v>249</v>
      </c>
      <c r="AR942" t="s">
        <v>250</v>
      </c>
      <c r="AS942" t="s">
        <v>251</v>
      </c>
      <c r="AT942" t="s">
        <v>252</v>
      </c>
      <c r="AU942" t="s">
        <v>253</v>
      </c>
      <c r="AV942" t="s">
        <v>254</v>
      </c>
      <c r="AW942" t="s">
        <v>127</v>
      </c>
      <c r="AX942" s="8" t="str">
        <f>"78550"</f>
        <v>78550</v>
      </c>
      <c r="AY942" t="s">
        <v>118</v>
      </c>
      <c r="AZ942" t="s">
        <v>255</v>
      </c>
      <c r="BA942" s="10">
        <v>19564408720</v>
      </c>
      <c r="BB942" s="3" t="s">
        <v>256</v>
      </c>
      <c r="BC942" t="s">
        <v>338</v>
      </c>
      <c r="BD942" t="s">
        <v>258</v>
      </c>
      <c r="BG942" t="s">
        <v>543</v>
      </c>
      <c r="BH942" s="1">
        <v>45176.833333333336</v>
      </c>
      <c r="BI942">
        <v>40</v>
      </c>
      <c r="BJ942">
        <v>8</v>
      </c>
      <c r="BK942">
        <v>0</v>
      </c>
      <c r="BL942">
        <v>0</v>
      </c>
      <c r="BM942">
        <v>8</v>
      </c>
      <c r="BN942">
        <v>8</v>
      </c>
      <c r="BO942">
        <v>8</v>
      </c>
      <c r="BP942">
        <v>8</v>
      </c>
      <c r="BQ942" t="str">
        <f>"1:00 PM"</f>
        <v>1:00 PM</v>
      </c>
      <c r="BR942" t="str">
        <f>"10:00 PM"</f>
        <v>10:00 PM</v>
      </c>
      <c r="BS942" t="s">
        <v>131</v>
      </c>
      <c r="BT942">
        <v>0</v>
      </c>
      <c r="BU942">
        <v>0</v>
      </c>
      <c r="BV942" t="s">
        <v>114</v>
      </c>
      <c r="BX942" t="s">
        <v>11977</v>
      </c>
      <c r="BY942" t="s">
        <v>20803</v>
      </c>
      <c r="CA942" t="s">
        <v>20804</v>
      </c>
      <c r="CB942" t="s">
        <v>543</v>
      </c>
      <c r="CC942" s="8" t="str">
        <f>"43015"</f>
        <v>43015</v>
      </c>
      <c r="CD942" t="s">
        <v>442</v>
      </c>
      <c r="CE942" t="s">
        <v>2272</v>
      </c>
      <c r="CF942" s="12">
        <v>11.43</v>
      </c>
      <c r="CG942" s="12">
        <v>12.65</v>
      </c>
      <c r="CJ942" t="s">
        <v>135</v>
      </c>
      <c r="CK942" t="s">
        <v>342</v>
      </c>
      <c r="CL942" t="s">
        <v>20808</v>
      </c>
      <c r="CO942" t="s">
        <v>132</v>
      </c>
      <c r="CP942" t="s">
        <v>136</v>
      </c>
      <c r="CQ942" t="s">
        <v>136</v>
      </c>
      <c r="CR942" t="s">
        <v>114</v>
      </c>
      <c r="CS942" t="s">
        <v>136</v>
      </c>
      <c r="CT942" t="s">
        <v>136</v>
      </c>
      <c r="CU942" t="s">
        <v>136</v>
      </c>
      <c r="CV942" t="s">
        <v>344</v>
      </c>
      <c r="CW942" s="10" t="str">
        <f>"+13525526656"</f>
        <v>+13525526656</v>
      </c>
      <c r="CX942" t="s">
        <v>20807</v>
      </c>
      <c r="CY942" t="s">
        <v>132</v>
      </c>
      <c r="CZ942" t="s">
        <v>137</v>
      </c>
      <c r="DA942" t="s">
        <v>114</v>
      </c>
      <c r="DB942" t="s">
        <v>136</v>
      </c>
      <c r="DC942" t="s">
        <v>136</v>
      </c>
      <c r="DD942" t="s">
        <v>114</v>
      </c>
    </row>
    <row r="943" spans="1:108" ht="15" customHeight="1" x14ac:dyDescent="0.25">
      <c r="A943" t="s">
        <v>10245</v>
      </c>
      <c r="B943" t="s">
        <v>152</v>
      </c>
      <c r="C943" s="1">
        <v>45175.643473495373</v>
      </c>
      <c r="D943" s="1">
        <v>45245</v>
      </c>
      <c r="E943" t="s">
        <v>132</v>
      </c>
      <c r="F943" t="s">
        <v>5382</v>
      </c>
      <c r="G943" t="str">
        <f>"37-1011.00"</f>
        <v>37-1011.00</v>
      </c>
      <c r="H943" t="s">
        <v>5383</v>
      </c>
      <c r="I943">
        <v>3</v>
      </c>
      <c r="J943">
        <v>3</v>
      </c>
      <c r="K943" s="1">
        <v>45250</v>
      </c>
      <c r="L943" s="1">
        <v>45550</v>
      </c>
      <c r="M943" s="1">
        <v>45250</v>
      </c>
      <c r="N943" s="1">
        <v>45550</v>
      </c>
      <c r="O943" t="s">
        <v>238</v>
      </c>
      <c r="P943" t="s">
        <v>10246</v>
      </c>
      <c r="Q943" t="s">
        <v>10246</v>
      </c>
      <c r="R943" t="s">
        <v>10247</v>
      </c>
      <c r="T943" t="s">
        <v>2773</v>
      </c>
      <c r="U943" t="s">
        <v>140</v>
      </c>
      <c r="V943" s="8" t="str">
        <f>"32408"</f>
        <v>32408</v>
      </c>
      <c r="W943" t="s">
        <v>118</v>
      </c>
      <c r="Y943" s="10">
        <v>17864929774</v>
      </c>
      <c r="AA943">
        <v>561720</v>
      </c>
      <c r="AB943" t="s">
        <v>10248</v>
      </c>
      <c r="AC943" t="s">
        <v>10249</v>
      </c>
      <c r="AE943" t="s">
        <v>629</v>
      </c>
      <c r="AF943" t="s">
        <v>10247</v>
      </c>
      <c r="AH943" t="s">
        <v>2773</v>
      </c>
      <c r="AI943" t="s">
        <v>140</v>
      </c>
      <c r="AJ943" s="8" t="str">
        <f>"32408"</f>
        <v>32408</v>
      </c>
      <c r="AK943" t="s">
        <v>118</v>
      </c>
      <c r="AM943" s="10">
        <v>17863285408</v>
      </c>
      <c r="AO943" t="s">
        <v>10250</v>
      </c>
      <c r="AX943" s="8" t="str">
        <f>""</f>
        <v/>
      </c>
      <c r="BG943" t="s">
        <v>333</v>
      </c>
      <c r="BH943" s="1">
        <v>45174.833333333336</v>
      </c>
      <c r="BI943">
        <v>35</v>
      </c>
      <c r="BJ943">
        <v>5</v>
      </c>
      <c r="BK943">
        <v>5</v>
      </c>
      <c r="BL943">
        <v>5</v>
      </c>
      <c r="BM943">
        <v>5</v>
      </c>
      <c r="BN943">
        <v>5</v>
      </c>
      <c r="BO943">
        <v>5</v>
      </c>
      <c r="BP943">
        <v>5</v>
      </c>
      <c r="BQ943" t="str">
        <f>"8:00 AM"</f>
        <v>8:00 AM</v>
      </c>
      <c r="BR943" t="str">
        <f>"4:00 PM"</f>
        <v>4:00 PM</v>
      </c>
      <c r="BS943" t="s">
        <v>131</v>
      </c>
      <c r="BT943">
        <v>0</v>
      </c>
      <c r="BU943">
        <v>12</v>
      </c>
      <c r="BV943" t="s">
        <v>136</v>
      </c>
      <c r="BW943">
        <v>75</v>
      </c>
      <c r="BX943" s="2" t="s">
        <v>10251</v>
      </c>
      <c r="BY943" t="s">
        <v>10252</v>
      </c>
      <c r="CA943" t="s">
        <v>6092</v>
      </c>
      <c r="CB943" t="s">
        <v>333</v>
      </c>
      <c r="CC943" s="8" t="str">
        <f>"70601"</f>
        <v>70601</v>
      </c>
      <c r="CD943" t="s">
        <v>6094</v>
      </c>
      <c r="CE943" t="s">
        <v>6095</v>
      </c>
      <c r="CF943" s="12">
        <v>18.23</v>
      </c>
      <c r="CG943" s="12">
        <v>19</v>
      </c>
      <c r="CH943" s="12">
        <v>27.35</v>
      </c>
      <c r="CI943" s="12">
        <v>28.5</v>
      </c>
      <c r="CJ943" t="s">
        <v>135</v>
      </c>
      <c r="CK943" t="s">
        <v>10253</v>
      </c>
      <c r="CL943" t="s">
        <v>10254</v>
      </c>
      <c r="CO943" t="s">
        <v>132</v>
      </c>
      <c r="CP943" t="s">
        <v>136</v>
      </c>
      <c r="CQ943" t="s">
        <v>114</v>
      </c>
      <c r="CR943" t="s">
        <v>136</v>
      </c>
      <c r="CS943" t="s">
        <v>114</v>
      </c>
      <c r="CT943" t="s">
        <v>136</v>
      </c>
      <c r="CU943" t="s">
        <v>136</v>
      </c>
      <c r="CV943" s="2" t="s">
        <v>10255</v>
      </c>
      <c r="CW943" s="10" t="str">
        <f>"+17869429774"</f>
        <v>+17869429774</v>
      </c>
      <c r="CX943" t="s">
        <v>10256</v>
      </c>
      <c r="CY943" t="s">
        <v>132</v>
      </c>
      <c r="CZ943" t="s">
        <v>137</v>
      </c>
      <c r="DA943" t="s">
        <v>114</v>
      </c>
      <c r="DB943" t="s">
        <v>114</v>
      </c>
      <c r="DC943" t="s">
        <v>136</v>
      </c>
      <c r="DD943" t="s">
        <v>114</v>
      </c>
    </row>
    <row r="944" spans="1:108" ht="15" customHeight="1" x14ac:dyDescent="0.25">
      <c r="A944" t="s">
        <v>22757</v>
      </c>
      <c r="B944" t="s">
        <v>152</v>
      </c>
      <c r="C944" s="1">
        <v>45175.615621990743</v>
      </c>
      <c r="D944" s="1">
        <v>45245</v>
      </c>
      <c r="E944" t="s">
        <v>132</v>
      </c>
      <c r="F944" t="s">
        <v>5382</v>
      </c>
      <c r="G944" t="str">
        <f>"37-1011.00"</f>
        <v>37-1011.00</v>
      </c>
      <c r="H944" t="s">
        <v>5383</v>
      </c>
      <c r="I944">
        <v>3</v>
      </c>
      <c r="J944">
        <v>3</v>
      </c>
      <c r="K944" s="1">
        <v>45250</v>
      </c>
      <c r="L944" s="1">
        <v>45520</v>
      </c>
      <c r="M944" s="1">
        <v>45250</v>
      </c>
      <c r="N944" s="1">
        <v>45520</v>
      </c>
      <c r="O944" t="s">
        <v>238</v>
      </c>
      <c r="P944" t="s">
        <v>10246</v>
      </c>
      <c r="Q944" t="s">
        <v>10246</v>
      </c>
      <c r="R944" t="s">
        <v>10247</v>
      </c>
      <c r="S944" t="s">
        <v>14312</v>
      </c>
      <c r="T944" t="s">
        <v>2773</v>
      </c>
      <c r="U944" t="s">
        <v>140</v>
      </c>
      <c r="V944" s="8" t="str">
        <f>"32408"</f>
        <v>32408</v>
      </c>
      <c r="W944" t="s">
        <v>118</v>
      </c>
      <c r="Y944" s="10">
        <v>17864929774</v>
      </c>
      <c r="AA944">
        <v>561720</v>
      </c>
      <c r="AB944" t="s">
        <v>10248</v>
      </c>
      <c r="AC944" t="s">
        <v>10249</v>
      </c>
      <c r="AE944" t="s">
        <v>629</v>
      </c>
      <c r="AF944" t="s">
        <v>10247</v>
      </c>
      <c r="AH944" t="s">
        <v>2773</v>
      </c>
      <c r="AI944" t="s">
        <v>140</v>
      </c>
      <c r="AJ944" s="8" t="str">
        <f>"32408"</f>
        <v>32408</v>
      </c>
      <c r="AK944" t="s">
        <v>118</v>
      </c>
      <c r="AM944" s="10">
        <v>17863285408</v>
      </c>
      <c r="AO944" t="s">
        <v>10250</v>
      </c>
      <c r="AX944" s="8" t="str">
        <f>""</f>
        <v/>
      </c>
      <c r="BG944" t="s">
        <v>140</v>
      </c>
      <c r="BH944" s="1">
        <v>45174.833333333336</v>
      </c>
      <c r="BI944">
        <v>35</v>
      </c>
      <c r="BJ944">
        <v>5</v>
      </c>
      <c r="BK944">
        <v>5</v>
      </c>
      <c r="BL944">
        <v>5</v>
      </c>
      <c r="BM944">
        <v>5</v>
      </c>
      <c r="BN944">
        <v>5</v>
      </c>
      <c r="BO944">
        <v>5</v>
      </c>
      <c r="BP944">
        <v>5</v>
      </c>
      <c r="BQ944" t="str">
        <f>"8:00 AM"</f>
        <v>8:00 AM</v>
      </c>
      <c r="BR944" t="str">
        <f>"4:00 PM"</f>
        <v>4:00 PM</v>
      </c>
      <c r="BS944" t="s">
        <v>147</v>
      </c>
      <c r="BT944">
        <v>0</v>
      </c>
      <c r="BU944">
        <v>12</v>
      </c>
      <c r="BV944" t="s">
        <v>136</v>
      </c>
      <c r="BW944">
        <v>48</v>
      </c>
      <c r="BX944" s="2" t="s">
        <v>22758</v>
      </c>
      <c r="BY944" t="s">
        <v>22759</v>
      </c>
      <c r="CA944" t="s">
        <v>22760</v>
      </c>
      <c r="CB944" t="s">
        <v>140</v>
      </c>
      <c r="CC944" s="8" t="str">
        <f>"33141"</f>
        <v>33141</v>
      </c>
      <c r="CD944" t="s">
        <v>148</v>
      </c>
      <c r="CE944" t="s">
        <v>149</v>
      </c>
      <c r="CF944" s="12">
        <v>19.579999999999998</v>
      </c>
      <c r="CG944" s="12">
        <v>20</v>
      </c>
      <c r="CH944" s="12">
        <v>29.37</v>
      </c>
      <c r="CI944" s="12">
        <v>30</v>
      </c>
      <c r="CJ944" t="s">
        <v>135</v>
      </c>
      <c r="CK944" t="s">
        <v>10253</v>
      </c>
      <c r="CL944" t="s">
        <v>22761</v>
      </c>
      <c r="CO944" t="s">
        <v>132</v>
      </c>
      <c r="CP944" t="s">
        <v>136</v>
      </c>
      <c r="CQ944" t="s">
        <v>114</v>
      </c>
      <c r="CR944" t="s">
        <v>136</v>
      </c>
      <c r="CS944" t="s">
        <v>114</v>
      </c>
      <c r="CT944" t="s">
        <v>136</v>
      </c>
      <c r="CU944" t="s">
        <v>136</v>
      </c>
      <c r="CV944" s="2" t="s">
        <v>22762</v>
      </c>
      <c r="CW944" s="10" t="str">
        <f>"+17869429774"</f>
        <v>+17869429774</v>
      </c>
      <c r="CX944" t="s">
        <v>10256</v>
      </c>
      <c r="CY944" t="s">
        <v>132</v>
      </c>
      <c r="CZ944" t="s">
        <v>137</v>
      </c>
      <c r="DA944" t="s">
        <v>114</v>
      </c>
      <c r="DB944" t="s">
        <v>114</v>
      </c>
      <c r="DC944" t="s">
        <v>136</v>
      </c>
      <c r="DD944" t="s">
        <v>114</v>
      </c>
    </row>
    <row r="945" spans="1:113" ht="15" customHeight="1" x14ac:dyDescent="0.25">
      <c r="A945" t="s">
        <v>15689</v>
      </c>
      <c r="B945" t="s">
        <v>152</v>
      </c>
      <c r="C945" s="1">
        <v>45175.536643402775</v>
      </c>
      <c r="D945" s="1">
        <v>45245</v>
      </c>
      <c r="E945" t="s">
        <v>132</v>
      </c>
      <c r="F945" t="s">
        <v>15690</v>
      </c>
      <c r="G945" t="str">
        <f>"37-2012.00"</f>
        <v>37-2012.00</v>
      </c>
      <c r="H945" t="s">
        <v>205</v>
      </c>
      <c r="I945">
        <v>80</v>
      </c>
      <c r="J945">
        <v>80</v>
      </c>
      <c r="K945" s="1">
        <v>45250</v>
      </c>
      <c r="L945" s="1">
        <v>45443</v>
      </c>
      <c r="M945" s="1">
        <v>45250</v>
      </c>
      <c r="N945" s="1">
        <v>45443</v>
      </c>
      <c r="O945" t="s">
        <v>238</v>
      </c>
      <c r="P945" t="s">
        <v>15691</v>
      </c>
      <c r="R945" t="s">
        <v>15692</v>
      </c>
      <c r="T945" t="s">
        <v>2752</v>
      </c>
      <c r="U945" t="s">
        <v>140</v>
      </c>
      <c r="V945" s="8" t="str">
        <f>"34471"</f>
        <v>34471</v>
      </c>
      <c r="W945" t="s">
        <v>118</v>
      </c>
      <c r="Y945" s="10">
        <v>18443984677</v>
      </c>
      <c r="AA945">
        <v>721110</v>
      </c>
      <c r="AB945" t="s">
        <v>15693</v>
      </c>
      <c r="AC945" t="s">
        <v>15694</v>
      </c>
      <c r="AE945" t="s">
        <v>15695</v>
      </c>
      <c r="AF945" t="s">
        <v>15696</v>
      </c>
      <c r="AH945" t="s">
        <v>2752</v>
      </c>
      <c r="AI945" t="s">
        <v>140</v>
      </c>
      <c r="AJ945" s="8" t="str">
        <f>"34471"</f>
        <v>34471</v>
      </c>
      <c r="AK945" t="s">
        <v>118</v>
      </c>
      <c r="AL945" t="s">
        <v>15697</v>
      </c>
      <c r="AM945" s="10">
        <v>18443984677</v>
      </c>
      <c r="AO945" t="s">
        <v>15698</v>
      </c>
      <c r="AX945" s="8" t="str">
        <f>""</f>
        <v/>
      </c>
      <c r="BG945" t="s">
        <v>140</v>
      </c>
      <c r="BH945" s="1">
        <v>45174.833333333336</v>
      </c>
      <c r="BI945">
        <v>49</v>
      </c>
      <c r="BJ945">
        <v>7</v>
      </c>
      <c r="BK945">
        <v>7</v>
      </c>
      <c r="BL945">
        <v>7</v>
      </c>
      <c r="BM945">
        <v>7</v>
      </c>
      <c r="BN945">
        <v>7</v>
      </c>
      <c r="BO945">
        <v>7</v>
      </c>
      <c r="BP945">
        <v>7</v>
      </c>
      <c r="BQ945" t="str">
        <f>"7:00 AM"</f>
        <v>7:00 AM</v>
      </c>
      <c r="BR945" t="str">
        <f>"2:00 PM"</f>
        <v>2:00 PM</v>
      </c>
      <c r="BS945" t="s">
        <v>131</v>
      </c>
      <c r="BT945">
        <v>0</v>
      </c>
      <c r="BU945">
        <v>3</v>
      </c>
      <c r="BV945" t="s">
        <v>114</v>
      </c>
      <c r="BX945" t="s">
        <v>132</v>
      </c>
      <c r="BY945" t="s">
        <v>15696</v>
      </c>
      <c r="CA945" t="s">
        <v>2752</v>
      </c>
      <c r="CB945" t="s">
        <v>140</v>
      </c>
      <c r="CC945" s="8" t="str">
        <f>"34471"</f>
        <v>34471</v>
      </c>
      <c r="CD945" t="s">
        <v>1257</v>
      </c>
      <c r="CE945" t="s">
        <v>2342</v>
      </c>
      <c r="CF945" s="12">
        <v>13.37</v>
      </c>
      <c r="CG945" s="12">
        <v>13.37</v>
      </c>
      <c r="CH945" s="12">
        <v>20.059999999999999</v>
      </c>
      <c r="CI945" s="12">
        <v>20.059999999999999</v>
      </c>
      <c r="CJ945" t="s">
        <v>135</v>
      </c>
      <c r="CL945" t="s">
        <v>15699</v>
      </c>
      <c r="CO945" t="s">
        <v>132</v>
      </c>
      <c r="CP945" t="s">
        <v>136</v>
      </c>
      <c r="CQ945" t="s">
        <v>114</v>
      </c>
      <c r="CR945" t="s">
        <v>136</v>
      </c>
      <c r="CS945" t="s">
        <v>114</v>
      </c>
      <c r="CT945" t="s">
        <v>136</v>
      </c>
      <c r="CU945" t="s">
        <v>114</v>
      </c>
      <c r="CV945" t="s">
        <v>131</v>
      </c>
      <c r="CW945" s="10" t="str">
        <f>"+18443984677"</f>
        <v>+18443984677</v>
      </c>
      <c r="CX945" t="s">
        <v>15698</v>
      </c>
      <c r="CY945" t="s">
        <v>15700</v>
      </c>
      <c r="CZ945" t="s">
        <v>137</v>
      </c>
      <c r="DA945" t="s">
        <v>114</v>
      </c>
      <c r="DB945" t="s">
        <v>114</v>
      </c>
      <c r="DC945" t="s">
        <v>136</v>
      </c>
      <c r="DD945" t="s">
        <v>114</v>
      </c>
    </row>
    <row r="946" spans="1:113" ht="15" customHeight="1" x14ac:dyDescent="0.25">
      <c r="A946" t="s">
        <v>16754</v>
      </c>
      <c r="B946" t="s">
        <v>152</v>
      </c>
      <c r="C946" s="1">
        <v>45171.34463472222</v>
      </c>
      <c r="D946" s="1">
        <v>45245</v>
      </c>
      <c r="E946" t="s">
        <v>132</v>
      </c>
      <c r="F946" t="s">
        <v>700</v>
      </c>
      <c r="G946" t="str">
        <f>"49-3023.00"</f>
        <v>49-3023.00</v>
      </c>
      <c r="H946" t="s">
        <v>7614</v>
      </c>
      <c r="I946">
        <v>2</v>
      </c>
      <c r="J946">
        <v>2</v>
      </c>
      <c r="K946" s="1">
        <v>45261</v>
      </c>
      <c r="L946" s="1">
        <v>45535</v>
      </c>
      <c r="M946" s="1">
        <v>45261</v>
      </c>
      <c r="N946" s="1">
        <v>45535</v>
      </c>
      <c r="O946" t="s">
        <v>116</v>
      </c>
      <c r="P946" t="s">
        <v>16755</v>
      </c>
      <c r="R946" t="s">
        <v>16756</v>
      </c>
      <c r="T946" t="s">
        <v>5089</v>
      </c>
      <c r="U946" t="s">
        <v>333</v>
      </c>
      <c r="V946" s="8" t="str">
        <f>"70535"</f>
        <v>70535</v>
      </c>
      <c r="W946" t="s">
        <v>118</v>
      </c>
      <c r="Y946" s="10">
        <v>13372074917</v>
      </c>
      <c r="AA946">
        <v>811111</v>
      </c>
      <c r="AB946" t="s">
        <v>1140</v>
      </c>
      <c r="AC946" t="s">
        <v>3279</v>
      </c>
      <c r="AE946" t="s">
        <v>561</v>
      </c>
      <c r="AF946" t="s">
        <v>16756</v>
      </c>
      <c r="AH946" t="s">
        <v>5089</v>
      </c>
      <c r="AI946" t="s">
        <v>333</v>
      </c>
      <c r="AJ946" s="8" t="str">
        <f>"70535"</f>
        <v>70535</v>
      </c>
      <c r="AK946" t="s">
        <v>118</v>
      </c>
      <c r="AM946" s="10">
        <v>13372074917</v>
      </c>
      <c r="AO946" t="s">
        <v>16757</v>
      </c>
      <c r="AP946" t="s">
        <v>121</v>
      </c>
      <c r="AQ946" t="s">
        <v>3627</v>
      </c>
      <c r="AR946" t="s">
        <v>2309</v>
      </c>
      <c r="AS946" t="s">
        <v>5087</v>
      </c>
      <c r="AT946" t="s">
        <v>5088</v>
      </c>
      <c r="AV946" t="s">
        <v>5089</v>
      </c>
      <c r="AW946" t="s">
        <v>333</v>
      </c>
      <c r="AX946" s="8" t="str">
        <f>"70535"</f>
        <v>70535</v>
      </c>
      <c r="AY946" t="s">
        <v>118</v>
      </c>
      <c r="BA946" s="10">
        <v>13374663722</v>
      </c>
      <c r="BC946" t="s">
        <v>5090</v>
      </c>
      <c r="BD946" t="s">
        <v>5091</v>
      </c>
      <c r="BE946" t="s">
        <v>333</v>
      </c>
      <c r="BF946" t="s">
        <v>2190</v>
      </c>
      <c r="BG946" t="s">
        <v>333</v>
      </c>
      <c r="BH946" s="1">
        <v>45169.833333333336</v>
      </c>
      <c r="BI946">
        <v>40</v>
      </c>
      <c r="BJ946">
        <v>0</v>
      </c>
      <c r="BK946">
        <v>8</v>
      </c>
      <c r="BL946">
        <v>8</v>
      </c>
      <c r="BM946">
        <v>8</v>
      </c>
      <c r="BN946">
        <v>8</v>
      </c>
      <c r="BO946">
        <v>8</v>
      </c>
      <c r="BP946">
        <v>0</v>
      </c>
      <c r="BQ946" t="str">
        <f>"7:00 AM"</f>
        <v>7:00 AM</v>
      </c>
      <c r="BR946" t="str">
        <f>"5:00 PM"</f>
        <v>5:00 PM</v>
      </c>
      <c r="BS946" t="s">
        <v>131</v>
      </c>
      <c r="BT946">
        <v>0</v>
      </c>
      <c r="BU946">
        <v>3</v>
      </c>
      <c r="BV946" t="s">
        <v>114</v>
      </c>
      <c r="BX946" s="2" t="s">
        <v>16758</v>
      </c>
      <c r="BY946" t="s">
        <v>16756</v>
      </c>
      <c r="CA946" t="s">
        <v>5089</v>
      </c>
      <c r="CB946" t="s">
        <v>333</v>
      </c>
      <c r="CC946" s="8" t="str">
        <f>"70535"</f>
        <v>70535</v>
      </c>
      <c r="CD946" t="s">
        <v>16759</v>
      </c>
      <c r="CE946" t="s">
        <v>5008</v>
      </c>
      <c r="CF946" s="12">
        <v>20.02</v>
      </c>
      <c r="CG946" s="12">
        <v>20.02</v>
      </c>
      <c r="CH946" s="12">
        <v>30.03</v>
      </c>
      <c r="CI946" s="12">
        <v>30.03</v>
      </c>
      <c r="CJ946" t="s">
        <v>135</v>
      </c>
      <c r="CL946" t="s">
        <v>16760</v>
      </c>
      <c r="CO946" t="s">
        <v>132</v>
      </c>
      <c r="CP946" t="s">
        <v>136</v>
      </c>
      <c r="CQ946" t="s">
        <v>136</v>
      </c>
      <c r="CR946" t="s">
        <v>136</v>
      </c>
      <c r="CS946" t="s">
        <v>136</v>
      </c>
      <c r="CT946" t="s">
        <v>136</v>
      </c>
      <c r="CU946" t="s">
        <v>136</v>
      </c>
      <c r="CV946" t="s">
        <v>16761</v>
      </c>
      <c r="CW946" s="10" t="str">
        <f>"+13372074917"</f>
        <v>+13372074917</v>
      </c>
      <c r="CX946" t="s">
        <v>16757</v>
      </c>
      <c r="CY946" t="s">
        <v>132</v>
      </c>
      <c r="CZ946" t="s">
        <v>137</v>
      </c>
      <c r="DA946" t="s">
        <v>114</v>
      </c>
      <c r="DB946" t="s">
        <v>114</v>
      </c>
      <c r="DC946" t="s">
        <v>136</v>
      </c>
      <c r="DD946" t="s">
        <v>114</v>
      </c>
    </row>
    <row r="947" spans="1:113" ht="15" customHeight="1" x14ac:dyDescent="0.25">
      <c r="A947" t="s">
        <v>13400</v>
      </c>
      <c r="B947" t="s">
        <v>152</v>
      </c>
      <c r="C947" s="1">
        <v>45138.055885648151</v>
      </c>
      <c r="D947" s="1">
        <v>45245</v>
      </c>
      <c r="E947" t="s">
        <v>114</v>
      </c>
      <c r="F947" t="s">
        <v>8348</v>
      </c>
      <c r="G947" t="str">
        <f>"39-2021.00"</f>
        <v>39-2021.00</v>
      </c>
      <c r="H947" t="s">
        <v>2895</v>
      </c>
      <c r="I947">
        <v>4</v>
      </c>
      <c r="J947">
        <v>4</v>
      </c>
      <c r="K947" s="1">
        <v>45227</v>
      </c>
      <c r="L947" s="1">
        <v>45530</v>
      </c>
      <c r="M947" s="1">
        <v>45227</v>
      </c>
      <c r="N947" s="1">
        <v>45530</v>
      </c>
      <c r="O947" t="s">
        <v>116</v>
      </c>
      <c r="P947" t="s">
        <v>13401</v>
      </c>
      <c r="R947" t="s">
        <v>13402</v>
      </c>
      <c r="T947" t="s">
        <v>13403</v>
      </c>
      <c r="U947" t="s">
        <v>402</v>
      </c>
      <c r="V947" s="8" t="str">
        <f>"94027"</f>
        <v>94027</v>
      </c>
      <c r="W947" t="s">
        <v>118</v>
      </c>
      <c r="Y947" s="10">
        <v>16503250196</v>
      </c>
      <c r="AA947">
        <v>71121</v>
      </c>
      <c r="AB947" t="s">
        <v>13404</v>
      </c>
      <c r="AC947" t="s">
        <v>13405</v>
      </c>
      <c r="AE947" t="s">
        <v>2850</v>
      </c>
      <c r="AF947" t="s">
        <v>13406</v>
      </c>
      <c r="AG947" t="s">
        <v>13407</v>
      </c>
      <c r="AH947" t="s">
        <v>412</v>
      </c>
      <c r="AI947" t="s">
        <v>402</v>
      </c>
      <c r="AJ947" s="8" t="str">
        <f>"94114"</f>
        <v>94114</v>
      </c>
      <c r="AK947" t="s">
        <v>118</v>
      </c>
      <c r="AM947" s="10">
        <v>16504443200</v>
      </c>
      <c r="AO947" t="s">
        <v>13408</v>
      </c>
      <c r="AP947" t="s">
        <v>121</v>
      </c>
      <c r="AQ947" t="s">
        <v>8354</v>
      </c>
      <c r="AR947" t="s">
        <v>1872</v>
      </c>
      <c r="AS947" t="s">
        <v>8355</v>
      </c>
      <c r="AT947" t="s">
        <v>8356</v>
      </c>
      <c r="AU947" t="s">
        <v>296</v>
      </c>
      <c r="AV947" t="s">
        <v>401</v>
      </c>
      <c r="AW947" t="s">
        <v>402</v>
      </c>
      <c r="AX947" s="8" t="str">
        <f>"92008"</f>
        <v>92008</v>
      </c>
      <c r="AY947" t="s">
        <v>118</v>
      </c>
      <c r="BA947" s="10">
        <v>17609185584</v>
      </c>
      <c r="BC947" t="s">
        <v>8357</v>
      </c>
      <c r="BD947" t="s">
        <v>8358</v>
      </c>
      <c r="BE947" t="s">
        <v>402</v>
      </c>
      <c r="BF947" t="s">
        <v>13409</v>
      </c>
      <c r="BG947" t="s">
        <v>402</v>
      </c>
      <c r="BH947" s="1">
        <v>45135.833333333336</v>
      </c>
      <c r="BI947">
        <v>42</v>
      </c>
      <c r="BJ947">
        <v>5</v>
      </c>
      <c r="BK947">
        <v>0</v>
      </c>
      <c r="BL947">
        <v>8</v>
      </c>
      <c r="BM947">
        <v>8</v>
      </c>
      <c r="BN947">
        <v>8</v>
      </c>
      <c r="BO947">
        <v>8</v>
      </c>
      <c r="BP947">
        <v>5</v>
      </c>
      <c r="BQ947" t="str">
        <f>"7:00 AM"</f>
        <v>7:00 AM</v>
      </c>
      <c r="BR947" t="str">
        <f>"5:00 PM"</f>
        <v>5:00 PM</v>
      </c>
      <c r="BS947" t="s">
        <v>131</v>
      </c>
      <c r="BT947">
        <v>0</v>
      </c>
      <c r="BU947">
        <v>3</v>
      </c>
      <c r="BV947" t="s">
        <v>114</v>
      </c>
      <c r="BX947" s="2" t="s">
        <v>8360</v>
      </c>
      <c r="BY947" t="s">
        <v>13402</v>
      </c>
      <c r="CA947" t="s">
        <v>13403</v>
      </c>
      <c r="CB947" t="s">
        <v>402</v>
      </c>
      <c r="CC947" s="8" t="str">
        <f>"94027"</f>
        <v>94027</v>
      </c>
      <c r="CD947" t="s">
        <v>2736</v>
      </c>
      <c r="CE947" t="s">
        <v>2737</v>
      </c>
      <c r="CF947" s="12">
        <v>20.63</v>
      </c>
      <c r="CG947" s="12">
        <v>20.63</v>
      </c>
      <c r="CH947" s="12">
        <v>30.95</v>
      </c>
      <c r="CI947" s="12">
        <v>30.95</v>
      </c>
      <c r="CJ947" t="s">
        <v>135</v>
      </c>
      <c r="CK947" t="s">
        <v>132</v>
      </c>
      <c r="CL947" t="s">
        <v>13410</v>
      </c>
      <c r="CO947" t="s">
        <v>132</v>
      </c>
      <c r="CP947" t="s">
        <v>136</v>
      </c>
      <c r="CQ947" t="s">
        <v>136</v>
      </c>
      <c r="CR947" t="s">
        <v>136</v>
      </c>
      <c r="CS947" t="s">
        <v>114</v>
      </c>
      <c r="CT947" t="s">
        <v>136</v>
      </c>
      <c r="CU947" t="s">
        <v>136</v>
      </c>
      <c r="CV947" t="s">
        <v>13411</v>
      </c>
      <c r="CW947" s="10" t="str">
        <f>"+16504443200"</f>
        <v>+16504443200</v>
      </c>
      <c r="CX947" t="s">
        <v>13408</v>
      </c>
      <c r="CY947" t="s">
        <v>132</v>
      </c>
      <c r="CZ947" t="s">
        <v>137</v>
      </c>
      <c r="DA947" t="s">
        <v>114</v>
      </c>
      <c r="DB947" t="s">
        <v>114</v>
      </c>
      <c r="DC947" t="s">
        <v>136</v>
      </c>
      <c r="DD947" t="s">
        <v>114</v>
      </c>
    </row>
    <row r="948" spans="1:113" ht="15" customHeight="1" x14ac:dyDescent="0.25">
      <c r="A948" t="s">
        <v>18583</v>
      </c>
      <c r="B948" t="s">
        <v>152</v>
      </c>
      <c r="C948" s="1">
        <v>45137.847326967596</v>
      </c>
      <c r="D948" s="1">
        <v>45245</v>
      </c>
      <c r="E948" t="s">
        <v>114</v>
      </c>
      <c r="F948" t="s">
        <v>14575</v>
      </c>
      <c r="G948" t="str">
        <f>"39-2021.00"</f>
        <v>39-2021.00</v>
      </c>
      <c r="H948" t="s">
        <v>2895</v>
      </c>
      <c r="I948">
        <v>10</v>
      </c>
      <c r="J948">
        <v>10</v>
      </c>
      <c r="K948" s="1">
        <v>45227</v>
      </c>
      <c r="L948" s="1">
        <v>45530</v>
      </c>
      <c r="M948" s="1">
        <v>45227</v>
      </c>
      <c r="N948" s="1">
        <v>45530</v>
      </c>
      <c r="O948" t="s">
        <v>116</v>
      </c>
      <c r="P948" t="s">
        <v>18584</v>
      </c>
      <c r="Q948" t="s">
        <v>18585</v>
      </c>
      <c r="R948" t="s">
        <v>18586</v>
      </c>
      <c r="T948" t="s">
        <v>18587</v>
      </c>
      <c r="U948" t="s">
        <v>402</v>
      </c>
      <c r="V948" s="8" t="str">
        <f>"94954"</f>
        <v>94954</v>
      </c>
      <c r="W948" t="s">
        <v>118</v>
      </c>
      <c r="Y948" s="10">
        <v>14155182145</v>
      </c>
      <c r="AA948">
        <v>71121</v>
      </c>
      <c r="AB948" t="s">
        <v>18588</v>
      </c>
      <c r="AC948" t="s">
        <v>990</v>
      </c>
      <c r="AE948" t="s">
        <v>1836</v>
      </c>
      <c r="AF948" t="s">
        <v>18589</v>
      </c>
      <c r="AH948" t="s">
        <v>412</v>
      </c>
      <c r="AI948" t="s">
        <v>402</v>
      </c>
      <c r="AJ948" s="8" t="str">
        <f>"94115"</f>
        <v>94115</v>
      </c>
      <c r="AK948" t="s">
        <v>118</v>
      </c>
      <c r="AM948" s="10">
        <v>14155182145</v>
      </c>
      <c r="AO948" t="s">
        <v>18590</v>
      </c>
      <c r="AP948" t="s">
        <v>121</v>
      </c>
      <c r="AQ948" t="s">
        <v>8354</v>
      </c>
      <c r="AR948" t="s">
        <v>1872</v>
      </c>
      <c r="AS948" t="s">
        <v>8355</v>
      </c>
      <c r="AT948" t="s">
        <v>8356</v>
      </c>
      <c r="AU948" t="s">
        <v>296</v>
      </c>
      <c r="AV948" t="s">
        <v>401</v>
      </c>
      <c r="AW948" t="s">
        <v>402</v>
      </c>
      <c r="AX948" s="8" t="str">
        <f>"92008"</f>
        <v>92008</v>
      </c>
      <c r="AY948" t="s">
        <v>118</v>
      </c>
      <c r="BA948" s="10">
        <v>17609185584</v>
      </c>
      <c r="BC948" t="s">
        <v>8357</v>
      </c>
      <c r="BD948" t="s">
        <v>8358</v>
      </c>
      <c r="BE948" t="s">
        <v>402</v>
      </c>
      <c r="BF948" t="s">
        <v>13409</v>
      </c>
      <c r="BG948" t="s">
        <v>402</v>
      </c>
      <c r="BH948" s="1">
        <v>45135.833333333336</v>
      </c>
      <c r="BI948">
        <v>45</v>
      </c>
      <c r="BJ948">
        <v>7.5</v>
      </c>
      <c r="BK948">
        <v>0</v>
      </c>
      <c r="BL948">
        <v>7.5</v>
      </c>
      <c r="BM948">
        <v>7.5</v>
      </c>
      <c r="BN948">
        <v>7.5</v>
      </c>
      <c r="BO948">
        <v>7.5</v>
      </c>
      <c r="BP948">
        <v>7.5</v>
      </c>
      <c r="BQ948" t="str">
        <f>"7:30 AM"</f>
        <v>7:30 AM</v>
      </c>
      <c r="BR948" t="str">
        <f>"5:00 PM"</f>
        <v>5:00 PM</v>
      </c>
      <c r="BS948" t="s">
        <v>131</v>
      </c>
      <c r="BT948">
        <v>0</v>
      </c>
      <c r="BU948">
        <v>1</v>
      </c>
      <c r="BV948" t="s">
        <v>114</v>
      </c>
      <c r="BX948" s="2" t="s">
        <v>18591</v>
      </c>
      <c r="BY948" t="s">
        <v>18586</v>
      </c>
      <c r="CA948" t="s">
        <v>18587</v>
      </c>
      <c r="CB948" t="s">
        <v>402</v>
      </c>
      <c r="CC948" s="8" t="str">
        <f>"94954"</f>
        <v>94954</v>
      </c>
      <c r="CD948" t="s">
        <v>13578</v>
      </c>
      <c r="CE948" t="s">
        <v>13579</v>
      </c>
      <c r="CF948" s="12">
        <v>18.66</v>
      </c>
      <c r="CG948" s="12">
        <v>18.66</v>
      </c>
      <c r="CH948" s="12">
        <v>27.99</v>
      </c>
      <c r="CI948" s="12">
        <v>27.99</v>
      </c>
      <c r="CJ948" t="s">
        <v>135</v>
      </c>
      <c r="CK948" t="s">
        <v>18592</v>
      </c>
      <c r="CL948" t="s">
        <v>18593</v>
      </c>
      <c r="CO948" t="s">
        <v>132</v>
      </c>
      <c r="CP948" t="s">
        <v>114</v>
      </c>
      <c r="CQ948" t="s">
        <v>114</v>
      </c>
      <c r="CR948" t="s">
        <v>136</v>
      </c>
      <c r="CS948" t="s">
        <v>114</v>
      </c>
      <c r="CT948" t="s">
        <v>136</v>
      </c>
      <c r="CU948" t="s">
        <v>136</v>
      </c>
      <c r="CV948" t="s">
        <v>18594</v>
      </c>
      <c r="CW948" s="10" t="str">
        <f>"+14155182145"</f>
        <v>+14155182145</v>
      </c>
      <c r="CX948" t="s">
        <v>18590</v>
      </c>
      <c r="CY948" t="s">
        <v>132</v>
      </c>
      <c r="CZ948" t="s">
        <v>137</v>
      </c>
      <c r="DA948" t="s">
        <v>114</v>
      </c>
      <c r="DB948" t="s">
        <v>114</v>
      </c>
      <c r="DC948" t="s">
        <v>136</v>
      </c>
      <c r="DD948" t="s">
        <v>114</v>
      </c>
    </row>
    <row r="949" spans="1:113" ht="15" customHeight="1" x14ac:dyDescent="0.25">
      <c r="A949" t="s">
        <v>14611</v>
      </c>
      <c r="B949" t="s">
        <v>152</v>
      </c>
      <c r="C949" s="1">
        <v>45115.841010995369</v>
      </c>
      <c r="D949" s="1">
        <v>45245</v>
      </c>
      <c r="E949" t="s">
        <v>114</v>
      </c>
      <c r="F949" t="s">
        <v>14612</v>
      </c>
      <c r="G949" t="str">
        <f>"35-9011.00"</f>
        <v>35-9011.00</v>
      </c>
      <c r="H949" t="s">
        <v>1512</v>
      </c>
      <c r="I949">
        <v>55</v>
      </c>
      <c r="J949">
        <v>55</v>
      </c>
      <c r="K949" s="1">
        <v>45200</v>
      </c>
      <c r="L949" s="1">
        <v>45473</v>
      </c>
      <c r="M949" s="1">
        <v>45200</v>
      </c>
      <c r="N949" s="1">
        <v>45473</v>
      </c>
      <c r="O949" t="s">
        <v>116</v>
      </c>
      <c r="P949" t="s">
        <v>14613</v>
      </c>
      <c r="R949" t="s">
        <v>14614</v>
      </c>
      <c r="S949">
        <v>22</v>
      </c>
      <c r="T949" t="s">
        <v>2773</v>
      </c>
      <c r="U949" t="s">
        <v>140</v>
      </c>
      <c r="V949" s="8" t="str">
        <f>"32407"</f>
        <v>32407</v>
      </c>
      <c r="W949" t="s">
        <v>118</v>
      </c>
      <c r="Y949" s="10">
        <v>18509800222</v>
      </c>
      <c r="AA949">
        <v>561720</v>
      </c>
      <c r="AB949" t="s">
        <v>14615</v>
      </c>
      <c r="AC949" t="s">
        <v>2350</v>
      </c>
      <c r="AD949" t="s">
        <v>14616</v>
      </c>
      <c r="AE949" t="s">
        <v>9389</v>
      </c>
      <c r="AF949" t="s">
        <v>14617</v>
      </c>
      <c r="AG949">
        <v>22</v>
      </c>
      <c r="AH949" t="s">
        <v>2773</v>
      </c>
      <c r="AI949" t="s">
        <v>140</v>
      </c>
      <c r="AJ949" s="8" t="str">
        <f>"32407"</f>
        <v>32407</v>
      </c>
      <c r="AK949" t="s">
        <v>118</v>
      </c>
      <c r="AM949" s="10">
        <v>18509800222</v>
      </c>
      <c r="AO949" t="s">
        <v>14618</v>
      </c>
      <c r="AX949" s="8" t="str">
        <f>""</f>
        <v/>
      </c>
      <c r="BG949" t="s">
        <v>140</v>
      </c>
      <c r="BH949" s="1">
        <v>45114.833333333336</v>
      </c>
      <c r="BI949">
        <v>36</v>
      </c>
      <c r="BJ949">
        <v>7</v>
      </c>
      <c r="BK949">
        <v>4</v>
      </c>
      <c r="BL949">
        <v>4</v>
      </c>
      <c r="BM949">
        <v>4</v>
      </c>
      <c r="BN949">
        <v>4</v>
      </c>
      <c r="BO949">
        <v>7</v>
      </c>
      <c r="BP949">
        <v>7</v>
      </c>
      <c r="BQ949" t="str">
        <f>"8:30 AM"</f>
        <v>8:30 AM</v>
      </c>
      <c r="BR949" t="str">
        <f>"5:00 PM"</f>
        <v>5:00 PM</v>
      </c>
      <c r="BS949" t="s">
        <v>131</v>
      </c>
      <c r="BT949">
        <v>0</v>
      </c>
      <c r="BU949">
        <v>0</v>
      </c>
      <c r="BV949" t="s">
        <v>114</v>
      </c>
      <c r="BX949" t="s">
        <v>1789</v>
      </c>
      <c r="BY949" t="s">
        <v>14619</v>
      </c>
      <c r="CA949" t="s">
        <v>14620</v>
      </c>
      <c r="CB949" t="s">
        <v>140</v>
      </c>
      <c r="CC949" s="8" t="str">
        <f>"32407"</f>
        <v>32407</v>
      </c>
      <c r="CD949" t="s">
        <v>2727</v>
      </c>
      <c r="CE949" t="s">
        <v>2728</v>
      </c>
      <c r="CF949" s="12">
        <v>11.5</v>
      </c>
      <c r="CG949" s="12">
        <v>11.5</v>
      </c>
      <c r="CH949" s="12">
        <v>17.25</v>
      </c>
      <c r="CI949" s="12">
        <v>17.25</v>
      </c>
      <c r="CJ949" t="s">
        <v>135</v>
      </c>
      <c r="CK949" t="s">
        <v>796</v>
      </c>
      <c r="CL949" t="s">
        <v>14621</v>
      </c>
      <c r="CO949" t="s">
        <v>132</v>
      </c>
      <c r="CP949" t="s">
        <v>136</v>
      </c>
      <c r="CQ949" t="s">
        <v>136</v>
      </c>
      <c r="CR949" t="s">
        <v>136</v>
      </c>
      <c r="CS949" t="s">
        <v>136</v>
      </c>
      <c r="CT949" t="s">
        <v>136</v>
      </c>
      <c r="CU949" t="s">
        <v>114</v>
      </c>
      <c r="CV949" t="s">
        <v>14622</v>
      </c>
      <c r="CW949" s="10" t="str">
        <f>"+18509800222"</f>
        <v>+18509800222</v>
      </c>
      <c r="CX949" t="s">
        <v>14618</v>
      </c>
      <c r="CY949" t="s">
        <v>132</v>
      </c>
      <c r="CZ949" t="s">
        <v>137</v>
      </c>
      <c r="DA949" t="s">
        <v>114</v>
      </c>
      <c r="DB949" t="s">
        <v>114</v>
      </c>
      <c r="DC949" t="s">
        <v>136</v>
      </c>
      <c r="DD949" t="s">
        <v>114</v>
      </c>
    </row>
    <row r="950" spans="1:113" ht="15" customHeight="1" x14ac:dyDescent="0.25">
      <c r="A950" t="s">
        <v>6824</v>
      </c>
      <c r="B950" t="s">
        <v>152</v>
      </c>
      <c r="C950" s="1">
        <v>45110.63722326389</v>
      </c>
      <c r="D950" s="1">
        <v>45245</v>
      </c>
      <c r="E950" t="s">
        <v>114</v>
      </c>
      <c r="F950" t="s">
        <v>6825</v>
      </c>
      <c r="G950" t="str">
        <f>"53-7051.00"</f>
        <v>53-7051.00</v>
      </c>
      <c r="H950" t="s">
        <v>2209</v>
      </c>
      <c r="I950">
        <v>5</v>
      </c>
      <c r="J950">
        <v>5</v>
      </c>
      <c r="K950" s="1">
        <v>45200</v>
      </c>
      <c r="L950" s="1">
        <v>45280</v>
      </c>
      <c r="M950" s="1">
        <v>45200</v>
      </c>
      <c r="N950" s="1">
        <v>45280</v>
      </c>
      <c r="O950" t="s">
        <v>116</v>
      </c>
      <c r="P950" t="s">
        <v>6826</v>
      </c>
      <c r="R950" t="s">
        <v>6827</v>
      </c>
      <c r="T950" t="s">
        <v>6828</v>
      </c>
      <c r="U950" t="s">
        <v>892</v>
      </c>
      <c r="V950" s="8" t="str">
        <f>"59870"</f>
        <v>59870</v>
      </c>
      <c r="W950" t="s">
        <v>118</v>
      </c>
      <c r="Y950" s="10">
        <v>14067779863</v>
      </c>
      <c r="AA950">
        <v>321211</v>
      </c>
      <c r="AB950" t="s">
        <v>6829</v>
      </c>
      <c r="AC950" t="s">
        <v>5903</v>
      </c>
      <c r="AE950" t="s">
        <v>6830</v>
      </c>
      <c r="AF950" t="s">
        <v>6827</v>
      </c>
      <c r="AH950" t="s">
        <v>6828</v>
      </c>
      <c r="AI950" t="s">
        <v>892</v>
      </c>
      <c r="AJ950" s="8" t="str">
        <f>"59870"</f>
        <v>59870</v>
      </c>
      <c r="AK950" t="s">
        <v>118</v>
      </c>
      <c r="AM950" s="10">
        <v>14067779863</v>
      </c>
      <c r="AO950" t="s">
        <v>6831</v>
      </c>
      <c r="AP950" t="s">
        <v>121</v>
      </c>
      <c r="AQ950" t="s">
        <v>745</v>
      </c>
      <c r="AR950" t="s">
        <v>746</v>
      </c>
      <c r="AT950" t="s">
        <v>747</v>
      </c>
      <c r="AV950" t="s">
        <v>603</v>
      </c>
      <c r="AW950" t="s">
        <v>127</v>
      </c>
      <c r="AX950" s="8" t="str">
        <f>"78737"</f>
        <v>78737</v>
      </c>
      <c r="AY950" t="s">
        <v>118</v>
      </c>
      <c r="BA950" s="10">
        <v>15128942128</v>
      </c>
      <c r="BC950" t="s">
        <v>748</v>
      </c>
      <c r="BD950" t="s">
        <v>749</v>
      </c>
      <c r="BE950" t="s">
        <v>127</v>
      </c>
      <c r="BF950" t="s">
        <v>750</v>
      </c>
      <c r="BG950" t="s">
        <v>892</v>
      </c>
      <c r="BH950" s="1">
        <v>45099.833333333336</v>
      </c>
      <c r="BI950">
        <v>35</v>
      </c>
      <c r="BJ950">
        <v>0</v>
      </c>
      <c r="BK950">
        <v>7</v>
      </c>
      <c r="BL950">
        <v>7</v>
      </c>
      <c r="BM950">
        <v>7</v>
      </c>
      <c r="BN950">
        <v>7</v>
      </c>
      <c r="BO950">
        <v>7</v>
      </c>
      <c r="BP950">
        <v>0</v>
      </c>
      <c r="BQ950" t="str">
        <f>"7:00 AM"</f>
        <v>7:00 AM</v>
      </c>
      <c r="BR950" t="str">
        <f>"5:00 PM"</f>
        <v>5:00 PM</v>
      </c>
      <c r="BS950" t="s">
        <v>131</v>
      </c>
      <c r="BT950">
        <v>0</v>
      </c>
      <c r="BU950">
        <v>0</v>
      </c>
      <c r="BV950" t="s">
        <v>114</v>
      </c>
      <c r="BX950" t="s">
        <v>6832</v>
      </c>
      <c r="BY950" t="s">
        <v>6827</v>
      </c>
      <c r="CA950" t="s">
        <v>6828</v>
      </c>
      <c r="CB950" t="s">
        <v>892</v>
      </c>
      <c r="CC950" s="8" t="str">
        <f>"59870"</f>
        <v>59870</v>
      </c>
      <c r="CD950" t="s">
        <v>6833</v>
      </c>
      <c r="CE950" t="s">
        <v>6834</v>
      </c>
      <c r="CF950" s="12">
        <v>21</v>
      </c>
      <c r="CG950" s="12">
        <v>22</v>
      </c>
      <c r="CH950" s="12">
        <v>31.5</v>
      </c>
      <c r="CI950" s="12">
        <v>33</v>
      </c>
      <c r="CJ950" t="s">
        <v>135</v>
      </c>
      <c r="CK950" t="s">
        <v>6835</v>
      </c>
      <c r="CL950" t="s">
        <v>6836</v>
      </c>
      <c r="CO950" t="s">
        <v>132</v>
      </c>
      <c r="CP950" t="s">
        <v>136</v>
      </c>
      <c r="CQ950" t="s">
        <v>136</v>
      </c>
      <c r="CR950" t="s">
        <v>136</v>
      </c>
      <c r="CS950" t="s">
        <v>136</v>
      </c>
      <c r="CT950" t="s">
        <v>136</v>
      </c>
      <c r="CU950" t="s">
        <v>136</v>
      </c>
      <c r="CV950" s="2" t="s">
        <v>6837</v>
      </c>
      <c r="CW950" s="10" t="str">
        <f>"+14067779863"</f>
        <v>+14067779863</v>
      </c>
      <c r="CX950" t="s">
        <v>6831</v>
      </c>
      <c r="CY950" t="s">
        <v>132</v>
      </c>
      <c r="CZ950" t="s">
        <v>137</v>
      </c>
      <c r="DA950" t="s">
        <v>114</v>
      </c>
      <c r="DB950" t="s">
        <v>114</v>
      </c>
      <c r="DC950" t="s">
        <v>136</v>
      </c>
      <c r="DD950" t="s">
        <v>114</v>
      </c>
    </row>
    <row r="951" spans="1:113" ht="15" customHeight="1" x14ac:dyDescent="0.25">
      <c r="A951" t="s">
        <v>20655</v>
      </c>
      <c r="B951" t="s">
        <v>152</v>
      </c>
      <c r="C951" s="1">
        <v>45206.363043518519</v>
      </c>
      <c r="D951" s="1">
        <v>45244</v>
      </c>
      <c r="E951" t="s">
        <v>132</v>
      </c>
      <c r="F951" t="s">
        <v>236</v>
      </c>
      <c r="G951" t="str">
        <f>"39-3091.00"</f>
        <v>39-3091.00</v>
      </c>
      <c r="H951" t="s">
        <v>237</v>
      </c>
      <c r="I951">
        <v>55</v>
      </c>
      <c r="J951">
        <v>55</v>
      </c>
      <c r="K951" s="1">
        <v>45296</v>
      </c>
      <c r="L951" s="1">
        <v>45599</v>
      </c>
      <c r="M951" s="1">
        <v>45296</v>
      </c>
      <c r="N951" s="1">
        <v>45599</v>
      </c>
      <c r="O951" t="s">
        <v>238</v>
      </c>
      <c r="P951" t="s">
        <v>20656</v>
      </c>
      <c r="R951" t="s">
        <v>20657</v>
      </c>
      <c r="S951" t="s">
        <v>20658</v>
      </c>
      <c r="T951" t="s">
        <v>603</v>
      </c>
      <c r="U951" t="s">
        <v>127</v>
      </c>
      <c r="V951" s="8" t="str">
        <f>"78735"</f>
        <v>78735</v>
      </c>
      <c r="W951" t="s">
        <v>118</v>
      </c>
      <c r="Y951" s="10">
        <v>15122824442</v>
      </c>
      <c r="AA951">
        <v>711190</v>
      </c>
      <c r="AB951" t="s">
        <v>20659</v>
      </c>
      <c r="AC951" t="s">
        <v>1555</v>
      </c>
      <c r="AE951" t="s">
        <v>629</v>
      </c>
      <c r="AF951" t="s">
        <v>20657</v>
      </c>
      <c r="AG951" t="s">
        <v>20660</v>
      </c>
      <c r="AH951" t="s">
        <v>603</v>
      </c>
      <c r="AI951" t="s">
        <v>127</v>
      </c>
      <c r="AJ951" s="8" t="str">
        <f>"78735"</f>
        <v>78735</v>
      </c>
      <c r="AK951" t="s">
        <v>118</v>
      </c>
      <c r="AM951" s="10">
        <v>15129140395</v>
      </c>
      <c r="AO951" t="s">
        <v>20661</v>
      </c>
      <c r="AP951" t="s">
        <v>248</v>
      </c>
      <c r="AQ951" t="s">
        <v>249</v>
      </c>
      <c r="AR951" t="s">
        <v>250</v>
      </c>
      <c r="AS951" t="s">
        <v>251</v>
      </c>
      <c r="AT951" t="s">
        <v>252</v>
      </c>
      <c r="AU951" t="s">
        <v>253</v>
      </c>
      <c r="AV951" t="s">
        <v>254</v>
      </c>
      <c r="AW951" t="s">
        <v>127</v>
      </c>
      <c r="AX951" s="8" t="str">
        <f>"78550"</f>
        <v>78550</v>
      </c>
      <c r="AY951" t="s">
        <v>118</v>
      </c>
      <c r="BA951" s="10">
        <v>19564408720</v>
      </c>
      <c r="BB951" s="3" t="s">
        <v>256</v>
      </c>
      <c r="BC951" t="s">
        <v>257</v>
      </c>
      <c r="BD951" t="s">
        <v>258</v>
      </c>
      <c r="BG951" t="s">
        <v>127</v>
      </c>
      <c r="BH951" s="1">
        <v>45205.833333333336</v>
      </c>
      <c r="BI951">
        <v>40</v>
      </c>
      <c r="BJ951">
        <v>8</v>
      </c>
      <c r="BK951">
        <v>0</v>
      </c>
      <c r="BL951">
        <v>0</v>
      </c>
      <c r="BM951">
        <v>8</v>
      </c>
      <c r="BN951">
        <v>8</v>
      </c>
      <c r="BO951">
        <v>8</v>
      </c>
      <c r="BP951">
        <v>8</v>
      </c>
      <c r="BQ951" t="str">
        <f>"1:00 PM"</f>
        <v>1:00 PM</v>
      </c>
      <c r="BR951" t="str">
        <f>"10:00 PM"</f>
        <v>10:00 PM</v>
      </c>
      <c r="BS951" t="s">
        <v>131</v>
      </c>
      <c r="BT951">
        <v>0</v>
      </c>
      <c r="BU951">
        <v>0</v>
      </c>
      <c r="BV951" t="s">
        <v>114</v>
      </c>
      <c r="BX951" s="2" t="s">
        <v>259</v>
      </c>
      <c r="BY951" t="s">
        <v>9186</v>
      </c>
      <c r="CA951" t="s">
        <v>9187</v>
      </c>
      <c r="CB951" t="s">
        <v>127</v>
      </c>
      <c r="CC951" s="8" t="str">
        <f>"78612"</f>
        <v>78612</v>
      </c>
      <c r="CD951" t="s">
        <v>9188</v>
      </c>
      <c r="CE951" t="s">
        <v>324</v>
      </c>
      <c r="CF951" s="12">
        <v>9.94</v>
      </c>
      <c r="CG951" s="12">
        <v>14.62</v>
      </c>
      <c r="CJ951" t="s">
        <v>135</v>
      </c>
      <c r="CK951" t="s">
        <v>264</v>
      </c>
      <c r="CL951" t="s">
        <v>20662</v>
      </c>
      <c r="CO951" t="s">
        <v>132</v>
      </c>
      <c r="CP951" t="s">
        <v>136</v>
      </c>
      <c r="CQ951" t="s">
        <v>136</v>
      </c>
      <c r="CR951" t="s">
        <v>114</v>
      </c>
      <c r="CS951" t="s">
        <v>136</v>
      </c>
      <c r="CT951" t="s">
        <v>136</v>
      </c>
      <c r="CU951" t="s">
        <v>136</v>
      </c>
      <c r="CV951" t="s">
        <v>2258</v>
      </c>
      <c r="CW951" s="10" t="str">
        <f>"+15122824442"</f>
        <v>+15122824442</v>
      </c>
      <c r="CX951" t="s">
        <v>20661</v>
      </c>
      <c r="CY951" t="s">
        <v>132</v>
      </c>
      <c r="CZ951" t="s">
        <v>137</v>
      </c>
      <c r="DA951" t="s">
        <v>114</v>
      </c>
      <c r="DB951" t="s">
        <v>136</v>
      </c>
      <c r="DC951" t="s">
        <v>136</v>
      </c>
      <c r="DD951" t="s">
        <v>114</v>
      </c>
    </row>
    <row r="952" spans="1:113" ht="15" customHeight="1" x14ac:dyDescent="0.25">
      <c r="A952" t="s">
        <v>6594</v>
      </c>
      <c r="B952" t="s">
        <v>152</v>
      </c>
      <c r="C952" s="1">
        <v>45206.353783333332</v>
      </c>
      <c r="D952" s="1">
        <v>45244</v>
      </c>
      <c r="E952" t="s">
        <v>132</v>
      </c>
      <c r="F952" t="s">
        <v>2324</v>
      </c>
      <c r="G952" t="str">
        <f>"35-3023.00"</f>
        <v>35-3023.00</v>
      </c>
      <c r="H952" t="s">
        <v>1365</v>
      </c>
      <c r="I952">
        <v>7</v>
      </c>
      <c r="J952">
        <v>7</v>
      </c>
      <c r="K952" s="1">
        <v>45296</v>
      </c>
      <c r="L952" s="1">
        <v>45600</v>
      </c>
      <c r="M952" s="1">
        <v>45296</v>
      </c>
      <c r="N952" s="1">
        <v>45600</v>
      </c>
      <c r="O952" t="s">
        <v>238</v>
      </c>
      <c r="P952" t="s">
        <v>4304</v>
      </c>
      <c r="R952" t="s">
        <v>4305</v>
      </c>
      <c r="T952" t="s">
        <v>6595</v>
      </c>
      <c r="U952" t="s">
        <v>1722</v>
      </c>
      <c r="V952" s="8" t="str">
        <f>"21771"</f>
        <v>21771</v>
      </c>
      <c r="W952" t="s">
        <v>118</v>
      </c>
      <c r="Y952" s="10">
        <v>13013705820</v>
      </c>
      <c r="AA952">
        <v>71399</v>
      </c>
      <c r="AB952" t="s">
        <v>4307</v>
      </c>
      <c r="AC952" t="s">
        <v>6596</v>
      </c>
      <c r="AE952" t="s">
        <v>629</v>
      </c>
      <c r="AF952" t="s">
        <v>4305</v>
      </c>
      <c r="AH952" t="s">
        <v>6595</v>
      </c>
      <c r="AI952" t="s">
        <v>1722</v>
      </c>
      <c r="AJ952" s="8" t="str">
        <f>"21771"</f>
        <v>21771</v>
      </c>
      <c r="AK952" t="s">
        <v>118</v>
      </c>
      <c r="AM952" s="10">
        <v>13013705820</v>
      </c>
      <c r="AO952" t="s">
        <v>4309</v>
      </c>
      <c r="AP952" t="s">
        <v>248</v>
      </c>
      <c r="AQ952" t="s">
        <v>249</v>
      </c>
      <c r="AR952" t="s">
        <v>250</v>
      </c>
      <c r="AS952" t="s">
        <v>251</v>
      </c>
      <c r="AT952" t="s">
        <v>252</v>
      </c>
      <c r="AU952" t="s">
        <v>253</v>
      </c>
      <c r="AV952" t="s">
        <v>254</v>
      </c>
      <c r="AW952" t="s">
        <v>127</v>
      </c>
      <c r="AX952" s="8" t="str">
        <f>"78550"</f>
        <v>78550</v>
      </c>
      <c r="AY952" t="s">
        <v>118</v>
      </c>
      <c r="BA952" s="10">
        <v>19564408720</v>
      </c>
      <c r="BB952" s="3" t="s">
        <v>256</v>
      </c>
      <c r="BC952" t="s">
        <v>257</v>
      </c>
      <c r="BD952" t="s">
        <v>258</v>
      </c>
      <c r="BG952" t="s">
        <v>1722</v>
      </c>
      <c r="BH952" s="1">
        <v>45205.833333333336</v>
      </c>
      <c r="BI952">
        <v>40</v>
      </c>
      <c r="BJ952">
        <v>8</v>
      </c>
      <c r="BK952">
        <v>0</v>
      </c>
      <c r="BL952">
        <v>0</v>
      </c>
      <c r="BM952">
        <v>8</v>
      </c>
      <c r="BN952">
        <v>8</v>
      </c>
      <c r="BO952">
        <v>8</v>
      </c>
      <c r="BP952">
        <v>8</v>
      </c>
      <c r="BQ952" t="str">
        <f>"1:00 PM"</f>
        <v>1:00 PM</v>
      </c>
      <c r="BR952" t="str">
        <f>"10:00 PM"</f>
        <v>10:00 PM</v>
      </c>
      <c r="BS952" t="s">
        <v>131</v>
      </c>
      <c r="BT952">
        <v>0</v>
      </c>
      <c r="BU952">
        <v>0</v>
      </c>
      <c r="BV952" t="s">
        <v>114</v>
      </c>
      <c r="BX952" s="2" t="s">
        <v>259</v>
      </c>
      <c r="BY952" t="s">
        <v>4305</v>
      </c>
      <c r="CA952" t="s">
        <v>6595</v>
      </c>
      <c r="CB952" t="s">
        <v>1722</v>
      </c>
      <c r="CC952" s="8" t="str">
        <f>"21771"</f>
        <v>21771</v>
      </c>
      <c r="CD952" t="s">
        <v>2597</v>
      </c>
      <c r="CE952" t="s">
        <v>1992</v>
      </c>
      <c r="CF952" s="12">
        <v>10.56</v>
      </c>
      <c r="CG952" s="12">
        <v>16.079999999999998</v>
      </c>
      <c r="CJ952" t="s">
        <v>135</v>
      </c>
      <c r="CK952" t="s">
        <v>264</v>
      </c>
      <c r="CL952" t="s">
        <v>6597</v>
      </c>
      <c r="CO952" t="s">
        <v>132</v>
      </c>
      <c r="CP952" t="s">
        <v>136</v>
      </c>
      <c r="CQ952" t="s">
        <v>136</v>
      </c>
      <c r="CR952" t="s">
        <v>114</v>
      </c>
      <c r="CS952" t="s">
        <v>136</v>
      </c>
      <c r="CT952" t="s">
        <v>136</v>
      </c>
      <c r="CU952" t="s">
        <v>136</v>
      </c>
      <c r="CV952" t="s">
        <v>2258</v>
      </c>
      <c r="CW952" s="10" t="str">
        <f>"+13013705820"</f>
        <v>+13013705820</v>
      </c>
      <c r="CX952" t="s">
        <v>4309</v>
      </c>
      <c r="CY952" t="s">
        <v>132</v>
      </c>
      <c r="CZ952" t="s">
        <v>137</v>
      </c>
      <c r="DA952" t="s">
        <v>114</v>
      </c>
      <c r="DB952" t="s">
        <v>136</v>
      </c>
      <c r="DC952" t="s">
        <v>136</v>
      </c>
      <c r="DD952" t="s">
        <v>114</v>
      </c>
    </row>
    <row r="953" spans="1:113" ht="15" customHeight="1" x14ac:dyDescent="0.25">
      <c r="A953" t="s">
        <v>1380</v>
      </c>
      <c r="B953" t="s">
        <v>152</v>
      </c>
      <c r="C953" s="1">
        <v>45206.14681435185</v>
      </c>
      <c r="D953" s="1">
        <v>45244</v>
      </c>
      <c r="E953" t="s">
        <v>132</v>
      </c>
      <c r="F953" t="s">
        <v>1381</v>
      </c>
      <c r="G953" t="str">
        <f>"35-3023.00"</f>
        <v>35-3023.00</v>
      </c>
      <c r="H953" t="s">
        <v>1365</v>
      </c>
      <c r="I953">
        <v>5</v>
      </c>
      <c r="J953">
        <v>5</v>
      </c>
      <c r="K953" s="1">
        <v>45296</v>
      </c>
      <c r="L953" s="1">
        <v>45600</v>
      </c>
      <c r="M953" s="1">
        <v>45296</v>
      </c>
      <c r="N953" s="1">
        <v>45600</v>
      </c>
      <c r="O953" t="s">
        <v>238</v>
      </c>
      <c r="P953" t="s">
        <v>1382</v>
      </c>
      <c r="R953" t="s">
        <v>1383</v>
      </c>
      <c r="T953" t="s">
        <v>1384</v>
      </c>
      <c r="U953" t="s">
        <v>558</v>
      </c>
      <c r="V953" s="8" t="str">
        <f>"85044"</f>
        <v>85044</v>
      </c>
      <c r="W953" t="s">
        <v>118</v>
      </c>
      <c r="Y953" s="10">
        <v>16027633188</v>
      </c>
      <c r="AA953">
        <v>7139</v>
      </c>
      <c r="AB953" t="s">
        <v>559</v>
      </c>
      <c r="AC953" t="s">
        <v>1385</v>
      </c>
      <c r="AE953" t="s">
        <v>1386</v>
      </c>
      <c r="AF953" t="s">
        <v>1383</v>
      </c>
      <c r="AH953" t="s">
        <v>1384</v>
      </c>
      <c r="AI953" t="s">
        <v>558</v>
      </c>
      <c r="AJ953" s="8" t="str">
        <f>"85044"</f>
        <v>85044</v>
      </c>
      <c r="AK953" t="s">
        <v>118</v>
      </c>
      <c r="AM953" s="10">
        <v>16027633188</v>
      </c>
      <c r="AO953" t="s">
        <v>1387</v>
      </c>
      <c r="AP953" t="s">
        <v>248</v>
      </c>
      <c r="AQ953" t="s">
        <v>960</v>
      </c>
      <c r="AR953" t="s">
        <v>961</v>
      </c>
      <c r="AS953" t="s">
        <v>962</v>
      </c>
      <c r="AT953" t="s">
        <v>963</v>
      </c>
      <c r="AU953" t="s">
        <v>296</v>
      </c>
      <c r="AV953" t="s">
        <v>964</v>
      </c>
      <c r="AW953" t="s">
        <v>127</v>
      </c>
      <c r="AX953" s="8" t="str">
        <f>"75033"</f>
        <v>75033</v>
      </c>
      <c r="AY953" t="s">
        <v>118</v>
      </c>
      <c r="BA953" s="10">
        <v>19727789690</v>
      </c>
      <c r="BC953" t="s">
        <v>1388</v>
      </c>
      <c r="BD953" t="s">
        <v>966</v>
      </c>
      <c r="BG953" t="s">
        <v>558</v>
      </c>
      <c r="BH953" s="1">
        <v>45205.833333333336</v>
      </c>
      <c r="BI953">
        <v>40</v>
      </c>
      <c r="BJ953">
        <v>8</v>
      </c>
      <c r="BK953">
        <v>8</v>
      </c>
      <c r="BL953">
        <v>0</v>
      </c>
      <c r="BM953">
        <v>8</v>
      </c>
      <c r="BN953">
        <v>0</v>
      </c>
      <c r="BO953">
        <v>8</v>
      </c>
      <c r="BP953">
        <v>8</v>
      </c>
      <c r="BQ953" t="str">
        <f>"10:00 AM"</f>
        <v>10:00 AM</v>
      </c>
      <c r="BR953" t="str">
        <f>"7:00 PM"</f>
        <v>7:00 PM</v>
      </c>
      <c r="BS953" t="s">
        <v>131</v>
      </c>
      <c r="BT953">
        <v>0</v>
      </c>
      <c r="BU953">
        <v>0</v>
      </c>
      <c r="BV953" t="s">
        <v>114</v>
      </c>
      <c r="BX953" s="2" t="s">
        <v>1389</v>
      </c>
      <c r="BY953" t="s">
        <v>1390</v>
      </c>
      <c r="CA953" t="s">
        <v>1384</v>
      </c>
      <c r="CB953" t="s">
        <v>558</v>
      </c>
      <c r="CC953" s="8" t="str">
        <f>"85007"</f>
        <v>85007</v>
      </c>
      <c r="CD953" t="s">
        <v>1391</v>
      </c>
      <c r="CE953" t="s">
        <v>565</v>
      </c>
      <c r="CF953" s="12">
        <v>10.86</v>
      </c>
      <c r="CG953" s="12">
        <v>16.649999999999999</v>
      </c>
      <c r="CH953" s="12">
        <v>17.78</v>
      </c>
      <c r="CI953" s="12">
        <v>32</v>
      </c>
      <c r="CJ953" t="s">
        <v>135</v>
      </c>
      <c r="CK953" t="s">
        <v>1392</v>
      </c>
      <c r="CL953" t="s">
        <v>1393</v>
      </c>
      <c r="CO953" t="s">
        <v>132</v>
      </c>
      <c r="CP953" t="s">
        <v>136</v>
      </c>
      <c r="CQ953" t="s">
        <v>136</v>
      </c>
      <c r="CR953" t="s">
        <v>136</v>
      </c>
      <c r="CS953" t="s">
        <v>136</v>
      </c>
      <c r="CT953" t="s">
        <v>136</v>
      </c>
      <c r="CU953" t="s">
        <v>136</v>
      </c>
      <c r="CV953" s="2" t="s">
        <v>1394</v>
      </c>
      <c r="CW953" s="10" t="str">
        <f>"+16027633188"</f>
        <v>+16027633188</v>
      </c>
      <c r="CX953" t="s">
        <v>132</v>
      </c>
      <c r="CY953" t="s">
        <v>1395</v>
      </c>
      <c r="CZ953" t="s">
        <v>137</v>
      </c>
      <c r="DA953" t="s">
        <v>114</v>
      </c>
      <c r="DB953" t="s">
        <v>136</v>
      </c>
      <c r="DC953" t="s">
        <v>136</v>
      </c>
      <c r="DD953" t="s">
        <v>114</v>
      </c>
    </row>
    <row r="954" spans="1:113" ht="15" customHeight="1" x14ac:dyDescent="0.25">
      <c r="A954" t="s">
        <v>19738</v>
      </c>
      <c r="B954" t="s">
        <v>152</v>
      </c>
      <c r="C954" s="1">
        <v>45206.120215972223</v>
      </c>
      <c r="D954" s="1">
        <v>45244</v>
      </c>
      <c r="E954" t="s">
        <v>132</v>
      </c>
      <c r="F954" t="s">
        <v>1381</v>
      </c>
      <c r="G954" t="str">
        <f>"35-3023.00"</f>
        <v>35-3023.00</v>
      </c>
      <c r="H954" t="s">
        <v>1365</v>
      </c>
      <c r="I954">
        <v>350</v>
      </c>
      <c r="J954">
        <v>350</v>
      </c>
      <c r="K954" s="1">
        <v>45296</v>
      </c>
      <c r="L954" s="1">
        <v>45600</v>
      </c>
      <c r="M954" s="1">
        <v>45296</v>
      </c>
      <c r="N954" s="1">
        <v>45600</v>
      </c>
      <c r="O954" t="s">
        <v>238</v>
      </c>
      <c r="P954" t="s">
        <v>19739</v>
      </c>
      <c r="R954" t="s">
        <v>19368</v>
      </c>
      <c r="T954" t="s">
        <v>19369</v>
      </c>
      <c r="U954" t="s">
        <v>558</v>
      </c>
      <c r="V954" s="8" t="str">
        <f>"85339"</f>
        <v>85339</v>
      </c>
      <c r="W954" t="s">
        <v>118</v>
      </c>
      <c r="Y954" s="10">
        <v>16027632179</v>
      </c>
      <c r="AA954">
        <v>71399</v>
      </c>
      <c r="AB954" t="s">
        <v>19700</v>
      </c>
      <c r="AC954" t="s">
        <v>4365</v>
      </c>
      <c r="AE954" t="s">
        <v>5154</v>
      </c>
      <c r="AF954" t="s">
        <v>19368</v>
      </c>
      <c r="AH954" t="s">
        <v>19369</v>
      </c>
      <c r="AI954" t="s">
        <v>558</v>
      </c>
      <c r="AJ954" s="8" t="str">
        <f>"85339"</f>
        <v>85339</v>
      </c>
      <c r="AK954" t="s">
        <v>118</v>
      </c>
      <c r="AM954" s="10">
        <v>16027632179</v>
      </c>
      <c r="AO954" t="s">
        <v>19701</v>
      </c>
      <c r="AP954" t="s">
        <v>248</v>
      </c>
      <c r="AQ954" t="s">
        <v>960</v>
      </c>
      <c r="AR954" t="s">
        <v>961</v>
      </c>
      <c r="AS954" t="s">
        <v>962</v>
      </c>
      <c r="AT954" t="s">
        <v>963</v>
      </c>
      <c r="AU954" t="s">
        <v>296</v>
      </c>
      <c r="AV954" t="s">
        <v>964</v>
      </c>
      <c r="AW954" t="s">
        <v>127</v>
      </c>
      <c r="AX954" s="8" t="str">
        <f>"75033"</f>
        <v>75033</v>
      </c>
      <c r="AY954" t="s">
        <v>118</v>
      </c>
      <c r="BA954" s="10">
        <v>19727789690</v>
      </c>
      <c r="BC954" t="s">
        <v>1388</v>
      </c>
      <c r="BD954" t="s">
        <v>966</v>
      </c>
      <c r="BG954" t="s">
        <v>558</v>
      </c>
      <c r="BH954" s="1">
        <v>45205.833333333336</v>
      </c>
      <c r="BI954">
        <v>40</v>
      </c>
      <c r="BJ954">
        <v>8</v>
      </c>
      <c r="BK954">
        <v>8</v>
      </c>
      <c r="BL954">
        <v>0</v>
      </c>
      <c r="BM954">
        <v>8</v>
      </c>
      <c r="BN954">
        <v>0</v>
      </c>
      <c r="BO954">
        <v>8</v>
      </c>
      <c r="BP954">
        <v>8</v>
      </c>
      <c r="BQ954" t="str">
        <f>"10:00 AM"</f>
        <v>10:00 AM</v>
      </c>
      <c r="BR954" t="str">
        <f>"7:00 PM"</f>
        <v>7:00 PM</v>
      </c>
      <c r="BS954" t="s">
        <v>131</v>
      </c>
      <c r="BT954">
        <v>0</v>
      </c>
      <c r="BU954">
        <v>0</v>
      </c>
      <c r="BV954" t="s">
        <v>114</v>
      </c>
      <c r="BX954" s="2" t="s">
        <v>19740</v>
      </c>
      <c r="BY954" t="s">
        <v>12244</v>
      </c>
      <c r="CA954" t="s">
        <v>2960</v>
      </c>
      <c r="CB954" t="s">
        <v>558</v>
      </c>
      <c r="CC954" s="8" t="str">
        <f>"85007"</f>
        <v>85007</v>
      </c>
      <c r="CD954" t="s">
        <v>1391</v>
      </c>
      <c r="CE954" t="s">
        <v>565</v>
      </c>
      <c r="CF954" s="12">
        <v>10.86</v>
      </c>
      <c r="CG954" s="12">
        <v>16.649999999999999</v>
      </c>
      <c r="CH954" s="12">
        <v>17.78</v>
      </c>
      <c r="CI954" s="12">
        <v>32</v>
      </c>
      <c r="CJ954" t="s">
        <v>135</v>
      </c>
      <c r="CK954" t="s">
        <v>1392</v>
      </c>
      <c r="CL954" t="s">
        <v>19741</v>
      </c>
      <c r="CO954" t="s">
        <v>132</v>
      </c>
      <c r="CP954" t="s">
        <v>136</v>
      </c>
      <c r="CQ954" t="s">
        <v>136</v>
      </c>
      <c r="CR954" t="s">
        <v>136</v>
      </c>
      <c r="CS954" t="s">
        <v>136</v>
      </c>
      <c r="CT954" t="s">
        <v>136</v>
      </c>
      <c r="CU954" t="s">
        <v>136</v>
      </c>
      <c r="CV954" t="s">
        <v>2972</v>
      </c>
      <c r="CW954" s="10" t="str">
        <f>"+16027632179"</f>
        <v>+16027632179</v>
      </c>
      <c r="CX954" t="s">
        <v>132</v>
      </c>
      <c r="CY954" t="s">
        <v>1395</v>
      </c>
      <c r="CZ954" t="s">
        <v>137</v>
      </c>
      <c r="DA954" t="s">
        <v>114</v>
      </c>
      <c r="DB954" t="s">
        <v>136</v>
      </c>
      <c r="DC954" t="s">
        <v>136</v>
      </c>
      <c r="DD954" t="s">
        <v>114</v>
      </c>
    </row>
    <row r="955" spans="1:113" ht="15" customHeight="1" x14ac:dyDescent="0.25">
      <c r="A955" t="s">
        <v>19560</v>
      </c>
      <c r="B955" t="s">
        <v>152</v>
      </c>
      <c r="C955" s="1">
        <v>45206.101882060182</v>
      </c>
      <c r="D955" s="1">
        <v>45244</v>
      </c>
      <c r="E955" t="s">
        <v>132</v>
      </c>
      <c r="F955" t="s">
        <v>1381</v>
      </c>
      <c r="G955" t="str">
        <f>"35-3023.00"</f>
        <v>35-3023.00</v>
      </c>
      <c r="H955" t="s">
        <v>1365</v>
      </c>
      <c r="I955">
        <v>13</v>
      </c>
      <c r="J955">
        <v>13</v>
      </c>
      <c r="K955" s="1">
        <v>45296</v>
      </c>
      <c r="L955" s="1">
        <v>45600</v>
      </c>
      <c r="M955" s="1">
        <v>45296</v>
      </c>
      <c r="N955" s="1">
        <v>45600</v>
      </c>
      <c r="O955" t="s">
        <v>238</v>
      </c>
      <c r="P955" t="s">
        <v>19561</v>
      </c>
      <c r="R955" t="s">
        <v>19562</v>
      </c>
      <c r="T955" t="s">
        <v>1384</v>
      </c>
      <c r="U955" t="s">
        <v>558</v>
      </c>
      <c r="V955" s="8" t="str">
        <f>"85044"</f>
        <v>85044</v>
      </c>
      <c r="W955" t="s">
        <v>118</v>
      </c>
      <c r="Y955" s="10">
        <v>16027632373</v>
      </c>
      <c r="AA955">
        <v>71399</v>
      </c>
      <c r="AB955" t="s">
        <v>19563</v>
      </c>
      <c r="AC955" t="s">
        <v>19564</v>
      </c>
      <c r="AE955" t="s">
        <v>19565</v>
      </c>
      <c r="AF955" t="s">
        <v>19562</v>
      </c>
      <c r="AH955" t="s">
        <v>1384</v>
      </c>
      <c r="AI955" t="s">
        <v>558</v>
      </c>
      <c r="AJ955" s="8" t="str">
        <f>"85044"</f>
        <v>85044</v>
      </c>
      <c r="AK955" t="s">
        <v>118</v>
      </c>
      <c r="AM955" s="10">
        <v>16027632373</v>
      </c>
      <c r="AO955" t="s">
        <v>19566</v>
      </c>
      <c r="AP955" t="s">
        <v>248</v>
      </c>
      <c r="AQ955" t="s">
        <v>960</v>
      </c>
      <c r="AR955" t="s">
        <v>961</v>
      </c>
      <c r="AS955" t="s">
        <v>962</v>
      </c>
      <c r="AT955" t="s">
        <v>963</v>
      </c>
      <c r="AU955" t="s">
        <v>296</v>
      </c>
      <c r="AV955" t="s">
        <v>964</v>
      </c>
      <c r="AW955" t="s">
        <v>127</v>
      </c>
      <c r="AX955" s="8" t="str">
        <f>"75033"</f>
        <v>75033</v>
      </c>
      <c r="AY955" t="s">
        <v>118</v>
      </c>
      <c r="BA955" s="10">
        <v>19727789690</v>
      </c>
      <c r="BC955" t="s">
        <v>1388</v>
      </c>
      <c r="BD955" t="s">
        <v>966</v>
      </c>
      <c r="BG955" t="s">
        <v>558</v>
      </c>
      <c r="BH955" s="1">
        <v>45205.833333333336</v>
      </c>
      <c r="BI955">
        <v>40</v>
      </c>
      <c r="BJ955">
        <v>8</v>
      </c>
      <c r="BK955">
        <v>8</v>
      </c>
      <c r="BL955">
        <v>0</v>
      </c>
      <c r="BM955">
        <v>8</v>
      </c>
      <c r="BN955">
        <v>0</v>
      </c>
      <c r="BO955">
        <v>8</v>
      </c>
      <c r="BP955">
        <v>8</v>
      </c>
      <c r="BQ955" t="str">
        <f>"10:00 AM"</f>
        <v>10:00 AM</v>
      </c>
      <c r="BR955" t="str">
        <f>"7:00 PM"</f>
        <v>7:00 PM</v>
      </c>
      <c r="BS955" t="s">
        <v>131</v>
      </c>
      <c r="BT955">
        <v>0</v>
      </c>
      <c r="BU955">
        <v>0</v>
      </c>
      <c r="BV955" t="s">
        <v>114</v>
      </c>
      <c r="BX955" t="s">
        <v>19567</v>
      </c>
      <c r="BY955" t="s">
        <v>12244</v>
      </c>
      <c r="CA955" t="s">
        <v>1384</v>
      </c>
      <c r="CB955" t="s">
        <v>558</v>
      </c>
      <c r="CC955" s="8" t="str">
        <f>"85007"</f>
        <v>85007</v>
      </c>
      <c r="CD955" t="s">
        <v>1391</v>
      </c>
      <c r="CE955" t="s">
        <v>565</v>
      </c>
      <c r="CF955" s="12">
        <v>10.86</v>
      </c>
      <c r="CG955" s="12">
        <v>16</v>
      </c>
      <c r="CH955" s="12">
        <v>24</v>
      </c>
      <c r="CI955" s="12">
        <v>32</v>
      </c>
      <c r="CJ955" t="s">
        <v>135</v>
      </c>
      <c r="CK955" t="s">
        <v>3772</v>
      </c>
      <c r="CL955" t="s">
        <v>19568</v>
      </c>
      <c r="CO955" t="s">
        <v>132</v>
      </c>
      <c r="CP955" t="s">
        <v>136</v>
      </c>
      <c r="CQ955" t="s">
        <v>136</v>
      </c>
      <c r="CR955" t="s">
        <v>136</v>
      </c>
      <c r="CS955" t="s">
        <v>136</v>
      </c>
      <c r="CT955" t="s">
        <v>136</v>
      </c>
      <c r="CU955" t="s">
        <v>136</v>
      </c>
      <c r="CV955" s="2" t="s">
        <v>19569</v>
      </c>
      <c r="CW955" s="10" t="str">
        <f>"+16027632373"</f>
        <v>+16027632373</v>
      </c>
      <c r="CX955" t="s">
        <v>132</v>
      </c>
      <c r="CY955" t="s">
        <v>1395</v>
      </c>
      <c r="CZ955" t="s">
        <v>137</v>
      </c>
      <c r="DA955" t="s">
        <v>114</v>
      </c>
      <c r="DB955" t="s">
        <v>136</v>
      </c>
      <c r="DC955" t="s">
        <v>136</v>
      </c>
      <c r="DD955" t="s">
        <v>114</v>
      </c>
    </row>
    <row r="956" spans="1:113" ht="15" customHeight="1" x14ac:dyDescent="0.25">
      <c r="A956" t="s">
        <v>21832</v>
      </c>
      <c r="B956" t="s">
        <v>152</v>
      </c>
      <c r="C956" s="1">
        <v>45206.018558796299</v>
      </c>
      <c r="D956" s="1">
        <v>45244</v>
      </c>
      <c r="E956" t="s">
        <v>132</v>
      </c>
      <c r="F956" t="s">
        <v>1381</v>
      </c>
      <c r="G956" t="str">
        <f>"39-3091.00"</f>
        <v>39-3091.00</v>
      </c>
      <c r="H956" t="s">
        <v>237</v>
      </c>
      <c r="I956">
        <v>26</v>
      </c>
      <c r="J956">
        <v>26</v>
      </c>
      <c r="K956" s="1">
        <v>45296</v>
      </c>
      <c r="L956" s="1">
        <v>45600</v>
      </c>
      <c r="M956" s="1">
        <v>45296</v>
      </c>
      <c r="N956" s="1">
        <v>45600</v>
      </c>
      <c r="O956" t="s">
        <v>238</v>
      </c>
      <c r="P956" t="s">
        <v>21833</v>
      </c>
      <c r="R956" t="s">
        <v>21834</v>
      </c>
      <c r="T956" t="s">
        <v>1384</v>
      </c>
      <c r="U956" t="s">
        <v>558</v>
      </c>
      <c r="V956" s="8" t="str">
        <f>"85044"</f>
        <v>85044</v>
      </c>
      <c r="W956" t="s">
        <v>118</v>
      </c>
      <c r="Y956" s="10">
        <v>16027631371</v>
      </c>
      <c r="AA956">
        <v>71399</v>
      </c>
      <c r="AB956" t="s">
        <v>21835</v>
      </c>
      <c r="AC956" t="s">
        <v>18829</v>
      </c>
      <c r="AE956" t="s">
        <v>1386</v>
      </c>
      <c r="AF956" t="s">
        <v>21836</v>
      </c>
      <c r="AH956" t="s">
        <v>1384</v>
      </c>
      <c r="AI956" t="s">
        <v>558</v>
      </c>
      <c r="AJ956" s="8" t="str">
        <f>"85044"</f>
        <v>85044</v>
      </c>
      <c r="AK956" t="s">
        <v>118</v>
      </c>
      <c r="AM956" s="10">
        <v>16027631371</v>
      </c>
      <c r="AO956" t="s">
        <v>21837</v>
      </c>
      <c r="AP956" t="s">
        <v>248</v>
      </c>
      <c r="AQ956" t="s">
        <v>960</v>
      </c>
      <c r="AR956" t="s">
        <v>961</v>
      </c>
      <c r="AS956" t="s">
        <v>962</v>
      </c>
      <c r="AT956" t="s">
        <v>963</v>
      </c>
      <c r="AU956" t="s">
        <v>296</v>
      </c>
      <c r="AV956" t="s">
        <v>964</v>
      </c>
      <c r="AW956" t="s">
        <v>127</v>
      </c>
      <c r="AX956" s="8" t="str">
        <f>"75033"</f>
        <v>75033</v>
      </c>
      <c r="AY956" t="s">
        <v>118</v>
      </c>
      <c r="BA956" s="10">
        <v>19727789690</v>
      </c>
      <c r="BC956" t="s">
        <v>1388</v>
      </c>
      <c r="BD956" t="s">
        <v>966</v>
      </c>
      <c r="BG956" t="s">
        <v>558</v>
      </c>
      <c r="BH956" s="1">
        <v>45205.833333333336</v>
      </c>
      <c r="BI956">
        <v>48</v>
      </c>
      <c r="BJ956">
        <v>8</v>
      </c>
      <c r="BK956">
        <v>8</v>
      </c>
      <c r="BL956">
        <v>0</v>
      </c>
      <c r="BM956">
        <v>8</v>
      </c>
      <c r="BN956">
        <v>8</v>
      </c>
      <c r="BO956">
        <v>8</v>
      </c>
      <c r="BP956">
        <v>8</v>
      </c>
      <c r="BQ956" t="str">
        <f>"10:00 AM"</f>
        <v>10:00 AM</v>
      </c>
      <c r="BR956" t="str">
        <f>"7:00 PM"</f>
        <v>7:00 PM</v>
      </c>
      <c r="BS956" t="s">
        <v>131</v>
      </c>
      <c r="BT956">
        <v>0</v>
      </c>
      <c r="BU956">
        <v>0</v>
      </c>
      <c r="BV956" t="s">
        <v>114</v>
      </c>
      <c r="BX956" t="s">
        <v>21838</v>
      </c>
      <c r="BY956" t="s">
        <v>21839</v>
      </c>
      <c r="CA956" t="s">
        <v>1384</v>
      </c>
      <c r="CB956" t="s">
        <v>558</v>
      </c>
      <c r="CC956" s="8" t="str">
        <f>"85007"</f>
        <v>85007</v>
      </c>
      <c r="CD956" t="s">
        <v>1391</v>
      </c>
      <c r="CE956" t="s">
        <v>565</v>
      </c>
      <c r="CF956" s="12">
        <v>11.74</v>
      </c>
      <c r="CG956" s="12">
        <v>16.46</v>
      </c>
      <c r="CH956" s="12">
        <v>24</v>
      </c>
      <c r="CI956" s="12">
        <v>32.92</v>
      </c>
      <c r="CJ956" t="s">
        <v>135</v>
      </c>
      <c r="CK956" t="s">
        <v>1392</v>
      </c>
      <c r="CL956" t="s">
        <v>21840</v>
      </c>
      <c r="CO956" t="s">
        <v>132</v>
      </c>
      <c r="CP956" t="s">
        <v>136</v>
      </c>
      <c r="CQ956" t="s">
        <v>136</v>
      </c>
      <c r="CR956" t="s">
        <v>136</v>
      </c>
      <c r="CS956" t="s">
        <v>136</v>
      </c>
      <c r="CT956" t="s">
        <v>136</v>
      </c>
      <c r="CU956" t="s">
        <v>136</v>
      </c>
      <c r="CV956" s="2" t="s">
        <v>21841</v>
      </c>
      <c r="CW956" s="10" t="str">
        <f>"+16027631371"</f>
        <v>+16027631371</v>
      </c>
      <c r="CX956" t="s">
        <v>132</v>
      </c>
      <c r="CY956" t="s">
        <v>1395</v>
      </c>
      <c r="CZ956" t="s">
        <v>137</v>
      </c>
      <c r="DA956" t="s">
        <v>114</v>
      </c>
      <c r="DB956" t="s">
        <v>136</v>
      </c>
      <c r="DC956" t="s">
        <v>136</v>
      </c>
      <c r="DD956" t="s">
        <v>114</v>
      </c>
    </row>
    <row r="957" spans="1:113" ht="15" customHeight="1" x14ac:dyDescent="0.25">
      <c r="A957" t="s">
        <v>9060</v>
      </c>
      <c r="B957" t="s">
        <v>152</v>
      </c>
      <c r="C957" s="1">
        <v>45205.274075000001</v>
      </c>
      <c r="D957" s="1">
        <v>45244</v>
      </c>
      <c r="E957" t="s">
        <v>132</v>
      </c>
      <c r="F957" t="s">
        <v>236</v>
      </c>
      <c r="G957" t="str">
        <f>"39-3091.00"</f>
        <v>39-3091.00</v>
      </c>
      <c r="H957" t="s">
        <v>237</v>
      </c>
      <c r="I957">
        <v>55</v>
      </c>
      <c r="J957">
        <v>55</v>
      </c>
      <c r="K957" s="1">
        <v>45295</v>
      </c>
      <c r="L957" s="1">
        <v>45596</v>
      </c>
      <c r="M957" s="1">
        <v>45295</v>
      </c>
      <c r="N957" s="1">
        <v>45596</v>
      </c>
      <c r="O957" t="s">
        <v>238</v>
      </c>
      <c r="P957" t="s">
        <v>9061</v>
      </c>
      <c r="Q957" t="s">
        <v>9062</v>
      </c>
      <c r="R957" t="s">
        <v>9063</v>
      </c>
      <c r="S957" t="s">
        <v>9064</v>
      </c>
      <c r="T957" t="s">
        <v>9065</v>
      </c>
      <c r="U957" t="s">
        <v>402</v>
      </c>
      <c r="V957" s="8" t="str">
        <f>"95965"</f>
        <v>95965</v>
      </c>
      <c r="W957" t="s">
        <v>118</v>
      </c>
      <c r="X957" t="s">
        <v>132</v>
      </c>
      <c r="Y957" s="10">
        <v>15305326886</v>
      </c>
      <c r="Z957" s="3" t="s">
        <v>256</v>
      </c>
      <c r="AA957">
        <v>71399</v>
      </c>
      <c r="AB957" t="s">
        <v>2299</v>
      </c>
      <c r="AC957" t="s">
        <v>9066</v>
      </c>
      <c r="AD957" t="s">
        <v>4795</v>
      </c>
      <c r="AE957" t="s">
        <v>1836</v>
      </c>
      <c r="AF957" t="s">
        <v>9063</v>
      </c>
      <c r="AG957" t="s">
        <v>9067</v>
      </c>
      <c r="AH957" t="s">
        <v>9065</v>
      </c>
      <c r="AI957" t="s">
        <v>402</v>
      </c>
      <c r="AJ957" s="8" t="str">
        <f>"95965"</f>
        <v>95965</v>
      </c>
      <c r="AK957" t="s">
        <v>118</v>
      </c>
      <c r="AM957" s="10">
        <v>19169471268</v>
      </c>
      <c r="AN957" s="3" t="s">
        <v>256</v>
      </c>
      <c r="AO957" t="s">
        <v>9068</v>
      </c>
      <c r="AP957" t="s">
        <v>248</v>
      </c>
      <c r="AQ957" t="s">
        <v>249</v>
      </c>
      <c r="AR957" t="s">
        <v>250</v>
      </c>
      <c r="AS957" t="s">
        <v>251</v>
      </c>
      <c r="AT957" t="s">
        <v>252</v>
      </c>
      <c r="AU957" t="s">
        <v>253</v>
      </c>
      <c r="AV957" t="s">
        <v>254</v>
      </c>
      <c r="AW957" t="s">
        <v>127</v>
      </c>
      <c r="AX957" s="8" t="str">
        <f>"78550"</f>
        <v>78550</v>
      </c>
      <c r="AY957" t="s">
        <v>118</v>
      </c>
      <c r="AZ957" t="s">
        <v>255</v>
      </c>
      <c r="BA957" s="10">
        <v>19564408720</v>
      </c>
      <c r="BB957" s="3" t="s">
        <v>256</v>
      </c>
      <c r="BC957" t="s">
        <v>257</v>
      </c>
      <c r="BD957" t="s">
        <v>258</v>
      </c>
      <c r="BG957" t="s">
        <v>402</v>
      </c>
      <c r="BH957" s="1">
        <v>45204.833333333336</v>
      </c>
      <c r="BI957">
        <v>40</v>
      </c>
      <c r="BJ957">
        <v>8</v>
      </c>
      <c r="BK957">
        <v>0</v>
      </c>
      <c r="BL957">
        <v>0</v>
      </c>
      <c r="BM957">
        <v>8</v>
      </c>
      <c r="BN957">
        <v>8</v>
      </c>
      <c r="BO957">
        <v>8</v>
      </c>
      <c r="BP957">
        <v>8</v>
      </c>
      <c r="BQ957" t="str">
        <f>"1:00 PM"</f>
        <v>1:00 PM</v>
      </c>
      <c r="BR957" t="str">
        <f>"10:00 PM"</f>
        <v>10:00 PM</v>
      </c>
      <c r="BS957" t="s">
        <v>131</v>
      </c>
      <c r="BT957">
        <v>0</v>
      </c>
      <c r="BU957">
        <v>0</v>
      </c>
      <c r="BV957" t="s">
        <v>114</v>
      </c>
      <c r="BX957" s="2" t="s">
        <v>259</v>
      </c>
      <c r="BY957" t="s">
        <v>9063</v>
      </c>
      <c r="CA957" t="s">
        <v>9065</v>
      </c>
      <c r="CB957" t="s">
        <v>402</v>
      </c>
      <c r="CC957" s="8" t="str">
        <f>"95965"</f>
        <v>95965</v>
      </c>
      <c r="CD957" t="s">
        <v>9069</v>
      </c>
      <c r="CE957" t="s">
        <v>9070</v>
      </c>
      <c r="CF957" s="12">
        <v>12.29</v>
      </c>
      <c r="CG957" s="12">
        <v>18.75</v>
      </c>
      <c r="CJ957" t="s">
        <v>135</v>
      </c>
      <c r="CK957" t="s">
        <v>264</v>
      </c>
      <c r="CL957" t="s">
        <v>9071</v>
      </c>
      <c r="CO957" t="s">
        <v>132</v>
      </c>
      <c r="CP957" t="s">
        <v>136</v>
      </c>
      <c r="CQ957" t="s">
        <v>136</v>
      </c>
      <c r="CR957" t="s">
        <v>114</v>
      </c>
      <c r="CS957" t="s">
        <v>136</v>
      </c>
      <c r="CT957" t="s">
        <v>136</v>
      </c>
      <c r="CU957" t="s">
        <v>136</v>
      </c>
      <c r="CV957" t="s">
        <v>9072</v>
      </c>
      <c r="CW957" s="10" t="str">
        <f>"+15305326886"</f>
        <v>+15305326886</v>
      </c>
      <c r="CX957" t="s">
        <v>9068</v>
      </c>
      <c r="CY957" t="s">
        <v>132</v>
      </c>
      <c r="CZ957" t="s">
        <v>137</v>
      </c>
      <c r="DA957" t="s">
        <v>114</v>
      </c>
      <c r="DB957" t="s">
        <v>114</v>
      </c>
      <c r="DC957" t="s">
        <v>136</v>
      </c>
      <c r="DD957" t="s">
        <v>114</v>
      </c>
    </row>
    <row r="958" spans="1:113" ht="15" customHeight="1" x14ac:dyDescent="0.25">
      <c r="A958" t="s">
        <v>19746</v>
      </c>
      <c r="B958" t="s">
        <v>152</v>
      </c>
      <c r="C958" s="1">
        <v>45205.272239120372</v>
      </c>
      <c r="D958" s="1">
        <v>45244</v>
      </c>
      <c r="E958" t="s">
        <v>132</v>
      </c>
      <c r="F958" t="s">
        <v>7462</v>
      </c>
      <c r="G958" t="str">
        <f>"37-1012.00"</f>
        <v>37-1012.00</v>
      </c>
      <c r="H958" t="s">
        <v>3140</v>
      </c>
      <c r="I958">
        <v>3</v>
      </c>
      <c r="J958">
        <v>3</v>
      </c>
      <c r="K958" s="1">
        <v>45295</v>
      </c>
      <c r="L958" s="1">
        <v>45600</v>
      </c>
      <c r="M958" s="1">
        <v>45295</v>
      </c>
      <c r="N958" s="1">
        <v>45600</v>
      </c>
      <c r="O958" t="s">
        <v>116</v>
      </c>
      <c r="P958" t="s">
        <v>7469</v>
      </c>
      <c r="R958" t="s">
        <v>668</v>
      </c>
      <c r="T958" t="s">
        <v>669</v>
      </c>
      <c r="U958" t="s">
        <v>127</v>
      </c>
      <c r="V958" s="8" t="str">
        <f>"77598"</f>
        <v>77598</v>
      </c>
      <c r="W958" t="s">
        <v>118</v>
      </c>
      <c r="Y958" s="10">
        <v>12812801100</v>
      </c>
      <c r="AA958">
        <v>56173</v>
      </c>
      <c r="AB958" t="s">
        <v>670</v>
      </c>
      <c r="AC958" t="s">
        <v>671</v>
      </c>
      <c r="AE958" t="s">
        <v>405</v>
      </c>
      <c r="AF958" t="s">
        <v>668</v>
      </c>
      <c r="AH958" t="s">
        <v>669</v>
      </c>
      <c r="AI958" t="s">
        <v>127</v>
      </c>
      <c r="AJ958" s="8" t="str">
        <f>"77598"</f>
        <v>77598</v>
      </c>
      <c r="AK958" t="s">
        <v>118</v>
      </c>
      <c r="AM958" s="10">
        <v>12812801100</v>
      </c>
      <c r="AO958" t="s">
        <v>672</v>
      </c>
      <c r="AP958" t="s">
        <v>248</v>
      </c>
      <c r="AQ958" t="s">
        <v>673</v>
      </c>
      <c r="AR958" t="s">
        <v>674</v>
      </c>
      <c r="AT958" t="s">
        <v>579</v>
      </c>
      <c r="AV958" t="s">
        <v>580</v>
      </c>
      <c r="AW958" t="s">
        <v>581</v>
      </c>
      <c r="AX958" s="8" t="str">
        <f>"22903"</f>
        <v>22903</v>
      </c>
      <c r="AY958" t="s">
        <v>118</v>
      </c>
      <c r="BA958" s="10">
        <v>14342634300</v>
      </c>
      <c r="BC958" t="s">
        <v>675</v>
      </c>
      <c r="BD958" t="s">
        <v>583</v>
      </c>
      <c r="BG958" t="s">
        <v>386</v>
      </c>
      <c r="BH958" s="1">
        <v>45204.833333333336</v>
      </c>
      <c r="BI958">
        <v>40</v>
      </c>
      <c r="BJ958">
        <v>0</v>
      </c>
      <c r="BK958">
        <v>8</v>
      </c>
      <c r="BL958">
        <v>8</v>
      </c>
      <c r="BM958">
        <v>8</v>
      </c>
      <c r="BN958">
        <v>8</v>
      </c>
      <c r="BO958">
        <v>8</v>
      </c>
      <c r="BP958">
        <v>0</v>
      </c>
      <c r="BQ958" t="str">
        <f>"7:00 AM"</f>
        <v>7:00 AM</v>
      </c>
      <c r="BR958" t="str">
        <f>"4:00 PM"</f>
        <v>4:00 PM</v>
      </c>
      <c r="BS958" t="s">
        <v>131</v>
      </c>
      <c r="BT958">
        <v>0</v>
      </c>
      <c r="BU958">
        <v>12</v>
      </c>
      <c r="BV958" t="s">
        <v>136</v>
      </c>
      <c r="BW958">
        <v>10</v>
      </c>
      <c r="BX958" s="2" t="s">
        <v>7464</v>
      </c>
      <c r="BY958" t="s">
        <v>19747</v>
      </c>
      <c r="CA958" t="s">
        <v>7470</v>
      </c>
      <c r="CB958" t="s">
        <v>386</v>
      </c>
      <c r="CC958" s="8" t="str">
        <f>"37917"</f>
        <v>37917</v>
      </c>
      <c r="CD958" t="s">
        <v>3350</v>
      </c>
      <c r="CE958" t="s">
        <v>3276</v>
      </c>
      <c r="CF958" s="12">
        <v>22.14</v>
      </c>
      <c r="CH958" s="12">
        <v>33.21</v>
      </c>
      <c r="CJ958" t="s">
        <v>135</v>
      </c>
      <c r="CK958" t="s">
        <v>590</v>
      </c>
      <c r="CL958" t="s">
        <v>19748</v>
      </c>
      <c r="CO958" t="s">
        <v>132</v>
      </c>
      <c r="CP958" t="s">
        <v>136</v>
      </c>
      <c r="CQ958" t="s">
        <v>114</v>
      </c>
      <c r="CR958" t="s">
        <v>136</v>
      </c>
      <c r="CS958" t="s">
        <v>114</v>
      </c>
      <c r="CT958" t="s">
        <v>136</v>
      </c>
      <c r="CU958" t="s">
        <v>136</v>
      </c>
      <c r="CV958" t="s">
        <v>11693</v>
      </c>
      <c r="CW958" s="10" t="str">
        <f>"N/A"</f>
        <v>N/A</v>
      </c>
      <c r="CX958" t="s">
        <v>682</v>
      </c>
      <c r="CY958" t="s">
        <v>2911</v>
      </c>
      <c r="CZ958" t="s">
        <v>137</v>
      </c>
      <c r="DA958" t="s">
        <v>114</v>
      </c>
      <c r="DB958" t="s">
        <v>136</v>
      </c>
      <c r="DC958" t="s">
        <v>136</v>
      </c>
      <c r="DD958" t="s">
        <v>114</v>
      </c>
      <c r="DE958" t="s">
        <v>673</v>
      </c>
      <c r="DF958" t="s">
        <v>674</v>
      </c>
      <c r="DH958" t="s">
        <v>583</v>
      </c>
      <c r="DI958" t="s">
        <v>675</v>
      </c>
    </row>
    <row r="959" spans="1:113" ht="15" customHeight="1" x14ac:dyDescent="0.25">
      <c r="A959" t="s">
        <v>13072</v>
      </c>
      <c r="B959" t="s">
        <v>152</v>
      </c>
      <c r="C959" s="1">
        <v>45204.272221990737</v>
      </c>
      <c r="D959" s="1">
        <v>45244</v>
      </c>
      <c r="E959" t="s">
        <v>132</v>
      </c>
      <c r="F959" t="s">
        <v>2324</v>
      </c>
      <c r="G959" t="str">
        <f>"35-3023.00"</f>
        <v>35-3023.00</v>
      </c>
      <c r="H959" t="s">
        <v>1365</v>
      </c>
      <c r="I959">
        <v>7</v>
      </c>
      <c r="J959">
        <v>7</v>
      </c>
      <c r="K959" s="1">
        <v>45294</v>
      </c>
      <c r="L959" s="1">
        <v>45598</v>
      </c>
      <c r="M959" s="1">
        <v>45294</v>
      </c>
      <c r="N959" s="1">
        <v>45598</v>
      </c>
      <c r="O959" t="s">
        <v>238</v>
      </c>
      <c r="P959" t="s">
        <v>13073</v>
      </c>
      <c r="Q959" t="s">
        <v>13074</v>
      </c>
      <c r="R959" t="s">
        <v>13075</v>
      </c>
      <c r="S959" t="s">
        <v>13076</v>
      </c>
      <c r="T959" t="s">
        <v>13077</v>
      </c>
      <c r="U959" t="s">
        <v>402</v>
      </c>
      <c r="V959" s="8" t="str">
        <f>"92585"</f>
        <v>92585</v>
      </c>
      <c r="W959" t="s">
        <v>118</v>
      </c>
      <c r="Y959" s="10">
        <v>19095196445</v>
      </c>
      <c r="AA959">
        <v>71399</v>
      </c>
      <c r="AB959" t="s">
        <v>5373</v>
      </c>
      <c r="AC959" t="s">
        <v>13078</v>
      </c>
      <c r="AD959" t="s">
        <v>1798</v>
      </c>
      <c r="AE959" t="s">
        <v>629</v>
      </c>
      <c r="AF959" t="s">
        <v>13075</v>
      </c>
      <c r="AG959" t="s">
        <v>13076</v>
      </c>
      <c r="AH959" t="s">
        <v>13077</v>
      </c>
      <c r="AI959" t="s">
        <v>402</v>
      </c>
      <c r="AJ959" s="8" t="str">
        <f>"92585"</f>
        <v>92585</v>
      </c>
      <c r="AK959" t="s">
        <v>118</v>
      </c>
      <c r="AM959" s="10">
        <v>19095196445</v>
      </c>
      <c r="AO959" t="s">
        <v>13079</v>
      </c>
      <c r="AP959" t="s">
        <v>248</v>
      </c>
      <c r="AQ959" t="s">
        <v>249</v>
      </c>
      <c r="AR959" t="s">
        <v>250</v>
      </c>
      <c r="AS959" t="s">
        <v>251</v>
      </c>
      <c r="AT959" t="s">
        <v>252</v>
      </c>
      <c r="AU959" t="s">
        <v>253</v>
      </c>
      <c r="AV959" t="s">
        <v>254</v>
      </c>
      <c r="AW959" t="s">
        <v>127</v>
      </c>
      <c r="AX959" s="8" t="str">
        <f>"78550"</f>
        <v>78550</v>
      </c>
      <c r="AY959" t="s">
        <v>118</v>
      </c>
      <c r="BA959" s="10">
        <v>19564408720</v>
      </c>
      <c r="BB959" s="3" t="s">
        <v>256</v>
      </c>
      <c r="BC959" t="s">
        <v>257</v>
      </c>
      <c r="BD959" t="s">
        <v>258</v>
      </c>
      <c r="BG959" t="s">
        <v>402</v>
      </c>
      <c r="BH959" s="1">
        <v>45203.833333333336</v>
      </c>
      <c r="BI959">
        <v>40</v>
      </c>
      <c r="BJ959">
        <v>8</v>
      </c>
      <c r="BK959">
        <v>0</v>
      </c>
      <c r="BL959">
        <v>0</v>
      </c>
      <c r="BM959">
        <v>8</v>
      </c>
      <c r="BN959">
        <v>8</v>
      </c>
      <c r="BO959">
        <v>8</v>
      </c>
      <c r="BP959">
        <v>8</v>
      </c>
      <c r="BQ959" t="str">
        <f>"1:00 PM"</f>
        <v>1:00 PM</v>
      </c>
      <c r="BR959" t="str">
        <f>"10:00 PM"</f>
        <v>10:00 PM</v>
      </c>
      <c r="BS959" t="s">
        <v>131</v>
      </c>
      <c r="BT959">
        <v>0</v>
      </c>
      <c r="BU959">
        <v>0</v>
      </c>
      <c r="BV959" t="s">
        <v>114</v>
      </c>
      <c r="BX959" s="2" t="s">
        <v>259</v>
      </c>
      <c r="BY959" t="s">
        <v>13080</v>
      </c>
      <c r="CA959" t="s">
        <v>13077</v>
      </c>
      <c r="CB959" t="s">
        <v>402</v>
      </c>
      <c r="CC959" s="8" t="str">
        <f>"92585"</f>
        <v>92585</v>
      </c>
      <c r="CD959" t="s">
        <v>5876</v>
      </c>
      <c r="CE959" t="s">
        <v>4484</v>
      </c>
      <c r="CF959" s="12">
        <v>11.74</v>
      </c>
      <c r="CG959" s="12">
        <v>16.899999999999999</v>
      </c>
      <c r="CJ959" t="s">
        <v>135</v>
      </c>
      <c r="CK959" t="s">
        <v>264</v>
      </c>
      <c r="CL959" t="s">
        <v>13081</v>
      </c>
      <c r="CO959" t="s">
        <v>132</v>
      </c>
      <c r="CP959" t="s">
        <v>136</v>
      </c>
      <c r="CQ959" t="s">
        <v>136</v>
      </c>
      <c r="CR959" t="s">
        <v>114</v>
      </c>
      <c r="CS959" t="s">
        <v>136</v>
      </c>
      <c r="CT959" t="s">
        <v>136</v>
      </c>
      <c r="CU959" t="s">
        <v>136</v>
      </c>
      <c r="CV959" t="s">
        <v>567</v>
      </c>
      <c r="CW959" s="10" t="str">
        <f>"+19099388915"</f>
        <v>+19099388915</v>
      </c>
      <c r="CX959" t="s">
        <v>13079</v>
      </c>
      <c r="CY959" t="s">
        <v>132</v>
      </c>
      <c r="CZ959" t="s">
        <v>137</v>
      </c>
      <c r="DA959" t="s">
        <v>114</v>
      </c>
      <c r="DB959" t="s">
        <v>114</v>
      </c>
      <c r="DC959" t="s">
        <v>136</v>
      </c>
      <c r="DD959" t="s">
        <v>114</v>
      </c>
    </row>
    <row r="960" spans="1:113" ht="15" customHeight="1" x14ac:dyDescent="0.25">
      <c r="A960" t="s">
        <v>23392</v>
      </c>
      <c r="B960" t="s">
        <v>152</v>
      </c>
      <c r="C960" s="1">
        <v>45203.311530092593</v>
      </c>
      <c r="D960" s="1">
        <v>45244</v>
      </c>
      <c r="E960" t="s">
        <v>132</v>
      </c>
      <c r="F960" t="s">
        <v>2324</v>
      </c>
      <c r="G960" t="str">
        <f>"35-3023.00"</f>
        <v>35-3023.00</v>
      </c>
      <c r="H960" t="s">
        <v>1365</v>
      </c>
      <c r="I960">
        <v>25</v>
      </c>
      <c r="J960">
        <v>25</v>
      </c>
      <c r="K960" s="1">
        <v>45293</v>
      </c>
      <c r="L960" s="1">
        <v>45585</v>
      </c>
      <c r="M960" s="1">
        <v>45293</v>
      </c>
      <c r="N960" s="1">
        <v>45585</v>
      </c>
      <c r="O960" t="s">
        <v>238</v>
      </c>
      <c r="P960" t="s">
        <v>23393</v>
      </c>
      <c r="Q960" t="s">
        <v>23394</v>
      </c>
      <c r="R960" t="s">
        <v>23395</v>
      </c>
      <c r="S960" t="s">
        <v>23396</v>
      </c>
      <c r="T960" t="s">
        <v>3292</v>
      </c>
      <c r="U960" t="s">
        <v>402</v>
      </c>
      <c r="V960" s="8" t="str">
        <f>"93446"</f>
        <v>93446</v>
      </c>
      <c r="W960" t="s">
        <v>118</v>
      </c>
      <c r="Y960" s="10">
        <v>18057125983</v>
      </c>
      <c r="AA960">
        <v>71399</v>
      </c>
      <c r="AB960" t="s">
        <v>23397</v>
      </c>
      <c r="AC960" t="s">
        <v>1745</v>
      </c>
      <c r="AE960" t="s">
        <v>561</v>
      </c>
      <c r="AF960" t="s">
        <v>23395</v>
      </c>
      <c r="AG960" t="s">
        <v>23396</v>
      </c>
      <c r="AH960" t="s">
        <v>23398</v>
      </c>
      <c r="AI960" t="s">
        <v>402</v>
      </c>
      <c r="AJ960" s="8" t="str">
        <f>"93446"</f>
        <v>93446</v>
      </c>
      <c r="AK960" t="s">
        <v>118</v>
      </c>
      <c r="AM960" s="10">
        <v>18057125982</v>
      </c>
      <c r="AO960" t="s">
        <v>23399</v>
      </c>
      <c r="AP960" t="s">
        <v>248</v>
      </c>
      <c r="AQ960" t="s">
        <v>249</v>
      </c>
      <c r="AR960" t="s">
        <v>250</v>
      </c>
      <c r="AS960" t="s">
        <v>251</v>
      </c>
      <c r="AT960" t="s">
        <v>252</v>
      </c>
      <c r="AU960" t="s">
        <v>253</v>
      </c>
      <c r="AV960" t="s">
        <v>254</v>
      </c>
      <c r="AW960" t="s">
        <v>127</v>
      </c>
      <c r="AX960" s="8" t="str">
        <f>"78550"</f>
        <v>78550</v>
      </c>
      <c r="AY960" t="s">
        <v>118</v>
      </c>
      <c r="BA960" s="10">
        <v>19564408720</v>
      </c>
      <c r="BB960" s="3" t="s">
        <v>256</v>
      </c>
      <c r="BC960" t="s">
        <v>257</v>
      </c>
      <c r="BD960" t="s">
        <v>258</v>
      </c>
      <c r="BG960" t="s">
        <v>402</v>
      </c>
      <c r="BH960" s="1">
        <v>45202.833333333336</v>
      </c>
      <c r="BI960">
        <v>40</v>
      </c>
      <c r="BJ960">
        <v>8</v>
      </c>
      <c r="BK960">
        <v>0</v>
      </c>
      <c r="BL960">
        <v>0</v>
      </c>
      <c r="BM960">
        <v>8</v>
      </c>
      <c r="BN960">
        <v>8</v>
      </c>
      <c r="BO960">
        <v>8</v>
      </c>
      <c r="BP960">
        <v>8</v>
      </c>
      <c r="BQ960" t="str">
        <f>"1:00 PM"</f>
        <v>1:00 PM</v>
      </c>
      <c r="BR960" t="str">
        <f>"10:00 PM"</f>
        <v>10:00 PM</v>
      </c>
      <c r="BS960" t="s">
        <v>131</v>
      </c>
      <c r="BT960">
        <v>0</v>
      </c>
      <c r="BU960">
        <v>0</v>
      </c>
      <c r="BV960" t="s">
        <v>114</v>
      </c>
      <c r="BX960" s="2" t="s">
        <v>259</v>
      </c>
      <c r="BY960" t="s">
        <v>23395</v>
      </c>
      <c r="CA960" t="s">
        <v>3292</v>
      </c>
      <c r="CB960" t="s">
        <v>402</v>
      </c>
      <c r="CC960" s="8" t="str">
        <f>"93446"</f>
        <v>93446</v>
      </c>
      <c r="CD960" t="s">
        <v>12797</v>
      </c>
      <c r="CE960" t="s">
        <v>12798</v>
      </c>
      <c r="CF960" s="12">
        <v>12.75</v>
      </c>
      <c r="CG960" s="12">
        <v>18.38</v>
      </c>
      <c r="CJ960" t="s">
        <v>135</v>
      </c>
      <c r="CK960" t="s">
        <v>264</v>
      </c>
      <c r="CL960" t="s">
        <v>23400</v>
      </c>
      <c r="CO960" t="s">
        <v>132</v>
      </c>
      <c r="CP960" t="s">
        <v>136</v>
      </c>
      <c r="CQ960" t="s">
        <v>136</v>
      </c>
      <c r="CR960" t="s">
        <v>114</v>
      </c>
      <c r="CS960" t="s">
        <v>136</v>
      </c>
      <c r="CT960" t="s">
        <v>136</v>
      </c>
      <c r="CU960" t="s">
        <v>136</v>
      </c>
      <c r="CV960" t="s">
        <v>18029</v>
      </c>
      <c r="CW960" s="10" t="str">
        <f>"+18057125983"</f>
        <v>+18057125983</v>
      </c>
      <c r="CX960" t="s">
        <v>23401</v>
      </c>
      <c r="CY960" t="s">
        <v>132</v>
      </c>
      <c r="CZ960" t="s">
        <v>137</v>
      </c>
      <c r="DA960" t="s">
        <v>114</v>
      </c>
      <c r="DB960" t="s">
        <v>114</v>
      </c>
      <c r="DC960" t="s">
        <v>136</v>
      </c>
      <c r="DD960" t="s">
        <v>114</v>
      </c>
    </row>
    <row r="961" spans="1:108" ht="15" customHeight="1" x14ac:dyDescent="0.25">
      <c r="A961" t="s">
        <v>8342</v>
      </c>
      <c r="B961" t="s">
        <v>152</v>
      </c>
      <c r="C961" s="1">
        <v>45203.010129282404</v>
      </c>
      <c r="D961" s="1">
        <v>45244</v>
      </c>
      <c r="E961" t="s">
        <v>132</v>
      </c>
      <c r="F961" t="s">
        <v>1961</v>
      </c>
      <c r="G961" t="str">
        <f>"37-3011.00"</f>
        <v>37-3011.00</v>
      </c>
      <c r="H961" t="s">
        <v>429</v>
      </c>
      <c r="I961">
        <v>298</v>
      </c>
      <c r="J961">
        <v>298</v>
      </c>
      <c r="K961" s="1">
        <v>45293</v>
      </c>
      <c r="L961" s="1">
        <v>45597</v>
      </c>
      <c r="M961" s="1">
        <v>45293</v>
      </c>
      <c r="N961" s="1">
        <v>45597</v>
      </c>
      <c r="O961" t="s">
        <v>116</v>
      </c>
      <c r="P961" t="s">
        <v>6551</v>
      </c>
      <c r="R961" t="s">
        <v>8343</v>
      </c>
      <c r="T961" t="s">
        <v>8344</v>
      </c>
      <c r="U961" t="s">
        <v>127</v>
      </c>
      <c r="V961" s="8" t="str">
        <f>"77043"</f>
        <v>77043</v>
      </c>
      <c r="W961" t="s">
        <v>118</v>
      </c>
      <c r="Y961" s="10">
        <v>13864376211</v>
      </c>
      <c r="AA961">
        <v>56173</v>
      </c>
      <c r="AB961" t="s">
        <v>1969</v>
      </c>
      <c r="AC961" t="s">
        <v>6554</v>
      </c>
      <c r="AE961" t="s">
        <v>6555</v>
      </c>
      <c r="AF961" t="s">
        <v>8343</v>
      </c>
      <c r="AH961" t="s">
        <v>8344</v>
      </c>
      <c r="AI961" t="s">
        <v>127</v>
      </c>
      <c r="AJ961" s="8" t="str">
        <f>"77043"</f>
        <v>77043</v>
      </c>
      <c r="AK961" t="s">
        <v>118</v>
      </c>
      <c r="AM961" s="10">
        <v>13864376211</v>
      </c>
      <c r="AO961" t="s">
        <v>6557</v>
      </c>
      <c r="AP961" t="s">
        <v>248</v>
      </c>
      <c r="AQ961" t="s">
        <v>960</v>
      </c>
      <c r="AR961" t="s">
        <v>961</v>
      </c>
      <c r="AS961" t="s">
        <v>962</v>
      </c>
      <c r="AT961" t="s">
        <v>963</v>
      </c>
      <c r="AU961" t="s">
        <v>296</v>
      </c>
      <c r="AV961" t="s">
        <v>964</v>
      </c>
      <c r="AW961" t="s">
        <v>127</v>
      </c>
      <c r="AX961" s="8" t="str">
        <f>"75033"</f>
        <v>75033</v>
      </c>
      <c r="AY961" t="s">
        <v>118</v>
      </c>
      <c r="BA961" s="10">
        <v>19727789690</v>
      </c>
      <c r="BC961" t="s">
        <v>6558</v>
      </c>
      <c r="BD961" t="s">
        <v>966</v>
      </c>
      <c r="BG961" t="s">
        <v>127</v>
      </c>
      <c r="BH961" s="1">
        <v>45202.833333333336</v>
      </c>
      <c r="BI961">
        <v>40</v>
      </c>
      <c r="BJ961">
        <v>0</v>
      </c>
      <c r="BK961">
        <v>8</v>
      </c>
      <c r="BL961">
        <v>8</v>
      </c>
      <c r="BM961">
        <v>0</v>
      </c>
      <c r="BN961">
        <v>8</v>
      </c>
      <c r="BO961">
        <v>8</v>
      </c>
      <c r="BP961">
        <v>8</v>
      </c>
      <c r="BQ961" t="str">
        <f>"7:00 AM"</f>
        <v>7:00 AM</v>
      </c>
      <c r="BR961" t="str">
        <f>"4:00 PM"</f>
        <v>4:00 PM</v>
      </c>
      <c r="BS961" t="s">
        <v>131</v>
      </c>
      <c r="BT961">
        <v>0</v>
      </c>
      <c r="BU961">
        <v>0</v>
      </c>
      <c r="BV961" t="s">
        <v>114</v>
      </c>
      <c r="BX961" s="2" t="s">
        <v>6559</v>
      </c>
      <c r="BY961" t="s">
        <v>8345</v>
      </c>
      <c r="CA961" t="s">
        <v>8344</v>
      </c>
      <c r="CB961" t="s">
        <v>127</v>
      </c>
      <c r="CC961" s="8" t="str">
        <f>"77043"</f>
        <v>77043</v>
      </c>
      <c r="CD961" t="s">
        <v>3327</v>
      </c>
      <c r="CE961" t="s">
        <v>879</v>
      </c>
      <c r="CF961" s="12">
        <v>16.29</v>
      </c>
      <c r="CG961" s="12">
        <v>16.29</v>
      </c>
      <c r="CH961" s="12">
        <v>24.44</v>
      </c>
      <c r="CI961" s="12">
        <v>24.44</v>
      </c>
      <c r="CJ961" t="s">
        <v>135</v>
      </c>
      <c r="CK961" t="s">
        <v>973</v>
      </c>
      <c r="CL961" t="s">
        <v>8346</v>
      </c>
      <c r="CO961" t="s">
        <v>132</v>
      </c>
      <c r="CP961" t="s">
        <v>136</v>
      </c>
      <c r="CQ961" t="s">
        <v>136</v>
      </c>
      <c r="CR961" t="s">
        <v>136</v>
      </c>
      <c r="CS961" t="s">
        <v>136</v>
      </c>
      <c r="CT961" t="s">
        <v>136</v>
      </c>
      <c r="CU961" t="s">
        <v>136</v>
      </c>
      <c r="CV961" s="2" t="s">
        <v>6561</v>
      </c>
      <c r="CW961" s="10" t="str">
        <f>"+13864376211"</f>
        <v>+13864376211</v>
      </c>
      <c r="CX961" t="s">
        <v>132</v>
      </c>
      <c r="CY961" t="s">
        <v>1853</v>
      </c>
      <c r="CZ961" t="s">
        <v>137</v>
      </c>
      <c r="DA961" t="s">
        <v>114</v>
      </c>
      <c r="DB961" t="s">
        <v>136</v>
      </c>
      <c r="DC961" t="s">
        <v>136</v>
      </c>
      <c r="DD961" t="s">
        <v>114</v>
      </c>
    </row>
    <row r="962" spans="1:108" ht="15" customHeight="1" x14ac:dyDescent="0.25">
      <c r="A962" t="s">
        <v>23693</v>
      </c>
      <c r="B962" t="s">
        <v>152</v>
      </c>
      <c r="C962" s="1">
        <v>45203.008925925926</v>
      </c>
      <c r="D962" s="1">
        <v>45244</v>
      </c>
      <c r="E962" t="s">
        <v>132</v>
      </c>
      <c r="F962" t="s">
        <v>1961</v>
      </c>
      <c r="G962" t="str">
        <f>"37-3011.00"</f>
        <v>37-3011.00</v>
      </c>
      <c r="H962" t="s">
        <v>429</v>
      </c>
      <c r="I962">
        <v>19</v>
      </c>
      <c r="J962">
        <v>19</v>
      </c>
      <c r="K962" s="1">
        <v>45293</v>
      </c>
      <c r="L962" s="1">
        <v>45597</v>
      </c>
      <c r="M962" s="1">
        <v>45293</v>
      </c>
      <c r="N962" s="1">
        <v>45597</v>
      </c>
      <c r="O962" t="s">
        <v>116</v>
      </c>
      <c r="P962" t="s">
        <v>6551</v>
      </c>
      <c r="R962" t="s">
        <v>23694</v>
      </c>
      <c r="S962" t="s">
        <v>6553</v>
      </c>
      <c r="T962" t="s">
        <v>9852</v>
      </c>
      <c r="U962" t="s">
        <v>127</v>
      </c>
      <c r="V962" s="8" t="str">
        <f>"77808"</f>
        <v>77808</v>
      </c>
      <c r="W962" t="s">
        <v>118</v>
      </c>
      <c r="Y962" s="10">
        <v>13864376211</v>
      </c>
      <c r="AA962">
        <v>56173</v>
      </c>
      <c r="AB962" t="s">
        <v>1969</v>
      </c>
      <c r="AC962" t="s">
        <v>6554</v>
      </c>
      <c r="AE962" t="s">
        <v>6555</v>
      </c>
      <c r="AF962" t="s">
        <v>23694</v>
      </c>
      <c r="AG962" t="s">
        <v>6553</v>
      </c>
      <c r="AH962" t="s">
        <v>9852</v>
      </c>
      <c r="AI962" t="s">
        <v>127</v>
      </c>
      <c r="AJ962" s="8" t="str">
        <f>"77808"</f>
        <v>77808</v>
      </c>
      <c r="AK962" t="s">
        <v>118</v>
      </c>
      <c r="AM962" s="10">
        <v>13864376211</v>
      </c>
      <c r="AO962" t="s">
        <v>6557</v>
      </c>
      <c r="AP962" t="s">
        <v>248</v>
      </c>
      <c r="AQ962" t="s">
        <v>960</v>
      </c>
      <c r="AR962" t="s">
        <v>961</v>
      </c>
      <c r="AS962" t="s">
        <v>962</v>
      </c>
      <c r="AT962" t="s">
        <v>963</v>
      </c>
      <c r="AU962" t="s">
        <v>296</v>
      </c>
      <c r="AV962" t="s">
        <v>964</v>
      </c>
      <c r="AW962" t="s">
        <v>127</v>
      </c>
      <c r="AX962" s="8" t="str">
        <f>"75033"</f>
        <v>75033</v>
      </c>
      <c r="AY962" t="s">
        <v>118</v>
      </c>
      <c r="BA962" s="10">
        <v>19727789690</v>
      </c>
      <c r="BC962" t="s">
        <v>6558</v>
      </c>
      <c r="BD962" t="s">
        <v>966</v>
      </c>
      <c r="BG962" t="s">
        <v>127</v>
      </c>
      <c r="BH962" s="1">
        <v>45202.833333333336</v>
      </c>
      <c r="BI962">
        <v>40</v>
      </c>
      <c r="BJ962">
        <v>0</v>
      </c>
      <c r="BK962">
        <v>8</v>
      </c>
      <c r="BL962">
        <v>8</v>
      </c>
      <c r="BM962">
        <v>0</v>
      </c>
      <c r="BN962">
        <v>8</v>
      </c>
      <c r="BO962">
        <v>8</v>
      </c>
      <c r="BP962">
        <v>8</v>
      </c>
      <c r="BQ962" t="str">
        <f>"7:00 AM"</f>
        <v>7:00 AM</v>
      </c>
      <c r="BR962" t="str">
        <f>"4:00 PM"</f>
        <v>4:00 PM</v>
      </c>
      <c r="BS962" t="s">
        <v>131</v>
      </c>
      <c r="BT962">
        <v>0</v>
      </c>
      <c r="BU962">
        <v>0</v>
      </c>
      <c r="BV962" t="s">
        <v>114</v>
      </c>
      <c r="BX962" s="2" t="s">
        <v>6559</v>
      </c>
      <c r="BY962" t="s">
        <v>23694</v>
      </c>
      <c r="CA962" t="s">
        <v>9852</v>
      </c>
      <c r="CB962" t="s">
        <v>127</v>
      </c>
      <c r="CC962" s="8" t="str">
        <f>"77808"</f>
        <v>77808</v>
      </c>
      <c r="CD962" t="s">
        <v>3636</v>
      </c>
      <c r="CE962" t="s">
        <v>3637</v>
      </c>
      <c r="CF962" s="12">
        <v>16.29</v>
      </c>
      <c r="CG962" s="12">
        <v>16.29</v>
      </c>
      <c r="CH962" s="12">
        <v>24.44</v>
      </c>
      <c r="CI962" s="12">
        <v>24.44</v>
      </c>
      <c r="CJ962" t="s">
        <v>135</v>
      </c>
      <c r="CK962" t="s">
        <v>973</v>
      </c>
      <c r="CL962" t="s">
        <v>23695</v>
      </c>
      <c r="CO962" t="s">
        <v>132</v>
      </c>
      <c r="CP962" t="s">
        <v>136</v>
      </c>
      <c r="CQ962" t="s">
        <v>136</v>
      </c>
      <c r="CR962" t="s">
        <v>136</v>
      </c>
      <c r="CS962" t="s">
        <v>136</v>
      </c>
      <c r="CT962" t="s">
        <v>136</v>
      </c>
      <c r="CU962" t="s">
        <v>136</v>
      </c>
      <c r="CV962" s="2" t="s">
        <v>6561</v>
      </c>
      <c r="CW962" s="10" t="str">
        <f>"+13864376211"</f>
        <v>+13864376211</v>
      </c>
      <c r="CX962" t="s">
        <v>132</v>
      </c>
      <c r="CY962" t="s">
        <v>1853</v>
      </c>
      <c r="CZ962" t="s">
        <v>137</v>
      </c>
      <c r="DA962" t="s">
        <v>114</v>
      </c>
      <c r="DB962" t="s">
        <v>136</v>
      </c>
      <c r="DC962" t="s">
        <v>136</v>
      </c>
      <c r="DD962" t="s">
        <v>114</v>
      </c>
    </row>
    <row r="963" spans="1:108" ht="15" customHeight="1" x14ac:dyDescent="0.25">
      <c r="A963" t="s">
        <v>6550</v>
      </c>
      <c r="B963" t="s">
        <v>152</v>
      </c>
      <c r="C963" s="1">
        <v>45203.008343402777</v>
      </c>
      <c r="D963" s="1">
        <v>45244</v>
      </c>
      <c r="E963" t="s">
        <v>132</v>
      </c>
      <c r="F963" t="s">
        <v>1961</v>
      </c>
      <c r="G963" t="str">
        <f>"37-3011.00"</f>
        <v>37-3011.00</v>
      </c>
      <c r="H963" t="s">
        <v>429</v>
      </c>
      <c r="I963">
        <v>62</v>
      </c>
      <c r="J963">
        <v>62</v>
      </c>
      <c r="K963" s="1">
        <v>45293</v>
      </c>
      <c r="L963" s="1">
        <v>45597</v>
      </c>
      <c r="M963" s="1">
        <v>45293</v>
      </c>
      <c r="N963" s="1">
        <v>45597</v>
      </c>
      <c r="O963" t="s">
        <v>116</v>
      </c>
      <c r="P963" t="s">
        <v>6551</v>
      </c>
      <c r="R963" t="s">
        <v>6552</v>
      </c>
      <c r="S963" t="s">
        <v>6553</v>
      </c>
      <c r="T963" t="s">
        <v>314</v>
      </c>
      <c r="U963" t="s">
        <v>127</v>
      </c>
      <c r="V963" s="8" t="str">
        <f>"78660"</f>
        <v>78660</v>
      </c>
      <c r="W963" t="s">
        <v>118</v>
      </c>
      <c r="Y963" s="10">
        <v>13864376211</v>
      </c>
      <c r="AA963">
        <v>56173</v>
      </c>
      <c r="AB963" t="s">
        <v>1969</v>
      </c>
      <c r="AC963" t="s">
        <v>6554</v>
      </c>
      <c r="AE963" t="s">
        <v>6555</v>
      </c>
      <c r="AF963" t="s">
        <v>6552</v>
      </c>
      <c r="AG963" t="s">
        <v>6556</v>
      </c>
      <c r="AH963" t="s">
        <v>314</v>
      </c>
      <c r="AI963" t="s">
        <v>127</v>
      </c>
      <c r="AJ963" s="8" t="str">
        <f>"78660"</f>
        <v>78660</v>
      </c>
      <c r="AK963" t="s">
        <v>118</v>
      </c>
      <c r="AM963" s="10">
        <v>13864376211</v>
      </c>
      <c r="AO963" t="s">
        <v>6557</v>
      </c>
      <c r="AP963" t="s">
        <v>248</v>
      </c>
      <c r="AQ963" t="s">
        <v>960</v>
      </c>
      <c r="AR963" t="s">
        <v>961</v>
      </c>
      <c r="AS963" t="s">
        <v>962</v>
      </c>
      <c r="AT963" t="s">
        <v>963</v>
      </c>
      <c r="AU963" t="s">
        <v>296</v>
      </c>
      <c r="AV963" t="s">
        <v>964</v>
      </c>
      <c r="AW963" t="s">
        <v>127</v>
      </c>
      <c r="AX963" s="8" t="str">
        <f>"75033"</f>
        <v>75033</v>
      </c>
      <c r="AY963" t="s">
        <v>118</v>
      </c>
      <c r="BA963" s="10">
        <v>19727789690</v>
      </c>
      <c r="BC963" t="s">
        <v>6558</v>
      </c>
      <c r="BD963" t="s">
        <v>966</v>
      </c>
      <c r="BG963" t="s">
        <v>127</v>
      </c>
      <c r="BH963" s="1">
        <v>45202.833333333336</v>
      </c>
      <c r="BI963">
        <v>40</v>
      </c>
      <c r="BJ963">
        <v>0</v>
      </c>
      <c r="BK963">
        <v>8</v>
      </c>
      <c r="BL963">
        <v>8</v>
      </c>
      <c r="BM963">
        <v>0</v>
      </c>
      <c r="BN963">
        <v>8</v>
      </c>
      <c r="BO963">
        <v>8</v>
      </c>
      <c r="BP963">
        <v>8</v>
      </c>
      <c r="BQ963" t="str">
        <f>"7:00 AM"</f>
        <v>7:00 AM</v>
      </c>
      <c r="BR963" t="str">
        <f>"4:00 PM"</f>
        <v>4:00 PM</v>
      </c>
      <c r="BS963" t="s">
        <v>131</v>
      </c>
      <c r="BT963">
        <v>0</v>
      </c>
      <c r="BU963">
        <v>0</v>
      </c>
      <c r="BV963" t="s">
        <v>114</v>
      </c>
      <c r="BX963" s="2" t="s">
        <v>6559</v>
      </c>
      <c r="BY963" t="s">
        <v>6552</v>
      </c>
      <c r="CA963" t="s">
        <v>5681</v>
      </c>
      <c r="CB963" t="s">
        <v>127</v>
      </c>
      <c r="CC963" s="8" t="str">
        <f>"78660"</f>
        <v>78660</v>
      </c>
      <c r="CD963" t="s">
        <v>323</v>
      </c>
      <c r="CE963" t="s">
        <v>324</v>
      </c>
      <c r="CF963" s="12">
        <v>16.91</v>
      </c>
      <c r="CG963" s="12">
        <v>16.91</v>
      </c>
      <c r="CH963" s="12">
        <v>25.37</v>
      </c>
      <c r="CI963" s="12">
        <v>25.37</v>
      </c>
      <c r="CJ963" t="s">
        <v>135</v>
      </c>
      <c r="CK963" t="s">
        <v>973</v>
      </c>
      <c r="CL963" t="s">
        <v>6560</v>
      </c>
      <c r="CO963" t="s">
        <v>132</v>
      </c>
      <c r="CP963" t="s">
        <v>136</v>
      </c>
      <c r="CQ963" t="s">
        <v>136</v>
      </c>
      <c r="CR963" t="s">
        <v>136</v>
      </c>
      <c r="CS963" t="s">
        <v>136</v>
      </c>
      <c r="CT963" t="s">
        <v>136</v>
      </c>
      <c r="CU963" t="s">
        <v>136</v>
      </c>
      <c r="CV963" s="2" t="s">
        <v>6561</v>
      </c>
      <c r="CW963" s="10" t="str">
        <f>"+13864376211"</f>
        <v>+13864376211</v>
      </c>
      <c r="CX963" t="s">
        <v>132</v>
      </c>
      <c r="CY963" t="s">
        <v>1853</v>
      </c>
      <c r="CZ963" t="s">
        <v>137</v>
      </c>
      <c r="DA963" t="s">
        <v>114</v>
      </c>
      <c r="DB963" t="s">
        <v>136</v>
      </c>
      <c r="DC963" t="s">
        <v>136</v>
      </c>
      <c r="DD963" t="s">
        <v>114</v>
      </c>
    </row>
    <row r="964" spans="1:108" ht="15" customHeight="1" x14ac:dyDescent="0.25">
      <c r="A964" t="s">
        <v>20377</v>
      </c>
      <c r="B964" t="s">
        <v>152</v>
      </c>
      <c r="C964" s="1">
        <v>45202.85814837963</v>
      </c>
      <c r="D964" s="1">
        <v>45244</v>
      </c>
      <c r="E964" t="s">
        <v>132</v>
      </c>
      <c r="F964" t="s">
        <v>3992</v>
      </c>
      <c r="G964" t="str">
        <f>"37-2011.00"</f>
        <v>37-2011.00</v>
      </c>
      <c r="H964" t="s">
        <v>1089</v>
      </c>
      <c r="I964">
        <v>6</v>
      </c>
      <c r="J964">
        <v>6</v>
      </c>
      <c r="K964" s="1">
        <v>45277</v>
      </c>
      <c r="L964" s="1">
        <v>45382</v>
      </c>
      <c r="M964" s="1">
        <v>45277</v>
      </c>
      <c r="N964" s="1">
        <v>45382</v>
      </c>
      <c r="O964" t="s">
        <v>238</v>
      </c>
      <c r="P964" t="s">
        <v>20378</v>
      </c>
      <c r="R964" t="s">
        <v>20379</v>
      </c>
      <c r="T964" t="s">
        <v>7944</v>
      </c>
      <c r="U964" t="s">
        <v>211</v>
      </c>
      <c r="V964" s="8" t="str">
        <f>"84003"</f>
        <v>84003</v>
      </c>
      <c r="W964" t="s">
        <v>118</v>
      </c>
      <c r="Y964" s="10">
        <v>18015924020</v>
      </c>
      <c r="AA964">
        <v>56173</v>
      </c>
      <c r="AB964" t="s">
        <v>13528</v>
      </c>
      <c r="AC964" t="s">
        <v>3351</v>
      </c>
      <c r="AE964" t="s">
        <v>629</v>
      </c>
      <c r="AF964" t="s">
        <v>20379</v>
      </c>
      <c r="AH964" t="s">
        <v>7944</v>
      </c>
      <c r="AI964" t="s">
        <v>211</v>
      </c>
      <c r="AJ964" s="8" t="str">
        <f>"84003"</f>
        <v>84003</v>
      </c>
      <c r="AK964" t="s">
        <v>118</v>
      </c>
      <c r="AM964" s="10">
        <v>18015924020</v>
      </c>
      <c r="AO964" t="s">
        <v>13529</v>
      </c>
      <c r="AP964" t="s">
        <v>248</v>
      </c>
      <c r="AQ964" t="s">
        <v>1700</v>
      </c>
      <c r="AR964" t="s">
        <v>1701</v>
      </c>
      <c r="AT964" t="s">
        <v>1702</v>
      </c>
      <c r="AV964" t="s">
        <v>2467</v>
      </c>
      <c r="AW964" t="s">
        <v>211</v>
      </c>
      <c r="AX964" s="8" t="str">
        <f>"84059"</f>
        <v>84059</v>
      </c>
      <c r="AY964" t="s">
        <v>118</v>
      </c>
      <c r="BA964" s="10">
        <v>18013677097</v>
      </c>
      <c r="BC964" t="s">
        <v>4601</v>
      </c>
      <c r="BD964" t="s">
        <v>4602</v>
      </c>
      <c r="BG964" t="s">
        <v>211</v>
      </c>
      <c r="BH964" s="1">
        <v>45201.833333333336</v>
      </c>
      <c r="BI964">
        <v>35</v>
      </c>
      <c r="BJ964">
        <v>0</v>
      </c>
      <c r="BK964">
        <v>7</v>
      </c>
      <c r="BL964">
        <v>7</v>
      </c>
      <c r="BM964">
        <v>7</v>
      </c>
      <c r="BN964">
        <v>7</v>
      </c>
      <c r="BO964">
        <v>7</v>
      </c>
      <c r="BP964">
        <v>0</v>
      </c>
      <c r="BQ964" t="str">
        <f>"8:00 AM"</f>
        <v>8:00 AM</v>
      </c>
      <c r="BR964" t="str">
        <f>"4:00 PM"</f>
        <v>4:00 PM</v>
      </c>
      <c r="BS964" t="s">
        <v>131</v>
      </c>
      <c r="BT964">
        <v>0</v>
      </c>
      <c r="BU964">
        <v>0</v>
      </c>
      <c r="BV964" t="s">
        <v>114</v>
      </c>
      <c r="BX964" s="2" t="s">
        <v>4603</v>
      </c>
      <c r="BY964" t="s">
        <v>13892</v>
      </c>
      <c r="CA964" t="s">
        <v>3995</v>
      </c>
      <c r="CB964" t="s">
        <v>211</v>
      </c>
      <c r="CC964" s="8" t="str">
        <f>"84003"</f>
        <v>84003</v>
      </c>
      <c r="CD964" t="s">
        <v>2468</v>
      </c>
      <c r="CE964" t="s">
        <v>2469</v>
      </c>
      <c r="CF964" s="12">
        <v>13.8</v>
      </c>
      <c r="CJ964" t="s">
        <v>135</v>
      </c>
      <c r="CK964" t="s">
        <v>1704</v>
      </c>
      <c r="CL964" t="s">
        <v>20380</v>
      </c>
      <c r="CO964" t="s">
        <v>132</v>
      </c>
      <c r="CP964" t="s">
        <v>136</v>
      </c>
      <c r="CQ964" t="s">
        <v>136</v>
      </c>
      <c r="CR964" t="s">
        <v>114</v>
      </c>
      <c r="CS964" t="s">
        <v>114</v>
      </c>
      <c r="CT964" t="s">
        <v>136</v>
      </c>
      <c r="CU964" t="s">
        <v>114</v>
      </c>
      <c r="CV964" t="s">
        <v>1705</v>
      </c>
      <c r="CW964" s="10" t="str">
        <f>"+18015924020"</f>
        <v>+18015924020</v>
      </c>
      <c r="CX964" t="s">
        <v>13529</v>
      </c>
      <c r="CY964" t="s">
        <v>132</v>
      </c>
      <c r="CZ964" t="s">
        <v>137</v>
      </c>
      <c r="DA964" t="s">
        <v>114</v>
      </c>
      <c r="DB964" t="s">
        <v>114</v>
      </c>
      <c r="DC964" t="s">
        <v>136</v>
      </c>
      <c r="DD964" t="s">
        <v>114</v>
      </c>
    </row>
    <row r="965" spans="1:108" ht="15" customHeight="1" x14ac:dyDescent="0.25">
      <c r="A965" t="s">
        <v>1246</v>
      </c>
      <c r="B965" t="s">
        <v>152</v>
      </c>
      <c r="C965" s="1">
        <v>45202.742425115743</v>
      </c>
      <c r="D965" s="1">
        <v>45244</v>
      </c>
      <c r="E965" t="s">
        <v>132</v>
      </c>
      <c r="F965" t="s">
        <v>1247</v>
      </c>
      <c r="G965" t="str">
        <f>"45-4011.00"</f>
        <v>45-4011.00</v>
      </c>
      <c r="H965" t="s">
        <v>842</v>
      </c>
      <c r="I965">
        <v>15</v>
      </c>
      <c r="J965">
        <v>15</v>
      </c>
      <c r="K965" s="1">
        <v>45292</v>
      </c>
      <c r="L965" s="1">
        <v>45596</v>
      </c>
      <c r="M965" s="1">
        <v>45292</v>
      </c>
      <c r="N965" s="1">
        <v>45596</v>
      </c>
      <c r="O965" t="s">
        <v>238</v>
      </c>
      <c r="P965" t="s">
        <v>1248</v>
      </c>
      <c r="R965" t="s">
        <v>1249</v>
      </c>
      <c r="T965" t="s">
        <v>1250</v>
      </c>
      <c r="U965" t="s">
        <v>479</v>
      </c>
      <c r="V965" s="8" t="str">
        <f>"97381"</f>
        <v>97381</v>
      </c>
      <c r="W965" t="s">
        <v>118</v>
      </c>
      <c r="Y965" s="10">
        <v>15037988981</v>
      </c>
      <c r="AA965">
        <v>11531</v>
      </c>
      <c r="AB965" t="s">
        <v>1251</v>
      </c>
      <c r="AC965" t="s">
        <v>123</v>
      </c>
      <c r="AE965" t="s">
        <v>561</v>
      </c>
      <c r="AF965" t="s">
        <v>1249</v>
      </c>
      <c r="AH965" t="s">
        <v>1250</v>
      </c>
      <c r="AI965" t="s">
        <v>479</v>
      </c>
      <c r="AJ965" s="8" t="str">
        <f>"97381"</f>
        <v>97381</v>
      </c>
      <c r="AK965" t="s">
        <v>118</v>
      </c>
      <c r="AM965" s="10">
        <v>15037988981</v>
      </c>
      <c r="AO965" t="s">
        <v>1252</v>
      </c>
      <c r="AP965" t="s">
        <v>248</v>
      </c>
      <c r="AQ965" t="s">
        <v>1237</v>
      </c>
      <c r="AR965" t="s">
        <v>763</v>
      </c>
      <c r="AT965" t="s">
        <v>1253</v>
      </c>
      <c r="AU965" t="s">
        <v>852</v>
      </c>
      <c r="AV965" t="s">
        <v>853</v>
      </c>
      <c r="AW965" t="s">
        <v>854</v>
      </c>
      <c r="AX965" s="8" t="str">
        <f>"83814"</f>
        <v>83814</v>
      </c>
      <c r="AY965" t="s">
        <v>118</v>
      </c>
      <c r="BA965" s="10">
        <v>12087772654</v>
      </c>
      <c r="BC965" t="s">
        <v>1254</v>
      </c>
      <c r="BD965" t="s">
        <v>856</v>
      </c>
      <c r="BG965" t="s">
        <v>479</v>
      </c>
      <c r="BH965" s="1">
        <v>45200.833333333336</v>
      </c>
      <c r="BI965">
        <v>40</v>
      </c>
      <c r="BJ965">
        <v>0</v>
      </c>
      <c r="BK965">
        <v>8</v>
      </c>
      <c r="BL965">
        <v>8</v>
      </c>
      <c r="BM965">
        <v>8</v>
      </c>
      <c r="BN965">
        <v>8</v>
      </c>
      <c r="BO965">
        <v>8</v>
      </c>
      <c r="BP965">
        <v>0</v>
      </c>
      <c r="BQ965" t="str">
        <f>"7:00 AM"</f>
        <v>7:00 AM</v>
      </c>
      <c r="BR965" t="str">
        <f>"3:00 PM"</f>
        <v>3:00 PM</v>
      </c>
      <c r="BS965" t="s">
        <v>131</v>
      </c>
      <c r="BT965">
        <v>0</v>
      </c>
      <c r="BU965">
        <v>0</v>
      </c>
      <c r="BV965" t="s">
        <v>114</v>
      </c>
      <c r="BX965" t="s">
        <v>1255</v>
      </c>
      <c r="BY965" t="s">
        <v>1256</v>
      </c>
      <c r="CA965" t="s">
        <v>1250</v>
      </c>
      <c r="CB965" t="s">
        <v>479</v>
      </c>
      <c r="CC965" s="8" t="str">
        <f>"97381"</f>
        <v>97381</v>
      </c>
      <c r="CD965" t="s">
        <v>1257</v>
      </c>
      <c r="CE965" t="s">
        <v>1258</v>
      </c>
      <c r="CF965" s="12">
        <v>12.21</v>
      </c>
      <c r="CG965" s="12">
        <v>24.44</v>
      </c>
      <c r="CH965" s="12">
        <v>18.32</v>
      </c>
      <c r="CI965" s="12">
        <v>36.659999999999997</v>
      </c>
      <c r="CJ965" t="s">
        <v>135</v>
      </c>
      <c r="CK965" t="s">
        <v>861</v>
      </c>
      <c r="CL965" t="s">
        <v>1259</v>
      </c>
      <c r="CO965" t="s">
        <v>132</v>
      </c>
      <c r="CP965" t="s">
        <v>136</v>
      </c>
      <c r="CQ965" t="s">
        <v>136</v>
      </c>
      <c r="CR965" t="s">
        <v>136</v>
      </c>
      <c r="CS965" t="s">
        <v>136</v>
      </c>
      <c r="CT965" t="s">
        <v>136</v>
      </c>
      <c r="CU965" t="s">
        <v>136</v>
      </c>
      <c r="CV965" t="s">
        <v>1040</v>
      </c>
      <c r="CW965" s="10" t="str">
        <f>"+15039834715"</f>
        <v>+15039834715</v>
      </c>
      <c r="CX965" t="s">
        <v>1252</v>
      </c>
      <c r="CY965" t="s">
        <v>132</v>
      </c>
      <c r="CZ965" t="s">
        <v>137</v>
      </c>
      <c r="DA965" t="s">
        <v>114</v>
      </c>
      <c r="DB965" t="s">
        <v>136</v>
      </c>
      <c r="DC965" t="s">
        <v>136</v>
      </c>
      <c r="DD965" t="s">
        <v>114</v>
      </c>
    </row>
    <row r="966" spans="1:108" ht="15" customHeight="1" x14ac:dyDescent="0.25">
      <c r="A966" t="s">
        <v>9136</v>
      </c>
      <c r="B966" t="s">
        <v>152</v>
      </c>
      <c r="C966" s="1">
        <v>45202.599459837962</v>
      </c>
      <c r="D966" s="1">
        <v>45244</v>
      </c>
      <c r="E966" t="s">
        <v>132</v>
      </c>
      <c r="F966" t="s">
        <v>5756</v>
      </c>
      <c r="G966" t="str">
        <f>"35-2014.00"</f>
        <v>35-2014.00</v>
      </c>
      <c r="H966" t="s">
        <v>154</v>
      </c>
      <c r="I966">
        <v>20</v>
      </c>
      <c r="J966">
        <v>20</v>
      </c>
      <c r="K966" s="1">
        <v>45292</v>
      </c>
      <c r="L966" s="1">
        <v>45565</v>
      </c>
      <c r="M966" s="1">
        <v>45292</v>
      </c>
      <c r="N966" s="1">
        <v>45565</v>
      </c>
      <c r="O966" t="s">
        <v>116</v>
      </c>
      <c r="P966" t="s">
        <v>8372</v>
      </c>
      <c r="Q966" t="s">
        <v>8373</v>
      </c>
      <c r="R966" t="s">
        <v>8374</v>
      </c>
      <c r="T966" t="s">
        <v>8375</v>
      </c>
      <c r="U966" t="s">
        <v>140</v>
      </c>
      <c r="V966" s="8" t="str">
        <f>"32550"</f>
        <v>32550</v>
      </c>
      <c r="W966" t="s">
        <v>118</v>
      </c>
      <c r="Y966" s="10">
        <v>18502678292</v>
      </c>
      <c r="AA966">
        <v>72111</v>
      </c>
      <c r="AB966" t="s">
        <v>8376</v>
      </c>
      <c r="AC966" t="s">
        <v>1118</v>
      </c>
      <c r="AE966" t="s">
        <v>456</v>
      </c>
      <c r="AF966" t="s">
        <v>8374</v>
      </c>
      <c r="AH966" t="s">
        <v>8375</v>
      </c>
      <c r="AI966" t="s">
        <v>140</v>
      </c>
      <c r="AJ966" s="8" t="str">
        <f>"32550"</f>
        <v>32550</v>
      </c>
      <c r="AK966" t="s">
        <v>118</v>
      </c>
      <c r="AM966" s="10">
        <v>18502678292</v>
      </c>
      <c r="AO966" t="s">
        <v>8377</v>
      </c>
      <c r="AP966" t="s">
        <v>248</v>
      </c>
      <c r="AQ966" t="s">
        <v>458</v>
      </c>
      <c r="AR966" t="s">
        <v>459</v>
      </c>
      <c r="AT966" t="s">
        <v>460</v>
      </c>
      <c r="AU966" t="s">
        <v>1374</v>
      </c>
      <c r="AV966" t="s">
        <v>766</v>
      </c>
      <c r="AW966" t="s">
        <v>140</v>
      </c>
      <c r="AX966" s="8" t="str">
        <f>"33141"</f>
        <v>33141</v>
      </c>
      <c r="AY966" t="s">
        <v>118</v>
      </c>
      <c r="BA966" s="10">
        <v>17863480376</v>
      </c>
      <c r="BC966" t="s">
        <v>463</v>
      </c>
      <c r="BD966" t="s">
        <v>464</v>
      </c>
      <c r="BG966" t="s">
        <v>140</v>
      </c>
      <c r="BH966" s="1">
        <v>45201.833333333336</v>
      </c>
      <c r="BI966">
        <v>35</v>
      </c>
      <c r="BJ966">
        <v>7</v>
      </c>
      <c r="BK966">
        <v>7</v>
      </c>
      <c r="BL966">
        <v>0</v>
      </c>
      <c r="BM966">
        <v>0</v>
      </c>
      <c r="BN966">
        <v>7</v>
      </c>
      <c r="BO966">
        <v>7</v>
      </c>
      <c r="BP966">
        <v>7</v>
      </c>
      <c r="BQ966" t="str">
        <f>"7:00 AM"</f>
        <v>7:00 AM</v>
      </c>
      <c r="BR966" t="str">
        <f>"2:00 PM"</f>
        <v>2:00 PM</v>
      </c>
      <c r="BS966" t="s">
        <v>131</v>
      </c>
      <c r="BT966">
        <v>0</v>
      </c>
      <c r="BU966">
        <v>1</v>
      </c>
      <c r="BV966" t="s">
        <v>114</v>
      </c>
      <c r="BX966" t="s">
        <v>9137</v>
      </c>
      <c r="BY966" t="s">
        <v>8374</v>
      </c>
      <c r="CA966" t="s">
        <v>8375</v>
      </c>
      <c r="CB966" t="s">
        <v>140</v>
      </c>
      <c r="CC966" s="8" t="str">
        <f>"32550"</f>
        <v>32550</v>
      </c>
      <c r="CD966" t="s">
        <v>3313</v>
      </c>
      <c r="CE966" t="s">
        <v>3314</v>
      </c>
      <c r="CF966" s="12">
        <v>15.56</v>
      </c>
      <c r="CG966" s="12">
        <v>15.56</v>
      </c>
      <c r="CH966" s="12">
        <v>23.34</v>
      </c>
      <c r="CI966" s="12">
        <v>23.34</v>
      </c>
      <c r="CJ966" t="s">
        <v>135</v>
      </c>
      <c r="CL966" t="s">
        <v>9138</v>
      </c>
      <c r="CO966" t="s">
        <v>132</v>
      </c>
      <c r="CP966" t="s">
        <v>114</v>
      </c>
      <c r="CQ966" t="s">
        <v>136</v>
      </c>
      <c r="CR966" t="s">
        <v>136</v>
      </c>
      <c r="CS966" t="s">
        <v>114</v>
      </c>
      <c r="CT966" t="s">
        <v>136</v>
      </c>
      <c r="CU966" t="s">
        <v>136</v>
      </c>
      <c r="CV966" t="s">
        <v>8380</v>
      </c>
      <c r="CW966" s="10" t="str">
        <f>"+18502678271"</f>
        <v>+18502678271</v>
      </c>
      <c r="CX966" t="s">
        <v>8381</v>
      </c>
      <c r="CY966" t="s">
        <v>8382</v>
      </c>
      <c r="CZ966" t="s">
        <v>137</v>
      </c>
      <c r="DA966" t="s">
        <v>114</v>
      </c>
      <c r="DB966" t="s">
        <v>114</v>
      </c>
      <c r="DC966" t="s">
        <v>136</v>
      </c>
      <c r="DD966" t="s">
        <v>114</v>
      </c>
    </row>
    <row r="967" spans="1:108" ht="15" customHeight="1" x14ac:dyDescent="0.25">
      <c r="A967" t="s">
        <v>6228</v>
      </c>
      <c r="B967" t="s">
        <v>152</v>
      </c>
      <c r="C967" s="1">
        <v>45202.590353472224</v>
      </c>
      <c r="D967" s="1">
        <v>45244</v>
      </c>
      <c r="E967" t="s">
        <v>132</v>
      </c>
      <c r="F967" t="s">
        <v>685</v>
      </c>
      <c r="G967" t="str">
        <f>"39-3091.00"</f>
        <v>39-3091.00</v>
      </c>
      <c r="H967" t="s">
        <v>237</v>
      </c>
      <c r="I967">
        <v>18</v>
      </c>
      <c r="J967">
        <v>18</v>
      </c>
      <c r="K967" s="1">
        <v>45285</v>
      </c>
      <c r="L967" s="1">
        <v>45589</v>
      </c>
      <c r="M967" s="1">
        <v>45285</v>
      </c>
      <c r="N967" s="1">
        <v>45589</v>
      </c>
      <c r="O967" t="s">
        <v>238</v>
      </c>
      <c r="P967" t="s">
        <v>6229</v>
      </c>
      <c r="R967" t="s">
        <v>6230</v>
      </c>
      <c r="T967" t="s">
        <v>2760</v>
      </c>
      <c r="U967" t="s">
        <v>140</v>
      </c>
      <c r="V967" s="8" t="str">
        <f>"34748"</f>
        <v>34748</v>
      </c>
      <c r="W967" t="s">
        <v>118</v>
      </c>
      <c r="Y967" s="10">
        <v>13522678969</v>
      </c>
      <c r="Z967" s="3" t="s">
        <v>256</v>
      </c>
      <c r="AA967">
        <v>71399</v>
      </c>
      <c r="AB967" t="s">
        <v>6231</v>
      </c>
      <c r="AC967" t="s">
        <v>6232</v>
      </c>
      <c r="AE967" t="s">
        <v>120</v>
      </c>
      <c r="AF967" t="s">
        <v>6230</v>
      </c>
      <c r="AG967" t="s">
        <v>6233</v>
      </c>
      <c r="AH967" t="s">
        <v>2760</v>
      </c>
      <c r="AI967" t="s">
        <v>140</v>
      </c>
      <c r="AJ967" s="8" t="str">
        <f>"34748"</f>
        <v>34748</v>
      </c>
      <c r="AK967" t="s">
        <v>118</v>
      </c>
      <c r="AM967" s="10">
        <v>17408080400</v>
      </c>
      <c r="AN967" s="3" t="s">
        <v>256</v>
      </c>
      <c r="AO967" t="s">
        <v>6234</v>
      </c>
      <c r="AP967" t="s">
        <v>248</v>
      </c>
      <c r="AQ967" t="s">
        <v>249</v>
      </c>
      <c r="AR967" t="s">
        <v>250</v>
      </c>
      <c r="AS967" t="s">
        <v>251</v>
      </c>
      <c r="AT967" t="s">
        <v>252</v>
      </c>
      <c r="AU967" t="s">
        <v>253</v>
      </c>
      <c r="AV967" t="s">
        <v>254</v>
      </c>
      <c r="AW967" t="s">
        <v>127</v>
      </c>
      <c r="AX967" s="8" t="str">
        <f>"78550"</f>
        <v>78550</v>
      </c>
      <c r="AY967" t="s">
        <v>118</v>
      </c>
      <c r="AZ967" t="s">
        <v>255</v>
      </c>
      <c r="BA967" s="10">
        <v>19564408720</v>
      </c>
      <c r="BB967" s="3" t="s">
        <v>256</v>
      </c>
      <c r="BC967" t="s">
        <v>338</v>
      </c>
      <c r="BD967" t="s">
        <v>258</v>
      </c>
      <c r="BG967" t="s">
        <v>140</v>
      </c>
      <c r="BH967" s="1">
        <v>45201.833333333336</v>
      </c>
      <c r="BI967">
        <v>40</v>
      </c>
      <c r="BJ967">
        <v>8</v>
      </c>
      <c r="BK967">
        <v>0</v>
      </c>
      <c r="BL967">
        <v>0</v>
      </c>
      <c r="BM967">
        <v>8</v>
      </c>
      <c r="BN967">
        <v>8</v>
      </c>
      <c r="BO967">
        <v>8</v>
      </c>
      <c r="BP967">
        <v>8</v>
      </c>
      <c r="BQ967" t="str">
        <f>"1:00 PM"</f>
        <v>1:00 PM</v>
      </c>
      <c r="BR967" t="str">
        <f>"10:00 PM"</f>
        <v>10:00 PM</v>
      </c>
      <c r="BS967" t="s">
        <v>131</v>
      </c>
      <c r="BT967">
        <v>0</v>
      </c>
      <c r="BU967">
        <v>0</v>
      </c>
      <c r="BV967" t="s">
        <v>114</v>
      </c>
      <c r="BX967" s="2" t="s">
        <v>339</v>
      </c>
      <c r="BY967" t="s">
        <v>6235</v>
      </c>
      <c r="CA967" t="s">
        <v>2760</v>
      </c>
      <c r="CB967" t="s">
        <v>140</v>
      </c>
      <c r="CC967" s="8" t="str">
        <f>"34748"</f>
        <v>34748</v>
      </c>
      <c r="CD967" t="s">
        <v>1960</v>
      </c>
      <c r="CE967" t="s">
        <v>2052</v>
      </c>
      <c r="CF967" s="12">
        <v>10.59</v>
      </c>
      <c r="CG967" s="12">
        <v>16.3</v>
      </c>
      <c r="CJ967" t="s">
        <v>135</v>
      </c>
      <c r="CK967" t="s">
        <v>342</v>
      </c>
      <c r="CL967" t="s">
        <v>6236</v>
      </c>
      <c r="CO967" t="s">
        <v>132</v>
      </c>
      <c r="CP967" t="s">
        <v>136</v>
      </c>
      <c r="CQ967" t="s">
        <v>136</v>
      </c>
      <c r="CR967" t="s">
        <v>114</v>
      </c>
      <c r="CS967" t="s">
        <v>136</v>
      </c>
      <c r="CT967" t="s">
        <v>136</v>
      </c>
      <c r="CU967" t="s">
        <v>136</v>
      </c>
      <c r="CV967" t="s">
        <v>344</v>
      </c>
      <c r="CW967" s="10" t="str">
        <f>"+13522678969"</f>
        <v>+13522678969</v>
      </c>
      <c r="CX967" t="s">
        <v>6234</v>
      </c>
      <c r="CY967" t="s">
        <v>132</v>
      </c>
      <c r="CZ967" t="s">
        <v>137</v>
      </c>
      <c r="DA967" t="s">
        <v>114</v>
      </c>
      <c r="DB967" t="s">
        <v>136</v>
      </c>
      <c r="DC967" t="s">
        <v>136</v>
      </c>
      <c r="DD967" t="s">
        <v>114</v>
      </c>
    </row>
    <row r="968" spans="1:108" ht="15" customHeight="1" x14ac:dyDescent="0.25">
      <c r="A968" t="s">
        <v>1594</v>
      </c>
      <c r="B968" t="s">
        <v>152</v>
      </c>
      <c r="C968" s="1">
        <v>45202.501613310182</v>
      </c>
      <c r="D968" s="1">
        <v>45244</v>
      </c>
      <c r="E968" t="s">
        <v>132</v>
      </c>
      <c r="F968" t="s">
        <v>1595</v>
      </c>
      <c r="G968" t="str">
        <f>"37-3011.00"</f>
        <v>37-3011.00</v>
      </c>
      <c r="H968" t="s">
        <v>429</v>
      </c>
      <c r="I968">
        <v>23</v>
      </c>
      <c r="J968">
        <v>23</v>
      </c>
      <c r="K968" s="1">
        <v>45292</v>
      </c>
      <c r="L968" s="1">
        <v>45566</v>
      </c>
      <c r="M968" s="1">
        <v>45292</v>
      </c>
      <c r="N968" s="1">
        <v>45566</v>
      </c>
      <c r="O968" t="s">
        <v>238</v>
      </c>
      <c r="P968" t="s">
        <v>1596</v>
      </c>
      <c r="R968" t="s">
        <v>1597</v>
      </c>
      <c r="T968" t="s">
        <v>587</v>
      </c>
      <c r="U968" t="s">
        <v>1598</v>
      </c>
      <c r="V968" s="8" t="str">
        <f>"36545"</f>
        <v>36545</v>
      </c>
      <c r="W968" t="s">
        <v>118</v>
      </c>
      <c r="Y968" s="10">
        <v>12515897942</v>
      </c>
      <c r="AA968">
        <v>56173</v>
      </c>
      <c r="AB968" t="s">
        <v>1599</v>
      </c>
      <c r="AC968" t="s">
        <v>1328</v>
      </c>
      <c r="AE968" t="s">
        <v>1580</v>
      </c>
      <c r="AF968" t="s">
        <v>1597</v>
      </c>
      <c r="AH968" t="s">
        <v>587</v>
      </c>
      <c r="AI968" t="s">
        <v>1598</v>
      </c>
      <c r="AJ968" s="8" t="str">
        <f>"36545"</f>
        <v>36545</v>
      </c>
      <c r="AK968" t="s">
        <v>118</v>
      </c>
      <c r="AM968" s="10">
        <v>12515897942</v>
      </c>
      <c r="AO968" t="s">
        <v>1600</v>
      </c>
      <c r="AP968" t="s">
        <v>248</v>
      </c>
      <c r="AQ968" t="s">
        <v>1601</v>
      </c>
      <c r="AR968" t="s">
        <v>1602</v>
      </c>
      <c r="AT968" t="s">
        <v>851</v>
      </c>
      <c r="AU968" t="s">
        <v>852</v>
      </c>
      <c r="AV968" t="s">
        <v>853</v>
      </c>
      <c r="AW968" t="s">
        <v>854</v>
      </c>
      <c r="AX968" s="8" t="str">
        <f>"83814"</f>
        <v>83814</v>
      </c>
      <c r="AY968" t="s">
        <v>118</v>
      </c>
      <c r="BA968" s="10">
        <v>12087772654</v>
      </c>
      <c r="BC968" t="s">
        <v>1603</v>
      </c>
      <c r="BD968" t="s">
        <v>856</v>
      </c>
      <c r="BG968" t="s">
        <v>1598</v>
      </c>
      <c r="BH968" s="1">
        <v>45180.833333333336</v>
      </c>
      <c r="BI968">
        <v>40</v>
      </c>
      <c r="BJ968">
        <v>0</v>
      </c>
      <c r="BK968">
        <v>8</v>
      </c>
      <c r="BL968">
        <v>8</v>
      </c>
      <c r="BM968">
        <v>8</v>
      </c>
      <c r="BN968">
        <v>8</v>
      </c>
      <c r="BO968">
        <v>8</v>
      </c>
      <c r="BP968">
        <v>0</v>
      </c>
      <c r="BQ968" t="str">
        <f>"5:30 AM"</f>
        <v>5:30 AM</v>
      </c>
      <c r="BR968" t="str">
        <f>"2:00 PM"</f>
        <v>2:00 PM</v>
      </c>
      <c r="BS968" t="s">
        <v>131</v>
      </c>
      <c r="BT968">
        <v>0</v>
      </c>
      <c r="BU968">
        <v>0</v>
      </c>
      <c r="BV968" t="s">
        <v>114</v>
      </c>
      <c r="BX968" t="s">
        <v>1604</v>
      </c>
      <c r="BY968" t="s">
        <v>1605</v>
      </c>
      <c r="CA968" t="s">
        <v>587</v>
      </c>
      <c r="CB968" t="s">
        <v>1598</v>
      </c>
      <c r="CC968" s="8" t="str">
        <f>"36545"</f>
        <v>36545</v>
      </c>
      <c r="CD968" t="s">
        <v>1606</v>
      </c>
      <c r="CE968" t="s">
        <v>1607</v>
      </c>
      <c r="CF968" s="12">
        <v>14.42</v>
      </c>
      <c r="CH968" s="12">
        <v>21.63</v>
      </c>
      <c r="CJ968" t="s">
        <v>135</v>
      </c>
      <c r="CK968" t="s">
        <v>1608</v>
      </c>
      <c r="CL968" t="s">
        <v>1609</v>
      </c>
      <c r="CO968" t="s">
        <v>132</v>
      </c>
      <c r="CP968" t="s">
        <v>136</v>
      </c>
      <c r="CQ968" t="s">
        <v>136</v>
      </c>
      <c r="CR968" t="s">
        <v>136</v>
      </c>
      <c r="CS968" t="s">
        <v>136</v>
      </c>
      <c r="CT968" t="s">
        <v>136</v>
      </c>
      <c r="CU968" t="s">
        <v>114</v>
      </c>
      <c r="CV968" t="s">
        <v>1040</v>
      </c>
      <c r="CW968" s="10" t="str">
        <f>"+12515897942"</f>
        <v>+12515897942</v>
      </c>
      <c r="CX968" t="s">
        <v>1600</v>
      </c>
      <c r="CY968" t="s">
        <v>132</v>
      </c>
      <c r="CZ968" t="s">
        <v>137</v>
      </c>
      <c r="DA968" t="s">
        <v>114</v>
      </c>
      <c r="DB968" t="s">
        <v>136</v>
      </c>
      <c r="DC968" t="s">
        <v>136</v>
      </c>
      <c r="DD968" t="s">
        <v>114</v>
      </c>
    </row>
    <row r="969" spans="1:108" ht="15" customHeight="1" x14ac:dyDescent="0.25">
      <c r="A969" t="s">
        <v>7095</v>
      </c>
      <c r="B969" t="s">
        <v>152</v>
      </c>
      <c r="C969" s="1">
        <v>45202.49969571759</v>
      </c>
      <c r="D969" s="1">
        <v>45244</v>
      </c>
      <c r="E969" t="s">
        <v>132</v>
      </c>
      <c r="F969" t="s">
        <v>1247</v>
      </c>
      <c r="G969" t="str">
        <f>"45-4011.00"</f>
        <v>45-4011.00</v>
      </c>
      <c r="H969" t="s">
        <v>842</v>
      </c>
      <c r="I969">
        <v>54</v>
      </c>
      <c r="J969">
        <v>54</v>
      </c>
      <c r="K969" s="1">
        <v>45292</v>
      </c>
      <c r="L969" s="1">
        <v>45580</v>
      </c>
      <c r="M969" s="1">
        <v>45292</v>
      </c>
      <c r="N969" s="1">
        <v>45580</v>
      </c>
      <c r="O969" t="s">
        <v>238</v>
      </c>
      <c r="P969" t="s">
        <v>7096</v>
      </c>
      <c r="R969" t="s">
        <v>7097</v>
      </c>
      <c r="T969" t="s">
        <v>7098</v>
      </c>
      <c r="U969" t="s">
        <v>479</v>
      </c>
      <c r="V969" s="8" t="str">
        <f>"97325"</f>
        <v>97325</v>
      </c>
      <c r="W969" t="s">
        <v>118</v>
      </c>
      <c r="Y969" s="10">
        <v>15036021917</v>
      </c>
      <c r="AA969">
        <v>11531</v>
      </c>
      <c r="AB969" t="s">
        <v>1251</v>
      </c>
      <c r="AC969" t="s">
        <v>5185</v>
      </c>
      <c r="AE969" t="s">
        <v>629</v>
      </c>
      <c r="AF969" t="s">
        <v>7097</v>
      </c>
      <c r="AH969" t="s">
        <v>7098</v>
      </c>
      <c r="AI969" t="s">
        <v>479</v>
      </c>
      <c r="AJ969" s="8" t="str">
        <f>"97325"</f>
        <v>97325</v>
      </c>
      <c r="AK969" t="s">
        <v>118</v>
      </c>
      <c r="AM969" s="10">
        <v>15036021917</v>
      </c>
      <c r="AO969" t="s">
        <v>7099</v>
      </c>
      <c r="AP969" t="s">
        <v>248</v>
      </c>
      <c r="AQ969" t="s">
        <v>1237</v>
      </c>
      <c r="AR969" t="s">
        <v>763</v>
      </c>
      <c r="AT969" t="s">
        <v>1253</v>
      </c>
      <c r="AU969" t="s">
        <v>852</v>
      </c>
      <c r="AV969" t="s">
        <v>853</v>
      </c>
      <c r="AW969" t="s">
        <v>854</v>
      </c>
      <c r="AX969" s="8" t="str">
        <f>"83814"</f>
        <v>83814</v>
      </c>
      <c r="AY969" t="s">
        <v>118</v>
      </c>
      <c r="BA969" s="10">
        <v>12087772654</v>
      </c>
      <c r="BC969" t="s">
        <v>1254</v>
      </c>
      <c r="BD969" t="s">
        <v>856</v>
      </c>
      <c r="BG969" t="s">
        <v>479</v>
      </c>
      <c r="BH969" s="1">
        <v>45200.833333333336</v>
      </c>
      <c r="BI969">
        <v>40</v>
      </c>
      <c r="BJ969">
        <v>0</v>
      </c>
      <c r="BK969">
        <v>8</v>
      </c>
      <c r="BL969">
        <v>8</v>
      </c>
      <c r="BM969">
        <v>8</v>
      </c>
      <c r="BN969">
        <v>8</v>
      </c>
      <c r="BO969">
        <v>8</v>
      </c>
      <c r="BP969">
        <v>0</v>
      </c>
      <c r="BQ969" t="str">
        <f>"8:00 AM"</f>
        <v>8:00 AM</v>
      </c>
      <c r="BR969" t="str">
        <f>"5:00 PM"</f>
        <v>5:00 PM</v>
      </c>
      <c r="BS969" t="s">
        <v>131</v>
      </c>
      <c r="BT969">
        <v>0</v>
      </c>
      <c r="BU969">
        <v>3</v>
      </c>
      <c r="BV969" t="s">
        <v>114</v>
      </c>
      <c r="BX969" t="s">
        <v>4841</v>
      </c>
      <c r="BY969" t="s">
        <v>7100</v>
      </c>
      <c r="CA969" t="s">
        <v>7101</v>
      </c>
      <c r="CB969" t="s">
        <v>479</v>
      </c>
      <c r="CC969" s="8" t="str">
        <f>"97471"</f>
        <v>97471</v>
      </c>
      <c r="CD969" t="s">
        <v>971</v>
      </c>
      <c r="CE969" t="s">
        <v>7045</v>
      </c>
      <c r="CF969" s="12">
        <v>15.5</v>
      </c>
      <c r="CG969" s="12">
        <v>24.44</v>
      </c>
      <c r="CH969" s="12">
        <v>23.25</v>
      </c>
      <c r="CI969" s="12">
        <v>36.659999999999997</v>
      </c>
      <c r="CJ969" t="s">
        <v>135</v>
      </c>
      <c r="CK969" t="s">
        <v>861</v>
      </c>
      <c r="CL969" t="s">
        <v>7102</v>
      </c>
      <c r="CO969" t="s">
        <v>132</v>
      </c>
      <c r="CP969" t="s">
        <v>136</v>
      </c>
      <c r="CQ969" t="s">
        <v>136</v>
      </c>
      <c r="CR969" t="s">
        <v>136</v>
      </c>
      <c r="CS969" t="s">
        <v>114</v>
      </c>
      <c r="CT969" t="s">
        <v>136</v>
      </c>
      <c r="CU969" t="s">
        <v>136</v>
      </c>
      <c r="CV969" t="s">
        <v>1040</v>
      </c>
      <c r="CW969" s="10" t="str">
        <f>"+15037492288"</f>
        <v>+15037492288</v>
      </c>
      <c r="CX969" t="s">
        <v>7099</v>
      </c>
      <c r="CY969" t="s">
        <v>132</v>
      </c>
      <c r="CZ969" t="s">
        <v>137</v>
      </c>
      <c r="DA969" t="s">
        <v>114</v>
      </c>
      <c r="DB969" t="s">
        <v>136</v>
      </c>
      <c r="DC969" t="s">
        <v>136</v>
      </c>
      <c r="DD969" t="s">
        <v>114</v>
      </c>
    </row>
    <row r="970" spans="1:108" ht="15" customHeight="1" x14ac:dyDescent="0.25">
      <c r="A970" t="s">
        <v>12930</v>
      </c>
      <c r="B970" t="s">
        <v>152</v>
      </c>
      <c r="C970" s="1">
        <v>45202.484081134258</v>
      </c>
      <c r="D970" s="1">
        <v>45244</v>
      </c>
      <c r="E970" t="s">
        <v>132</v>
      </c>
      <c r="F970" t="s">
        <v>1247</v>
      </c>
      <c r="G970" t="str">
        <f>"45-4011.00"</f>
        <v>45-4011.00</v>
      </c>
      <c r="H970" t="s">
        <v>842</v>
      </c>
      <c r="I970">
        <v>32</v>
      </c>
      <c r="J970">
        <v>32</v>
      </c>
      <c r="K970" s="1">
        <v>45292</v>
      </c>
      <c r="L970" s="1">
        <v>45596</v>
      </c>
      <c r="M970" s="1">
        <v>45292</v>
      </c>
      <c r="N970" s="1">
        <v>45596</v>
      </c>
      <c r="O970" t="s">
        <v>238</v>
      </c>
      <c r="P970" t="s">
        <v>12931</v>
      </c>
      <c r="R970" t="s">
        <v>12932</v>
      </c>
      <c r="T970" t="s">
        <v>7098</v>
      </c>
      <c r="U970" t="s">
        <v>479</v>
      </c>
      <c r="V970" s="8" t="str">
        <f>"97325"</f>
        <v>97325</v>
      </c>
      <c r="W970" t="s">
        <v>118</v>
      </c>
      <c r="Y970" s="10">
        <v>15035803988</v>
      </c>
      <c r="AA970">
        <v>11531</v>
      </c>
      <c r="AB970" t="s">
        <v>1251</v>
      </c>
      <c r="AC970" t="s">
        <v>12933</v>
      </c>
      <c r="AE970" t="s">
        <v>629</v>
      </c>
      <c r="AF970" t="s">
        <v>12932</v>
      </c>
      <c r="AH970" t="s">
        <v>7098</v>
      </c>
      <c r="AI970" t="s">
        <v>479</v>
      </c>
      <c r="AJ970" s="8" t="str">
        <f>"97325"</f>
        <v>97325</v>
      </c>
      <c r="AK970" t="s">
        <v>118</v>
      </c>
      <c r="AM970" s="10">
        <v>15035803988</v>
      </c>
      <c r="AO970" t="s">
        <v>12934</v>
      </c>
      <c r="AP970" t="s">
        <v>248</v>
      </c>
      <c r="AQ970" t="s">
        <v>1237</v>
      </c>
      <c r="AR970" t="s">
        <v>763</v>
      </c>
      <c r="AT970" t="s">
        <v>1253</v>
      </c>
      <c r="AU970" t="s">
        <v>852</v>
      </c>
      <c r="AV970" t="s">
        <v>853</v>
      </c>
      <c r="AW970" t="s">
        <v>854</v>
      </c>
      <c r="AX970" s="8" t="str">
        <f>"83814"</f>
        <v>83814</v>
      </c>
      <c r="AY970" t="s">
        <v>118</v>
      </c>
      <c r="BA970" s="10">
        <v>12087772654</v>
      </c>
      <c r="BC970" t="s">
        <v>1254</v>
      </c>
      <c r="BD970" t="s">
        <v>856</v>
      </c>
      <c r="BG970" t="s">
        <v>479</v>
      </c>
      <c r="BH970" s="1">
        <v>45200.833333333336</v>
      </c>
      <c r="BI970">
        <v>40</v>
      </c>
      <c r="BJ970">
        <v>0</v>
      </c>
      <c r="BK970">
        <v>8</v>
      </c>
      <c r="BL970">
        <v>8</v>
      </c>
      <c r="BM970">
        <v>8</v>
      </c>
      <c r="BN970">
        <v>8</v>
      </c>
      <c r="BO970">
        <v>8</v>
      </c>
      <c r="BP970">
        <v>0</v>
      </c>
      <c r="BQ970" t="str">
        <f>"7:00 AM"</f>
        <v>7:00 AM</v>
      </c>
      <c r="BR970" t="str">
        <f>"3:00 PM"</f>
        <v>3:00 PM</v>
      </c>
      <c r="BS970" t="s">
        <v>131</v>
      </c>
      <c r="BT970">
        <v>0</v>
      </c>
      <c r="BU970">
        <v>3</v>
      </c>
      <c r="BV970" t="s">
        <v>114</v>
      </c>
      <c r="BX970" t="s">
        <v>12935</v>
      </c>
      <c r="BY970" t="s">
        <v>12936</v>
      </c>
      <c r="CA970" t="s">
        <v>7098</v>
      </c>
      <c r="CB970" t="s">
        <v>479</v>
      </c>
      <c r="CC970" s="8" t="str">
        <f>"97325"</f>
        <v>97325</v>
      </c>
      <c r="CD970" t="s">
        <v>1257</v>
      </c>
      <c r="CE970" t="s">
        <v>1258</v>
      </c>
      <c r="CF970" s="12">
        <v>15.5</v>
      </c>
      <c r="CG970" s="12">
        <v>24.16</v>
      </c>
      <c r="CH970" s="12">
        <v>23.25</v>
      </c>
      <c r="CI970" s="12">
        <v>36.24</v>
      </c>
      <c r="CJ970" t="s">
        <v>135</v>
      </c>
      <c r="CK970" t="s">
        <v>861</v>
      </c>
      <c r="CL970" t="s">
        <v>12937</v>
      </c>
      <c r="CO970" t="s">
        <v>132</v>
      </c>
      <c r="CP970" t="s">
        <v>136</v>
      </c>
      <c r="CQ970" t="s">
        <v>136</v>
      </c>
      <c r="CR970" t="s">
        <v>136</v>
      </c>
      <c r="CS970" t="s">
        <v>114</v>
      </c>
      <c r="CT970" t="s">
        <v>136</v>
      </c>
      <c r="CU970" t="s">
        <v>136</v>
      </c>
      <c r="CV970" t="s">
        <v>1040</v>
      </c>
      <c r="CW970" s="10" t="str">
        <f>"+15035803988"</f>
        <v>+15035803988</v>
      </c>
      <c r="CX970" t="s">
        <v>12934</v>
      </c>
      <c r="CY970" t="s">
        <v>132</v>
      </c>
      <c r="CZ970" t="s">
        <v>137</v>
      </c>
      <c r="DA970" t="s">
        <v>114</v>
      </c>
      <c r="DB970" t="s">
        <v>136</v>
      </c>
      <c r="DC970" t="s">
        <v>136</v>
      </c>
      <c r="DD970" t="s">
        <v>114</v>
      </c>
    </row>
    <row r="971" spans="1:108" ht="15" customHeight="1" x14ac:dyDescent="0.25">
      <c r="A971" t="s">
        <v>4566</v>
      </c>
      <c r="B971" t="s">
        <v>152</v>
      </c>
      <c r="C971" s="1">
        <v>45202.462422685188</v>
      </c>
      <c r="D971" s="1">
        <v>45244</v>
      </c>
      <c r="E971" t="s">
        <v>132</v>
      </c>
      <c r="F971" t="s">
        <v>1668</v>
      </c>
      <c r="G971" t="str">
        <f>"35-9021.00"</f>
        <v>35-9021.00</v>
      </c>
      <c r="H971" t="s">
        <v>501</v>
      </c>
      <c r="I971">
        <v>28</v>
      </c>
      <c r="J971">
        <v>28</v>
      </c>
      <c r="K971" s="1">
        <v>45292</v>
      </c>
      <c r="L971" s="1">
        <v>45596</v>
      </c>
      <c r="M971" s="1">
        <v>45292</v>
      </c>
      <c r="N971" s="1">
        <v>45596</v>
      </c>
      <c r="O971" t="s">
        <v>116</v>
      </c>
      <c r="P971" t="s">
        <v>4567</v>
      </c>
      <c r="Q971" t="s">
        <v>4568</v>
      </c>
      <c r="R971" t="s">
        <v>4569</v>
      </c>
      <c r="T971" t="s">
        <v>4570</v>
      </c>
      <c r="U971" t="s">
        <v>550</v>
      </c>
      <c r="V971" s="8" t="str">
        <f>"30303"</f>
        <v>30303</v>
      </c>
      <c r="W971" t="s">
        <v>118</v>
      </c>
      <c r="Y971" s="10">
        <v>14046590000</v>
      </c>
      <c r="AA971">
        <v>72111</v>
      </c>
      <c r="AB971" t="s">
        <v>3818</v>
      </c>
      <c r="AC971" t="s">
        <v>4571</v>
      </c>
      <c r="AE971" t="s">
        <v>4572</v>
      </c>
      <c r="AF971" t="s">
        <v>4569</v>
      </c>
      <c r="AH971" t="s">
        <v>4570</v>
      </c>
      <c r="AI971" t="s">
        <v>550</v>
      </c>
      <c r="AJ971" s="8" t="str">
        <f>"30303"</f>
        <v>30303</v>
      </c>
      <c r="AK971" t="s">
        <v>118</v>
      </c>
      <c r="AM971" s="10">
        <v>14046590000</v>
      </c>
      <c r="AO971" t="s">
        <v>4573</v>
      </c>
      <c r="AP971" t="s">
        <v>248</v>
      </c>
      <c r="AQ971" t="s">
        <v>960</v>
      </c>
      <c r="AR971" t="s">
        <v>961</v>
      </c>
      <c r="AS971" t="s">
        <v>962</v>
      </c>
      <c r="AT971" t="s">
        <v>963</v>
      </c>
      <c r="AU971" t="s">
        <v>296</v>
      </c>
      <c r="AV971" t="s">
        <v>964</v>
      </c>
      <c r="AW971" t="s">
        <v>127</v>
      </c>
      <c r="AX971" s="8" t="str">
        <f>"75033"</f>
        <v>75033</v>
      </c>
      <c r="AY971" t="s">
        <v>118</v>
      </c>
      <c r="BA971" s="10">
        <v>19727789690</v>
      </c>
      <c r="BC971" t="s">
        <v>1919</v>
      </c>
      <c r="BD971" t="s">
        <v>966</v>
      </c>
      <c r="BG971" t="s">
        <v>550</v>
      </c>
      <c r="BH971" s="1">
        <v>45201.833333333336</v>
      </c>
      <c r="BI971">
        <v>40</v>
      </c>
      <c r="BJ971">
        <v>8</v>
      </c>
      <c r="BK971">
        <v>0</v>
      </c>
      <c r="BL971">
        <v>0</v>
      </c>
      <c r="BM971">
        <v>8</v>
      </c>
      <c r="BN971">
        <v>8</v>
      </c>
      <c r="BO971">
        <v>8</v>
      </c>
      <c r="BP971">
        <v>8</v>
      </c>
      <c r="BQ971" t="str">
        <f>"7:00 AM"</f>
        <v>7:00 AM</v>
      </c>
      <c r="BR971" t="str">
        <f>"4:00 PM"</f>
        <v>4:00 PM</v>
      </c>
      <c r="BS971" t="s">
        <v>131</v>
      </c>
      <c r="BT971">
        <v>0</v>
      </c>
      <c r="BU971">
        <v>0</v>
      </c>
      <c r="BV971" t="s">
        <v>114</v>
      </c>
      <c r="BX971" s="2" t="s">
        <v>4574</v>
      </c>
      <c r="BY971" t="s">
        <v>4569</v>
      </c>
      <c r="CA971" t="s">
        <v>4570</v>
      </c>
      <c r="CB971" t="s">
        <v>550</v>
      </c>
      <c r="CC971" s="8" t="str">
        <f>"30303"</f>
        <v>30303</v>
      </c>
      <c r="CD971" t="s">
        <v>3096</v>
      </c>
      <c r="CE971" t="s">
        <v>552</v>
      </c>
      <c r="CF971" s="12">
        <v>15</v>
      </c>
      <c r="CH971" s="12">
        <v>22.5</v>
      </c>
      <c r="CJ971" t="s">
        <v>135</v>
      </c>
      <c r="CK971" t="s">
        <v>4575</v>
      </c>
      <c r="CL971" t="s">
        <v>4576</v>
      </c>
      <c r="CO971" t="s">
        <v>132</v>
      </c>
      <c r="CP971" t="s">
        <v>114</v>
      </c>
      <c r="CQ971" t="s">
        <v>114</v>
      </c>
      <c r="CR971" t="s">
        <v>136</v>
      </c>
      <c r="CS971" t="s">
        <v>136</v>
      </c>
      <c r="CT971" t="s">
        <v>136</v>
      </c>
      <c r="CU971" t="s">
        <v>136</v>
      </c>
      <c r="CV971" t="s">
        <v>4577</v>
      </c>
      <c r="CW971" s="10" t="str">
        <f>"+14046590000"</f>
        <v>+14046590000</v>
      </c>
      <c r="CX971" t="s">
        <v>132</v>
      </c>
      <c r="CY971" t="s">
        <v>4578</v>
      </c>
      <c r="CZ971" t="s">
        <v>137</v>
      </c>
      <c r="DA971" t="s">
        <v>114</v>
      </c>
      <c r="DB971" t="s">
        <v>114</v>
      </c>
      <c r="DC971" t="s">
        <v>136</v>
      </c>
      <c r="DD971" t="s">
        <v>114</v>
      </c>
    </row>
    <row r="972" spans="1:108" ht="15" customHeight="1" x14ac:dyDescent="0.25">
      <c r="A972" t="s">
        <v>11525</v>
      </c>
      <c r="B972" t="s">
        <v>152</v>
      </c>
      <c r="C972" s="1">
        <v>45202.460423263889</v>
      </c>
      <c r="D972" s="1">
        <v>45244</v>
      </c>
      <c r="E972" t="s">
        <v>132</v>
      </c>
      <c r="F972" t="s">
        <v>5842</v>
      </c>
      <c r="G972" t="str">
        <f>"35-3031.00"</f>
        <v>35-3031.00</v>
      </c>
      <c r="H972" t="s">
        <v>347</v>
      </c>
      <c r="I972">
        <v>15</v>
      </c>
      <c r="J972">
        <v>15</v>
      </c>
      <c r="K972" s="1">
        <v>45292</v>
      </c>
      <c r="L972" s="1">
        <v>45596</v>
      </c>
      <c r="M972" s="1">
        <v>45292</v>
      </c>
      <c r="N972" s="1">
        <v>45596</v>
      </c>
      <c r="O972" t="s">
        <v>116</v>
      </c>
      <c r="P972" t="s">
        <v>4567</v>
      </c>
      <c r="Q972" t="s">
        <v>4568</v>
      </c>
      <c r="R972" t="s">
        <v>4569</v>
      </c>
      <c r="T972" t="s">
        <v>4570</v>
      </c>
      <c r="U972" t="s">
        <v>550</v>
      </c>
      <c r="V972" s="8" t="str">
        <f>"30303"</f>
        <v>30303</v>
      </c>
      <c r="W972" t="s">
        <v>118</v>
      </c>
      <c r="Y972" s="10">
        <v>14046590000</v>
      </c>
      <c r="AA972">
        <v>72111</v>
      </c>
      <c r="AB972" t="s">
        <v>3818</v>
      </c>
      <c r="AC972" t="s">
        <v>4571</v>
      </c>
      <c r="AE972" t="s">
        <v>4572</v>
      </c>
      <c r="AF972" t="s">
        <v>4569</v>
      </c>
      <c r="AH972" t="s">
        <v>4570</v>
      </c>
      <c r="AI972" t="s">
        <v>550</v>
      </c>
      <c r="AJ972" s="8" t="str">
        <f>"30303"</f>
        <v>30303</v>
      </c>
      <c r="AK972" t="s">
        <v>118</v>
      </c>
      <c r="AM972" s="10">
        <v>14046590000</v>
      </c>
      <c r="AO972" t="s">
        <v>4573</v>
      </c>
      <c r="AP972" t="s">
        <v>248</v>
      </c>
      <c r="AQ972" t="s">
        <v>960</v>
      </c>
      <c r="AR972" t="s">
        <v>961</v>
      </c>
      <c r="AS972" t="s">
        <v>962</v>
      </c>
      <c r="AT972" t="s">
        <v>963</v>
      </c>
      <c r="AU972" t="s">
        <v>296</v>
      </c>
      <c r="AV972" t="s">
        <v>964</v>
      </c>
      <c r="AW972" t="s">
        <v>127</v>
      </c>
      <c r="AX972" s="8" t="str">
        <f>"75033"</f>
        <v>75033</v>
      </c>
      <c r="AY972" t="s">
        <v>118</v>
      </c>
      <c r="BA972" s="10">
        <v>19727789690</v>
      </c>
      <c r="BC972" t="s">
        <v>1919</v>
      </c>
      <c r="BD972" t="s">
        <v>966</v>
      </c>
      <c r="BG972" t="s">
        <v>550</v>
      </c>
      <c r="BH972" s="1">
        <v>45201.833333333336</v>
      </c>
      <c r="BI972">
        <v>40</v>
      </c>
      <c r="BJ972">
        <v>8</v>
      </c>
      <c r="BK972">
        <v>0</v>
      </c>
      <c r="BL972">
        <v>0</v>
      </c>
      <c r="BM972">
        <v>8</v>
      </c>
      <c r="BN972">
        <v>8</v>
      </c>
      <c r="BO972">
        <v>8</v>
      </c>
      <c r="BP972">
        <v>8</v>
      </c>
      <c r="BQ972" t="str">
        <f>"6:00 AM"</f>
        <v>6:00 AM</v>
      </c>
      <c r="BR972" t="str">
        <f>"2:30 PM"</f>
        <v>2:30 PM</v>
      </c>
      <c r="BS972" t="s">
        <v>131</v>
      </c>
      <c r="BT972">
        <v>0</v>
      </c>
      <c r="BU972">
        <v>0</v>
      </c>
      <c r="BV972" t="s">
        <v>114</v>
      </c>
      <c r="BX972" s="2" t="s">
        <v>11526</v>
      </c>
      <c r="BY972" t="s">
        <v>4569</v>
      </c>
      <c r="CA972" t="s">
        <v>4570</v>
      </c>
      <c r="CB972" t="s">
        <v>550</v>
      </c>
      <c r="CC972" s="8" t="str">
        <f>"30303"</f>
        <v>30303</v>
      </c>
      <c r="CD972" t="s">
        <v>3096</v>
      </c>
      <c r="CE972" t="s">
        <v>552</v>
      </c>
      <c r="CF972" s="12">
        <v>14.52</v>
      </c>
      <c r="CH972" s="12">
        <v>21.78</v>
      </c>
      <c r="CJ972" t="s">
        <v>135</v>
      </c>
      <c r="CK972" t="s">
        <v>11527</v>
      </c>
      <c r="CL972" t="s">
        <v>11528</v>
      </c>
      <c r="CO972" t="s">
        <v>132</v>
      </c>
      <c r="CP972" t="s">
        <v>114</v>
      </c>
      <c r="CQ972" t="s">
        <v>114</v>
      </c>
      <c r="CR972" t="s">
        <v>136</v>
      </c>
      <c r="CS972" t="s">
        <v>136</v>
      </c>
      <c r="CT972" t="s">
        <v>136</v>
      </c>
      <c r="CU972" t="s">
        <v>136</v>
      </c>
      <c r="CV972" t="s">
        <v>11529</v>
      </c>
      <c r="CW972" s="10" t="str">
        <f>"+14046590000"</f>
        <v>+14046590000</v>
      </c>
      <c r="CX972" t="s">
        <v>132</v>
      </c>
      <c r="CY972" t="s">
        <v>4578</v>
      </c>
      <c r="CZ972" t="s">
        <v>137</v>
      </c>
      <c r="DA972" t="s">
        <v>114</v>
      </c>
      <c r="DB972" t="s">
        <v>114</v>
      </c>
      <c r="DC972" t="s">
        <v>136</v>
      </c>
      <c r="DD972" t="s">
        <v>114</v>
      </c>
    </row>
    <row r="973" spans="1:108" ht="15" customHeight="1" x14ac:dyDescent="0.25">
      <c r="A973" t="s">
        <v>9190</v>
      </c>
      <c r="B973" t="s">
        <v>152</v>
      </c>
      <c r="C973" s="1">
        <v>45202.457645023147</v>
      </c>
      <c r="D973" s="1">
        <v>45244</v>
      </c>
      <c r="E973" t="s">
        <v>132</v>
      </c>
      <c r="F973" t="s">
        <v>1689</v>
      </c>
      <c r="G973" t="str">
        <f>"37-2012.00"</f>
        <v>37-2012.00</v>
      </c>
      <c r="H973" t="s">
        <v>205</v>
      </c>
      <c r="I973">
        <v>49</v>
      </c>
      <c r="J973">
        <v>49</v>
      </c>
      <c r="K973" s="1">
        <v>45292</v>
      </c>
      <c r="L973" s="1">
        <v>45596</v>
      </c>
      <c r="M973" s="1">
        <v>45292</v>
      </c>
      <c r="N973" s="1">
        <v>45596</v>
      </c>
      <c r="O973" t="s">
        <v>116</v>
      </c>
      <c r="P973" t="s">
        <v>4567</v>
      </c>
      <c r="Q973" t="s">
        <v>4568</v>
      </c>
      <c r="R973" t="s">
        <v>4569</v>
      </c>
      <c r="T973" t="s">
        <v>4570</v>
      </c>
      <c r="U973" t="s">
        <v>550</v>
      </c>
      <c r="V973" s="8" t="str">
        <f>"30303"</f>
        <v>30303</v>
      </c>
      <c r="W973" t="s">
        <v>118</v>
      </c>
      <c r="Y973" s="10">
        <v>14046590000</v>
      </c>
      <c r="AA973">
        <v>72111</v>
      </c>
      <c r="AB973" t="s">
        <v>3818</v>
      </c>
      <c r="AC973" t="s">
        <v>4571</v>
      </c>
      <c r="AE973" t="s">
        <v>4572</v>
      </c>
      <c r="AF973" t="s">
        <v>4569</v>
      </c>
      <c r="AH973" t="s">
        <v>4570</v>
      </c>
      <c r="AI973" t="s">
        <v>550</v>
      </c>
      <c r="AJ973" s="8" t="str">
        <f>"30303"</f>
        <v>30303</v>
      </c>
      <c r="AK973" t="s">
        <v>118</v>
      </c>
      <c r="AM973" s="10">
        <v>14046590000</v>
      </c>
      <c r="AO973" t="s">
        <v>4573</v>
      </c>
      <c r="AP973" t="s">
        <v>248</v>
      </c>
      <c r="AQ973" t="s">
        <v>960</v>
      </c>
      <c r="AR973" t="s">
        <v>961</v>
      </c>
      <c r="AS973" t="s">
        <v>962</v>
      </c>
      <c r="AT973" t="s">
        <v>963</v>
      </c>
      <c r="AU973" t="s">
        <v>296</v>
      </c>
      <c r="AV973" t="s">
        <v>964</v>
      </c>
      <c r="AW973" t="s">
        <v>127</v>
      </c>
      <c r="AX973" s="8" t="str">
        <f>"75033"</f>
        <v>75033</v>
      </c>
      <c r="AY973" t="s">
        <v>118</v>
      </c>
      <c r="BA973" s="10">
        <v>19727789690</v>
      </c>
      <c r="BC973" t="s">
        <v>1919</v>
      </c>
      <c r="BD973" t="s">
        <v>966</v>
      </c>
      <c r="BG973" t="s">
        <v>550</v>
      </c>
      <c r="BH973" s="1">
        <v>45201.833333333336</v>
      </c>
      <c r="BI973">
        <v>40</v>
      </c>
      <c r="BJ973">
        <v>8</v>
      </c>
      <c r="BK973">
        <v>0</v>
      </c>
      <c r="BL973">
        <v>0</v>
      </c>
      <c r="BM973">
        <v>8</v>
      </c>
      <c r="BN973">
        <v>8</v>
      </c>
      <c r="BO973">
        <v>8</v>
      </c>
      <c r="BP973">
        <v>8</v>
      </c>
      <c r="BQ973" t="str">
        <f>"8:00 AM"</f>
        <v>8:00 AM</v>
      </c>
      <c r="BR973" t="str">
        <f>"5:00 PM"</f>
        <v>5:00 PM</v>
      </c>
      <c r="BS973" t="s">
        <v>131</v>
      </c>
      <c r="BT973">
        <v>0</v>
      </c>
      <c r="BU973">
        <v>0</v>
      </c>
      <c r="BV973" t="s">
        <v>114</v>
      </c>
      <c r="BX973" s="2" t="s">
        <v>9191</v>
      </c>
      <c r="BY973" t="s">
        <v>4569</v>
      </c>
      <c r="CA973" t="s">
        <v>4570</v>
      </c>
      <c r="CB973" t="s">
        <v>550</v>
      </c>
      <c r="CC973" s="8" t="str">
        <f>"30303"</f>
        <v>30303</v>
      </c>
      <c r="CD973" t="s">
        <v>3096</v>
      </c>
      <c r="CE973" t="s">
        <v>552</v>
      </c>
      <c r="CF973" s="12">
        <v>15</v>
      </c>
      <c r="CH973" s="12">
        <v>22.5</v>
      </c>
      <c r="CJ973" t="s">
        <v>135</v>
      </c>
      <c r="CK973" t="s">
        <v>4575</v>
      </c>
      <c r="CL973" t="s">
        <v>9192</v>
      </c>
      <c r="CO973" t="s">
        <v>132</v>
      </c>
      <c r="CP973" t="s">
        <v>114</v>
      </c>
      <c r="CQ973" t="s">
        <v>114</v>
      </c>
      <c r="CR973" t="s">
        <v>136</v>
      </c>
      <c r="CS973" t="s">
        <v>136</v>
      </c>
      <c r="CT973" t="s">
        <v>136</v>
      </c>
      <c r="CU973" t="s">
        <v>136</v>
      </c>
      <c r="CV973" t="s">
        <v>9193</v>
      </c>
      <c r="CW973" s="10" t="str">
        <f>"+14046590000"</f>
        <v>+14046590000</v>
      </c>
      <c r="CX973" t="s">
        <v>132</v>
      </c>
      <c r="CY973" t="s">
        <v>4578</v>
      </c>
      <c r="CZ973" t="s">
        <v>137</v>
      </c>
      <c r="DA973" t="s">
        <v>114</v>
      </c>
      <c r="DB973" t="s">
        <v>114</v>
      </c>
      <c r="DC973" t="s">
        <v>136</v>
      </c>
      <c r="DD973" t="s">
        <v>114</v>
      </c>
    </row>
    <row r="974" spans="1:108" ht="15" customHeight="1" x14ac:dyDescent="0.25">
      <c r="A974" t="s">
        <v>18595</v>
      </c>
      <c r="B974" t="s">
        <v>152</v>
      </c>
      <c r="C974" s="1">
        <v>45202.42642152778</v>
      </c>
      <c r="D974" s="1">
        <v>45244</v>
      </c>
      <c r="E974" t="s">
        <v>132</v>
      </c>
      <c r="F974" t="s">
        <v>9592</v>
      </c>
      <c r="G974" t="str">
        <f>"35-3023.00"</f>
        <v>35-3023.00</v>
      </c>
      <c r="H974" t="s">
        <v>1365</v>
      </c>
      <c r="I974">
        <v>15</v>
      </c>
      <c r="J974">
        <v>15</v>
      </c>
      <c r="K974" s="1">
        <v>45292</v>
      </c>
      <c r="L974" s="1">
        <v>45597</v>
      </c>
      <c r="M974" s="1">
        <v>45292</v>
      </c>
      <c r="N974" s="1">
        <v>45597</v>
      </c>
      <c r="O974" t="s">
        <v>238</v>
      </c>
      <c r="P974" t="s">
        <v>18596</v>
      </c>
      <c r="R974" t="s">
        <v>18597</v>
      </c>
      <c r="T974" t="s">
        <v>168</v>
      </c>
      <c r="U974" t="s">
        <v>169</v>
      </c>
      <c r="V974" s="8" t="str">
        <f>"55432"</f>
        <v>55432</v>
      </c>
      <c r="W974" t="s">
        <v>118</v>
      </c>
      <c r="Y974" s="10">
        <v>15072080660</v>
      </c>
      <c r="Z974">
        <v>0</v>
      </c>
      <c r="AA974">
        <v>71399</v>
      </c>
      <c r="AB974" t="s">
        <v>18598</v>
      </c>
      <c r="AC974" t="s">
        <v>2094</v>
      </c>
      <c r="AE974" t="s">
        <v>629</v>
      </c>
      <c r="AF974" t="s">
        <v>18597</v>
      </c>
      <c r="AH974" t="s">
        <v>168</v>
      </c>
      <c r="AI974" t="s">
        <v>169</v>
      </c>
      <c r="AJ974" s="8" t="str">
        <f>"55432"</f>
        <v>55432</v>
      </c>
      <c r="AK974" t="s">
        <v>118</v>
      </c>
      <c r="AM974" s="10">
        <v>15072080660</v>
      </c>
      <c r="AN974">
        <v>0</v>
      </c>
      <c r="AO974" t="s">
        <v>18599</v>
      </c>
      <c r="AP974" t="s">
        <v>121</v>
      </c>
      <c r="AQ974" t="s">
        <v>1718</v>
      </c>
      <c r="AR974" t="s">
        <v>708</v>
      </c>
      <c r="AS974" t="s">
        <v>1719</v>
      </c>
      <c r="AT974" t="s">
        <v>1720</v>
      </c>
      <c r="AU974" t="s">
        <v>799</v>
      </c>
      <c r="AV974" t="s">
        <v>1721</v>
      </c>
      <c r="AW974" t="s">
        <v>1722</v>
      </c>
      <c r="AX974" s="8" t="str">
        <f>"21401"</f>
        <v>21401</v>
      </c>
      <c r="AY974" t="s">
        <v>118</v>
      </c>
      <c r="BA974" s="10">
        <v>14105739955</v>
      </c>
      <c r="BB974">
        <v>0</v>
      </c>
      <c r="BC974" t="s">
        <v>1723</v>
      </c>
      <c r="BD974" t="s">
        <v>1724</v>
      </c>
      <c r="BE974" t="s">
        <v>1722</v>
      </c>
      <c r="BF974" t="s">
        <v>1725</v>
      </c>
      <c r="BG974" t="s">
        <v>169</v>
      </c>
      <c r="BH974" s="1">
        <v>45196.833333333336</v>
      </c>
      <c r="BI974">
        <v>35</v>
      </c>
      <c r="BJ974">
        <v>7</v>
      </c>
      <c r="BK974">
        <v>0</v>
      </c>
      <c r="BL974">
        <v>0</v>
      </c>
      <c r="BM974">
        <v>7</v>
      </c>
      <c r="BN974">
        <v>7</v>
      </c>
      <c r="BO974">
        <v>7</v>
      </c>
      <c r="BP974">
        <v>7</v>
      </c>
      <c r="BQ974" t="str">
        <f>"3:00 PM"</f>
        <v>3:00 PM</v>
      </c>
      <c r="BR974" t="str">
        <f>"11:00 PM"</f>
        <v>11:00 PM</v>
      </c>
      <c r="BS974" t="s">
        <v>131</v>
      </c>
      <c r="BT974">
        <v>0</v>
      </c>
      <c r="BU974">
        <v>0</v>
      </c>
      <c r="BV974" t="s">
        <v>114</v>
      </c>
      <c r="BX974" s="2" t="s">
        <v>18600</v>
      </c>
      <c r="BY974" t="s">
        <v>18601</v>
      </c>
      <c r="CA974" t="s">
        <v>603</v>
      </c>
      <c r="CB974" t="s">
        <v>169</v>
      </c>
      <c r="CC974" s="8" t="str">
        <f>"55912"</f>
        <v>55912</v>
      </c>
      <c r="CD974" t="s">
        <v>18602</v>
      </c>
      <c r="CE974" t="s">
        <v>18008</v>
      </c>
      <c r="CF974" s="12">
        <v>11.74</v>
      </c>
      <c r="CG974" s="12">
        <v>14.79</v>
      </c>
      <c r="CH974" s="12">
        <v>17.61</v>
      </c>
      <c r="CI974" s="12">
        <v>22.19</v>
      </c>
      <c r="CJ974" t="s">
        <v>135</v>
      </c>
      <c r="CK974" t="s">
        <v>16350</v>
      </c>
      <c r="CL974" t="s">
        <v>18603</v>
      </c>
      <c r="CO974" t="s">
        <v>132</v>
      </c>
      <c r="CP974" t="s">
        <v>136</v>
      </c>
      <c r="CQ974" t="s">
        <v>114</v>
      </c>
      <c r="CR974" t="s">
        <v>136</v>
      </c>
      <c r="CS974" t="s">
        <v>136</v>
      </c>
      <c r="CT974" t="s">
        <v>136</v>
      </c>
      <c r="CU974" t="s">
        <v>136</v>
      </c>
      <c r="CV974" t="s">
        <v>18604</v>
      </c>
      <c r="CW974" s="10" t="str">
        <f>"+15072080660"</f>
        <v>+15072080660</v>
      </c>
      <c r="CX974" t="s">
        <v>18599</v>
      </c>
      <c r="CY974" t="s">
        <v>132</v>
      </c>
      <c r="CZ974" t="s">
        <v>137</v>
      </c>
      <c r="DA974" t="s">
        <v>114</v>
      </c>
      <c r="DB974" t="s">
        <v>136</v>
      </c>
      <c r="DC974" t="s">
        <v>136</v>
      </c>
      <c r="DD974" t="s">
        <v>114</v>
      </c>
    </row>
    <row r="975" spans="1:108" ht="15" customHeight="1" x14ac:dyDescent="0.25">
      <c r="A975" t="s">
        <v>17311</v>
      </c>
      <c r="B975" t="s">
        <v>152</v>
      </c>
      <c r="C975" s="1">
        <v>45202.415397106481</v>
      </c>
      <c r="D975" s="1">
        <v>45244</v>
      </c>
      <c r="E975" t="s">
        <v>132</v>
      </c>
      <c r="F975" t="s">
        <v>8905</v>
      </c>
      <c r="G975" t="str">
        <f>"49-9071.00"</f>
        <v>49-9071.00</v>
      </c>
      <c r="H975" t="s">
        <v>5714</v>
      </c>
      <c r="I975">
        <v>3</v>
      </c>
      <c r="J975">
        <v>3</v>
      </c>
      <c r="K975" s="1">
        <v>45292</v>
      </c>
      <c r="L975" s="1">
        <v>45596</v>
      </c>
      <c r="M975" s="1">
        <v>45292</v>
      </c>
      <c r="N975" s="1">
        <v>45596</v>
      </c>
      <c r="O975" t="s">
        <v>116</v>
      </c>
      <c r="P975" t="s">
        <v>4567</v>
      </c>
      <c r="Q975" t="s">
        <v>4568</v>
      </c>
      <c r="R975" t="s">
        <v>4569</v>
      </c>
      <c r="T975" t="s">
        <v>4570</v>
      </c>
      <c r="U975" t="s">
        <v>550</v>
      </c>
      <c r="V975" s="8" t="str">
        <f>"30303"</f>
        <v>30303</v>
      </c>
      <c r="W975" t="s">
        <v>118</v>
      </c>
      <c r="Y975" s="10">
        <v>14046590000</v>
      </c>
      <c r="AA975">
        <v>72111</v>
      </c>
      <c r="AB975" t="s">
        <v>3818</v>
      </c>
      <c r="AC975" t="s">
        <v>4571</v>
      </c>
      <c r="AE975" t="s">
        <v>4572</v>
      </c>
      <c r="AF975" t="s">
        <v>4569</v>
      </c>
      <c r="AH975" t="s">
        <v>4570</v>
      </c>
      <c r="AI975" t="s">
        <v>550</v>
      </c>
      <c r="AJ975" s="8" t="str">
        <f>"30303"</f>
        <v>30303</v>
      </c>
      <c r="AK975" t="s">
        <v>118</v>
      </c>
      <c r="AM975" s="10">
        <v>14046590000</v>
      </c>
      <c r="AO975" t="s">
        <v>4573</v>
      </c>
      <c r="AP975" t="s">
        <v>248</v>
      </c>
      <c r="AQ975" t="s">
        <v>960</v>
      </c>
      <c r="AR975" t="s">
        <v>961</v>
      </c>
      <c r="AS975" t="s">
        <v>962</v>
      </c>
      <c r="AT975" t="s">
        <v>963</v>
      </c>
      <c r="AU975" t="s">
        <v>296</v>
      </c>
      <c r="AV975" t="s">
        <v>964</v>
      </c>
      <c r="AW975" t="s">
        <v>127</v>
      </c>
      <c r="AX975" s="8" t="str">
        <f>"75033"</f>
        <v>75033</v>
      </c>
      <c r="AY975" t="s">
        <v>118</v>
      </c>
      <c r="BA975" s="10">
        <v>19727789690</v>
      </c>
      <c r="BC975" t="s">
        <v>1919</v>
      </c>
      <c r="BD975" t="s">
        <v>966</v>
      </c>
      <c r="BG975" t="s">
        <v>550</v>
      </c>
      <c r="BH975" s="1">
        <v>45201.833333333336</v>
      </c>
      <c r="BI975">
        <v>40</v>
      </c>
      <c r="BJ975">
        <v>8</v>
      </c>
      <c r="BK975">
        <v>0</v>
      </c>
      <c r="BL975">
        <v>0</v>
      </c>
      <c r="BM975">
        <v>8</v>
      </c>
      <c r="BN975">
        <v>8</v>
      </c>
      <c r="BO975">
        <v>8</v>
      </c>
      <c r="BP975">
        <v>8</v>
      </c>
      <c r="BQ975" t="str">
        <f>"7:00 AM"</f>
        <v>7:00 AM</v>
      </c>
      <c r="BR975" t="str">
        <f>"4:00 PM"</f>
        <v>4:00 PM</v>
      </c>
      <c r="BS975" t="s">
        <v>131</v>
      </c>
      <c r="BT975">
        <v>0</v>
      </c>
      <c r="BU975">
        <v>0</v>
      </c>
      <c r="BV975" t="s">
        <v>114</v>
      </c>
      <c r="BX975" s="2" t="s">
        <v>17312</v>
      </c>
      <c r="BY975" t="s">
        <v>4569</v>
      </c>
      <c r="CA975" t="s">
        <v>4570</v>
      </c>
      <c r="CB975" t="s">
        <v>550</v>
      </c>
      <c r="CC975" s="8" t="str">
        <f>"30303"</f>
        <v>30303</v>
      </c>
      <c r="CD975" t="s">
        <v>3096</v>
      </c>
      <c r="CE975" t="s">
        <v>552</v>
      </c>
      <c r="CF975" s="12">
        <v>21.53</v>
      </c>
      <c r="CH975" s="12">
        <v>32.299999999999997</v>
      </c>
      <c r="CJ975" t="s">
        <v>135</v>
      </c>
      <c r="CK975" t="s">
        <v>4575</v>
      </c>
      <c r="CL975" t="s">
        <v>17313</v>
      </c>
      <c r="CO975" t="s">
        <v>132</v>
      </c>
      <c r="CP975" t="s">
        <v>114</v>
      </c>
      <c r="CQ975" t="s">
        <v>114</v>
      </c>
      <c r="CR975" t="s">
        <v>136</v>
      </c>
      <c r="CS975" t="s">
        <v>136</v>
      </c>
      <c r="CT975" t="s">
        <v>136</v>
      </c>
      <c r="CU975" t="s">
        <v>136</v>
      </c>
      <c r="CV975" t="s">
        <v>17314</v>
      </c>
      <c r="CW975" s="10" t="str">
        <f>"+14046590000"</f>
        <v>+14046590000</v>
      </c>
      <c r="CX975" t="s">
        <v>132</v>
      </c>
      <c r="CY975" t="s">
        <v>7497</v>
      </c>
      <c r="CZ975" t="s">
        <v>137</v>
      </c>
      <c r="DA975" t="s">
        <v>114</v>
      </c>
      <c r="DB975" t="s">
        <v>114</v>
      </c>
      <c r="DC975" t="s">
        <v>136</v>
      </c>
      <c r="DD975" t="s">
        <v>114</v>
      </c>
    </row>
    <row r="976" spans="1:108" ht="15" customHeight="1" x14ac:dyDescent="0.25">
      <c r="A976" t="s">
        <v>14623</v>
      </c>
      <c r="B976" t="s">
        <v>152</v>
      </c>
      <c r="C976" s="1">
        <v>45202.409361574071</v>
      </c>
      <c r="D976" s="1">
        <v>45244</v>
      </c>
      <c r="E976" t="s">
        <v>132</v>
      </c>
      <c r="F976" t="s">
        <v>14624</v>
      </c>
      <c r="G976" t="str">
        <f>"35-3023.01"</f>
        <v>35-3023.01</v>
      </c>
      <c r="H976" t="s">
        <v>5262</v>
      </c>
      <c r="I976">
        <v>10</v>
      </c>
      <c r="J976">
        <v>10</v>
      </c>
      <c r="K976" s="1">
        <v>45292</v>
      </c>
      <c r="L976" s="1">
        <v>45596</v>
      </c>
      <c r="M976" s="1">
        <v>45292</v>
      </c>
      <c r="N976" s="1">
        <v>45596</v>
      </c>
      <c r="O976" t="s">
        <v>116</v>
      </c>
      <c r="P976" t="s">
        <v>4567</v>
      </c>
      <c r="Q976" t="s">
        <v>4568</v>
      </c>
      <c r="R976" t="s">
        <v>4569</v>
      </c>
      <c r="T976" t="s">
        <v>4570</v>
      </c>
      <c r="U976" t="s">
        <v>550</v>
      </c>
      <c r="V976" s="8" t="str">
        <f>"30303"</f>
        <v>30303</v>
      </c>
      <c r="W976" t="s">
        <v>118</v>
      </c>
      <c r="Y976" s="10">
        <v>14046590000</v>
      </c>
      <c r="AA976">
        <v>72111</v>
      </c>
      <c r="AB976" t="s">
        <v>3818</v>
      </c>
      <c r="AC976" t="s">
        <v>4571</v>
      </c>
      <c r="AE976" t="s">
        <v>4572</v>
      </c>
      <c r="AF976" t="s">
        <v>4569</v>
      </c>
      <c r="AH976" t="s">
        <v>4570</v>
      </c>
      <c r="AI976" t="s">
        <v>550</v>
      </c>
      <c r="AJ976" s="8" t="str">
        <f>"30303"</f>
        <v>30303</v>
      </c>
      <c r="AK976" t="s">
        <v>118</v>
      </c>
      <c r="AM976" s="10">
        <v>14046590000</v>
      </c>
      <c r="AO976" t="s">
        <v>4573</v>
      </c>
      <c r="AP976" t="s">
        <v>248</v>
      </c>
      <c r="AQ976" t="s">
        <v>960</v>
      </c>
      <c r="AR976" t="s">
        <v>961</v>
      </c>
      <c r="AS976" t="s">
        <v>962</v>
      </c>
      <c r="AT976" t="s">
        <v>963</v>
      </c>
      <c r="AU976" t="s">
        <v>296</v>
      </c>
      <c r="AV976" t="s">
        <v>964</v>
      </c>
      <c r="AW976" t="s">
        <v>127</v>
      </c>
      <c r="AX976" s="8" t="str">
        <f>"75033"</f>
        <v>75033</v>
      </c>
      <c r="AY976" t="s">
        <v>118</v>
      </c>
      <c r="BA976" s="10">
        <v>19727789690</v>
      </c>
      <c r="BC976" t="s">
        <v>1919</v>
      </c>
      <c r="BD976" t="s">
        <v>966</v>
      </c>
      <c r="BG976" t="s">
        <v>550</v>
      </c>
      <c r="BH976" s="1">
        <v>45201.833333333336</v>
      </c>
      <c r="BI976">
        <v>40</v>
      </c>
      <c r="BJ976">
        <v>8</v>
      </c>
      <c r="BK976">
        <v>0</v>
      </c>
      <c r="BL976">
        <v>0</v>
      </c>
      <c r="BM976">
        <v>8</v>
      </c>
      <c r="BN976">
        <v>8</v>
      </c>
      <c r="BO976">
        <v>8</v>
      </c>
      <c r="BP976">
        <v>8</v>
      </c>
      <c r="BQ976" t="str">
        <f>"2:00 PM"</f>
        <v>2:00 PM</v>
      </c>
      <c r="BR976" t="str">
        <f>"10:30 PM"</f>
        <v>10:30 PM</v>
      </c>
      <c r="BS976" t="s">
        <v>131</v>
      </c>
      <c r="BT976">
        <v>0</v>
      </c>
      <c r="BU976">
        <v>0</v>
      </c>
      <c r="BV976" t="s">
        <v>114</v>
      </c>
      <c r="BX976" s="2" t="s">
        <v>4574</v>
      </c>
      <c r="BY976" t="s">
        <v>4569</v>
      </c>
      <c r="CA976" t="s">
        <v>4570</v>
      </c>
      <c r="CB976" t="s">
        <v>550</v>
      </c>
      <c r="CC976" s="8" t="str">
        <f>"30303"</f>
        <v>30303</v>
      </c>
      <c r="CD976" t="s">
        <v>3096</v>
      </c>
      <c r="CE976" t="s">
        <v>552</v>
      </c>
      <c r="CF976" s="12">
        <v>15</v>
      </c>
      <c r="CH976" s="12">
        <v>22.5</v>
      </c>
      <c r="CJ976" t="s">
        <v>135</v>
      </c>
      <c r="CK976" t="s">
        <v>4575</v>
      </c>
      <c r="CL976" t="s">
        <v>14625</v>
      </c>
      <c r="CO976" t="s">
        <v>132</v>
      </c>
      <c r="CP976" t="s">
        <v>114</v>
      </c>
      <c r="CQ976" t="s">
        <v>114</v>
      </c>
      <c r="CR976" t="s">
        <v>136</v>
      </c>
      <c r="CS976" t="s">
        <v>136</v>
      </c>
      <c r="CT976" t="s">
        <v>136</v>
      </c>
      <c r="CU976" t="s">
        <v>136</v>
      </c>
      <c r="CV976" t="s">
        <v>14626</v>
      </c>
      <c r="CW976" s="10" t="str">
        <f>"+14046590000"</f>
        <v>+14046590000</v>
      </c>
      <c r="CX976" t="s">
        <v>132</v>
      </c>
      <c r="CY976" t="s">
        <v>4578</v>
      </c>
      <c r="CZ976" t="s">
        <v>137</v>
      </c>
      <c r="DA976" t="s">
        <v>114</v>
      </c>
      <c r="DB976" t="s">
        <v>114</v>
      </c>
      <c r="DC976" t="s">
        <v>136</v>
      </c>
      <c r="DD976" t="s">
        <v>114</v>
      </c>
    </row>
    <row r="977" spans="1:108" ht="15" customHeight="1" x14ac:dyDescent="0.25">
      <c r="A977" t="s">
        <v>11512</v>
      </c>
      <c r="B977" t="s">
        <v>152</v>
      </c>
      <c r="C977" s="1">
        <v>45202.395161921297</v>
      </c>
      <c r="D977" s="1">
        <v>45244</v>
      </c>
      <c r="E977" t="s">
        <v>132</v>
      </c>
      <c r="F977" t="s">
        <v>293</v>
      </c>
      <c r="G977" t="str">
        <f>"37-2012.00"</f>
        <v>37-2012.00</v>
      </c>
      <c r="H977" t="s">
        <v>205</v>
      </c>
      <c r="I977">
        <v>25</v>
      </c>
      <c r="J977">
        <v>25</v>
      </c>
      <c r="K977" s="1">
        <v>45292</v>
      </c>
      <c r="L977" s="1">
        <v>45596</v>
      </c>
      <c r="M977" s="1">
        <v>45292</v>
      </c>
      <c r="N977" s="1">
        <v>45596</v>
      </c>
      <c r="O977" t="s">
        <v>116</v>
      </c>
      <c r="P977" t="s">
        <v>11513</v>
      </c>
      <c r="Q977" t="s">
        <v>11514</v>
      </c>
      <c r="R977" t="s">
        <v>11515</v>
      </c>
      <c r="T977" t="s">
        <v>11516</v>
      </c>
      <c r="U977" t="s">
        <v>140</v>
      </c>
      <c r="V977" s="8" t="str">
        <f>"33896"</f>
        <v>33896</v>
      </c>
      <c r="W977" t="s">
        <v>118</v>
      </c>
      <c r="Y977" s="10">
        <v>14073906664</v>
      </c>
      <c r="AA977">
        <v>72111</v>
      </c>
      <c r="AB977" t="s">
        <v>11517</v>
      </c>
      <c r="AC977" t="s">
        <v>11518</v>
      </c>
      <c r="AE977" t="s">
        <v>1189</v>
      </c>
      <c r="AF977" t="s">
        <v>11515</v>
      </c>
      <c r="AH977" t="s">
        <v>11516</v>
      </c>
      <c r="AI977" t="s">
        <v>140</v>
      </c>
      <c r="AJ977" s="8" t="str">
        <f>"33896"</f>
        <v>33896</v>
      </c>
      <c r="AK977" t="s">
        <v>118</v>
      </c>
      <c r="AM977" s="10">
        <v>14073906664</v>
      </c>
      <c r="AO977" t="s">
        <v>11519</v>
      </c>
      <c r="AP977" t="s">
        <v>248</v>
      </c>
      <c r="AQ977" t="s">
        <v>960</v>
      </c>
      <c r="AR977" t="s">
        <v>961</v>
      </c>
      <c r="AS977" t="s">
        <v>962</v>
      </c>
      <c r="AT977" t="s">
        <v>963</v>
      </c>
      <c r="AU977" t="s">
        <v>296</v>
      </c>
      <c r="AV977" t="s">
        <v>964</v>
      </c>
      <c r="AW977" t="s">
        <v>127</v>
      </c>
      <c r="AX977" s="8" t="str">
        <f>"75033"</f>
        <v>75033</v>
      </c>
      <c r="AY977" t="s">
        <v>118</v>
      </c>
      <c r="BA977" s="10">
        <v>19727789690</v>
      </c>
      <c r="BC977" t="s">
        <v>1919</v>
      </c>
      <c r="BD977" t="s">
        <v>966</v>
      </c>
      <c r="BG977" t="s">
        <v>140</v>
      </c>
      <c r="BH977" s="1">
        <v>45201.833333333336</v>
      </c>
      <c r="BI977">
        <v>40</v>
      </c>
      <c r="BJ977">
        <v>8</v>
      </c>
      <c r="BK977">
        <v>0</v>
      </c>
      <c r="BL977">
        <v>0</v>
      </c>
      <c r="BM977">
        <v>8</v>
      </c>
      <c r="BN977">
        <v>8</v>
      </c>
      <c r="BO977">
        <v>8</v>
      </c>
      <c r="BP977">
        <v>8</v>
      </c>
      <c r="BQ977" t="str">
        <f>"8:00 AM"</f>
        <v>8:00 AM</v>
      </c>
      <c r="BR977" t="str">
        <f>"4:30 PM"</f>
        <v>4:30 PM</v>
      </c>
      <c r="BS977" t="s">
        <v>131</v>
      </c>
      <c r="BT977">
        <v>0</v>
      </c>
      <c r="BU977">
        <v>0</v>
      </c>
      <c r="BV977" t="s">
        <v>114</v>
      </c>
      <c r="BX977" s="2" t="s">
        <v>11520</v>
      </c>
      <c r="BY977" t="s">
        <v>11515</v>
      </c>
      <c r="CA977" t="s">
        <v>11516</v>
      </c>
      <c r="CB977" t="s">
        <v>140</v>
      </c>
      <c r="CC977" s="8" t="str">
        <f>"33896"</f>
        <v>33896</v>
      </c>
      <c r="CD977" t="s">
        <v>2051</v>
      </c>
      <c r="CE977" t="s">
        <v>2052</v>
      </c>
      <c r="CF977" s="12">
        <v>14.29</v>
      </c>
      <c r="CH977" s="12">
        <v>21.44</v>
      </c>
      <c r="CJ977" t="s">
        <v>135</v>
      </c>
      <c r="CK977" t="s">
        <v>11521</v>
      </c>
      <c r="CL977" t="s">
        <v>11522</v>
      </c>
      <c r="CO977" t="s">
        <v>132</v>
      </c>
      <c r="CP977" t="s">
        <v>114</v>
      </c>
      <c r="CQ977" t="s">
        <v>114</v>
      </c>
      <c r="CR977" t="s">
        <v>136</v>
      </c>
      <c r="CS977" t="s">
        <v>136</v>
      </c>
      <c r="CT977" t="s">
        <v>136</v>
      </c>
      <c r="CU977" t="s">
        <v>136</v>
      </c>
      <c r="CV977" t="s">
        <v>11523</v>
      </c>
      <c r="CW977" s="10" t="str">
        <f>"+14073906664"</f>
        <v>+14073906664</v>
      </c>
      <c r="CX977" t="s">
        <v>132</v>
      </c>
      <c r="CY977" t="s">
        <v>11524</v>
      </c>
      <c r="CZ977" t="s">
        <v>137</v>
      </c>
      <c r="DA977" t="s">
        <v>114</v>
      </c>
      <c r="DB977" t="s">
        <v>114</v>
      </c>
      <c r="DC977" t="s">
        <v>136</v>
      </c>
      <c r="DD977" t="s">
        <v>114</v>
      </c>
    </row>
    <row r="978" spans="1:108" ht="15" customHeight="1" x14ac:dyDescent="0.25">
      <c r="A978" t="s">
        <v>22435</v>
      </c>
      <c r="B978" t="s">
        <v>152</v>
      </c>
      <c r="C978" s="1">
        <v>45202.390823842594</v>
      </c>
      <c r="D978" s="1">
        <v>45244</v>
      </c>
      <c r="E978" t="s">
        <v>132</v>
      </c>
      <c r="F978" t="s">
        <v>5204</v>
      </c>
      <c r="G978" t="str">
        <f>"35-9021.00"</f>
        <v>35-9021.00</v>
      </c>
      <c r="H978" t="s">
        <v>501</v>
      </c>
      <c r="I978">
        <v>25</v>
      </c>
      <c r="J978">
        <v>25</v>
      </c>
      <c r="K978" s="1">
        <v>45292</v>
      </c>
      <c r="L978" s="1">
        <v>45596</v>
      </c>
      <c r="M978" s="1">
        <v>45292</v>
      </c>
      <c r="N978" s="1">
        <v>45596</v>
      </c>
      <c r="O978" t="s">
        <v>116</v>
      </c>
      <c r="P978" t="s">
        <v>11513</v>
      </c>
      <c r="Q978" t="s">
        <v>11514</v>
      </c>
      <c r="R978" t="s">
        <v>11515</v>
      </c>
      <c r="T978" t="s">
        <v>11516</v>
      </c>
      <c r="U978" t="s">
        <v>140</v>
      </c>
      <c r="V978" s="8" t="str">
        <f>"33896"</f>
        <v>33896</v>
      </c>
      <c r="W978" t="s">
        <v>118</v>
      </c>
      <c r="Y978" s="10">
        <v>14073906664</v>
      </c>
      <c r="AA978">
        <v>72111</v>
      </c>
      <c r="AB978" t="s">
        <v>11517</v>
      </c>
      <c r="AC978" t="s">
        <v>11518</v>
      </c>
      <c r="AE978" t="s">
        <v>1189</v>
      </c>
      <c r="AF978" t="s">
        <v>11515</v>
      </c>
      <c r="AH978" t="s">
        <v>11516</v>
      </c>
      <c r="AI978" t="s">
        <v>140</v>
      </c>
      <c r="AJ978" s="8" t="str">
        <f>"33896"</f>
        <v>33896</v>
      </c>
      <c r="AK978" t="s">
        <v>118</v>
      </c>
      <c r="AM978" s="10">
        <v>14073906664</v>
      </c>
      <c r="AO978" t="s">
        <v>11519</v>
      </c>
      <c r="AP978" t="s">
        <v>248</v>
      </c>
      <c r="AQ978" t="s">
        <v>960</v>
      </c>
      <c r="AR978" t="s">
        <v>961</v>
      </c>
      <c r="AS978" t="s">
        <v>962</v>
      </c>
      <c r="AT978" t="s">
        <v>963</v>
      </c>
      <c r="AU978" t="s">
        <v>296</v>
      </c>
      <c r="AV978" t="s">
        <v>964</v>
      </c>
      <c r="AW978" t="s">
        <v>127</v>
      </c>
      <c r="AX978" s="8" t="str">
        <f>"75033"</f>
        <v>75033</v>
      </c>
      <c r="AY978" t="s">
        <v>118</v>
      </c>
      <c r="BA978" s="10">
        <v>19727789690</v>
      </c>
      <c r="BC978" t="s">
        <v>1919</v>
      </c>
      <c r="BD978" t="s">
        <v>966</v>
      </c>
      <c r="BG978" t="s">
        <v>140</v>
      </c>
      <c r="BH978" s="1">
        <v>45201.833333333336</v>
      </c>
      <c r="BI978">
        <v>40</v>
      </c>
      <c r="BJ978">
        <v>8</v>
      </c>
      <c r="BK978">
        <v>0</v>
      </c>
      <c r="BL978">
        <v>0</v>
      </c>
      <c r="BM978">
        <v>8</v>
      </c>
      <c r="BN978">
        <v>8</v>
      </c>
      <c r="BO978">
        <v>8</v>
      </c>
      <c r="BP978">
        <v>8</v>
      </c>
      <c r="BQ978" t="str">
        <f>"6:00 AM"</f>
        <v>6:00 AM</v>
      </c>
      <c r="BR978" t="str">
        <f>"2:30 PM"</f>
        <v>2:30 PM</v>
      </c>
      <c r="BS978" t="s">
        <v>131</v>
      </c>
      <c r="BT978">
        <v>0</v>
      </c>
      <c r="BU978">
        <v>0</v>
      </c>
      <c r="BV978" t="s">
        <v>114</v>
      </c>
      <c r="BX978" s="2" t="s">
        <v>22436</v>
      </c>
      <c r="BY978" t="s">
        <v>11515</v>
      </c>
      <c r="CA978" t="s">
        <v>11516</v>
      </c>
      <c r="CB978" t="s">
        <v>140</v>
      </c>
      <c r="CC978" s="8" t="str">
        <f>"33896"</f>
        <v>33896</v>
      </c>
      <c r="CD978" t="s">
        <v>2051</v>
      </c>
      <c r="CE978" t="s">
        <v>2052</v>
      </c>
      <c r="CF978" s="12">
        <v>15</v>
      </c>
      <c r="CH978" s="12">
        <v>22.5</v>
      </c>
      <c r="CJ978" t="s">
        <v>135</v>
      </c>
      <c r="CK978" t="s">
        <v>11521</v>
      </c>
      <c r="CL978" t="s">
        <v>22437</v>
      </c>
      <c r="CO978" t="s">
        <v>132</v>
      </c>
      <c r="CP978" t="s">
        <v>114</v>
      </c>
      <c r="CQ978" t="s">
        <v>114</v>
      </c>
      <c r="CR978" t="s">
        <v>136</v>
      </c>
      <c r="CS978" t="s">
        <v>136</v>
      </c>
      <c r="CT978" t="s">
        <v>136</v>
      </c>
      <c r="CU978" t="s">
        <v>136</v>
      </c>
      <c r="CV978" t="s">
        <v>22438</v>
      </c>
      <c r="CW978" s="10" t="str">
        <f>"+14073906664"</f>
        <v>+14073906664</v>
      </c>
      <c r="CX978" t="s">
        <v>132</v>
      </c>
      <c r="CY978" t="s">
        <v>15979</v>
      </c>
      <c r="CZ978" t="s">
        <v>137</v>
      </c>
      <c r="DA978" t="s">
        <v>114</v>
      </c>
      <c r="DB978" t="s">
        <v>114</v>
      </c>
      <c r="DC978" t="s">
        <v>136</v>
      </c>
      <c r="DD978" t="s">
        <v>114</v>
      </c>
    </row>
    <row r="979" spans="1:108" ht="15" customHeight="1" x14ac:dyDescent="0.25">
      <c r="A979" t="s">
        <v>15975</v>
      </c>
      <c r="B979" t="s">
        <v>152</v>
      </c>
      <c r="C979" s="1">
        <v>45202.385909259261</v>
      </c>
      <c r="D979" s="1">
        <v>45244</v>
      </c>
      <c r="E979" t="s">
        <v>132</v>
      </c>
      <c r="F979" t="s">
        <v>1059</v>
      </c>
      <c r="G979" t="str">
        <f>"35-2014.00"</f>
        <v>35-2014.00</v>
      </c>
      <c r="H979" t="s">
        <v>154</v>
      </c>
      <c r="I979">
        <v>32</v>
      </c>
      <c r="J979">
        <v>32</v>
      </c>
      <c r="K979" s="1">
        <v>45292</v>
      </c>
      <c r="L979" s="1">
        <v>45596</v>
      </c>
      <c r="M979" s="1">
        <v>45292</v>
      </c>
      <c r="N979" s="1">
        <v>45596</v>
      </c>
      <c r="O979" t="s">
        <v>116</v>
      </c>
      <c r="P979" t="s">
        <v>11513</v>
      </c>
      <c r="Q979" t="s">
        <v>11514</v>
      </c>
      <c r="R979" t="s">
        <v>11515</v>
      </c>
      <c r="T979" t="s">
        <v>11516</v>
      </c>
      <c r="U979" t="s">
        <v>140</v>
      </c>
      <c r="V979" s="8" t="str">
        <f>"33896"</f>
        <v>33896</v>
      </c>
      <c r="W979" t="s">
        <v>118</v>
      </c>
      <c r="Y979" s="10">
        <v>14073906664</v>
      </c>
      <c r="AA979">
        <v>72111</v>
      </c>
      <c r="AB979" t="s">
        <v>11517</v>
      </c>
      <c r="AC979" t="s">
        <v>11518</v>
      </c>
      <c r="AE979" t="s">
        <v>1189</v>
      </c>
      <c r="AF979" t="s">
        <v>11515</v>
      </c>
      <c r="AH979" t="s">
        <v>11516</v>
      </c>
      <c r="AI979" t="s">
        <v>140</v>
      </c>
      <c r="AJ979" s="8" t="str">
        <f>"33896"</f>
        <v>33896</v>
      </c>
      <c r="AK979" t="s">
        <v>118</v>
      </c>
      <c r="AM979" s="10">
        <v>14073906664</v>
      </c>
      <c r="AO979" t="s">
        <v>11519</v>
      </c>
      <c r="AP979" t="s">
        <v>248</v>
      </c>
      <c r="AQ979" t="s">
        <v>960</v>
      </c>
      <c r="AR979" t="s">
        <v>961</v>
      </c>
      <c r="AS979" t="s">
        <v>962</v>
      </c>
      <c r="AT979" t="s">
        <v>963</v>
      </c>
      <c r="AU979" t="s">
        <v>296</v>
      </c>
      <c r="AV979" t="s">
        <v>964</v>
      </c>
      <c r="AW979" t="s">
        <v>127</v>
      </c>
      <c r="AX979" s="8" t="str">
        <f>"75033"</f>
        <v>75033</v>
      </c>
      <c r="AY979" t="s">
        <v>118</v>
      </c>
      <c r="BA979" s="10">
        <v>19727789690</v>
      </c>
      <c r="BC979" t="s">
        <v>1919</v>
      </c>
      <c r="BD979" t="s">
        <v>966</v>
      </c>
      <c r="BG979" t="s">
        <v>140</v>
      </c>
      <c r="BH979" s="1">
        <v>45201.833333333336</v>
      </c>
      <c r="BI979">
        <v>40</v>
      </c>
      <c r="BJ979">
        <v>8</v>
      </c>
      <c r="BK979">
        <v>0</v>
      </c>
      <c r="BL979">
        <v>0</v>
      </c>
      <c r="BM979">
        <v>8</v>
      </c>
      <c r="BN979">
        <v>8</v>
      </c>
      <c r="BO979">
        <v>8</v>
      </c>
      <c r="BP979">
        <v>8</v>
      </c>
      <c r="BQ979" t="str">
        <f>"6:00 AM"</f>
        <v>6:00 AM</v>
      </c>
      <c r="BR979" t="str">
        <f>"2:30 PM"</f>
        <v>2:30 PM</v>
      </c>
      <c r="BS979" t="s">
        <v>131</v>
      </c>
      <c r="BT979">
        <v>0</v>
      </c>
      <c r="BU979">
        <v>0</v>
      </c>
      <c r="BV979" t="s">
        <v>114</v>
      </c>
      <c r="BX979" s="2" t="s">
        <v>15976</v>
      </c>
      <c r="BY979" t="s">
        <v>11515</v>
      </c>
      <c r="CA979" t="s">
        <v>11516</v>
      </c>
      <c r="CB979" t="s">
        <v>140</v>
      </c>
      <c r="CC979" s="8" t="str">
        <f>"33896"</f>
        <v>33896</v>
      </c>
      <c r="CD979" t="s">
        <v>2051</v>
      </c>
      <c r="CE979" t="s">
        <v>2052</v>
      </c>
      <c r="CF979" s="12">
        <v>17.07</v>
      </c>
      <c r="CH979" s="12">
        <v>25.61</v>
      </c>
      <c r="CJ979" t="s">
        <v>135</v>
      </c>
      <c r="CK979" t="s">
        <v>11521</v>
      </c>
      <c r="CL979" t="s">
        <v>15977</v>
      </c>
      <c r="CO979" t="s">
        <v>132</v>
      </c>
      <c r="CP979" t="s">
        <v>114</v>
      </c>
      <c r="CQ979" t="s">
        <v>114</v>
      </c>
      <c r="CR979" t="s">
        <v>136</v>
      </c>
      <c r="CS979" t="s">
        <v>136</v>
      </c>
      <c r="CT979" t="s">
        <v>136</v>
      </c>
      <c r="CU979" t="s">
        <v>136</v>
      </c>
      <c r="CV979" s="2" t="s">
        <v>15978</v>
      </c>
      <c r="CW979" s="10" t="str">
        <f>"+14073906664"</f>
        <v>+14073906664</v>
      </c>
      <c r="CX979" t="s">
        <v>132</v>
      </c>
      <c r="CY979" t="s">
        <v>15979</v>
      </c>
      <c r="CZ979" t="s">
        <v>137</v>
      </c>
      <c r="DA979" t="s">
        <v>114</v>
      </c>
      <c r="DB979" t="s">
        <v>114</v>
      </c>
      <c r="DC979" t="s">
        <v>136</v>
      </c>
      <c r="DD979" t="s">
        <v>114</v>
      </c>
    </row>
    <row r="980" spans="1:108" ht="15" customHeight="1" x14ac:dyDescent="0.25">
      <c r="A980" t="s">
        <v>19402</v>
      </c>
      <c r="B980" t="s">
        <v>152</v>
      </c>
      <c r="C980" s="1">
        <v>45202.317577893518</v>
      </c>
      <c r="D980" s="1">
        <v>45244</v>
      </c>
      <c r="E980" t="s">
        <v>132</v>
      </c>
      <c r="F980" t="s">
        <v>19403</v>
      </c>
      <c r="G980" t="str">
        <f>"35-3023.00"</f>
        <v>35-3023.00</v>
      </c>
      <c r="H980" t="s">
        <v>1365</v>
      </c>
      <c r="I980">
        <v>38</v>
      </c>
      <c r="J980">
        <v>38</v>
      </c>
      <c r="K980" s="1">
        <v>45292</v>
      </c>
      <c r="L980" s="1">
        <v>45596</v>
      </c>
      <c r="M980" s="1">
        <v>45292</v>
      </c>
      <c r="N980" s="1">
        <v>45596</v>
      </c>
      <c r="O980" t="s">
        <v>238</v>
      </c>
      <c r="P980" t="s">
        <v>19404</v>
      </c>
      <c r="R980" t="s">
        <v>7147</v>
      </c>
      <c r="S980" t="s">
        <v>19405</v>
      </c>
      <c r="T980" t="s">
        <v>19406</v>
      </c>
      <c r="U980" t="s">
        <v>140</v>
      </c>
      <c r="V980" s="8" t="str">
        <f>"34610"</f>
        <v>34610</v>
      </c>
      <c r="W980" t="s">
        <v>118</v>
      </c>
      <c r="Y980" s="10">
        <v>15868559781</v>
      </c>
      <c r="AA980">
        <v>71399</v>
      </c>
      <c r="AB980" t="s">
        <v>18479</v>
      </c>
      <c r="AC980" t="s">
        <v>250</v>
      </c>
      <c r="AE980" t="s">
        <v>561</v>
      </c>
      <c r="AF980" t="s">
        <v>7144</v>
      </c>
      <c r="AG980" t="s">
        <v>19407</v>
      </c>
      <c r="AH980" t="s">
        <v>7145</v>
      </c>
      <c r="AI980" t="s">
        <v>140</v>
      </c>
      <c r="AJ980" s="8" t="str">
        <f>"34610"</f>
        <v>34610</v>
      </c>
      <c r="AK980" t="s">
        <v>118</v>
      </c>
      <c r="AM980" s="10">
        <v>15868559781</v>
      </c>
      <c r="AO980" t="s">
        <v>19408</v>
      </c>
      <c r="AP980" t="s">
        <v>248</v>
      </c>
      <c r="AQ980" t="s">
        <v>249</v>
      </c>
      <c r="AR980" t="s">
        <v>250</v>
      </c>
      <c r="AS980" t="s">
        <v>251</v>
      </c>
      <c r="AT980" t="s">
        <v>252</v>
      </c>
      <c r="AU980" t="s">
        <v>253</v>
      </c>
      <c r="AV980" t="s">
        <v>254</v>
      </c>
      <c r="AW980" t="s">
        <v>127</v>
      </c>
      <c r="AX980" s="8" t="str">
        <f>"78550"</f>
        <v>78550</v>
      </c>
      <c r="AY980" t="s">
        <v>118</v>
      </c>
      <c r="BA980" s="10">
        <v>19564408720</v>
      </c>
      <c r="BB980" s="3" t="s">
        <v>256</v>
      </c>
      <c r="BC980" t="s">
        <v>257</v>
      </c>
      <c r="BD980" t="s">
        <v>258</v>
      </c>
      <c r="BG980" t="s">
        <v>140</v>
      </c>
      <c r="BH980" s="1">
        <v>45201.833333333336</v>
      </c>
      <c r="BI980">
        <v>40</v>
      </c>
      <c r="BJ980">
        <v>8</v>
      </c>
      <c r="BK980">
        <v>0</v>
      </c>
      <c r="BL980">
        <v>0</v>
      </c>
      <c r="BM980">
        <v>8</v>
      </c>
      <c r="BN980">
        <v>8</v>
      </c>
      <c r="BO980">
        <v>8</v>
      </c>
      <c r="BP980">
        <v>8</v>
      </c>
      <c r="BQ980" t="str">
        <f>"1:00 PM"</f>
        <v>1:00 PM</v>
      </c>
      <c r="BR980" t="str">
        <f>"10:00 PM"</f>
        <v>10:00 PM</v>
      </c>
      <c r="BS980" t="s">
        <v>131</v>
      </c>
      <c r="BT980">
        <v>0</v>
      </c>
      <c r="BU980">
        <v>0</v>
      </c>
      <c r="BV980" t="s">
        <v>114</v>
      </c>
      <c r="BX980" s="2" t="s">
        <v>259</v>
      </c>
      <c r="BY980" t="s">
        <v>7144</v>
      </c>
      <c r="CA980" t="s">
        <v>7145</v>
      </c>
      <c r="CB980" t="s">
        <v>140</v>
      </c>
      <c r="CC980" s="8" t="str">
        <f>"34610"</f>
        <v>34610</v>
      </c>
      <c r="CD980" t="s">
        <v>3466</v>
      </c>
      <c r="CE980" t="s">
        <v>467</v>
      </c>
      <c r="CF980" s="12">
        <v>9.58</v>
      </c>
      <c r="CG980" s="12">
        <v>15.18</v>
      </c>
      <c r="CJ980" t="s">
        <v>135</v>
      </c>
      <c r="CK980" t="s">
        <v>264</v>
      </c>
      <c r="CL980" t="s">
        <v>19409</v>
      </c>
      <c r="CO980" t="s">
        <v>132</v>
      </c>
      <c r="CP980" t="s">
        <v>136</v>
      </c>
      <c r="CQ980" t="s">
        <v>136</v>
      </c>
      <c r="CR980" t="s">
        <v>114</v>
      </c>
      <c r="CS980" t="s">
        <v>136</v>
      </c>
      <c r="CT980" t="s">
        <v>136</v>
      </c>
      <c r="CU980" t="s">
        <v>136</v>
      </c>
      <c r="CV980" t="s">
        <v>19410</v>
      </c>
      <c r="CW980" s="10" t="str">
        <f>"+15868559781"</f>
        <v>+15868559781</v>
      </c>
      <c r="CX980" t="s">
        <v>19408</v>
      </c>
      <c r="CY980" t="s">
        <v>132</v>
      </c>
      <c r="CZ980" t="s">
        <v>137</v>
      </c>
      <c r="DA980" t="s">
        <v>114</v>
      </c>
      <c r="DB980" t="s">
        <v>136</v>
      </c>
      <c r="DC980" t="s">
        <v>136</v>
      </c>
      <c r="DD980" t="s">
        <v>114</v>
      </c>
    </row>
    <row r="981" spans="1:108" ht="15" customHeight="1" x14ac:dyDescent="0.25">
      <c r="A981" t="s">
        <v>10080</v>
      </c>
      <c r="B981" t="s">
        <v>152</v>
      </c>
      <c r="C981" s="1">
        <v>45202.312583449071</v>
      </c>
      <c r="D981" s="1">
        <v>45244</v>
      </c>
      <c r="E981" t="s">
        <v>132</v>
      </c>
      <c r="F981" t="s">
        <v>236</v>
      </c>
      <c r="G981" t="str">
        <f>"39-3091.00"</f>
        <v>39-3091.00</v>
      </c>
      <c r="H981" t="s">
        <v>237</v>
      </c>
      <c r="I981">
        <v>185</v>
      </c>
      <c r="J981">
        <v>185</v>
      </c>
      <c r="K981" s="1">
        <v>45292</v>
      </c>
      <c r="L981" s="1">
        <v>45596</v>
      </c>
      <c r="M981" s="1">
        <v>45292</v>
      </c>
      <c r="N981" s="1">
        <v>45596</v>
      </c>
      <c r="O981" t="s">
        <v>238</v>
      </c>
      <c r="P981" t="s">
        <v>10081</v>
      </c>
      <c r="R981" t="s">
        <v>10082</v>
      </c>
      <c r="T981" t="s">
        <v>10083</v>
      </c>
      <c r="U981" t="s">
        <v>819</v>
      </c>
      <c r="V981" s="8" t="str">
        <f>"47340"</f>
        <v>47340</v>
      </c>
      <c r="W981" t="s">
        <v>118</v>
      </c>
      <c r="Y981" s="10">
        <v>17654333038</v>
      </c>
      <c r="AA981">
        <v>71399</v>
      </c>
      <c r="AB981" t="s">
        <v>10084</v>
      </c>
      <c r="AC981" t="s">
        <v>4234</v>
      </c>
      <c r="AE981" t="s">
        <v>1799</v>
      </c>
      <c r="AF981" t="s">
        <v>10085</v>
      </c>
      <c r="AH981" t="s">
        <v>10083</v>
      </c>
      <c r="AI981" t="s">
        <v>819</v>
      </c>
      <c r="AJ981" s="8" t="str">
        <f>"47340"</f>
        <v>47340</v>
      </c>
      <c r="AK981" t="s">
        <v>118</v>
      </c>
      <c r="AM981" s="10">
        <v>17657609135</v>
      </c>
      <c r="AO981" t="s">
        <v>10086</v>
      </c>
      <c r="AP981" t="s">
        <v>248</v>
      </c>
      <c r="AQ981" t="s">
        <v>249</v>
      </c>
      <c r="AR981" t="s">
        <v>250</v>
      </c>
      <c r="AS981" t="s">
        <v>251</v>
      </c>
      <c r="AT981" t="s">
        <v>252</v>
      </c>
      <c r="AU981" t="s">
        <v>253</v>
      </c>
      <c r="AV981" t="s">
        <v>254</v>
      </c>
      <c r="AW981" t="s">
        <v>127</v>
      </c>
      <c r="AX981" s="8" t="str">
        <f>"78550"</f>
        <v>78550</v>
      </c>
      <c r="AY981" t="s">
        <v>118</v>
      </c>
      <c r="BA981" s="10">
        <v>19564408720</v>
      </c>
      <c r="BB981" s="3" t="s">
        <v>256</v>
      </c>
      <c r="BC981" t="s">
        <v>257</v>
      </c>
      <c r="BD981" t="s">
        <v>258</v>
      </c>
      <c r="BG981" t="s">
        <v>819</v>
      </c>
      <c r="BH981" s="1">
        <v>45201.833333333336</v>
      </c>
      <c r="BI981">
        <v>40</v>
      </c>
      <c r="BJ981">
        <v>8</v>
      </c>
      <c r="BK981">
        <v>0</v>
      </c>
      <c r="BL981">
        <v>0</v>
      </c>
      <c r="BM981">
        <v>8</v>
      </c>
      <c r="BN981">
        <v>8</v>
      </c>
      <c r="BO981">
        <v>8</v>
      </c>
      <c r="BP981">
        <v>8</v>
      </c>
      <c r="BQ981" t="str">
        <f>"1:00 PM"</f>
        <v>1:00 PM</v>
      </c>
      <c r="BR981" t="str">
        <f>"10:00 PM"</f>
        <v>10:00 PM</v>
      </c>
      <c r="BS981" t="s">
        <v>131</v>
      </c>
      <c r="BT981">
        <v>0</v>
      </c>
      <c r="BU981">
        <v>0</v>
      </c>
      <c r="BV981" t="s">
        <v>114</v>
      </c>
      <c r="BX981" s="2" t="s">
        <v>259</v>
      </c>
      <c r="BY981" t="s">
        <v>10087</v>
      </c>
      <c r="CA981" t="s">
        <v>10083</v>
      </c>
      <c r="CB981" t="s">
        <v>819</v>
      </c>
      <c r="CC981" s="8" t="str">
        <f>"47340"</f>
        <v>47340</v>
      </c>
      <c r="CD981" t="s">
        <v>10088</v>
      </c>
      <c r="CE981" t="s">
        <v>2037</v>
      </c>
      <c r="CF981" s="12">
        <v>10.06</v>
      </c>
      <c r="CG981" s="12">
        <v>15.35</v>
      </c>
      <c r="CJ981" t="s">
        <v>135</v>
      </c>
      <c r="CK981" t="s">
        <v>264</v>
      </c>
      <c r="CL981" t="s">
        <v>10089</v>
      </c>
      <c r="CO981" t="s">
        <v>132</v>
      </c>
      <c r="CP981" t="s">
        <v>136</v>
      </c>
      <c r="CQ981" t="s">
        <v>136</v>
      </c>
      <c r="CR981" t="s">
        <v>114</v>
      </c>
      <c r="CS981" t="s">
        <v>136</v>
      </c>
      <c r="CT981" t="s">
        <v>136</v>
      </c>
      <c r="CU981" t="s">
        <v>136</v>
      </c>
      <c r="CV981" t="s">
        <v>266</v>
      </c>
      <c r="CW981" s="10" t="str">
        <f>"+17654333038"</f>
        <v>+17654333038</v>
      </c>
      <c r="CX981" t="s">
        <v>10086</v>
      </c>
      <c r="CY981" t="s">
        <v>132</v>
      </c>
      <c r="CZ981" t="s">
        <v>137</v>
      </c>
      <c r="DA981" t="s">
        <v>114</v>
      </c>
      <c r="DB981" t="s">
        <v>136</v>
      </c>
      <c r="DC981" t="s">
        <v>136</v>
      </c>
      <c r="DD981" t="s">
        <v>114</v>
      </c>
    </row>
    <row r="982" spans="1:108" ht="15" customHeight="1" x14ac:dyDescent="0.25">
      <c r="A982" t="s">
        <v>6873</v>
      </c>
      <c r="B982" t="s">
        <v>152</v>
      </c>
      <c r="C982" s="1">
        <v>45202.306922800926</v>
      </c>
      <c r="D982" s="1">
        <v>45244</v>
      </c>
      <c r="E982" t="s">
        <v>132</v>
      </c>
      <c r="F982" t="s">
        <v>236</v>
      </c>
      <c r="G982" t="str">
        <f>"39-3091.00"</f>
        <v>39-3091.00</v>
      </c>
      <c r="H982" t="s">
        <v>237</v>
      </c>
      <c r="I982">
        <v>88</v>
      </c>
      <c r="J982">
        <v>88</v>
      </c>
      <c r="K982" s="1">
        <v>45292</v>
      </c>
      <c r="L982" s="1">
        <v>45596</v>
      </c>
      <c r="M982" s="1">
        <v>45292</v>
      </c>
      <c r="N982" s="1">
        <v>45596</v>
      </c>
      <c r="O982" t="s">
        <v>238</v>
      </c>
      <c r="P982" t="s">
        <v>6874</v>
      </c>
      <c r="R982" t="s">
        <v>6875</v>
      </c>
      <c r="S982" t="s">
        <v>6876</v>
      </c>
      <c r="T982" t="s">
        <v>6877</v>
      </c>
      <c r="U982" t="s">
        <v>127</v>
      </c>
      <c r="V982" s="8" t="str">
        <f>"76052"</f>
        <v>76052</v>
      </c>
      <c r="W982" t="s">
        <v>118</v>
      </c>
      <c r="Y982" s="10">
        <v>18178470888</v>
      </c>
      <c r="AA982">
        <v>71399</v>
      </c>
      <c r="AB982" t="s">
        <v>3197</v>
      </c>
      <c r="AC982" t="s">
        <v>6232</v>
      </c>
      <c r="AE982" t="s">
        <v>378</v>
      </c>
      <c r="AF982" t="s">
        <v>6875</v>
      </c>
      <c r="AG982" t="s">
        <v>6876</v>
      </c>
      <c r="AH982" t="s">
        <v>6877</v>
      </c>
      <c r="AI982" t="s">
        <v>127</v>
      </c>
      <c r="AJ982" s="8" t="str">
        <f>"76052"</f>
        <v>76052</v>
      </c>
      <c r="AK982" t="s">
        <v>118</v>
      </c>
      <c r="AM982" s="10">
        <v>18178757338</v>
      </c>
      <c r="AO982" t="s">
        <v>6878</v>
      </c>
      <c r="AP982" t="s">
        <v>248</v>
      </c>
      <c r="AQ982" t="s">
        <v>249</v>
      </c>
      <c r="AR982" t="s">
        <v>250</v>
      </c>
      <c r="AS982" t="s">
        <v>251</v>
      </c>
      <c r="AT982" t="s">
        <v>252</v>
      </c>
      <c r="AU982" t="s">
        <v>253</v>
      </c>
      <c r="AV982" t="s">
        <v>254</v>
      </c>
      <c r="AW982" t="s">
        <v>127</v>
      </c>
      <c r="AX982" s="8" t="str">
        <f>"78550"</f>
        <v>78550</v>
      </c>
      <c r="AY982" t="s">
        <v>118</v>
      </c>
      <c r="AZ982" t="s">
        <v>255</v>
      </c>
      <c r="BA982" s="10">
        <v>19564408720</v>
      </c>
      <c r="BB982" s="3" t="s">
        <v>256</v>
      </c>
      <c r="BC982" t="s">
        <v>257</v>
      </c>
      <c r="BD982" t="s">
        <v>258</v>
      </c>
      <c r="BG982" t="s">
        <v>127</v>
      </c>
      <c r="BH982" s="1">
        <v>45201.833333333336</v>
      </c>
      <c r="BI982">
        <v>40</v>
      </c>
      <c r="BJ982">
        <v>8</v>
      </c>
      <c r="BK982">
        <v>0</v>
      </c>
      <c r="BL982">
        <v>0</v>
      </c>
      <c r="BM982">
        <v>8</v>
      </c>
      <c r="BN982">
        <v>8</v>
      </c>
      <c r="BO982">
        <v>8</v>
      </c>
      <c r="BP982">
        <v>8</v>
      </c>
      <c r="BQ982" t="str">
        <f>"1:00 PM"</f>
        <v>1:00 PM</v>
      </c>
      <c r="BR982" t="str">
        <f>"10:00 PM"</f>
        <v>10:00 PM</v>
      </c>
      <c r="BS982" t="s">
        <v>131</v>
      </c>
      <c r="BT982">
        <v>0</v>
      </c>
      <c r="BU982">
        <v>0</v>
      </c>
      <c r="BV982" t="s">
        <v>114</v>
      </c>
      <c r="BX982" s="2" t="s">
        <v>259</v>
      </c>
      <c r="BY982" t="s">
        <v>260</v>
      </c>
      <c r="CA982" t="s">
        <v>261</v>
      </c>
      <c r="CB982" t="s">
        <v>127</v>
      </c>
      <c r="CC982" s="8" t="str">
        <f>"76107"</f>
        <v>76107</v>
      </c>
      <c r="CD982" t="s">
        <v>262</v>
      </c>
      <c r="CE982" t="s">
        <v>263</v>
      </c>
      <c r="CF982" s="12">
        <v>10.16</v>
      </c>
      <c r="CG982" s="12">
        <v>16.3</v>
      </c>
      <c r="CJ982" t="s">
        <v>135</v>
      </c>
      <c r="CK982" t="s">
        <v>264</v>
      </c>
      <c r="CL982" t="s">
        <v>6879</v>
      </c>
      <c r="CO982" t="s">
        <v>132</v>
      </c>
      <c r="CP982" t="s">
        <v>136</v>
      </c>
      <c r="CQ982" t="s">
        <v>136</v>
      </c>
      <c r="CR982" t="s">
        <v>114</v>
      </c>
      <c r="CS982" t="s">
        <v>136</v>
      </c>
      <c r="CT982" t="s">
        <v>136</v>
      </c>
      <c r="CU982" t="s">
        <v>136</v>
      </c>
      <c r="CV982" t="s">
        <v>266</v>
      </c>
      <c r="CW982" s="10" t="str">
        <f>"+18178470888"</f>
        <v>+18178470888</v>
      </c>
      <c r="CX982" t="s">
        <v>132</v>
      </c>
      <c r="CY982" t="s">
        <v>6880</v>
      </c>
      <c r="CZ982" t="s">
        <v>137</v>
      </c>
      <c r="DA982" t="s">
        <v>114</v>
      </c>
      <c r="DB982" t="s">
        <v>136</v>
      </c>
      <c r="DC982" t="s">
        <v>136</v>
      </c>
      <c r="DD982" t="s">
        <v>114</v>
      </c>
    </row>
    <row r="983" spans="1:108" ht="15" customHeight="1" x14ac:dyDescent="0.25">
      <c r="A983" t="s">
        <v>6684</v>
      </c>
      <c r="B983" t="s">
        <v>152</v>
      </c>
      <c r="C983" s="1">
        <v>45202.002355555553</v>
      </c>
      <c r="D983" s="1">
        <v>45244</v>
      </c>
      <c r="E983" t="s">
        <v>132</v>
      </c>
      <c r="F983" t="s">
        <v>1381</v>
      </c>
      <c r="G983" t="str">
        <f>"39-3091.00"</f>
        <v>39-3091.00</v>
      </c>
      <c r="H983" t="s">
        <v>237</v>
      </c>
      <c r="I983">
        <v>50</v>
      </c>
      <c r="J983">
        <v>50</v>
      </c>
      <c r="K983" s="1">
        <v>45292</v>
      </c>
      <c r="L983" s="1">
        <v>45372</v>
      </c>
      <c r="M983" s="1">
        <v>45292</v>
      </c>
      <c r="N983" s="1">
        <v>45372</v>
      </c>
      <c r="O983" t="s">
        <v>238</v>
      </c>
      <c r="P983" t="s">
        <v>6685</v>
      </c>
      <c r="R983" t="s">
        <v>6686</v>
      </c>
      <c r="T983" t="s">
        <v>6687</v>
      </c>
      <c r="U983" t="s">
        <v>127</v>
      </c>
      <c r="V983" s="8" t="str">
        <f>"75656"</f>
        <v>75656</v>
      </c>
      <c r="W983" t="s">
        <v>118</v>
      </c>
      <c r="Y983" s="10">
        <v>19036397016</v>
      </c>
      <c r="AA983">
        <v>7139</v>
      </c>
      <c r="AB983" t="s">
        <v>3189</v>
      </c>
      <c r="AC983" t="s">
        <v>6688</v>
      </c>
      <c r="AE983" t="s">
        <v>1386</v>
      </c>
      <c r="AF983" t="s">
        <v>6689</v>
      </c>
      <c r="AH983" t="s">
        <v>6687</v>
      </c>
      <c r="AI983" t="s">
        <v>127</v>
      </c>
      <c r="AJ983" s="8" t="str">
        <f>"75656"</f>
        <v>75656</v>
      </c>
      <c r="AK983" t="s">
        <v>118</v>
      </c>
      <c r="AM983" s="10">
        <v>19036397016</v>
      </c>
      <c r="AO983" t="s">
        <v>6690</v>
      </c>
      <c r="AP983" t="s">
        <v>248</v>
      </c>
      <c r="AQ983" t="s">
        <v>960</v>
      </c>
      <c r="AR983" t="s">
        <v>961</v>
      </c>
      <c r="AS983" t="s">
        <v>962</v>
      </c>
      <c r="AT983" t="s">
        <v>963</v>
      </c>
      <c r="AU983" t="s">
        <v>296</v>
      </c>
      <c r="AV983" t="s">
        <v>964</v>
      </c>
      <c r="AW983" t="s">
        <v>127</v>
      </c>
      <c r="AX983" s="8" t="str">
        <f>"75033"</f>
        <v>75033</v>
      </c>
      <c r="AY983" t="s">
        <v>118</v>
      </c>
      <c r="BA983" s="10">
        <v>19727789690</v>
      </c>
      <c r="BC983" t="s">
        <v>1388</v>
      </c>
      <c r="BD983" t="s">
        <v>966</v>
      </c>
      <c r="BG983" t="s">
        <v>127</v>
      </c>
      <c r="BH983" s="1">
        <v>45201.833333333336</v>
      </c>
      <c r="BI983">
        <v>40</v>
      </c>
      <c r="BJ983">
        <v>8</v>
      </c>
      <c r="BK983">
        <v>8</v>
      </c>
      <c r="BL983">
        <v>8</v>
      </c>
      <c r="BM983">
        <v>0</v>
      </c>
      <c r="BN983">
        <v>8</v>
      </c>
      <c r="BO983">
        <v>0</v>
      </c>
      <c r="BP983">
        <v>8</v>
      </c>
      <c r="BQ983" t="str">
        <f>"10:00 AM"</f>
        <v>10:00 AM</v>
      </c>
      <c r="BR983" t="str">
        <f>"7:00 PM"</f>
        <v>7:00 PM</v>
      </c>
      <c r="BS983" t="s">
        <v>131</v>
      </c>
      <c r="BT983">
        <v>0</v>
      </c>
      <c r="BU983">
        <v>0</v>
      </c>
      <c r="BV983" t="s">
        <v>114</v>
      </c>
      <c r="BX983" s="2" t="s">
        <v>6691</v>
      </c>
      <c r="BY983" t="s">
        <v>6689</v>
      </c>
      <c r="CA983" t="s">
        <v>6687</v>
      </c>
      <c r="CB983" t="s">
        <v>127</v>
      </c>
      <c r="CC983" s="8" t="str">
        <f>"75656"</f>
        <v>75656</v>
      </c>
      <c r="CD983" t="s">
        <v>2776</v>
      </c>
      <c r="CE983" t="s">
        <v>2876</v>
      </c>
      <c r="CF983" s="12">
        <v>10.28</v>
      </c>
      <c r="CG983" s="12">
        <v>11.53</v>
      </c>
      <c r="CH983" s="12">
        <v>0</v>
      </c>
      <c r="CI983" s="12">
        <v>0</v>
      </c>
      <c r="CJ983" t="s">
        <v>135</v>
      </c>
      <c r="CK983" t="s">
        <v>3772</v>
      </c>
      <c r="CL983" t="s">
        <v>6692</v>
      </c>
      <c r="CO983" t="s">
        <v>132</v>
      </c>
      <c r="CP983" t="s">
        <v>136</v>
      </c>
      <c r="CQ983" t="s">
        <v>136</v>
      </c>
      <c r="CR983" t="s">
        <v>114</v>
      </c>
      <c r="CS983" t="s">
        <v>136</v>
      </c>
      <c r="CT983" t="s">
        <v>136</v>
      </c>
      <c r="CU983" t="s">
        <v>136</v>
      </c>
      <c r="CV983" t="s">
        <v>6693</v>
      </c>
      <c r="CW983" s="10" t="str">
        <f>"+19035729841"</f>
        <v>+19035729841</v>
      </c>
      <c r="CX983" t="s">
        <v>132</v>
      </c>
      <c r="CY983" t="s">
        <v>1853</v>
      </c>
      <c r="CZ983" t="s">
        <v>137</v>
      </c>
      <c r="DA983" t="s">
        <v>114</v>
      </c>
      <c r="DB983" t="s">
        <v>136</v>
      </c>
      <c r="DC983" t="s">
        <v>136</v>
      </c>
      <c r="DD983" t="s">
        <v>114</v>
      </c>
    </row>
    <row r="984" spans="1:108" ht="15" customHeight="1" x14ac:dyDescent="0.25">
      <c r="A984" t="s">
        <v>8574</v>
      </c>
      <c r="B984" t="s">
        <v>152</v>
      </c>
      <c r="C984" s="1">
        <v>45202.002069675924</v>
      </c>
      <c r="D984" s="1">
        <v>45244</v>
      </c>
      <c r="E984" t="s">
        <v>132</v>
      </c>
      <c r="F984" t="s">
        <v>5631</v>
      </c>
      <c r="G984" t="str">
        <f>"47-4051.00"</f>
        <v>47-4051.00</v>
      </c>
      <c r="H984" t="s">
        <v>5632</v>
      </c>
      <c r="I984">
        <v>60</v>
      </c>
      <c r="J984">
        <v>60</v>
      </c>
      <c r="K984" s="1">
        <v>45292</v>
      </c>
      <c r="L984" s="1">
        <v>45595</v>
      </c>
      <c r="M984" s="1">
        <v>45292</v>
      </c>
      <c r="N984" s="1">
        <v>45595</v>
      </c>
      <c r="O984" t="s">
        <v>238</v>
      </c>
      <c r="P984" t="s">
        <v>8575</v>
      </c>
      <c r="R984" t="s">
        <v>8576</v>
      </c>
      <c r="T984" t="s">
        <v>5633</v>
      </c>
      <c r="U984" t="s">
        <v>375</v>
      </c>
      <c r="V984" s="8" t="str">
        <f>"28771"</f>
        <v>28771</v>
      </c>
      <c r="W984" t="s">
        <v>118</v>
      </c>
      <c r="Y984" s="10">
        <v>18284794788</v>
      </c>
      <c r="AA984">
        <v>561730</v>
      </c>
      <c r="AB984" t="s">
        <v>8577</v>
      </c>
      <c r="AC984" t="s">
        <v>8578</v>
      </c>
      <c r="AE984" t="s">
        <v>629</v>
      </c>
      <c r="AF984" t="s">
        <v>8576</v>
      </c>
      <c r="AH984" t="s">
        <v>5633</v>
      </c>
      <c r="AI984" t="s">
        <v>375</v>
      </c>
      <c r="AJ984" s="8" t="str">
        <f>"28771"</f>
        <v>28771</v>
      </c>
      <c r="AK984" t="s">
        <v>118</v>
      </c>
      <c r="AM984" s="10">
        <v>18284794788</v>
      </c>
      <c r="AO984" t="s">
        <v>8579</v>
      </c>
      <c r="AP984" t="s">
        <v>248</v>
      </c>
      <c r="AQ984" t="s">
        <v>2010</v>
      </c>
      <c r="AR984" t="s">
        <v>2011</v>
      </c>
      <c r="AT984" t="s">
        <v>1032</v>
      </c>
      <c r="AU984" t="s">
        <v>852</v>
      </c>
      <c r="AV984" t="s">
        <v>853</v>
      </c>
      <c r="AW984" t="s">
        <v>854</v>
      </c>
      <c r="AX984" s="8" t="str">
        <f>"83814"</f>
        <v>83814</v>
      </c>
      <c r="AY984" t="s">
        <v>118</v>
      </c>
      <c r="BA984" s="10">
        <v>12087772654</v>
      </c>
      <c r="BC984" t="s">
        <v>2012</v>
      </c>
      <c r="BD984" t="s">
        <v>856</v>
      </c>
      <c r="BG984" t="s">
        <v>375</v>
      </c>
      <c r="BH984" s="1">
        <v>45200.833333333336</v>
      </c>
      <c r="BI984">
        <v>40</v>
      </c>
      <c r="BJ984">
        <v>0</v>
      </c>
      <c r="BK984">
        <v>8</v>
      </c>
      <c r="BL984">
        <v>8</v>
      </c>
      <c r="BM984">
        <v>8</v>
      </c>
      <c r="BN984">
        <v>8</v>
      </c>
      <c r="BO984">
        <v>8</v>
      </c>
      <c r="BP984">
        <v>0</v>
      </c>
      <c r="BQ984" t="str">
        <f>"7:00 AM"</f>
        <v>7:00 AM</v>
      </c>
      <c r="BR984" t="str">
        <f>"5:30 PM"</f>
        <v>5:30 PM</v>
      </c>
      <c r="BS984" t="s">
        <v>131</v>
      </c>
      <c r="BT984">
        <v>0</v>
      </c>
      <c r="BU984">
        <v>3</v>
      </c>
      <c r="BV984" t="s">
        <v>114</v>
      </c>
      <c r="BX984" t="s">
        <v>2155</v>
      </c>
      <c r="BY984" t="s">
        <v>8580</v>
      </c>
      <c r="CA984" t="s">
        <v>5633</v>
      </c>
      <c r="CB984" t="s">
        <v>375</v>
      </c>
      <c r="CC984" s="8" t="str">
        <f>"28771"</f>
        <v>28771</v>
      </c>
      <c r="CD984" t="s">
        <v>7799</v>
      </c>
      <c r="CE984" t="s">
        <v>641</v>
      </c>
      <c r="CF984" s="12">
        <v>20.38</v>
      </c>
      <c r="CH984" s="12">
        <v>30.57</v>
      </c>
      <c r="CJ984" t="s">
        <v>135</v>
      </c>
      <c r="CK984" t="s">
        <v>132</v>
      </c>
      <c r="CL984" t="s">
        <v>8581</v>
      </c>
      <c r="CO984" t="s">
        <v>132</v>
      </c>
      <c r="CP984" t="s">
        <v>136</v>
      </c>
      <c r="CQ984" t="s">
        <v>136</v>
      </c>
      <c r="CR984" t="s">
        <v>136</v>
      </c>
      <c r="CS984" t="s">
        <v>114</v>
      </c>
      <c r="CT984" t="s">
        <v>136</v>
      </c>
      <c r="CU984" t="s">
        <v>136</v>
      </c>
      <c r="CV984" t="s">
        <v>1040</v>
      </c>
      <c r="CW984" s="10" t="str">
        <f>"+18284794788"</f>
        <v>+18284794788</v>
      </c>
      <c r="CX984" t="s">
        <v>8579</v>
      </c>
      <c r="CY984" t="s">
        <v>132</v>
      </c>
      <c r="CZ984" t="s">
        <v>137</v>
      </c>
      <c r="DA984" t="s">
        <v>114</v>
      </c>
      <c r="DB984" t="s">
        <v>136</v>
      </c>
      <c r="DC984" t="s">
        <v>136</v>
      </c>
      <c r="DD984" t="s">
        <v>114</v>
      </c>
    </row>
    <row r="985" spans="1:108" ht="15" customHeight="1" x14ac:dyDescent="0.25">
      <c r="A985" t="s">
        <v>12964</v>
      </c>
      <c r="B985" t="s">
        <v>152</v>
      </c>
      <c r="C985" s="1">
        <v>45202.001894097222</v>
      </c>
      <c r="D985" s="1">
        <v>45244</v>
      </c>
      <c r="E985" t="s">
        <v>132</v>
      </c>
      <c r="F985" t="s">
        <v>2715</v>
      </c>
      <c r="G985" t="str">
        <f>"39-3091.00"</f>
        <v>39-3091.00</v>
      </c>
      <c r="H985" t="s">
        <v>237</v>
      </c>
      <c r="I985">
        <v>50</v>
      </c>
      <c r="J985">
        <v>50</v>
      </c>
      <c r="K985" s="1">
        <v>45292</v>
      </c>
      <c r="L985" s="1">
        <v>45573</v>
      </c>
      <c r="M985" s="1">
        <v>45292</v>
      </c>
      <c r="N985" s="1">
        <v>45573</v>
      </c>
      <c r="O985" t="s">
        <v>238</v>
      </c>
      <c r="P985" t="s">
        <v>12965</v>
      </c>
      <c r="R985" t="s">
        <v>12966</v>
      </c>
      <c r="T985" t="s">
        <v>12967</v>
      </c>
      <c r="U985" t="s">
        <v>543</v>
      </c>
      <c r="V985" s="8" t="str">
        <f>"43953"</f>
        <v>43953</v>
      </c>
      <c r="W985" t="s">
        <v>118</v>
      </c>
      <c r="Y985" s="10">
        <v>17402662950</v>
      </c>
      <c r="AA985">
        <v>71399</v>
      </c>
      <c r="AB985" t="s">
        <v>12968</v>
      </c>
      <c r="AC985" t="s">
        <v>3279</v>
      </c>
      <c r="AE985" t="s">
        <v>1349</v>
      </c>
      <c r="AF985" t="s">
        <v>12966</v>
      </c>
      <c r="AH985" t="s">
        <v>12967</v>
      </c>
      <c r="AI985" t="s">
        <v>543</v>
      </c>
      <c r="AJ985" s="8" t="str">
        <f>"43953"</f>
        <v>43953</v>
      </c>
      <c r="AK985" t="s">
        <v>118</v>
      </c>
      <c r="AM985" s="10">
        <v>17402662950</v>
      </c>
      <c r="AO985" t="s">
        <v>12969</v>
      </c>
      <c r="AP985" t="s">
        <v>248</v>
      </c>
      <c r="AQ985" t="s">
        <v>960</v>
      </c>
      <c r="AR985" t="s">
        <v>961</v>
      </c>
      <c r="AS985" t="s">
        <v>962</v>
      </c>
      <c r="AT985" t="s">
        <v>963</v>
      </c>
      <c r="AU985" t="s">
        <v>296</v>
      </c>
      <c r="AV985" t="s">
        <v>964</v>
      </c>
      <c r="AW985" t="s">
        <v>127</v>
      </c>
      <c r="AX985" s="8" t="str">
        <f>"75033"</f>
        <v>75033</v>
      </c>
      <c r="AY985" t="s">
        <v>118</v>
      </c>
      <c r="BA985" s="10">
        <v>19727789690</v>
      </c>
      <c r="BC985" t="s">
        <v>1388</v>
      </c>
      <c r="BD985" t="s">
        <v>966</v>
      </c>
      <c r="BG985" t="s">
        <v>543</v>
      </c>
      <c r="BH985" s="1">
        <v>45201.833333333336</v>
      </c>
      <c r="BI985">
        <v>40</v>
      </c>
      <c r="BJ985">
        <v>8</v>
      </c>
      <c r="BK985">
        <v>8</v>
      </c>
      <c r="BL985">
        <v>0</v>
      </c>
      <c r="BM985">
        <v>8</v>
      </c>
      <c r="BN985">
        <v>0</v>
      </c>
      <c r="BO985">
        <v>8</v>
      </c>
      <c r="BP985">
        <v>8</v>
      </c>
      <c r="BQ985" t="str">
        <f>"10:00 AM"</f>
        <v>10:00 AM</v>
      </c>
      <c r="BR985" t="str">
        <f>"7:00 PM"</f>
        <v>7:00 PM</v>
      </c>
      <c r="BS985" t="s">
        <v>131</v>
      </c>
      <c r="BT985">
        <v>0</v>
      </c>
      <c r="BU985">
        <v>0</v>
      </c>
      <c r="BV985" t="s">
        <v>114</v>
      </c>
      <c r="BX985" s="2" t="s">
        <v>12243</v>
      </c>
      <c r="BY985" t="s">
        <v>12966</v>
      </c>
      <c r="CA985" t="s">
        <v>12967</v>
      </c>
      <c r="CB985" t="s">
        <v>543</v>
      </c>
      <c r="CC985" s="8" t="str">
        <f>"43953"</f>
        <v>43953</v>
      </c>
      <c r="CD985" t="s">
        <v>1767</v>
      </c>
      <c r="CE985" t="s">
        <v>2758</v>
      </c>
      <c r="CF985" s="12">
        <v>10.67</v>
      </c>
      <c r="CG985" s="12">
        <v>11.72</v>
      </c>
      <c r="CH985" s="12">
        <v>16.010000000000002</v>
      </c>
      <c r="CI985" s="12">
        <v>17.579999999999998</v>
      </c>
      <c r="CJ985" t="s">
        <v>135</v>
      </c>
      <c r="CK985" t="s">
        <v>3772</v>
      </c>
      <c r="CL985" t="s">
        <v>12970</v>
      </c>
      <c r="CO985" t="s">
        <v>132</v>
      </c>
      <c r="CP985" t="s">
        <v>136</v>
      </c>
      <c r="CQ985" t="s">
        <v>136</v>
      </c>
      <c r="CR985" t="s">
        <v>136</v>
      </c>
      <c r="CS985" t="s">
        <v>136</v>
      </c>
      <c r="CT985" t="s">
        <v>136</v>
      </c>
      <c r="CU985" t="s">
        <v>136</v>
      </c>
      <c r="CV985" t="s">
        <v>12971</v>
      </c>
      <c r="CW985" s="10" t="str">
        <f>"+17402820971"</f>
        <v>+17402820971</v>
      </c>
      <c r="CX985" t="s">
        <v>132</v>
      </c>
      <c r="CY985" t="s">
        <v>3775</v>
      </c>
      <c r="CZ985" t="s">
        <v>137</v>
      </c>
      <c r="DA985" t="s">
        <v>114</v>
      </c>
      <c r="DB985" t="s">
        <v>136</v>
      </c>
      <c r="DC985" t="s">
        <v>136</v>
      </c>
      <c r="DD985" t="s">
        <v>114</v>
      </c>
    </row>
    <row r="986" spans="1:108" ht="15" customHeight="1" x14ac:dyDescent="0.25">
      <c r="A986" t="s">
        <v>1182</v>
      </c>
      <c r="B986" t="s">
        <v>152</v>
      </c>
      <c r="C986" s="1">
        <v>45201.503045254627</v>
      </c>
      <c r="D986" s="1">
        <v>45244</v>
      </c>
      <c r="E986" t="s">
        <v>132</v>
      </c>
      <c r="F986" t="s">
        <v>1183</v>
      </c>
      <c r="G986" t="str">
        <f>"37-2012.00"</f>
        <v>37-2012.00</v>
      </c>
      <c r="H986" t="s">
        <v>205</v>
      </c>
      <c r="I986">
        <v>8</v>
      </c>
      <c r="J986">
        <v>8</v>
      </c>
      <c r="K986" s="1">
        <v>45276</v>
      </c>
      <c r="L986" s="1">
        <v>45504</v>
      </c>
      <c r="M986" s="1">
        <v>45276</v>
      </c>
      <c r="N986" s="1">
        <v>45504</v>
      </c>
      <c r="O986" t="s">
        <v>238</v>
      </c>
      <c r="P986" t="s">
        <v>1184</v>
      </c>
      <c r="Q986" t="s">
        <v>1185</v>
      </c>
      <c r="R986" t="s">
        <v>1186</v>
      </c>
      <c r="T986" t="s">
        <v>1153</v>
      </c>
      <c r="U986" t="s">
        <v>1154</v>
      </c>
      <c r="V986" s="8" t="str">
        <f>"39530"</f>
        <v>39530</v>
      </c>
      <c r="W986" t="s">
        <v>118</v>
      </c>
      <c r="Y986" s="10">
        <v>12282767602</v>
      </c>
      <c r="AA986">
        <v>72112</v>
      </c>
      <c r="AB986" t="s">
        <v>1187</v>
      </c>
      <c r="AC986" t="s">
        <v>1188</v>
      </c>
      <c r="AE986" t="s">
        <v>1189</v>
      </c>
      <c r="AF986" t="s">
        <v>1186</v>
      </c>
      <c r="AH986" t="s">
        <v>1190</v>
      </c>
      <c r="AI986" t="s">
        <v>1154</v>
      </c>
      <c r="AJ986" s="8" t="str">
        <f>"39530"</f>
        <v>39530</v>
      </c>
      <c r="AK986" t="s">
        <v>118</v>
      </c>
      <c r="AM986" s="10">
        <v>12282767602</v>
      </c>
      <c r="AO986" t="s">
        <v>1191</v>
      </c>
      <c r="AP986" t="s">
        <v>121</v>
      </c>
      <c r="AQ986" t="s">
        <v>1192</v>
      </c>
      <c r="AR986" t="s">
        <v>1193</v>
      </c>
      <c r="AS986" t="s">
        <v>1194</v>
      </c>
      <c r="AT986" t="s">
        <v>1195</v>
      </c>
      <c r="AU986" t="s">
        <v>1196</v>
      </c>
      <c r="AV986" t="s">
        <v>1197</v>
      </c>
      <c r="AW986" t="s">
        <v>140</v>
      </c>
      <c r="AX986" s="8" t="str">
        <f>"33316"</f>
        <v>33316</v>
      </c>
      <c r="AY986" t="s">
        <v>118</v>
      </c>
      <c r="BA986" s="10">
        <v>15613228604</v>
      </c>
      <c r="BC986" t="s">
        <v>1198</v>
      </c>
      <c r="BD986" t="s">
        <v>1199</v>
      </c>
      <c r="BE986" t="s">
        <v>402</v>
      </c>
      <c r="BF986" t="s">
        <v>1200</v>
      </c>
      <c r="BG986" t="s">
        <v>1154</v>
      </c>
      <c r="BH986" s="1">
        <v>45200.833333333336</v>
      </c>
      <c r="BI986">
        <v>40</v>
      </c>
      <c r="BJ986">
        <v>8</v>
      </c>
      <c r="BK986">
        <v>8</v>
      </c>
      <c r="BL986">
        <v>0</v>
      </c>
      <c r="BM986">
        <v>0</v>
      </c>
      <c r="BN986">
        <v>8</v>
      </c>
      <c r="BO986">
        <v>8</v>
      </c>
      <c r="BP986">
        <v>8</v>
      </c>
      <c r="BQ986" t="str">
        <f>"7:00 AM"</f>
        <v>7:00 AM</v>
      </c>
      <c r="BR986" t="str">
        <f>"10:00 PM"</f>
        <v>10:00 PM</v>
      </c>
      <c r="BS986" t="s">
        <v>131</v>
      </c>
      <c r="BT986">
        <v>0</v>
      </c>
      <c r="BU986">
        <v>3</v>
      </c>
      <c r="BV986" t="s">
        <v>114</v>
      </c>
      <c r="BX986" t="s">
        <v>1201</v>
      </c>
      <c r="BY986" t="s">
        <v>1186</v>
      </c>
      <c r="CA986" t="s">
        <v>1153</v>
      </c>
      <c r="CB986" t="s">
        <v>1154</v>
      </c>
      <c r="CC986" s="8" t="str">
        <f>"39530"</f>
        <v>39530</v>
      </c>
      <c r="CD986" t="s">
        <v>1160</v>
      </c>
      <c r="CE986" t="s">
        <v>1161</v>
      </c>
      <c r="CF986" s="12">
        <v>11.91</v>
      </c>
      <c r="CG986" s="12">
        <v>11.91</v>
      </c>
      <c r="CH986" s="12">
        <v>17.86</v>
      </c>
      <c r="CI986" s="12">
        <v>17.86</v>
      </c>
      <c r="CJ986" t="s">
        <v>135</v>
      </c>
      <c r="CL986" t="s">
        <v>1202</v>
      </c>
      <c r="CO986" t="s">
        <v>132</v>
      </c>
      <c r="CP986" t="s">
        <v>114</v>
      </c>
      <c r="CQ986" t="s">
        <v>136</v>
      </c>
      <c r="CR986" t="s">
        <v>136</v>
      </c>
      <c r="CS986" t="s">
        <v>136</v>
      </c>
      <c r="CT986" t="s">
        <v>136</v>
      </c>
      <c r="CU986" t="s">
        <v>136</v>
      </c>
      <c r="CV986" s="2" t="s">
        <v>1203</v>
      </c>
      <c r="CW986" s="10" t="str">
        <f>"+12282767611"</f>
        <v>+12282767611</v>
      </c>
      <c r="CX986" t="s">
        <v>1204</v>
      </c>
      <c r="CY986" t="s">
        <v>132</v>
      </c>
      <c r="CZ986" t="s">
        <v>137</v>
      </c>
      <c r="DA986" t="s">
        <v>114</v>
      </c>
      <c r="DB986" t="s">
        <v>114</v>
      </c>
      <c r="DC986" t="s">
        <v>136</v>
      </c>
      <c r="DD986" t="s">
        <v>114</v>
      </c>
    </row>
    <row r="987" spans="1:108" ht="15" customHeight="1" x14ac:dyDescent="0.25">
      <c r="A987" t="s">
        <v>18403</v>
      </c>
      <c r="B987" t="s">
        <v>152</v>
      </c>
      <c r="C987" s="1">
        <v>45197.716896527774</v>
      </c>
      <c r="D987" s="1">
        <v>45244</v>
      </c>
      <c r="E987" t="s">
        <v>132</v>
      </c>
      <c r="F987" t="s">
        <v>1059</v>
      </c>
      <c r="G987" t="str">
        <f>"35-2014.00"</f>
        <v>35-2014.00</v>
      </c>
      <c r="H987" t="s">
        <v>154</v>
      </c>
      <c r="I987">
        <v>4</v>
      </c>
      <c r="J987">
        <v>4</v>
      </c>
      <c r="K987" s="1">
        <v>45275</v>
      </c>
      <c r="L987" s="1">
        <v>45383</v>
      </c>
      <c r="M987" s="1">
        <v>45275</v>
      </c>
      <c r="N987" s="1">
        <v>45383</v>
      </c>
      <c r="O987" t="s">
        <v>116</v>
      </c>
      <c r="P987" t="s">
        <v>14481</v>
      </c>
      <c r="Q987" t="s">
        <v>14482</v>
      </c>
      <c r="R987" t="s">
        <v>14483</v>
      </c>
      <c r="T987" t="s">
        <v>5036</v>
      </c>
      <c r="U987" t="s">
        <v>506</v>
      </c>
      <c r="V987" s="8" t="str">
        <f>"05091"</f>
        <v>05091</v>
      </c>
      <c r="W987" t="s">
        <v>118</v>
      </c>
      <c r="Y987" s="10">
        <v>18024576652</v>
      </c>
      <c r="AA987">
        <v>72111</v>
      </c>
      <c r="AB987" t="s">
        <v>14484</v>
      </c>
      <c r="AC987" t="s">
        <v>14485</v>
      </c>
      <c r="AE987" t="s">
        <v>1104</v>
      </c>
      <c r="AF987" t="s">
        <v>14483</v>
      </c>
      <c r="AH987" t="s">
        <v>5036</v>
      </c>
      <c r="AI987" t="s">
        <v>506</v>
      </c>
      <c r="AJ987" s="8" t="str">
        <f>"05091"</f>
        <v>05091</v>
      </c>
      <c r="AK987" t="s">
        <v>118</v>
      </c>
      <c r="AM987" s="10">
        <v>18024576652</v>
      </c>
      <c r="AO987" t="s">
        <v>14486</v>
      </c>
      <c r="AP987" t="s">
        <v>121</v>
      </c>
      <c r="AQ987" t="s">
        <v>276</v>
      </c>
      <c r="AR987" t="s">
        <v>277</v>
      </c>
      <c r="AS987" t="s">
        <v>278</v>
      </c>
      <c r="AT987" t="s">
        <v>279</v>
      </c>
      <c r="AU987" t="s">
        <v>280</v>
      </c>
      <c r="AV987" t="s">
        <v>281</v>
      </c>
      <c r="AW987" t="s">
        <v>222</v>
      </c>
      <c r="AX987" s="8" t="str">
        <f>"01701"</f>
        <v>01701</v>
      </c>
      <c r="AY987" t="s">
        <v>118</v>
      </c>
      <c r="BA987" s="10">
        <v>16179399444</v>
      </c>
      <c r="BC987" t="s">
        <v>282</v>
      </c>
      <c r="BD987" t="s">
        <v>283</v>
      </c>
      <c r="BE987" t="s">
        <v>222</v>
      </c>
      <c r="BF987" t="s">
        <v>284</v>
      </c>
      <c r="BG987" t="s">
        <v>506</v>
      </c>
      <c r="BH987" s="1">
        <v>45196.833333333336</v>
      </c>
      <c r="BI987">
        <v>35</v>
      </c>
      <c r="BJ987">
        <v>0</v>
      </c>
      <c r="BK987">
        <v>7</v>
      </c>
      <c r="BL987">
        <v>7</v>
      </c>
      <c r="BM987">
        <v>7</v>
      </c>
      <c r="BN987">
        <v>7</v>
      </c>
      <c r="BO987">
        <v>7</v>
      </c>
      <c r="BP987">
        <v>0</v>
      </c>
      <c r="BQ987" t="str">
        <f>"6:00 AM"</f>
        <v>6:00 AM</v>
      </c>
      <c r="BR987" t="str">
        <f>"1:00 PM"</f>
        <v>1:00 PM</v>
      </c>
      <c r="BS987" t="s">
        <v>131</v>
      </c>
      <c r="BT987">
        <v>0</v>
      </c>
      <c r="BU987">
        <v>6</v>
      </c>
      <c r="BV987" t="s">
        <v>114</v>
      </c>
      <c r="BX987" s="2" t="s">
        <v>18404</v>
      </c>
      <c r="BY987" t="s">
        <v>14488</v>
      </c>
      <c r="CA987" t="s">
        <v>5036</v>
      </c>
      <c r="CB987" t="s">
        <v>506</v>
      </c>
      <c r="CC987" s="8" t="str">
        <f>"05091"</f>
        <v>05091</v>
      </c>
      <c r="CD987" t="s">
        <v>14489</v>
      </c>
      <c r="CE987" t="s">
        <v>523</v>
      </c>
      <c r="CF987" s="12">
        <v>18.77</v>
      </c>
      <c r="CG987" s="12">
        <v>21</v>
      </c>
      <c r="CH987" s="12">
        <v>28.16</v>
      </c>
      <c r="CI987" s="12">
        <v>31.5</v>
      </c>
      <c r="CJ987" t="s">
        <v>135</v>
      </c>
      <c r="CK987" t="s">
        <v>18405</v>
      </c>
      <c r="CL987" t="s">
        <v>18406</v>
      </c>
      <c r="CO987" t="s">
        <v>132</v>
      </c>
      <c r="CP987" t="s">
        <v>136</v>
      </c>
      <c r="CQ987" t="s">
        <v>114</v>
      </c>
      <c r="CR987" t="s">
        <v>136</v>
      </c>
      <c r="CS987" t="s">
        <v>136</v>
      </c>
      <c r="CT987" t="s">
        <v>136</v>
      </c>
      <c r="CU987" t="s">
        <v>136</v>
      </c>
      <c r="CV987" t="s">
        <v>14492</v>
      </c>
      <c r="CW987" s="10" t="str">
        <f>"+18024576652"</f>
        <v>+18024576652</v>
      </c>
      <c r="CX987" t="s">
        <v>14486</v>
      </c>
      <c r="CY987" t="s">
        <v>132</v>
      </c>
      <c r="CZ987" t="s">
        <v>137</v>
      </c>
      <c r="DA987" t="s">
        <v>114</v>
      </c>
      <c r="DB987" t="s">
        <v>114</v>
      </c>
      <c r="DC987" t="s">
        <v>136</v>
      </c>
      <c r="DD987" t="s">
        <v>114</v>
      </c>
    </row>
    <row r="988" spans="1:108" ht="15" customHeight="1" x14ac:dyDescent="0.25">
      <c r="A988" t="s">
        <v>20766</v>
      </c>
      <c r="B988" t="s">
        <v>152</v>
      </c>
      <c r="C988" s="1">
        <v>45197.715259606484</v>
      </c>
      <c r="D988" s="1">
        <v>45244</v>
      </c>
      <c r="E988" t="s">
        <v>132</v>
      </c>
      <c r="F988" t="s">
        <v>7818</v>
      </c>
      <c r="G988" t="str">
        <f>"35-9021.00"</f>
        <v>35-9021.00</v>
      </c>
      <c r="H988" t="s">
        <v>501</v>
      </c>
      <c r="I988">
        <v>4</v>
      </c>
      <c r="J988">
        <v>4</v>
      </c>
      <c r="K988" s="1">
        <v>45275</v>
      </c>
      <c r="L988" s="1">
        <v>45383</v>
      </c>
      <c r="M988" s="1">
        <v>45275</v>
      </c>
      <c r="N988" s="1">
        <v>45383</v>
      </c>
      <c r="O988" t="s">
        <v>116</v>
      </c>
      <c r="P988" t="s">
        <v>14481</v>
      </c>
      <c r="Q988" t="s">
        <v>14482</v>
      </c>
      <c r="R988" t="s">
        <v>14483</v>
      </c>
      <c r="T988" t="s">
        <v>5036</v>
      </c>
      <c r="U988" t="s">
        <v>506</v>
      </c>
      <c r="V988" s="8" t="str">
        <f>"05091"</f>
        <v>05091</v>
      </c>
      <c r="W988" t="s">
        <v>118</v>
      </c>
      <c r="Y988" s="10">
        <v>18024576652</v>
      </c>
      <c r="AA988">
        <v>72111</v>
      </c>
      <c r="AB988" t="s">
        <v>14484</v>
      </c>
      <c r="AC988" t="s">
        <v>14485</v>
      </c>
      <c r="AE988" t="s">
        <v>1104</v>
      </c>
      <c r="AF988" t="s">
        <v>14483</v>
      </c>
      <c r="AH988" t="s">
        <v>5036</v>
      </c>
      <c r="AI988" t="s">
        <v>506</v>
      </c>
      <c r="AJ988" s="8" t="str">
        <f>"05091"</f>
        <v>05091</v>
      </c>
      <c r="AK988" t="s">
        <v>118</v>
      </c>
      <c r="AM988" s="10">
        <v>18024576652</v>
      </c>
      <c r="AO988" t="s">
        <v>14486</v>
      </c>
      <c r="AP988" t="s">
        <v>121</v>
      </c>
      <c r="AQ988" t="s">
        <v>276</v>
      </c>
      <c r="AR988" t="s">
        <v>277</v>
      </c>
      <c r="AS988" t="s">
        <v>278</v>
      </c>
      <c r="AT988" t="s">
        <v>279</v>
      </c>
      <c r="AU988" t="s">
        <v>280</v>
      </c>
      <c r="AV988" t="s">
        <v>281</v>
      </c>
      <c r="AW988" t="s">
        <v>222</v>
      </c>
      <c r="AX988" s="8" t="str">
        <f>"01701"</f>
        <v>01701</v>
      </c>
      <c r="AY988" t="s">
        <v>118</v>
      </c>
      <c r="BA988" s="10">
        <v>16179399444</v>
      </c>
      <c r="BC988" t="s">
        <v>282</v>
      </c>
      <c r="BD988" t="s">
        <v>283</v>
      </c>
      <c r="BE988" t="s">
        <v>222</v>
      </c>
      <c r="BF988" t="s">
        <v>284</v>
      </c>
      <c r="BG988" t="s">
        <v>506</v>
      </c>
      <c r="BH988" s="1">
        <v>45196.833333333336</v>
      </c>
      <c r="BI988">
        <v>35</v>
      </c>
      <c r="BJ988">
        <v>0</v>
      </c>
      <c r="BK988">
        <v>7</v>
      </c>
      <c r="BL988">
        <v>7</v>
      </c>
      <c r="BM988">
        <v>7</v>
      </c>
      <c r="BN988">
        <v>7</v>
      </c>
      <c r="BO988">
        <v>7</v>
      </c>
      <c r="BP988">
        <v>0</v>
      </c>
      <c r="BQ988" t="str">
        <f>"8:00 AM"</f>
        <v>8:00 AM</v>
      </c>
      <c r="BR988" t="str">
        <f>"3:00 PM"</f>
        <v>3:00 PM</v>
      </c>
      <c r="BS988" t="s">
        <v>131</v>
      </c>
      <c r="BT988">
        <v>0</v>
      </c>
      <c r="BU988">
        <v>3</v>
      </c>
      <c r="BV988" t="s">
        <v>114</v>
      </c>
      <c r="BX988" s="2" t="s">
        <v>20767</v>
      </c>
      <c r="BY988" t="s">
        <v>14488</v>
      </c>
      <c r="CA988" t="s">
        <v>5036</v>
      </c>
      <c r="CB988" t="s">
        <v>506</v>
      </c>
      <c r="CC988" s="8" t="str">
        <f>"05091"</f>
        <v>05091</v>
      </c>
      <c r="CD988" t="s">
        <v>14489</v>
      </c>
      <c r="CE988" t="s">
        <v>523</v>
      </c>
      <c r="CF988" s="12">
        <v>15</v>
      </c>
      <c r="CG988" s="12">
        <v>18</v>
      </c>
      <c r="CH988" s="12">
        <v>22.5</v>
      </c>
      <c r="CI988" s="12">
        <v>27</v>
      </c>
      <c r="CJ988" t="s">
        <v>135</v>
      </c>
      <c r="CK988" t="s">
        <v>20768</v>
      </c>
      <c r="CL988" t="s">
        <v>20769</v>
      </c>
      <c r="CO988" t="s">
        <v>132</v>
      </c>
      <c r="CP988" t="s">
        <v>114</v>
      </c>
      <c r="CQ988" t="s">
        <v>114</v>
      </c>
      <c r="CR988" t="s">
        <v>136</v>
      </c>
      <c r="CS988" t="s">
        <v>136</v>
      </c>
      <c r="CT988" t="s">
        <v>136</v>
      </c>
      <c r="CU988" t="s">
        <v>136</v>
      </c>
      <c r="CV988" t="s">
        <v>14492</v>
      </c>
      <c r="CW988" s="10" t="str">
        <f>"+18024576652"</f>
        <v>+18024576652</v>
      </c>
      <c r="CX988" t="s">
        <v>14486</v>
      </c>
      <c r="CY988" t="s">
        <v>132</v>
      </c>
      <c r="CZ988" t="s">
        <v>137</v>
      </c>
      <c r="DA988" t="s">
        <v>114</v>
      </c>
      <c r="DB988" t="s">
        <v>114</v>
      </c>
      <c r="DC988" t="s">
        <v>136</v>
      </c>
      <c r="DD988" t="s">
        <v>114</v>
      </c>
    </row>
    <row r="989" spans="1:108" ht="15" customHeight="1" x14ac:dyDescent="0.25">
      <c r="A989" t="s">
        <v>14480</v>
      </c>
      <c r="B989" t="s">
        <v>152</v>
      </c>
      <c r="C989" s="1">
        <v>45197.714472106483</v>
      </c>
      <c r="D989" s="1">
        <v>45244</v>
      </c>
      <c r="E989" t="s">
        <v>132</v>
      </c>
      <c r="F989" t="s">
        <v>2512</v>
      </c>
      <c r="G989" t="str">
        <f>"35-3031.00"</f>
        <v>35-3031.00</v>
      </c>
      <c r="H989" t="s">
        <v>347</v>
      </c>
      <c r="I989">
        <v>6</v>
      </c>
      <c r="J989">
        <v>6</v>
      </c>
      <c r="K989" s="1">
        <v>45275</v>
      </c>
      <c r="L989" s="1">
        <v>45383</v>
      </c>
      <c r="M989" s="1">
        <v>45275</v>
      </c>
      <c r="N989" s="1">
        <v>45383</v>
      </c>
      <c r="O989" t="s">
        <v>116</v>
      </c>
      <c r="P989" t="s">
        <v>14481</v>
      </c>
      <c r="Q989" t="s">
        <v>14482</v>
      </c>
      <c r="R989" t="s">
        <v>14483</v>
      </c>
      <c r="T989" t="s">
        <v>5036</v>
      </c>
      <c r="U989" t="s">
        <v>506</v>
      </c>
      <c r="V989" s="8" t="str">
        <f>"05091"</f>
        <v>05091</v>
      </c>
      <c r="W989" t="s">
        <v>118</v>
      </c>
      <c r="Y989" s="10">
        <v>18024576652</v>
      </c>
      <c r="AA989">
        <v>72111</v>
      </c>
      <c r="AB989" t="s">
        <v>14484</v>
      </c>
      <c r="AC989" t="s">
        <v>14485</v>
      </c>
      <c r="AE989" t="s">
        <v>1104</v>
      </c>
      <c r="AF989" t="s">
        <v>14483</v>
      </c>
      <c r="AH989" t="s">
        <v>5036</v>
      </c>
      <c r="AI989" t="s">
        <v>506</v>
      </c>
      <c r="AJ989" s="8" t="str">
        <f>"05091"</f>
        <v>05091</v>
      </c>
      <c r="AK989" t="s">
        <v>118</v>
      </c>
      <c r="AM989" s="10">
        <v>18024576652</v>
      </c>
      <c r="AO989" t="s">
        <v>14486</v>
      </c>
      <c r="AP989" t="s">
        <v>121</v>
      </c>
      <c r="AQ989" t="s">
        <v>276</v>
      </c>
      <c r="AR989" t="s">
        <v>277</v>
      </c>
      <c r="AS989" t="s">
        <v>278</v>
      </c>
      <c r="AT989" t="s">
        <v>279</v>
      </c>
      <c r="AU989" t="s">
        <v>280</v>
      </c>
      <c r="AV989" t="s">
        <v>281</v>
      </c>
      <c r="AW989" t="s">
        <v>222</v>
      </c>
      <c r="AX989" s="8" t="str">
        <f>"01701"</f>
        <v>01701</v>
      </c>
      <c r="AY989" t="s">
        <v>118</v>
      </c>
      <c r="BA989" s="10">
        <v>16179399444</v>
      </c>
      <c r="BC989" t="s">
        <v>282</v>
      </c>
      <c r="BD989" t="s">
        <v>283</v>
      </c>
      <c r="BE989" t="s">
        <v>222</v>
      </c>
      <c r="BF989" t="s">
        <v>284</v>
      </c>
      <c r="BG989" t="s">
        <v>506</v>
      </c>
      <c r="BH989" s="1">
        <v>45196.833333333336</v>
      </c>
      <c r="BI989">
        <v>35</v>
      </c>
      <c r="BJ989">
        <v>0</v>
      </c>
      <c r="BK989">
        <v>7</v>
      </c>
      <c r="BL989">
        <v>7</v>
      </c>
      <c r="BM989">
        <v>7</v>
      </c>
      <c r="BN989">
        <v>7</v>
      </c>
      <c r="BO989">
        <v>7</v>
      </c>
      <c r="BP989">
        <v>0</v>
      </c>
      <c r="BQ989" t="str">
        <f>"6:30 AM"</f>
        <v>6:30 AM</v>
      </c>
      <c r="BR989" t="str">
        <f>"1:30 PM"</f>
        <v>1:30 PM</v>
      </c>
      <c r="BS989" t="s">
        <v>131</v>
      </c>
      <c r="BT989">
        <v>0</v>
      </c>
      <c r="BU989">
        <v>3</v>
      </c>
      <c r="BV989" t="s">
        <v>114</v>
      </c>
      <c r="BX989" s="2" t="s">
        <v>14487</v>
      </c>
      <c r="BY989" t="s">
        <v>14488</v>
      </c>
      <c r="CA989" t="s">
        <v>5036</v>
      </c>
      <c r="CB989" t="s">
        <v>506</v>
      </c>
      <c r="CC989" s="8" t="str">
        <f>"05091"</f>
        <v>05091</v>
      </c>
      <c r="CD989" t="s">
        <v>14489</v>
      </c>
      <c r="CE989" t="s">
        <v>523</v>
      </c>
      <c r="CF989" s="12">
        <v>21.49</v>
      </c>
      <c r="CH989" s="12">
        <v>32.24</v>
      </c>
      <c r="CJ989" t="s">
        <v>135</v>
      </c>
      <c r="CK989" t="s">
        <v>14490</v>
      </c>
      <c r="CL989" t="s">
        <v>14491</v>
      </c>
      <c r="CO989" t="s">
        <v>132</v>
      </c>
      <c r="CP989" t="s">
        <v>114</v>
      </c>
      <c r="CQ989" t="s">
        <v>114</v>
      </c>
      <c r="CR989" t="s">
        <v>136</v>
      </c>
      <c r="CS989" t="s">
        <v>136</v>
      </c>
      <c r="CT989" t="s">
        <v>136</v>
      </c>
      <c r="CU989" t="s">
        <v>136</v>
      </c>
      <c r="CV989" t="s">
        <v>14492</v>
      </c>
      <c r="CW989" s="10" t="str">
        <f>"+18024576652"</f>
        <v>+18024576652</v>
      </c>
      <c r="CX989" t="s">
        <v>14486</v>
      </c>
      <c r="CY989" t="s">
        <v>132</v>
      </c>
      <c r="CZ989" t="s">
        <v>137</v>
      </c>
      <c r="DA989" t="s">
        <v>114</v>
      </c>
      <c r="DB989" t="s">
        <v>114</v>
      </c>
      <c r="DC989" t="s">
        <v>136</v>
      </c>
      <c r="DD989" t="s">
        <v>114</v>
      </c>
    </row>
    <row r="990" spans="1:108" ht="15" customHeight="1" x14ac:dyDescent="0.25">
      <c r="A990" t="s">
        <v>11548</v>
      </c>
      <c r="B990" t="s">
        <v>152</v>
      </c>
      <c r="C990" s="1">
        <v>45197.573593634261</v>
      </c>
      <c r="D990" s="1">
        <v>45244</v>
      </c>
      <c r="E990" t="s">
        <v>132</v>
      </c>
      <c r="F990" t="s">
        <v>865</v>
      </c>
      <c r="G990" t="str">
        <f>"37-3011.00"</f>
        <v>37-3011.00</v>
      </c>
      <c r="H990" t="s">
        <v>429</v>
      </c>
      <c r="I990">
        <v>57</v>
      </c>
      <c r="J990">
        <v>57</v>
      </c>
      <c r="K990" s="1">
        <v>45272</v>
      </c>
      <c r="L990" s="1">
        <v>45413</v>
      </c>
      <c r="M990" s="1">
        <v>45272</v>
      </c>
      <c r="N990" s="1">
        <v>45413</v>
      </c>
      <c r="O990" t="s">
        <v>116</v>
      </c>
      <c r="P990" t="s">
        <v>11549</v>
      </c>
      <c r="R990" t="s">
        <v>11550</v>
      </c>
      <c r="S990" t="s">
        <v>11551</v>
      </c>
      <c r="T990" t="s">
        <v>8093</v>
      </c>
      <c r="U990" t="s">
        <v>127</v>
      </c>
      <c r="V990" s="8" t="str">
        <f>"75001"</f>
        <v>75001</v>
      </c>
      <c r="W990" t="s">
        <v>118</v>
      </c>
      <c r="Y990" s="10">
        <v>14695264015</v>
      </c>
      <c r="AA990">
        <v>561730</v>
      </c>
      <c r="AB990" t="s">
        <v>869</v>
      </c>
      <c r="AC990" t="s">
        <v>870</v>
      </c>
      <c r="AE990" t="s">
        <v>871</v>
      </c>
      <c r="AF990" t="s">
        <v>11552</v>
      </c>
      <c r="AG990" t="s">
        <v>8316</v>
      </c>
      <c r="AH990" t="s">
        <v>8093</v>
      </c>
      <c r="AI990" t="s">
        <v>127</v>
      </c>
      <c r="AJ990" s="8" t="str">
        <f>"75001"</f>
        <v>75001</v>
      </c>
      <c r="AK990" t="s">
        <v>118</v>
      </c>
      <c r="AM990" s="10">
        <v>14695264015</v>
      </c>
      <c r="AO990" t="s">
        <v>872</v>
      </c>
      <c r="AP990" t="s">
        <v>121</v>
      </c>
      <c r="AQ990" t="s">
        <v>707</v>
      </c>
      <c r="AR990" t="s">
        <v>708</v>
      </c>
      <c r="AS990" t="s">
        <v>709</v>
      </c>
      <c r="AT990" t="s">
        <v>873</v>
      </c>
      <c r="AU990" t="s">
        <v>874</v>
      </c>
      <c r="AV990" t="s">
        <v>603</v>
      </c>
      <c r="AW990" t="s">
        <v>127</v>
      </c>
      <c r="AX990" s="8" t="str">
        <f>"78746"</f>
        <v>78746</v>
      </c>
      <c r="AY990" t="s">
        <v>118</v>
      </c>
      <c r="BA990" s="10">
        <v>17372040093</v>
      </c>
      <c r="BC990" t="s">
        <v>2632</v>
      </c>
      <c r="BD990" t="s">
        <v>876</v>
      </c>
      <c r="BE990" t="s">
        <v>127</v>
      </c>
      <c r="BF990" t="s">
        <v>713</v>
      </c>
      <c r="BG990" t="s">
        <v>127</v>
      </c>
      <c r="BH990" s="1">
        <v>45196.833333333336</v>
      </c>
      <c r="BI990">
        <v>40</v>
      </c>
      <c r="BJ990">
        <v>0</v>
      </c>
      <c r="BK990">
        <v>8</v>
      </c>
      <c r="BL990">
        <v>8</v>
      </c>
      <c r="BM990">
        <v>8</v>
      </c>
      <c r="BN990">
        <v>8</v>
      </c>
      <c r="BO990">
        <v>8</v>
      </c>
      <c r="BP990">
        <v>0</v>
      </c>
      <c r="BQ990" t="str">
        <f>"7:00 AM"</f>
        <v>7:00 AM</v>
      </c>
      <c r="BR990" t="str">
        <f>"4:00 PM"</f>
        <v>4:00 PM</v>
      </c>
      <c r="BS990" t="s">
        <v>131</v>
      </c>
      <c r="BT990">
        <v>0</v>
      </c>
      <c r="BU990">
        <v>3</v>
      </c>
      <c r="BV990" t="s">
        <v>114</v>
      </c>
      <c r="BX990" s="2" t="s">
        <v>11553</v>
      </c>
      <c r="BY990" t="s">
        <v>11550</v>
      </c>
      <c r="BZ990" t="s">
        <v>8316</v>
      </c>
      <c r="CA990" t="s">
        <v>8093</v>
      </c>
      <c r="CB990" t="s">
        <v>127</v>
      </c>
      <c r="CC990" s="8" t="str">
        <f>"75001"</f>
        <v>75001</v>
      </c>
      <c r="CD990" t="s">
        <v>2301</v>
      </c>
      <c r="CE990" t="s">
        <v>263</v>
      </c>
      <c r="CF990" s="12">
        <v>16.86</v>
      </c>
      <c r="CG990" s="12">
        <v>23.86</v>
      </c>
      <c r="CH990" s="12">
        <v>25.29</v>
      </c>
      <c r="CI990" s="12">
        <v>35.79</v>
      </c>
      <c r="CJ990" t="s">
        <v>135</v>
      </c>
      <c r="CK990" t="s">
        <v>880</v>
      </c>
      <c r="CL990" t="s">
        <v>11554</v>
      </c>
      <c r="CO990" t="s">
        <v>132</v>
      </c>
      <c r="CP990" t="s">
        <v>136</v>
      </c>
      <c r="CQ990" t="s">
        <v>136</v>
      </c>
      <c r="CR990" t="s">
        <v>136</v>
      </c>
      <c r="CS990" t="s">
        <v>136</v>
      </c>
      <c r="CT990" t="s">
        <v>136</v>
      </c>
      <c r="CU990" t="s">
        <v>136</v>
      </c>
      <c r="CV990" t="s">
        <v>882</v>
      </c>
      <c r="CW990" s="10" t="str">
        <f>"+14695264015"</f>
        <v>+14695264015</v>
      </c>
      <c r="CX990" t="s">
        <v>883</v>
      </c>
      <c r="CY990" t="s">
        <v>132</v>
      </c>
      <c r="CZ990" t="s">
        <v>137</v>
      </c>
      <c r="DA990" t="s">
        <v>114</v>
      </c>
      <c r="DB990" t="s">
        <v>114</v>
      </c>
      <c r="DC990" t="s">
        <v>136</v>
      </c>
      <c r="DD990" t="s">
        <v>114</v>
      </c>
    </row>
    <row r="991" spans="1:108" ht="15" customHeight="1" x14ac:dyDescent="0.25">
      <c r="A991" t="s">
        <v>10055</v>
      </c>
      <c r="B991" t="s">
        <v>152</v>
      </c>
      <c r="C991" s="1">
        <v>45194.622102893518</v>
      </c>
      <c r="D991" s="1">
        <v>45244</v>
      </c>
      <c r="E991" t="s">
        <v>132</v>
      </c>
      <c r="F991" t="s">
        <v>2417</v>
      </c>
      <c r="G991" t="str">
        <f>"37-2012.00"</f>
        <v>37-2012.00</v>
      </c>
      <c r="H991" t="s">
        <v>205</v>
      </c>
      <c r="I991">
        <v>16</v>
      </c>
      <c r="J991">
        <v>16</v>
      </c>
      <c r="K991" s="1">
        <v>45269</v>
      </c>
      <c r="L991" s="1">
        <v>45543</v>
      </c>
      <c r="M991" s="1">
        <v>45269</v>
      </c>
      <c r="N991" s="1">
        <v>45543</v>
      </c>
      <c r="O991" t="s">
        <v>116</v>
      </c>
      <c r="P991" t="s">
        <v>2418</v>
      </c>
      <c r="R991" t="s">
        <v>2419</v>
      </c>
      <c r="T991" t="s">
        <v>2420</v>
      </c>
      <c r="U991" t="s">
        <v>386</v>
      </c>
      <c r="V991" s="8" t="str">
        <f>"38555"</f>
        <v>38555</v>
      </c>
      <c r="W991" t="s">
        <v>118</v>
      </c>
      <c r="Y991" s="10">
        <v>18004891718</v>
      </c>
      <c r="AA991">
        <v>56172</v>
      </c>
      <c r="AB991" t="s">
        <v>6839</v>
      </c>
      <c r="AC991" t="s">
        <v>6840</v>
      </c>
      <c r="AE991" t="s">
        <v>6841</v>
      </c>
      <c r="AF991" t="s">
        <v>2419</v>
      </c>
      <c r="AH991" t="s">
        <v>2420</v>
      </c>
      <c r="AI991" t="s">
        <v>386</v>
      </c>
      <c r="AJ991" s="8" t="str">
        <f>"38555"</f>
        <v>38555</v>
      </c>
      <c r="AK991" t="s">
        <v>118</v>
      </c>
      <c r="AM991" s="10">
        <v>14077231164</v>
      </c>
      <c r="AO991" t="s">
        <v>2422</v>
      </c>
      <c r="AX991" s="8" t="str">
        <f>""</f>
        <v/>
      </c>
      <c r="BG991" t="s">
        <v>158</v>
      </c>
      <c r="BH991" s="1">
        <v>45193.833333333336</v>
      </c>
      <c r="BI991">
        <v>35</v>
      </c>
      <c r="BJ991">
        <v>7</v>
      </c>
      <c r="BK991">
        <v>0</v>
      </c>
      <c r="BL991">
        <v>0</v>
      </c>
      <c r="BM991">
        <v>7</v>
      </c>
      <c r="BN991">
        <v>7</v>
      </c>
      <c r="BO991">
        <v>7</v>
      </c>
      <c r="BP991">
        <v>7</v>
      </c>
      <c r="BQ991" t="str">
        <f>"9:00 AM"</f>
        <v>9:00 AM</v>
      </c>
      <c r="BR991" t="str">
        <f>"4:00 PM"</f>
        <v>4:00 PM</v>
      </c>
      <c r="BS991" t="s">
        <v>131</v>
      </c>
      <c r="BT991">
        <v>0</v>
      </c>
      <c r="BU991">
        <v>3</v>
      </c>
      <c r="BV991" t="s">
        <v>114</v>
      </c>
      <c r="BX991" s="2" t="s">
        <v>2423</v>
      </c>
      <c r="BY991" t="s">
        <v>10056</v>
      </c>
      <c r="CA991" t="s">
        <v>157</v>
      </c>
      <c r="CB991" t="s">
        <v>158</v>
      </c>
      <c r="CC991" s="8" t="str">
        <f>"49713"</f>
        <v>49713</v>
      </c>
      <c r="CD991" t="s">
        <v>174</v>
      </c>
      <c r="CE991" t="s">
        <v>175</v>
      </c>
      <c r="CF991" s="12">
        <v>14.51</v>
      </c>
      <c r="CH991" s="12">
        <v>21.77</v>
      </c>
      <c r="CJ991" t="s">
        <v>305</v>
      </c>
      <c r="CK991" t="s">
        <v>10057</v>
      </c>
      <c r="CL991" t="s">
        <v>10058</v>
      </c>
      <c r="CO991" t="s">
        <v>132</v>
      </c>
      <c r="CP991" t="s">
        <v>114</v>
      </c>
      <c r="CQ991" t="s">
        <v>136</v>
      </c>
      <c r="CR991" t="s">
        <v>136</v>
      </c>
      <c r="CS991" t="s">
        <v>136</v>
      </c>
      <c r="CT991" t="s">
        <v>136</v>
      </c>
      <c r="CU991" t="s">
        <v>136</v>
      </c>
      <c r="CV991" t="s">
        <v>10059</v>
      </c>
      <c r="CW991" s="10" t="str">
        <f>"+14077231139"</f>
        <v>+14077231139</v>
      </c>
      <c r="CX991" t="s">
        <v>2427</v>
      </c>
      <c r="CY991" t="s">
        <v>132</v>
      </c>
      <c r="CZ991" t="s">
        <v>137</v>
      </c>
      <c r="DA991" t="s">
        <v>114</v>
      </c>
      <c r="DB991" t="s">
        <v>136</v>
      </c>
      <c r="DC991" t="s">
        <v>136</v>
      </c>
      <c r="DD991" t="s">
        <v>114</v>
      </c>
    </row>
    <row r="992" spans="1:108" ht="15" customHeight="1" x14ac:dyDescent="0.25">
      <c r="A992" t="s">
        <v>7171</v>
      </c>
      <c r="B992" t="s">
        <v>152</v>
      </c>
      <c r="C992" s="1">
        <v>45189.694326736113</v>
      </c>
      <c r="D992" s="1">
        <v>45244</v>
      </c>
      <c r="E992" t="s">
        <v>132</v>
      </c>
      <c r="F992" t="s">
        <v>3992</v>
      </c>
      <c r="G992" t="str">
        <f>"37-3011.00"</f>
        <v>37-3011.00</v>
      </c>
      <c r="H992" t="s">
        <v>429</v>
      </c>
      <c r="I992">
        <v>3</v>
      </c>
      <c r="J992">
        <v>3</v>
      </c>
      <c r="K992" s="1">
        <v>45264</v>
      </c>
      <c r="L992" s="1">
        <v>45382</v>
      </c>
      <c r="M992" s="1">
        <v>45264</v>
      </c>
      <c r="N992" s="1">
        <v>45382</v>
      </c>
      <c r="O992" t="s">
        <v>238</v>
      </c>
      <c r="P992" t="s">
        <v>7172</v>
      </c>
      <c r="R992" t="s">
        <v>7173</v>
      </c>
      <c r="T992" t="s">
        <v>7174</v>
      </c>
      <c r="U992" t="s">
        <v>211</v>
      </c>
      <c r="V992" s="8" t="str">
        <f>"84096"</f>
        <v>84096</v>
      </c>
      <c r="W992" t="s">
        <v>118</v>
      </c>
      <c r="Y992" s="10">
        <v>18013360933</v>
      </c>
      <c r="AA992">
        <v>56173</v>
      </c>
      <c r="AB992" t="s">
        <v>1820</v>
      </c>
      <c r="AC992" t="s">
        <v>2602</v>
      </c>
      <c r="AE992" t="s">
        <v>120</v>
      </c>
      <c r="AF992" t="s">
        <v>7173</v>
      </c>
      <c r="AH992" t="s">
        <v>7174</v>
      </c>
      <c r="AI992" t="s">
        <v>211</v>
      </c>
      <c r="AJ992" s="8" t="str">
        <f>"84096"</f>
        <v>84096</v>
      </c>
      <c r="AK992" t="s">
        <v>118</v>
      </c>
      <c r="AM992" s="10">
        <v>18013360933</v>
      </c>
      <c r="AO992" t="s">
        <v>7175</v>
      </c>
      <c r="AP992" t="s">
        <v>248</v>
      </c>
      <c r="AQ992" t="s">
        <v>1700</v>
      </c>
      <c r="AR992" t="s">
        <v>1701</v>
      </c>
      <c r="AT992" t="s">
        <v>1702</v>
      </c>
      <c r="AV992" t="s">
        <v>2467</v>
      </c>
      <c r="AW992" t="s">
        <v>211</v>
      </c>
      <c r="AX992" s="8" t="str">
        <f>"84059"</f>
        <v>84059</v>
      </c>
      <c r="AY992" t="s">
        <v>118</v>
      </c>
      <c r="BA992" s="10">
        <v>18013677097</v>
      </c>
      <c r="BC992" t="s">
        <v>4601</v>
      </c>
      <c r="BD992" t="s">
        <v>4602</v>
      </c>
      <c r="BG992" t="s">
        <v>211</v>
      </c>
      <c r="BH992" s="1">
        <v>45188.833333333336</v>
      </c>
      <c r="BI992">
        <v>40</v>
      </c>
      <c r="BJ992">
        <v>0</v>
      </c>
      <c r="BK992">
        <v>8</v>
      </c>
      <c r="BL992">
        <v>8</v>
      </c>
      <c r="BM992">
        <v>8</v>
      </c>
      <c r="BN992">
        <v>8</v>
      </c>
      <c r="BO992">
        <v>8</v>
      </c>
      <c r="BP992">
        <v>0</v>
      </c>
      <c r="BQ992" t="str">
        <f>"7:00 AM"</f>
        <v>7:00 AM</v>
      </c>
      <c r="BR992" t="str">
        <f>"4:00 PM"</f>
        <v>4:00 PM</v>
      </c>
      <c r="BS992" t="s">
        <v>131</v>
      </c>
      <c r="BT992">
        <v>0</v>
      </c>
      <c r="BU992">
        <v>0</v>
      </c>
      <c r="BV992" t="s">
        <v>114</v>
      </c>
      <c r="BX992" s="2" t="s">
        <v>7176</v>
      </c>
      <c r="BY992" t="s">
        <v>7173</v>
      </c>
      <c r="CA992" t="s">
        <v>7174</v>
      </c>
      <c r="CB992" t="s">
        <v>211</v>
      </c>
      <c r="CC992" s="8" t="str">
        <f>"84096"</f>
        <v>84096</v>
      </c>
      <c r="CD992" t="s">
        <v>1567</v>
      </c>
      <c r="CE992" t="s">
        <v>1568</v>
      </c>
      <c r="CF992" s="12">
        <v>18.82</v>
      </c>
      <c r="CJ992" t="s">
        <v>135</v>
      </c>
      <c r="CK992" t="s">
        <v>6495</v>
      </c>
      <c r="CL992" t="s">
        <v>7177</v>
      </c>
      <c r="CO992" t="s">
        <v>132</v>
      </c>
      <c r="CP992" t="s">
        <v>136</v>
      </c>
      <c r="CQ992" t="s">
        <v>136</v>
      </c>
      <c r="CR992" t="s">
        <v>114</v>
      </c>
      <c r="CS992" t="s">
        <v>114</v>
      </c>
      <c r="CT992" t="s">
        <v>136</v>
      </c>
      <c r="CU992" t="s">
        <v>114</v>
      </c>
      <c r="CV992" t="s">
        <v>2470</v>
      </c>
      <c r="CW992" s="10" t="str">
        <f>"+18013360933"</f>
        <v>+18013360933</v>
      </c>
      <c r="CX992" t="s">
        <v>7175</v>
      </c>
      <c r="CY992" t="s">
        <v>132</v>
      </c>
      <c r="CZ992" t="s">
        <v>137</v>
      </c>
      <c r="DA992" t="s">
        <v>114</v>
      </c>
      <c r="DB992" t="s">
        <v>114</v>
      </c>
      <c r="DC992" t="s">
        <v>136</v>
      </c>
      <c r="DD992" t="s">
        <v>114</v>
      </c>
    </row>
    <row r="993" spans="1:108" ht="15" customHeight="1" x14ac:dyDescent="0.25">
      <c r="A993" t="s">
        <v>6592</v>
      </c>
      <c r="B993" t="s">
        <v>152</v>
      </c>
      <c r="C993" s="1">
        <v>45189.475700694442</v>
      </c>
      <c r="D993" s="1">
        <v>45244</v>
      </c>
      <c r="E993" t="s">
        <v>132</v>
      </c>
      <c r="F993" t="s">
        <v>3992</v>
      </c>
      <c r="G993" t="str">
        <f>"37-3011.00"</f>
        <v>37-3011.00</v>
      </c>
      <c r="H993" t="s">
        <v>429</v>
      </c>
      <c r="I993">
        <v>12</v>
      </c>
      <c r="J993">
        <v>12</v>
      </c>
      <c r="K993" s="1">
        <v>45264</v>
      </c>
      <c r="L993" s="1">
        <v>45382</v>
      </c>
      <c r="M993" s="1">
        <v>45264</v>
      </c>
      <c r="N993" s="1">
        <v>45382</v>
      </c>
      <c r="O993" t="s">
        <v>238</v>
      </c>
      <c r="P993" t="s">
        <v>5217</v>
      </c>
      <c r="R993" t="s">
        <v>5218</v>
      </c>
      <c r="T993" t="s">
        <v>1563</v>
      </c>
      <c r="U993" t="s">
        <v>211</v>
      </c>
      <c r="V993" s="8" t="str">
        <f>"84104"</f>
        <v>84104</v>
      </c>
      <c r="W993" t="s">
        <v>118</v>
      </c>
      <c r="Y993" s="10">
        <v>18014848389</v>
      </c>
      <c r="AA993">
        <v>56173</v>
      </c>
      <c r="AB993" t="s">
        <v>5219</v>
      </c>
      <c r="AC993" t="s">
        <v>3661</v>
      </c>
      <c r="AD993" t="s">
        <v>1714</v>
      </c>
      <c r="AE993" t="s">
        <v>120</v>
      </c>
      <c r="AF993" t="s">
        <v>5218</v>
      </c>
      <c r="AH993" t="s">
        <v>1563</v>
      </c>
      <c r="AI993" t="s">
        <v>211</v>
      </c>
      <c r="AJ993" s="8" t="str">
        <f>"84104"</f>
        <v>84104</v>
      </c>
      <c r="AK993" t="s">
        <v>118</v>
      </c>
      <c r="AM993" s="10">
        <v>18014848389</v>
      </c>
      <c r="AO993" t="s">
        <v>5220</v>
      </c>
      <c r="AP993" t="s">
        <v>248</v>
      </c>
      <c r="AQ993" t="s">
        <v>1700</v>
      </c>
      <c r="AR993" t="s">
        <v>1701</v>
      </c>
      <c r="AT993" t="s">
        <v>1702</v>
      </c>
      <c r="AV993" t="s">
        <v>2467</v>
      </c>
      <c r="AW993" t="s">
        <v>211</v>
      </c>
      <c r="AX993" s="8" t="str">
        <f>"84059"</f>
        <v>84059</v>
      </c>
      <c r="AY993" t="s">
        <v>118</v>
      </c>
      <c r="BA993" s="10">
        <v>18013677097</v>
      </c>
      <c r="BC993" t="s">
        <v>4601</v>
      </c>
      <c r="BD993" t="s">
        <v>4602</v>
      </c>
      <c r="BG993" t="s">
        <v>211</v>
      </c>
      <c r="BH993" s="1">
        <v>45188.833333333336</v>
      </c>
      <c r="BI993">
        <v>35</v>
      </c>
      <c r="BJ993">
        <v>0</v>
      </c>
      <c r="BK993">
        <v>7</v>
      </c>
      <c r="BL993">
        <v>7</v>
      </c>
      <c r="BM993">
        <v>7</v>
      </c>
      <c r="BN993">
        <v>7</v>
      </c>
      <c r="BO993">
        <v>7</v>
      </c>
      <c r="BP993">
        <v>0</v>
      </c>
      <c r="BQ993" t="str">
        <f>"8:00 AM"</f>
        <v>8:00 AM</v>
      </c>
      <c r="BR993" t="str">
        <f>"3:30 PM"</f>
        <v>3:30 PM</v>
      </c>
      <c r="BS993" t="s">
        <v>131</v>
      </c>
      <c r="BT993">
        <v>0</v>
      </c>
      <c r="BU993">
        <v>0</v>
      </c>
      <c r="BV993" t="s">
        <v>114</v>
      </c>
      <c r="BX993" s="2" t="s">
        <v>5221</v>
      </c>
      <c r="BY993" t="s">
        <v>5218</v>
      </c>
      <c r="CA993" t="s">
        <v>1563</v>
      </c>
      <c r="CB993" t="s">
        <v>211</v>
      </c>
      <c r="CC993" s="8" t="str">
        <f>"84104"</f>
        <v>84104</v>
      </c>
      <c r="CD993" t="s">
        <v>1567</v>
      </c>
      <c r="CE993" t="s">
        <v>1568</v>
      </c>
      <c r="CF993" s="12">
        <v>18.82</v>
      </c>
      <c r="CH993" s="12">
        <v>28.23</v>
      </c>
      <c r="CJ993" t="s">
        <v>135</v>
      </c>
      <c r="CK993" t="s">
        <v>4604</v>
      </c>
      <c r="CL993" t="s">
        <v>6593</v>
      </c>
      <c r="CO993" t="s">
        <v>132</v>
      </c>
      <c r="CP993" t="s">
        <v>136</v>
      </c>
      <c r="CQ993" t="s">
        <v>136</v>
      </c>
      <c r="CR993" t="s">
        <v>136</v>
      </c>
      <c r="CS993" t="s">
        <v>114</v>
      </c>
      <c r="CT993" t="s">
        <v>136</v>
      </c>
      <c r="CU993" t="s">
        <v>114</v>
      </c>
      <c r="CV993" t="s">
        <v>2470</v>
      </c>
      <c r="CW993" s="10" t="str">
        <f>"+18014848389"</f>
        <v>+18014848389</v>
      </c>
      <c r="CX993" t="s">
        <v>5220</v>
      </c>
      <c r="CY993" t="s">
        <v>132</v>
      </c>
      <c r="CZ993" t="s">
        <v>137</v>
      </c>
      <c r="DA993" t="s">
        <v>114</v>
      </c>
      <c r="DB993" t="s">
        <v>114</v>
      </c>
      <c r="DC993" t="s">
        <v>136</v>
      </c>
      <c r="DD993" t="s">
        <v>114</v>
      </c>
    </row>
    <row r="994" spans="1:108" ht="15" customHeight="1" x14ac:dyDescent="0.25">
      <c r="A994" t="s">
        <v>17193</v>
      </c>
      <c r="B994" t="s">
        <v>152</v>
      </c>
      <c r="C994" s="1">
        <v>45189.459570254628</v>
      </c>
      <c r="D994" s="1">
        <v>45244</v>
      </c>
      <c r="E994" t="s">
        <v>132</v>
      </c>
      <c r="F994" t="s">
        <v>3992</v>
      </c>
      <c r="G994" t="str">
        <f>"37-3011.00"</f>
        <v>37-3011.00</v>
      </c>
      <c r="H994" t="s">
        <v>429</v>
      </c>
      <c r="I994">
        <v>4</v>
      </c>
      <c r="J994">
        <v>4</v>
      </c>
      <c r="K994" s="1">
        <v>45264</v>
      </c>
      <c r="L994" s="1">
        <v>45382</v>
      </c>
      <c r="M994" s="1">
        <v>45264</v>
      </c>
      <c r="N994" s="1">
        <v>45382</v>
      </c>
      <c r="O994" t="s">
        <v>238</v>
      </c>
      <c r="P994" t="s">
        <v>1694</v>
      </c>
      <c r="R994" t="s">
        <v>1695</v>
      </c>
      <c r="T994" t="s">
        <v>1553</v>
      </c>
      <c r="U994" t="s">
        <v>211</v>
      </c>
      <c r="V994" s="8" t="str">
        <f>"84081"</f>
        <v>84081</v>
      </c>
      <c r="W994" t="s">
        <v>118</v>
      </c>
      <c r="Y994" s="10">
        <v>18012601669</v>
      </c>
      <c r="AA994">
        <v>56173</v>
      </c>
      <c r="AB994" t="s">
        <v>1696</v>
      </c>
      <c r="AC994" t="s">
        <v>1697</v>
      </c>
      <c r="AE994" t="s">
        <v>629</v>
      </c>
      <c r="AF994" t="s">
        <v>1698</v>
      </c>
      <c r="AH994" t="s">
        <v>1553</v>
      </c>
      <c r="AI994" t="s">
        <v>211</v>
      </c>
      <c r="AJ994" s="8" t="str">
        <f>"84081"</f>
        <v>84081</v>
      </c>
      <c r="AK994" t="s">
        <v>118</v>
      </c>
      <c r="AM994" s="10">
        <v>18012601669</v>
      </c>
      <c r="AO994" t="s">
        <v>1699</v>
      </c>
      <c r="AP994" t="s">
        <v>248</v>
      </c>
      <c r="AQ994" t="s">
        <v>1700</v>
      </c>
      <c r="AR994" t="s">
        <v>1701</v>
      </c>
      <c r="AT994" t="s">
        <v>1702</v>
      </c>
      <c r="AV994" t="s">
        <v>1703</v>
      </c>
      <c r="AW994" t="s">
        <v>211</v>
      </c>
      <c r="AX994" s="8" t="str">
        <f>"84059"</f>
        <v>84059</v>
      </c>
      <c r="AY994" t="s">
        <v>118</v>
      </c>
      <c r="BA994" s="10">
        <v>18013677097</v>
      </c>
      <c r="BC994" t="s">
        <v>4601</v>
      </c>
      <c r="BD994" t="s">
        <v>4602</v>
      </c>
      <c r="BG994" t="s">
        <v>211</v>
      </c>
      <c r="BH994" s="1">
        <v>45187.833333333336</v>
      </c>
      <c r="BI994">
        <v>35</v>
      </c>
      <c r="BJ994">
        <v>0</v>
      </c>
      <c r="BK994">
        <v>7</v>
      </c>
      <c r="BL994">
        <v>7</v>
      </c>
      <c r="BM994">
        <v>7</v>
      </c>
      <c r="BN994">
        <v>7</v>
      </c>
      <c r="BO994">
        <v>7</v>
      </c>
      <c r="BP994">
        <v>0</v>
      </c>
      <c r="BQ994" t="str">
        <f>"8:30 AM"</f>
        <v>8:30 AM</v>
      </c>
      <c r="BR994" t="str">
        <f>"3:30 PM"</f>
        <v>3:30 PM</v>
      </c>
      <c r="BS994" t="s">
        <v>131</v>
      </c>
      <c r="BT994">
        <v>0</v>
      </c>
      <c r="BU994">
        <v>0</v>
      </c>
      <c r="BV994" t="s">
        <v>114</v>
      </c>
      <c r="BX994" s="2" t="s">
        <v>8663</v>
      </c>
      <c r="BY994" t="s">
        <v>1695</v>
      </c>
      <c r="CA994" t="s">
        <v>1553</v>
      </c>
      <c r="CB994" t="s">
        <v>211</v>
      </c>
      <c r="CC994" s="8" t="str">
        <f>"84081"</f>
        <v>84081</v>
      </c>
      <c r="CD994" t="s">
        <v>1567</v>
      </c>
      <c r="CE994" t="s">
        <v>1568</v>
      </c>
      <c r="CF994" s="12">
        <v>18.82</v>
      </c>
      <c r="CH994" s="12">
        <v>28.23</v>
      </c>
      <c r="CJ994" t="s">
        <v>135</v>
      </c>
      <c r="CK994" t="s">
        <v>4604</v>
      </c>
      <c r="CL994" t="s">
        <v>17194</v>
      </c>
      <c r="CO994" t="s">
        <v>132</v>
      </c>
      <c r="CP994" t="s">
        <v>136</v>
      </c>
      <c r="CQ994" t="s">
        <v>136</v>
      </c>
      <c r="CR994" t="s">
        <v>136</v>
      </c>
      <c r="CS994" t="s">
        <v>114</v>
      </c>
      <c r="CT994" t="s">
        <v>136</v>
      </c>
      <c r="CU994" t="s">
        <v>114</v>
      </c>
      <c r="CV994" t="s">
        <v>1705</v>
      </c>
      <c r="CW994" s="10" t="str">
        <f>"+18012601669"</f>
        <v>+18012601669</v>
      </c>
      <c r="CX994" t="s">
        <v>1699</v>
      </c>
      <c r="CY994" t="s">
        <v>132</v>
      </c>
      <c r="CZ994" t="s">
        <v>137</v>
      </c>
      <c r="DA994" t="s">
        <v>114</v>
      </c>
      <c r="DB994" t="s">
        <v>114</v>
      </c>
      <c r="DC994" t="s">
        <v>136</v>
      </c>
      <c r="DD994" t="s">
        <v>114</v>
      </c>
    </row>
    <row r="995" spans="1:108" ht="15" customHeight="1" x14ac:dyDescent="0.25">
      <c r="A995" t="s">
        <v>17297</v>
      </c>
      <c r="B995" t="s">
        <v>152</v>
      </c>
      <c r="C995" s="1">
        <v>45189.230151851851</v>
      </c>
      <c r="D995" s="1">
        <v>45244</v>
      </c>
      <c r="E995" t="s">
        <v>132</v>
      </c>
      <c r="F995" t="s">
        <v>17298</v>
      </c>
      <c r="G995" t="str">
        <f>"47-3014.00"</f>
        <v>47-3014.00</v>
      </c>
      <c r="H995" t="s">
        <v>4850</v>
      </c>
      <c r="I995">
        <v>4</v>
      </c>
      <c r="J995">
        <v>4</v>
      </c>
      <c r="K995" s="1">
        <v>45264</v>
      </c>
      <c r="L995" s="1">
        <v>45397</v>
      </c>
      <c r="M995" s="1">
        <v>45264</v>
      </c>
      <c r="N995" s="1">
        <v>45397</v>
      </c>
      <c r="O995" t="s">
        <v>116</v>
      </c>
      <c r="P995" t="s">
        <v>17299</v>
      </c>
      <c r="R995" t="s">
        <v>17300</v>
      </c>
      <c r="T995" t="s">
        <v>1956</v>
      </c>
      <c r="U995" t="s">
        <v>892</v>
      </c>
      <c r="V995" s="8" t="str">
        <f>"59714"</f>
        <v>59714</v>
      </c>
      <c r="W995" t="s">
        <v>118</v>
      </c>
      <c r="Y995" s="10">
        <v>14069248038</v>
      </c>
      <c r="AA995">
        <v>56173</v>
      </c>
      <c r="AB995" t="s">
        <v>17301</v>
      </c>
      <c r="AC995" t="s">
        <v>514</v>
      </c>
      <c r="AE995" t="s">
        <v>561</v>
      </c>
      <c r="AF995" t="s">
        <v>17300</v>
      </c>
      <c r="AH995" t="s">
        <v>1956</v>
      </c>
      <c r="AI995" t="s">
        <v>892</v>
      </c>
      <c r="AJ995" s="8" t="str">
        <f>"59714"</f>
        <v>59714</v>
      </c>
      <c r="AK995" t="s">
        <v>118</v>
      </c>
      <c r="AM995" s="10">
        <v>14069248038</v>
      </c>
      <c r="AO995" t="s">
        <v>17302</v>
      </c>
      <c r="AP995" t="s">
        <v>248</v>
      </c>
      <c r="AQ995" t="s">
        <v>1700</v>
      </c>
      <c r="AR995" t="s">
        <v>1701</v>
      </c>
      <c r="AT995" t="s">
        <v>1702</v>
      </c>
      <c r="AV995" t="s">
        <v>1703</v>
      </c>
      <c r="AW995" t="s">
        <v>211</v>
      </c>
      <c r="AX995" s="8" t="str">
        <f>"84059"</f>
        <v>84059</v>
      </c>
      <c r="AY995" t="s">
        <v>118</v>
      </c>
      <c r="BA995" s="10">
        <v>18013677097</v>
      </c>
      <c r="BC995" t="s">
        <v>4601</v>
      </c>
      <c r="BD995" t="s">
        <v>17303</v>
      </c>
      <c r="BG995" t="s">
        <v>892</v>
      </c>
      <c r="BH995" s="1">
        <v>45188.833333333336</v>
      </c>
      <c r="BI995">
        <v>40</v>
      </c>
      <c r="BJ995">
        <v>0</v>
      </c>
      <c r="BK995">
        <v>8</v>
      </c>
      <c r="BL995">
        <v>8</v>
      </c>
      <c r="BM995">
        <v>8</v>
      </c>
      <c r="BN995">
        <v>8</v>
      </c>
      <c r="BO995">
        <v>8</v>
      </c>
      <c r="BP995">
        <v>0</v>
      </c>
      <c r="BQ995" t="str">
        <f>"8:00 AM"</f>
        <v>8:00 AM</v>
      </c>
      <c r="BR995" t="str">
        <f>"5:00 PM"</f>
        <v>5:00 PM</v>
      </c>
      <c r="BS995" t="s">
        <v>131</v>
      </c>
      <c r="BT995">
        <v>0</v>
      </c>
      <c r="BU995">
        <v>3</v>
      </c>
      <c r="BV995" t="s">
        <v>114</v>
      </c>
      <c r="BX995" s="2" t="s">
        <v>17304</v>
      </c>
      <c r="BY995" t="s">
        <v>17300</v>
      </c>
      <c r="CA995" t="s">
        <v>1956</v>
      </c>
      <c r="CB995" t="s">
        <v>892</v>
      </c>
      <c r="CC995" s="8" t="str">
        <f>"59714"</f>
        <v>59714</v>
      </c>
      <c r="CD995" t="s">
        <v>1957</v>
      </c>
      <c r="CE995" t="s">
        <v>909</v>
      </c>
      <c r="CF995" s="12">
        <v>18.29</v>
      </c>
      <c r="CH995" s="12">
        <v>27.44</v>
      </c>
      <c r="CJ995" t="s">
        <v>135</v>
      </c>
      <c r="CK995" t="s">
        <v>6495</v>
      </c>
      <c r="CL995" t="s">
        <v>17305</v>
      </c>
      <c r="CO995" t="s">
        <v>132</v>
      </c>
      <c r="CP995" t="s">
        <v>136</v>
      </c>
      <c r="CQ995" t="s">
        <v>136</v>
      </c>
      <c r="CR995" t="s">
        <v>136</v>
      </c>
      <c r="CS995" t="s">
        <v>114</v>
      </c>
      <c r="CT995" t="s">
        <v>136</v>
      </c>
      <c r="CU995" t="s">
        <v>136</v>
      </c>
      <c r="CV995" s="2" t="s">
        <v>17306</v>
      </c>
      <c r="CW995" s="10" t="str">
        <f>"+14069248038"</f>
        <v>+14069248038</v>
      </c>
      <c r="CX995" t="s">
        <v>17302</v>
      </c>
      <c r="CY995" t="s">
        <v>132</v>
      </c>
      <c r="CZ995" t="s">
        <v>137</v>
      </c>
      <c r="DA995" t="s">
        <v>114</v>
      </c>
      <c r="DB995" t="s">
        <v>114</v>
      </c>
      <c r="DC995" t="s">
        <v>136</v>
      </c>
      <c r="DD995" t="s">
        <v>114</v>
      </c>
    </row>
    <row r="996" spans="1:108" ht="15" customHeight="1" x14ac:dyDescent="0.25">
      <c r="A996" t="s">
        <v>1510</v>
      </c>
      <c r="B996" t="s">
        <v>152</v>
      </c>
      <c r="C996" s="1">
        <v>45187.675028703707</v>
      </c>
      <c r="D996" s="1">
        <v>45244</v>
      </c>
      <c r="E996" t="s">
        <v>132</v>
      </c>
      <c r="F996" t="s">
        <v>1511</v>
      </c>
      <c r="G996" t="str">
        <f>"35-9011.00"</f>
        <v>35-9011.00</v>
      </c>
      <c r="H996" t="s">
        <v>1512</v>
      </c>
      <c r="I996">
        <v>7</v>
      </c>
      <c r="J996">
        <v>7</v>
      </c>
      <c r="K996" s="1">
        <v>45274</v>
      </c>
      <c r="L996" s="1">
        <v>45389</v>
      </c>
      <c r="M996" s="1">
        <v>45274</v>
      </c>
      <c r="N996" s="1">
        <v>45389</v>
      </c>
      <c r="O996" t="s">
        <v>116</v>
      </c>
      <c r="P996" t="s">
        <v>1513</v>
      </c>
      <c r="Q996" t="s">
        <v>1514</v>
      </c>
      <c r="R996" t="s">
        <v>1515</v>
      </c>
      <c r="S996" t="s">
        <v>1516</v>
      </c>
      <c r="T996" t="s">
        <v>1084</v>
      </c>
      <c r="U996" t="s">
        <v>188</v>
      </c>
      <c r="V996" s="8" t="str">
        <f>"81620"</f>
        <v>81620</v>
      </c>
      <c r="W996" t="s">
        <v>118</v>
      </c>
      <c r="Y996" s="10">
        <v>19704770555</v>
      </c>
      <c r="AA996">
        <v>722511</v>
      </c>
      <c r="AB996" t="s">
        <v>1517</v>
      </c>
      <c r="AC996" t="s">
        <v>1518</v>
      </c>
      <c r="AE996" t="s">
        <v>1519</v>
      </c>
      <c r="AF996" t="s">
        <v>1520</v>
      </c>
      <c r="AG996" t="s">
        <v>1521</v>
      </c>
      <c r="AH996" t="s">
        <v>1084</v>
      </c>
      <c r="AI996" t="s">
        <v>188</v>
      </c>
      <c r="AJ996" s="8" t="str">
        <f>"81657"</f>
        <v>81657</v>
      </c>
      <c r="AK996" t="s">
        <v>118</v>
      </c>
      <c r="AM996" s="10">
        <v>19704770555</v>
      </c>
      <c r="AO996" t="s">
        <v>1522</v>
      </c>
      <c r="AP996" t="s">
        <v>121</v>
      </c>
      <c r="AQ996" t="s">
        <v>1523</v>
      </c>
      <c r="AR996" t="s">
        <v>1524</v>
      </c>
      <c r="AS996" t="s">
        <v>1525</v>
      </c>
      <c r="AT996" t="s">
        <v>1526</v>
      </c>
      <c r="AU996" t="s">
        <v>1527</v>
      </c>
      <c r="AV996" t="s">
        <v>1084</v>
      </c>
      <c r="AW996" t="s">
        <v>188</v>
      </c>
      <c r="AX996" s="8" t="str">
        <f>"81657"</f>
        <v>81657</v>
      </c>
      <c r="AY996" t="s">
        <v>118</v>
      </c>
      <c r="BA996" s="10">
        <v>19703066476</v>
      </c>
      <c r="BC996" t="s">
        <v>1528</v>
      </c>
      <c r="BD996" t="s">
        <v>1529</v>
      </c>
      <c r="BE996" t="s">
        <v>188</v>
      </c>
      <c r="BF996" t="s">
        <v>1530</v>
      </c>
      <c r="BG996" t="s">
        <v>188</v>
      </c>
      <c r="BH996" s="1">
        <v>45183.833333333336</v>
      </c>
      <c r="BI996">
        <v>35</v>
      </c>
      <c r="BJ996">
        <v>0</v>
      </c>
      <c r="BK996">
        <v>7</v>
      </c>
      <c r="BL996">
        <v>7</v>
      </c>
      <c r="BM996">
        <v>7</v>
      </c>
      <c r="BN996">
        <v>7</v>
      </c>
      <c r="BO996">
        <v>7</v>
      </c>
      <c r="BP996">
        <v>0</v>
      </c>
      <c r="BQ996" t="str">
        <f>"8:00 AM"</f>
        <v>8:00 AM</v>
      </c>
      <c r="BR996" t="str">
        <f>"4:00 PM"</f>
        <v>4:00 PM</v>
      </c>
      <c r="BS996" t="s">
        <v>131</v>
      </c>
      <c r="BT996">
        <v>0</v>
      </c>
      <c r="BU996">
        <v>0</v>
      </c>
      <c r="BV996" t="s">
        <v>114</v>
      </c>
      <c r="BX996" s="2" t="s">
        <v>1531</v>
      </c>
      <c r="BY996" t="s">
        <v>1532</v>
      </c>
      <c r="CA996" t="s">
        <v>1084</v>
      </c>
      <c r="CB996" t="s">
        <v>188</v>
      </c>
      <c r="CC996" s="8" t="str">
        <f>"81657"</f>
        <v>81657</v>
      </c>
      <c r="CD996" t="s">
        <v>1037</v>
      </c>
      <c r="CE996" t="s">
        <v>1038</v>
      </c>
      <c r="CF996" s="12">
        <v>16.399999999999999</v>
      </c>
      <c r="CH996" s="12">
        <v>24.6</v>
      </c>
      <c r="CJ996" t="s">
        <v>135</v>
      </c>
      <c r="CK996" t="e">
        <f>+DOE. Eagle County Bus pass reimbursement provided.</f>
        <v>#NAME?</v>
      </c>
      <c r="CL996" t="s">
        <v>1533</v>
      </c>
      <c r="CO996" t="s">
        <v>132</v>
      </c>
      <c r="CP996" t="s">
        <v>114</v>
      </c>
      <c r="CQ996" t="s">
        <v>114</v>
      </c>
      <c r="CR996" t="s">
        <v>136</v>
      </c>
      <c r="CS996" t="s">
        <v>136</v>
      </c>
      <c r="CT996" t="s">
        <v>136</v>
      </c>
      <c r="CU996" t="s">
        <v>114</v>
      </c>
      <c r="CV996" t="s">
        <v>1534</v>
      </c>
      <c r="CW996" s="10" t="str">
        <f>"+19704770555"</f>
        <v>+19704770555</v>
      </c>
      <c r="CX996" t="s">
        <v>1522</v>
      </c>
      <c r="CY996" t="s">
        <v>132</v>
      </c>
      <c r="CZ996" t="s">
        <v>137</v>
      </c>
      <c r="DA996" t="s">
        <v>114</v>
      </c>
      <c r="DB996" t="s">
        <v>114</v>
      </c>
      <c r="DC996" t="s">
        <v>136</v>
      </c>
      <c r="DD996" t="s">
        <v>114</v>
      </c>
    </row>
    <row r="997" spans="1:108" ht="15" customHeight="1" x14ac:dyDescent="0.25">
      <c r="A997" t="s">
        <v>20723</v>
      </c>
      <c r="B997" t="s">
        <v>152</v>
      </c>
      <c r="C997" s="1">
        <v>45185.633862037037</v>
      </c>
      <c r="D997" s="1">
        <v>45244</v>
      </c>
      <c r="E997" t="s">
        <v>132</v>
      </c>
      <c r="F997" t="s">
        <v>1247</v>
      </c>
      <c r="G997" t="str">
        <f>"45-4011.00"</f>
        <v>45-4011.00</v>
      </c>
      <c r="H997" t="s">
        <v>842</v>
      </c>
      <c r="I997">
        <v>18</v>
      </c>
      <c r="J997">
        <v>18</v>
      </c>
      <c r="K997" s="1">
        <v>45275</v>
      </c>
      <c r="L997" s="1">
        <v>45549</v>
      </c>
      <c r="M997" s="1">
        <v>45275</v>
      </c>
      <c r="N997" s="1">
        <v>45549</v>
      </c>
      <c r="O997" t="s">
        <v>238</v>
      </c>
      <c r="P997" t="s">
        <v>20724</v>
      </c>
      <c r="R997" t="s">
        <v>20725</v>
      </c>
      <c r="T997" t="s">
        <v>2447</v>
      </c>
      <c r="U997" t="s">
        <v>479</v>
      </c>
      <c r="V997" s="8" t="str">
        <f>"97477"</f>
        <v>97477</v>
      </c>
      <c r="W997" t="s">
        <v>118</v>
      </c>
      <c r="Y997" s="10">
        <v>15415205941</v>
      </c>
      <c r="AA997">
        <v>11531</v>
      </c>
      <c r="AB997" t="s">
        <v>20726</v>
      </c>
      <c r="AC997" t="s">
        <v>20727</v>
      </c>
      <c r="AE997" t="s">
        <v>629</v>
      </c>
      <c r="AF997" t="s">
        <v>20725</v>
      </c>
      <c r="AH997" t="s">
        <v>2447</v>
      </c>
      <c r="AI997" t="s">
        <v>479</v>
      </c>
      <c r="AJ997" s="8" t="str">
        <f>"97477"</f>
        <v>97477</v>
      </c>
      <c r="AK997" t="s">
        <v>118</v>
      </c>
      <c r="AM997" s="10">
        <v>15415205941</v>
      </c>
      <c r="AO997" t="s">
        <v>20728</v>
      </c>
      <c r="AP997" t="s">
        <v>121</v>
      </c>
      <c r="AQ997" t="s">
        <v>12717</v>
      </c>
      <c r="AR997" t="s">
        <v>1216</v>
      </c>
      <c r="AT997" t="s">
        <v>16579</v>
      </c>
      <c r="AV997" t="s">
        <v>3586</v>
      </c>
      <c r="AW997" t="s">
        <v>479</v>
      </c>
      <c r="AX997" s="8" t="str">
        <f>"97401"</f>
        <v>97401</v>
      </c>
      <c r="AY997" t="s">
        <v>118</v>
      </c>
      <c r="BA997" s="10">
        <v>15414841811</v>
      </c>
      <c r="BC997" t="s">
        <v>16580</v>
      </c>
      <c r="BD997" t="s">
        <v>16581</v>
      </c>
      <c r="BE997" t="s">
        <v>479</v>
      </c>
      <c r="BF997" t="s">
        <v>16582</v>
      </c>
      <c r="BG997" t="s">
        <v>479</v>
      </c>
      <c r="BH997" s="1">
        <v>45184.833333333336</v>
      </c>
      <c r="BI997">
        <v>40</v>
      </c>
      <c r="BJ997">
        <v>0</v>
      </c>
      <c r="BK997">
        <v>8</v>
      </c>
      <c r="BL997">
        <v>8</v>
      </c>
      <c r="BM997">
        <v>8</v>
      </c>
      <c r="BN997">
        <v>8</v>
      </c>
      <c r="BO997">
        <v>8</v>
      </c>
      <c r="BP997">
        <v>0</v>
      </c>
      <c r="BQ997" t="str">
        <f>"7:00 AM"</f>
        <v>7:00 AM</v>
      </c>
      <c r="BR997" t="str">
        <f>"3:30 PM"</f>
        <v>3:30 PM</v>
      </c>
      <c r="BS997" t="s">
        <v>131</v>
      </c>
      <c r="BT997">
        <v>0</v>
      </c>
      <c r="BU997">
        <v>3</v>
      </c>
      <c r="BV997" t="s">
        <v>114</v>
      </c>
      <c r="BX997" s="2" t="s">
        <v>20729</v>
      </c>
      <c r="BY997" t="s">
        <v>20725</v>
      </c>
      <c r="CA997" t="s">
        <v>2447</v>
      </c>
      <c r="CB997" t="s">
        <v>479</v>
      </c>
      <c r="CC997" s="8" t="str">
        <f>"97477"</f>
        <v>97477</v>
      </c>
      <c r="CD997" t="s">
        <v>17618</v>
      </c>
      <c r="CE997" t="s">
        <v>20730</v>
      </c>
      <c r="CF997" s="12">
        <v>20.86</v>
      </c>
      <c r="CG997" s="12">
        <v>26</v>
      </c>
      <c r="CH997" s="12">
        <v>31.29</v>
      </c>
      <c r="CI997" s="12">
        <v>39</v>
      </c>
      <c r="CJ997" t="s">
        <v>135</v>
      </c>
      <c r="CL997" t="s">
        <v>20731</v>
      </c>
      <c r="CO997" t="s">
        <v>132</v>
      </c>
      <c r="CP997" t="s">
        <v>136</v>
      </c>
      <c r="CQ997" t="s">
        <v>136</v>
      </c>
      <c r="CR997" t="s">
        <v>136</v>
      </c>
      <c r="CS997" t="s">
        <v>114</v>
      </c>
      <c r="CT997" t="s">
        <v>136</v>
      </c>
      <c r="CU997" t="s">
        <v>136</v>
      </c>
      <c r="CV997" t="s">
        <v>20732</v>
      </c>
      <c r="CW997" s="10" t="str">
        <f>"+15416867601"</f>
        <v>+15416867601</v>
      </c>
      <c r="CX997" t="s">
        <v>20728</v>
      </c>
      <c r="CY997" t="s">
        <v>132</v>
      </c>
      <c r="CZ997" t="s">
        <v>137</v>
      </c>
      <c r="DA997" t="s">
        <v>114</v>
      </c>
      <c r="DB997" t="s">
        <v>114</v>
      </c>
      <c r="DC997" t="s">
        <v>136</v>
      </c>
      <c r="DD997" t="s">
        <v>114</v>
      </c>
    </row>
    <row r="998" spans="1:108" ht="15" customHeight="1" x14ac:dyDescent="0.25">
      <c r="A998" t="s">
        <v>11834</v>
      </c>
      <c r="B998" t="s">
        <v>152</v>
      </c>
      <c r="C998" s="1">
        <v>45184.511313194445</v>
      </c>
      <c r="D998" s="1">
        <v>45244</v>
      </c>
      <c r="E998" t="s">
        <v>132</v>
      </c>
      <c r="F998" t="s">
        <v>3754</v>
      </c>
      <c r="G998" t="str">
        <f>"35-2021.00"</f>
        <v>35-2021.00</v>
      </c>
      <c r="H998" t="s">
        <v>2303</v>
      </c>
      <c r="I998">
        <v>4</v>
      </c>
      <c r="J998">
        <v>4</v>
      </c>
      <c r="K998" s="1">
        <v>45261</v>
      </c>
      <c r="L998" s="1">
        <v>45382</v>
      </c>
      <c r="M998" s="1">
        <v>45261</v>
      </c>
      <c r="N998" s="1">
        <v>45382</v>
      </c>
      <c r="O998" t="s">
        <v>116</v>
      </c>
      <c r="P998" t="s">
        <v>11813</v>
      </c>
      <c r="R998" t="s">
        <v>11814</v>
      </c>
      <c r="S998" t="s">
        <v>11835</v>
      </c>
      <c r="T998" t="s">
        <v>11816</v>
      </c>
      <c r="U998" t="s">
        <v>581</v>
      </c>
      <c r="V998" s="8" t="str">
        <f>"22840"</f>
        <v>22840</v>
      </c>
      <c r="W998" t="s">
        <v>118</v>
      </c>
      <c r="Y998" s="10">
        <v>14342207710</v>
      </c>
      <c r="AA998">
        <v>72111</v>
      </c>
      <c r="AB998" t="s">
        <v>3723</v>
      </c>
      <c r="AC998" t="s">
        <v>4700</v>
      </c>
      <c r="AE998" t="s">
        <v>1104</v>
      </c>
      <c r="AF998" t="s">
        <v>11817</v>
      </c>
      <c r="AG998" t="s">
        <v>11835</v>
      </c>
      <c r="AH998" t="s">
        <v>11816</v>
      </c>
      <c r="AI998" t="s">
        <v>581</v>
      </c>
      <c r="AJ998" s="8" t="str">
        <f>"22840"</f>
        <v>22840</v>
      </c>
      <c r="AK998" t="s">
        <v>118</v>
      </c>
      <c r="AM998" s="10">
        <v>15402894918</v>
      </c>
      <c r="AO998" t="s">
        <v>11818</v>
      </c>
      <c r="AP998" t="s">
        <v>121</v>
      </c>
      <c r="AQ998" t="s">
        <v>276</v>
      </c>
      <c r="AR998" t="s">
        <v>277</v>
      </c>
      <c r="AS998" t="s">
        <v>278</v>
      </c>
      <c r="AT998" t="s">
        <v>279</v>
      </c>
      <c r="AU998" t="s">
        <v>280</v>
      </c>
      <c r="AV998" t="s">
        <v>281</v>
      </c>
      <c r="AW998" t="s">
        <v>222</v>
      </c>
      <c r="AX998" s="8" t="str">
        <f>"01701"</f>
        <v>01701</v>
      </c>
      <c r="AY998" t="s">
        <v>118</v>
      </c>
      <c r="BA998" s="10">
        <v>16179399444</v>
      </c>
      <c r="BC998" t="s">
        <v>282</v>
      </c>
      <c r="BD998" t="s">
        <v>283</v>
      </c>
      <c r="BE998" t="s">
        <v>222</v>
      </c>
      <c r="BF998" t="s">
        <v>284</v>
      </c>
      <c r="BG998" t="s">
        <v>581</v>
      </c>
      <c r="BH998" s="1">
        <v>45183.833333333336</v>
      </c>
      <c r="BI998">
        <v>40</v>
      </c>
      <c r="BJ998">
        <v>0</v>
      </c>
      <c r="BK998">
        <v>8</v>
      </c>
      <c r="BL998">
        <v>8</v>
      </c>
      <c r="BM998">
        <v>8</v>
      </c>
      <c r="BN998">
        <v>8</v>
      </c>
      <c r="BO998">
        <v>8</v>
      </c>
      <c r="BP998">
        <v>0</v>
      </c>
      <c r="BQ998" t="str">
        <f>"1:00 PM"</f>
        <v>1:00 PM</v>
      </c>
      <c r="BR998" t="str">
        <f>"9:00 PM"</f>
        <v>9:00 PM</v>
      </c>
      <c r="BS998" t="s">
        <v>131</v>
      </c>
      <c r="BT998">
        <v>0</v>
      </c>
      <c r="BU998">
        <v>0</v>
      </c>
      <c r="BV998" t="s">
        <v>114</v>
      </c>
      <c r="BX998" s="2" t="s">
        <v>9714</v>
      </c>
      <c r="BY998" t="s">
        <v>11814</v>
      </c>
      <c r="CA998" t="s">
        <v>11836</v>
      </c>
      <c r="CB998" t="s">
        <v>581</v>
      </c>
      <c r="CC998" s="8" t="str">
        <f>"22840"</f>
        <v>22840</v>
      </c>
      <c r="CD998" t="s">
        <v>11820</v>
      </c>
      <c r="CE998" t="s">
        <v>11821</v>
      </c>
      <c r="CF998" s="12">
        <v>13.09</v>
      </c>
      <c r="CG998" s="12">
        <v>14.5</v>
      </c>
      <c r="CH998" s="12">
        <v>19.64</v>
      </c>
      <c r="CI998" s="12">
        <v>21.75</v>
      </c>
      <c r="CJ998" t="s">
        <v>135</v>
      </c>
      <c r="CK998" t="s">
        <v>11837</v>
      </c>
      <c r="CL998" t="s">
        <v>11838</v>
      </c>
      <c r="CO998" t="s">
        <v>132</v>
      </c>
      <c r="CP998" t="s">
        <v>114</v>
      </c>
      <c r="CQ998" t="s">
        <v>136</v>
      </c>
      <c r="CR998" t="s">
        <v>136</v>
      </c>
      <c r="CS998" t="s">
        <v>136</v>
      </c>
      <c r="CT998" t="s">
        <v>136</v>
      </c>
      <c r="CU998" t="s">
        <v>136</v>
      </c>
      <c r="CV998" t="s">
        <v>11824</v>
      </c>
      <c r="CW998" s="10" t="str">
        <f>"+15402894091"</f>
        <v>+15402894091</v>
      </c>
      <c r="CX998" t="s">
        <v>11825</v>
      </c>
      <c r="CY998" t="s">
        <v>132</v>
      </c>
      <c r="CZ998" t="s">
        <v>137</v>
      </c>
      <c r="DA998" t="s">
        <v>114</v>
      </c>
      <c r="DB998" t="s">
        <v>114</v>
      </c>
      <c r="DC998" t="s">
        <v>136</v>
      </c>
      <c r="DD998" t="s">
        <v>114</v>
      </c>
    </row>
    <row r="999" spans="1:108" ht="15" customHeight="1" x14ac:dyDescent="0.25">
      <c r="A999" t="s">
        <v>11812</v>
      </c>
      <c r="B999" t="s">
        <v>152</v>
      </c>
      <c r="C999" s="1">
        <v>45184.510063888891</v>
      </c>
      <c r="D999" s="1">
        <v>45244</v>
      </c>
      <c r="E999" t="s">
        <v>132</v>
      </c>
      <c r="F999" t="s">
        <v>2866</v>
      </c>
      <c r="G999" t="str">
        <f>"35-2021.00"</f>
        <v>35-2021.00</v>
      </c>
      <c r="H999" t="s">
        <v>2303</v>
      </c>
      <c r="I999">
        <v>6</v>
      </c>
      <c r="J999">
        <v>6</v>
      </c>
      <c r="K999" s="1">
        <v>45261</v>
      </c>
      <c r="L999" s="1">
        <v>45382</v>
      </c>
      <c r="M999" s="1">
        <v>45261</v>
      </c>
      <c r="N999" s="1">
        <v>45382</v>
      </c>
      <c r="O999" t="s">
        <v>116</v>
      </c>
      <c r="P999" t="s">
        <v>11813</v>
      </c>
      <c r="R999" t="s">
        <v>11814</v>
      </c>
      <c r="S999" t="s">
        <v>11815</v>
      </c>
      <c r="T999" t="s">
        <v>11816</v>
      </c>
      <c r="U999" t="s">
        <v>581</v>
      </c>
      <c r="V999" s="8" t="str">
        <f>"22840"</f>
        <v>22840</v>
      </c>
      <c r="W999" t="s">
        <v>118</v>
      </c>
      <c r="Y999" s="10">
        <v>14342207710</v>
      </c>
      <c r="AA999">
        <v>72111</v>
      </c>
      <c r="AB999" t="s">
        <v>3723</v>
      </c>
      <c r="AC999" t="s">
        <v>4700</v>
      </c>
      <c r="AE999" t="s">
        <v>1104</v>
      </c>
      <c r="AF999" t="s">
        <v>11817</v>
      </c>
      <c r="AG999" t="s">
        <v>11815</v>
      </c>
      <c r="AH999" t="s">
        <v>11816</v>
      </c>
      <c r="AI999" t="s">
        <v>581</v>
      </c>
      <c r="AJ999" s="8" t="str">
        <f>"22840"</f>
        <v>22840</v>
      </c>
      <c r="AK999" t="s">
        <v>118</v>
      </c>
      <c r="AM999" s="10">
        <v>15402894918</v>
      </c>
      <c r="AO999" t="s">
        <v>11818</v>
      </c>
      <c r="AP999" t="s">
        <v>121</v>
      </c>
      <c r="AQ999" t="s">
        <v>276</v>
      </c>
      <c r="AR999" t="s">
        <v>277</v>
      </c>
      <c r="AS999" t="s">
        <v>278</v>
      </c>
      <c r="AT999" t="s">
        <v>279</v>
      </c>
      <c r="AU999" t="s">
        <v>280</v>
      </c>
      <c r="AV999" t="s">
        <v>281</v>
      </c>
      <c r="AW999" t="s">
        <v>222</v>
      </c>
      <c r="AX999" s="8" t="str">
        <f>"01701"</f>
        <v>01701</v>
      </c>
      <c r="AY999" t="s">
        <v>118</v>
      </c>
      <c r="BA999" s="10">
        <v>16179399444</v>
      </c>
      <c r="BC999" t="s">
        <v>282</v>
      </c>
      <c r="BD999" t="s">
        <v>283</v>
      </c>
      <c r="BE999" t="s">
        <v>222</v>
      </c>
      <c r="BF999" t="s">
        <v>284</v>
      </c>
      <c r="BG999" t="s">
        <v>581</v>
      </c>
      <c r="BH999" s="1">
        <v>45183.833333333336</v>
      </c>
      <c r="BI999">
        <v>40</v>
      </c>
      <c r="BJ999">
        <v>0</v>
      </c>
      <c r="BK999">
        <v>8</v>
      </c>
      <c r="BL999">
        <v>8</v>
      </c>
      <c r="BM999">
        <v>8</v>
      </c>
      <c r="BN999">
        <v>8</v>
      </c>
      <c r="BO999">
        <v>8</v>
      </c>
      <c r="BP999">
        <v>0</v>
      </c>
      <c r="BQ999" t="str">
        <f>"1:00 PM"</f>
        <v>1:00 PM</v>
      </c>
      <c r="BR999" t="str">
        <f>"9:00 PM"</f>
        <v>9:00 PM</v>
      </c>
      <c r="BS999" t="s">
        <v>131</v>
      </c>
      <c r="BT999">
        <v>0</v>
      </c>
      <c r="BU999">
        <v>0</v>
      </c>
      <c r="BV999" t="s">
        <v>114</v>
      </c>
      <c r="BX999" s="2" t="s">
        <v>11819</v>
      </c>
      <c r="BY999" t="s">
        <v>11814</v>
      </c>
      <c r="CA999" t="s">
        <v>11816</v>
      </c>
      <c r="CB999" t="s">
        <v>581</v>
      </c>
      <c r="CC999" s="8" t="str">
        <f>"22840"</f>
        <v>22840</v>
      </c>
      <c r="CD999" t="s">
        <v>11820</v>
      </c>
      <c r="CE999" t="s">
        <v>11821</v>
      </c>
      <c r="CF999" s="12">
        <v>13.09</v>
      </c>
      <c r="CG999" s="12">
        <v>13.09</v>
      </c>
      <c r="CH999" s="12">
        <v>19.64</v>
      </c>
      <c r="CI999" s="12">
        <v>19.64</v>
      </c>
      <c r="CJ999" t="s">
        <v>135</v>
      </c>
      <c r="CK999" t="s">
        <v>11822</v>
      </c>
      <c r="CL999" t="s">
        <v>11823</v>
      </c>
      <c r="CO999" t="s">
        <v>132</v>
      </c>
      <c r="CP999" t="s">
        <v>114</v>
      </c>
      <c r="CQ999" t="s">
        <v>136</v>
      </c>
      <c r="CR999" t="s">
        <v>136</v>
      </c>
      <c r="CS999" t="s">
        <v>136</v>
      </c>
      <c r="CT999" t="s">
        <v>136</v>
      </c>
      <c r="CU999" t="s">
        <v>136</v>
      </c>
      <c r="CV999" t="s">
        <v>11824</v>
      </c>
      <c r="CW999" s="10" t="str">
        <f>"+15402894091"</f>
        <v>+15402894091</v>
      </c>
      <c r="CX999" t="s">
        <v>11825</v>
      </c>
      <c r="CY999" t="s">
        <v>132</v>
      </c>
      <c r="CZ999" t="s">
        <v>137</v>
      </c>
      <c r="DA999" t="s">
        <v>114</v>
      </c>
      <c r="DB999" t="s">
        <v>114</v>
      </c>
      <c r="DC999" t="s">
        <v>136</v>
      </c>
      <c r="DD999" t="s">
        <v>114</v>
      </c>
    </row>
    <row r="1000" spans="1:108" ht="15" customHeight="1" x14ac:dyDescent="0.25">
      <c r="A1000" t="s">
        <v>4595</v>
      </c>
      <c r="B1000" t="s">
        <v>152</v>
      </c>
      <c r="C1000" s="1">
        <v>45182.845044560185</v>
      </c>
      <c r="D1000" s="1">
        <v>45244</v>
      </c>
      <c r="E1000" t="s">
        <v>132</v>
      </c>
      <c r="F1000" t="s">
        <v>3992</v>
      </c>
      <c r="G1000" t="str">
        <f>"37-2011.00"</f>
        <v>37-2011.00</v>
      </c>
      <c r="H1000" t="s">
        <v>1089</v>
      </c>
      <c r="I1000">
        <v>13</v>
      </c>
      <c r="J1000">
        <v>13</v>
      </c>
      <c r="K1000" s="1">
        <v>45261</v>
      </c>
      <c r="L1000" s="1">
        <v>45382</v>
      </c>
      <c r="M1000" s="1">
        <v>45261</v>
      </c>
      <c r="N1000" s="1">
        <v>45382</v>
      </c>
      <c r="O1000" t="s">
        <v>238</v>
      </c>
      <c r="P1000" t="s">
        <v>4596</v>
      </c>
      <c r="Q1000" t="s">
        <v>4597</v>
      </c>
      <c r="R1000" t="s">
        <v>4598</v>
      </c>
      <c r="T1000" t="s">
        <v>1563</v>
      </c>
      <c r="U1000" t="s">
        <v>211</v>
      </c>
      <c r="V1000" s="8" t="str">
        <f>"84107"</f>
        <v>84107</v>
      </c>
      <c r="W1000" t="s">
        <v>118</v>
      </c>
      <c r="Y1000" s="10">
        <v>18019120077</v>
      </c>
      <c r="AA1000">
        <v>56173</v>
      </c>
      <c r="AB1000" t="s">
        <v>3124</v>
      </c>
      <c r="AC1000" t="s">
        <v>4599</v>
      </c>
      <c r="AE1000" t="s">
        <v>1799</v>
      </c>
      <c r="AF1000" t="s">
        <v>4598</v>
      </c>
      <c r="AH1000" t="s">
        <v>1563</v>
      </c>
      <c r="AI1000" t="s">
        <v>211</v>
      </c>
      <c r="AJ1000" s="8" t="str">
        <f>"84017"</f>
        <v>84017</v>
      </c>
      <c r="AK1000" t="s">
        <v>118</v>
      </c>
      <c r="AM1000" s="10">
        <v>18019120077</v>
      </c>
      <c r="AO1000" t="s">
        <v>4600</v>
      </c>
      <c r="AP1000" t="s">
        <v>248</v>
      </c>
      <c r="AQ1000" t="s">
        <v>1700</v>
      </c>
      <c r="AR1000" t="s">
        <v>1701</v>
      </c>
      <c r="AT1000" t="s">
        <v>1702</v>
      </c>
      <c r="AV1000" t="s">
        <v>1703</v>
      </c>
      <c r="AW1000" t="s">
        <v>211</v>
      </c>
      <c r="AX1000" s="8" t="str">
        <f>"84059"</f>
        <v>84059</v>
      </c>
      <c r="AY1000" t="s">
        <v>118</v>
      </c>
      <c r="BA1000" s="10">
        <v>18013677097</v>
      </c>
      <c r="BC1000" t="s">
        <v>4601</v>
      </c>
      <c r="BD1000" t="s">
        <v>4602</v>
      </c>
      <c r="BG1000" t="s">
        <v>211</v>
      </c>
      <c r="BH1000" s="1">
        <v>45181.833333333336</v>
      </c>
      <c r="BI1000">
        <v>35</v>
      </c>
      <c r="BJ1000">
        <v>0</v>
      </c>
      <c r="BK1000">
        <v>7</v>
      </c>
      <c r="BL1000">
        <v>7</v>
      </c>
      <c r="BM1000">
        <v>7</v>
      </c>
      <c r="BN1000">
        <v>7</v>
      </c>
      <c r="BO1000">
        <v>7</v>
      </c>
      <c r="BP1000">
        <v>0</v>
      </c>
      <c r="BQ1000" t="str">
        <f>"8:00 AM"</f>
        <v>8:00 AM</v>
      </c>
      <c r="BR1000" t="str">
        <f>"3:30 PM"</f>
        <v>3:30 PM</v>
      </c>
      <c r="BS1000" t="s">
        <v>131</v>
      </c>
      <c r="BT1000">
        <v>0</v>
      </c>
      <c r="BU1000">
        <v>0</v>
      </c>
      <c r="BV1000" t="s">
        <v>114</v>
      </c>
      <c r="BX1000" s="2" t="s">
        <v>4603</v>
      </c>
      <c r="BY1000" t="s">
        <v>4598</v>
      </c>
      <c r="CA1000" t="s">
        <v>1563</v>
      </c>
      <c r="CB1000" t="s">
        <v>211</v>
      </c>
      <c r="CC1000" s="8" t="str">
        <f>"84107"</f>
        <v>84107</v>
      </c>
      <c r="CD1000" t="s">
        <v>1567</v>
      </c>
      <c r="CE1000" t="s">
        <v>1568</v>
      </c>
      <c r="CF1000" s="12">
        <v>15.45</v>
      </c>
      <c r="CG1000" s="12">
        <v>17.21</v>
      </c>
      <c r="CH1000" s="12">
        <v>23.18</v>
      </c>
      <c r="CI1000" s="12">
        <v>25.82</v>
      </c>
      <c r="CJ1000" t="s">
        <v>135</v>
      </c>
      <c r="CK1000" t="s">
        <v>4604</v>
      </c>
      <c r="CL1000" t="s">
        <v>4605</v>
      </c>
      <c r="CO1000" t="s">
        <v>132</v>
      </c>
      <c r="CP1000" t="s">
        <v>136</v>
      </c>
      <c r="CQ1000" t="s">
        <v>136</v>
      </c>
      <c r="CR1000" t="s">
        <v>136</v>
      </c>
      <c r="CS1000" t="s">
        <v>114</v>
      </c>
      <c r="CT1000" t="s">
        <v>136</v>
      </c>
      <c r="CU1000" t="s">
        <v>114</v>
      </c>
      <c r="CV1000" t="s">
        <v>2470</v>
      </c>
      <c r="CW1000" s="10" t="str">
        <f>"+18019120077"</f>
        <v>+18019120077</v>
      </c>
      <c r="CX1000" t="s">
        <v>4600</v>
      </c>
      <c r="CY1000" t="s">
        <v>132</v>
      </c>
      <c r="CZ1000" t="s">
        <v>137</v>
      </c>
      <c r="DA1000" t="s">
        <v>114</v>
      </c>
      <c r="DB1000" t="s">
        <v>114</v>
      </c>
      <c r="DC1000" t="s">
        <v>136</v>
      </c>
      <c r="DD1000" t="s">
        <v>114</v>
      </c>
    </row>
    <row r="1001" spans="1:108" ht="15" customHeight="1" x14ac:dyDescent="0.25">
      <c r="A1001" t="s">
        <v>19449</v>
      </c>
      <c r="B1001" t="s">
        <v>152</v>
      </c>
      <c r="C1001" s="1">
        <v>45182.608081365739</v>
      </c>
      <c r="D1001" s="1">
        <v>45244</v>
      </c>
      <c r="E1001" t="s">
        <v>132</v>
      </c>
      <c r="F1001" t="s">
        <v>17023</v>
      </c>
      <c r="G1001" t="str">
        <f>"47-4051.00"</f>
        <v>47-4051.00</v>
      </c>
      <c r="H1001" t="s">
        <v>5632</v>
      </c>
      <c r="I1001">
        <v>100</v>
      </c>
      <c r="J1001">
        <v>100</v>
      </c>
      <c r="K1001" s="1">
        <v>45257</v>
      </c>
      <c r="L1001" s="1">
        <v>45382</v>
      </c>
      <c r="M1001" s="1">
        <v>45257</v>
      </c>
      <c r="N1001" s="1">
        <v>45382</v>
      </c>
      <c r="O1001" t="s">
        <v>238</v>
      </c>
      <c r="P1001" t="s">
        <v>19450</v>
      </c>
      <c r="Q1001" t="s">
        <v>19451</v>
      </c>
      <c r="R1001" t="s">
        <v>19452</v>
      </c>
      <c r="T1001" t="s">
        <v>19453</v>
      </c>
      <c r="U1001" t="s">
        <v>819</v>
      </c>
      <c r="V1001" s="8" t="str">
        <f>"47012"</f>
        <v>47012</v>
      </c>
      <c r="W1001" t="s">
        <v>118</v>
      </c>
      <c r="Y1001" s="10">
        <v>18125840008</v>
      </c>
      <c r="AA1001">
        <v>541213</v>
      </c>
      <c r="AB1001" t="s">
        <v>19454</v>
      </c>
      <c r="AC1001" t="s">
        <v>1772</v>
      </c>
      <c r="AE1001" t="s">
        <v>561</v>
      </c>
      <c r="AF1001" t="s">
        <v>19452</v>
      </c>
      <c r="AH1001" t="s">
        <v>19453</v>
      </c>
      <c r="AI1001" t="s">
        <v>819</v>
      </c>
      <c r="AJ1001" s="8" t="str">
        <f>"47012"</f>
        <v>47012</v>
      </c>
      <c r="AK1001" t="s">
        <v>118</v>
      </c>
      <c r="AM1001" s="10">
        <v>18125840008</v>
      </c>
      <c r="AO1001" t="s">
        <v>19455</v>
      </c>
      <c r="AP1001" t="s">
        <v>248</v>
      </c>
      <c r="AQ1001" t="s">
        <v>960</v>
      </c>
      <c r="AR1001" t="s">
        <v>961</v>
      </c>
      <c r="AS1001" t="s">
        <v>962</v>
      </c>
      <c r="AT1001" t="s">
        <v>963</v>
      </c>
      <c r="AU1001" t="s">
        <v>296</v>
      </c>
      <c r="AV1001" t="s">
        <v>964</v>
      </c>
      <c r="AW1001" t="s">
        <v>127</v>
      </c>
      <c r="AX1001" s="8" t="str">
        <f>"75033"</f>
        <v>75033</v>
      </c>
      <c r="AY1001" t="s">
        <v>118</v>
      </c>
      <c r="BA1001" s="10">
        <v>19727789690</v>
      </c>
      <c r="BC1001" t="s">
        <v>1939</v>
      </c>
      <c r="BD1001" t="s">
        <v>966</v>
      </c>
      <c r="BG1001" t="s">
        <v>1434</v>
      </c>
      <c r="BH1001" s="1">
        <v>45181.833333333336</v>
      </c>
      <c r="BI1001">
        <v>40</v>
      </c>
      <c r="BJ1001">
        <v>0</v>
      </c>
      <c r="BK1001">
        <v>8</v>
      </c>
      <c r="BL1001">
        <v>8</v>
      </c>
      <c r="BM1001">
        <v>8</v>
      </c>
      <c r="BN1001">
        <v>8</v>
      </c>
      <c r="BO1001">
        <v>8</v>
      </c>
      <c r="BP1001">
        <v>0</v>
      </c>
      <c r="BQ1001" t="str">
        <f>"7:00 AM"</f>
        <v>7:00 AM</v>
      </c>
      <c r="BR1001" t="str">
        <f>"4:00 PM"</f>
        <v>4:00 PM</v>
      </c>
      <c r="BS1001" t="s">
        <v>131</v>
      </c>
      <c r="BT1001">
        <v>0</v>
      </c>
      <c r="BU1001">
        <v>0</v>
      </c>
      <c r="BV1001" t="s">
        <v>114</v>
      </c>
      <c r="BX1001" s="2" t="s">
        <v>19456</v>
      </c>
      <c r="BY1001" t="s">
        <v>15221</v>
      </c>
      <c r="CA1001" t="s">
        <v>11284</v>
      </c>
      <c r="CB1001" t="s">
        <v>1434</v>
      </c>
      <c r="CC1001" s="8" t="str">
        <f>"41005"</f>
        <v>41005</v>
      </c>
      <c r="CD1001" t="s">
        <v>2672</v>
      </c>
      <c r="CE1001" t="s">
        <v>3443</v>
      </c>
      <c r="CF1001" s="12">
        <v>22.43</v>
      </c>
      <c r="CH1001" s="12">
        <v>33.65</v>
      </c>
      <c r="CI1001" s="12">
        <v>33.65</v>
      </c>
      <c r="CJ1001" t="s">
        <v>135</v>
      </c>
      <c r="CK1001" t="s">
        <v>973</v>
      </c>
      <c r="CL1001" t="s">
        <v>19457</v>
      </c>
      <c r="CO1001" t="s">
        <v>132</v>
      </c>
      <c r="CP1001" t="s">
        <v>136</v>
      </c>
      <c r="CQ1001" t="s">
        <v>136</v>
      </c>
      <c r="CR1001" t="s">
        <v>136</v>
      </c>
      <c r="CS1001" t="s">
        <v>136</v>
      </c>
      <c r="CT1001" t="s">
        <v>136</v>
      </c>
      <c r="CU1001" t="s">
        <v>136</v>
      </c>
      <c r="CV1001" t="s">
        <v>19458</v>
      </c>
      <c r="CW1001" s="10" t="str">
        <f>"+18125840008"</f>
        <v>+18125840008</v>
      </c>
      <c r="CX1001" t="s">
        <v>132</v>
      </c>
      <c r="CY1001" t="s">
        <v>17876</v>
      </c>
      <c r="CZ1001" t="s">
        <v>137</v>
      </c>
      <c r="DA1001" t="s">
        <v>114</v>
      </c>
      <c r="DB1001" t="s">
        <v>114</v>
      </c>
      <c r="DC1001" t="s">
        <v>136</v>
      </c>
      <c r="DD1001" t="s">
        <v>114</v>
      </c>
    </row>
    <row r="1002" spans="1:108" ht="15" customHeight="1" x14ac:dyDescent="0.25">
      <c r="A1002" t="s">
        <v>4207</v>
      </c>
      <c r="B1002" t="s">
        <v>152</v>
      </c>
      <c r="C1002" s="1">
        <v>45181.681852662034</v>
      </c>
      <c r="D1002" s="1">
        <v>45244</v>
      </c>
      <c r="E1002" t="s">
        <v>132</v>
      </c>
      <c r="F1002" t="s">
        <v>3847</v>
      </c>
      <c r="G1002" t="str">
        <f>"39-2021.00"</f>
        <v>39-2021.00</v>
      </c>
      <c r="H1002" t="s">
        <v>2895</v>
      </c>
      <c r="I1002">
        <v>5</v>
      </c>
      <c r="J1002">
        <v>5</v>
      </c>
      <c r="K1002" s="1">
        <v>45261</v>
      </c>
      <c r="L1002" s="1">
        <v>45443</v>
      </c>
      <c r="M1002" s="1">
        <v>45261</v>
      </c>
      <c r="N1002" s="1">
        <v>45443</v>
      </c>
      <c r="O1002" t="s">
        <v>238</v>
      </c>
      <c r="P1002" t="s">
        <v>4208</v>
      </c>
      <c r="R1002" t="s">
        <v>4209</v>
      </c>
      <c r="T1002" t="s">
        <v>4210</v>
      </c>
      <c r="U1002" t="s">
        <v>2030</v>
      </c>
      <c r="V1002" s="8" t="str">
        <f>"57658"</f>
        <v>57658</v>
      </c>
      <c r="W1002" t="s">
        <v>118</v>
      </c>
      <c r="Y1002" s="10">
        <v>16053745733</v>
      </c>
      <c r="AA1002">
        <v>711212</v>
      </c>
      <c r="AB1002" t="s">
        <v>3274</v>
      </c>
      <c r="AC1002" t="s">
        <v>708</v>
      </c>
      <c r="AE1002" t="s">
        <v>3852</v>
      </c>
      <c r="AF1002" t="s">
        <v>4209</v>
      </c>
      <c r="AH1002" t="s">
        <v>4210</v>
      </c>
      <c r="AI1002" t="s">
        <v>2030</v>
      </c>
      <c r="AJ1002" s="8" t="str">
        <f>"57658"</f>
        <v>57658</v>
      </c>
      <c r="AK1002" t="s">
        <v>118</v>
      </c>
      <c r="AM1002" s="10">
        <v>16053745733</v>
      </c>
      <c r="AO1002" t="s">
        <v>4211</v>
      </c>
      <c r="AP1002" t="s">
        <v>121</v>
      </c>
      <c r="AQ1002" t="s">
        <v>3854</v>
      </c>
      <c r="AR1002" t="s">
        <v>144</v>
      </c>
      <c r="AS1002" t="s">
        <v>3855</v>
      </c>
      <c r="AT1002" t="s">
        <v>2605</v>
      </c>
      <c r="AU1002" t="s">
        <v>2606</v>
      </c>
      <c r="AV1002" t="s">
        <v>2607</v>
      </c>
      <c r="AW1002" t="s">
        <v>2608</v>
      </c>
      <c r="AX1002" s="8" t="str">
        <f>"73069"</f>
        <v>73069</v>
      </c>
      <c r="AY1002" t="s">
        <v>118</v>
      </c>
      <c r="BA1002" s="10">
        <v>14053642525</v>
      </c>
      <c r="BC1002" t="s">
        <v>2609</v>
      </c>
      <c r="BD1002" t="s">
        <v>2610</v>
      </c>
      <c r="BE1002" t="s">
        <v>2608</v>
      </c>
      <c r="BF1002" t="s">
        <v>2611</v>
      </c>
      <c r="BG1002" t="s">
        <v>2608</v>
      </c>
      <c r="BH1002" s="1">
        <v>45172.833333333336</v>
      </c>
      <c r="BI1002">
        <v>56</v>
      </c>
      <c r="BJ1002">
        <v>8</v>
      </c>
      <c r="BK1002">
        <v>8</v>
      </c>
      <c r="BL1002">
        <v>8</v>
      </c>
      <c r="BM1002">
        <v>8</v>
      </c>
      <c r="BN1002">
        <v>8</v>
      </c>
      <c r="BO1002">
        <v>8</v>
      </c>
      <c r="BP1002">
        <v>8</v>
      </c>
      <c r="BQ1002" t="str">
        <f>"5:00 AM"</f>
        <v>5:00 AM</v>
      </c>
      <c r="BR1002" t="str">
        <f>"5:00 PM"</f>
        <v>5:00 PM</v>
      </c>
      <c r="BS1002" t="s">
        <v>131</v>
      </c>
      <c r="BT1002">
        <v>0</v>
      </c>
      <c r="BU1002">
        <v>1</v>
      </c>
      <c r="BV1002" t="s">
        <v>114</v>
      </c>
      <c r="BX1002" s="2" t="s">
        <v>4212</v>
      </c>
      <c r="BY1002" t="s">
        <v>4213</v>
      </c>
      <c r="BZ1002" t="s">
        <v>4214</v>
      </c>
      <c r="CA1002" t="s">
        <v>4215</v>
      </c>
      <c r="CB1002" t="s">
        <v>2608</v>
      </c>
      <c r="CC1002" s="8" t="str">
        <f>"73111"</f>
        <v>73111</v>
      </c>
      <c r="CD1002" t="s">
        <v>3576</v>
      </c>
      <c r="CE1002" t="s">
        <v>3577</v>
      </c>
      <c r="CF1002" s="12">
        <v>12.92</v>
      </c>
      <c r="CG1002" s="12">
        <v>12.92</v>
      </c>
      <c r="CH1002" s="12">
        <v>19.38</v>
      </c>
      <c r="CI1002" s="12">
        <v>19.38</v>
      </c>
      <c r="CJ1002" t="s">
        <v>135</v>
      </c>
      <c r="CL1002" t="s">
        <v>4216</v>
      </c>
      <c r="CO1002" t="s">
        <v>132</v>
      </c>
      <c r="CP1002" t="s">
        <v>114</v>
      </c>
      <c r="CQ1002" t="s">
        <v>114</v>
      </c>
      <c r="CR1002" t="s">
        <v>136</v>
      </c>
      <c r="CS1002" t="s">
        <v>114</v>
      </c>
      <c r="CT1002" t="s">
        <v>136</v>
      </c>
      <c r="CU1002" t="s">
        <v>136</v>
      </c>
      <c r="CV1002" t="s">
        <v>3861</v>
      </c>
      <c r="CW1002" s="10" t="str">
        <f>"+16053745733"</f>
        <v>+16053745733</v>
      </c>
      <c r="CX1002" t="s">
        <v>4211</v>
      </c>
      <c r="CY1002" t="s">
        <v>132</v>
      </c>
      <c r="CZ1002" t="s">
        <v>137</v>
      </c>
      <c r="DA1002" t="s">
        <v>114</v>
      </c>
      <c r="DB1002" t="s">
        <v>114</v>
      </c>
      <c r="DC1002" t="s">
        <v>136</v>
      </c>
      <c r="DD1002" t="s">
        <v>114</v>
      </c>
    </row>
    <row r="1003" spans="1:108" ht="15" customHeight="1" x14ac:dyDescent="0.25">
      <c r="A1003" t="s">
        <v>13006</v>
      </c>
      <c r="B1003" t="s">
        <v>152</v>
      </c>
      <c r="C1003" s="1">
        <v>45181.548517476855</v>
      </c>
      <c r="D1003" s="1">
        <v>45244</v>
      </c>
      <c r="E1003" t="s">
        <v>132</v>
      </c>
      <c r="F1003" t="s">
        <v>3847</v>
      </c>
      <c r="G1003" t="str">
        <f>"39-2021.00"</f>
        <v>39-2021.00</v>
      </c>
      <c r="H1003" t="s">
        <v>2895</v>
      </c>
      <c r="I1003">
        <v>7</v>
      </c>
      <c r="J1003">
        <v>7</v>
      </c>
      <c r="K1003" s="1">
        <v>45231</v>
      </c>
      <c r="L1003" s="1">
        <v>45535</v>
      </c>
      <c r="M1003" s="1">
        <v>45231</v>
      </c>
      <c r="N1003" s="1">
        <v>45535</v>
      </c>
      <c r="O1003" t="s">
        <v>238</v>
      </c>
      <c r="P1003" t="s">
        <v>13007</v>
      </c>
      <c r="R1003" t="s">
        <v>13008</v>
      </c>
      <c r="T1003" t="s">
        <v>12310</v>
      </c>
      <c r="U1003" t="s">
        <v>1722</v>
      </c>
      <c r="V1003" s="8" t="str">
        <f>"21727"</f>
        <v>21727</v>
      </c>
      <c r="W1003" t="s">
        <v>118</v>
      </c>
      <c r="Y1003" s="10">
        <v>14103530419</v>
      </c>
      <c r="AA1003">
        <v>711212</v>
      </c>
      <c r="AB1003" t="s">
        <v>2857</v>
      </c>
      <c r="AC1003" t="s">
        <v>1555</v>
      </c>
      <c r="AD1003" t="s">
        <v>2057</v>
      </c>
      <c r="AE1003" t="s">
        <v>3852</v>
      </c>
      <c r="AF1003" t="s">
        <v>13008</v>
      </c>
      <c r="AH1003" t="s">
        <v>12310</v>
      </c>
      <c r="AI1003" t="s">
        <v>1722</v>
      </c>
      <c r="AJ1003" s="8" t="str">
        <f>"21727"</f>
        <v>21727</v>
      </c>
      <c r="AK1003" t="s">
        <v>118</v>
      </c>
      <c r="AM1003" s="10">
        <v>14103530419</v>
      </c>
      <c r="AO1003" t="s">
        <v>13009</v>
      </c>
      <c r="AP1003" t="s">
        <v>121</v>
      </c>
      <c r="AQ1003" t="s">
        <v>2603</v>
      </c>
      <c r="AR1003" t="s">
        <v>2604</v>
      </c>
      <c r="AS1003" t="s">
        <v>931</v>
      </c>
      <c r="AT1003" t="s">
        <v>2605</v>
      </c>
      <c r="AU1003" t="s">
        <v>2606</v>
      </c>
      <c r="AV1003" t="s">
        <v>2607</v>
      </c>
      <c r="AW1003" t="s">
        <v>2608</v>
      </c>
      <c r="AX1003" s="8" t="str">
        <f>"73069"</f>
        <v>73069</v>
      </c>
      <c r="AY1003" t="s">
        <v>118</v>
      </c>
      <c r="BA1003" s="10">
        <v>14053642525</v>
      </c>
      <c r="BC1003" t="s">
        <v>2609</v>
      </c>
      <c r="BD1003" t="s">
        <v>2610</v>
      </c>
      <c r="BE1003" t="s">
        <v>2608</v>
      </c>
      <c r="BF1003" t="s">
        <v>2611</v>
      </c>
      <c r="BG1003" t="s">
        <v>1722</v>
      </c>
      <c r="BH1003" s="1">
        <v>45180.833333333336</v>
      </c>
      <c r="BI1003">
        <v>40</v>
      </c>
      <c r="BJ1003">
        <v>8</v>
      </c>
      <c r="BK1003">
        <v>8</v>
      </c>
      <c r="BL1003">
        <v>8</v>
      </c>
      <c r="BM1003">
        <v>8</v>
      </c>
      <c r="BN1003">
        <v>8</v>
      </c>
      <c r="BO1003">
        <v>8</v>
      </c>
      <c r="BP1003">
        <v>8</v>
      </c>
      <c r="BQ1003" t="str">
        <f>"5:00 AM"</f>
        <v>5:00 AM</v>
      </c>
      <c r="BR1003" t="str">
        <f>"5:00 PM"</f>
        <v>5:00 PM</v>
      </c>
      <c r="BS1003" t="s">
        <v>131</v>
      </c>
      <c r="BT1003">
        <v>0</v>
      </c>
      <c r="BU1003">
        <v>1</v>
      </c>
      <c r="BV1003" t="s">
        <v>114</v>
      </c>
      <c r="BX1003" s="2" t="s">
        <v>3116</v>
      </c>
      <c r="BY1003" t="s">
        <v>13010</v>
      </c>
      <c r="BZ1003" t="s">
        <v>13011</v>
      </c>
      <c r="CA1003" t="s">
        <v>13012</v>
      </c>
      <c r="CB1003" t="s">
        <v>1722</v>
      </c>
      <c r="CC1003" s="8" t="str">
        <f>"20724"</f>
        <v>20724</v>
      </c>
      <c r="CD1003" t="s">
        <v>1793</v>
      </c>
      <c r="CE1003" t="s">
        <v>1794</v>
      </c>
      <c r="CF1003" s="12">
        <v>16.89</v>
      </c>
      <c r="CG1003" s="12">
        <v>16.89</v>
      </c>
      <c r="CH1003" s="12">
        <v>25.34</v>
      </c>
      <c r="CI1003" s="12">
        <v>25.34</v>
      </c>
      <c r="CJ1003" t="s">
        <v>135</v>
      </c>
      <c r="CL1003" t="s">
        <v>13013</v>
      </c>
      <c r="CO1003" t="s">
        <v>132</v>
      </c>
      <c r="CP1003" t="s">
        <v>114</v>
      </c>
      <c r="CQ1003" t="s">
        <v>114</v>
      </c>
      <c r="CR1003" t="s">
        <v>136</v>
      </c>
      <c r="CS1003" t="s">
        <v>114</v>
      </c>
      <c r="CT1003" t="s">
        <v>136</v>
      </c>
      <c r="CU1003" t="s">
        <v>136</v>
      </c>
      <c r="CV1003" s="2" t="s">
        <v>13014</v>
      </c>
      <c r="CW1003" s="10" t="str">
        <f>"+14103530419"</f>
        <v>+14103530419</v>
      </c>
      <c r="CX1003" t="s">
        <v>13009</v>
      </c>
      <c r="CY1003" t="s">
        <v>132</v>
      </c>
      <c r="CZ1003" t="s">
        <v>137</v>
      </c>
      <c r="DA1003" t="s">
        <v>114</v>
      </c>
      <c r="DB1003" t="s">
        <v>114</v>
      </c>
      <c r="DC1003" t="s">
        <v>136</v>
      </c>
      <c r="DD1003" t="s">
        <v>114</v>
      </c>
    </row>
    <row r="1004" spans="1:108" ht="15" customHeight="1" x14ac:dyDescent="0.25">
      <c r="A1004" t="s">
        <v>12904</v>
      </c>
      <c r="B1004" t="s">
        <v>152</v>
      </c>
      <c r="C1004" s="1">
        <v>45181.48589895833</v>
      </c>
      <c r="D1004" s="1">
        <v>45244</v>
      </c>
      <c r="E1004" t="s">
        <v>132</v>
      </c>
      <c r="F1004" t="s">
        <v>5411</v>
      </c>
      <c r="G1004" t="str">
        <f>"35-3023.00"</f>
        <v>35-3023.00</v>
      </c>
      <c r="H1004" t="s">
        <v>1365</v>
      </c>
      <c r="I1004">
        <v>12</v>
      </c>
      <c r="J1004">
        <v>12</v>
      </c>
      <c r="K1004" s="1">
        <v>45271</v>
      </c>
      <c r="L1004" s="1">
        <v>45390</v>
      </c>
      <c r="M1004" s="1">
        <v>45271</v>
      </c>
      <c r="N1004" s="1">
        <v>45390</v>
      </c>
      <c r="O1004" t="s">
        <v>238</v>
      </c>
      <c r="P1004" t="s">
        <v>12905</v>
      </c>
      <c r="R1004" t="s">
        <v>12906</v>
      </c>
      <c r="T1004" t="s">
        <v>1614</v>
      </c>
      <c r="U1004" t="s">
        <v>127</v>
      </c>
      <c r="V1004" s="8" t="str">
        <f>"75568"</f>
        <v>75568</v>
      </c>
      <c r="W1004" t="s">
        <v>118</v>
      </c>
      <c r="Y1004" s="10">
        <v>19032387394</v>
      </c>
      <c r="AA1004">
        <v>722330</v>
      </c>
      <c r="AB1004" t="s">
        <v>5068</v>
      </c>
      <c r="AC1004" t="s">
        <v>9734</v>
      </c>
      <c r="AE1004" t="s">
        <v>561</v>
      </c>
      <c r="AF1004" t="s">
        <v>12906</v>
      </c>
      <c r="AH1004" t="s">
        <v>1614</v>
      </c>
      <c r="AI1004" t="s">
        <v>127</v>
      </c>
      <c r="AJ1004" s="8" t="str">
        <f>"75568"</f>
        <v>75568</v>
      </c>
      <c r="AK1004" t="s">
        <v>118</v>
      </c>
      <c r="AM1004" s="10">
        <v>19032387394</v>
      </c>
      <c r="AO1004" t="s">
        <v>12907</v>
      </c>
      <c r="AP1004" t="s">
        <v>121</v>
      </c>
      <c r="AQ1004" t="s">
        <v>1842</v>
      </c>
      <c r="AR1004" t="s">
        <v>1843</v>
      </c>
      <c r="AT1004" t="s">
        <v>1844</v>
      </c>
      <c r="AU1004" t="s">
        <v>1845</v>
      </c>
      <c r="AV1004" t="s">
        <v>1846</v>
      </c>
      <c r="AW1004" t="s">
        <v>581</v>
      </c>
      <c r="AX1004" s="8" t="str">
        <f>"24590"</f>
        <v>24590</v>
      </c>
      <c r="AY1004" t="s">
        <v>118</v>
      </c>
      <c r="BA1004" s="10">
        <v>14349981102</v>
      </c>
      <c r="BC1004" t="s">
        <v>1847</v>
      </c>
      <c r="BD1004" t="s">
        <v>1848</v>
      </c>
      <c r="BE1004" t="s">
        <v>581</v>
      </c>
      <c r="BF1004" t="s">
        <v>1849</v>
      </c>
      <c r="BG1004" t="s">
        <v>127</v>
      </c>
      <c r="BH1004" s="1">
        <v>45180.833333333336</v>
      </c>
      <c r="BI1004">
        <v>35</v>
      </c>
      <c r="BJ1004">
        <v>7</v>
      </c>
      <c r="BK1004">
        <v>0</v>
      </c>
      <c r="BL1004">
        <v>0</v>
      </c>
      <c r="BM1004">
        <v>7</v>
      </c>
      <c r="BN1004">
        <v>7</v>
      </c>
      <c r="BO1004">
        <v>7</v>
      </c>
      <c r="BP1004">
        <v>7</v>
      </c>
      <c r="BQ1004" t="str">
        <f>"10:00 AM"</f>
        <v>10:00 AM</v>
      </c>
      <c r="BR1004" t="str">
        <f>"7:00 PM"</f>
        <v>7:00 PM</v>
      </c>
      <c r="BS1004" t="s">
        <v>131</v>
      </c>
      <c r="BT1004">
        <v>0</v>
      </c>
      <c r="BU1004">
        <v>0</v>
      </c>
      <c r="BV1004" t="s">
        <v>114</v>
      </c>
      <c r="BX1004" s="2" t="s">
        <v>7776</v>
      </c>
      <c r="BY1004" t="s">
        <v>12908</v>
      </c>
      <c r="CA1004" t="s">
        <v>1614</v>
      </c>
      <c r="CB1004" t="s">
        <v>127</v>
      </c>
      <c r="CC1004" s="8" t="str">
        <f>"75568"</f>
        <v>75568</v>
      </c>
      <c r="CD1004" t="s">
        <v>2776</v>
      </c>
      <c r="CE1004" t="s">
        <v>2876</v>
      </c>
      <c r="CF1004" s="12">
        <v>10.119999999999999</v>
      </c>
      <c r="CG1004" s="12">
        <v>10.85</v>
      </c>
      <c r="CH1004" s="12">
        <v>15.18</v>
      </c>
      <c r="CI1004" s="12">
        <v>16.28</v>
      </c>
      <c r="CJ1004" t="s">
        <v>135</v>
      </c>
      <c r="CK1004" t="s">
        <v>12909</v>
      </c>
      <c r="CL1004" t="s">
        <v>12910</v>
      </c>
      <c r="CO1004" t="s">
        <v>132</v>
      </c>
      <c r="CP1004" t="s">
        <v>136</v>
      </c>
      <c r="CQ1004" t="s">
        <v>136</v>
      </c>
      <c r="CR1004" t="s">
        <v>136</v>
      </c>
      <c r="CS1004" t="s">
        <v>136</v>
      </c>
      <c r="CT1004" t="s">
        <v>136</v>
      </c>
      <c r="CU1004" t="s">
        <v>136</v>
      </c>
      <c r="CV1004" t="s">
        <v>12911</v>
      </c>
      <c r="CW1004" s="10" t="str">
        <f>"+19032387394"</f>
        <v>+19032387394</v>
      </c>
      <c r="CX1004" t="s">
        <v>12907</v>
      </c>
      <c r="CY1004" t="s">
        <v>132</v>
      </c>
      <c r="CZ1004" t="s">
        <v>137</v>
      </c>
      <c r="DA1004" t="s">
        <v>114</v>
      </c>
      <c r="DB1004" t="s">
        <v>136</v>
      </c>
      <c r="DC1004" t="s">
        <v>136</v>
      </c>
      <c r="DD1004" t="s">
        <v>114</v>
      </c>
    </row>
    <row r="1005" spans="1:108" ht="15" customHeight="1" x14ac:dyDescent="0.25">
      <c r="A1005" t="s">
        <v>8969</v>
      </c>
      <c r="B1005" t="s">
        <v>152</v>
      </c>
      <c r="C1005" s="1">
        <v>45177.505438541666</v>
      </c>
      <c r="D1005" s="1">
        <v>45244</v>
      </c>
      <c r="E1005" t="s">
        <v>132</v>
      </c>
      <c r="F1005" t="s">
        <v>3992</v>
      </c>
      <c r="G1005" t="str">
        <f>"37-2011.00"</f>
        <v>37-2011.00</v>
      </c>
      <c r="H1005" t="s">
        <v>1089</v>
      </c>
      <c r="I1005">
        <v>12</v>
      </c>
      <c r="J1005">
        <v>12</v>
      </c>
      <c r="K1005" s="1">
        <v>45261</v>
      </c>
      <c r="L1005" s="1">
        <v>45382</v>
      </c>
      <c r="M1005" s="1">
        <v>45261</v>
      </c>
      <c r="N1005" s="1">
        <v>45382</v>
      </c>
      <c r="O1005" t="s">
        <v>238</v>
      </c>
      <c r="P1005" t="s">
        <v>8970</v>
      </c>
      <c r="R1005" t="s">
        <v>8971</v>
      </c>
      <c r="T1005" t="s">
        <v>4465</v>
      </c>
      <c r="U1005" t="s">
        <v>211</v>
      </c>
      <c r="V1005" s="8" t="str">
        <f>"84404"</f>
        <v>84404</v>
      </c>
      <c r="W1005" t="s">
        <v>118</v>
      </c>
      <c r="Y1005" s="10">
        <v>18016860627</v>
      </c>
      <c r="AA1005">
        <v>56173</v>
      </c>
      <c r="AB1005" t="s">
        <v>8972</v>
      </c>
      <c r="AC1005" t="s">
        <v>8904</v>
      </c>
      <c r="AE1005" t="s">
        <v>120</v>
      </c>
      <c r="AF1005" t="s">
        <v>8973</v>
      </c>
      <c r="AH1005" t="s">
        <v>4465</v>
      </c>
      <c r="AI1005" t="s">
        <v>211</v>
      </c>
      <c r="AJ1005" s="8" t="str">
        <f>"84404"</f>
        <v>84404</v>
      </c>
      <c r="AK1005" t="s">
        <v>118</v>
      </c>
      <c r="AM1005" s="10">
        <v>18016870627</v>
      </c>
      <c r="AO1005" t="s">
        <v>8974</v>
      </c>
      <c r="AP1005" t="s">
        <v>248</v>
      </c>
      <c r="AQ1005" t="s">
        <v>1700</v>
      </c>
      <c r="AR1005" t="s">
        <v>1701</v>
      </c>
      <c r="AT1005" t="s">
        <v>1702</v>
      </c>
      <c r="AV1005" t="s">
        <v>1703</v>
      </c>
      <c r="AW1005" t="s">
        <v>211</v>
      </c>
      <c r="AX1005" s="8" t="str">
        <f>"84059"</f>
        <v>84059</v>
      </c>
      <c r="AY1005" t="s">
        <v>118</v>
      </c>
      <c r="BA1005" s="10">
        <v>18013677097</v>
      </c>
      <c r="BC1005" t="s">
        <v>4601</v>
      </c>
      <c r="BD1005" t="s">
        <v>4602</v>
      </c>
      <c r="BG1005" t="s">
        <v>211</v>
      </c>
      <c r="BH1005" s="1">
        <v>45169.833333333336</v>
      </c>
      <c r="BI1005">
        <v>35</v>
      </c>
      <c r="BJ1005">
        <v>0</v>
      </c>
      <c r="BK1005">
        <v>7</v>
      </c>
      <c r="BL1005">
        <v>7</v>
      </c>
      <c r="BM1005">
        <v>7</v>
      </c>
      <c r="BN1005">
        <v>7</v>
      </c>
      <c r="BO1005">
        <v>7</v>
      </c>
      <c r="BP1005">
        <v>0</v>
      </c>
      <c r="BQ1005" t="str">
        <f>"7:00 AM"</f>
        <v>7:00 AM</v>
      </c>
      <c r="BR1005" t="str">
        <f>"2:30 PM"</f>
        <v>2:30 PM</v>
      </c>
      <c r="BS1005" t="s">
        <v>131</v>
      </c>
      <c r="BT1005">
        <v>0</v>
      </c>
      <c r="BU1005">
        <v>0</v>
      </c>
      <c r="BV1005" t="s">
        <v>114</v>
      </c>
      <c r="BX1005" s="2" t="s">
        <v>5221</v>
      </c>
      <c r="BY1005" t="s">
        <v>8975</v>
      </c>
      <c r="CA1005" t="s">
        <v>4465</v>
      </c>
      <c r="CB1005" t="s">
        <v>211</v>
      </c>
      <c r="CC1005" s="8" t="str">
        <f>"84404"</f>
        <v>84404</v>
      </c>
      <c r="CD1005" t="s">
        <v>1481</v>
      </c>
      <c r="CE1005" t="s">
        <v>1482</v>
      </c>
      <c r="CF1005" s="12">
        <v>14.13</v>
      </c>
      <c r="CH1005" s="12">
        <v>21.2</v>
      </c>
      <c r="CJ1005" t="s">
        <v>135</v>
      </c>
      <c r="CK1005" t="s">
        <v>4604</v>
      </c>
      <c r="CL1005" t="s">
        <v>8976</v>
      </c>
      <c r="CO1005" t="s">
        <v>132</v>
      </c>
      <c r="CP1005" t="s">
        <v>136</v>
      </c>
      <c r="CQ1005" t="s">
        <v>136</v>
      </c>
      <c r="CR1005" t="s">
        <v>136</v>
      </c>
      <c r="CS1005" t="s">
        <v>114</v>
      </c>
      <c r="CT1005" t="s">
        <v>136</v>
      </c>
      <c r="CU1005" t="s">
        <v>114</v>
      </c>
      <c r="CV1005" t="s">
        <v>2470</v>
      </c>
      <c r="CW1005" s="10" t="str">
        <f>"+18016860627"</f>
        <v>+18016860627</v>
      </c>
      <c r="CX1005" t="s">
        <v>8974</v>
      </c>
      <c r="CY1005" t="s">
        <v>132</v>
      </c>
      <c r="CZ1005" t="s">
        <v>137</v>
      </c>
      <c r="DA1005" t="s">
        <v>114</v>
      </c>
      <c r="DB1005" t="s">
        <v>114</v>
      </c>
      <c r="DC1005" t="s">
        <v>136</v>
      </c>
      <c r="DD1005" t="s">
        <v>114</v>
      </c>
    </row>
    <row r="1006" spans="1:108" ht="15" customHeight="1" x14ac:dyDescent="0.25">
      <c r="A1006" t="s">
        <v>14246</v>
      </c>
      <c r="B1006" t="s">
        <v>152</v>
      </c>
      <c r="C1006" s="1">
        <v>45174.597625578703</v>
      </c>
      <c r="D1006" s="1">
        <v>45244</v>
      </c>
      <c r="E1006" t="s">
        <v>132</v>
      </c>
      <c r="F1006" t="s">
        <v>293</v>
      </c>
      <c r="G1006" t="str">
        <f>"37-2012.00"</f>
        <v>37-2012.00</v>
      </c>
      <c r="H1006" t="s">
        <v>205</v>
      </c>
      <c r="I1006">
        <v>2</v>
      </c>
      <c r="J1006">
        <v>2</v>
      </c>
      <c r="K1006" s="1">
        <v>45261</v>
      </c>
      <c r="L1006" s="1">
        <v>45382</v>
      </c>
      <c r="M1006" s="1">
        <v>45261</v>
      </c>
      <c r="N1006" s="1">
        <v>45382</v>
      </c>
      <c r="O1006" t="s">
        <v>116</v>
      </c>
      <c r="P1006" t="s">
        <v>14247</v>
      </c>
      <c r="Q1006" t="s">
        <v>14248</v>
      </c>
      <c r="R1006" t="s">
        <v>14249</v>
      </c>
      <c r="T1006" t="s">
        <v>1672</v>
      </c>
      <c r="U1006" t="s">
        <v>506</v>
      </c>
      <c r="V1006" s="8" t="str">
        <f>"05672"</f>
        <v>05672</v>
      </c>
      <c r="W1006" t="s">
        <v>118</v>
      </c>
      <c r="Y1006" s="10">
        <v>18022537525</v>
      </c>
      <c r="AA1006">
        <v>721110</v>
      </c>
      <c r="AB1006" t="s">
        <v>3906</v>
      </c>
      <c r="AC1006" t="s">
        <v>708</v>
      </c>
      <c r="AE1006" t="s">
        <v>6076</v>
      </c>
      <c r="AF1006" t="s">
        <v>3907</v>
      </c>
      <c r="AG1006" t="s">
        <v>3908</v>
      </c>
      <c r="AH1006" t="s">
        <v>3909</v>
      </c>
      <c r="AI1006" t="s">
        <v>2194</v>
      </c>
      <c r="AJ1006" s="8" t="str">
        <f>"03801"</f>
        <v>03801</v>
      </c>
      <c r="AK1006" t="s">
        <v>118</v>
      </c>
      <c r="AM1006" s="10">
        <v>13392347591</v>
      </c>
      <c r="AO1006" t="s">
        <v>3910</v>
      </c>
      <c r="AP1006" t="s">
        <v>121</v>
      </c>
      <c r="AQ1006" t="s">
        <v>276</v>
      </c>
      <c r="AR1006" t="s">
        <v>277</v>
      </c>
      <c r="AS1006" t="s">
        <v>278</v>
      </c>
      <c r="AT1006" t="s">
        <v>279</v>
      </c>
      <c r="AU1006" t="s">
        <v>280</v>
      </c>
      <c r="AV1006" t="s">
        <v>281</v>
      </c>
      <c r="AW1006" t="s">
        <v>222</v>
      </c>
      <c r="AX1006" s="8" t="str">
        <f>"01701"</f>
        <v>01701</v>
      </c>
      <c r="AY1006" t="s">
        <v>118</v>
      </c>
      <c r="BA1006" s="10">
        <v>16179399444</v>
      </c>
      <c r="BC1006" t="s">
        <v>282</v>
      </c>
      <c r="BD1006" t="s">
        <v>283</v>
      </c>
      <c r="BE1006" t="s">
        <v>222</v>
      </c>
      <c r="BF1006" t="s">
        <v>284</v>
      </c>
      <c r="BG1006" t="s">
        <v>506</v>
      </c>
      <c r="BH1006" s="1">
        <v>45173.833333333336</v>
      </c>
      <c r="BI1006">
        <v>40</v>
      </c>
      <c r="BJ1006">
        <v>0</v>
      </c>
      <c r="BK1006">
        <v>8</v>
      </c>
      <c r="BL1006">
        <v>8</v>
      </c>
      <c r="BM1006">
        <v>8</v>
      </c>
      <c r="BN1006">
        <v>8</v>
      </c>
      <c r="BO1006">
        <v>8</v>
      </c>
      <c r="BP1006">
        <v>0</v>
      </c>
      <c r="BQ1006" t="str">
        <f>"9:00 AM"</f>
        <v>9:00 AM</v>
      </c>
      <c r="BR1006" t="str">
        <f>"5:00 PM"</f>
        <v>5:00 PM</v>
      </c>
      <c r="BS1006" t="s">
        <v>131</v>
      </c>
      <c r="BT1006">
        <v>0</v>
      </c>
      <c r="BU1006">
        <v>3</v>
      </c>
      <c r="BV1006" t="s">
        <v>114</v>
      </c>
      <c r="BX1006" s="2" t="s">
        <v>3911</v>
      </c>
      <c r="BY1006" t="s">
        <v>14249</v>
      </c>
      <c r="CA1006" t="s">
        <v>1672</v>
      </c>
      <c r="CB1006" t="s">
        <v>506</v>
      </c>
      <c r="CC1006" s="8" t="str">
        <f>"05672"</f>
        <v>05672</v>
      </c>
      <c r="CD1006" t="s">
        <v>1683</v>
      </c>
      <c r="CE1006" t="s">
        <v>1108</v>
      </c>
      <c r="CF1006" s="12">
        <v>15.97</v>
      </c>
      <c r="CG1006" s="12">
        <v>19</v>
      </c>
      <c r="CH1006" s="12">
        <v>23.96</v>
      </c>
      <c r="CI1006" s="12">
        <v>28.5</v>
      </c>
      <c r="CJ1006" t="s">
        <v>135</v>
      </c>
      <c r="CK1006" t="s">
        <v>14250</v>
      </c>
      <c r="CL1006" t="s">
        <v>14251</v>
      </c>
      <c r="CO1006" t="s">
        <v>132</v>
      </c>
      <c r="CP1006" t="s">
        <v>114</v>
      </c>
      <c r="CQ1006" t="s">
        <v>114</v>
      </c>
      <c r="CR1006" t="s">
        <v>136</v>
      </c>
      <c r="CS1006" t="s">
        <v>136</v>
      </c>
      <c r="CT1006" t="s">
        <v>136</v>
      </c>
      <c r="CU1006" t="s">
        <v>136</v>
      </c>
      <c r="CV1006" t="s">
        <v>14252</v>
      </c>
      <c r="CW1006" s="10" t="str">
        <f>"+13392347591"</f>
        <v>+13392347591</v>
      </c>
      <c r="CX1006" t="s">
        <v>3910</v>
      </c>
      <c r="CY1006" t="s">
        <v>132</v>
      </c>
      <c r="CZ1006" t="s">
        <v>137</v>
      </c>
      <c r="DA1006" t="s">
        <v>114</v>
      </c>
      <c r="DB1006" t="s">
        <v>114</v>
      </c>
      <c r="DC1006" t="s">
        <v>136</v>
      </c>
      <c r="DD1006" t="s">
        <v>114</v>
      </c>
    </row>
    <row r="1007" spans="1:108" ht="15" customHeight="1" x14ac:dyDescent="0.25">
      <c r="A1007" t="s">
        <v>23777</v>
      </c>
      <c r="B1007" t="s">
        <v>152</v>
      </c>
      <c r="C1007" s="1">
        <v>45174.56172233796</v>
      </c>
      <c r="D1007" s="1">
        <v>45244</v>
      </c>
      <c r="E1007" t="s">
        <v>132</v>
      </c>
      <c r="F1007" t="s">
        <v>4510</v>
      </c>
      <c r="G1007" t="str">
        <f>"39-2021.00"</f>
        <v>39-2021.00</v>
      </c>
      <c r="H1007" t="s">
        <v>2895</v>
      </c>
      <c r="I1007">
        <v>55</v>
      </c>
      <c r="J1007">
        <v>55</v>
      </c>
      <c r="K1007" s="1">
        <v>45260</v>
      </c>
      <c r="L1007" s="1">
        <v>45383</v>
      </c>
      <c r="M1007" s="1">
        <v>45260</v>
      </c>
      <c r="N1007" s="1">
        <v>45383</v>
      </c>
      <c r="O1007" t="s">
        <v>238</v>
      </c>
      <c r="P1007" t="s">
        <v>19396</v>
      </c>
      <c r="R1007" t="s">
        <v>19397</v>
      </c>
      <c r="T1007" t="s">
        <v>19398</v>
      </c>
      <c r="U1007" t="s">
        <v>358</v>
      </c>
      <c r="V1007" s="8" t="str">
        <f>"12020"</f>
        <v>12020</v>
      </c>
      <c r="W1007" t="s">
        <v>118</v>
      </c>
      <c r="Y1007" s="10">
        <v>15164282608</v>
      </c>
      <c r="AA1007">
        <v>711219</v>
      </c>
      <c r="AB1007" t="s">
        <v>4513</v>
      </c>
      <c r="AC1007" t="s">
        <v>144</v>
      </c>
      <c r="AD1007" t="s">
        <v>17739</v>
      </c>
      <c r="AE1007" t="s">
        <v>629</v>
      </c>
      <c r="AF1007" t="s">
        <v>19397</v>
      </c>
      <c r="AH1007" t="s">
        <v>19398</v>
      </c>
      <c r="AI1007" t="s">
        <v>358</v>
      </c>
      <c r="AJ1007" s="8" t="str">
        <f>"12020"</f>
        <v>12020</v>
      </c>
      <c r="AK1007" t="s">
        <v>118</v>
      </c>
      <c r="AM1007" s="10">
        <v>15164282608</v>
      </c>
      <c r="AO1007" t="s">
        <v>19399</v>
      </c>
      <c r="AP1007" t="s">
        <v>121</v>
      </c>
      <c r="AQ1007" t="s">
        <v>4516</v>
      </c>
      <c r="AR1007" t="s">
        <v>1235</v>
      </c>
      <c r="AT1007" t="s">
        <v>4517</v>
      </c>
      <c r="AU1007" t="s">
        <v>4518</v>
      </c>
      <c r="AV1007" t="s">
        <v>1220</v>
      </c>
      <c r="AW1007" t="s">
        <v>358</v>
      </c>
      <c r="AX1007" s="8" t="str">
        <f>"10165"</f>
        <v>10165</v>
      </c>
      <c r="AY1007" t="s">
        <v>118</v>
      </c>
      <c r="BA1007" s="10">
        <v>12127604400</v>
      </c>
      <c r="BC1007" t="s">
        <v>4519</v>
      </c>
      <c r="BD1007" t="s">
        <v>4520</v>
      </c>
      <c r="BE1007" t="s">
        <v>358</v>
      </c>
      <c r="BF1007" t="s">
        <v>4521</v>
      </c>
      <c r="BG1007" t="s">
        <v>140</v>
      </c>
      <c r="BH1007" s="1">
        <v>45167.833333333336</v>
      </c>
      <c r="BI1007">
        <v>40</v>
      </c>
      <c r="BJ1007">
        <v>8</v>
      </c>
      <c r="BK1007">
        <v>0</v>
      </c>
      <c r="BL1007">
        <v>0</v>
      </c>
      <c r="BM1007">
        <v>8</v>
      </c>
      <c r="BN1007">
        <v>8</v>
      </c>
      <c r="BO1007">
        <v>8</v>
      </c>
      <c r="BP1007">
        <v>8</v>
      </c>
      <c r="BQ1007" t="str">
        <f>"5:00 AM"</f>
        <v>5:00 AM</v>
      </c>
      <c r="BR1007" t="str">
        <f>"11:00 AM"</f>
        <v>11:00 AM</v>
      </c>
      <c r="BS1007" t="s">
        <v>131</v>
      </c>
      <c r="BT1007">
        <v>0</v>
      </c>
      <c r="BU1007">
        <v>0</v>
      </c>
      <c r="BV1007" t="s">
        <v>114</v>
      </c>
      <c r="BX1007" t="s">
        <v>1570</v>
      </c>
      <c r="BY1007" t="s">
        <v>22304</v>
      </c>
      <c r="BZ1007" t="s">
        <v>23778</v>
      </c>
      <c r="CA1007" t="s">
        <v>23779</v>
      </c>
      <c r="CB1007" t="s">
        <v>140</v>
      </c>
      <c r="CC1007" s="8" t="str">
        <f>"34956"</f>
        <v>34956</v>
      </c>
      <c r="CD1007" t="s">
        <v>695</v>
      </c>
      <c r="CE1007" t="s">
        <v>696</v>
      </c>
      <c r="CF1007" s="12">
        <v>14.81</v>
      </c>
      <c r="CG1007" s="12">
        <v>14.81</v>
      </c>
      <c r="CH1007" s="12">
        <v>22.22</v>
      </c>
      <c r="CI1007" s="12">
        <v>22.22</v>
      </c>
      <c r="CJ1007" t="s">
        <v>135</v>
      </c>
      <c r="CL1007" t="s">
        <v>23780</v>
      </c>
      <c r="CO1007" t="s">
        <v>132</v>
      </c>
      <c r="CP1007" t="s">
        <v>114</v>
      </c>
      <c r="CQ1007" t="s">
        <v>114</v>
      </c>
      <c r="CR1007" t="s">
        <v>136</v>
      </c>
      <c r="CS1007" t="s">
        <v>114</v>
      </c>
      <c r="CT1007" t="s">
        <v>136</v>
      </c>
      <c r="CU1007" t="s">
        <v>136</v>
      </c>
      <c r="CV1007" s="2" t="s">
        <v>23781</v>
      </c>
      <c r="CW1007" s="10" t="str">
        <f>"+15164282608"</f>
        <v>+15164282608</v>
      </c>
      <c r="CX1007" t="s">
        <v>19399</v>
      </c>
      <c r="CY1007" t="s">
        <v>132</v>
      </c>
      <c r="CZ1007" t="s">
        <v>137</v>
      </c>
      <c r="DA1007" t="s">
        <v>114</v>
      </c>
      <c r="DB1007" t="s">
        <v>114</v>
      </c>
      <c r="DC1007" t="s">
        <v>136</v>
      </c>
      <c r="DD1007" t="s">
        <v>114</v>
      </c>
    </row>
    <row r="1008" spans="1:108" ht="15" customHeight="1" x14ac:dyDescent="0.25">
      <c r="A1008" t="s">
        <v>19232</v>
      </c>
      <c r="B1008" t="s">
        <v>152</v>
      </c>
      <c r="C1008" s="1">
        <v>45174.499933333333</v>
      </c>
      <c r="D1008" s="1">
        <v>45244</v>
      </c>
      <c r="E1008" t="s">
        <v>132</v>
      </c>
      <c r="F1008" t="s">
        <v>1689</v>
      </c>
      <c r="G1008" t="str">
        <f>"37-2012.00"</f>
        <v>37-2012.00</v>
      </c>
      <c r="H1008" t="s">
        <v>205</v>
      </c>
      <c r="I1008">
        <v>5</v>
      </c>
      <c r="J1008">
        <v>5</v>
      </c>
      <c r="K1008" s="1">
        <v>45261</v>
      </c>
      <c r="L1008" s="1">
        <v>45397</v>
      </c>
      <c r="M1008" s="1">
        <v>45261</v>
      </c>
      <c r="N1008" s="1">
        <v>45397</v>
      </c>
      <c r="O1008" t="s">
        <v>116</v>
      </c>
      <c r="P1008" t="s">
        <v>19233</v>
      </c>
      <c r="Q1008" t="s">
        <v>19234</v>
      </c>
      <c r="R1008" t="s">
        <v>18636</v>
      </c>
      <c r="S1008" t="s">
        <v>18637</v>
      </c>
      <c r="T1008" t="s">
        <v>13928</v>
      </c>
      <c r="U1008" t="s">
        <v>127</v>
      </c>
      <c r="V1008" s="8" t="str">
        <f>"75038"</f>
        <v>75038</v>
      </c>
      <c r="W1008" t="s">
        <v>118</v>
      </c>
      <c r="Y1008" s="10">
        <v>18022536483</v>
      </c>
      <c r="AA1008">
        <v>721110</v>
      </c>
      <c r="AB1008" t="s">
        <v>19235</v>
      </c>
      <c r="AC1008" t="s">
        <v>19236</v>
      </c>
      <c r="AE1008" t="s">
        <v>19237</v>
      </c>
      <c r="AF1008" t="s">
        <v>19238</v>
      </c>
      <c r="AH1008" t="s">
        <v>1672</v>
      </c>
      <c r="AI1008" t="s">
        <v>506</v>
      </c>
      <c r="AJ1008" s="8" t="str">
        <f>"05672"</f>
        <v>05672</v>
      </c>
      <c r="AK1008" t="s">
        <v>118</v>
      </c>
      <c r="AM1008" s="10">
        <v>18022536483</v>
      </c>
      <c r="AO1008" t="s">
        <v>19239</v>
      </c>
      <c r="AP1008" t="s">
        <v>121</v>
      </c>
      <c r="AQ1008" t="s">
        <v>276</v>
      </c>
      <c r="AR1008" t="s">
        <v>277</v>
      </c>
      <c r="AS1008" t="s">
        <v>278</v>
      </c>
      <c r="AT1008" t="s">
        <v>279</v>
      </c>
      <c r="AU1008" t="s">
        <v>280</v>
      </c>
      <c r="AV1008" t="s">
        <v>281</v>
      </c>
      <c r="AW1008" t="s">
        <v>222</v>
      </c>
      <c r="AX1008" s="8" t="str">
        <f>"01701"</f>
        <v>01701</v>
      </c>
      <c r="AY1008" t="s">
        <v>118</v>
      </c>
      <c r="AZ1008" s="3" t="s">
        <v>2321</v>
      </c>
      <c r="BA1008" s="10">
        <v>16179399444</v>
      </c>
      <c r="BC1008" t="s">
        <v>282</v>
      </c>
      <c r="BD1008" t="s">
        <v>283</v>
      </c>
      <c r="BE1008" t="s">
        <v>222</v>
      </c>
      <c r="BF1008" t="s">
        <v>284</v>
      </c>
      <c r="BG1008" t="s">
        <v>506</v>
      </c>
      <c r="BH1008" s="1">
        <v>45173.833333333336</v>
      </c>
      <c r="BI1008">
        <v>40</v>
      </c>
      <c r="BJ1008">
        <v>0</v>
      </c>
      <c r="BK1008">
        <v>8</v>
      </c>
      <c r="BL1008">
        <v>8</v>
      </c>
      <c r="BM1008">
        <v>8</v>
      </c>
      <c r="BN1008">
        <v>8</v>
      </c>
      <c r="BO1008">
        <v>8</v>
      </c>
      <c r="BP1008">
        <v>0</v>
      </c>
      <c r="BQ1008" t="str">
        <f>"8:00 AM"</f>
        <v>8:00 AM</v>
      </c>
      <c r="BR1008" t="str">
        <f>"4:00 PM"</f>
        <v>4:00 PM</v>
      </c>
      <c r="BS1008" t="s">
        <v>131</v>
      </c>
      <c r="BT1008">
        <v>0</v>
      </c>
      <c r="BU1008">
        <v>3</v>
      </c>
      <c r="BV1008" t="s">
        <v>114</v>
      </c>
      <c r="BX1008" s="2" t="s">
        <v>19240</v>
      </c>
      <c r="BY1008" t="s">
        <v>19238</v>
      </c>
      <c r="CA1008" t="s">
        <v>1672</v>
      </c>
      <c r="CB1008" t="s">
        <v>506</v>
      </c>
      <c r="CC1008" s="8" t="str">
        <f>"05672"</f>
        <v>05672</v>
      </c>
      <c r="CD1008" t="s">
        <v>1683</v>
      </c>
      <c r="CE1008" t="s">
        <v>1108</v>
      </c>
      <c r="CF1008" s="12">
        <v>15.97</v>
      </c>
      <c r="CG1008" s="12">
        <v>18</v>
      </c>
      <c r="CH1008" s="12">
        <v>23.96</v>
      </c>
      <c r="CI1008" s="12">
        <v>27</v>
      </c>
      <c r="CJ1008" t="s">
        <v>135</v>
      </c>
      <c r="CK1008" t="s">
        <v>19241</v>
      </c>
      <c r="CL1008" t="s">
        <v>19242</v>
      </c>
      <c r="CO1008" t="s">
        <v>132</v>
      </c>
      <c r="CP1008" t="s">
        <v>114</v>
      </c>
      <c r="CQ1008" t="s">
        <v>136</v>
      </c>
      <c r="CR1008" t="s">
        <v>136</v>
      </c>
      <c r="CS1008" t="s">
        <v>136</v>
      </c>
      <c r="CT1008" t="s">
        <v>136</v>
      </c>
      <c r="CU1008" t="s">
        <v>136</v>
      </c>
      <c r="CV1008" t="s">
        <v>19243</v>
      </c>
      <c r="CW1008" s="10" t="str">
        <f>"+18022536483"</f>
        <v>+18022536483</v>
      </c>
      <c r="CX1008" t="s">
        <v>19239</v>
      </c>
      <c r="CY1008" t="s">
        <v>132</v>
      </c>
      <c r="CZ1008" t="s">
        <v>137</v>
      </c>
      <c r="DA1008" t="s">
        <v>114</v>
      </c>
      <c r="DB1008" t="s">
        <v>114</v>
      </c>
      <c r="DC1008" t="s">
        <v>136</v>
      </c>
      <c r="DD1008" t="s">
        <v>114</v>
      </c>
    </row>
    <row r="1009" spans="1:113" ht="15" customHeight="1" x14ac:dyDescent="0.25">
      <c r="A1009" t="s">
        <v>21517</v>
      </c>
      <c r="B1009" t="s">
        <v>152</v>
      </c>
      <c r="C1009" s="1">
        <v>45174.496708564817</v>
      </c>
      <c r="D1009" s="1">
        <v>45244</v>
      </c>
      <c r="E1009" t="s">
        <v>132</v>
      </c>
      <c r="F1009" t="s">
        <v>1059</v>
      </c>
      <c r="G1009" t="str">
        <f>"35-2014.00"</f>
        <v>35-2014.00</v>
      </c>
      <c r="H1009" t="s">
        <v>154</v>
      </c>
      <c r="I1009">
        <v>2</v>
      </c>
      <c r="J1009">
        <v>2</v>
      </c>
      <c r="K1009" s="1">
        <v>45261</v>
      </c>
      <c r="L1009" s="1">
        <v>45397</v>
      </c>
      <c r="M1009" s="1">
        <v>45261</v>
      </c>
      <c r="N1009" s="1">
        <v>45397</v>
      </c>
      <c r="O1009" t="s">
        <v>116</v>
      </c>
      <c r="P1009" t="s">
        <v>19233</v>
      </c>
      <c r="Q1009" t="s">
        <v>19234</v>
      </c>
      <c r="R1009" t="s">
        <v>18636</v>
      </c>
      <c r="S1009" t="s">
        <v>18637</v>
      </c>
      <c r="T1009" t="s">
        <v>13928</v>
      </c>
      <c r="U1009" t="s">
        <v>127</v>
      </c>
      <c r="V1009" s="8" t="str">
        <f>"75038"</f>
        <v>75038</v>
      </c>
      <c r="W1009" t="s">
        <v>118</v>
      </c>
      <c r="Y1009" s="10">
        <v>18022536483</v>
      </c>
      <c r="AA1009">
        <v>721110</v>
      </c>
      <c r="AB1009" t="s">
        <v>19235</v>
      </c>
      <c r="AC1009" t="s">
        <v>21518</v>
      </c>
      <c r="AE1009" t="s">
        <v>19237</v>
      </c>
      <c r="AF1009" t="s">
        <v>19238</v>
      </c>
      <c r="AH1009" t="s">
        <v>1672</v>
      </c>
      <c r="AI1009" t="s">
        <v>506</v>
      </c>
      <c r="AJ1009" s="8" t="str">
        <f>"05672"</f>
        <v>05672</v>
      </c>
      <c r="AK1009" t="s">
        <v>118</v>
      </c>
      <c r="AM1009" s="10">
        <v>18022536483</v>
      </c>
      <c r="AO1009" t="s">
        <v>19239</v>
      </c>
      <c r="AP1009" t="s">
        <v>121</v>
      </c>
      <c r="AQ1009" t="s">
        <v>276</v>
      </c>
      <c r="AR1009" t="s">
        <v>277</v>
      </c>
      <c r="AS1009" t="s">
        <v>278</v>
      </c>
      <c r="AT1009" t="s">
        <v>279</v>
      </c>
      <c r="AU1009" t="s">
        <v>280</v>
      </c>
      <c r="AV1009" t="s">
        <v>281</v>
      </c>
      <c r="AW1009" t="s">
        <v>222</v>
      </c>
      <c r="AX1009" s="8" t="str">
        <f>"01701"</f>
        <v>01701</v>
      </c>
      <c r="AY1009" t="s">
        <v>118</v>
      </c>
      <c r="AZ1009" s="3" t="s">
        <v>2321</v>
      </c>
      <c r="BA1009" s="10">
        <v>16179399444</v>
      </c>
      <c r="BC1009" t="s">
        <v>282</v>
      </c>
      <c r="BD1009" t="s">
        <v>283</v>
      </c>
      <c r="BE1009" t="s">
        <v>222</v>
      </c>
      <c r="BF1009" t="s">
        <v>284</v>
      </c>
      <c r="BG1009" t="s">
        <v>506</v>
      </c>
      <c r="BH1009" s="1">
        <v>45173.833333333336</v>
      </c>
      <c r="BI1009">
        <v>40</v>
      </c>
      <c r="BJ1009">
        <v>0</v>
      </c>
      <c r="BK1009">
        <v>8</v>
      </c>
      <c r="BL1009">
        <v>8</v>
      </c>
      <c r="BM1009">
        <v>8</v>
      </c>
      <c r="BN1009">
        <v>8</v>
      </c>
      <c r="BO1009">
        <v>8</v>
      </c>
      <c r="BP1009">
        <v>0</v>
      </c>
      <c r="BQ1009" t="str">
        <f>"6:00 AM"</f>
        <v>6:00 AM</v>
      </c>
      <c r="BR1009" t="str">
        <f>"2:00 PM"</f>
        <v>2:00 PM</v>
      </c>
      <c r="BS1009" t="s">
        <v>131</v>
      </c>
      <c r="BT1009">
        <v>0</v>
      </c>
      <c r="BU1009">
        <v>6</v>
      </c>
      <c r="BV1009" t="s">
        <v>114</v>
      </c>
      <c r="BX1009" s="2" t="s">
        <v>21519</v>
      </c>
      <c r="BY1009" t="s">
        <v>19238</v>
      </c>
      <c r="CA1009" t="s">
        <v>1672</v>
      </c>
      <c r="CB1009" t="s">
        <v>506</v>
      </c>
      <c r="CC1009" s="8" t="str">
        <f>"05672"</f>
        <v>05672</v>
      </c>
      <c r="CD1009" t="s">
        <v>1683</v>
      </c>
      <c r="CE1009" t="s">
        <v>1108</v>
      </c>
      <c r="CF1009" s="12">
        <v>18.64</v>
      </c>
      <c r="CG1009" s="12">
        <v>22</v>
      </c>
      <c r="CH1009" s="12">
        <v>27.96</v>
      </c>
      <c r="CI1009" s="12">
        <v>33</v>
      </c>
      <c r="CJ1009" t="s">
        <v>135</v>
      </c>
      <c r="CK1009" t="s">
        <v>21520</v>
      </c>
      <c r="CL1009" t="s">
        <v>21521</v>
      </c>
      <c r="CO1009" t="s">
        <v>132</v>
      </c>
      <c r="CP1009" t="s">
        <v>114</v>
      </c>
      <c r="CQ1009" t="s">
        <v>136</v>
      </c>
      <c r="CR1009" t="s">
        <v>136</v>
      </c>
      <c r="CS1009" t="s">
        <v>136</v>
      </c>
      <c r="CT1009" t="s">
        <v>136</v>
      </c>
      <c r="CU1009" t="s">
        <v>136</v>
      </c>
      <c r="CV1009" t="s">
        <v>19243</v>
      </c>
      <c r="CW1009" s="10" t="str">
        <f>"+18022536483"</f>
        <v>+18022536483</v>
      </c>
      <c r="CX1009" t="s">
        <v>19239</v>
      </c>
      <c r="CY1009" t="s">
        <v>132</v>
      </c>
      <c r="CZ1009" t="s">
        <v>137</v>
      </c>
      <c r="DA1009" t="s">
        <v>114</v>
      </c>
      <c r="DB1009" t="s">
        <v>114</v>
      </c>
      <c r="DC1009" t="s">
        <v>136</v>
      </c>
      <c r="DD1009" t="s">
        <v>114</v>
      </c>
    </row>
    <row r="1010" spans="1:113" ht="15" customHeight="1" x14ac:dyDescent="0.25">
      <c r="A1010" t="s">
        <v>8698</v>
      </c>
      <c r="B1010" t="s">
        <v>152</v>
      </c>
      <c r="C1010" s="1">
        <v>45156.680537152781</v>
      </c>
      <c r="D1010" s="1">
        <v>45244</v>
      </c>
      <c r="E1010" t="s">
        <v>114</v>
      </c>
      <c r="F1010" t="s">
        <v>293</v>
      </c>
      <c r="G1010" t="str">
        <f>"37-2012.00"</f>
        <v>37-2012.00</v>
      </c>
      <c r="H1010" t="s">
        <v>205</v>
      </c>
      <c r="I1010">
        <v>6</v>
      </c>
      <c r="J1010">
        <v>6</v>
      </c>
      <c r="K1010" s="1">
        <v>45245</v>
      </c>
      <c r="L1010" s="1">
        <v>45397</v>
      </c>
      <c r="M1010" s="1">
        <v>45245</v>
      </c>
      <c r="N1010" s="1">
        <v>45397</v>
      </c>
      <c r="O1010" t="s">
        <v>116</v>
      </c>
      <c r="P1010" t="s">
        <v>8699</v>
      </c>
      <c r="Q1010" t="s">
        <v>132</v>
      </c>
      <c r="R1010" t="s">
        <v>8700</v>
      </c>
      <c r="T1010" t="s">
        <v>3170</v>
      </c>
      <c r="U1010" t="s">
        <v>2194</v>
      </c>
      <c r="V1010" s="8" t="str">
        <f>"03251"</f>
        <v>03251</v>
      </c>
      <c r="W1010" t="s">
        <v>118</v>
      </c>
      <c r="Y1010" s="10">
        <v>16037289091</v>
      </c>
      <c r="AA1010">
        <v>561720</v>
      </c>
      <c r="AB1010" t="s">
        <v>7775</v>
      </c>
      <c r="AC1010" t="s">
        <v>8701</v>
      </c>
      <c r="AE1010" t="s">
        <v>561</v>
      </c>
      <c r="AF1010" t="s">
        <v>8702</v>
      </c>
      <c r="AH1010" t="s">
        <v>8703</v>
      </c>
      <c r="AI1010" t="s">
        <v>2194</v>
      </c>
      <c r="AJ1010" s="8" t="str">
        <f>"03251"</f>
        <v>03251</v>
      </c>
      <c r="AK1010" t="s">
        <v>118</v>
      </c>
      <c r="AM1010" s="10">
        <v>12146052778</v>
      </c>
      <c r="AO1010" t="s">
        <v>8704</v>
      </c>
      <c r="AP1010" t="s">
        <v>248</v>
      </c>
      <c r="AQ1010" t="s">
        <v>1784</v>
      </c>
      <c r="AR1010" t="s">
        <v>1785</v>
      </c>
      <c r="AT1010" t="s">
        <v>1786</v>
      </c>
      <c r="AV1010" t="s">
        <v>1787</v>
      </c>
      <c r="AW1010" t="s">
        <v>506</v>
      </c>
      <c r="AX1010" s="8" t="str">
        <f>"05760"</f>
        <v>05760</v>
      </c>
      <c r="AY1010" t="s">
        <v>118</v>
      </c>
      <c r="BA1010" s="10">
        <v>18029482788</v>
      </c>
      <c r="BC1010" t="s">
        <v>1788</v>
      </c>
      <c r="BD1010" t="s">
        <v>8705</v>
      </c>
      <c r="BG1010" t="s">
        <v>2194</v>
      </c>
      <c r="BH1010" s="1">
        <v>45155.833333333336</v>
      </c>
      <c r="BI1010">
        <v>35</v>
      </c>
      <c r="BJ1010">
        <v>7</v>
      </c>
      <c r="BK1010">
        <v>7</v>
      </c>
      <c r="BL1010">
        <v>0</v>
      </c>
      <c r="BM1010">
        <v>0</v>
      </c>
      <c r="BN1010">
        <v>7</v>
      </c>
      <c r="BO1010">
        <v>7</v>
      </c>
      <c r="BP1010">
        <v>7</v>
      </c>
      <c r="BQ1010" t="str">
        <f>"8:00 AM"</f>
        <v>8:00 AM</v>
      </c>
      <c r="BR1010" t="str">
        <f>"4:30 PM"</f>
        <v>4:30 PM</v>
      </c>
      <c r="BS1010" t="s">
        <v>131</v>
      </c>
      <c r="BT1010">
        <v>0</v>
      </c>
      <c r="BU1010">
        <v>0</v>
      </c>
      <c r="BV1010" t="s">
        <v>114</v>
      </c>
      <c r="BX1010" s="2" t="s">
        <v>8706</v>
      </c>
      <c r="BY1010" t="s">
        <v>8700</v>
      </c>
      <c r="CA1010" t="s">
        <v>3170</v>
      </c>
      <c r="CB1010" t="s">
        <v>2194</v>
      </c>
      <c r="CC1010" s="8" t="str">
        <f>"03251"</f>
        <v>03251</v>
      </c>
      <c r="CD1010" t="s">
        <v>3924</v>
      </c>
      <c r="CE1010" t="s">
        <v>2365</v>
      </c>
      <c r="CF1010" s="12">
        <v>14.58</v>
      </c>
      <c r="CG1010" s="12">
        <v>14.58</v>
      </c>
      <c r="CH1010" s="12">
        <v>21.88</v>
      </c>
      <c r="CI1010" s="12">
        <v>21.88</v>
      </c>
      <c r="CJ1010" t="s">
        <v>135</v>
      </c>
      <c r="CK1010" t="s">
        <v>131</v>
      </c>
      <c r="CL1010" t="s">
        <v>8707</v>
      </c>
      <c r="CO1010" t="s">
        <v>132</v>
      </c>
      <c r="CP1010" t="s">
        <v>114</v>
      </c>
      <c r="CQ1010" t="s">
        <v>136</v>
      </c>
      <c r="CR1010" t="s">
        <v>136</v>
      </c>
      <c r="CS1010" t="s">
        <v>136</v>
      </c>
      <c r="CT1010" t="s">
        <v>136</v>
      </c>
      <c r="CU1010" t="s">
        <v>136</v>
      </c>
      <c r="CV1010" s="2" t="s">
        <v>8708</v>
      </c>
      <c r="CW1010" s="10" t="str">
        <f>"+16034442971"</f>
        <v>+16034442971</v>
      </c>
      <c r="CX1010" t="s">
        <v>8704</v>
      </c>
      <c r="CY1010" t="s">
        <v>132</v>
      </c>
      <c r="CZ1010" t="s">
        <v>137</v>
      </c>
      <c r="DA1010" t="s">
        <v>114</v>
      </c>
      <c r="DB1010" t="s">
        <v>136</v>
      </c>
      <c r="DC1010" t="s">
        <v>136</v>
      </c>
      <c r="DD1010" t="s">
        <v>114</v>
      </c>
    </row>
    <row r="1011" spans="1:113" ht="15" customHeight="1" x14ac:dyDescent="0.25">
      <c r="A1011" t="s">
        <v>19595</v>
      </c>
      <c r="B1011" t="s">
        <v>152</v>
      </c>
      <c r="C1011" s="1">
        <v>45153.566744791664</v>
      </c>
      <c r="D1011" s="1">
        <v>45244</v>
      </c>
      <c r="E1011" t="s">
        <v>114</v>
      </c>
      <c r="F1011" t="s">
        <v>5413</v>
      </c>
      <c r="G1011" t="str">
        <f>"53-3032.00"</f>
        <v>53-3032.00</v>
      </c>
      <c r="H1011" t="s">
        <v>736</v>
      </c>
      <c r="I1011">
        <v>10</v>
      </c>
      <c r="J1011">
        <v>10</v>
      </c>
      <c r="K1011" s="1">
        <v>45242</v>
      </c>
      <c r="L1011" s="1">
        <v>45458</v>
      </c>
      <c r="M1011" s="1">
        <v>45242</v>
      </c>
      <c r="N1011" s="1">
        <v>45458</v>
      </c>
      <c r="O1011" t="s">
        <v>116</v>
      </c>
      <c r="P1011" t="s">
        <v>19596</v>
      </c>
      <c r="R1011" t="s">
        <v>19597</v>
      </c>
      <c r="S1011" t="s">
        <v>19598</v>
      </c>
      <c r="T1011" t="s">
        <v>19599</v>
      </c>
      <c r="U1011" t="s">
        <v>140</v>
      </c>
      <c r="V1011" s="8" t="str">
        <f>"33873"</f>
        <v>33873</v>
      </c>
      <c r="W1011" t="s">
        <v>118</v>
      </c>
      <c r="Y1011" s="10">
        <v>18637736633</v>
      </c>
      <c r="AA1011">
        <v>4842</v>
      </c>
      <c r="AB1011" t="s">
        <v>9373</v>
      </c>
      <c r="AC1011" t="s">
        <v>1616</v>
      </c>
      <c r="AE1011" t="s">
        <v>378</v>
      </c>
      <c r="AF1011" t="s">
        <v>19597</v>
      </c>
      <c r="AG1011" t="s">
        <v>19598</v>
      </c>
      <c r="AH1011" t="s">
        <v>19599</v>
      </c>
      <c r="AI1011" t="s">
        <v>140</v>
      </c>
      <c r="AJ1011" s="8" t="str">
        <f>"33873"</f>
        <v>33873</v>
      </c>
      <c r="AK1011" t="s">
        <v>118</v>
      </c>
      <c r="AM1011" s="10">
        <v>18637736633</v>
      </c>
      <c r="AO1011" t="s">
        <v>19600</v>
      </c>
      <c r="AP1011" t="s">
        <v>248</v>
      </c>
      <c r="AQ1011" t="s">
        <v>5476</v>
      </c>
      <c r="AR1011" t="s">
        <v>5477</v>
      </c>
      <c r="AS1011" t="s">
        <v>3559</v>
      </c>
      <c r="AT1011" t="s">
        <v>5478</v>
      </c>
      <c r="AU1011" t="s">
        <v>5479</v>
      </c>
      <c r="AV1011" t="s">
        <v>3759</v>
      </c>
      <c r="AW1011" t="s">
        <v>375</v>
      </c>
      <c r="AX1011" s="8" t="str">
        <f>"27536"</f>
        <v>27536</v>
      </c>
      <c r="AY1011" t="s">
        <v>118</v>
      </c>
      <c r="BA1011" s="10">
        <v>14349173294</v>
      </c>
      <c r="BC1011" t="s">
        <v>5480</v>
      </c>
      <c r="BD1011" t="s">
        <v>5481</v>
      </c>
      <c r="BG1011" t="s">
        <v>140</v>
      </c>
      <c r="BH1011" s="1">
        <v>45152.833333333336</v>
      </c>
      <c r="BI1011">
        <v>40</v>
      </c>
      <c r="BJ1011">
        <v>0</v>
      </c>
      <c r="BK1011">
        <v>7</v>
      </c>
      <c r="BL1011">
        <v>7</v>
      </c>
      <c r="BM1011">
        <v>7</v>
      </c>
      <c r="BN1011">
        <v>7</v>
      </c>
      <c r="BO1011">
        <v>7</v>
      </c>
      <c r="BP1011">
        <v>5</v>
      </c>
      <c r="BQ1011" t="str">
        <f>"7:00 AM"</f>
        <v>7:00 AM</v>
      </c>
      <c r="BR1011" t="str">
        <f>"4:30 PM"</f>
        <v>4:30 PM</v>
      </c>
      <c r="BS1011" t="s">
        <v>131</v>
      </c>
      <c r="BT1011">
        <v>0</v>
      </c>
      <c r="BU1011">
        <v>12</v>
      </c>
      <c r="BV1011" t="s">
        <v>114</v>
      </c>
      <c r="BX1011" s="2" t="s">
        <v>19601</v>
      </c>
      <c r="BY1011" t="s">
        <v>19598</v>
      </c>
      <c r="CA1011" t="s">
        <v>19599</v>
      </c>
      <c r="CB1011" t="s">
        <v>140</v>
      </c>
      <c r="CC1011" s="8" t="str">
        <f>"33873"</f>
        <v>33873</v>
      </c>
      <c r="CD1011" t="s">
        <v>19602</v>
      </c>
      <c r="CE1011" t="s">
        <v>304</v>
      </c>
      <c r="CF1011" s="12">
        <v>23.94</v>
      </c>
      <c r="CG1011" s="12">
        <v>23.94</v>
      </c>
      <c r="CH1011" s="12">
        <v>35.909999999999997</v>
      </c>
      <c r="CI1011" s="12">
        <v>35.909999999999997</v>
      </c>
      <c r="CJ1011" t="s">
        <v>135</v>
      </c>
      <c r="CL1011" t="s">
        <v>19603</v>
      </c>
      <c r="CO1011" t="s">
        <v>132</v>
      </c>
      <c r="CP1011" t="s">
        <v>136</v>
      </c>
      <c r="CQ1011" t="s">
        <v>136</v>
      </c>
      <c r="CR1011" t="s">
        <v>136</v>
      </c>
      <c r="CS1011" t="s">
        <v>114</v>
      </c>
      <c r="CT1011" t="s">
        <v>136</v>
      </c>
      <c r="CU1011" t="s">
        <v>136</v>
      </c>
      <c r="CV1011" t="s">
        <v>19604</v>
      </c>
      <c r="CW1011" s="10" t="str">
        <f>"+18637736633"</f>
        <v>+18637736633</v>
      </c>
      <c r="CX1011" t="s">
        <v>19600</v>
      </c>
      <c r="CY1011" t="s">
        <v>132</v>
      </c>
      <c r="CZ1011" t="s">
        <v>137</v>
      </c>
      <c r="DA1011" t="s">
        <v>114</v>
      </c>
      <c r="DB1011" t="s">
        <v>114</v>
      </c>
      <c r="DC1011" t="s">
        <v>136</v>
      </c>
      <c r="DD1011" t="s">
        <v>114</v>
      </c>
    </row>
    <row r="1012" spans="1:113" ht="15" customHeight="1" x14ac:dyDescent="0.25">
      <c r="A1012" t="s">
        <v>10780</v>
      </c>
      <c r="B1012" t="s">
        <v>152</v>
      </c>
      <c r="C1012" s="1">
        <v>45202.308802662039</v>
      </c>
      <c r="D1012" s="1">
        <v>45243</v>
      </c>
      <c r="E1012" t="s">
        <v>132</v>
      </c>
      <c r="F1012" t="s">
        <v>236</v>
      </c>
      <c r="G1012" t="str">
        <f>"39-3091.00"</f>
        <v>39-3091.00</v>
      </c>
      <c r="H1012" t="s">
        <v>237</v>
      </c>
      <c r="I1012">
        <v>10</v>
      </c>
      <c r="J1012">
        <v>10</v>
      </c>
      <c r="K1012" s="1">
        <v>45292</v>
      </c>
      <c r="L1012" s="1">
        <v>45596</v>
      </c>
      <c r="M1012" s="1">
        <v>45292</v>
      </c>
      <c r="N1012" s="1">
        <v>45596</v>
      </c>
      <c r="O1012" t="s">
        <v>238</v>
      </c>
      <c r="P1012" t="s">
        <v>10781</v>
      </c>
      <c r="R1012" t="s">
        <v>10782</v>
      </c>
      <c r="S1012" t="s">
        <v>10783</v>
      </c>
      <c r="T1012" t="s">
        <v>4870</v>
      </c>
      <c r="U1012" t="s">
        <v>158</v>
      </c>
      <c r="V1012" s="8" t="str">
        <f>"48430"</f>
        <v>48430</v>
      </c>
      <c r="W1012" t="s">
        <v>118</v>
      </c>
      <c r="Y1012" s="10">
        <v>18134770393</v>
      </c>
      <c r="AA1012">
        <v>71399</v>
      </c>
      <c r="AB1012" t="s">
        <v>7146</v>
      </c>
      <c r="AC1012" t="s">
        <v>10784</v>
      </c>
      <c r="AE1012" t="s">
        <v>10785</v>
      </c>
      <c r="AF1012" t="s">
        <v>10782</v>
      </c>
      <c r="AG1012" t="s">
        <v>10783</v>
      </c>
      <c r="AH1012" t="s">
        <v>4870</v>
      </c>
      <c r="AI1012" t="s">
        <v>158</v>
      </c>
      <c r="AJ1012" s="8" t="str">
        <f>"48430"</f>
        <v>48430</v>
      </c>
      <c r="AK1012" t="s">
        <v>118</v>
      </c>
      <c r="AM1012" s="10">
        <v>18134770393</v>
      </c>
      <c r="AO1012" t="s">
        <v>10786</v>
      </c>
      <c r="AP1012" t="s">
        <v>248</v>
      </c>
      <c r="AQ1012" t="s">
        <v>249</v>
      </c>
      <c r="AR1012" t="s">
        <v>250</v>
      </c>
      <c r="AS1012" t="s">
        <v>251</v>
      </c>
      <c r="AT1012" t="s">
        <v>252</v>
      </c>
      <c r="AU1012" t="s">
        <v>253</v>
      </c>
      <c r="AV1012" t="s">
        <v>254</v>
      </c>
      <c r="AW1012" t="s">
        <v>127</v>
      </c>
      <c r="AX1012" s="8" t="str">
        <f>"78550"</f>
        <v>78550</v>
      </c>
      <c r="AY1012" t="s">
        <v>118</v>
      </c>
      <c r="AZ1012" t="s">
        <v>255</v>
      </c>
      <c r="BA1012" s="10">
        <v>19564408720</v>
      </c>
      <c r="BB1012" s="3" t="s">
        <v>256</v>
      </c>
      <c r="BC1012" t="s">
        <v>257</v>
      </c>
      <c r="BD1012" t="s">
        <v>258</v>
      </c>
      <c r="BG1012" t="s">
        <v>158</v>
      </c>
      <c r="BH1012" s="1">
        <v>45201.833333333336</v>
      </c>
      <c r="BI1012">
        <v>40</v>
      </c>
      <c r="BJ1012">
        <v>8</v>
      </c>
      <c r="BK1012">
        <v>0</v>
      </c>
      <c r="BL1012">
        <v>0</v>
      </c>
      <c r="BM1012">
        <v>8</v>
      </c>
      <c r="BN1012">
        <v>8</v>
      </c>
      <c r="BO1012">
        <v>8</v>
      </c>
      <c r="BP1012">
        <v>8</v>
      </c>
      <c r="BQ1012" t="str">
        <f>"1:00 PM"</f>
        <v>1:00 PM</v>
      </c>
      <c r="BR1012" t="str">
        <f>"10:00 PM"</f>
        <v>10:00 PM</v>
      </c>
      <c r="BS1012" t="s">
        <v>131</v>
      </c>
      <c r="BT1012">
        <v>0</v>
      </c>
      <c r="BU1012">
        <v>0</v>
      </c>
      <c r="BV1012" t="s">
        <v>114</v>
      </c>
      <c r="BX1012" s="2" t="s">
        <v>259</v>
      </c>
      <c r="BY1012" t="s">
        <v>10782</v>
      </c>
      <c r="CA1012" t="s">
        <v>4870</v>
      </c>
      <c r="CB1012" t="s">
        <v>158</v>
      </c>
      <c r="CC1012" s="8" t="str">
        <f>"48430"</f>
        <v>48430</v>
      </c>
      <c r="CD1012" t="s">
        <v>10787</v>
      </c>
      <c r="CE1012" t="s">
        <v>10788</v>
      </c>
      <c r="CF1012" s="12">
        <v>9.61</v>
      </c>
      <c r="CG1012" s="12">
        <v>15</v>
      </c>
      <c r="CJ1012" t="s">
        <v>135</v>
      </c>
      <c r="CK1012" t="s">
        <v>264</v>
      </c>
      <c r="CL1012" t="s">
        <v>10789</v>
      </c>
      <c r="CO1012" t="s">
        <v>132</v>
      </c>
      <c r="CP1012" t="s">
        <v>136</v>
      </c>
      <c r="CQ1012" t="s">
        <v>136</v>
      </c>
      <c r="CR1012" t="s">
        <v>114</v>
      </c>
      <c r="CS1012" t="s">
        <v>136</v>
      </c>
      <c r="CT1012" t="s">
        <v>136</v>
      </c>
      <c r="CU1012" t="s">
        <v>136</v>
      </c>
      <c r="CV1012" t="s">
        <v>266</v>
      </c>
      <c r="CW1012" s="10" t="str">
        <f>"+18134527020"</f>
        <v>+18134527020</v>
      </c>
      <c r="CX1012" t="s">
        <v>10786</v>
      </c>
      <c r="CY1012" t="s">
        <v>132</v>
      </c>
      <c r="CZ1012" t="s">
        <v>137</v>
      </c>
      <c r="DA1012" t="s">
        <v>114</v>
      </c>
      <c r="DB1012" t="s">
        <v>136</v>
      </c>
      <c r="DC1012" t="s">
        <v>136</v>
      </c>
      <c r="DD1012" t="s">
        <v>114</v>
      </c>
    </row>
    <row r="1013" spans="1:113" ht="15" customHeight="1" x14ac:dyDescent="0.25">
      <c r="A1013" t="s">
        <v>235</v>
      </c>
      <c r="B1013" t="s">
        <v>152</v>
      </c>
      <c r="C1013" s="1">
        <v>45202.307789930557</v>
      </c>
      <c r="D1013" s="1">
        <v>45243</v>
      </c>
      <c r="E1013" t="s">
        <v>132</v>
      </c>
      <c r="F1013" t="s">
        <v>236</v>
      </c>
      <c r="G1013" t="str">
        <f>"39-3091.00"</f>
        <v>39-3091.00</v>
      </c>
      <c r="H1013" t="s">
        <v>237</v>
      </c>
      <c r="I1013">
        <v>6</v>
      </c>
      <c r="J1013">
        <v>6</v>
      </c>
      <c r="K1013" s="1">
        <v>45292</v>
      </c>
      <c r="L1013" s="1">
        <v>45596</v>
      </c>
      <c r="M1013" s="1">
        <v>45292</v>
      </c>
      <c r="N1013" s="1">
        <v>45596</v>
      </c>
      <c r="O1013" t="s">
        <v>238</v>
      </c>
      <c r="P1013" t="s">
        <v>239</v>
      </c>
      <c r="R1013" t="s">
        <v>240</v>
      </c>
      <c r="S1013" t="s">
        <v>241</v>
      </c>
      <c r="T1013" t="s">
        <v>242</v>
      </c>
      <c r="U1013" t="s">
        <v>127</v>
      </c>
      <c r="V1013" s="8" t="str">
        <f>"76043"</f>
        <v>76043</v>
      </c>
      <c r="W1013" t="s">
        <v>118</v>
      </c>
      <c r="Y1013" s="10">
        <v>12543962645</v>
      </c>
      <c r="AA1013">
        <v>71399</v>
      </c>
      <c r="AB1013" t="s">
        <v>243</v>
      </c>
      <c r="AC1013" t="s">
        <v>244</v>
      </c>
      <c r="AE1013" t="s">
        <v>245</v>
      </c>
      <c r="AF1013" t="s">
        <v>246</v>
      </c>
      <c r="AG1013" t="s">
        <v>241</v>
      </c>
      <c r="AH1013" t="s">
        <v>242</v>
      </c>
      <c r="AI1013" t="s">
        <v>127</v>
      </c>
      <c r="AJ1013" s="8" t="str">
        <f>"76043"</f>
        <v>76043</v>
      </c>
      <c r="AK1013" t="s">
        <v>118</v>
      </c>
      <c r="AM1013" s="10">
        <v>12543962645</v>
      </c>
      <c r="AO1013" t="s">
        <v>247</v>
      </c>
      <c r="AP1013" t="s">
        <v>248</v>
      </c>
      <c r="AQ1013" t="s">
        <v>249</v>
      </c>
      <c r="AR1013" t="s">
        <v>250</v>
      </c>
      <c r="AS1013" t="s">
        <v>251</v>
      </c>
      <c r="AT1013" t="s">
        <v>252</v>
      </c>
      <c r="AU1013" t="s">
        <v>253</v>
      </c>
      <c r="AV1013" t="s">
        <v>254</v>
      </c>
      <c r="AW1013" t="s">
        <v>127</v>
      </c>
      <c r="AX1013" s="8" t="str">
        <f>"78550"</f>
        <v>78550</v>
      </c>
      <c r="AY1013" t="s">
        <v>118</v>
      </c>
      <c r="AZ1013" t="s">
        <v>255</v>
      </c>
      <c r="BA1013" s="10">
        <v>19564408720</v>
      </c>
      <c r="BB1013" s="3" t="s">
        <v>256</v>
      </c>
      <c r="BC1013" t="s">
        <v>257</v>
      </c>
      <c r="BD1013" t="s">
        <v>258</v>
      </c>
      <c r="BG1013" t="s">
        <v>127</v>
      </c>
      <c r="BH1013" s="1">
        <v>45201.833333333336</v>
      </c>
      <c r="BI1013">
        <v>40</v>
      </c>
      <c r="BJ1013">
        <v>8</v>
      </c>
      <c r="BK1013">
        <v>0</v>
      </c>
      <c r="BL1013">
        <v>0</v>
      </c>
      <c r="BM1013">
        <v>8</v>
      </c>
      <c r="BN1013">
        <v>8</v>
      </c>
      <c r="BO1013">
        <v>8</v>
      </c>
      <c r="BP1013">
        <v>8</v>
      </c>
      <c r="BQ1013" t="str">
        <f>"1:00 PM"</f>
        <v>1:00 PM</v>
      </c>
      <c r="BR1013" t="str">
        <f>"10:00 PM"</f>
        <v>10:00 PM</v>
      </c>
      <c r="BS1013" t="s">
        <v>131</v>
      </c>
      <c r="BT1013">
        <v>0</v>
      </c>
      <c r="BU1013">
        <v>0</v>
      </c>
      <c r="BV1013" t="s">
        <v>114</v>
      </c>
      <c r="BX1013" s="2" t="s">
        <v>259</v>
      </c>
      <c r="BY1013" t="s">
        <v>260</v>
      </c>
      <c r="CA1013" t="s">
        <v>261</v>
      </c>
      <c r="CB1013" t="s">
        <v>127</v>
      </c>
      <c r="CC1013" s="8" t="str">
        <f>"76107"</f>
        <v>76107</v>
      </c>
      <c r="CD1013" t="s">
        <v>262</v>
      </c>
      <c r="CE1013" t="s">
        <v>263</v>
      </c>
      <c r="CF1013" s="12">
        <v>10.16</v>
      </c>
      <c r="CG1013" s="12">
        <v>16.3</v>
      </c>
      <c r="CJ1013" t="s">
        <v>135</v>
      </c>
      <c r="CK1013" t="s">
        <v>264</v>
      </c>
      <c r="CL1013" t="s">
        <v>265</v>
      </c>
      <c r="CO1013" t="s">
        <v>132</v>
      </c>
      <c r="CP1013" t="s">
        <v>136</v>
      </c>
      <c r="CQ1013" t="s">
        <v>136</v>
      </c>
      <c r="CR1013" t="s">
        <v>114</v>
      </c>
      <c r="CS1013" t="s">
        <v>136</v>
      </c>
      <c r="CT1013" t="s">
        <v>136</v>
      </c>
      <c r="CU1013" t="s">
        <v>136</v>
      </c>
      <c r="CV1013" t="s">
        <v>266</v>
      </c>
      <c r="CW1013" s="10" t="str">
        <f>"+12543962645"</f>
        <v>+12543962645</v>
      </c>
      <c r="CX1013" t="s">
        <v>247</v>
      </c>
      <c r="CY1013" t="s">
        <v>132</v>
      </c>
      <c r="CZ1013" t="s">
        <v>137</v>
      </c>
      <c r="DA1013" t="s">
        <v>114</v>
      </c>
      <c r="DB1013" t="s">
        <v>136</v>
      </c>
      <c r="DC1013" t="s">
        <v>136</v>
      </c>
      <c r="DD1013" t="s">
        <v>114</v>
      </c>
    </row>
    <row r="1014" spans="1:113" ht="15" customHeight="1" x14ac:dyDescent="0.25">
      <c r="A1014" t="s">
        <v>19570</v>
      </c>
      <c r="B1014" t="s">
        <v>152</v>
      </c>
      <c r="C1014" s="1">
        <v>45202.304441782406</v>
      </c>
      <c r="D1014" s="1">
        <v>45243</v>
      </c>
      <c r="E1014" t="s">
        <v>132</v>
      </c>
      <c r="F1014" t="s">
        <v>19571</v>
      </c>
      <c r="G1014" t="str">
        <f>"39-3091.00"</f>
        <v>39-3091.00</v>
      </c>
      <c r="H1014" t="s">
        <v>237</v>
      </c>
      <c r="I1014">
        <v>50</v>
      </c>
      <c r="J1014">
        <v>50</v>
      </c>
      <c r="K1014" s="1">
        <v>45292</v>
      </c>
      <c r="L1014" s="1">
        <v>45596</v>
      </c>
      <c r="M1014" s="1">
        <v>45292</v>
      </c>
      <c r="N1014" s="1">
        <v>45596</v>
      </c>
      <c r="O1014" t="s">
        <v>238</v>
      </c>
      <c r="P1014" t="s">
        <v>12713</v>
      </c>
      <c r="Q1014" t="s">
        <v>132</v>
      </c>
      <c r="R1014" t="s">
        <v>12714</v>
      </c>
      <c r="S1014" t="s">
        <v>19572</v>
      </c>
      <c r="T1014" t="s">
        <v>8363</v>
      </c>
      <c r="U1014" t="s">
        <v>402</v>
      </c>
      <c r="V1014" s="8" t="str">
        <f>"92274"</f>
        <v>92274</v>
      </c>
      <c r="W1014" t="s">
        <v>118</v>
      </c>
      <c r="X1014" t="s">
        <v>132</v>
      </c>
      <c r="Y1014" s="10">
        <v>17079742365</v>
      </c>
      <c r="Z1014" s="3" t="s">
        <v>256</v>
      </c>
      <c r="AA1014">
        <v>71399</v>
      </c>
      <c r="AB1014" t="s">
        <v>12715</v>
      </c>
      <c r="AC1014" t="s">
        <v>2068</v>
      </c>
      <c r="AD1014" t="s">
        <v>132</v>
      </c>
      <c r="AE1014" t="s">
        <v>561</v>
      </c>
      <c r="AF1014" t="s">
        <v>12714</v>
      </c>
      <c r="AG1014" t="s">
        <v>19573</v>
      </c>
      <c r="AH1014" t="s">
        <v>8363</v>
      </c>
      <c r="AI1014" t="s">
        <v>402</v>
      </c>
      <c r="AJ1014" s="8" t="str">
        <f>"92274"</f>
        <v>92274</v>
      </c>
      <c r="AK1014" t="s">
        <v>118</v>
      </c>
      <c r="AM1014" s="10">
        <v>17079742365</v>
      </c>
      <c r="AN1014" s="3" t="s">
        <v>256</v>
      </c>
      <c r="AO1014" t="s">
        <v>19574</v>
      </c>
      <c r="AP1014" t="s">
        <v>248</v>
      </c>
      <c r="AQ1014" t="s">
        <v>249</v>
      </c>
      <c r="AR1014" t="s">
        <v>250</v>
      </c>
      <c r="AS1014" t="s">
        <v>251</v>
      </c>
      <c r="AT1014" t="s">
        <v>252</v>
      </c>
      <c r="AU1014" t="s">
        <v>253</v>
      </c>
      <c r="AV1014" t="s">
        <v>254</v>
      </c>
      <c r="AW1014" t="s">
        <v>127</v>
      </c>
      <c r="AX1014" s="8" t="str">
        <f>"78550"</f>
        <v>78550</v>
      </c>
      <c r="AY1014" t="s">
        <v>118</v>
      </c>
      <c r="BA1014" s="10">
        <v>19564408720</v>
      </c>
      <c r="BB1014" s="3" t="s">
        <v>256</v>
      </c>
      <c r="BC1014" t="s">
        <v>257</v>
      </c>
      <c r="BD1014" t="s">
        <v>258</v>
      </c>
      <c r="BG1014" t="s">
        <v>402</v>
      </c>
      <c r="BH1014" s="1">
        <v>45201.833333333336</v>
      </c>
      <c r="BI1014">
        <v>40</v>
      </c>
      <c r="BJ1014">
        <v>8</v>
      </c>
      <c r="BK1014">
        <v>0</v>
      </c>
      <c r="BL1014">
        <v>0</v>
      </c>
      <c r="BM1014">
        <v>8</v>
      </c>
      <c r="BN1014">
        <v>8</v>
      </c>
      <c r="BO1014">
        <v>8</v>
      </c>
      <c r="BP1014">
        <v>8</v>
      </c>
      <c r="BQ1014" t="str">
        <f>"1:00 PM"</f>
        <v>1:00 PM</v>
      </c>
      <c r="BR1014" t="str">
        <f>"10:00 PM"</f>
        <v>10:00 PM</v>
      </c>
      <c r="BS1014" t="s">
        <v>131</v>
      </c>
      <c r="BT1014">
        <v>0</v>
      </c>
      <c r="BU1014">
        <v>0</v>
      </c>
      <c r="BV1014" t="s">
        <v>114</v>
      </c>
      <c r="BX1014" s="2" t="s">
        <v>259</v>
      </c>
      <c r="BY1014" t="s">
        <v>12714</v>
      </c>
      <c r="CA1014" t="s">
        <v>8363</v>
      </c>
      <c r="CB1014" t="s">
        <v>402</v>
      </c>
      <c r="CC1014" s="8" t="str">
        <f>"92274"</f>
        <v>92274</v>
      </c>
      <c r="CD1014" t="s">
        <v>5876</v>
      </c>
      <c r="CE1014" t="s">
        <v>4484</v>
      </c>
      <c r="CF1014" s="12">
        <v>11.37</v>
      </c>
      <c r="CG1014" s="12">
        <v>18.75</v>
      </c>
      <c r="CJ1014" t="s">
        <v>135</v>
      </c>
      <c r="CK1014" t="s">
        <v>264</v>
      </c>
      <c r="CL1014" t="s">
        <v>19575</v>
      </c>
      <c r="CO1014" t="s">
        <v>132</v>
      </c>
      <c r="CP1014" t="s">
        <v>136</v>
      </c>
      <c r="CQ1014" t="s">
        <v>136</v>
      </c>
      <c r="CR1014" t="s">
        <v>114</v>
      </c>
      <c r="CS1014" t="s">
        <v>136</v>
      </c>
      <c r="CT1014" t="s">
        <v>136</v>
      </c>
      <c r="CU1014" t="s">
        <v>136</v>
      </c>
      <c r="CV1014" t="s">
        <v>567</v>
      </c>
      <c r="CW1014" s="10" t="str">
        <f>"+17605787592"</f>
        <v>+17605787592</v>
      </c>
      <c r="CX1014" t="s">
        <v>12716</v>
      </c>
      <c r="CY1014" t="s">
        <v>132</v>
      </c>
      <c r="CZ1014" t="s">
        <v>137</v>
      </c>
      <c r="DA1014" t="s">
        <v>114</v>
      </c>
      <c r="DB1014" t="s">
        <v>114</v>
      </c>
      <c r="DC1014" t="s">
        <v>136</v>
      </c>
      <c r="DD1014" t="s">
        <v>114</v>
      </c>
    </row>
    <row r="1015" spans="1:113" ht="15" customHeight="1" x14ac:dyDescent="0.25">
      <c r="A1015" t="s">
        <v>13304</v>
      </c>
      <c r="B1015" t="s">
        <v>152</v>
      </c>
      <c r="C1015" s="1">
        <v>45198.588794097224</v>
      </c>
      <c r="D1015" s="1">
        <v>45243</v>
      </c>
      <c r="E1015" t="s">
        <v>132</v>
      </c>
      <c r="F1015" t="s">
        <v>3992</v>
      </c>
      <c r="G1015" t="str">
        <f>"37-2011.00"</f>
        <v>37-2011.00</v>
      </c>
      <c r="H1015" t="s">
        <v>1089</v>
      </c>
      <c r="I1015">
        <v>15</v>
      </c>
      <c r="J1015">
        <v>15</v>
      </c>
      <c r="K1015" s="1">
        <v>45273</v>
      </c>
      <c r="L1015" s="1">
        <v>45412</v>
      </c>
      <c r="M1015" s="1">
        <v>45273</v>
      </c>
      <c r="N1015" s="1">
        <v>45412</v>
      </c>
      <c r="O1015" t="s">
        <v>238</v>
      </c>
      <c r="P1015" t="s">
        <v>13305</v>
      </c>
      <c r="R1015" t="s">
        <v>13306</v>
      </c>
      <c r="T1015" t="s">
        <v>3595</v>
      </c>
      <c r="U1015" t="s">
        <v>188</v>
      </c>
      <c r="V1015" s="8" t="str">
        <f>"81637"</f>
        <v>81637</v>
      </c>
      <c r="W1015" t="s">
        <v>118</v>
      </c>
      <c r="Y1015" s="10">
        <v>19705245010</v>
      </c>
      <c r="AA1015">
        <v>561730</v>
      </c>
      <c r="AB1015" t="s">
        <v>5770</v>
      </c>
      <c r="AC1015" t="s">
        <v>5545</v>
      </c>
      <c r="AE1015" t="s">
        <v>2729</v>
      </c>
      <c r="AF1015" t="s">
        <v>13306</v>
      </c>
      <c r="AH1015" t="s">
        <v>3595</v>
      </c>
      <c r="AI1015" t="s">
        <v>188</v>
      </c>
      <c r="AJ1015" s="8" t="str">
        <f>"81637"</f>
        <v>81637</v>
      </c>
      <c r="AK1015" t="s">
        <v>118</v>
      </c>
      <c r="AM1015" s="10">
        <v>19705245010</v>
      </c>
      <c r="AO1015" t="s">
        <v>13307</v>
      </c>
      <c r="AP1015" t="s">
        <v>121</v>
      </c>
      <c r="AQ1015" t="s">
        <v>13308</v>
      </c>
      <c r="AR1015" t="s">
        <v>2787</v>
      </c>
      <c r="AT1015" t="s">
        <v>13309</v>
      </c>
      <c r="AU1015" t="s">
        <v>13310</v>
      </c>
      <c r="AV1015" t="s">
        <v>1457</v>
      </c>
      <c r="AW1015" t="s">
        <v>188</v>
      </c>
      <c r="AX1015" s="8" t="str">
        <f>"81620-5130"</f>
        <v>81620-5130</v>
      </c>
      <c r="AY1015" t="s">
        <v>118</v>
      </c>
      <c r="BA1015" s="10">
        <v>19708457474</v>
      </c>
      <c r="BC1015" t="s">
        <v>13311</v>
      </c>
      <c r="BD1015" t="s">
        <v>13312</v>
      </c>
      <c r="BE1015" t="s">
        <v>188</v>
      </c>
      <c r="BF1015" t="s">
        <v>831</v>
      </c>
      <c r="BG1015" t="s">
        <v>188</v>
      </c>
      <c r="BH1015" s="1">
        <v>45197.833333333336</v>
      </c>
      <c r="BI1015">
        <v>35</v>
      </c>
      <c r="BJ1015">
        <v>0</v>
      </c>
      <c r="BK1015">
        <v>7</v>
      </c>
      <c r="BL1015">
        <v>7</v>
      </c>
      <c r="BM1015">
        <v>7</v>
      </c>
      <c r="BN1015">
        <v>7</v>
      </c>
      <c r="BO1015">
        <v>7</v>
      </c>
      <c r="BP1015">
        <v>0</v>
      </c>
      <c r="BQ1015" t="str">
        <f>"8:00 AM"</f>
        <v>8:00 AM</v>
      </c>
      <c r="BR1015" t="str">
        <f>"4:00 PM"</f>
        <v>4:00 PM</v>
      </c>
      <c r="BS1015" t="s">
        <v>131</v>
      </c>
      <c r="BT1015">
        <v>0</v>
      </c>
      <c r="BU1015">
        <v>0</v>
      </c>
      <c r="BV1015" t="s">
        <v>114</v>
      </c>
      <c r="BX1015" t="s">
        <v>131</v>
      </c>
      <c r="BY1015" t="s">
        <v>13306</v>
      </c>
      <c r="CA1015" t="s">
        <v>3595</v>
      </c>
      <c r="CB1015" t="s">
        <v>188</v>
      </c>
      <c r="CC1015" s="8" t="str">
        <f>"81620"</f>
        <v>81620</v>
      </c>
      <c r="CD1015" t="s">
        <v>1037</v>
      </c>
      <c r="CE1015" t="s">
        <v>1038</v>
      </c>
      <c r="CF1015" s="12">
        <v>18.239999999999998</v>
      </c>
      <c r="CG1015" s="12">
        <v>21</v>
      </c>
      <c r="CH1015" s="12">
        <v>27.36</v>
      </c>
      <c r="CI1015" s="12">
        <v>31.5</v>
      </c>
      <c r="CJ1015" t="s">
        <v>135</v>
      </c>
      <c r="CL1015" t="s">
        <v>13313</v>
      </c>
      <c r="CO1015" t="s">
        <v>132</v>
      </c>
      <c r="CP1015" t="s">
        <v>136</v>
      </c>
      <c r="CQ1015" t="s">
        <v>136</v>
      </c>
      <c r="CR1015" t="s">
        <v>136</v>
      </c>
      <c r="CS1015" t="s">
        <v>136</v>
      </c>
      <c r="CT1015" t="s">
        <v>136</v>
      </c>
      <c r="CU1015" t="s">
        <v>136</v>
      </c>
      <c r="CV1015" t="s">
        <v>13314</v>
      </c>
      <c r="CW1015" s="10" t="str">
        <f>"+19705245010"</f>
        <v>+19705245010</v>
      </c>
      <c r="CX1015" t="s">
        <v>13307</v>
      </c>
      <c r="CY1015" t="s">
        <v>132</v>
      </c>
      <c r="CZ1015" t="s">
        <v>137</v>
      </c>
      <c r="DA1015" t="s">
        <v>114</v>
      </c>
      <c r="DB1015" t="s">
        <v>114</v>
      </c>
      <c r="DC1015" t="s">
        <v>136</v>
      </c>
      <c r="DD1015" t="s">
        <v>114</v>
      </c>
      <c r="DE1015" t="s">
        <v>13308</v>
      </c>
      <c r="DF1015" t="s">
        <v>2787</v>
      </c>
      <c r="DH1015" t="s">
        <v>13315</v>
      </c>
      <c r="DI1015" t="s">
        <v>13311</v>
      </c>
    </row>
    <row r="1016" spans="1:113" ht="15" customHeight="1" x14ac:dyDescent="0.25">
      <c r="A1016" t="s">
        <v>14152</v>
      </c>
      <c r="B1016" t="s">
        <v>152</v>
      </c>
      <c r="C1016" s="1">
        <v>45197.769960300924</v>
      </c>
      <c r="D1016" s="1">
        <v>45243</v>
      </c>
      <c r="E1016" t="s">
        <v>132</v>
      </c>
      <c r="F1016" t="s">
        <v>4846</v>
      </c>
      <c r="G1016" t="str">
        <f>"37-3011.00"</f>
        <v>37-3011.00</v>
      </c>
      <c r="H1016" t="s">
        <v>429</v>
      </c>
      <c r="I1016">
        <v>80</v>
      </c>
      <c r="J1016">
        <v>80</v>
      </c>
      <c r="K1016" s="1">
        <v>45287</v>
      </c>
      <c r="L1016" s="1">
        <v>45590</v>
      </c>
      <c r="M1016" s="1">
        <v>45287</v>
      </c>
      <c r="N1016" s="1">
        <v>45590</v>
      </c>
      <c r="O1016" t="s">
        <v>116</v>
      </c>
      <c r="P1016" t="s">
        <v>14153</v>
      </c>
      <c r="Q1016" t="s">
        <v>14154</v>
      </c>
      <c r="R1016" t="s">
        <v>14155</v>
      </c>
      <c r="T1016" t="s">
        <v>7445</v>
      </c>
      <c r="U1016" t="s">
        <v>558</v>
      </c>
      <c r="V1016" s="8" t="str">
        <f>"85233"</f>
        <v>85233</v>
      </c>
      <c r="W1016" t="s">
        <v>118</v>
      </c>
      <c r="X1016" t="s">
        <v>132</v>
      </c>
      <c r="Y1016" s="10">
        <v>14805459755</v>
      </c>
      <c r="AA1016">
        <v>56173</v>
      </c>
      <c r="AB1016" t="s">
        <v>14156</v>
      </c>
      <c r="AC1016" t="s">
        <v>6038</v>
      </c>
      <c r="AD1016" t="s">
        <v>1217</v>
      </c>
      <c r="AE1016" t="s">
        <v>3156</v>
      </c>
      <c r="AF1016" t="s">
        <v>14155</v>
      </c>
      <c r="AH1016" t="s">
        <v>7445</v>
      </c>
      <c r="AI1016" t="s">
        <v>558</v>
      </c>
      <c r="AJ1016" s="8" t="str">
        <f>"85233"</f>
        <v>85233</v>
      </c>
      <c r="AK1016" t="s">
        <v>118</v>
      </c>
      <c r="AM1016" s="10">
        <v>14805459755</v>
      </c>
      <c r="AO1016" t="s">
        <v>14157</v>
      </c>
      <c r="AP1016" t="s">
        <v>248</v>
      </c>
      <c r="AQ1016" t="s">
        <v>13683</v>
      </c>
      <c r="AR1016" t="s">
        <v>3496</v>
      </c>
      <c r="AT1016" t="s">
        <v>13684</v>
      </c>
      <c r="AU1016" t="s">
        <v>13685</v>
      </c>
      <c r="AV1016" t="s">
        <v>2960</v>
      </c>
      <c r="AW1016" t="s">
        <v>558</v>
      </c>
      <c r="AX1016" s="8" t="str">
        <f>"85048"</f>
        <v>85048</v>
      </c>
      <c r="AY1016" t="s">
        <v>118</v>
      </c>
      <c r="BA1016" s="10">
        <v>14809411885</v>
      </c>
      <c r="BC1016" t="s">
        <v>13686</v>
      </c>
      <c r="BD1016" t="s">
        <v>13687</v>
      </c>
      <c r="BG1016" t="s">
        <v>558</v>
      </c>
      <c r="BH1016" s="1">
        <v>45196.833333333336</v>
      </c>
      <c r="BI1016">
        <v>40</v>
      </c>
      <c r="BJ1016">
        <v>0</v>
      </c>
      <c r="BK1016">
        <v>8</v>
      </c>
      <c r="BL1016">
        <v>8</v>
      </c>
      <c r="BM1016">
        <v>8</v>
      </c>
      <c r="BN1016">
        <v>8</v>
      </c>
      <c r="BO1016">
        <v>8</v>
      </c>
      <c r="BP1016">
        <v>0</v>
      </c>
      <c r="BQ1016" t="str">
        <f>"6:00 AM"</f>
        <v>6:00 AM</v>
      </c>
      <c r="BR1016" t="str">
        <f>"2:30 PM"</f>
        <v>2:30 PM</v>
      </c>
      <c r="BS1016" t="s">
        <v>131</v>
      </c>
      <c r="BT1016">
        <v>0</v>
      </c>
      <c r="BU1016">
        <v>3</v>
      </c>
      <c r="BV1016" t="s">
        <v>114</v>
      </c>
      <c r="BX1016" s="2" t="s">
        <v>13688</v>
      </c>
      <c r="BY1016" t="s">
        <v>14155</v>
      </c>
      <c r="CA1016" t="s">
        <v>7445</v>
      </c>
      <c r="CB1016" t="s">
        <v>558</v>
      </c>
      <c r="CC1016" s="8" t="str">
        <f>"85233"</f>
        <v>85233</v>
      </c>
      <c r="CD1016" t="s">
        <v>1391</v>
      </c>
      <c r="CE1016" t="s">
        <v>565</v>
      </c>
      <c r="CF1016" s="12">
        <v>16.57</v>
      </c>
      <c r="CG1016" s="12">
        <v>16.57</v>
      </c>
      <c r="CH1016" s="12">
        <v>24.86</v>
      </c>
      <c r="CI1016" s="12">
        <v>24.86</v>
      </c>
      <c r="CJ1016" t="s">
        <v>135</v>
      </c>
      <c r="CK1016" t="s">
        <v>13690</v>
      </c>
      <c r="CL1016" t="s">
        <v>14158</v>
      </c>
      <c r="CO1016" t="s">
        <v>132</v>
      </c>
      <c r="CP1016" t="s">
        <v>136</v>
      </c>
      <c r="CQ1016" t="s">
        <v>136</v>
      </c>
      <c r="CR1016" t="s">
        <v>136</v>
      </c>
      <c r="CS1016" t="s">
        <v>136</v>
      </c>
      <c r="CT1016" t="s">
        <v>136</v>
      </c>
      <c r="CU1016" t="s">
        <v>114</v>
      </c>
      <c r="CV1016" t="s">
        <v>14159</v>
      </c>
      <c r="CW1016" s="10" t="str">
        <f>"+14805459755"</f>
        <v>+14805459755</v>
      </c>
      <c r="CX1016" t="s">
        <v>14157</v>
      </c>
      <c r="CY1016" t="s">
        <v>132</v>
      </c>
      <c r="CZ1016" t="s">
        <v>137</v>
      </c>
      <c r="DA1016" t="s">
        <v>114</v>
      </c>
      <c r="DB1016" t="s">
        <v>136</v>
      </c>
      <c r="DC1016" t="s">
        <v>136</v>
      </c>
      <c r="DD1016" t="s">
        <v>114</v>
      </c>
    </row>
    <row r="1017" spans="1:113" ht="15" customHeight="1" x14ac:dyDescent="0.25">
      <c r="A1017" t="s">
        <v>6838</v>
      </c>
      <c r="B1017" t="s">
        <v>152</v>
      </c>
      <c r="C1017" s="1">
        <v>45191.613796527781</v>
      </c>
      <c r="D1017" s="1">
        <v>45243</v>
      </c>
      <c r="E1017" t="s">
        <v>132</v>
      </c>
      <c r="F1017" t="s">
        <v>2417</v>
      </c>
      <c r="G1017" t="str">
        <f>"37-2012.00"</f>
        <v>37-2012.00</v>
      </c>
      <c r="H1017" t="s">
        <v>205</v>
      </c>
      <c r="I1017">
        <v>26</v>
      </c>
      <c r="J1017">
        <v>26</v>
      </c>
      <c r="K1017" s="1">
        <v>45269</v>
      </c>
      <c r="L1017" s="1">
        <v>45543</v>
      </c>
      <c r="M1017" s="1">
        <v>45269</v>
      </c>
      <c r="N1017" s="1">
        <v>45543</v>
      </c>
      <c r="O1017" t="s">
        <v>116</v>
      </c>
      <c r="P1017" t="s">
        <v>2418</v>
      </c>
      <c r="R1017" t="s">
        <v>2419</v>
      </c>
      <c r="T1017" t="s">
        <v>2420</v>
      </c>
      <c r="U1017" t="s">
        <v>386</v>
      </c>
      <c r="V1017" s="8" t="str">
        <f>"38555"</f>
        <v>38555</v>
      </c>
      <c r="W1017" t="s">
        <v>118</v>
      </c>
      <c r="Y1017" s="10">
        <v>18004891718</v>
      </c>
      <c r="AA1017">
        <v>561720</v>
      </c>
      <c r="AB1017" t="s">
        <v>6839</v>
      </c>
      <c r="AC1017" t="s">
        <v>6840</v>
      </c>
      <c r="AE1017" t="s">
        <v>6841</v>
      </c>
      <c r="AF1017" t="s">
        <v>2419</v>
      </c>
      <c r="AH1017" t="s">
        <v>2420</v>
      </c>
      <c r="AI1017" t="s">
        <v>386</v>
      </c>
      <c r="AJ1017" s="8" t="str">
        <f>"38555"</f>
        <v>38555</v>
      </c>
      <c r="AK1017" t="s">
        <v>118</v>
      </c>
      <c r="AM1017" s="10">
        <v>14077231164</v>
      </c>
      <c r="AO1017" t="s">
        <v>2422</v>
      </c>
      <c r="AX1017" s="8" t="str">
        <f>""</f>
        <v/>
      </c>
      <c r="BG1017" t="s">
        <v>140</v>
      </c>
      <c r="BH1017" s="1">
        <v>45190.833333333336</v>
      </c>
      <c r="BI1017">
        <v>35</v>
      </c>
      <c r="BJ1017">
        <v>7</v>
      </c>
      <c r="BK1017">
        <v>0</v>
      </c>
      <c r="BL1017">
        <v>0</v>
      </c>
      <c r="BM1017">
        <v>7</v>
      </c>
      <c r="BN1017">
        <v>7</v>
      </c>
      <c r="BO1017">
        <v>7</v>
      </c>
      <c r="BP1017">
        <v>7</v>
      </c>
      <c r="BQ1017" t="str">
        <f>"9:00 AM"</f>
        <v>9:00 AM</v>
      </c>
      <c r="BR1017" t="str">
        <f>"4:00 PM"</f>
        <v>4:00 PM</v>
      </c>
      <c r="BS1017" t="s">
        <v>131</v>
      </c>
      <c r="BT1017">
        <v>0</v>
      </c>
      <c r="BU1017">
        <v>3</v>
      </c>
      <c r="BV1017" t="s">
        <v>114</v>
      </c>
      <c r="BX1017" s="2" t="s">
        <v>2423</v>
      </c>
      <c r="BY1017" t="s">
        <v>6842</v>
      </c>
      <c r="CA1017" t="s">
        <v>5518</v>
      </c>
      <c r="CB1017" t="s">
        <v>140</v>
      </c>
      <c r="CC1017" s="8" t="str">
        <f>"32550"</f>
        <v>32550</v>
      </c>
      <c r="CD1017" t="s">
        <v>5061</v>
      </c>
      <c r="CE1017" t="s">
        <v>3314</v>
      </c>
      <c r="CF1017" s="12">
        <v>14.14</v>
      </c>
      <c r="CH1017" s="12">
        <v>21.21</v>
      </c>
      <c r="CJ1017" t="s">
        <v>305</v>
      </c>
      <c r="CK1017" t="s">
        <v>6843</v>
      </c>
      <c r="CL1017" t="s">
        <v>6844</v>
      </c>
      <c r="CO1017" t="s">
        <v>132</v>
      </c>
      <c r="CP1017" t="s">
        <v>136</v>
      </c>
      <c r="CQ1017" t="s">
        <v>136</v>
      </c>
      <c r="CR1017" t="s">
        <v>136</v>
      </c>
      <c r="CS1017" t="s">
        <v>136</v>
      </c>
      <c r="CT1017" t="s">
        <v>136</v>
      </c>
      <c r="CU1017" t="s">
        <v>136</v>
      </c>
      <c r="CV1017" t="s">
        <v>2426</v>
      </c>
      <c r="CW1017" s="10" t="str">
        <f>"+14077231139"</f>
        <v>+14077231139</v>
      </c>
      <c r="CX1017" t="s">
        <v>2427</v>
      </c>
      <c r="CY1017" t="s">
        <v>132</v>
      </c>
      <c r="CZ1017" t="s">
        <v>137</v>
      </c>
      <c r="DA1017" t="s">
        <v>114</v>
      </c>
      <c r="DB1017" t="s">
        <v>136</v>
      </c>
      <c r="DC1017" t="s">
        <v>136</v>
      </c>
      <c r="DD1017" t="s">
        <v>114</v>
      </c>
    </row>
    <row r="1018" spans="1:113" ht="15" customHeight="1" x14ac:dyDescent="0.25">
      <c r="A1018" t="s">
        <v>427</v>
      </c>
      <c r="B1018" t="s">
        <v>152</v>
      </c>
      <c r="C1018" s="1">
        <v>45191.436308217591</v>
      </c>
      <c r="D1018" s="1">
        <v>45243</v>
      </c>
      <c r="E1018" t="s">
        <v>132</v>
      </c>
      <c r="F1018" t="s">
        <v>428</v>
      </c>
      <c r="G1018" t="str">
        <f>"37-3011.00"</f>
        <v>37-3011.00</v>
      </c>
      <c r="H1018" t="s">
        <v>429</v>
      </c>
      <c r="I1018">
        <v>8</v>
      </c>
      <c r="J1018">
        <v>8</v>
      </c>
      <c r="K1018" s="1">
        <v>45280</v>
      </c>
      <c r="L1018" s="1">
        <v>45397</v>
      </c>
      <c r="M1018" s="1">
        <v>45280</v>
      </c>
      <c r="N1018" s="1">
        <v>45397</v>
      </c>
      <c r="O1018" t="s">
        <v>238</v>
      </c>
      <c r="P1018" t="s">
        <v>430</v>
      </c>
      <c r="R1018" t="s">
        <v>431</v>
      </c>
      <c r="S1018" t="s">
        <v>432</v>
      </c>
      <c r="T1018" t="s">
        <v>433</v>
      </c>
      <c r="U1018" t="s">
        <v>434</v>
      </c>
      <c r="V1018" s="8" t="str">
        <f>"19082"</f>
        <v>19082</v>
      </c>
      <c r="W1018" t="s">
        <v>118</v>
      </c>
      <c r="Y1018" s="10">
        <v>16103528008</v>
      </c>
      <c r="AA1018">
        <v>561730</v>
      </c>
      <c r="AB1018" t="s">
        <v>435</v>
      </c>
      <c r="AC1018" t="s">
        <v>436</v>
      </c>
      <c r="AD1018" t="s">
        <v>437</v>
      </c>
      <c r="AE1018" t="s">
        <v>438</v>
      </c>
      <c r="AF1018" t="s">
        <v>439</v>
      </c>
      <c r="AG1018" t="s">
        <v>432</v>
      </c>
      <c r="AH1018" t="s">
        <v>433</v>
      </c>
      <c r="AI1018" t="s">
        <v>434</v>
      </c>
      <c r="AJ1018" s="8" t="str">
        <f>"19082"</f>
        <v>19082</v>
      </c>
      <c r="AK1018" t="s">
        <v>118</v>
      </c>
      <c r="AM1018" s="10">
        <v>16103528008</v>
      </c>
      <c r="AO1018" t="s">
        <v>440</v>
      </c>
      <c r="AX1018" s="8" t="str">
        <f>""</f>
        <v/>
      </c>
      <c r="BG1018" t="s">
        <v>434</v>
      </c>
      <c r="BH1018" s="1">
        <v>45190.833333333336</v>
      </c>
      <c r="BI1018">
        <v>35</v>
      </c>
      <c r="BJ1018">
        <v>0</v>
      </c>
      <c r="BK1018">
        <v>7</v>
      </c>
      <c r="BL1018">
        <v>7</v>
      </c>
      <c r="BM1018">
        <v>7</v>
      </c>
      <c r="BN1018">
        <v>7</v>
      </c>
      <c r="BO1018">
        <v>7</v>
      </c>
      <c r="BP1018">
        <v>0</v>
      </c>
      <c r="BQ1018" t="str">
        <f>"6:30 AM"</f>
        <v>6:30 AM</v>
      </c>
      <c r="BR1018" t="str">
        <f>"2:00 PM"</f>
        <v>2:00 PM</v>
      </c>
      <c r="BS1018" t="s">
        <v>131</v>
      </c>
      <c r="BT1018">
        <v>0</v>
      </c>
      <c r="BU1018">
        <v>0</v>
      </c>
      <c r="BV1018" t="s">
        <v>114</v>
      </c>
      <c r="BX1018" s="2" t="s">
        <v>441</v>
      </c>
      <c r="BY1018" t="s">
        <v>439</v>
      </c>
      <c r="BZ1018" t="s">
        <v>432</v>
      </c>
      <c r="CA1018" t="s">
        <v>433</v>
      </c>
      <c r="CB1018" t="s">
        <v>434</v>
      </c>
      <c r="CC1018" s="8" t="str">
        <f>"19082"</f>
        <v>19082</v>
      </c>
      <c r="CD1018" t="s">
        <v>442</v>
      </c>
      <c r="CE1018" t="s">
        <v>443</v>
      </c>
      <c r="CF1018" s="12">
        <v>17.239999999999998</v>
      </c>
      <c r="CG1018" s="12">
        <v>17.239999999999998</v>
      </c>
      <c r="CH1018" s="12">
        <v>25.86</v>
      </c>
      <c r="CI1018" s="12">
        <v>25.86</v>
      </c>
      <c r="CJ1018" t="s">
        <v>135</v>
      </c>
      <c r="CK1018" t="s">
        <v>444</v>
      </c>
      <c r="CL1018" t="s">
        <v>445</v>
      </c>
      <c r="CO1018" t="s">
        <v>132</v>
      </c>
      <c r="CP1018" t="s">
        <v>136</v>
      </c>
      <c r="CQ1018" t="s">
        <v>136</v>
      </c>
      <c r="CR1018" t="s">
        <v>136</v>
      </c>
      <c r="CS1018" t="s">
        <v>114</v>
      </c>
      <c r="CT1018" t="s">
        <v>136</v>
      </c>
      <c r="CU1018" t="s">
        <v>136</v>
      </c>
      <c r="CV1018" t="s">
        <v>446</v>
      </c>
      <c r="CW1018" s="10" t="str">
        <f>"+16103528008"</f>
        <v>+16103528008</v>
      </c>
      <c r="CX1018" t="s">
        <v>440</v>
      </c>
      <c r="CY1018" t="s">
        <v>447</v>
      </c>
      <c r="CZ1018" t="s">
        <v>137</v>
      </c>
      <c r="DA1018" t="s">
        <v>114</v>
      </c>
      <c r="DB1018" t="s">
        <v>114</v>
      </c>
      <c r="DC1018" t="s">
        <v>136</v>
      </c>
      <c r="DD1018" t="s">
        <v>114</v>
      </c>
    </row>
    <row r="1019" spans="1:113" ht="15" customHeight="1" x14ac:dyDescent="0.25">
      <c r="A1019" t="s">
        <v>20672</v>
      </c>
      <c r="B1019" t="s">
        <v>152</v>
      </c>
      <c r="C1019" s="1">
        <v>45188.716671875001</v>
      </c>
      <c r="D1019" s="1">
        <v>45243</v>
      </c>
      <c r="E1019" t="s">
        <v>132</v>
      </c>
      <c r="F1019" t="s">
        <v>7945</v>
      </c>
      <c r="G1019" t="str">
        <f>"51-3022.00"</f>
        <v>51-3022.00</v>
      </c>
      <c r="H1019" t="s">
        <v>1004</v>
      </c>
      <c r="I1019">
        <v>200</v>
      </c>
      <c r="J1019">
        <v>200</v>
      </c>
      <c r="K1019" s="1">
        <v>45263</v>
      </c>
      <c r="L1019" s="1">
        <v>45473</v>
      </c>
      <c r="M1019" s="1">
        <v>45263</v>
      </c>
      <c r="N1019" s="1">
        <v>45473</v>
      </c>
      <c r="O1019" t="s">
        <v>238</v>
      </c>
      <c r="P1019" t="s">
        <v>20673</v>
      </c>
      <c r="R1019" t="s">
        <v>20674</v>
      </c>
      <c r="T1019" t="s">
        <v>10190</v>
      </c>
      <c r="U1019" t="s">
        <v>333</v>
      </c>
      <c r="V1019" s="8" t="str">
        <f>"70554"</f>
        <v>70554</v>
      </c>
      <c r="W1019" t="s">
        <v>118</v>
      </c>
      <c r="Y1019" s="10">
        <v>13374684492</v>
      </c>
      <c r="AA1019">
        <v>112512</v>
      </c>
      <c r="AB1019" t="s">
        <v>20675</v>
      </c>
      <c r="AC1019" t="s">
        <v>20676</v>
      </c>
      <c r="AD1019" t="s">
        <v>20677</v>
      </c>
      <c r="AE1019" t="s">
        <v>561</v>
      </c>
      <c r="AF1019" t="s">
        <v>20674</v>
      </c>
      <c r="AH1019" t="s">
        <v>10190</v>
      </c>
      <c r="AI1019" t="s">
        <v>333</v>
      </c>
      <c r="AJ1019" s="8" t="str">
        <f>"70554"</f>
        <v>70554</v>
      </c>
      <c r="AK1019" t="s">
        <v>118</v>
      </c>
      <c r="AM1019" s="10">
        <v>13374684492</v>
      </c>
      <c r="AO1019" t="s">
        <v>20678</v>
      </c>
      <c r="AP1019" t="s">
        <v>121</v>
      </c>
      <c r="AQ1019" t="s">
        <v>3627</v>
      </c>
      <c r="AR1019" t="s">
        <v>2309</v>
      </c>
      <c r="AS1019" t="s">
        <v>5087</v>
      </c>
      <c r="AT1019" t="s">
        <v>5088</v>
      </c>
      <c r="AU1019" t="s">
        <v>6326</v>
      </c>
      <c r="AV1019" t="s">
        <v>5089</v>
      </c>
      <c r="AW1019" t="s">
        <v>333</v>
      </c>
      <c r="AX1019" s="8" t="str">
        <f>"70535"</f>
        <v>70535</v>
      </c>
      <c r="AY1019" t="s">
        <v>118</v>
      </c>
      <c r="BA1019" s="10">
        <v>13374663722</v>
      </c>
      <c r="BC1019" t="s">
        <v>5090</v>
      </c>
      <c r="BD1019" t="s">
        <v>10193</v>
      </c>
      <c r="BE1019" t="s">
        <v>333</v>
      </c>
      <c r="BF1019" t="s">
        <v>2190</v>
      </c>
      <c r="BG1019" t="s">
        <v>333</v>
      </c>
      <c r="BH1019" s="1">
        <v>45187.833333333336</v>
      </c>
      <c r="BI1019">
        <v>35</v>
      </c>
      <c r="BJ1019">
        <v>0</v>
      </c>
      <c r="BK1019">
        <v>7</v>
      </c>
      <c r="BL1019">
        <v>7</v>
      </c>
      <c r="BM1019">
        <v>7</v>
      </c>
      <c r="BN1019">
        <v>7</v>
      </c>
      <c r="BO1019">
        <v>7</v>
      </c>
      <c r="BP1019">
        <v>0</v>
      </c>
      <c r="BQ1019" t="str">
        <f>"7:00 AM"</f>
        <v>7:00 AM</v>
      </c>
      <c r="BR1019" t="str">
        <f>"3:00 PM"</f>
        <v>3:00 PM</v>
      </c>
      <c r="BS1019" t="s">
        <v>131</v>
      </c>
      <c r="BT1019">
        <v>0</v>
      </c>
      <c r="BU1019">
        <v>0</v>
      </c>
      <c r="BV1019" t="s">
        <v>114</v>
      </c>
      <c r="BX1019" s="2" t="s">
        <v>20679</v>
      </c>
      <c r="BY1019" t="s">
        <v>20674</v>
      </c>
      <c r="CA1019" t="s">
        <v>10190</v>
      </c>
      <c r="CB1019" t="s">
        <v>333</v>
      </c>
      <c r="CC1019" s="8" t="str">
        <f>"70554"</f>
        <v>70554</v>
      </c>
      <c r="CD1019" t="s">
        <v>10195</v>
      </c>
      <c r="CE1019" t="s">
        <v>4268</v>
      </c>
      <c r="CF1019" s="12">
        <v>12.47</v>
      </c>
      <c r="CG1019" s="12">
        <v>12.47</v>
      </c>
      <c r="CH1019" s="12">
        <v>18.71</v>
      </c>
      <c r="CI1019" s="12">
        <v>18.71</v>
      </c>
      <c r="CJ1019" t="s">
        <v>135</v>
      </c>
      <c r="CK1019" t="s">
        <v>20680</v>
      </c>
      <c r="CL1019" t="s">
        <v>20681</v>
      </c>
      <c r="CO1019" t="s">
        <v>132</v>
      </c>
      <c r="CP1019" t="s">
        <v>114</v>
      </c>
      <c r="CQ1019" t="s">
        <v>136</v>
      </c>
      <c r="CR1019" t="s">
        <v>136</v>
      </c>
      <c r="CS1019" t="s">
        <v>114</v>
      </c>
      <c r="CT1019" t="s">
        <v>136</v>
      </c>
      <c r="CU1019" t="s">
        <v>136</v>
      </c>
      <c r="CV1019" t="s">
        <v>20682</v>
      </c>
      <c r="CW1019" s="10" t="str">
        <f>"+13374684492"</f>
        <v>+13374684492</v>
      </c>
      <c r="CX1019" t="s">
        <v>20678</v>
      </c>
      <c r="CY1019" t="s">
        <v>132</v>
      </c>
      <c r="CZ1019" t="s">
        <v>137</v>
      </c>
      <c r="DA1019" t="s">
        <v>114</v>
      </c>
      <c r="DB1019" t="s">
        <v>114</v>
      </c>
      <c r="DC1019" t="s">
        <v>136</v>
      </c>
      <c r="DD1019" t="s">
        <v>114</v>
      </c>
    </row>
    <row r="1020" spans="1:113" ht="15" customHeight="1" x14ac:dyDescent="0.25">
      <c r="A1020" t="s">
        <v>23377</v>
      </c>
      <c r="B1020" t="s">
        <v>152</v>
      </c>
      <c r="C1020" s="1">
        <v>45184.667303472219</v>
      </c>
      <c r="D1020" s="1">
        <v>45243</v>
      </c>
      <c r="E1020" t="s">
        <v>132</v>
      </c>
      <c r="F1020" t="s">
        <v>23378</v>
      </c>
      <c r="G1020" t="str">
        <f>"45-4011.00"</f>
        <v>45-4011.00</v>
      </c>
      <c r="H1020" t="s">
        <v>842</v>
      </c>
      <c r="I1020">
        <v>25</v>
      </c>
      <c r="J1020">
        <v>25</v>
      </c>
      <c r="K1020" s="1">
        <v>45261</v>
      </c>
      <c r="L1020" s="1">
        <v>45443</v>
      </c>
      <c r="M1020" s="1">
        <v>45261</v>
      </c>
      <c r="N1020" s="1">
        <v>45443</v>
      </c>
      <c r="O1020" t="s">
        <v>238</v>
      </c>
      <c r="P1020" t="s">
        <v>23379</v>
      </c>
      <c r="R1020" t="s">
        <v>23380</v>
      </c>
      <c r="T1020" t="s">
        <v>23381</v>
      </c>
      <c r="U1020" t="s">
        <v>792</v>
      </c>
      <c r="V1020" s="8" t="str">
        <f>"98632"</f>
        <v>98632</v>
      </c>
      <c r="W1020" t="s">
        <v>118</v>
      </c>
      <c r="Y1020" s="10">
        <v>13605014314</v>
      </c>
      <c r="AA1020">
        <v>115310</v>
      </c>
      <c r="AB1020" t="s">
        <v>9816</v>
      </c>
      <c r="AC1020" t="s">
        <v>23382</v>
      </c>
      <c r="AD1020" t="s">
        <v>5507</v>
      </c>
      <c r="AE1020" t="s">
        <v>654</v>
      </c>
      <c r="AF1020" t="s">
        <v>23383</v>
      </c>
      <c r="AH1020" t="s">
        <v>18012</v>
      </c>
      <c r="AI1020" t="s">
        <v>792</v>
      </c>
      <c r="AJ1020" s="8" t="str">
        <f>"98632"</f>
        <v>98632</v>
      </c>
      <c r="AK1020" t="s">
        <v>118</v>
      </c>
      <c r="AM1020" s="10">
        <v>13605014314</v>
      </c>
      <c r="AO1020" t="s">
        <v>23384</v>
      </c>
      <c r="AP1020" t="s">
        <v>121</v>
      </c>
      <c r="AQ1020" t="s">
        <v>20251</v>
      </c>
      <c r="AR1020" t="s">
        <v>23385</v>
      </c>
      <c r="AS1020" t="s">
        <v>631</v>
      </c>
      <c r="AT1020" t="s">
        <v>23386</v>
      </c>
      <c r="AU1020" t="s">
        <v>296</v>
      </c>
      <c r="AV1020" t="s">
        <v>902</v>
      </c>
      <c r="AW1020" t="s">
        <v>479</v>
      </c>
      <c r="AX1020" s="8" t="str">
        <f>"97209"</f>
        <v>97209</v>
      </c>
      <c r="AY1020" t="s">
        <v>118</v>
      </c>
      <c r="BA1020" s="10">
        <v>15032411320</v>
      </c>
      <c r="BC1020" t="s">
        <v>23387</v>
      </c>
      <c r="BD1020" t="s">
        <v>23388</v>
      </c>
      <c r="BE1020" t="s">
        <v>479</v>
      </c>
      <c r="BF1020" t="s">
        <v>172</v>
      </c>
      <c r="BG1020" t="s">
        <v>479</v>
      </c>
      <c r="BH1020" s="1">
        <v>45184.833333333336</v>
      </c>
      <c r="BI1020">
        <v>35</v>
      </c>
      <c r="BJ1020">
        <v>0</v>
      </c>
      <c r="BK1020">
        <v>7</v>
      </c>
      <c r="BL1020">
        <v>7</v>
      </c>
      <c r="BM1020">
        <v>7</v>
      </c>
      <c r="BN1020">
        <v>7</v>
      </c>
      <c r="BO1020">
        <v>7</v>
      </c>
      <c r="BP1020">
        <v>0</v>
      </c>
      <c r="BQ1020" t="str">
        <f>"7:30 AM"</f>
        <v>7:30 AM</v>
      </c>
      <c r="BR1020" t="str">
        <f>"3:00 PM"</f>
        <v>3:00 PM</v>
      </c>
      <c r="BS1020" t="s">
        <v>131</v>
      </c>
      <c r="BT1020">
        <v>0</v>
      </c>
      <c r="BU1020">
        <v>6</v>
      </c>
      <c r="BV1020" t="s">
        <v>114</v>
      </c>
      <c r="BX1020" s="2" t="s">
        <v>23389</v>
      </c>
      <c r="BY1020" t="s">
        <v>23390</v>
      </c>
      <c r="CA1020" t="s">
        <v>4847</v>
      </c>
      <c r="CB1020" t="s">
        <v>479</v>
      </c>
      <c r="CC1020" s="8" t="str">
        <f>"97351"</f>
        <v>97351</v>
      </c>
      <c r="CD1020" t="s">
        <v>938</v>
      </c>
      <c r="CE1020" t="s">
        <v>1258</v>
      </c>
      <c r="CF1020" s="12">
        <v>21.1</v>
      </c>
      <c r="CJ1020" t="s">
        <v>135</v>
      </c>
      <c r="CL1020" t="s">
        <v>23391</v>
      </c>
      <c r="CO1020" t="s">
        <v>132</v>
      </c>
      <c r="CP1020" t="s">
        <v>136</v>
      </c>
      <c r="CQ1020" t="s">
        <v>136</v>
      </c>
      <c r="CR1020" t="s">
        <v>114</v>
      </c>
      <c r="CS1020" t="s">
        <v>114</v>
      </c>
      <c r="CT1020" t="s">
        <v>136</v>
      </c>
      <c r="CU1020" t="s">
        <v>136</v>
      </c>
      <c r="CV1020" t="s">
        <v>132</v>
      </c>
      <c r="CW1020" s="10" t="str">
        <f>"+13605014314"</f>
        <v>+13605014314</v>
      </c>
      <c r="CX1020" t="s">
        <v>23384</v>
      </c>
      <c r="CY1020" t="s">
        <v>132</v>
      </c>
      <c r="CZ1020" t="s">
        <v>137</v>
      </c>
      <c r="DA1020" t="s">
        <v>114</v>
      </c>
      <c r="DB1020" t="s">
        <v>114</v>
      </c>
      <c r="DC1020" t="s">
        <v>136</v>
      </c>
      <c r="DD1020" t="s">
        <v>114</v>
      </c>
    </row>
    <row r="1021" spans="1:113" ht="15" customHeight="1" x14ac:dyDescent="0.25">
      <c r="A1021" t="s">
        <v>23654</v>
      </c>
      <c r="B1021" t="s">
        <v>152</v>
      </c>
      <c r="C1021" s="1">
        <v>45183.657770833335</v>
      </c>
      <c r="D1021" s="1">
        <v>45243</v>
      </c>
      <c r="E1021" t="s">
        <v>132</v>
      </c>
      <c r="F1021" t="s">
        <v>2014</v>
      </c>
      <c r="G1021" t="str">
        <f>"51-6011.00"</f>
        <v>51-6011.00</v>
      </c>
      <c r="H1021" t="s">
        <v>2015</v>
      </c>
      <c r="I1021">
        <v>35</v>
      </c>
      <c r="J1021">
        <v>35</v>
      </c>
      <c r="K1021" s="1">
        <v>45261</v>
      </c>
      <c r="L1021" s="1">
        <v>45535</v>
      </c>
      <c r="M1021" s="1">
        <v>45261</v>
      </c>
      <c r="N1021" s="1">
        <v>45535</v>
      </c>
      <c r="O1021" t="s">
        <v>238</v>
      </c>
      <c r="P1021" t="s">
        <v>23655</v>
      </c>
      <c r="R1021" t="s">
        <v>23656</v>
      </c>
      <c r="T1021" t="s">
        <v>1690</v>
      </c>
      <c r="U1021" t="s">
        <v>1691</v>
      </c>
      <c r="V1021" s="8" t="str">
        <f>"29577"</f>
        <v>29577</v>
      </c>
      <c r="W1021" t="s">
        <v>118</v>
      </c>
      <c r="Y1021" s="10">
        <v>18438391569</v>
      </c>
      <c r="AA1021">
        <v>8123</v>
      </c>
      <c r="AB1021" t="s">
        <v>3380</v>
      </c>
      <c r="AC1021" t="s">
        <v>8072</v>
      </c>
      <c r="AD1021" t="s">
        <v>2213</v>
      </c>
      <c r="AE1021" t="s">
        <v>1349</v>
      </c>
      <c r="AF1021" t="s">
        <v>13804</v>
      </c>
      <c r="AH1021" t="s">
        <v>1690</v>
      </c>
      <c r="AI1021" t="s">
        <v>1691</v>
      </c>
      <c r="AJ1021" s="8" t="str">
        <f>"29579"</f>
        <v>29579</v>
      </c>
      <c r="AK1021" t="s">
        <v>118</v>
      </c>
      <c r="AM1021" s="10">
        <v>18438391569</v>
      </c>
      <c r="AO1021" t="s">
        <v>23657</v>
      </c>
      <c r="AX1021" s="8" t="str">
        <f>""</f>
        <v/>
      </c>
      <c r="BG1021" t="s">
        <v>1691</v>
      </c>
      <c r="BH1021" s="1">
        <v>45182.833333333336</v>
      </c>
      <c r="BI1021">
        <v>38</v>
      </c>
      <c r="BJ1021">
        <v>6</v>
      </c>
      <c r="BK1021">
        <v>6</v>
      </c>
      <c r="BL1021">
        <v>4</v>
      </c>
      <c r="BM1021">
        <v>4</v>
      </c>
      <c r="BN1021">
        <v>4</v>
      </c>
      <c r="BO1021">
        <v>7</v>
      </c>
      <c r="BP1021">
        <v>7</v>
      </c>
      <c r="BQ1021" t="str">
        <f>"8:00 AM"</f>
        <v>8:00 AM</v>
      </c>
      <c r="BR1021" t="str">
        <f>"4:30 PM"</f>
        <v>4:30 PM</v>
      </c>
      <c r="BS1021" t="s">
        <v>131</v>
      </c>
      <c r="BT1021">
        <v>0</v>
      </c>
      <c r="BU1021">
        <v>0</v>
      </c>
      <c r="BV1021" t="s">
        <v>114</v>
      </c>
      <c r="BX1021" t="s">
        <v>13805</v>
      </c>
      <c r="BY1021" t="s">
        <v>23656</v>
      </c>
      <c r="CA1021" t="s">
        <v>1690</v>
      </c>
      <c r="CB1021" t="s">
        <v>1691</v>
      </c>
      <c r="CC1021" s="8" t="str">
        <f>"29577"</f>
        <v>29577</v>
      </c>
      <c r="CD1021" t="s">
        <v>1692</v>
      </c>
      <c r="CE1021" t="s">
        <v>1693</v>
      </c>
      <c r="CF1021" s="12">
        <v>11.59</v>
      </c>
      <c r="CG1021" s="12">
        <v>11.59</v>
      </c>
      <c r="CH1021" s="12">
        <v>17.39</v>
      </c>
      <c r="CI1021" s="12">
        <v>17.39</v>
      </c>
      <c r="CJ1021" t="s">
        <v>135</v>
      </c>
      <c r="CL1021" t="s">
        <v>23658</v>
      </c>
      <c r="CO1021" t="s">
        <v>132</v>
      </c>
      <c r="CP1021" t="s">
        <v>114</v>
      </c>
      <c r="CQ1021" t="s">
        <v>136</v>
      </c>
      <c r="CR1021" t="s">
        <v>136</v>
      </c>
      <c r="CS1021" t="s">
        <v>114</v>
      </c>
      <c r="CT1021" t="s">
        <v>136</v>
      </c>
      <c r="CU1021" t="s">
        <v>136</v>
      </c>
      <c r="CV1021" t="s">
        <v>23659</v>
      </c>
      <c r="CW1021" s="10" t="str">
        <f>"+18438391569"</f>
        <v>+18438391569</v>
      </c>
      <c r="CX1021" t="s">
        <v>23660</v>
      </c>
      <c r="CY1021" t="s">
        <v>132</v>
      </c>
      <c r="CZ1021" t="s">
        <v>137</v>
      </c>
      <c r="DA1021" t="s">
        <v>114</v>
      </c>
      <c r="DB1021" t="s">
        <v>114</v>
      </c>
      <c r="DC1021" t="s">
        <v>136</v>
      </c>
      <c r="DD1021" t="s">
        <v>114</v>
      </c>
    </row>
    <row r="1022" spans="1:113" ht="15" customHeight="1" x14ac:dyDescent="0.25">
      <c r="A1022" t="s">
        <v>15814</v>
      </c>
      <c r="B1022" t="s">
        <v>152</v>
      </c>
      <c r="C1022" s="1">
        <v>45175.616382870372</v>
      </c>
      <c r="D1022" s="1">
        <v>45243</v>
      </c>
      <c r="E1022" t="s">
        <v>132</v>
      </c>
      <c r="F1022" t="s">
        <v>15815</v>
      </c>
      <c r="G1022" t="str">
        <f>"39-2021.00"</f>
        <v>39-2021.00</v>
      </c>
      <c r="H1022" t="s">
        <v>2895</v>
      </c>
      <c r="I1022">
        <v>12</v>
      </c>
      <c r="J1022">
        <v>12</v>
      </c>
      <c r="K1022" s="1">
        <v>45250</v>
      </c>
      <c r="L1022" s="1">
        <v>45412</v>
      </c>
      <c r="M1022" s="1">
        <v>45250</v>
      </c>
      <c r="N1022" s="1">
        <v>45412</v>
      </c>
      <c r="O1022" t="s">
        <v>238</v>
      </c>
      <c r="P1022" t="s">
        <v>15816</v>
      </c>
      <c r="R1022" t="s">
        <v>15817</v>
      </c>
      <c r="T1022" t="s">
        <v>3400</v>
      </c>
      <c r="U1022" t="s">
        <v>402</v>
      </c>
      <c r="V1022" s="8" t="str">
        <f>"92069"</f>
        <v>92069</v>
      </c>
      <c r="W1022" t="s">
        <v>118</v>
      </c>
      <c r="Y1022" s="10">
        <v>13302742494</v>
      </c>
      <c r="AA1022">
        <v>711212</v>
      </c>
      <c r="AB1022" t="s">
        <v>15818</v>
      </c>
      <c r="AC1022" t="s">
        <v>2210</v>
      </c>
      <c r="AE1022" t="s">
        <v>120</v>
      </c>
      <c r="AF1022" t="s">
        <v>15817</v>
      </c>
      <c r="AH1022" t="s">
        <v>3400</v>
      </c>
      <c r="AI1022" t="s">
        <v>402</v>
      </c>
      <c r="AJ1022" s="8" t="str">
        <f>"92069"</f>
        <v>92069</v>
      </c>
      <c r="AK1022" t="s">
        <v>118</v>
      </c>
      <c r="AM1022" s="10">
        <v>13302742494</v>
      </c>
      <c r="AO1022" t="s">
        <v>15819</v>
      </c>
      <c r="AP1022" t="s">
        <v>121</v>
      </c>
      <c r="AQ1022" t="s">
        <v>3854</v>
      </c>
      <c r="AR1022" t="s">
        <v>144</v>
      </c>
      <c r="AS1022" t="s">
        <v>3855</v>
      </c>
      <c r="AT1022" t="s">
        <v>2605</v>
      </c>
      <c r="AU1022" t="s">
        <v>2606</v>
      </c>
      <c r="AV1022" t="s">
        <v>2607</v>
      </c>
      <c r="AW1022" t="s">
        <v>2608</v>
      </c>
      <c r="AX1022" s="8" t="str">
        <f>"73069"</f>
        <v>73069</v>
      </c>
      <c r="AY1022" t="s">
        <v>118</v>
      </c>
      <c r="BA1022" s="10">
        <v>14053642525</v>
      </c>
      <c r="BC1022" t="s">
        <v>2609</v>
      </c>
      <c r="BD1022" t="s">
        <v>2610</v>
      </c>
      <c r="BE1022" t="s">
        <v>2608</v>
      </c>
      <c r="BF1022" t="s">
        <v>2611</v>
      </c>
      <c r="BG1022" t="s">
        <v>402</v>
      </c>
      <c r="BH1022" s="1">
        <v>45174.833333333336</v>
      </c>
      <c r="BI1022">
        <v>56</v>
      </c>
      <c r="BJ1022">
        <v>8</v>
      </c>
      <c r="BK1022">
        <v>8</v>
      </c>
      <c r="BL1022">
        <v>8</v>
      </c>
      <c r="BM1022">
        <v>8</v>
      </c>
      <c r="BN1022">
        <v>8</v>
      </c>
      <c r="BO1022">
        <v>8</v>
      </c>
      <c r="BP1022">
        <v>8</v>
      </c>
      <c r="BQ1022" t="str">
        <f>"5:00 AM"</f>
        <v>5:00 AM</v>
      </c>
      <c r="BR1022" t="str">
        <f>"5:00 PM"</f>
        <v>5:00 PM</v>
      </c>
      <c r="BS1022" t="s">
        <v>131</v>
      </c>
      <c r="BT1022">
        <v>0</v>
      </c>
      <c r="BU1022">
        <v>1</v>
      </c>
      <c r="BV1022" t="s">
        <v>114</v>
      </c>
      <c r="BX1022" s="2" t="s">
        <v>3116</v>
      </c>
      <c r="BY1022" t="s">
        <v>15817</v>
      </c>
      <c r="CA1022" t="s">
        <v>3400</v>
      </c>
      <c r="CB1022" t="s">
        <v>402</v>
      </c>
      <c r="CC1022" s="8" t="str">
        <f>"92069"</f>
        <v>92069</v>
      </c>
      <c r="CD1022" t="s">
        <v>2435</v>
      </c>
      <c r="CE1022" t="s">
        <v>2436</v>
      </c>
      <c r="CF1022" s="12">
        <v>17.84</v>
      </c>
      <c r="CG1022" s="12">
        <v>17.84</v>
      </c>
      <c r="CH1022" s="12">
        <v>26.76</v>
      </c>
      <c r="CI1022" s="12">
        <v>26.76</v>
      </c>
      <c r="CJ1022" t="s">
        <v>135</v>
      </c>
      <c r="CK1022" t="s">
        <v>132</v>
      </c>
      <c r="CL1022" t="s">
        <v>15820</v>
      </c>
      <c r="CO1022" t="s">
        <v>132</v>
      </c>
      <c r="CP1022" t="s">
        <v>114</v>
      </c>
      <c r="CQ1022" t="s">
        <v>114</v>
      </c>
      <c r="CR1022" t="s">
        <v>136</v>
      </c>
      <c r="CS1022" t="s">
        <v>114</v>
      </c>
      <c r="CT1022" t="s">
        <v>136</v>
      </c>
      <c r="CU1022" t="s">
        <v>114</v>
      </c>
      <c r="CV1022" t="s">
        <v>2612</v>
      </c>
      <c r="CW1022" s="10" t="str">
        <f>"+13302742494"</f>
        <v>+13302742494</v>
      </c>
      <c r="CX1022" t="s">
        <v>15819</v>
      </c>
      <c r="CY1022" t="s">
        <v>132</v>
      </c>
      <c r="CZ1022" t="s">
        <v>137</v>
      </c>
      <c r="DA1022" t="s">
        <v>114</v>
      </c>
      <c r="DB1022" t="s">
        <v>114</v>
      </c>
      <c r="DC1022" t="s">
        <v>136</v>
      </c>
      <c r="DD1022" t="s">
        <v>114</v>
      </c>
    </row>
    <row r="1023" spans="1:113" ht="15" customHeight="1" x14ac:dyDescent="0.25">
      <c r="A1023" t="s">
        <v>18149</v>
      </c>
      <c r="B1023" t="s">
        <v>152</v>
      </c>
      <c r="C1023" s="1">
        <v>45175.526491435186</v>
      </c>
      <c r="D1023" s="1">
        <v>45243</v>
      </c>
      <c r="E1023" t="s">
        <v>132</v>
      </c>
      <c r="F1023" t="s">
        <v>9105</v>
      </c>
      <c r="G1023" t="str">
        <f>"51-3022.00"</f>
        <v>51-3022.00</v>
      </c>
      <c r="H1023" t="s">
        <v>1004</v>
      </c>
      <c r="I1023">
        <v>63</v>
      </c>
      <c r="J1023">
        <v>63</v>
      </c>
      <c r="K1023" s="1">
        <v>45255</v>
      </c>
      <c r="L1023" s="1">
        <v>45474</v>
      </c>
      <c r="M1023" s="1">
        <v>45255</v>
      </c>
      <c r="N1023" s="1">
        <v>45474</v>
      </c>
      <c r="O1023" t="s">
        <v>238</v>
      </c>
      <c r="P1023" t="s">
        <v>18150</v>
      </c>
      <c r="R1023" t="s">
        <v>18151</v>
      </c>
      <c r="T1023" t="s">
        <v>18152</v>
      </c>
      <c r="U1023" t="s">
        <v>333</v>
      </c>
      <c r="V1023" s="8" t="str">
        <f>"70586"</f>
        <v>70586</v>
      </c>
      <c r="W1023" t="s">
        <v>118</v>
      </c>
      <c r="Y1023" s="10">
        <v>13373631389</v>
      </c>
      <c r="AA1023">
        <v>31171</v>
      </c>
      <c r="AB1023" t="s">
        <v>18153</v>
      </c>
      <c r="AC1023" t="s">
        <v>1410</v>
      </c>
      <c r="AE1023" t="s">
        <v>561</v>
      </c>
      <c r="AF1023" t="s">
        <v>18151</v>
      </c>
      <c r="AH1023" t="s">
        <v>18152</v>
      </c>
      <c r="AI1023" t="s">
        <v>333</v>
      </c>
      <c r="AJ1023" s="8" t="str">
        <f>"70586"</f>
        <v>70586</v>
      </c>
      <c r="AK1023" t="s">
        <v>118</v>
      </c>
      <c r="AM1023" s="10">
        <v>13373631389</v>
      </c>
      <c r="AO1023" t="s">
        <v>18154</v>
      </c>
      <c r="AP1023" t="s">
        <v>121</v>
      </c>
      <c r="AQ1023" t="s">
        <v>12103</v>
      </c>
      <c r="AR1023" t="s">
        <v>3562</v>
      </c>
      <c r="AS1023" t="s">
        <v>1410</v>
      </c>
      <c r="AT1023" t="s">
        <v>7421</v>
      </c>
      <c r="AU1023" t="s">
        <v>7422</v>
      </c>
      <c r="AV1023" t="s">
        <v>3501</v>
      </c>
      <c r="AW1023" t="s">
        <v>127</v>
      </c>
      <c r="AX1023" s="8" t="str">
        <f>"75082"</f>
        <v>75082</v>
      </c>
      <c r="AY1023" t="s">
        <v>118</v>
      </c>
      <c r="BA1023" s="10">
        <v>14699407784</v>
      </c>
      <c r="BC1023" t="s">
        <v>12104</v>
      </c>
      <c r="BD1023" t="s">
        <v>7424</v>
      </c>
      <c r="BE1023" t="s">
        <v>333</v>
      </c>
      <c r="BF1023" t="s">
        <v>2190</v>
      </c>
      <c r="BG1023" t="s">
        <v>333</v>
      </c>
      <c r="BH1023" s="1">
        <v>45174.833333333336</v>
      </c>
      <c r="BI1023">
        <v>35</v>
      </c>
      <c r="BJ1023">
        <v>0</v>
      </c>
      <c r="BK1023">
        <v>7</v>
      </c>
      <c r="BL1023">
        <v>7</v>
      </c>
      <c r="BM1023">
        <v>7</v>
      </c>
      <c r="BN1023">
        <v>7</v>
      </c>
      <c r="BO1023">
        <v>7</v>
      </c>
      <c r="BP1023">
        <v>0</v>
      </c>
      <c r="BQ1023" t="str">
        <f>"7:00 AM"</f>
        <v>7:00 AM</v>
      </c>
      <c r="BR1023" t="str">
        <f>"3:00 PM"</f>
        <v>3:00 PM</v>
      </c>
      <c r="BS1023" t="s">
        <v>131</v>
      </c>
      <c r="BT1023">
        <v>0</v>
      </c>
      <c r="BU1023">
        <v>3</v>
      </c>
      <c r="BV1023" t="s">
        <v>114</v>
      </c>
      <c r="BX1023" s="2" t="s">
        <v>18155</v>
      </c>
      <c r="BY1023" t="s">
        <v>18151</v>
      </c>
      <c r="CA1023" t="s">
        <v>18152</v>
      </c>
      <c r="CB1023" t="s">
        <v>333</v>
      </c>
      <c r="CC1023" s="8" t="str">
        <f>"70586"</f>
        <v>70586</v>
      </c>
      <c r="CD1023" t="s">
        <v>10195</v>
      </c>
      <c r="CE1023" t="s">
        <v>4268</v>
      </c>
      <c r="CF1023" s="12">
        <v>13.24</v>
      </c>
      <c r="CG1023" s="12">
        <v>13.24</v>
      </c>
      <c r="CH1023" s="12">
        <v>19.86</v>
      </c>
      <c r="CI1023" s="12">
        <v>19.86</v>
      </c>
      <c r="CJ1023" t="s">
        <v>135</v>
      </c>
      <c r="CK1023" t="s">
        <v>18156</v>
      </c>
      <c r="CL1023" t="s">
        <v>18157</v>
      </c>
      <c r="CO1023" t="s">
        <v>132</v>
      </c>
      <c r="CP1023" t="s">
        <v>114</v>
      </c>
      <c r="CQ1023" t="s">
        <v>136</v>
      </c>
      <c r="CR1023" t="s">
        <v>136</v>
      </c>
      <c r="CS1023" t="s">
        <v>136</v>
      </c>
      <c r="CT1023" t="s">
        <v>136</v>
      </c>
      <c r="CU1023" t="s">
        <v>136</v>
      </c>
      <c r="CV1023" s="2" t="s">
        <v>18158</v>
      </c>
      <c r="CW1023" s="10" t="str">
        <f>"+13373631389"</f>
        <v>+13373631389</v>
      </c>
      <c r="CX1023" t="s">
        <v>18154</v>
      </c>
      <c r="CY1023" t="s">
        <v>132</v>
      </c>
      <c r="CZ1023" t="s">
        <v>137</v>
      </c>
      <c r="DA1023" t="s">
        <v>114</v>
      </c>
      <c r="DB1023" t="s">
        <v>114</v>
      </c>
      <c r="DC1023" t="s">
        <v>136</v>
      </c>
      <c r="DD1023" t="s">
        <v>114</v>
      </c>
      <c r="DE1023" t="s">
        <v>7425</v>
      </c>
      <c r="DF1023" t="s">
        <v>2001</v>
      </c>
      <c r="DG1023" t="s">
        <v>3587</v>
      </c>
      <c r="DH1023" t="s">
        <v>7424</v>
      </c>
      <c r="DI1023" t="s">
        <v>7426</v>
      </c>
    </row>
    <row r="1024" spans="1:113" ht="15" customHeight="1" x14ac:dyDescent="0.25">
      <c r="A1024" t="s">
        <v>19192</v>
      </c>
      <c r="B1024" t="s">
        <v>152</v>
      </c>
      <c r="C1024" s="1">
        <v>45124.55128900463</v>
      </c>
      <c r="D1024" s="1">
        <v>45243</v>
      </c>
      <c r="E1024" t="s">
        <v>114</v>
      </c>
      <c r="F1024" t="s">
        <v>4017</v>
      </c>
      <c r="G1024" t="str">
        <f>"39-2021.00"</f>
        <v>39-2021.00</v>
      </c>
      <c r="H1024" t="s">
        <v>2895</v>
      </c>
      <c r="I1024">
        <v>5</v>
      </c>
      <c r="J1024">
        <v>5</v>
      </c>
      <c r="K1024" s="1">
        <v>45214</v>
      </c>
      <c r="L1024" s="1">
        <v>45518</v>
      </c>
      <c r="M1024" s="1">
        <v>45214</v>
      </c>
      <c r="N1024" s="1">
        <v>45518</v>
      </c>
      <c r="O1024" t="s">
        <v>238</v>
      </c>
      <c r="P1024" t="s">
        <v>19193</v>
      </c>
      <c r="R1024" t="s">
        <v>19194</v>
      </c>
      <c r="T1024" t="s">
        <v>19195</v>
      </c>
      <c r="U1024" t="s">
        <v>1722</v>
      </c>
      <c r="V1024" s="8" t="str">
        <f>"20860"</f>
        <v>20860</v>
      </c>
      <c r="W1024" t="s">
        <v>118</v>
      </c>
      <c r="Y1024" s="10">
        <v>13014525892</v>
      </c>
      <c r="AA1024">
        <v>711212</v>
      </c>
      <c r="AB1024" t="s">
        <v>19196</v>
      </c>
      <c r="AC1024" t="s">
        <v>3249</v>
      </c>
      <c r="AD1024" t="s">
        <v>3976</v>
      </c>
      <c r="AE1024" t="s">
        <v>3852</v>
      </c>
      <c r="AF1024" t="s">
        <v>19197</v>
      </c>
      <c r="AH1024" t="s">
        <v>19195</v>
      </c>
      <c r="AI1024" t="s">
        <v>1722</v>
      </c>
      <c r="AJ1024" s="8" t="str">
        <f>"20860"</f>
        <v>20860</v>
      </c>
      <c r="AK1024" t="s">
        <v>118</v>
      </c>
      <c r="AM1024" s="10">
        <v>13014525892</v>
      </c>
      <c r="AO1024" t="s">
        <v>19198</v>
      </c>
      <c r="AP1024" t="s">
        <v>121</v>
      </c>
      <c r="AQ1024" t="s">
        <v>3854</v>
      </c>
      <c r="AR1024" t="s">
        <v>144</v>
      </c>
      <c r="AS1024" t="s">
        <v>3855</v>
      </c>
      <c r="AT1024" t="s">
        <v>2605</v>
      </c>
      <c r="AU1024" t="s">
        <v>2606</v>
      </c>
      <c r="AV1024" t="s">
        <v>2607</v>
      </c>
      <c r="AW1024" t="s">
        <v>2608</v>
      </c>
      <c r="AX1024" s="8" t="str">
        <f>"73069"</f>
        <v>73069</v>
      </c>
      <c r="AY1024" t="s">
        <v>118</v>
      </c>
      <c r="BA1024" s="10">
        <v>14053642525</v>
      </c>
      <c r="BC1024" t="s">
        <v>2609</v>
      </c>
      <c r="BD1024" t="s">
        <v>2610</v>
      </c>
      <c r="BE1024" t="s">
        <v>2608</v>
      </c>
      <c r="BF1024" t="s">
        <v>2611</v>
      </c>
      <c r="BG1024" t="s">
        <v>1722</v>
      </c>
      <c r="BH1024" s="1">
        <v>45123.833333333336</v>
      </c>
      <c r="BI1024">
        <v>56</v>
      </c>
      <c r="BJ1024">
        <v>8</v>
      </c>
      <c r="BK1024">
        <v>8</v>
      </c>
      <c r="BL1024">
        <v>8</v>
      </c>
      <c r="BM1024">
        <v>8</v>
      </c>
      <c r="BN1024">
        <v>8</v>
      </c>
      <c r="BO1024">
        <v>8</v>
      </c>
      <c r="BP1024">
        <v>8</v>
      </c>
      <c r="BQ1024" t="str">
        <f>"5:00 AM"</f>
        <v>5:00 AM</v>
      </c>
      <c r="BR1024" t="str">
        <f>"5:00 PM"</f>
        <v>5:00 PM</v>
      </c>
      <c r="BS1024" t="s">
        <v>131</v>
      </c>
      <c r="BT1024">
        <v>0</v>
      </c>
      <c r="BU1024">
        <v>1</v>
      </c>
      <c r="BV1024" t="s">
        <v>114</v>
      </c>
      <c r="BX1024" s="2" t="s">
        <v>2870</v>
      </c>
      <c r="BY1024" t="s">
        <v>13010</v>
      </c>
      <c r="BZ1024" t="s">
        <v>19199</v>
      </c>
      <c r="CA1024" t="s">
        <v>13012</v>
      </c>
      <c r="CB1024" t="s">
        <v>1722</v>
      </c>
      <c r="CC1024" s="8" t="str">
        <f>"20724"</f>
        <v>20724</v>
      </c>
      <c r="CD1024" t="s">
        <v>1793</v>
      </c>
      <c r="CE1024" t="s">
        <v>1794</v>
      </c>
      <c r="CF1024" s="12">
        <v>15.56</v>
      </c>
      <c r="CG1024" s="12">
        <v>15.56</v>
      </c>
      <c r="CH1024" s="12">
        <v>23.34</v>
      </c>
      <c r="CI1024" s="12">
        <v>23.34</v>
      </c>
      <c r="CJ1024" t="s">
        <v>135</v>
      </c>
      <c r="CL1024" t="s">
        <v>19200</v>
      </c>
      <c r="CO1024" t="s">
        <v>132</v>
      </c>
      <c r="CP1024" t="s">
        <v>114</v>
      </c>
      <c r="CQ1024" t="s">
        <v>114</v>
      </c>
      <c r="CR1024" t="s">
        <v>136</v>
      </c>
      <c r="CS1024" t="s">
        <v>114</v>
      </c>
      <c r="CT1024" t="s">
        <v>136</v>
      </c>
      <c r="CU1024" t="s">
        <v>136</v>
      </c>
      <c r="CV1024" t="s">
        <v>19201</v>
      </c>
      <c r="CW1024" s="10" t="str">
        <f>"+13013629708"</f>
        <v>+13013629708</v>
      </c>
      <c r="CX1024" t="s">
        <v>19198</v>
      </c>
      <c r="CY1024" t="s">
        <v>132</v>
      </c>
      <c r="CZ1024" t="s">
        <v>137</v>
      </c>
      <c r="DA1024" t="s">
        <v>114</v>
      </c>
      <c r="DB1024" t="s">
        <v>114</v>
      </c>
      <c r="DC1024" t="s">
        <v>136</v>
      </c>
      <c r="DD1024" t="s">
        <v>114</v>
      </c>
    </row>
    <row r="1025" spans="1:113" ht="15" customHeight="1" x14ac:dyDescent="0.25">
      <c r="A1025" t="s">
        <v>18397</v>
      </c>
      <c r="B1025" t="s">
        <v>152</v>
      </c>
      <c r="C1025" s="1">
        <v>45122.635340740744</v>
      </c>
      <c r="D1025" s="1">
        <v>45243</v>
      </c>
      <c r="E1025" t="s">
        <v>114</v>
      </c>
      <c r="F1025" t="s">
        <v>3583</v>
      </c>
      <c r="G1025" t="str">
        <f>"47-2061.00"</f>
        <v>47-2061.00</v>
      </c>
      <c r="H1025" t="s">
        <v>570</v>
      </c>
      <c r="I1025">
        <v>40</v>
      </c>
      <c r="J1025">
        <v>40</v>
      </c>
      <c r="K1025" s="1">
        <v>45200</v>
      </c>
      <c r="L1025" s="1">
        <v>45473</v>
      </c>
      <c r="M1025" s="1">
        <v>45200</v>
      </c>
      <c r="N1025" s="1">
        <v>45473</v>
      </c>
      <c r="O1025" t="s">
        <v>116</v>
      </c>
      <c r="P1025" t="s">
        <v>6675</v>
      </c>
      <c r="R1025" t="s">
        <v>6676</v>
      </c>
      <c r="T1025" t="s">
        <v>6677</v>
      </c>
      <c r="U1025" t="s">
        <v>375</v>
      </c>
      <c r="V1025" s="8" t="str">
        <f>"27529"</f>
        <v>27529</v>
      </c>
      <c r="W1025" t="s">
        <v>118</v>
      </c>
      <c r="Y1025" s="10">
        <v>19199348911</v>
      </c>
      <c r="AA1025">
        <v>2371</v>
      </c>
      <c r="AB1025" t="s">
        <v>6678</v>
      </c>
      <c r="AC1025" t="s">
        <v>6679</v>
      </c>
      <c r="AE1025" t="s">
        <v>537</v>
      </c>
      <c r="AF1025" t="s">
        <v>6676</v>
      </c>
      <c r="AH1025" t="s">
        <v>6677</v>
      </c>
      <c r="AI1025" t="s">
        <v>375</v>
      </c>
      <c r="AJ1025" s="8" t="str">
        <f>"27529"</f>
        <v>27529</v>
      </c>
      <c r="AK1025" t="s">
        <v>118</v>
      </c>
      <c r="AM1025" s="10">
        <v>19199348911</v>
      </c>
      <c r="AO1025" t="s">
        <v>6680</v>
      </c>
      <c r="AP1025" t="s">
        <v>248</v>
      </c>
      <c r="AQ1025" t="s">
        <v>3000</v>
      </c>
      <c r="AR1025" t="s">
        <v>3001</v>
      </c>
      <c r="AS1025" t="s">
        <v>3002</v>
      </c>
      <c r="AT1025" t="s">
        <v>3003</v>
      </c>
      <c r="AV1025" t="s">
        <v>3004</v>
      </c>
      <c r="AW1025" t="s">
        <v>127</v>
      </c>
      <c r="AX1025" s="8" t="str">
        <f>"78640"</f>
        <v>78640</v>
      </c>
      <c r="AY1025" t="s">
        <v>118</v>
      </c>
      <c r="BA1025" s="10">
        <v>15127405256</v>
      </c>
      <c r="BC1025" t="s">
        <v>3005</v>
      </c>
      <c r="BD1025" t="s">
        <v>3006</v>
      </c>
      <c r="BG1025" t="s">
        <v>375</v>
      </c>
      <c r="BH1025" s="1">
        <v>45121.833333333336</v>
      </c>
      <c r="BI1025">
        <v>40</v>
      </c>
      <c r="BJ1025">
        <v>0</v>
      </c>
      <c r="BK1025">
        <v>8</v>
      </c>
      <c r="BL1025">
        <v>8</v>
      </c>
      <c r="BM1025">
        <v>8</v>
      </c>
      <c r="BN1025">
        <v>8</v>
      </c>
      <c r="BO1025">
        <v>8</v>
      </c>
      <c r="BP1025">
        <v>0</v>
      </c>
      <c r="BQ1025" t="str">
        <f>"8:00 AM"</f>
        <v>8:00 AM</v>
      </c>
      <c r="BR1025" t="str">
        <f>"5:00 PM"</f>
        <v>5:00 PM</v>
      </c>
      <c r="BS1025" t="s">
        <v>131</v>
      </c>
      <c r="BT1025">
        <v>0</v>
      </c>
      <c r="BU1025">
        <v>0</v>
      </c>
      <c r="BV1025" t="s">
        <v>114</v>
      </c>
      <c r="BX1025" t="s">
        <v>132</v>
      </c>
      <c r="BY1025" t="s">
        <v>6676</v>
      </c>
      <c r="CA1025" t="s">
        <v>18398</v>
      </c>
      <c r="CB1025" t="s">
        <v>375</v>
      </c>
      <c r="CC1025" s="8" t="str">
        <f>"27513"</f>
        <v>27513</v>
      </c>
      <c r="CD1025" t="s">
        <v>391</v>
      </c>
      <c r="CE1025" t="s">
        <v>392</v>
      </c>
      <c r="CF1025" s="12">
        <v>17.54</v>
      </c>
      <c r="CG1025" s="12">
        <v>19</v>
      </c>
      <c r="CH1025" s="12">
        <v>26.31</v>
      </c>
      <c r="CI1025" s="12">
        <v>28.5</v>
      </c>
      <c r="CJ1025" t="s">
        <v>135</v>
      </c>
      <c r="CK1025" t="s">
        <v>132</v>
      </c>
      <c r="CL1025" t="s">
        <v>18399</v>
      </c>
      <c r="CO1025" t="s">
        <v>132</v>
      </c>
      <c r="CP1025" t="s">
        <v>136</v>
      </c>
      <c r="CQ1025" t="s">
        <v>136</v>
      </c>
      <c r="CR1025" t="s">
        <v>136</v>
      </c>
      <c r="CS1025" t="s">
        <v>114</v>
      </c>
      <c r="CT1025" t="s">
        <v>136</v>
      </c>
      <c r="CU1025" t="s">
        <v>114</v>
      </c>
      <c r="CV1025" t="s">
        <v>3007</v>
      </c>
      <c r="CW1025" s="10" t="str">
        <f>"+19195606880"</f>
        <v>+19195606880</v>
      </c>
      <c r="CX1025" t="s">
        <v>132</v>
      </c>
      <c r="CY1025" t="s">
        <v>6683</v>
      </c>
      <c r="CZ1025" t="s">
        <v>137</v>
      </c>
      <c r="DA1025" t="s">
        <v>114</v>
      </c>
      <c r="DB1025" t="s">
        <v>114</v>
      </c>
      <c r="DC1025" t="s">
        <v>136</v>
      </c>
      <c r="DD1025" t="s">
        <v>114</v>
      </c>
    </row>
    <row r="1026" spans="1:113" ht="15" customHeight="1" x14ac:dyDescent="0.25">
      <c r="A1026" t="s">
        <v>16011</v>
      </c>
      <c r="B1026" t="s">
        <v>152</v>
      </c>
      <c r="C1026" s="1">
        <v>45114.672875578704</v>
      </c>
      <c r="D1026" s="1">
        <v>45243</v>
      </c>
      <c r="E1026" t="s">
        <v>114</v>
      </c>
      <c r="F1026" t="s">
        <v>1397</v>
      </c>
      <c r="G1026" t="str">
        <f>"39-9011.01"</f>
        <v>39-9011.01</v>
      </c>
      <c r="H1026" t="s">
        <v>183</v>
      </c>
      <c r="I1026">
        <v>1</v>
      </c>
      <c r="J1026">
        <v>1</v>
      </c>
      <c r="K1026" s="1">
        <v>45200</v>
      </c>
      <c r="L1026" s="1">
        <v>46266</v>
      </c>
      <c r="M1026" s="1">
        <v>45200</v>
      </c>
      <c r="N1026" s="1">
        <v>46266</v>
      </c>
      <c r="O1026" t="s">
        <v>184</v>
      </c>
      <c r="P1026" t="s">
        <v>16012</v>
      </c>
      <c r="R1026" t="s">
        <v>16013</v>
      </c>
      <c r="T1026" t="s">
        <v>16014</v>
      </c>
      <c r="U1026" t="s">
        <v>158</v>
      </c>
      <c r="V1026" s="8" t="str">
        <f>"48603"</f>
        <v>48603</v>
      </c>
      <c r="W1026" t="s">
        <v>118</v>
      </c>
      <c r="Y1026" s="10">
        <v>16094322437</v>
      </c>
      <c r="AA1026">
        <v>8141</v>
      </c>
      <c r="AB1026" t="s">
        <v>1989</v>
      </c>
      <c r="AC1026" t="s">
        <v>16015</v>
      </c>
      <c r="AE1026" t="s">
        <v>561</v>
      </c>
      <c r="AF1026" t="s">
        <v>16016</v>
      </c>
      <c r="AH1026" t="s">
        <v>16014</v>
      </c>
      <c r="AI1026" t="s">
        <v>158</v>
      </c>
      <c r="AJ1026" s="8" t="str">
        <f>"48603"</f>
        <v>48603</v>
      </c>
      <c r="AK1026" t="s">
        <v>118</v>
      </c>
      <c r="AM1026" s="10">
        <v>16094322437</v>
      </c>
      <c r="AO1026" t="s">
        <v>16017</v>
      </c>
      <c r="AP1026" t="s">
        <v>121</v>
      </c>
      <c r="AQ1026" t="s">
        <v>3935</v>
      </c>
      <c r="AR1026" t="s">
        <v>3936</v>
      </c>
      <c r="AS1026" t="s">
        <v>3937</v>
      </c>
      <c r="AT1026" t="s">
        <v>3938</v>
      </c>
      <c r="AU1026" t="s">
        <v>3939</v>
      </c>
      <c r="AV1026" t="s">
        <v>3940</v>
      </c>
      <c r="AW1026" t="s">
        <v>2262</v>
      </c>
      <c r="AX1026" s="8" t="str">
        <f>"06510"</f>
        <v>06510</v>
      </c>
      <c r="AY1026" t="s">
        <v>118</v>
      </c>
      <c r="BA1026" s="10">
        <v>19198270660</v>
      </c>
      <c r="BC1026" t="s">
        <v>3941</v>
      </c>
      <c r="BD1026" t="s">
        <v>3942</v>
      </c>
      <c r="BE1026" t="s">
        <v>375</v>
      </c>
      <c r="BF1026" t="s">
        <v>3943</v>
      </c>
      <c r="BG1026" t="s">
        <v>158</v>
      </c>
      <c r="BH1026" s="1">
        <v>45113.833333333336</v>
      </c>
      <c r="BI1026">
        <v>49</v>
      </c>
      <c r="BJ1026">
        <v>7</v>
      </c>
      <c r="BK1026">
        <v>7</v>
      </c>
      <c r="BL1026">
        <v>7</v>
      </c>
      <c r="BM1026">
        <v>7</v>
      </c>
      <c r="BN1026">
        <v>7</v>
      </c>
      <c r="BO1026">
        <v>7</v>
      </c>
      <c r="BP1026">
        <v>7</v>
      </c>
      <c r="BQ1026" t="str">
        <f>"9:00 AM"</f>
        <v>9:00 AM</v>
      </c>
      <c r="BR1026" t="str">
        <f>"4:00 PM"</f>
        <v>4:00 PM</v>
      </c>
      <c r="BS1026" t="s">
        <v>147</v>
      </c>
      <c r="BT1026">
        <v>0</v>
      </c>
      <c r="BU1026">
        <v>12</v>
      </c>
      <c r="BV1026" t="s">
        <v>114</v>
      </c>
      <c r="BX1026" t="s">
        <v>1570</v>
      </c>
      <c r="BY1026" t="s">
        <v>16016</v>
      </c>
      <c r="CA1026" t="s">
        <v>16014</v>
      </c>
      <c r="CB1026" t="s">
        <v>158</v>
      </c>
      <c r="CC1026" s="8" t="str">
        <f>"48603"</f>
        <v>48603</v>
      </c>
      <c r="CD1026" t="s">
        <v>16018</v>
      </c>
      <c r="CE1026" t="s">
        <v>16019</v>
      </c>
      <c r="CF1026" s="12">
        <v>13.83</v>
      </c>
      <c r="CG1026" s="12">
        <v>13.83</v>
      </c>
      <c r="CH1026" s="12">
        <v>20.75</v>
      </c>
      <c r="CI1026" s="12">
        <v>20.75</v>
      </c>
      <c r="CJ1026" t="s">
        <v>135</v>
      </c>
      <c r="CL1026" t="s">
        <v>16020</v>
      </c>
      <c r="CO1026" t="s">
        <v>132</v>
      </c>
      <c r="CP1026" t="s">
        <v>136</v>
      </c>
      <c r="CQ1026" t="s">
        <v>114</v>
      </c>
      <c r="CR1026" t="s">
        <v>136</v>
      </c>
      <c r="CS1026" t="s">
        <v>114</v>
      </c>
      <c r="CT1026" t="s">
        <v>136</v>
      </c>
      <c r="CU1026" t="s">
        <v>136</v>
      </c>
      <c r="CV1026" s="2" t="s">
        <v>16021</v>
      </c>
      <c r="CW1026" s="10" t="str">
        <f>"+16094322437"</f>
        <v>+16094322437</v>
      </c>
      <c r="CX1026" t="s">
        <v>16017</v>
      </c>
      <c r="CY1026" t="s">
        <v>132</v>
      </c>
      <c r="CZ1026" t="s">
        <v>137</v>
      </c>
      <c r="DA1026" t="s">
        <v>114</v>
      </c>
      <c r="DB1026" t="s">
        <v>114</v>
      </c>
      <c r="DC1026" t="s">
        <v>136</v>
      </c>
      <c r="DD1026" t="s">
        <v>114</v>
      </c>
    </row>
    <row r="1027" spans="1:113" ht="15" customHeight="1" x14ac:dyDescent="0.25">
      <c r="A1027" t="s">
        <v>10066</v>
      </c>
      <c r="B1027" t="s">
        <v>152</v>
      </c>
      <c r="C1027" s="1">
        <v>45197.661627546295</v>
      </c>
      <c r="D1027" s="1">
        <v>45239</v>
      </c>
      <c r="E1027" t="s">
        <v>132</v>
      </c>
      <c r="F1027" t="s">
        <v>1595</v>
      </c>
      <c r="G1027" t="str">
        <f>"37-3011.00"</f>
        <v>37-3011.00</v>
      </c>
      <c r="H1027" t="s">
        <v>429</v>
      </c>
      <c r="I1027">
        <v>13</v>
      </c>
      <c r="J1027">
        <v>13</v>
      </c>
      <c r="K1027" s="1">
        <v>45272</v>
      </c>
      <c r="L1027" s="1">
        <v>45383</v>
      </c>
      <c r="M1027" s="1">
        <v>45272</v>
      </c>
      <c r="N1027" s="1">
        <v>45383</v>
      </c>
      <c r="O1027" t="s">
        <v>116</v>
      </c>
      <c r="P1027" t="s">
        <v>10067</v>
      </c>
      <c r="R1027" t="s">
        <v>10068</v>
      </c>
      <c r="T1027" t="s">
        <v>8125</v>
      </c>
      <c r="U1027" t="s">
        <v>127</v>
      </c>
      <c r="V1027" s="8" t="str">
        <f>"76226"</f>
        <v>76226</v>
      </c>
      <c r="W1027" t="s">
        <v>118</v>
      </c>
      <c r="Y1027" s="10">
        <v>12148694050</v>
      </c>
      <c r="AA1027">
        <v>111421</v>
      </c>
      <c r="AB1027" t="s">
        <v>10069</v>
      </c>
      <c r="AC1027" t="s">
        <v>1428</v>
      </c>
      <c r="AE1027" t="s">
        <v>629</v>
      </c>
      <c r="AF1027" t="s">
        <v>10068</v>
      </c>
      <c r="AH1027" t="s">
        <v>8125</v>
      </c>
      <c r="AI1027" t="s">
        <v>127</v>
      </c>
      <c r="AJ1027" s="8" t="str">
        <f>"76226"</f>
        <v>76226</v>
      </c>
      <c r="AK1027" t="s">
        <v>118</v>
      </c>
      <c r="AM1027" s="10">
        <v>12148694050</v>
      </c>
      <c r="AO1027" t="s">
        <v>10070</v>
      </c>
      <c r="AP1027" t="s">
        <v>248</v>
      </c>
      <c r="AQ1027" t="s">
        <v>3017</v>
      </c>
      <c r="AR1027" t="s">
        <v>3018</v>
      </c>
      <c r="AT1027" t="s">
        <v>3019</v>
      </c>
      <c r="AV1027" t="s">
        <v>1168</v>
      </c>
      <c r="AW1027" t="s">
        <v>127</v>
      </c>
      <c r="AX1027" s="8" t="str">
        <f>"75098"</f>
        <v>75098</v>
      </c>
      <c r="AY1027" t="s">
        <v>118</v>
      </c>
      <c r="BA1027" s="10">
        <v>19724424244</v>
      </c>
      <c r="BC1027" t="s">
        <v>3020</v>
      </c>
      <c r="BD1027" t="s">
        <v>3021</v>
      </c>
      <c r="BG1027" t="s">
        <v>127</v>
      </c>
      <c r="BH1027" s="1">
        <v>45196.833333333336</v>
      </c>
      <c r="BI1027">
        <v>40</v>
      </c>
      <c r="BJ1027">
        <v>0</v>
      </c>
      <c r="BK1027">
        <v>8</v>
      </c>
      <c r="BL1027">
        <v>8</v>
      </c>
      <c r="BM1027">
        <v>8</v>
      </c>
      <c r="BN1027">
        <v>8</v>
      </c>
      <c r="BO1027">
        <v>8</v>
      </c>
      <c r="BP1027">
        <v>0</v>
      </c>
      <c r="BQ1027" t="str">
        <f>"7:00 AM"</f>
        <v>7:00 AM</v>
      </c>
      <c r="BR1027" t="str">
        <f>"4:00 PM"</f>
        <v>4:00 PM</v>
      </c>
      <c r="BS1027" t="s">
        <v>131</v>
      </c>
      <c r="BT1027">
        <v>0</v>
      </c>
      <c r="BU1027">
        <v>0</v>
      </c>
      <c r="BV1027" t="s">
        <v>114</v>
      </c>
      <c r="BX1027" s="2" t="s">
        <v>10071</v>
      </c>
      <c r="BY1027" t="s">
        <v>10068</v>
      </c>
      <c r="CA1027" t="s">
        <v>8125</v>
      </c>
      <c r="CB1027" t="s">
        <v>127</v>
      </c>
      <c r="CC1027" s="8" t="str">
        <f>"76226"</f>
        <v>76226</v>
      </c>
      <c r="CD1027" t="s">
        <v>3259</v>
      </c>
      <c r="CE1027" t="s">
        <v>263</v>
      </c>
      <c r="CF1027" s="12">
        <v>16.86</v>
      </c>
      <c r="CG1027" s="12">
        <v>18.86</v>
      </c>
      <c r="CH1027" s="12">
        <v>25.29</v>
      </c>
      <c r="CI1027" s="12">
        <v>28.29</v>
      </c>
      <c r="CJ1027" t="s">
        <v>135</v>
      </c>
      <c r="CL1027" t="s">
        <v>10072</v>
      </c>
      <c r="CO1027" t="s">
        <v>132</v>
      </c>
      <c r="CP1027" t="s">
        <v>136</v>
      </c>
      <c r="CQ1027" t="s">
        <v>136</v>
      </c>
      <c r="CR1027" t="s">
        <v>136</v>
      </c>
      <c r="CS1027" t="s">
        <v>136</v>
      </c>
      <c r="CT1027" t="s">
        <v>136</v>
      </c>
      <c r="CU1027" t="s">
        <v>136</v>
      </c>
      <c r="CV1027" t="s">
        <v>5345</v>
      </c>
      <c r="CW1027" s="10" t="str">
        <f>"+12148694050"</f>
        <v>+12148694050</v>
      </c>
      <c r="CX1027" t="s">
        <v>132</v>
      </c>
      <c r="CY1027" t="s">
        <v>3190</v>
      </c>
      <c r="CZ1027" t="s">
        <v>137</v>
      </c>
      <c r="DA1027" t="s">
        <v>114</v>
      </c>
      <c r="DB1027" t="s">
        <v>114</v>
      </c>
      <c r="DC1027" t="s">
        <v>136</v>
      </c>
      <c r="DD1027" t="s">
        <v>114</v>
      </c>
    </row>
    <row r="1028" spans="1:113" ht="15" customHeight="1" x14ac:dyDescent="0.25">
      <c r="A1028" t="s">
        <v>864</v>
      </c>
      <c r="B1028" t="s">
        <v>152</v>
      </c>
      <c r="C1028" s="1">
        <v>45197.611238425925</v>
      </c>
      <c r="D1028" s="1">
        <v>45239</v>
      </c>
      <c r="E1028" t="s">
        <v>132</v>
      </c>
      <c r="F1028" t="s">
        <v>865</v>
      </c>
      <c r="G1028" t="str">
        <f>"37-3011.00"</f>
        <v>37-3011.00</v>
      </c>
      <c r="H1028" t="s">
        <v>429</v>
      </c>
      <c r="I1028">
        <v>14</v>
      </c>
      <c r="J1028">
        <v>14</v>
      </c>
      <c r="K1028" s="1">
        <v>45272</v>
      </c>
      <c r="L1028" s="1">
        <v>45413</v>
      </c>
      <c r="M1028" s="1">
        <v>45272</v>
      </c>
      <c r="N1028" s="1">
        <v>45413</v>
      </c>
      <c r="O1028" t="s">
        <v>116</v>
      </c>
      <c r="P1028" t="s">
        <v>866</v>
      </c>
      <c r="R1028" t="s">
        <v>867</v>
      </c>
      <c r="T1028" t="s">
        <v>868</v>
      </c>
      <c r="U1028" t="s">
        <v>127</v>
      </c>
      <c r="V1028" s="8" t="str">
        <f>"77316"</f>
        <v>77316</v>
      </c>
      <c r="W1028" t="s">
        <v>118</v>
      </c>
      <c r="Y1028" s="10">
        <v>14695264015</v>
      </c>
      <c r="AA1028">
        <v>561730</v>
      </c>
      <c r="AB1028" t="s">
        <v>869</v>
      </c>
      <c r="AC1028" t="s">
        <v>870</v>
      </c>
      <c r="AE1028" t="s">
        <v>871</v>
      </c>
      <c r="AF1028" t="s">
        <v>867</v>
      </c>
      <c r="AH1028" t="s">
        <v>868</v>
      </c>
      <c r="AI1028" t="s">
        <v>127</v>
      </c>
      <c r="AJ1028" s="8" t="str">
        <f>"77316"</f>
        <v>77316</v>
      </c>
      <c r="AK1028" t="s">
        <v>118</v>
      </c>
      <c r="AM1028" s="10">
        <v>14695264015</v>
      </c>
      <c r="AO1028" t="s">
        <v>872</v>
      </c>
      <c r="AP1028" t="s">
        <v>121</v>
      </c>
      <c r="AQ1028" t="s">
        <v>707</v>
      </c>
      <c r="AR1028" t="s">
        <v>708</v>
      </c>
      <c r="AS1028" t="s">
        <v>709</v>
      </c>
      <c r="AT1028" t="s">
        <v>873</v>
      </c>
      <c r="AU1028" t="s">
        <v>874</v>
      </c>
      <c r="AV1028" t="s">
        <v>603</v>
      </c>
      <c r="AW1028" t="s">
        <v>127</v>
      </c>
      <c r="AX1028" s="8" t="str">
        <f>"78746"</f>
        <v>78746</v>
      </c>
      <c r="AY1028" t="s">
        <v>118</v>
      </c>
      <c r="BA1028" s="10">
        <v>17372040093</v>
      </c>
      <c r="BC1028" t="s">
        <v>875</v>
      </c>
      <c r="BD1028" t="s">
        <v>876</v>
      </c>
      <c r="BE1028" t="s">
        <v>127</v>
      </c>
      <c r="BF1028" t="s">
        <v>713</v>
      </c>
      <c r="BG1028" t="s">
        <v>127</v>
      </c>
      <c r="BH1028" s="1">
        <v>45196.833333333336</v>
      </c>
      <c r="BI1028">
        <v>40</v>
      </c>
      <c r="BJ1028">
        <v>0</v>
      </c>
      <c r="BK1028">
        <v>8</v>
      </c>
      <c r="BL1028">
        <v>8</v>
      </c>
      <c r="BM1028">
        <v>8</v>
      </c>
      <c r="BN1028">
        <v>8</v>
      </c>
      <c r="BO1028">
        <v>8</v>
      </c>
      <c r="BP1028">
        <v>0</v>
      </c>
      <c r="BQ1028" t="str">
        <f>"7:00 AM"</f>
        <v>7:00 AM</v>
      </c>
      <c r="BR1028" t="str">
        <f>"4:00 PM"</f>
        <v>4:00 PM</v>
      </c>
      <c r="BS1028" t="s">
        <v>131</v>
      </c>
      <c r="BT1028">
        <v>0</v>
      </c>
      <c r="BU1028">
        <v>3</v>
      </c>
      <c r="BV1028" t="s">
        <v>114</v>
      </c>
      <c r="BX1028" s="2" t="s">
        <v>877</v>
      </c>
      <c r="BY1028" t="s">
        <v>867</v>
      </c>
      <c r="CA1028" t="s">
        <v>868</v>
      </c>
      <c r="CB1028" t="s">
        <v>127</v>
      </c>
      <c r="CC1028" s="8" t="str">
        <f>"77316"</f>
        <v>77316</v>
      </c>
      <c r="CD1028" t="s">
        <v>878</v>
      </c>
      <c r="CE1028" t="s">
        <v>879</v>
      </c>
      <c r="CF1028" s="12">
        <v>16.29</v>
      </c>
      <c r="CG1028" s="12">
        <v>23.29</v>
      </c>
      <c r="CH1028" s="12">
        <v>24.44</v>
      </c>
      <c r="CI1028" s="12">
        <v>34.94</v>
      </c>
      <c r="CJ1028" t="s">
        <v>135</v>
      </c>
      <c r="CK1028" t="s">
        <v>880</v>
      </c>
      <c r="CL1028" t="s">
        <v>881</v>
      </c>
      <c r="CO1028" t="s">
        <v>132</v>
      </c>
      <c r="CP1028" t="s">
        <v>136</v>
      </c>
      <c r="CQ1028" t="s">
        <v>136</v>
      </c>
      <c r="CR1028" t="s">
        <v>136</v>
      </c>
      <c r="CS1028" t="s">
        <v>136</v>
      </c>
      <c r="CT1028" t="s">
        <v>136</v>
      </c>
      <c r="CU1028" t="s">
        <v>136</v>
      </c>
      <c r="CV1028" t="s">
        <v>882</v>
      </c>
      <c r="CW1028" s="10" t="str">
        <f>"+14695264015"</f>
        <v>+14695264015</v>
      </c>
      <c r="CX1028" t="s">
        <v>883</v>
      </c>
      <c r="CY1028" t="s">
        <v>132</v>
      </c>
      <c r="CZ1028" t="s">
        <v>137</v>
      </c>
      <c r="DA1028" t="s">
        <v>114</v>
      </c>
      <c r="DB1028" t="s">
        <v>114</v>
      </c>
      <c r="DC1028" t="s">
        <v>136</v>
      </c>
      <c r="DD1028" t="s">
        <v>114</v>
      </c>
    </row>
    <row r="1029" spans="1:113" ht="15" customHeight="1" x14ac:dyDescent="0.25">
      <c r="A1029" t="s">
        <v>13175</v>
      </c>
      <c r="B1029" t="s">
        <v>152</v>
      </c>
      <c r="C1029" s="1">
        <v>45188.740952546294</v>
      </c>
      <c r="D1029" s="1">
        <v>45239</v>
      </c>
      <c r="E1029" t="s">
        <v>132</v>
      </c>
      <c r="F1029" t="s">
        <v>10911</v>
      </c>
      <c r="G1029" t="str">
        <f>"37-2011.00"</f>
        <v>37-2011.00</v>
      </c>
      <c r="H1029" t="s">
        <v>1089</v>
      </c>
      <c r="I1029">
        <v>6</v>
      </c>
      <c r="J1029">
        <v>6</v>
      </c>
      <c r="K1029" s="1">
        <v>45263</v>
      </c>
      <c r="L1029" s="1">
        <v>45397</v>
      </c>
      <c r="M1029" s="1">
        <v>45263</v>
      </c>
      <c r="N1029" s="1">
        <v>45397</v>
      </c>
      <c r="O1029" t="s">
        <v>116</v>
      </c>
      <c r="P1029" t="s">
        <v>7324</v>
      </c>
      <c r="R1029" t="s">
        <v>7325</v>
      </c>
      <c r="T1029" t="s">
        <v>3013</v>
      </c>
      <c r="U1029" t="s">
        <v>740</v>
      </c>
      <c r="V1029" s="8" t="str">
        <f>"50315"</f>
        <v>50315</v>
      </c>
      <c r="W1029" t="s">
        <v>118</v>
      </c>
      <c r="Y1029" s="10">
        <v>15157294143</v>
      </c>
      <c r="AA1029">
        <v>561730</v>
      </c>
      <c r="AB1029" t="s">
        <v>7326</v>
      </c>
      <c r="AC1029" t="s">
        <v>7327</v>
      </c>
      <c r="AE1029" t="s">
        <v>561</v>
      </c>
      <c r="AF1029" t="s">
        <v>7328</v>
      </c>
      <c r="AH1029" t="s">
        <v>3013</v>
      </c>
      <c r="AI1029" t="s">
        <v>740</v>
      </c>
      <c r="AJ1029" s="8" t="str">
        <f>"50315"</f>
        <v>50315</v>
      </c>
      <c r="AK1029" t="s">
        <v>118</v>
      </c>
      <c r="AM1029" s="10">
        <v>15156610105</v>
      </c>
      <c r="AO1029" t="s">
        <v>7329</v>
      </c>
      <c r="AP1029" t="s">
        <v>121</v>
      </c>
      <c r="AQ1029" t="s">
        <v>929</v>
      </c>
      <c r="AR1029" t="s">
        <v>930</v>
      </c>
      <c r="AS1029" t="s">
        <v>931</v>
      </c>
      <c r="AT1029" t="s">
        <v>932</v>
      </c>
      <c r="AU1029" t="s">
        <v>132</v>
      </c>
      <c r="AV1029" t="s">
        <v>933</v>
      </c>
      <c r="AW1029" t="s">
        <v>740</v>
      </c>
      <c r="AX1029" s="8" t="str">
        <f>"50010"</f>
        <v>50010</v>
      </c>
      <c r="AY1029" t="s">
        <v>118</v>
      </c>
      <c r="BA1029" s="10">
        <v>15152324444</v>
      </c>
      <c r="BB1029">
        <v>0</v>
      </c>
      <c r="BC1029" t="s">
        <v>934</v>
      </c>
      <c r="BD1029" t="s">
        <v>935</v>
      </c>
      <c r="BE1029" t="s">
        <v>740</v>
      </c>
      <c r="BF1029" t="s">
        <v>172</v>
      </c>
      <c r="BG1029" t="s">
        <v>740</v>
      </c>
      <c r="BH1029" s="1">
        <v>45187.833333333336</v>
      </c>
      <c r="BI1029">
        <v>40</v>
      </c>
      <c r="BJ1029">
        <v>0</v>
      </c>
      <c r="BK1029">
        <v>8</v>
      </c>
      <c r="BL1029">
        <v>8</v>
      </c>
      <c r="BM1029">
        <v>8</v>
      </c>
      <c r="BN1029">
        <v>8</v>
      </c>
      <c r="BO1029">
        <v>8</v>
      </c>
      <c r="BP1029">
        <v>0</v>
      </c>
      <c r="BQ1029" t="str">
        <f>"7:30 AM"</f>
        <v>7:30 AM</v>
      </c>
      <c r="BR1029" t="str">
        <f>"4:00 PM"</f>
        <v>4:00 PM</v>
      </c>
      <c r="BS1029" t="s">
        <v>131</v>
      </c>
      <c r="BT1029">
        <v>0</v>
      </c>
      <c r="BU1029">
        <v>0</v>
      </c>
      <c r="BV1029" t="s">
        <v>114</v>
      </c>
      <c r="BX1029" s="2" t="s">
        <v>13176</v>
      </c>
      <c r="BY1029" t="s">
        <v>7328</v>
      </c>
      <c r="CA1029" t="s">
        <v>3013</v>
      </c>
      <c r="CB1029" t="s">
        <v>740</v>
      </c>
      <c r="CC1029" s="8" t="str">
        <f>"50315"</f>
        <v>50315</v>
      </c>
      <c r="CD1029" t="s">
        <v>938</v>
      </c>
      <c r="CE1029" t="s">
        <v>2302</v>
      </c>
      <c r="CF1029" s="12">
        <v>16.43</v>
      </c>
      <c r="CH1029" s="12">
        <v>24.65</v>
      </c>
      <c r="CJ1029" t="s">
        <v>135</v>
      </c>
      <c r="CK1029" t="s">
        <v>7811</v>
      </c>
      <c r="CL1029" t="s">
        <v>13177</v>
      </c>
      <c r="CO1029" t="s">
        <v>132</v>
      </c>
      <c r="CP1029" t="s">
        <v>136</v>
      </c>
      <c r="CQ1029" t="s">
        <v>136</v>
      </c>
      <c r="CR1029" t="s">
        <v>136</v>
      </c>
      <c r="CS1029" t="s">
        <v>136</v>
      </c>
      <c r="CT1029" t="s">
        <v>136</v>
      </c>
      <c r="CU1029" t="s">
        <v>136</v>
      </c>
      <c r="CV1029" t="s">
        <v>13178</v>
      </c>
      <c r="CW1029" s="10" t="str">
        <f>"+15156610105"</f>
        <v>+15156610105</v>
      </c>
      <c r="CX1029" t="s">
        <v>7329</v>
      </c>
      <c r="CY1029" t="s">
        <v>132</v>
      </c>
      <c r="CZ1029" t="s">
        <v>137</v>
      </c>
      <c r="DA1029" t="s">
        <v>114</v>
      </c>
      <c r="DB1029" t="s">
        <v>114</v>
      </c>
      <c r="DC1029" t="s">
        <v>136</v>
      </c>
      <c r="DD1029" t="s">
        <v>114</v>
      </c>
    </row>
    <row r="1030" spans="1:113" ht="15" customHeight="1" x14ac:dyDescent="0.25">
      <c r="A1030" t="s">
        <v>4405</v>
      </c>
      <c r="B1030" t="s">
        <v>152</v>
      </c>
      <c r="C1030" s="1">
        <v>45180.616883449075</v>
      </c>
      <c r="D1030" s="1">
        <v>45239</v>
      </c>
      <c r="E1030" t="s">
        <v>132</v>
      </c>
      <c r="F1030" t="s">
        <v>3777</v>
      </c>
      <c r="G1030" t="str">
        <f>"53-7064.00"</f>
        <v>53-7064.00</v>
      </c>
      <c r="H1030" t="s">
        <v>3138</v>
      </c>
      <c r="I1030">
        <v>50</v>
      </c>
      <c r="J1030">
        <v>50</v>
      </c>
      <c r="K1030" s="1">
        <v>45255</v>
      </c>
      <c r="L1030" s="1">
        <v>45504</v>
      </c>
      <c r="M1030" s="1">
        <v>45255</v>
      </c>
      <c r="N1030" s="1">
        <v>45504</v>
      </c>
      <c r="O1030" t="s">
        <v>116</v>
      </c>
      <c r="P1030" t="s">
        <v>4406</v>
      </c>
      <c r="R1030" t="s">
        <v>4407</v>
      </c>
      <c r="T1030" t="s">
        <v>3592</v>
      </c>
      <c r="U1030" t="s">
        <v>386</v>
      </c>
      <c r="V1030" s="8" t="str">
        <f>"37321"</f>
        <v>37321</v>
      </c>
      <c r="W1030" t="s">
        <v>118</v>
      </c>
      <c r="Y1030" s="10">
        <v>14235709486</v>
      </c>
      <c r="AA1030">
        <v>488991</v>
      </c>
      <c r="AB1030" t="s">
        <v>2796</v>
      </c>
      <c r="AC1030" t="s">
        <v>144</v>
      </c>
      <c r="AE1030" t="s">
        <v>2092</v>
      </c>
      <c r="AF1030" t="s">
        <v>4407</v>
      </c>
      <c r="AH1030" t="s">
        <v>3592</v>
      </c>
      <c r="AI1030" t="s">
        <v>386</v>
      </c>
      <c r="AJ1030" s="8" t="str">
        <f>"37321"</f>
        <v>37321</v>
      </c>
      <c r="AK1030" t="s">
        <v>118</v>
      </c>
      <c r="AM1030" s="10">
        <v>14235709486</v>
      </c>
      <c r="AO1030" t="s">
        <v>4408</v>
      </c>
      <c r="AP1030" t="s">
        <v>121</v>
      </c>
      <c r="AQ1030" t="s">
        <v>4409</v>
      </c>
      <c r="AR1030" t="s">
        <v>4410</v>
      </c>
      <c r="AS1030" t="s">
        <v>1945</v>
      </c>
      <c r="AT1030" t="s">
        <v>4411</v>
      </c>
      <c r="AU1030" t="s">
        <v>4412</v>
      </c>
      <c r="AV1030" t="s">
        <v>4413</v>
      </c>
      <c r="AW1030" t="s">
        <v>386</v>
      </c>
      <c r="AX1030" s="8" t="str">
        <f>"37450"</f>
        <v>37450</v>
      </c>
      <c r="AY1030" t="s">
        <v>118</v>
      </c>
      <c r="BA1030" s="10">
        <v>14237568400</v>
      </c>
      <c r="BB1030">
        <v>254</v>
      </c>
      <c r="BC1030" t="s">
        <v>4414</v>
      </c>
      <c r="BD1030" t="s">
        <v>4415</v>
      </c>
      <c r="BE1030" t="s">
        <v>386</v>
      </c>
      <c r="BF1030" t="s">
        <v>172</v>
      </c>
      <c r="BG1030" t="s">
        <v>386</v>
      </c>
      <c r="BH1030" s="1">
        <v>45179.833333333336</v>
      </c>
      <c r="BI1030">
        <v>40</v>
      </c>
      <c r="BJ1030">
        <v>0</v>
      </c>
      <c r="BK1030">
        <v>10</v>
      </c>
      <c r="BL1030">
        <v>10</v>
      </c>
      <c r="BM1030">
        <v>10</v>
      </c>
      <c r="BN1030">
        <v>10</v>
      </c>
      <c r="BO1030">
        <v>0</v>
      </c>
      <c r="BP1030">
        <v>0</v>
      </c>
      <c r="BQ1030" t="str">
        <f>"6:00 AM"</f>
        <v>6:00 AM</v>
      </c>
      <c r="BR1030" t="str">
        <f>"4:30 PM"</f>
        <v>4:30 PM</v>
      </c>
      <c r="BS1030" t="s">
        <v>131</v>
      </c>
      <c r="BT1030">
        <v>0</v>
      </c>
      <c r="BU1030">
        <v>0</v>
      </c>
      <c r="BV1030" t="s">
        <v>114</v>
      </c>
      <c r="BX1030" s="2" t="s">
        <v>4416</v>
      </c>
      <c r="BY1030" t="s">
        <v>4407</v>
      </c>
      <c r="CA1030" t="s">
        <v>3592</v>
      </c>
      <c r="CB1030" t="s">
        <v>386</v>
      </c>
      <c r="CC1030" s="8" t="str">
        <f>"37321"</f>
        <v>37321</v>
      </c>
      <c r="CD1030" t="s">
        <v>4417</v>
      </c>
      <c r="CE1030" t="s">
        <v>1986</v>
      </c>
      <c r="CF1030" s="12">
        <v>13.78</v>
      </c>
      <c r="CH1030" s="12">
        <v>20.67</v>
      </c>
      <c r="CJ1030" t="s">
        <v>135</v>
      </c>
      <c r="CL1030" t="s">
        <v>4418</v>
      </c>
      <c r="CO1030" t="s">
        <v>132</v>
      </c>
      <c r="CP1030" t="s">
        <v>114</v>
      </c>
      <c r="CQ1030" t="s">
        <v>136</v>
      </c>
      <c r="CR1030" t="s">
        <v>136</v>
      </c>
      <c r="CS1030" t="s">
        <v>136</v>
      </c>
      <c r="CT1030" t="s">
        <v>136</v>
      </c>
      <c r="CU1030" t="s">
        <v>136</v>
      </c>
      <c r="CV1030" s="2" t="s">
        <v>4419</v>
      </c>
      <c r="CW1030" s="10" t="str">
        <f>"+14235709486"</f>
        <v>+14235709486</v>
      </c>
      <c r="CX1030" t="s">
        <v>4408</v>
      </c>
      <c r="CY1030" t="s">
        <v>132</v>
      </c>
      <c r="CZ1030" t="s">
        <v>137</v>
      </c>
      <c r="DA1030" t="s">
        <v>114</v>
      </c>
      <c r="DB1030" t="s">
        <v>136</v>
      </c>
      <c r="DC1030" t="s">
        <v>136</v>
      </c>
      <c r="DD1030" t="s">
        <v>114</v>
      </c>
      <c r="DE1030" t="s">
        <v>4409</v>
      </c>
      <c r="DF1030" t="s">
        <v>4410</v>
      </c>
      <c r="DG1030" t="s">
        <v>141</v>
      </c>
      <c r="DH1030" t="s">
        <v>4420</v>
      </c>
      <c r="DI1030" t="s">
        <v>4414</v>
      </c>
    </row>
    <row r="1031" spans="1:113" ht="15" customHeight="1" x14ac:dyDescent="0.25">
      <c r="A1031" t="s">
        <v>3900</v>
      </c>
      <c r="B1031" t="s">
        <v>152</v>
      </c>
      <c r="C1031" s="1">
        <v>45174.59712766204</v>
      </c>
      <c r="D1031" s="1">
        <v>45239</v>
      </c>
      <c r="E1031" t="s">
        <v>132</v>
      </c>
      <c r="F1031" t="s">
        <v>3901</v>
      </c>
      <c r="G1031" t="str">
        <f>"39-6011.00"</f>
        <v>39-6011.00</v>
      </c>
      <c r="H1031" t="s">
        <v>3333</v>
      </c>
      <c r="I1031">
        <v>1</v>
      </c>
      <c r="J1031">
        <v>1</v>
      </c>
      <c r="K1031" s="1">
        <v>45261</v>
      </c>
      <c r="L1031" s="1">
        <v>45382</v>
      </c>
      <c r="M1031" s="1">
        <v>45261</v>
      </c>
      <c r="N1031" s="1">
        <v>45382</v>
      </c>
      <c r="O1031" t="s">
        <v>116</v>
      </c>
      <c r="P1031" t="s">
        <v>3902</v>
      </c>
      <c r="Q1031" t="s">
        <v>3903</v>
      </c>
      <c r="R1031" t="s">
        <v>3904</v>
      </c>
      <c r="T1031" t="s">
        <v>3905</v>
      </c>
      <c r="U1031" t="s">
        <v>358</v>
      </c>
      <c r="V1031" s="8" t="str">
        <f>"12946"</f>
        <v>12946</v>
      </c>
      <c r="W1031" t="s">
        <v>118</v>
      </c>
      <c r="Y1031" s="10">
        <v>15189189741</v>
      </c>
      <c r="AA1031">
        <v>721110</v>
      </c>
      <c r="AB1031" t="s">
        <v>3906</v>
      </c>
      <c r="AC1031" t="s">
        <v>708</v>
      </c>
      <c r="AE1031" t="s">
        <v>743</v>
      </c>
      <c r="AF1031" t="s">
        <v>3907</v>
      </c>
      <c r="AG1031" t="s">
        <v>3908</v>
      </c>
      <c r="AH1031" t="s">
        <v>3909</v>
      </c>
      <c r="AI1031" t="s">
        <v>2194</v>
      </c>
      <c r="AJ1031" s="8" t="str">
        <f>"03801"</f>
        <v>03801</v>
      </c>
      <c r="AK1031" t="s">
        <v>118</v>
      </c>
      <c r="AM1031" s="10">
        <v>13392347591</v>
      </c>
      <c r="AO1031" t="s">
        <v>3910</v>
      </c>
      <c r="AP1031" t="s">
        <v>121</v>
      </c>
      <c r="AQ1031" t="s">
        <v>276</v>
      </c>
      <c r="AR1031" t="s">
        <v>277</v>
      </c>
      <c r="AS1031" t="s">
        <v>278</v>
      </c>
      <c r="AT1031" t="s">
        <v>279</v>
      </c>
      <c r="AU1031" t="s">
        <v>280</v>
      </c>
      <c r="AV1031" t="s">
        <v>281</v>
      </c>
      <c r="AW1031" t="s">
        <v>222</v>
      </c>
      <c r="AX1031" s="8" t="str">
        <f>"01701"</f>
        <v>01701</v>
      </c>
      <c r="AY1031" t="s">
        <v>118</v>
      </c>
      <c r="BA1031" s="10">
        <v>16179399444</v>
      </c>
      <c r="BC1031" t="s">
        <v>282</v>
      </c>
      <c r="BD1031" t="s">
        <v>283</v>
      </c>
      <c r="BE1031" t="s">
        <v>222</v>
      </c>
      <c r="BF1031" t="s">
        <v>284</v>
      </c>
      <c r="BG1031" t="s">
        <v>358</v>
      </c>
      <c r="BH1031" s="1">
        <v>45173.833333333336</v>
      </c>
      <c r="BI1031">
        <v>40</v>
      </c>
      <c r="BJ1031">
        <v>0</v>
      </c>
      <c r="BK1031">
        <v>8</v>
      </c>
      <c r="BL1031">
        <v>8</v>
      </c>
      <c r="BM1031">
        <v>8</v>
      </c>
      <c r="BN1031">
        <v>8</v>
      </c>
      <c r="BO1031">
        <v>8</v>
      </c>
      <c r="BP1031">
        <v>0</v>
      </c>
      <c r="BQ1031" t="str">
        <f>"7:00 AM"</f>
        <v>7:00 AM</v>
      </c>
      <c r="BR1031" t="str">
        <f>"3:00 PM"</f>
        <v>3:00 PM</v>
      </c>
      <c r="BS1031" t="s">
        <v>131</v>
      </c>
      <c r="BT1031">
        <v>0</v>
      </c>
      <c r="BU1031">
        <v>3</v>
      </c>
      <c r="BV1031" t="s">
        <v>114</v>
      </c>
      <c r="BX1031" s="2" t="s">
        <v>3911</v>
      </c>
      <c r="BY1031" t="s">
        <v>3904</v>
      </c>
      <c r="CA1031" t="s">
        <v>3905</v>
      </c>
      <c r="CB1031" t="s">
        <v>358</v>
      </c>
      <c r="CC1031" s="8" t="str">
        <f>"12946"</f>
        <v>12946</v>
      </c>
      <c r="CD1031" t="s">
        <v>3912</v>
      </c>
      <c r="CE1031" t="s">
        <v>3717</v>
      </c>
      <c r="CF1031" s="12">
        <v>17.21</v>
      </c>
      <c r="CG1031" s="12">
        <v>19</v>
      </c>
      <c r="CH1031" s="12">
        <v>25.82</v>
      </c>
      <c r="CI1031" s="12">
        <v>28.5</v>
      </c>
      <c r="CJ1031" t="s">
        <v>135</v>
      </c>
      <c r="CK1031" t="s">
        <v>3913</v>
      </c>
      <c r="CL1031" t="s">
        <v>3914</v>
      </c>
      <c r="CO1031" t="s">
        <v>132</v>
      </c>
      <c r="CP1031" t="s">
        <v>114</v>
      </c>
      <c r="CQ1031" t="s">
        <v>114</v>
      </c>
      <c r="CR1031" t="s">
        <v>136</v>
      </c>
      <c r="CS1031" t="s">
        <v>136</v>
      </c>
      <c r="CT1031" t="s">
        <v>136</v>
      </c>
      <c r="CU1031" t="s">
        <v>136</v>
      </c>
      <c r="CV1031" t="s">
        <v>3915</v>
      </c>
      <c r="CW1031" s="10" t="str">
        <f>"+13392347591"</f>
        <v>+13392347591</v>
      </c>
      <c r="CX1031" t="s">
        <v>3910</v>
      </c>
      <c r="CY1031" t="s">
        <v>132</v>
      </c>
      <c r="CZ1031" t="s">
        <v>137</v>
      </c>
      <c r="DA1031" t="s">
        <v>114</v>
      </c>
      <c r="DB1031" t="s">
        <v>114</v>
      </c>
      <c r="DC1031" t="s">
        <v>136</v>
      </c>
      <c r="DD1031" t="s">
        <v>114</v>
      </c>
    </row>
    <row r="1032" spans="1:113" ht="15" customHeight="1" x14ac:dyDescent="0.25">
      <c r="A1032" t="s">
        <v>15732</v>
      </c>
      <c r="B1032" t="s">
        <v>152</v>
      </c>
      <c r="C1032" s="1">
        <v>45174.596288194443</v>
      </c>
      <c r="D1032" s="1">
        <v>45239</v>
      </c>
      <c r="E1032" t="s">
        <v>132</v>
      </c>
      <c r="F1032" t="s">
        <v>293</v>
      </c>
      <c r="G1032" t="str">
        <f>"37-2012.00"</f>
        <v>37-2012.00</v>
      </c>
      <c r="H1032" t="s">
        <v>205</v>
      </c>
      <c r="I1032">
        <v>4</v>
      </c>
      <c r="J1032">
        <v>4</v>
      </c>
      <c r="K1032" s="1">
        <v>45261</v>
      </c>
      <c r="L1032" s="1">
        <v>45382</v>
      </c>
      <c r="M1032" s="1">
        <v>45261</v>
      </c>
      <c r="N1032" s="1">
        <v>45382</v>
      </c>
      <c r="O1032" t="s">
        <v>116</v>
      </c>
      <c r="P1032" t="s">
        <v>15733</v>
      </c>
      <c r="Q1032" t="s">
        <v>3903</v>
      </c>
      <c r="R1032" t="s">
        <v>3904</v>
      </c>
      <c r="T1032" t="s">
        <v>3905</v>
      </c>
      <c r="U1032" t="s">
        <v>358</v>
      </c>
      <c r="V1032" s="8" t="str">
        <f>"12946"</f>
        <v>12946</v>
      </c>
      <c r="W1032" t="s">
        <v>118</v>
      </c>
      <c r="Y1032" s="10">
        <v>15189189741</v>
      </c>
      <c r="AA1032">
        <v>721110</v>
      </c>
      <c r="AB1032" t="s">
        <v>3906</v>
      </c>
      <c r="AC1032" t="s">
        <v>708</v>
      </c>
      <c r="AE1032" t="s">
        <v>743</v>
      </c>
      <c r="AF1032" t="s">
        <v>3907</v>
      </c>
      <c r="AG1032" t="s">
        <v>3908</v>
      </c>
      <c r="AH1032" t="s">
        <v>3909</v>
      </c>
      <c r="AI1032" t="s">
        <v>2194</v>
      </c>
      <c r="AJ1032" s="8" t="str">
        <f>"03801"</f>
        <v>03801</v>
      </c>
      <c r="AK1032" t="s">
        <v>118</v>
      </c>
      <c r="AM1032" s="10">
        <v>13392347591</v>
      </c>
      <c r="AO1032" t="s">
        <v>3910</v>
      </c>
      <c r="AP1032" t="s">
        <v>121</v>
      </c>
      <c r="AQ1032" t="s">
        <v>276</v>
      </c>
      <c r="AR1032" t="s">
        <v>277</v>
      </c>
      <c r="AS1032" t="s">
        <v>278</v>
      </c>
      <c r="AT1032" t="s">
        <v>279</v>
      </c>
      <c r="AU1032" t="s">
        <v>280</v>
      </c>
      <c r="AV1032" t="s">
        <v>281</v>
      </c>
      <c r="AW1032" t="s">
        <v>222</v>
      </c>
      <c r="AX1032" s="8" t="str">
        <f>"01701"</f>
        <v>01701</v>
      </c>
      <c r="AY1032" t="s">
        <v>118</v>
      </c>
      <c r="BA1032" s="10">
        <v>16179399444</v>
      </c>
      <c r="BC1032" t="s">
        <v>282</v>
      </c>
      <c r="BD1032" t="s">
        <v>283</v>
      </c>
      <c r="BE1032" t="s">
        <v>222</v>
      </c>
      <c r="BF1032" t="s">
        <v>284</v>
      </c>
      <c r="BG1032" t="s">
        <v>358</v>
      </c>
      <c r="BH1032" s="1">
        <v>45173.833333333336</v>
      </c>
      <c r="BI1032">
        <v>35</v>
      </c>
      <c r="BJ1032">
        <v>0</v>
      </c>
      <c r="BK1032">
        <v>7</v>
      </c>
      <c r="BL1032">
        <v>7</v>
      </c>
      <c r="BM1032">
        <v>7</v>
      </c>
      <c r="BN1032">
        <v>7</v>
      </c>
      <c r="BO1032">
        <v>7</v>
      </c>
      <c r="BP1032">
        <v>0</v>
      </c>
      <c r="BQ1032" t="str">
        <f>"7:30 AM"</f>
        <v>7:30 AM</v>
      </c>
      <c r="BR1032" t="str">
        <f>"2:30 PM"</f>
        <v>2:30 PM</v>
      </c>
      <c r="BS1032" t="s">
        <v>131</v>
      </c>
      <c r="BT1032">
        <v>0</v>
      </c>
      <c r="BU1032">
        <v>3</v>
      </c>
      <c r="BV1032" t="s">
        <v>114</v>
      </c>
      <c r="BX1032" s="2" t="s">
        <v>3911</v>
      </c>
      <c r="BY1032" t="s">
        <v>3904</v>
      </c>
      <c r="CA1032" t="s">
        <v>3905</v>
      </c>
      <c r="CB1032" t="s">
        <v>358</v>
      </c>
      <c r="CC1032" s="8" t="str">
        <f>"12946"</f>
        <v>12946</v>
      </c>
      <c r="CD1032" t="s">
        <v>3912</v>
      </c>
      <c r="CE1032" t="s">
        <v>3717</v>
      </c>
      <c r="CF1032" s="12">
        <v>16.010000000000002</v>
      </c>
      <c r="CG1032" s="12">
        <v>19</v>
      </c>
      <c r="CH1032" s="12">
        <v>24.02</v>
      </c>
      <c r="CI1032" s="12">
        <v>28.5</v>
      </c>
      <c r="CJ1032" t="s">
        <v>135</v>
      </c>
      <c r="CK1032" t="s">
        <v>15734</v>
      </c>
      <c r="CL1032" t="s">
        <v>15735</v>
      </c>
      <c r="CO1032" t="s">
        <v>132</v>
      </c>
      <c r="CP1032" t="s">
        <v>114</v>
      </c>
      <c r="CQ1032" t="s">
        <v>114</v>
      </c>
      <c r="CR1032" t="s">
        <v>136</v>
      </c>
      <c r="CS1032" t="s">
        <v>136</v>
      </c>
      <c r="CT1032" t="s">
        <v>136</v>
      </c>
      <c r="CU1032" t="s">
        <v>136</v>
      </c>
      <c r="CV1032" s="2" t="s">
        <v>15736</v>
      </c>
      <c r="CW1032" s="10" t="str">
        <f>"+13392347591"</f>
        <v>+13392347591</v>
      </c>
      <c r="CX1032" t="s">
        <v>3910</v>
      </c>
      <c r="CY1032" t="s">
        <v>132</v>
      </c>
      <c r="CZ1032" t="s">
        <v>137</v>
      </c>
      <c r="DA1032" t="s">
        <v>114</v>
      </c>
      <c r="DB1032" t="s">
        <v>114</v>
      </c>
      <c r="DC1032" t="s">
        <v>136</v>
      </c>
      <c r="DD1032" t="s">
        <v>114</v>
      </c>
    </row>
    <row r="1033" spans="1:113" ht="15" customHeight="1" x14ac:dyDescent="0.25">
      <c r="A1033" t="s">
        <v>1112</v>
      </c>
      <c r="B1033" t="s">
        <v>152</v>
      </c>
      <c r="C1033" s="1">
        <v>45174.389268055558</v>
      </c>
      <c r="D1033" s="1">
        <v>45239</v>
      </c>
      <c r="E1033" t="s">
        <v>132</v>
      </c>
      <c r="F1033" t="s">
        <v>1113</v>
      </c>
      <c r="G1033" t="str">
        <f>"37-3011.00"</f>
        <v>37-3011.00</v>
      </c>
      <c r="H1033" t="s">
        <v>429</v>
      </c>
      <c r="I1033">
        <v>14</v>
      </c>
      <c r="J1033">
        <v>14</v>
      </c>
      <c r="K1033" s="1">
        <v>45262</v>
      </c>
      <c r="L1033" s="1">
        <v>45566</v>
      </c>
      <c r="M1033" s="1">
        <v>45262</v>
      </c>
      <c r="N1033" s="1">
        <v>45566</v>
      </c>
      <c r="O1033" t="s">
        <v>238</v>
      </c>
      <c r="P1033" t="s">
        <v>1114</v>
      </c>
      <c r="R1033" t="s">
        <v>1115</v>
      </c>
      <c r="T1033" t="s">
        <v>1116</v>
      </c>
      <c r="U1033" t="s">
        <v>584</v>
      </c>
      <c r="V1033" s="8" t="str">
        <f>"82332"</f>
        <v>82332</v>
      </c>
      <c r="W1033" t="s">
        <v>118</v>
      </c>
      <c r="Y1033" s="10">
        <v>19705837396</v>
      </c>
      <c r="AA1033">
        <v>72111</v>
      </c>
      <c r="AB1033" t="s">
        <v>1117</v>
      </c>
      <c r="AC1033" t="s">
        <v>1118</v>
      </c>
      <c r="AE1033" t="s">
        <v>1119</v>
      </c>
      <c r="AF1033" t="s">
        <v>1120</v>
      </c>
      <c r="AH1033" t="s">
        <v>1116</v>
      </c>
      <c r="AI1033" t="s">
        <v>584</v>
      </c>
      <c r="AJ1033" s="8" t="str">
        <f>"82332"</f>
        <v>82332</v>
      </c>
      <c r="AK1033" t="s">
        <v>118</v>
      </c>
      <c r="AM1033" s="10">
        <v>19705837396</v>
      </c>
      <c r="AO1033" t="s">
        <v>1121</v>
      </c>
      <c r="AP1033" t="s">
        <v>121</v>
      </c>
      <c r="AQ1033" t="s">
        <v>1122</v>
      </c>
      <c r="AR1033" t="s">
        <v>1123</v>
      </c>
      <c r="AS1033" t="s">
        <v>1124</v>
      </c>
      <c r="AT1033" t="s">
        <v>1125</v>
      </c>
      <c r="AU1033" t="s">
        <v>1126</v>
      </c>
      <c r="AV1033" t="s">
        <v>139</v>
      </c>
      <c r="AW1033" t="s">
        <v>140</v>
      </c>
      <c r="AX1033" s="8" t="str">
        <f>"33186"</f>
        <v>33186</v>
      </c>
      <c r="AY1033" t="s">
        <v>118</v>
      </c>
      <c r="BA1033" s="10">
        <v>13056706767</v>
      </c>
      <c r="BC1033" t="s">
        <v>1127</v>
      </c>
      <c r="BD1033" t="s">
        <v>1128</v>
      </c>
      <c r="BE1033" t="s">
        <v>140</v>
      </c>
      <c r="BF1033" t="s">
        <v>1129</v>
      </c>
      <c r="BG1033" t="s">
        <v>584</v>
      </c>
      <c r="BH1033" s="1">
        <v>45168.833333333336</v>
      </c>
      <c r="BI1033">
        <v>56</v>
      </c>
      <c r="BJ1033">
        <v>8</v>
      </c>
      <c r="BK1033">
        <v>8</v>
      </c>
      <c r="BL1033">
        <v>8</v>
      </c>
      <c r="BM1033">
        <v>8</v>
      </c>
      <c r="BN1033">
        <v>8</v>
      </c>
      <c r="BO1033">
        <v>8</v>
      </c>
      <c r="BP1033">
        <v>8</v>
      </c>
      <c r="BQ1033" t="str">
        <f>"7:00 AM"</f>
        <v>7:00 AM</v>
      </c>
      <c r="BR1033" t="str">
        <f>"4:00 PM"</f>
        <v>4:00 PM</v>
      </c>
      <c r="BS1033" t="s">
        <v>131</v>
      </c>
      <c r="BT1033">
        <v>0</v>
      </c>
      <c r="BU1033">
        <v>0</v>
      </c>
      <c r="BV1033" t="s">
        <v>114</v>
      </c>
      <c r="BX1033" s="2" t="s">
        <v>1130</v>
      </c>
      <c r="BY1033" t="s">
        <v>1131</v>
      </c>
      <c r="CA1033" t="s">
        <v>1132</v>
      </c>
      <c r="CB1033" t="s">
        <v>584</v>
      </c>
      <c r="CC1033" s="8" t="str">
        <f>"82332"</f>
        <v>82332</v>
      </c>
      <c r="CD1033" t="s">
        <v>1133</v>
      </c>
      <c r="CE1033" t="s">
        <v>1134</v>
      </c>
      <c r="CF1033" s="12">
        <v>17.09</v>
      </c>
      <c r="CG1033" s="12">
        <v>20</v>
      </c>
      <c r="CH1033" s="12">
        <v>25.64</v>
      </c>
      <c r="CI1033" s="12">
        <v>30</v>
      </c>
      <c r="CJ1033" t="s">
        <v>135</v>
      </c>
      <c r="CL1033" t="s">
        <v>1135</v>
      </c>
      <c r="CO1033" t="s">
        <v>132</v>
      </c>
      <c r="CP1033" t="s">
        <v>114</v>
      </c>
      <c r="CQ1033" t="s">
        <v>136</v>
      </c>
      <c r="CR1033" t="s">
        <v>136</v>
      </c>
      <c r="CS1033" t="s">
        <v>136</v>
      </c>
      <c r="CT1033" t="s">
        <v>136</v>
      </c>
      <c r="CU1033" t="s">
        <v>136</v>
      </c>
      <c r="CV1033" t="s">
        <v>1136</v>
      </c>
      <c r="CW1033" s="10" t="str">
        <f>"+19705837396"</f>
        <v>+19705837396</v>
      </c>
      <c r="CX1033" t="s">
        <v>1121</v>
      </c>
      <c r="CY1033" t="s">
        <v>132</v>
      </c>
      <c r="CZ1033" t="s">
        <v>137</v>
      </c>
      <c r="DA1033" t="s">
        <v>114</v>
      </c>
      <c r="DB1033" t="s">
        <v>136</v>
      </c>
      <c r="DC1033" t="s">
        <v>136</v>
      </c>
      <c r="DD1033" t="s">
        <v>114</v>
      </c>
    </row>
    <row r="1034" spans="1:113" ht="15" customHeight="1" x14ac:dyDescent="0.25">
      <c r="A1034" t="s">
        <v>21801</v>
      </c>
      <c r="B1034" t="s">
        <v>152</v>
      </c>
      <c r="C1034" s="1">
        <v>45174.38879178241</v>
      </c>
      <c r="D1034" s="1">
        <v>45239</v>
      </c>
      <c r="E1034" t="s">
        <v>132</v>
      </c>
      <c r="F1034" t="s">
        <v>2512</v>
      </c>
      <c r="G1034" t="str">
        <f>"35-3031.00"</f>
        <v>35-3031.00</v>
      </c>
      <c r="H1034" t="s">
        <v>347</v>
      </c>
      <c r="I1034">
        <v>4</v>
      </c>
      <c r="J1034">
        <v>4</v>
      </c>
      <c r="K1034" s="1">
        <v>45262</v>
      </c>
      <c r="L1034" s="1">
        <v>45383</v>
      </c>
      <c r="M1034" s="1">
        <v>45262</v>
      </c>
      <c r="N1034" s="1">
        <v>45383</v>
      </c>
      <c r="O1034" t="s">
        <v>238</v>
      </c>
      <c r="P1034" t="s">
        <v>1114</v>
      </c>
      <c r="R1034" t="s">
        <v>1115</v>
      </c>
      <c r="T1034" t="s">
        <v>1116</v>
      </c>
      <c r="U1034" t="s">
        <v>584</v>
      </c>
      <c r="V1034" s="8" t="str">
        <f>"82332"</f>
        <v>82332</v>
      </c>
      <c r="W1034" t="s">
        <v>118</v>
      </c>
      <c r="Y1034" s="10">
        <v>19705837396</v>
      </c>
      <c r="AA1034">
        <v>72111</v>
      </c>
      <c r="AB1034" t="s">
        <v>1117</v>
      </c>
      <c r="AC1034" t="s">
        <v>1118</v>
      </c>
      <c r="AE1034" t="s">
        <v>1119</v>
      </c>
      <c r="AF1034" t="s">
        <v>1120</v>
      </c>
      <c r="AH1034" t="s">
        <v>1116</v>
      </c>
      <c r="AI1034" t="s">
        <v>584</v>
      </c>
      <c r="AJ1034" s="8" t="str">
        <f>"82332"</f>
        <v>82332</v>
      </c>
      <c r="AK1034" t="s">
        <v>118</v>
      </c>
      <c r="AM1034" s="10">
        <v>19705837396</v>
      </c>
      <c r="AO1034" t="s">
        <v>1121</v>
      </c>
      <c r="AP1034" t="s">
        <v>121</v>
      </c>
      <c r="AQ1034" t="s">
        <v>1122</v>
      </c>
      <c r="AR1034" t="s">
        <v>1123</v>
      </c>
      <c r="AS1034" t="s">
        <v>1124</v>
      </c>
      <c r="AT1034" t="s">
        <v>1125</v>
      </c>
      <c r="AU1034" t="s">
        <v>1126</v>
      </c>
      <c r="AV1034" t="s">
        <v>139</v>
      </c>
      <c r="AW1034" t="s">
        <v>140</v>
      </c>
      <c r="AX1034" s="8" t="str">
        <f>"33186"</f>
        <v>33186</v>
      </c>
      <c r="AY1034" t="s">
        <v>118</v>
      </c>
      <c r="BA1034" s="10">
        <v>13056706767</v>
      </c>
      <c r="BC1034" t="s">
        <v>1127</v>
      </c>
      <c r="BD1034" t="s">
        <v>1128</v>
      </c>
      <c r="BE1034" t="s">
        <v>140</v>
      </c>
      <c r="BF1034" t="s">
        <v>1129</v>
      </c>
      <c r="BG1034" t="s">
        <v>584</v>
      </c>
      <c r="BH1034" s="1">
        <v>45168.833333333336</v>
      </c>
      <c r="BI1034">
        <v>42</v>
      </c>
      <c r="BJ1034">
        <v>6</v>
      </c>
      <c r="BK1034">
        <v>6</v>
      </c>
      <c r="BL1034">
        <v>6</v>
      </c>
      <c r="BM1034">
        <v>6</v>
      </c>
      <c r="BN1034">
        <v>6</v>
      </c>
      <c r="BO1034">
        <v>6</v>
      </c>
      <c r="BP1034">
        <v>6</v>
      </c>
      <c r="BQ1034" t="str">
        <f>"4:00 PM"</f>
        <v>4:00 PM</v>
      </c>
      <c r="BR1034" t="str">
        <f>"10:00 PM"</f>
        <v>10:00 PM</v>
      </c>
      <c r="BS1034" t="s">
        <v>131</v>
      </c>
      <c r="BT1034">
        <v>0</v>
      </c>
      <c r="BU1034">
        <v>6</v>
      </c>
      <c r="BV1034" t="s">
        <v>114</v>
      </c>
      <c r="BX1034" s="2" t="s">
        <v>21802</v>
      </c>
      <c r="BY1034" t="s">
        <v>1131</v>
      </c>
      <c r="CA1034" t="s">
        <v>1132</v>
      </c>
      <c r="CB1034" t="s">
        <v>584</v>
      </c>
      <c r="CC1034" s="8" t="str">
        <f>"82332"</f>
        <v>82332</v>
      </c>
      <c r="CD1034" t="s">
        <v>1133</v>
      </c>
      <c r="CE1034" t="s">
        <v>1134</v>
      </c>
      <c r="CF1034" s="12">
        <v>15.35</v>
      </c>
      <c r="CG1034" s="12">
        <v>20</v>
      </c>
      <c r="CH1034" s="12">
        <v>23.03</v>
      </c>
      <c r="CI1034" s="12">
        <v>30</v>
      </c>
      <c r="CJ1034" t="s">
        <v>135</v>
      </c>
      <c r="CL1034" t="s">
        <v>21803</v>
      </c>
      <c r="CO1034" t="s">
        <v>132</v>
      </c>
      <c r="CP1034" t="s">
        <v>114</v>
      </c>
      <c r="CQ1034" t="s">
        <v>136</v>
      </c>
      <c r="CR1034" t="s">
        <v>136</v>
      </c>
      <c r="CS1034" t="s">
        <v>136</v>
      </c>
      <c r="CT1034" t="s">
        <v>136</v>
      </c>
      <c r="CU1034" t="s">
        <v>136</v>
      </c>
      <c r="CV1034" s="2" t="s">
        <v>21804</v>
      </c>
      <c r="CW1034" s="10" t="str">
        <f>"+19705837396"</f>
        <v>+19705837396</v>
      </c>
      <c r="CX1034" t="s">
        <v>1121</v>
      </c>
      <c r="CY1034" t="s">
        <v>132</v>
      </c>
      <c r="CZ1034" t="s">
        <v>137</v>
      </c>
      <c r="DA1034" t="s">
        <v>114</v>
      </c>
      <c r="DB1034" t="s">
        <v>136</v>
      </c>
      <c r="DC1034" t="s">
        <v>136</v>
      </c>
      <c r="DD1034" t="s">
        <v>114</v>
      </c>
    </row>
    <row r="1035" spans="1:113" ht="15" customHeight="1" x14ac:dyDescent="0.25">
      <c r="A1035" t="s">
        <v>10526</v>
      </c>
      <c r="B1035" t="s">
        <v>152</v>
      </c>
      <c r="C1035" s="1">
        <v>45174.387889583333</v>
      </c>
      <c r="D1035" s="1">
        <v>45239</v>
      </c>
      <c r="E1035" t="s">
        <v>132</v>
      </c>
      <c r="F1035" t="s">
        <v>1059</v>
      </c>
      <c r="G1035" t="str">
        <f>"35-2014.00"</f>
        <v>35-2014.00</v>
      </c>
      <c r="H1035" t="s">
        <v>154</v>
      </c>
      <c r="I1035">
        <v>4</v>
      </c>
      <c r="J1035">
        <v>4</v>
      </c>
      <c r="K1035" s="1">
        <v>45262</v>
      </c>
      <c r="L1035" s="1">
        <v>45383</v>
      </c>
      <c r="M1035" s="1">
        <v>45262</v>
      </c>
      <c r="N1035" s="1">
        <v>45383</v>
      </c>
      <c r="O1035" t="s">
        <v>238</v>
      </c>
      <c r="P1035" t="s">
        <v>1114</v>
      </c>
      <c r="R1035" t="s">
        <v>1115</v>
      </c>
      <c r="T1035" t="s">
        <v>1116</v>
      </c>
      <c r="U1035" t="s">
        <v>584</v>
      </c>
      <c r="V1035" s="8" t="str">
        <f>"82332"</f>
        <v>82332</v>
      </c>
      <c r="W1035" t="s">
        <v>118</v>
      </c>
      <c r="Y1035" s="10">
        <v>19705837396</v>
      </c>
      <c r="AA1035">
        <v>72111</v>
      </c>
      <c r="AB1035" t="s">
        <v>1117</v>
      </c>
      <c r="AC1035" t="s">
        <v>1118</v>
      </c>
      <c r="AE1035" t="s">
        <v>1119</v>
      </c>
      <c r="AF1035" t="s">
        <v>1120</v>
      </c>
      <c r="AH1035" t="s">
        <v>1116</v>
      </c>
      <c r="AI1035" t="s">
        <v>584</v>
      </c>
      <c r="AJ1035" s="8" t="str">
        <f>"82332"</f>
        <v>82332</v>
      </c>
      <c r="AK1035" t="s">
        <v>118</v>
      </c>
      <c r="AM1035" s="10">
        <v>19705837396</v>
      </c>
      <c r="AO1035" t="s">
        <v>1121</v>
      </c>
      <c r="AP1035" t="s">
        <v>121</v>
      </c>
      <c r="AQ1035" t="s">
        <v>1122</v>
      </c>
      <c r="AR1035" t="s">
        <v>1123</v>
      </c>
      <c r="AS1035" t="s">
        <v>1124</v>
      </c>
      <c r="AT1035" t="s">
        <v>1125</v>
      </c>
      <c r="AU1035" t="s">
        <v>1126</v>
      </c>
      <c r="AV1035" t="s">
        <v>139</v>
      </c>
      <c r="AW1035" t="s">
        <v>140</v>
      </c>
      <c r="AX1035" s="8" t="str">
        <f>"33186"</f>
        <v>33186</v>
      </c>
      <c r="AY1035" t="s">
        <v>118</v>
      </c>
      <c r="BA1035" s="10">
        <v>13056706767</v>
      </c>
      <c r="BC1035" t="s">
        <v>1127</v>
      </c>
      <c r="BD1035" t="s">
        <v>1128</v>
      </c>
      <c r="BE1035" t="s">
        <v>140</v>
      </c>
      <c r="BF1035" t="s">
        <v>1129</v>
      </c>
      <c r="BG1035" t="s">
        <v>584</v>
      </c>
      <c r="BH1035" s="1">
        <v>45168.833333333336</v>
      </c>
      <c r="BI1035">
        <v>49</v>
      </c>
      <c r="BJ1035">
        <v>7</v>
      </c>
      <c r="BK1035">
        <v>7</v>
      </c>
      <c r="BL1035">
        <v>7</v>
      </c>
      <c r="BM1035">
        <v>7</v>
      </c>
      <c r="BN1035">
        <v>7</v>
      </c>
      <c r="BO1035">
        <v>7</v>
      </c>
      <c r="BP1035">
        <v>7</v>
      </c>
      <c r="BQ1035" t="str">
        <f>"5:00 AM"</f>
        <v>5:00 AM</v>
      </c>
      <c r="BR1035" t="str">
        <f>"2:00 PM"</f>
        <v>2:00 PM</v>
      </c>
      <c r="BS1035" t="s">
        <v>131</v>
      </c>
      <c r="BT1035">
        <v>0</v>
      </c>
      <c r="BU1035">
        <v>12</v>
      </c>
      <c r="BV1035" t="s">
        <v>114</v>
      </c>
      <c r="BX1035" s="2" t="s">
        <v>10527</v>
      </c>
      <c r="BY1035" t="s">
        <v>1131</v>
      </c>
      <c r="CA1035" t="s">
        <v>1132</v>
      </c>
      <c r="CB1035" t="s">
        <v>584</v>
      </c>
      <c r="CC1035" s="8" t="str">
        <f>"82332"</f>
        <v>82332</v>
      </c>
      <c r="CD1035" t="s">
        <v>1133</v>
      </c>
      <c r="CE1035" t="s">
        <v>1134</v>
      </c>
      <c r="CF1035" s="12">
        <v>16.16</v>
      </c>
      <c r="CG1035" s="12">
        <v>25</v>
      </c>
      <c r="CH1035" s="12">
        <v>24.24</v>
      </c>
      <c r="CI1035" s="12">
        <v>37.5</v>
      </c>
      <c r="CJ1035" t="s">
        <v>135</v>
      </c>
      <c r="CL1035" t="s">
        <v>10528</v>
      </c>
      <c r="CO1035" t="s">
        <v>132</v>
      </c>
      <c r="CP1035" t="s">
        <v>114</v>
      </c>
      <c r="CQ1035" t="s">
        <v>136</v>
      </c>
      <c r="CR1035" t="s">
        <v>136</v>
      </c>
      <c r="CS1035" t="s">
        <v>136</v>
      </c>
      <c r="CT1035" t="s">
        <v>136</v>
      </c>
      <c r="CU1035" t="s">
        <v>136</v>
      </c>
      <c r="CV1035" s="2" t="s">
        <v>10529</v>
      </c>
      <c r="CW1035" s="10" t="str">
        <f>"+19705837396"</f>
        <v>+19705837396</v>
      </c>
      <c r="CX1035" t="s">
        <v>1121</v>
      </c>
      <c r="CY1035" t="s">
        <v>132</v>
      </c>
      <c r="CZ1035" t="s">
        <v>137</v>
      </c>
      <c r="DA1035" t="s">
        <v>114</v>
      </c>
      <c r="DB1035" t="s">
        <v>136</v>
      </c>
      <c r="DC1035" t="s">
        <v>136</v>
      </c>
      <c r="DD1035" t="s">
        <v>114</v>
      </c>
    </row>
    <row r="1036" spans="1:113" ht="15" customHeight="1" x14ac:dyDescent="0.25">
      <c r="A1036" t="s">
        <v>10400</v>
      </c>
      <c r="B1036" t="s">
        <v>152</v>
      </c>
      <c r="C1036" s="1">
        <v>45167.58831284722</v>
      </c>
      <c r="D1036" s="1">
        <v>45239</v>
      </c>
      <c r="E1036" t="s">
        <v>114</v>
      </c>
      <c r="F1036" t="s">
        <v>10401</v>
      </c>
      <c r="G1036" t="str">
        <f>"37-2012.00"</f>
        <v>37-2012.00</v>
      </c>
      <c r="H1036" t="s">
        <v>205</v>
      </c>
      <c r="I1036">
        <v>8</v>
      </c>
      <c r="J1036">
        <v>8</v>
      </c>
      <c r="K1036" s="1">
        <v>45245</v>
      </c>
      <c r="L1036" s="1">
        <v>45550</v>
      </c>
      <c r="M1036" s="1">
        <v>45245</v>
      </c>
      <c r="N1036" s="1">
        <v>45550</v>
      </c>
      <c r="O1036" t="s">
        <v>116</v>
      </c>
      <c r="P1036" t="s">
        <v>10402</v>
      </c>
      <c r="Q1036" t="s">
        <v>10403</v>
      </c>
      <c r="R1036" t="s">
        <v>10404</v>
      </c>
      <c r="S1036" t="s">
        <v>10405</v>
      </c>
      <c r="T1036" t="s">
        <v>10406</v>
      </c>
      <c r="U1036" t="s">
        <v>967</v>
      </c>
      <c r="V1036" s="8" t="str">
        <f>"89451"</f>
        <v>89451</v>
      </c>
      <c r="W1036" t="s">
        <v>118</v>
      </c>
      <c r="Y1036" s="10">
        <v>15305464438</v>
      </c>
      <c r="AA1036">
        <v>721191</v>
      </c>
      <c r="AB1036" t="s">
        <v>7293</v>
      </c>
      <c r="AC1036" t="s">
        <v>2679</v>
      </c>
      <c r="AE1036" t="s">
        <v>561</v>
      </c>
      <c r="AF1036" t="s">
        <v>10404</v>
      </c>
      <c r="AG1036" t="s">
        <v>10405</v>
      </c>
      <c r="AH1036" t="s">
        <v>10406</v>
      </c>
      <c r="AI1036" t="s">
        <v>967</v>
      </c>
      <c r="AJ1036" s="8" t="str">
        <f>"89451"</f>
        <v>89451</v>
      </c>
      <c r="AK1036" t="s">
        <v>118</v>
      </c>
      <c r="AM1036" s="10">
        <v>15305464438</v>
      </c>
      <c r="AO1036" t="s">
        <v>132</v>
      </c>
      <c r="AP1036" t="s">
        <v>248</v>
      </c>
      <c r="AQ1036" t="s">
        <v>577</v>
      </c>
      <c r="AR1036" t="s">
        <v>578</v>
      </c>
      <c r="AT1036" t="s">
        <v>579</v>
      </c>
      <c r="AV1036" t="s">
        <v>580</v>
      </c>
      <c r="AW1036" t="s">
        <v>581</v>
      </c>
      <c r="AX1036" s="8" t="str">
        <f>"22903"</f>
        <v>22903</v>
      </c>
      <c r="AY1036" t="s">
        <v>118</v>
      </c>
      <c r="BA1036" s="10">
        <v>14342634300</v>
      </c>
      <c r="BC1036" t="s">
        <v>2271</v>
      </c>
      <c r="BD1036" t="s">
        <v>583</v>
      </c>
      <c r="BG1036" t="s">
        <v>967</v>
      </c>
      <c r="BH1036" s="1">
        <v>45166.833333333336</v>
      </c>
      <c r="BI1036">
        <v>35</v>
      </c>
      <c r="BJ1036">
        <v>0</v>
      </c>
      <c r="BK1036">
        <v>7</v>
      </c>
      <c r="BL1036">
        <v>7</v>
      </c>
      <c r="BM1036">
        <v>7</v>
      </c>
      <c r="BN1036">
        <v>7</v>
      </c>
      <c r="BO1036">
        <v>7</v>
      </c>
      <c r="BP1036">
        <v>0</v>
      </c>
      <c r="BQ1036" t="str">
        <f>"10:00 AM"</f>
        <v>10:00 AM</v>
      </c>
      <c r="BR1036" t="str">
        <f>"6:00 PM"</f>
        <v>6:00 PM</v>
      </c>
      <c r="BS1036" t="s">
        <v>131</v>
      </c>
      <c r="BT1036">
        <v>0</v>
      </c>
      <c r="BU1036">
        <v>2</v>
      </c>
      <c r="BV1036" t="s">
        <v>114</v>
      </c>
      <c r="BX1036" s="2" t="s">
        <v>10407</v>
      </c>
      <c r="BY1036" t="s">
        <v>10408</v>
      </c>
      <c r="CA1036" t="s">
        <v>10406</v>
      </c>
      <c r="CB1036" t="s">
        <v>967</v>
      </c>
      <c r="CC1036" s="8" t="str">
        <f>"89451"</f>
        <v>89451</v>
      </c>
      <c r="CD1036" t="s">
        <v>8119</v>
      </c>
      <c r="CE1036" t="s">
        <v>8120</v>
      </c>
      <c r="CF1036" s="12">
        <v>18.59</v>
      </c>
      <c r="CH1036" s="12">
        <v>27.89</v>
      </c>
      <c r="CJ1036" t="s">
        <v>135</v>
      </c>
      <c r="CK1036" t="s">
        <v>10409</v>
      </c>
      <c r="CL1036" t="s">
        <v>10410</v>
      </c>
      <c r="CO1036" t="s">
        <v>132</v>
      </c>
      <c r="CP1036" t="s">
        <v>136</v>
      </c>
      <c r="CQ1036" t="s">
        <v>136</v>
      </c>
      <c r="CR1036" t="s">
        <v>136</v>
      </c>
      <c r="CS1036" t="s">
        <v>114</v>
      </c>
      <c r="CT1036" t="s">
        <v>136</v>
      </c>
      <c r="CU1036" t="s">
        <v>136</v>
      </c>
      <c r="CV1036" t="s">
        <v>10411</v>
      </c>
      <c r="CW1036" s="10" t="str">
        <f>"+13038032025"</f>
        <v>+13038032025</v>
      </c>
      <c r="CX1036" t="s">
        <v>132</v>
      </c>
      <c r="CY1036" t="s">
        <v>10412</v>
      </c>
      <c r="CZ1036" t="s">
        <v>137</v>
      </c>
      <c r="DA1036" t="s">
        <v>114</v>
      </c>
      <c r="DB1036" t="s">
        <v>136</v>
      </c>
      <c r="DC1036" t="s">
        <v>136</v>
      </c>
      <c r="DD1036" t="s">
        <v>114</v>
      </c>
      <c r="DE1036" t="s">
        <v>2273</v>
      </c>
      <c r="DF1036" t="s">
        <v>1069</v>
      </c>
      <c r="DH1036" t="s">
        <v>583</v>
      </c>
      <c r="DI1036" t="s">
        <v>2271</v>
      </c>
    </row>
    <row r="1037" spans="1:113" ht="15" customHeight="1" x14ac:dyDescent="0.25">
      <c r="A1037" t="s">
        <v>12869</v>
      </c>
      <c r="B1037" t="s">
        <v>152</v>
      </c>
      <c r="C1037" s="1">
        <v>45155.577043750003</v>
      </c>
      <c r="D1037" s="1">
        <v>45239</v>
      </c>
      <c r="E1037" t="s">
        <v>114</v>
      </c>
      <c r="F1037" t="s">
        <v>3847</v>
      </c>
      <c r="G1037" t="str">
        <f>"39-2021.00"</f>
        <v>39-2021.00</v>
      </c>
      <c r="H1037" t="s">
        <v>2895</v>
      </c>
      <c r="I1037">
        <v>17</v>
      </c>
      <c r="J1037">
        <v>17</v>
      </c>
      <c r="K1037" s="1">
        <v>45231</v>
      </c>
      <c r="L1037" s="1">
        <v>45444</v>
      </c>
      <c r="M1037" s="1">
        <v>45231</v>
      </c>
      <c r="N1037" s="1">
        <v>45444</v>
      </c>
      <c r="O1037" t="s">
        <v>238</v>
      </c>
      <c r="P1037" t="s">
        <v>12870</v>
      </c>
      <c r="R1037" t="s">
        <v>12871</v>
      </c>
      <c r="S1037" t="s">
        <v>12872</v>
      </c>
      <c r="T1037" t="s">
        <v>12873</v>
      </c>
      <c r="U1037" t="s">
        <v>358</v>
      </c>
      <c r="V1037" s="8" t="str">
        <f>"11001"</f>
        <v>11001</v>
      </c>
      <c r="W1037" t="s">
        <v>118</v>
      </c>
      <c r="Y1037" s="10">
        <v>19512704234</v>
      </c>
      <c r="AA1037">
        <v>711212</v>
      </c>
      <c r="AB1037" t="s">
        <v>12874</v>
      </c>
      <c r="AC1037" t="s">
        <v>12875</v>
      </c>
      <c r="AE1037" t="s">
        <v>3852</v>
      </c>
      <c r="AF1037" t="s">
        <v>12871</v>
      </c>
      <c r="AG1037" t="s">
        <v>12872</v>
      </c>
      <c r="AH1037" t="s">
        <v>12873</v>
      </c>
      <c r="AI1037" t="s">
        <v>358</v>
      </c>
      <c r="AJ1037" s="8" t="str">
        <f>"11001"</f>
        <v>11001</v>
      </c>
      <c r="AK1037" t="s">
        <v>118</v>
      </c>
      <c r="AM1037" s="10">
        <v>19512704234</v>
      </c>
      <c r="AO1037" t="s">
        <v>12876</v>
      </c>
      <c r="AP1037" t="s">
        <v>121</v>
      </c>
      <c r="AQ1037" t="s">
        <v>3854</v>
      </c>
      <c r="AR1037" t="s">
        <v>144</v>
      </c>
      <c r="AS1037" t="s">
        <v>3855</v>
      </c>
      <c r="AT1037" t="s">
        <v>2605</v>
      </c>
      <c r="AU1037" t="s">
        <v>2606</v>
      </c>
      <c r="AV1037" t="s">
        <v>2607</v>
      </c>
      <c r="AW1037" t="s">
        <v>2608</v>
      </c>
      <c r="AX1037" s="8" t="str">
        <f>"73069"</f>
        <v>73069</v>
      </c>
      <c r="AY1037" t="s">
        <v>118</v>
      </c>
      <c r="BA1037" s="10">
        <v>14053642525</v>
      </c>
      <c r="BC1037" t="s">
        <v>2609</v>
      </c>
      <c r="BD1037" t="s">
        <v>2610</v>
      </c>
      <c r="BE1037" t="s">
        <v>2608</v>
      </c>
      <c r="BF1037" t="s">
        <v>2611</v>
      </c>
      <c r="BG1037" t="s">
        <v>1434</v>
      </c>
      <c r="BH1037" s="1">
        <v>45141.833333333336</v>
      </c>
      <c r="BI1037">
        <v>40</v>
      </c>
      <c r="BJ1037">
        <v>6</v>
      </c>
      <c r="BK1037">
        <v>4</v>
      </c>
      <c r="BL1037">
        <v>6</v>
      </c>
      <c r="BM1037">
        <v>6</v>
      </c>
      <c r="BN1037">
        <v>6</v>
      </c>
      <c r="BO1037">
        <v>6</v>
      </c>
      <c r="BP1037">
        <v>6</v>
      </c>
      <c r="BQ1037" t="str">
        <f>"5:00 AM"</f>
        <v>5:00 AM</v>
      </c>
      <c r="BR1037" t="str">
        <f>"5:00 PM"</f>
        <v>5:00 PM</v>
      </c>
      <c r="BS1037" t="s">
        <v>131</v>
      </c>
      <c r="BT1037">
        <v>0</v>
      </c>
      <c r="BU1037">
        <v>1</v>
      </c>
      <c r="BV1037" t="s">
        <v>114</v>
      </c>
      <c r="BX1037" s="2" t="s">
        <v>3116</v>
      </c>
      <c r="BY1037" t="s">
        <v>5191</v>
      </c>
      <c r="BZ1037" t="s">
        <v>5192</v>
      </c>
      <c r="CA1037" t="s">
        <v>2119</v>
      </c>
      <c r="CB1037" t="s">
        <v>1434</v>
      </c>
      <c r="CC1037" s="8" t="str">
        <f>"40208"</f>
        <v>40208</v>
      </c>
      <c r="CD1037" t="s">
        <v>1767</v>
      </c>
      <c r="CE1037" t="s">
        <v>1768</v>
      </c>
      <c r="CF1037" s="12">
        <v>13.19</v>
      </c>
      <c r="CG1037" s="12">
        <v>13.19</v>
      </c>
      <c r="CH1037" s="12">
        <v>19.79</v>
      </c>
      <c r="CI1037" s="12">
        <v>19.79</v>
      </c>
      <c r="CJ1037" t="s">
        <v>135</v>
      </c>
      <c r="CL1037" t="s">
        <v>12877</v>
      </c>
      <c r="CO1037" t="s">
        <v>132</v>
      </c>
      <c r="CP1037" t="s">
        <v>114</v>
      </c>
      <c r="CQ1037" t="s">
        <v>114</v>
      </c>
      <c r="CR1037" t="s">
        <v>136</v>
      </c>
      <c r="CS1037" t="s">
        <v>114</v>
      </c>
      <c r="CT1037" t="s">
        <v>136</v>
      </c>
      <c r="CU1037" t="s">
        <v>136</v>
      </c>
      <c r="CV1037" t="s">
        <v>12878</v>
      </c>
      <c r="CW1037" s="10" t="str">
        <f>"+19512704234"</f>
        <v>+19512704234</v>
      </c>
      <c r="CX1037" t="s">
        <v>12876</v>
      </c>
      <c r="CY1037" t="s">
        <v>132</v>
      </c>
      <c r="CZ1037" t="s">
        <v>137</v>
      </c>
      <c r="DA1037" t="s">
        <v>114</v>
      </c>
      <c r="DB1037" t="s">
        <v>114</v>
      </c>
      <c r="DC1037" t="s">
        <v>136</v>
      </c>
      <c r="DD1037" t="s">
        <v>114</v>
      </c>
    </row>
    <row r="1038" spans="1:113" ht="15" customHeight="1" x14ac:dyDescent="0.25">
      <c r="A1038" t="s">
        <v>19180</v>
      </c>
      <c r="B1038" t="s">
        <v>152</v>
      </c>
      <c r="C1038" s="1">
        <v>45155.459906481483</v>
      </c>
      <c r="D1038" s="1">
        <v>45239</v>
      </c>
      <c r="E1038" t="s">
        <v>136</v>
      </c>
      <c r="F1038" t="s">
        <v>19181</v>
      </c>
      <c r="G1038" t="str">
        <f>"35-9011.00"</f>
        <v>35-9011.00</v>
      </c>
      <c r="H1038" t="s">
        <v>1512</v>
      </c>
      <c r="I1038">
        <v>5</v>
      </c>
      <c r="J1038">
        <v>5</v>
      </c>
      <c r="K1038" s="1">
        <v>45245</v>
      </c>
      <c r="L1038" s="1">
        <v>45443</v>
      </c>
      <c r="M1038" s="1">
        <v>45245</v>
      </c>
      <c r="N1038" s="1">
        <v>45443</v>
      </c>
      <c r="O1038" t="s">
        <v>116</v>
      </c>
      <c r="P1038" t="s">
        <v>19182</v>
      </c>
      <c r="Q1038" t="s">
        <v>19183</v>
      </c>
      <c r="R1038" t="s">
        <v>19184</v>
      </c>
      <c r="T1038" t="s">
        <v>9917</v>
      </c>
      <c r="U1038" t="s">
        <v>140</v>
      </c>
      <c r="V1038" s="8" t="str">
        <f>"34285"</f>
        <v>34285</v>
      </c>
      <c r="W1038" t="s">
        <v>118</v>
      </c>
      <c r="Y1038" s="10">
        <v>19414847362</v>
      </c>
      <c r="AA1038">
        <v>722511</v>
      </c>
      <c r="AB1038" t="s">
        <v>19185</v>
      </c>
      <c r="AC1038" t="s">
        <v>4686</v>
      </c>
      <c r="AE1038" t="s">
        <v>629</v>
      </c>
      <c r="AF1038" t="s">
        <v>19184</v>
      </c>
      <c r="AH1038" t="s">
        <v>9917</v>
      </c>
      <c r="AI1038" t="s">
        <v>140</v>
      </c>
      <c r="AJ1038" s="8" t="str">
        <f>"34285"</f>
        <v>34285</v>
      </c>
      <c r="AK1038" t="s">
        <v>118</v>
      </c>
      <c r="AM1038" s="10">
        <v>19414847362</v>
      </c>
      <c r="AO1038" t="s">
        <v>19186</v>
      </c>
      <c r="AP1038" t="s">
        <v>121</v>
      </c>
      <c r="AQ1038" t="s">
        <v>276</v>
      </c>
      <c r="AR1038" t="s">
        <v>277</v>
      </c>
      <c r="AS1038" t="s">
        <v>278</v>
      </c>
      <c r="AT1038" t="s">
        <v>279</v>
      </c>
      <c r="AU1038" t="s">
        <v>280</v>
      </c>
      <c r="AV1038" t="s">
        <v>281</v>
      </c>
      <c r="AW1038" t="s">
        <v>222</v>
      </c>
      <c r="AX1038" s="8" t="str">
        <f>"01701"</f>
        <v>01701</v>
      </c>
      <c r="AY1038" t="s">
        <v>118</v>
      </c>
      <c r="BA1038" s="10">
        <v>16179399444</v>
      </c>
      <c r="BC1038" t="s">
        <v>282</v>
      </c>
      <c r="BD1038" t="s">
        <v>283</v>
      </c>
      <c r="BE1038" t="s">
        <v>222</v>
      </c>
      <c r="BF1038" t="s">
        <v>284</v>
      </c>
      <c r="BG1038" t="s">
        <v>140</v>
      </c>
      <c r="BH1038" s="1">
        <v>45154.833333333336</v>
      </c>
      <c r="BI1038">
        <v>35</v>
      </c>
      <c r="BJ1038">
        <v>0</v>
      </c>
      <c r="BK1038">
        <v>7</v>
      </c>
      <c r="BL1038">
        <v>7</v>
      </c>
      <c r="BM1038">
        <v>7</v>
      </c>
      <c r="BN1038">
        <v>7</v>
      </c>
      <c r="BO1038">
        <v>7</v>
      </c>
      <c r="BP1038">
        <v>0</v>
      </c>
      <c r="BQ1038" t="str">
        <f>"9:00 AM"</f>
        <v>9:00 AM</v>
      </c>
      <c r="BR1038" t="str">
        <f>"4:00 PM"</f>
        <v>4:00 PM</v>
      </c>
      <c r="BS1038" t="s">
        <v>131</v>
      </c>
      <c r="BT1038">
        <v>0</v>
      </c>
      <c r="BU1038">
        <v>3</v>
      </c>
      <c r="BV1038" t="s">
        <v>114</v>
      </c>
      <c r="BX1038" s="2" t="s">
        <v>19187</v>
      </c>
      <c r="BY1038" t="s">
        <v>19188</v>
      </c>
      <c r="CA1038" t="s">
        <v>9917</v>
      </c>
      <c r="CB1038" t="s">
        <v>140</v>
      </c>
      <c r="CC1038" s="8" t="str">
        <f>"34285"</f>
        <v>34285</v>
      </c>
      <c r="CD1038" t="s">
        <v>6059</v>
      </c>
      <c r="CE1038" t="s">
        <v>1730</v>
      </c>
      <c r="CF1038" s="12">
        <v>15</v>
      </c>
      <c r="CH1038" s="12">
        <v>22.5</v>
      </c>
      <c r="CJ1038" t="s">
        <v>135</v>
      </c>
      <c r="CK1038" t="s">
        <v>19189</v>
      </c>
      <c r="CL1038" t="s">
        <v>19190</v>
      </c>
      <c r="CO1038" t="s">
        <v>132</v>
      </c>
      <c r="CP1038" t="s">
        <v>114</v>
      </c>
      <c r="CQ1038" t="s">
        <v>114</v>
      </c>
      <c r="CR1038" t="s">
        <v>136</v>
      </c>
      <c r="CS1038" t="s">
        <v>136</v>
      </c>
      <c r="CT1038" t="s">
        <v>136</v>
      </c>
      <c r="CU1038" t="s">
        <v>136</v>
      </c>
      <c r="CV1038" t="s">
        <v>19191</v>
      </c>
      <c r="CW1038" s="10" t="str">
        <f>"+19414847362"</f>
        <v>+19414847362</v>
      </c>
      <c r="CX1038" t="s">
        <v>19186</v>
      </c>
      <c r="CY1038" t="s">
        <v>132</v>
      </c>
      <c r="CZ1038" t="s">
        <v>137</v>
      </c>
      <c r="DA1038" t="s">
        <v>114</v>
      </c>
      <c r="DB1038" t="s">
        <v>114</v>
      </c>
      <c r="DC1038" t="s">
        <v>136</v>
      </c>
      <c r="DD1038" t="s">
        <v>114</v>
      </c>
    </row>
    <row r="1039" spans="1:113" ht="15" customHeight="1" x14ac:dyDescent="0.25">
      <c r="A1039" t="s">
        <v>18107</v>
      </c>
      <c r="B1039" t="s">
        <v>152</v>
      </c>
      <c r="C1039" s="1">
        <v>45134.439205092589</v>
      </c>
      <c r="D1039" s="1">
        <v>45239</v>
      </c>
      <c r="E1039" t="s">
        <v>114</v>
      </c>
      <c r="F1039" t="s">
        <v>1059</v>
      </c>
      <c r="G1039" t="str">
        <f>"35-2014.00"</f>
        <v>35-2014.00</v>
      </c>
      <c r="H1039" t="s">
        <v>154</v>
      </c>
      <c r="I1039">
        <v>49</v>
      </c>
      <c r="J1039">
        <v>49</v>
      </c>
      <c r="K1039" s="1">
        <v>45224</v>
      </c>
      <c r="L1039" s="1">
        <v>45396</v>
      </c>
      <c r="M1039" s="1">
        <v>45224</v>
      </c>
      <c r="N1039" s="1">
        <v>45396</v>
      </c>
      <c r="O1039" t="s">
        <v>116</v>
      </c>
      <c r="P1039" t="s">
        <v>1081</v>
      </c>
      <c r="R1039" t="s">
        <v>510</v>
      </c>
      <c r="S1039" t="s">
        <v>132</v>
      </c>
      <c r="T1039" t="s">
        <v>511</v>
      </c>
      <c r="U1039" t="s">
        <v>188</v>
      </c>
      <c r="V1039" s="8" t="str">
        <f>"80021"</f>
        <v>80021</v>
      </c>
      <c r="W1039" t="s">
        <v>118</v>
      </c>
      <c r="X1039" t="s">
        <v>132</v>
      </c>
      <c r="Y1039" s="10">
        <v>13034041800</v>
      </c>
      <c r="AA1039">
        <v>713920</v>
      </c>
      <c r="AB1039" t="s">
        <v>507</v>
      </c>
      <c r="AC1039" t="s">
        <v>508</v>
      </c>
      <c r="AD1039" t="s">
        <v>132</v>
      </c>
      <c r="AE1039" t="s">
        <v>509</v>
      </c>
      <c r="AF1039" t="s">
        <v>510</v>
      </c>
      <c r="AG1039" t="s">
        <v>132</v>
      </c>
      <c r="AH1039" t="s">
        <v>511</v>
      </c>
      <c r="AI1039" t="s">
        <v>188</v>
      </c>
      <c r="AJ1039" s="8" t="str">
        <f>"80021"</f>
        <v>80021</v>
      </c>
      <c r="AK1039" t="s">
        <v>118</v>
      </c>
      <c r="AM1039" s="10">
        <v>13034041800</v>
      </c>
      <c r="AO1039" t="s">
        <v>512</v>
      </c>
      <c r="AP1039" t="s">
        <v>121</v>
      </c>
      <c r="AQ1039" t="s">
        <v>513</v>
      </c>
      <c r="AR1039" t="s">
        <v>514</v>
      </c>
      <c r="AS1039" t="s">
        <v>515</v>
      </c>
      <c r="AT1039" t="s">
        <v>516</v>
      </c>
      <c r="AU1039" t="s">
        <v>517</v>
      </c>
      <c r="AV1039" t="s">
        <v>518</v>
      </c>
      <c r="AW1039" t="s">
        <v>402</v>
      </c>
      <c r="AX1039" s="8" t="str">
        <f>"90071"</f>
        <v>90071</v>
      </c>
      <c r="AY1039" t="s">
        <v>118</v>
      </c>
      <c r="BA1039" s="10">
        <v>13108203322</v>
      </c>
      <c r="BC1039" t="s">
        <v>519</v>
      </c>
      <c r="BD1039" t="s">
        <v>520</v>
      </c>
      <c r="BE1039" t="s">
        <v>188</v>
      </c>
      <c r="BF1039" t="s">
        <v>172</v>
      </c>
      <c r="BG1039" t="s">
        <v>188</v>
      </c>
      <c r="BH1039" s="1">
        <v>45131.833333333336</v>
      </c>
      <c r="BI1039">
        <v>35</v>
      </c>
      <c r="BJ1039">
        <v>5</v>
      </c>
      <c r="BK1039">
        <v>5</v>
      </c>
      <c r="BL1039">
        <v>5</v>
      </c>
      <c r="BM1039">
        <v>5</v>
      </c>
      <c r="BN1039">
        <v>5</v>
      </c>
      <c r="BO1039">
        <v>5</v>
      </c>
      <c r="BP1039">
        <v>5</v>
      </c>
      <c r="BQ1039" t="str">
        <f>"6:00 AM"</f>
        <v>6:00 AM</v>
      </c>
      <c r="BR1039" t="str">
        <f>"11:00 PM"</f>
        <v>11:00 PM</v>
      </c>
      <c r="BS1039" t="s">
        <v>131</v>
      </c>
      <c r="BT1039">
        <v>0</v>
      </c>
      <c r="BU1039">
        <v>24</v>
      </c>
      <c r="BV1039" t="s">
        <v>114</v>
      </c>
      <c r="BX1039" s="2" t="s">
        <v>1082</v>
      </c>
      <c r="BY1039" t="s">
        <v>18108</v>
      </c>
      <c r="BZ1039" t="s">
        <v>132</v>
      </c>
      <c r="CA1039" t="s">
        <v>14421</v>
      </c>
      <c r="CB1039" t="s">
        <v>188</v>
      </c>
      <c r="CC1039" s="8" t="str">
        <f>"80424"</f>
        <v>80424</v>
      </c>
      <c r="CD1039" t="s">
        <v>228</v>
      </c>
      <c r="CE1039" t="s">
        <v>1038</v>
      </c>
      <c r="CF1039" s="12">
        <v>22</v>
      </c>
      <c r="CH1039" s="12">
        <v>33</v>
      </c>
      <c r="CJ1039" t="s">
        <v>135</v>
      </c>
      <c r="CK1039" t="s">
        <v>524</v>
      </c>
      <c r="CL1039" t="s">
        <v>18109</v>
      </c>
      <c r="CO1039" t="s">
        <v>132</v>
      </c>
      <c r="CP1039" t="s">
        <v>136</v>
      </c>
      <c r="CQ1039" t="s">
        <v>114</v>
      </c>
      <c r="CR1039" t="s">
        <v>136</v>
      </c>
      <c r="CS1039" t="s">
        <v>114</v>
      </c>
      <c r="CT1039" t="s">
        <v>136</v>
      </c>
      <c r="CU1039" t="s">
        <v>136</v>
      </c>
      <c r="CV1039" t="s">
        <v>1096</v>
      </c>
      <c r="CW1039" s="10" t="str">
        <f>"+13034041800"</f>
        <v>+13034041800</v>
      </c>
      <c r="CX1039" t="s">
        <v>512</v>
      </c>
      <c r="CY1039" t="s">
        <v>132</v>
      </c>
      <c r="CZ1039" t="s">
        <v>137</v>
      </c>
      <c r="DA1039" t="s">
        <v>114</v>
      </c>
      <c r="DB1039" t="s">
        <v>114</v>
      </c>
      <c r="DC1039" t="s">
        <v>136</v>
      </c>
      <c r="DD1039" t="s">
        <v>114</v>
      </c>
      <c r="DE1039" t="s">
        <v>527</v>
      </c>
      <c r="DF1039" t="s">
        <v>528</v>
      </c>
      <c r="DG1039" t="s">
        <v>132</v>
      </c>
      <c r="DH1039" t="s">
        <v>6519</v>
      </c>
      <c r="DI1039" t="s">
        <v>529</v>
      </c>
    </row>
    <row r="1040" spans="1:113" ht="15" customHeight="1" x14ac:dyDescent="0.25">
      <c r="A1040" t="s">
        <v>23565</v>
      </c>
      <c r="B1040" t="s">
        <v>152</v>
      </c>
      <c r="C1040" s="1">
        <v>45134.432344097222</v>
      </c>
      <c r="D1040" s="1">
        <v>45239</v>
      </c>
      <c r="E1040" t="s">
        <v>114</v>
      </c>
      <c r="F1040" t="s">
        <v>4718</v>
      </c>
      <c r="G1040" t="str">
        <f>"37-2012.00"</f>
        <v>37-2012.00</v>
      </c>
      <c r="H1040" t="s">
        <v>205</v>
      </c>
      <c r="I1040">
        <v>115</v>
      </c>
      <c r="J1040">
        <v>115</v>
      </c>
      <c r="K1040" s="1">
        <v>45224</v>
      </c>
      <c r="L1040" s="1">
        <v>45396</v>
      </c>
      <c r="M1040" s="1">
        <v>45224</v>
      </c>
      <c r="N1040" s="1">
        <v>45396</v>
      </c>
      <c r="O1040" t="s">
        <v>116</v>
      </c>
      <c r="P1040" t="s">
        <v>1081</v>
      </c>
      <c r="R1040" t="s">
        <v>510</v>
      </c>
      <c r="T1040" t="s">
        <v>511</v>
      </c>
      <c r="U1040" t="s">
        <v>188</v>
      </c>
      <c r="V1040" s="8" t="str">
        <f>"80021"</f>
        <v>80021</v>
      </c>
      <c r="W1040" t="s">
        <v>118</v>
      </c>
      <c r="Y1040" s="10">
        <v>13034041800</v>
      </c>
      <c r="AA1040">
        <v>713920</v>
      </c>
      <c r="AB1040" t="s">
        <v>507</v>
      </c>
      <c r="AC1040" t="s">
        <v>508</v>
      </c>
      <c r="AE1040" t="s">
        <v>509</v>
      </c>
      <c r="AF1040" t="s">
        <v>510</v>
      </c>
      <c r="AH1040" t="s">
        <v>511</v>
      </c>
      <c r="AI1040" t="s">
        <v>188</v>
      </c>
      <c r="AJ1040" s="8" t="str">
        <f>"80021"</f>
        <v>80021</v>
      </c>
      <c r="AK1040" t="s">
        <v>118</v>
      </c>
      <c r="AM1040" s="10">
        <v>13034041800</v>
      </c>
      <c r="AO1040" t="s">
        <v>512</v>
      </c>
      <c r="AP1040" t="s">
        <v>121</v>
      </c>
      <c r="AQ1040" t="s">
        <v>513</v>
      </c>
      <c r="AR1040" t="s">
        <v>514</v>
      </c>
      <c r="AS1040" t="s">
        <v>515</v>
      </c>
      <c r="AT1040" t="s">
        <v>516</v>
      </c>
      <c r="AU1040" t="s">
        <v>517</v>
      </c>
      <c r="AV1040" t="s">
        <v>518</v>
      </c>
      <c r="AW1040" t="s">
        <v>402</v>
      </c>
      <c r="AX1040" s="8" t="str">
        <f>"90071"</f>
        <v>90071</v>
      </c>
      <c r="AY1040" t="s">
        <v>118</v>
      </c>
      <c r="BA1040" s="10">
        <v>13108203322</v>
      </c>
      <c r="BC1040" t="s">
        <v>519</v>
      </c>
      <c r="BD1040" t="s">
        <v>520</v>
      </c>
      <c r="BE1040" t="s">
        <v>188</v>
      </c>
      <c r="BF1040" t="s">
        <v>172</v>
      </c>
      <c r="BG1040" t="s">
        <v>188</v>
      </c>
      <c r="BH1040" s="1">
        <v>45130.833333333336</v>
      </c>
      <c r="BI1040">
        <v>35</v>
      </c>
      <c r="BJ1040">
        <v>5</v>
      </c>
      <c r="BK1040">
        <v>5</v>
      </c>
      <c r="BL1040">
        <v>5</v>
      </c>
      <c r="BM1040">
        <v>5</v>
      </c>
      <c r="BN1040">
        <v>5</v>
      </c>
      <c r="BO1040">
        <v>5</v>
      </c>
      <c r="BP1040">
        <v>5</v>
      </c>
      <c r="BQ1040" t="str">
        <f>"8:00 AM"</f>
        <v>8:00 AM</v>
      </c>
      <c r="BR1040" t="str">
        <f>"9:00 PM"</f>
        <v>9:00 PM</v>
      </c>
      <c r="BS1040" t="s">
        <v>131</v>
      </c>
      <c r="BT1040">
        <v>0</v>
      </c>
      <c r="BU1040">
        <v>12</v>
      </c>
      <c r="BV1040" t="s">
        <v>114</v>
      </c>
      <c r="BX1040" s="2" t="s">
        <v>6533</v>
      </c>
      <c r="BY1040" t="s">
        <v>23566</v>
      </c>
      <c r="CA1040" t="s">
        <v>1093</v>
      </c>
      <c r="CB1040" t="s">
        <v>188</v>
      </c>
      <c r="CC1040" s="8" t="str">
        <f>"80435"</f>
        <v>80435</v>
      </c>
      <c r="CD1040" t="s">
        <v>228</v>
      </c>
      <c r="CE1040" t="s">
        <v>1038</v>
      </c>
      <c r="CF1040" s="12">
        <v>22</v>
      </c>
      <c r="CH1040" s="12">
        <v>33</v>
      </c>
      <c r="CJ1040" t="s">
        <v>135</v>
      </c>
      <c r="CK1040" t="s">
        <v>524</v>
      </c>
      <c r="CL1040" t="s">
        <v>23567</v>
      </c>
      <c r="CO1040" t="s">
        <v>132</v>
      </c>
      <c r="CP1040" t="s">
        <v>136</v>
      </c>
      <c r="CQ1040" t="s">
        <v>114</v>
      </c>
      <c r="CR1040" t="s">
        <v>136</v>
      </c>
      <c r="CS1040" t="s">
        <v>114</v>
      </c>
      <c r="CT1040" t="s">
        <v>136</v>
      </c>
      <c r="CU1040" t="s">
        <v>136</v>
      </c>
      <c r="CV1040" t="s">
        <v>23568</v>
      </c>
      <c r="CW1040" s="10" t="str">
        <f>"+13034041800"</f>
        <v>+13034041800</v>
      </c>
      <c r="CX1040" t="s">
        <v>512</v>
      </c>
      <c r="CY1040" t="s">
        <v>132</v>
      </c>
      <c r="CZ1040" t="s">
        <v>137</v>
      </c>
      <c r="DA1040" t="s">
        <v>114</v>
      </c>
      <c r="DB1040" t="s">
        <v>114</v>
      </c>
      <c r="DC1040" t="s">
        <v>136</v>
      </c>
      <c r="DD1040" t="s">
        <v>114</v>
      </c>
      <c r="DE1040" t="s">
        <v>527</v>
      </c>
      <c r="DF1040" t="s">
        <v>528</v>
      </c>
      <c r="DG1040" t="s">
        <v>732</v>
      </c>
      <c r="DH1040" t="s">
        <v>733</v>
      </c>
      <c r="DI1040" t="s">
        <v>529</v>
      </c>
    </row>
    <row r="1041" spans="1:113" ht="15" customHeight="1" x14ac:dyDescent="0.25">
      <c r="A1041" t="s">
        <v>3885</v>
      </c>
      <c r="B1041" t="s">
        <v>152</v>
      </c>
      <c r="C1041" s="1">
        <v>45198.463906249999</v>
      </c>
      <c r="D1041" s="1">
        <v>45238</v>
      </c>
      <c r="E1041" t="s">
        <v>132</v>
      </c>
      <c r="F1041" t="s">
        <v>3886</v>
      </c>
      <c r="G1041" t="str">
        <f>"37-2011.00"</f>
        <v>37-2011.00</v>
      </c>
      <c r="H1041" t="s">
        <v>1089</v>
      </c>
      <c r="I1041">
        <v>3</v>
      </c>
      <c r="J1041">
        <v>3</v>
      </c>
      <c r="K1041" s="1">
        <v>45288</v>
      </c>
      <c r="L1041" s="1">
        <v>45381</v>
      </c>
      <c r="M1041" s="1">
        <v>45288</v>
      </c>
      <c r="N1041" s="1">
        <v>45381</v>
      </c>
      <c r="O1041" t="s">
        <v>238</v>
      </c>
      <c r="P1041" t="s">
        <v>3887</v>
      </c>
      <c r="R1041" t="s">
        <v>3888</v>
      </c>
      <c r="S1041" t="s">
        <v>3889</v>
      </c>
      <c r="T1041" t="s">
        <v>3074</v>
      </c>
      <c r="U1041" t="s">
        <v>434</v>
      </c>
      <c r="V1041" s="8" t="str">
        <f>"15317"</f>
        <v>15317</v>
      </c>
      <c r="W1041" t="s">
        <v>118</v>
      </c>
      <c r="Y1041" s="10">
        <v>14122795352</v>
      </c>
      <c r="AA1041">
        <v>53113</v>
      </c>
      <c r="AB1041" t="s">
        <v>3890</v>
      </c>
      <c r="AC1041" t="s">
        <v>2410</v>
      </c>
      <c r="AD1041" t="s">
        <v>2002</v>
      </c>
      <c r="AE1041" t="s">
        <v>629</v>
      </c>
      <c r="AF1041" t="s">
        <v>3888</v>
      </c>
      <c r="AG1041" t="s">
        <v>3891</v>
      </c>
      <c r="AH1041" t="s">
        <v>3074</v>
      </c>
      <c r="AI1041" t="s">
        <v>434</v>
      </c>
      <c r="AJ1041" s="8" t="str">
        <f>"15317"</f>
        <v>15317</v>
      </c>
      <c r="AK1041" t="s">
        <v>118</v>
      </c>
      <c r="AM1041" s="10">
        <v>14122795352</v>
      </c>
      <c r="AN1041">
        <v>203</v>
      </c>
      <c r="AO1041" t="s">
        <v>132</v>
      </c>
      <c r="AP1041" t="s">
        <v>248</v>
      </c>
      <c r="AQ1041" t="s">
        <v>2132</v>
      </c>
      <c r="AR1041" t="s">
        <v>2133</v>
      </c>
      <c r="AT1041" t="s">
        <v>579</v>
      </c>
      <c r="AV1041" t="s">
        <v>580</v>
      </c>
      <c r="AW1041" t="s">
        <v>581</v>
      </c>
      <c r="AX1041" s="8" t="str">
        <f>"22903"</f>
        <v>22903</v>
      </c>
      <c r="AY1041" t="s">
        <v>118</v>
      </c>
      <c r="BA1041" s="10">
        <v>14342634300</v>
      </c>
      <c r="BC1041" t="s">
        <v>2271</v>
      </c>
      <c r="BD1041" t="s">
        <v>583</v>
      </c>
      <c r="BG1041" t="s">
        <v>434</v>
      </c>
      <c r="BH1041" s="1">
        <v>45197.833333333336</v>
      </c>
      <c r="BI1041">
        <v>40</v>
      </c>
      <c r="BJ1041">
        <v>0</v>
      </c>
      <c r="BK1041">
        <v>8</v>
      </c>
      <c r="BL1041">
        <v>8</v>
      </c>
      <c r="BM1041">
        <v>8</v>
      </c>
      <c r="BN1041">
        <v>8</v>
      </c>
      <c r="BO1041">
        <v>8</v>
      </c>
      <c r="BP1041">
        <v>0</v>
      </c>
      <c r="BQ1041" t="str">
        <f>"7:00 AM"</f>
        <v>7:00 AM</v>
      </c>
      <c r="BR1041" t="str">
        <f>"3:30 PM"</f>
        <v>3:30 PM</v>
      </c>
      <c r="BS1041" t="s">
        <v>131</v>
      </c>
      <c r="BT1041">
        <v>0</v>
      </c>
      <c r="BU1041">
        <v>0</v>
      </c>
      <c r="BV1041" t="s">
        <v>114</v>
      </c>
      <c r="BX1041" s="2" t="s">
        <v>3892</v>
      </c>
      <c r="BY1041" t="s">
        <v>3888</v>
      </c>
      <c r="CA1041" t="s">
        <v>3074</v>
      </c>
      <c r="CB1041" t="s">
        <v>434</v>
      </c>
      <c r="CC1041" s="8" t="str">
        <f>"15317"</f>
        <v>15317</v>
      </c>
      <c r="CD1041" t="s">
        <v>806</v>
      </c>
      <c r="CE1041" t="s">
        <v>1887</v>
      </c>
      <c r="CF1041" s="12">
        <v>16.22</v>
      </c>
      <c r="CH1041" s="12">
        <v>24.33</v>
      </c>
      <c r="CJ1041" t="s">
        <v>135</v>
      </c>
      <c r="CK1041" t="s">
        <v>590</v>
      </c>
      <c r="CL1041" t="s">
        <v>3893</v>
      </c>
      <c r="CO1041" t="s">
        <v>132</v>
      </c>
      <c r="CP1041" t="s">
        <v>114</v>
      </c>
      <c r="CQ1041" t="s">
        <v>136</v>
      </c>
      <c r="CR1041" t="s">
        <v>136</v>
      </c>
      <c r="CS1041" t="s">
        <v>136</v>
      </c>
      <c r="CT1041" t="s">
        <v>136</v>
      </c>
      <c r="CU1041" t="s">
        <v>136</v>
      </c>
      <c r="CV1041" t="s">
        <v>3894</v>
      </c>
      <c r="CW1041" s="10" t="str">
        <f>"N/A"</f>
        <v>N/A</v>
      </c>
      <c r="CX1041" t="s">
        <v>3549</v>
      </c>
      <c r="CY1041" t="s">
        <v>1997</v>
      </c>
      <c r="CZ1041" t="s">
        <v>137</v>
      </c>
      <c r="DA1041" t="s">
        <v>114</v>
      </c>
      <c r="DB1041" t="s">
        <v>114</v>
      </c>
      <c r="DC1041" t="s">
        <v>136</v>
      </c>
      <c r="DD1041" t="s">
        <v>114</v>
      </c>
      <c r="DE1041" t="s">
        <v>2273</v>
      </c>
      <c r="DF1041" t="s">
        <v>1069</v>
      </c>
      <c r="DH1041" t="s">
        <v>583</v>
      </c>
      <c r="DI1041" t="s">
        <v>2271</v>
      </c>
    </row>
    <row r="1042" spans="1:113" ht="15" customHeight="1" x14ac:dyDescent="0.25">
      <c r="A1042" t="s">
        <v>13226</v>
      </c>
      <c r="B1042" t="s">
        <v>152</v>
      </c>
      <c r="C1042" s="1">
        <v>45198.345856944441</v>
      </c>
      <c r="D1042" s="1">
        <v>45238</v>
      </c>
      <c r="E1042" t="s">
        <v>132</v>
      </c>
      <c r="F1042" t="s">
        <v>8030</v>
      </c>
      <c r="G1042" t="str">
        <f>"35-3023.00"</f>
        <v>35-3023.00</v>
      </c>
      <c r="H1042" t="s">
        <v>1365</v>
      </c>
      <c r="I1042">
        <v>8</v>
      </c>
      <c r="J1042">
        <v>8</v>
      </c>
      <c r="K1042" s="1">
        <v>45288</v>
      </c>
      <c r="L1042" s="1">
        <v>45590</v>
      </c>
      <c r="M1042" s="1">
        <v>45288</v>
      </c>
      <c r="N1042" s="1">
        <v>45590</v>
      </c>
      <c r="O1042" t="s">
        <v>238</v>
      </c>
      <c r="P1042" t="s">
        <v>13227</v>
      </c>
      <c r="R1042" t="s">
        <v>13228</v>
      </c>
      <c r="S1042" t="s">
        <v>13229</v>
      </c>
      <c r="T1042" t="s">
        <v>13230</v>
      </c>
      <c r="U1042" t="s">
        <v>140</v>
      </c>
      <c r="V1042" s="8" t="str">
        <f>"32091"</f>
        <v>32091</v>
      </c>
      <c r="W1042" t="s">
        <v>118</v>
      </c>
      <c r="Y1042" s="10">
        <v>17326847227</v>
      </c>
      <c r="AA1042">
        <v>7139</v>
      </c>
      <c r="AB1042" t="s">
        <v>5369</v>
      </c>
      <c r="AC1042" t="s">
        <v>2580</v>
      </c>
      <c r="AD1042" t="s">
        <v>132</v>
      </c>
      <c r="AE1042" t="s">
        <v>561</v>
      </c>
      <c r="AF1042" t="s">
        <v>13228</v>
      </c>
      <c r="AG1042" t="s">
        <v>13229</v>
      </c>
      <c r="AH1042" t="s">
        <v>13230</v>
      </c>
      <c r="AI1042" t="s">
        <v>140</v>
      </c>
      <c r="AJ1042" s="8" t="str">
        <f>"32091"</f>
        <v>32091</v>
      </c>
      <c r="AK1042" t="s">
        <v>118</v>
      </c>
      <c r="AM1042" s="10">
        <v>17326847225</v>
      </c>
      <c r="AO1042" t="s">
        <v>13231</v>
      </c>
      <c r="AP1042" t="s">
        <v>248</v>
      </c>
      <c r="AQ1042" t="s">
        <v>249</v>
      </c>
      <c r="AR1042" t="s">
        <v>250</v>
      </c>
      <c r="AS1042" t="s">
        <v>251</v>
      </c>
      <c r="AT1042" t="s">
        <v>252</v>
      </c>
      <c r="AU1042" t="s">
        <v>253</v>
      </c>
      <c r="AV1042" t="s">
        <v>254</v>
      </c>
      <c r="AW1042" t="s">
        <v>127</v>
      </c>
      <c r="AX1042" s="8" t="str">
        <f>"78550"</f>
        <v>78550</v>
      </c>
      <c r="AY1042" t="s">
        <v>118</v>
      </c>
      <c r="AZ1042" t="s">
        <v>255</v>
      </c>
      <c r="BA1042" s="10">
        <v>19564408720</v>
      </c>
      <c r="BB1042" s="3" t="s">
        <v>256</v>
      </c>
      <c r="BC1042" t="s">
        <v>257</v>
      </c>
      <c r="BD1042" t="s">
        <v>258</v>
      </c>
      <c r="BG1042" t="s">
        <v>140</v>
      </c>
      <c r="BH1042" s="1">
        <v>45197.833333333336</v>
      </c>
      <c r="BI1042">
        <v>40</v>
      </c>
      <c r="BJ1042">
        <v>8</v>
      </c>
      <c r="BK1042">
        <v>0</v>
      </c>
      <c r="BL1042">
        <v>0</v>
      </c>
      <c r="BM1042">
        <v>8</v>
      </c>
      <c r="BN1042">
        <v>8</v>
      </c>
      <c r="BO1042">
        <v>8</v>
      </c>
      <c r="BP1042">
        <v>8</v>
      </c>
      <c r="BQ1042" t="str">
        <f>"1:00 PM"</f>
        <v>1:00 PM</v>
      </c>
      <c r="BR1042" t="str">
        <f>"10:00 PM"</f>
        <v>10:00 PM</v>
      </c>
      <c r="BS1042" t="s">
        <v>131</v>
      </c>
      <c r="BT1042">
        <v>0</v>
      </c>
      <c r="BU1042">
        <v>0</v>
      </c>
      <c r="BV1042" t="s">
        <v>114</v>
      </c>
      <c r="BX1042" s="2" t="s">
        <v>259</v>
      </c>
      <c r="BY1042" t="s">
        <v>13228</v>
      </c>
      <c r="CA1042" t="s">
        <v>13230</v>
      </c>
      <c r="CB1042" t="s">
        <v>140</v>
      </c>
      <c r="CC1042" s="8" t="str">
        <f>"32091"</f>
        <v>32091</v>
      </c>
      <c r="CD1042" t="s">
        <v>13232</v>
      </c>
      <c r="CE1042" t="s">
        <v>10009</v>
      </c>
      <c r="CF1042" s="12">
        <v>10.87</v>
      </c>
      <c r="CG1042" s="12">
        <v>16.079999999999998</v>
      </c>
      <c r="CJ1042" t="s">
        <v>135</v>
      </c>
      <c r="CK1042" t="s">
        <v>264</v>
      </c>
      <c r="CL1042" t="s">
        <v>13233</v>
      </c>
      <c r="CO1042" t="s">
        <v>132</v>
      </c>
      <c r="CP1042" t="s">
        <v>136</v>
      </c>
      <c r="CQ1042" t="s">
        <v>136</v>
      </c>
      <c r="CR1042" t="s">
        <v>114</v>
      </c>
      <c r="CS1042" t="s">
        <v>136</v>
      </c>
      <c r="CT1042" t="s">
        <v>136</v>
      </c>
      <c r="CU1042" t="s">
        <v>136</v>
      </c>
      <c r="CV1042" t="s">
        <v>266</v>
      </c>
      <c r="CW1042" s="10" t="str">
        <f>"+17326847227"</f>
        <v>+17326847227</v>
      </c>
      <c r="CX1042" t="s">
        <v>13231</v>
      </c>
      <c r="CY1042" t="s">
        <v>132</v>
      </c>
      <c r="CZ1042" t="s">
        <v>137</v>
      </c>
      <c r="DA1042" t="s">
        <v>114</v>
      </c>
      <c r="DB1042" t="s">
        <v>136</v>
      </c>
      <c r="DC1042" t="s">
        <v>136</v>
      </c>
      <c r="DD1042" t="s">
        <v>114</v>
      </c>
    </row>
    <row r="1043" spans="1:113" ht="15" customHeight="1" x14ac:dyDescent="0.25">
      <c r="A1043" t="s">
        <v>22633</v>
      </c>
      <c r="B1043" t="s">
        <v>152</v>
      </c>
      <c r="C1043" s="1">
        <v>45194.801138310184</v>
      </c>
      <c r="D1043" s="1">
        <v>45238</v>
      </c>
      <c r="E1043" t="s">
        <v>132</v>
      </c>
      <c r="F1043" t="s">
        <v>236</v>
      </c>
      <c r="G1043" t="str">
        <f>"39-3091.00"</f>
        <v>39-3091.00</v>
      </c>
      <c r="H1043" t="s">
        <v>237</v>
      </c>
      <c r="I1043">
        <v>30</v>
      </c>
      <c r="J1043">
        <v>30</v>
      </c>
      <c r="K1043" s="1">
        <v>45282</v>
      </c>
      <c r="L1043" s="1">
        <v>45586</v>
      </c>
      <c r="M1043" s="1">
        <v>45282</v>
      </c>
      <c r="N1043" s="1">
        <v>45586</v>
      </c>
      <c r="O1043" t="s">
        <v>238</v>
      </c>
      <c r="P1043" t="s">
        <v>22634</v>
      </c>
      <c r="Q1043" t="s">
        <v>132</v>
      </c>
      <c r="R1043" t="s">
        <v>22635</v>
      </c>
      <c r="S1043" t="s">
        <v>132</v>
      </c>
      <c r="T1043" t="s">
        <v>126</v>
      </c>
      <c r="U1043" t="s">
        <v>127</v>
      </c>
      <c r="V1043" s="8" t="str">
        <f>"78221"</f>
        <v>78221</v>
      </c>
      <c r="W1043" t="s">
        <v>118</v>
      </c>
      <c r="X1043" t="s">
        <v>132</v>
      </c>
      <c r="Y1043" s="10">
        <v>12102400215</v>
      </c>
      <c r="Z1043" s="3" t="s">
        <v>256</v>
      </c>
      <c r="AA1043">
        <v>71119</v>
      </c>
      <c r="AB1043" t="s">
        <v>22636</v>
      </c>
      <c r="AC1043" t="s">
        <v>2602</v>
      </c>
      <c r="AD1043" t="s">
        <v>132</v>
      </c>
      <c r="AE1043" t="s">
        <v>1580</v>
      </c>
      <c r="AF1043" t="s">
        <v>22635</v>
      </c>
      <c r="AG1043" t="s">
        <v>132</v>
      </c>
      <c r="AH1043" t="s">
        <v>126</v>
      </c>
      <c r="AI1043" t="s">
        <v>127</v>
      </c>
      <c r="AJ1043" s="8" t="str">
        <f>"78221"</f>
        <v>78221</v>
      </c>
      <c r="AK1043" t="s">
        <v>118</v>
      </c>
      <c r="AM1043" s="10">
        <v>12102400215</v>
      </c>
      <c r="AN1043" s="3" t="s">
        <v>256</v>
      </c>
      <c r="AO1043" t="s">
        <v>22637</v>
      </c>
      <c r="AP1043" t="s">
        <v>248</v>
      </c>
      <c r="AQ1043" t="s">
        <v>249</v>
      </c>
      <c r="AR1043" t="s">
        <v>250</v>
      </c>
      <c r="AS1043" t="s">
        <v>251</v>
      </c>
      <c r="AT1043" t="s">
        <v>252</v>
      </c>
      <c r="AU1043" t="s">
        <v>253</v>
      </c>
      <c r="AV1043" t="s">
        <v>254</v>
      </c>
      <c r="AW1043" t="s">
        <v>127</v>
      </c>
      <c r="AX1043" s="8" t="str">
        <f>"78550"</f>
        <v>78550</v>
      </c>
      <c r="AY1043" t="s">
        <v>118</v>
      </c>
      <c r="AZ1043" t="s">
        <v>255</v>
      </c>
      <c r="BA1043" s="10">
        <v>19564408720</v>
      </c>
      <c r="BB1043" s="3" t="s">
        <v>256</v>
      </c>
      <c r="BC1043" t="s">
        <v>257</v>
      </c>
      <c r="BD1043" t="s">
        <v>258</v>
      </c>
      <c r="BG1043" t="s">
        <v>127</v>
      </c>
      <c r="BH1043" s="1">
        <v>45193.833333333336</v>
      </c>
      <c r="BI1043">
        <v>40</v>
      </c>
      <c r="BJ1043">
        <v>8</v>
      </c>
      <c r="BK1043">
        <v>0</v>
      </c>
      <c r="BL1043">
        <v>0</v>
      </c>
      <c r="BM1043">
        <v>8</v>
      </c>
      <c r="BN1043">
        <v>8</v>
      </c>
      <c r="BO1043">
        <v>8</v>
      </c>
      <c r="BP1043">
        <v>8</v>
      </c>
      <c r="BQ1043" t="str">
        <f>"1:00 PM"</f>
        <v>1:00 PM</v>
      </c>
      <c r="BR1043" t="str">
        <f>"10:00 PM"</f>
        <v>10:00 PM</v>
      </c>
      <c r="BS1043" t="s">
        <v>131</v>
      </c>
      <c r="BT1043">
        <v>0</v>
      </c>
      <c r="BU1043">
        <v>0</v>
      </c>
      <c r="BV1043" t="s">
        <v>114</v>
      </c>
      <c r="BX1043" s="2" t="s">
        <v>259</v>
      </c>
      <c r="BY1043" t="s">
        <v>22635</v>
      </c>
      <c r="CA1043" t="s">
        <v>126</v>
      </c>
      <c r="CB1043" t="s">
        <v>127</v>
      </c>
      <c r="CC1043" s="8" t="str">
        <f>"78221"</f>
        <v>78221</v>
      </c>
      <c r="CD1043" t="s">
        <v>1941</v>
      </c>
      <c r="CE1043" t="s">
        <v>1287</v>
      </c>
      <c r="CF1043" s="12">
        <v>10.76</v>
      </c>
      <c r="CG1043" s="12">
        <v>16.899999999999999</v>
      </c>
      <c r="CJ1043" t="s">
        <v>135</v>
      </c>
      <c r="CK1043" t="s">
        <v>264</v>
      </c>
      <c r="CL1043" t="s">
        <v>22638</v>
      </c>
      <c r="CO1043" t="s">
        <v>132</v>
      </c>
      <c r="CP1043" t="s">
        <v>136</v>
      </c>
      <c r="CQ1043" t="s">
        <v>136</v>
      </c>
      <c r="CR1043" t="s">
        <v>114</v>
      </c>
      <c r="CS1043" t="s">
        <v>136</v>
      </c>
      <c r="CT1043" t="s">
        <v>136</v>
      </c>
      <c r="CU1043" t="s">
        <v>136</v>
      </c>
      <c r="CV1043" t="s">
        <v>9922</v>
      </c>
      <c r="CW1043" s="10" t="str">
        <f>"+12102400215"</f>
        <v>+12102400215</v>
      </c>
      <c r="CX1043" t="s">
        <v>22637</v>
      </c>
      <c r="CY1043" t="s">
        <v>132</v>
      </c>
      <c r="CZ1043" t="s">
        <v>137</v>
      </c>
      <c r="DA1043" t="s">
        <v>114</v>
      </c>
      <c r="DB1043" t="s">
        <v>136</v>
      </c>
      <c r="DC1043" t="s">
        <v>136</v>
      </c>
      <c r="DD1043" t="s">
        <v>114</v>
      </c>
    </row>
    <row r="1044" spans="1:113" ht="15" customHeight="1" x14ac:dyDescent="0.25">
      <c r="A1044" t="s">
        <v>14195</v>
      </c>
      <c r="B1044" t="s">
        <v>152</v>
      </c>
      <c r="C1044" s="1">
        <v>45194.629794907407</v>
      </c>
      <c r="D1044" s="1">
        <v>45238</v>
      </c>
      <c r="E1044" t="s">
        <v>132</v>
      </c>
      <c r="F1044" t="s">
        <v>2417</v>
      </c>
      <c r="G1044" t="str">
        <f>"37-2012.00"</f>
        <v>37-2012.00</v>
      </c>
      <c r="H1044" t="s">
        <v>205</v>
      </c>
      <c r="I1044">
        <v>18</v>
      </c>
      <c r="J1044">
        <v>18</v>
      </c>
      <c r="K1044" s="1">
        <v>45269</v>
      </c>
      <c r="L1044" s="1">
        <v>45543</v>
      </c>
      <c r="M1044" s="1">
        <v>45269</v>
      </c>
      <c r="N1044" s="1">
        <v>45543</v>
      </c>
      <c r="O1044" t="s">
        <v>116</v>
      </c>
      <c r="P1044" t="s">
        <v>2418</v>
      </c>
      <c r="R1044" t="s">
        <v>2419</v>
      </c>
      <c r="T1044" t="s">
        <v>2420</v>
      </c>
      <c r="U1044" t="s">
        <v>386</v>
      </c>
      <c r="V1044" s="8" t="str">
        <f>"38555"</f>
        <v>38555</v>
      </c>
      <c r="W1044" t="s">
        <v>118</v>
      </c>
      <c r="Y1044" s="10">
        <v>18004891718</v>
      </c>
      <c r="AA1044">
        <v>56172</v>
      </c>
      <c r="AB1044" t="s">
        <v>6839</v>
      </c>
      <c r="AC1044" t="s">
        <v>6840</v>
      </c>
      <c r="AE1044" t="s">
        <v>6841</v>
      </c>
      <c r="AF1044" t="s">
        <v>2419</v>
      </c>
      <c r="AH1044" t="s">
        <v>2420</v>
      </c>
      <c r="AI1044" t="s">
        <v>386</v>
      </c>
      <c r="AJ1044" s="8" t="str">
        <f>"38555"</f>
        <v>38555</v>
      </c>
      <c r="AK1044" t="s">
        <v>118</v>
      </c>
      <c r="AM1044" s="10">
        <v>14077231164</v>
      </c>
      <c r="AO1044" t="s">
        <v>2422</v>
      </c>
      <c r="AX1044" s="8" t="str">
        <f>""</f>
        <v/>
      </c>
      <c r="BG1044" t="s">
        <v>558</v>
      </c>
      <c r="BH1044" s="1">
        <v>45193.833333333336</v>
      </c>
      <c r="BI1044">
        <v>35</v>
      </c>
      <c r="BJ1044">
        <v>7</v>
      </c>
      <c r="BK1044">
        <v>0</v>
      </c>
      <c r="BL1044">
        <v>0</v>
      </c>
      <c r="BM1044">
        <v>7</v>
      </c>
      <c r="BN1044">
        <v>7</v>
      </c>
      <c r="BO1044">
        <v>7</v>
      </c>
      <c r="BP1044">
        <v>7</v>
      </c>
      <c r="BQ1044" t="str">
        <f>"9:00 AM"</f>
        <v>9:00 AM</v>
      </c>
      <c r="BR1044" t="str">
        <f>"4:00 PM"</f>
        <v>4:00 PM</v>
      </c>
      <c r="BS1044" t="s">
        <v>131</v>
      </c>
      <c r="BT1044">
        <v>0</v>
      </c>
      <c r="BU1044">
        <v>3</v>
      </c>
      <c r="BV1044" t="s">
        <v>114</v>
      </c>
      <c r="BX1044" s="2" t="s">
        <v>2423</v>
      </c>
      <c r="BY1044" t="s">
        <v>14196</v>
      </c>
      <c r="CA1044" t="s">
        <v>14197</v>
      </c>
      <c r="CB1044" t="s">
        <v>558</v>
      </c>
      <c r="CC1044" s="8" t="str">
        <f>"86336"</f>
        <v>86336</v>
      </c>
      <c r="CD1044" t="s">
        <v>13943</v>
      </c>
      <c r="CE1044" t="s">
        <v>13944</v>
      </c>
      <c r="CF1044" s="12">
        <v>15.2</v>
      </c>
      <c r="CH1044" s="12">
        <v>22.8</v>
      </c>
      <c r="CJ1044" t="s">
        <v>305</v>
      </c>
      <c r="CK1044" t="s">
        <v>10057</v>
      </c>
      <c r="CL1044" t="s">
        <v>14198</v>
      </c>
      <c r="CO1044" t="s">
        <v>132</v>
      </c>
      <c r="CP1044" t="s">
        <v>136</v>
      </c>
      <c r="CQ1044" t="s">
        <v>136</v>
      </c>
      <c r="CR1044" t="s">
        <v>136</v>
      </c>
      <c r="CS1044" t="s">
        <v>136</v>
      </c>
      <c r="CT1044" t="s">
        <v>136</v>
      </c>
      <c r="CU1044" t="s">
        <v>136</v>
      </c>
      <c r="CV1044" t="s">
        <v>10059</v>
      </c>
      <c r="CW1044" s="10" t="str">
        <f>"+14077231139"</f>
        <v>+14077231139</v>
      </c>
      <c r="CX1044" t="s">
        <v>2427</v>
      </c>
      <c r="CY1044" t="s">
        <v>132</v>
      </c>
      <c r="CZ1044" t="s">
        <v>137</v>
      </c>
      <c r="DA1044" t="s">
        <v>114</v>
      </c>
      <c r="DB1044" t="s">
        <v>136</v>
      </c>
      <c r="DC1044" t="s">
        <v>136</v>
      </c>
      <c r="DD1044" t="s">
        <v>114</v>
      </c>
    </row>
    <row r="1045" spans="1:113" ht="15" customHeight="1" x14ac:dyDescent="0.25">
      <c r="A1045" t="s">
        <v>20937</v>
      </c>
      <c r="B1045" t="s">
        <v>152</v>
      </c>
      <c r="C1045" s="1">
        <v>45189.976999652776</v>
      </c>
      <c r="D1045" s="1">
        <v>45238</v>
      </c>
      <c r="E1045" t="s">
        <v>132</v>
      </c>
      <c r="F1045" t="s">
        <v>4193</v>
      </c>
      <c r="G1045" t="str">
        <f>"37-2011.00"</f>
        <v>37-2011.00</v>
      </c>
      <c r="H1045" t="s">
        <v>1089</v>
      </c>
      <c r="I1045">
        <v>5</v>
      </c>
      <c r="J1045">
        <v>5</v>
      </c>
      <c r="K1045" s="1">
        <v>45264</v>
      </c>
      <c r="L1045" s="1">
        <v>45380</v>
      </c>
      <c r="M1045" s="1">
        <v>45264</v>
      </c>
      <c r="N1045" s="1">
        <v>45380</v>
      </c>
      <c r="O1045" t="s">
        <v>238</v>
      </c>
      <c r="P1045" t="s">
        <v>20938</v>
      </c>
      <c r="R1045" t="s">
        <v>20939</v>
      </c>
      <c r="T1045" t="s">
        <v>20940</v>
      </c>
      <c r="U1045" t="s">
        <v>358</v>
      </c>
      <c r="V1045" s="8" t="str">
        <f>"14467"</f>
        <v>14467</v>
      </c>
      <c r="W1045" t="s">
        <v>118</v>
      </c>
      <c r="Y1045" s="10">
        <v>15853343620</v>
      </c>
      <c r="AA1045">
        <v>488490</v>
      </c>
      <c r="AB1045" t="s">
        <v>20941</v>
      </c>
      <c r="AC1045" t="s">
        <v>3734</v>
      </c>
      <c r="AD1045" t="s">
        <v>3052</v>
      </c>
      <c r="AE1045" t="s">
        <v>629</v>
      </c>
      <c r="AF1045" t="s">
        <v>20942</v>
      </c>
      <c r="AH1045" t="s">
        <v>20940</v>
      </c>
      <c r="AI1045" t="s">
        <v>358</v>
      </c>
      <c r="AJ1045" s="8" t="str">
        <f>"14467"</f>
        <v>14467</v>
      </c>
      <c r="AK1045" t="s">
        <v>118</v>
      </c>
      <c r="AM1045" s="10">
        <v>15853343620</v>
      </c>
      <c r="AO1045" t="s">
        <v>20943</v>
      </c>
      <c r="AP1045" t="s">
        <v>248</v>
      </c>
      <c r="AQ1045" t="s">
        <v>12305</v>
      </c>
      <c r="AR1045" t="s">
        <v>20944</v>
      </c>
      <c r="AS1045" t="s">
        <v>3731</v>
      </c>
      <c r="AT1045" t="s">
        <v>20945</v>
      </c>
      <c r="AU1045">
        <v>184</v>
      </c>
      <c r="AV1045" t="s">
        <v>2568</v>
      </c>
      <c r="AW1045" t="s">
        <v>127</v>
      </c>
      <c r="AX1045" s="8" t="str">
        <f>"78520"</f>
        <v>78520</v>
      </c>
      <c r="AY1045" t="s">
        <v>118</v>
      </c>
      <c r="BA1045" s="10">
        <v>19563122261</v>
      </c>
      <c r="BC1045" t="s">
        <v>20946</v>
      </c>
      <c r="BD1045" t="s">
        <v>20947</v>
      </c>
      <c r="BG1045" t="s">
        <v>358</v>
      </c>
      <c r="BH1045" s="1">
        <v>45188.833333333336</v>
      </c>
      <c r="BI1045">
        <v>40</v>
      </c>
      <c r="BJ1045">
        <v>0</v>
      </c>
      <c r="BK1045">
        <v>8</v>
      </c>
      <c r="BL1045">
        <v>8</v>
      </c>
      <c r="BM1045">
        <v>8</v>
      </c>
      <c r="BN1045">
        <v>8</v>
      </c>
      <c r="BO1045">
        <v>8</v>
      </c>
      <c r="BP1045">
        <v>0</v>
      </c>
      <c r="BQ1045" t="str">
        <f>"7:00 AM"</f>
        <v>7:00 AM</v>
      </c>
      <c r="BR1045" t="str">
        <f>"4:00 PM"</f>
        <v>4:00 PM</v>
      </c>
      <c r="BS1045" t="s">
        <v>131</v>
      </c>
      <c r="BT1045">
        <v>0</v>
      </c>
      <c r="BU1045">
        <v>2</v>
      </c>
      <c r="BV1045" t="s">
        <v>114</v>
      </c>
      <c r="BX1045" t="s">
        <v>131</v>
      </c>
      <c r="BY1045" t="s">
        <v>20939</v>
      </c>
      <c r="CA1045" t="s">
        <v>20940</v>
      </c>
      <c r="CB1045" t="s">
        <v>358</v>
      </c>
      <c r="CC1045" s="8" t="str">
        <f>"14467"</f>
        <v>14467</v>
      </c>
      <c r="CD1045" t="s">
        <v>303</v>
      </c>
      <c r="CE1045" t="s">
        <v>3589</v>
      </c>
      <c r="CF1045" s="12">
        <v>16.809999999999999</v>
      </c>
      <c r="CG1045" s="12">
        <v>16.809999999999999</v>
      </c>
      <c r="CJ1045" t="s">
        <v>135</v>
      </c>
      <c r="CK1045" t="s">
        <v>131</v>
      </c>
      <c r="CL1045" t="s">
        <v>20948</v>
      </c>
      <c r="CO1045" t="s">
        <v>132</v>
      </c>
      <c r="CP1045" t="s">
        <v>136</v>
      </c>
      <c r="CQ1045" t="s">
        <v>136</v>
      </c>
      <c r="CR1045" t="s">
        <v>114</v>
      </c>
      <c r="CS1045" t="s">
        <v>136</v>
      </c>
      <c r="CT1045" t="s">
        <v>136</v>
      </c>
      <c r="CU1045" t="s">
        <v>114</v>
      </c>
      <c r="CV1045" t="s">
        <v>131</v>
      </c>
      <c r="CW1045" s="10" t="str">
        <f>"+18583343620"</f>
        <v>+18583343620</v>
      </c>
      <c r="CX1045" t="s">
        <v>132</v>
      </c>
      <c r="CY1045" t="s">
        <v>20949</v>
      </c>
      <c r="CZ1045" t="s">
        <v>137</v>
      </c>
      <c r="DA1045" t="s">
        <v>114</v>
      </c>
      <c r="DB1045" t="s">
        <v>114</v>
      </c>
      <c r="DC1045" t="s">
        <v>136</v>
      </c>
      <c r="DD1045" t="s">
        <v>114</v>
      </c>
    </row>
    <row r="1046" spans="1:113" ht="15" customHeight="1" x14ac:dyDescent="0.25">
      <c r="A1046" t="s">
        <v>11627</v>
      </c>
      <c r="B1046" t="s">
        <v>152</v>
      </c>
      <c r="C1046" s="1">
        <v>45181.891658101849</v>
      </c>
      <c r="D1046" s="1">
        <v>45238</v>
      </c>
      <c r="E1046" t="s">
        <v>132</v>
      </c>
      <c r="F1046" t="s">
        <v>1668</v>
      </c>
      <c r="G1046" t="str">
        <f>"35-9021.00"</f>
        <v>35-9021.00</v>
      </c>
      <c r="H1046" t="s">
        <v>501</v>
      </c>
      <c r="I1046">
        <v>5</v>
      </c>
      <c r="J1046">
        <v>5</v>
      </c>
      <c r="K1046" s="1">
        <v>45267</v>
      </c>
      <c r="L1046" s="1">
        <v>45571</v>
      </c>
      <c r="M1046" s="1">
        <v>45267</v>
      </c>
      <c r="N1046" s="1">
        <v>45571</v>
      </c>
      <c r="O1046" t="s">
        <v>116</v>
      </c>
      <c r="P1046" t="s">
        <v>1150</v>
      </c>
      <c r="Q1046" t="s">
        <v>1151</v>
      </c>
      <c r="R1046" t="s">
        <v>1152</v>
      </c>
      <c r="T1046" t="s">
        <v>1153</v>
      </c>
      <c r="U1046" t="s">
        <v>1154</v>
      </c>
      <c r="V1046" s="8" t="str">
        <f>"39530"</f>
        <v>39530</v>
      </c>
      <c r="W1046" t="s">
        <v>118</v>
      </c>
      <c r="Y1046" s="10">
        <v>12283863079</v>
      </c>
      <c r="AA1046">
        <v>72112</v>
      </c>
      <c r="AB1046" t="s">
        <v>1155</v>
      </c>
      <c r="AC1046" t="s">
        <v>1835</v>
      </c>
      <c r="AE1046" t="s">
        <v>11628</v>
      </c>
      <c r="AF1046" t="s">
        <v>1152</v>
      </c>
      <c r="AH1046" t="s">
        <v>1153</v>
      </c>
      <c r="AI1046" t="s">
        <v>1154</v>
      </c>
      <c r="AJ1046" s="8" t="str">
        <f>"39530"</f>
        <v>39530</v>
      </c>
      <c r="AK1046" t="s">
        <v>118</v>
      </c>
      <c r="AM1046" s="10">
        <v>12883863079</v>
      </c>
      <c r="AO1046" t="s">
        <v>1158</v>
      </c>
      <c r="AP1046" t="s">
        <v>121</v>
      </c>
      <c r="AQ1046" t="s">
        <v>1122</v>
      </c>
      <c r="AR1046" t="s">
        <v>1123</v>
      </c>
      <c r="AS1046" t="s">
        <v>1124</v>
      </c>
      <c r="AT1046" t="s">
        <v>1125</v>
      </c>
      <c r="AU1046" t="s">
        <v>1126</v>
      </c>
      <c r="AV1046" t="s">
        <v>139</v>
      </c>
      <c r="AW1046" t="s">
        <v>140</v>
      </c>
      <c r="AX1046" s="8" t="str">
        <f>"33186"</f>
        <v>33186</v>
      </c>
      <c r="AY1046" t="s">
        <v>118</v>
      </c>
      <c r="BA1046" s="10">
        <v>13056706767</v>
      </c>
      <c r="BC1046" t="s">
        <v>1127</v>
      </c>
      <c r="BD1046" t="s">
        <v>1128</v>
      </c>
      <c r="BE1046" t="s">
        <v>140</v>
      </c>
      <c r="BF1046" t="s">
        <v>1129</v>
      </c>
      <c r="BG1046" t="s">
        <v>1154</v>
      </c>
      <c r="BH1046" s="1">
        <v>45175.833333333336</v>
      </c>
      <c r="BI1046">
        <v>56</v>
      </c>
      <c r="BJ1046">
        <v>8</v>
      </c>
      <c r="BK1046">
        <v>8</v>
      </c>
      <c r="BL1046">
        <v>8</v>
      </c>
      <c r="BM1046">
        <v>8</v>
      </c>
      <c r="BN1046">
        <v>8</v>
      </c>
      <c r="BO1046">
        <v>8</v>
      </c>
      <c r="BP1046">
        <v>8</v>
      </c>
      <c r="BQ1046" t="str">
        <f>"9:00 AM"</f>
        <v>9:00 AM</v>
      </c>
      <c r="BR1046" t="str">
        <f>"5:00 PM"</f>
        <v>5:00 PM</v>
      </c>
      <c r="BS1046" t="s">
        <v>131</v>
      </c>
      <c r="BT1046">
        <v>0</v>
      </c>
      <c r="BU1046">
        <v>0</v>
      </c>
      <c r="BV1046" t="s">
        <v>114</v>
      </c>
      <c r="BX1046" s="2" t="s">
        <v>11629</v>
      </c>
      <c r="BY1046" t="s">
        <v>1152</v>
      </c>
      <c r="CA1046" t="s">
        <v>1153</v>
      </c>
      <c r="CB1046" t="s">
        <v>1154</v>
      </c>
      <c r="CC1046" s="8" t="str">
        <f>"39530"</f>
        <v>39530</v>
      </c>
      <c r="CD1046" t="s">
        <v>1160</v>
      </c>
      <c r="CE1046" t="s">
        <v>1161</v>
      </c>
      <c r="CF1046" s="12">
        <v>13.5</v>
      </c>
      <c r="CH1046" s="12">
        <v>20.25</v>
      </c>
      <c r="CJ1046" t="s">
        <v>135</v>
      </c>
      <c r="CL1046" t="s">
        <v>11630</v>
      </c>
      <c r="CO1046" t="s">
        <v>132</v>
      </c>
      <c r="CP1046" t="s">
        <v>114</v>
      </c>
      <c r="CQ1046" t="s">
        <v>136</v>
      </c>
      <c r="CR1046" t="s">
        <v>136</v>
      </c>
      <c r="CS1046" t="s">
        <v>136</v>
      </c>
      <c r="CT1046" t="s">
        <v>136</v>
      </c>
      <c r="CU1046" t="s">
        <v>136</v>
      </c>
      <c r="CV1046" s="2" t="s">
        <v>11631</v>
      </c>
      <c r="CW1046" s="10" t="str">
        <f>"+12284323274"</f>
        <v>+12284323274</v>
      </c>
      <c r="CX1046" t="s">
        <v>1164</v>
      </c>
      <c r="CY1046" t="s">
        <v>132</v>
      </c>
      <c r="CZ1046" t="s">
        <v>137</v>
      </c>
      <c r="DA1046" t="s">
        <v>114</v>
      </c>
      <c r="DB1046" t="s">
        <v>136</v>
      </c>
      <c r="DC1046" t="s">
        <v>136</v>
      </c>
      <c r="DD1046" t="s">
        <v>114</v>
      </c>
    </row>
    <row r="1047" spans="1:113" ht="15" customHeight="1" x14ac:dyDescent="0.25">
      <c r="A1047" t="s">
        <v>17382</v>
      </c>
      <c r="B1047" t="s">
        <v>152</v>
      </c>
      <c r="C1047" s="1">
        <v>45181.891428703704</v>
      </c>
      <c r="D1047" s="1">
        <v>45238</v>
      </c>
      <c r="E1047" t="s">
        <v>132</v>
      </c>
      <c r="F1047" t="s">
        <v>17383</v>
      </c>
      <c r="G1047" t="str">
        <f>"37-2011.00"</f>
        <v>37-2011.00</v>
      </c>
      <c r="H1047" t="s">
        <v>1089</v>
      </c>
      <c r="I1047">
        <v>5</v>
      </c>
      <c r="J1047">
        <v>5</v>
      </c>
      <c r="K1047" s="1">
        <v>45267</v>
      </c>
      <c r="L1047" s="1">
        <v>45571</v>
      </c>
      <c r="M1047" s="1">
        <v>45267</v>
      </c>
      <c r="N1047" s="1">
        <v>45571</v>
      </c>
      <c r="O1047" t="s">
        <v>116</v>
      </c>
      <c r="P1047" t="s">
        <v>1150</v>
      </c>
      <c r="Q1047" t="s">
        <v>1151</v>
      </c>
      <c r="R1047" t="s">
        <v>1152</v>
      </c>
      <c r="T1047" t="s">
        <v>1153</v>
      </c>
      <c r="U1047" t="s">
        <v>1154</v>
      </c>
      <c r="V1047" s="8" t="str">
        <f>"39530"</f>
        <v>39530</v>
      </c>
      <c r="W1047" t="s">
        <v>118</v>
      </c>
      <c r="Y1047" s="10">
        <v>12283863079</v>
      </c>
      <c r="AA1047">
        <v>72112</v>
      </c>
      <c r="AB1047" t="s">
        <v>1155</v>
      </c>
      <c r="AC1047" t="s">
        <v>1156</v>
      </c>
      <c r="AE1047" t="s">
        <v>1157</v>
      </c>
      <c r="AF1047" t="s">
        <v>1152</v>
      </c>
      <c r="AH1047" t="s">
        <v>1153</v>
      </c>
      <c r="AI1047" t="s">
        <v>1154</v>
      </c>
      <c r="AJ1047" s="8" t="str">
        <f>"39530"</f>
        <v>39530</v>
      </c>
      <c r="AK1047" t="s">
        <v>118</v>
      </c>
      <c r="AM1047" s="10">
        <v>12883863079</v>
      </c>
      <c r="AO1047" t="s">
        <v>1158</v>
      </c>
      <c r="AP1047" t="s">
        <v>121</v>
      </c>
      <c r="AQ1047" t="s">
        <v>1122</v>
      </c>
      <c r="AR1047" t="s">
        <v>1123</v>
      </c>
      <c r="AS1047" t="s">
        <v>1124</v>
      </c>
      <c r="AT1047" t="s">
        <v>1125</v>
      </c>
      <c r="AU1047" t="s">
        <v>1126</v>
      </c>
      <c r="AV1047" t="s">
        <v>139</v>
      </c>
      <c r="AW1047" t="s">
        <v>140</v>
      </c>
      <c r="AX1047" s="8" t="str">
        <f>"33186"</f>
        <v>33186</v>
      </c>
      <c r="AY1047" t="s">
        <v>118</v>
      </c>
      <c r="BA1047" s="10">
        <v>13056706767</v>
      </c>
      <c r="BC1047" t="s">
        <v>1127</v>
      </c>
      <c r="BD1047" t="s">
        <v>1128</v>
      </c>
      <c r="BE1047" t="s">
        <v>140</v>
      </c>
      <c r="BF1047" t="s">
        <v>1129</v>
      </c>
      <c r="BG1047" t="s">
        <v>1154</v>
      </c>
      <c r="BH1047" s="1">
        <v>45175.833333333336</v>
      </c>
      <c r="BI1047">
        <v>52.5</v>
      </c>
      <c r="BJ1047">
        <v>7.5</v>
      </c>
      <c r="BK1047">
        <v>7.5</v>
      </c>
      <c r="BL1047">
        <v>7.5</v>
      </c>
      <c r="BM1047">
        <v>7.5</v>
      </c>
      <c r="BN1047">
        <v>7.5</v>
      </c>
      <c r="BO1047">
        <v>7.5</v>
      </c>
      <c r="BP1047">
        <v>7.5</v>
      </c>
      <c r="BQ1047" t="str">
        <f>"8:30 AM"</f>
        <v>8:30 AM</v>
      </c>
      <c r="BR1047" t="str">
        <f>"4:00 PM"</f>
        <v>4:00 PM</v>
      </c>
      <c r="BS1047" t="s">
        <v>131</v>
      </c>
      <c r="BT1047">
        <v>0</v>
      </c>
      <c r="BU1047">
        <v>0</v>
      </c>
      <c r="BV1047" t="s">
        <v>114</v>
      </c>
      <c r="BX1047" s="2" t="s">
        <v>17384</v>
      </c>
      <c r="BY1047" t="s">
        <v>1152</v>
      </c>
      <c r="CA1047" t="s">
        <v>1153</v>
      </c>
      <c r="CB1047" t="s">
        <v>1154</v>
      </c>
      <c r="CC1047" s="8" t="str">
        <f>"39530"</f>
        <v>39530</v>
      </c>
      <c r="CD1047" t="s">
        <v>1160</v>
      </c>
      <c r="CE1047" t="s">
        <v>1161</v>
      </c>
      <c r="CF1047" s="12">
        <v>13.5</v>
      </c>
      <c r="CH1047" s="12">
        <v>20.25</v>
      </c>
      <c r="CJ1047" t="s">
        <v>135</v>
      </c>
      <c r="CL1047" t="s">
        <v>17385</v>
      </c>
      <c r="CO1047" t="s">
        <v>132</v>
      </c>
      <c r="CP1047" t="s">
        <v>114</v>
      </c>
      <c r="CQ1047" t="s">
        <v>136</v>
      </c>
      <c r="CR1047" t="s">
        <v>136</v>
      </c>
      <c r="CS1047" t="s">
        <v>136</v>
      </c>
      <c r="CT1047" t="s">
        <v>136</v>
      </c>
      <c r="CU1047" t="s">
        <v>136</v>
      </c>
      <c r="CV1047" s="2" t="s">
        <v>17386</v>
      </c>
      <c r="CW1047" s="10" t="str">
        <f>"+12284323274"</f>
        <v>+12284323274</v>
      </c>
      <c r="CX1047" t="s">
        <v>1164</v>
      </c>
      <c r="CY1047" t="s">
        <v>132</v>
      </c>
      <c r="CZ1047" t="s">
        <v>137</v>
      </c>
      <c r="DA1047" t="s">
        <v>114</v>
      </c>
      <c r="DB1047" t="s">
        <v>136</v>
      </c>
      <c r="DC1047" t="s">
        <v>136</v>
      </c>
      <c r="DD1047" t="s">
        <v>114</v>
      </c>
    </row>
    <row r="1048" spans="1:113" ht="15" customHeight="1" x14ac:dyDescent="0.25">
      <c r="A1048" t="s">
        <v>13102</v>
      </c>
      <c r="B1048" t="s">
        <v>152</v>
      </c>
      <c r="C1048" s="1">
        <v>45181.891173495373</v>
      </c>
      <c r="D1048" s="1">
        <v>45238</v>
      </c>
      <c r="E1048" t="s">
        <v>132</v>
      </c>
      <c r="F1048" t="s">
        <v>12236</v>
      </c>
      <c r="G1048" t="str">
        <f>"35-2014.00"</f>
        <v>35-2014.00</v>
      </c>
      <c r="H1048" t="s">
        <v>154</v>
      </c>
      <c r="I1048">
        <v>5</v>
      </c>
      <c r="J1048">
        <v>5</v>
      </c>
      <c r="K1048" s="1">
        <v>45267</v>
      </c>
      <c r="L1048" s="1">
        <v>45571</v>
      </c>
      <c r="M1048" s="1">
        <v>45267</v>
      </c>
      <c r="N1048" s="1">
        <v>45571</v>
      </c>
      <c r="O1048" t="s">
        <v>116</v>
      </c>
      <c r="P1048" t="s">
        <v>1150</v>
      </c>
      <c r="Q1048" t="s">
        <v>1151</v>
      </c>
      <c r="R1048" t="s">
        <v>1152</v>
      </c>
      <c r="T1048" t="s">
        <v>1153</v>
      </c>
      <c r="U1048" t="s">
        <v>1154</v>
      </c>
      <c r="V1048" s="8" t="str">
        <f>"39530"</f>
        <v>39530</v>
      </c>
      <c r="W1048" t="s">
        <v>118</v>
      </c>
      <c r="Y1048" s="10">
        <v>12283863079</v>
      </c>
      <c r="AA1048">
        <v>72112</v>
      </c>
      <c r="AB1048" t="s">
        <v>1155</v>
      </c>
      <c r="AC1048" t="s">
        <v>1156</v>
      </c>
      <c r="AE1048" t="s">
        <v>1157</v>
      </c>
      <c r="AF1048" t="s">
        <v>1152</v>
      </c>
      <c r="AH1048" t="s">
        <v>1153</v>
      </c>
      <c r="AI1048" t="s">
        <v>1154</v>
      </c>
      <c r="AJ1048" s="8" t="str">
        <f>"39530"</f>
        <v>39530</v>
      </c>
      <c r="AK1048" t="s">
        <v>118</v>
      </c>
      <c r="AM1048" s="10">
        <v>12883863079</v>
      </c>
      <c r="AO1048" t="s">
        <v>1158</v>
      </c>
      <c r="AP1048" t="s">
        <v>121</v>
      </c>
      <c r="AQ1048" t="s">
        <v>1122</v>
      </c>
      <c r="AR1048" t="s">
        <v>1123</v>
      </c>
      <c r="AS1048" t="s">
        <v>1124</v>
      </c>
      <c r="AT1048" t="s">
        <v>1125</v>
      </c>
      <c r="AU1048" t="s">
        <v>1126</v>
      </c>
      <c r="AV1048" t="s">
        <v>139</v>
      </c>
      <c r="AW1048" t="s">
        <v>140</v>
      </c>
      <c r="AX1048" s="8" t="str">
        <f>"33186"</f>
        <v>33186</v>
      </c>
      <c r="AY1048" t="s">
        <v>118</v>
      </c>
      <c r="BA1048" s="10">
        <v>13056706767</v>
      </c>
      <c r="BC1048" t="s">
        <v>1127</v>
      </c>
      <c r="BD1048" t="s">
        <v>1128</v>
      </c>
      <c r="BE1048" t="s">
        <v>140</v>
      </c>
      <c r="BF1048" t="s">
        <v>1129</v>
      </c>
      <c r="BG1048" t="s">
        <v>1154</v>
      </c>
      <c r="BH1048" s="1">
        <v>45175.833333333336</v>
      </c>
      <c r="BI1048">
        <v>56</v>
      </c>
      <c r="BJ1048">
        <v>8</v>
      </c>
      <c r="BK1048">
        <v>8</v>
      </c>
      <c r="BL1048">
        <v>8</v>
      </c>
      <c r="BM1048">
        <v>8</v>
      </c>
      <c r="BN1048">
        <v>8</v>
      </c>
      <c r="BO1048">
        <v>8</v>
      </c>
      <c r="BP1048">
        <v>8</v>
      </c>
      <c r="BQ1048" t="str">
        <f>"9:00 AM"</f>
        <v>9:00 AM</v>
      </c>
      <c r="BR1048" t="str">
        <f>"5:00 PM"</f>
        <v>5:00 PM</v>
      </c>
      <c r="BS1048" t="s">
        <v>131</v>
      </c>
      <c r="BT1048">
        <v>0</v>
      </c>
      <c r="BU1048">
        <v>6</v>
      </c>
      <c r="BV1048" t="s">
        <v>114</v>
      </c>
      <c r="BX1048" s="2" t="s">
        <v>13103</v>
      </c>
      <c r="BY1048" t="s">
        <v>1152</v>
      </c>
      <c r="CA1048" t="s">
        <v>1153</v>
      </c>
      <c r="CB1048" t="s">
        <v>1154</v>
      </c>
      <c r="CC1048" s="8" t="str">
        <f>"39530"</f>
        <v>39530</v>
      </c>
      <c r="CD1048" t="s">
        <v>1160</v>
      </c>
      <c r="CE1048" t="s">
        <v>1161</v>
      </c>
      <c r="CF1048" s="12">
        <v>14.5</v>
      </c>
      <c r="CH1048" s="12">
        <v>21.75</v>
      </c>
      <c r="CJ1048" t="s">
        <v>135</v>
      </c>
      <c r="CL1048" t="s">
        <v>13104</v>
      </c>
      <c r="CO1048" t="s">
        <v>132</v>
      </c>
      <c r="CP1048" t="s">
        <v>114</v>
      </c>
      <c r="CQ1048" t="s">
        <v>136</v>
      </c>
      <c r="CR1048" t="s">
        <v>136</v>
      </c>
      <c r="CS1048" t="s">
        <v>136</v>
      </c>
      <c r="CT1048" t="s">
        <v>136</v>
      </c>
      <c r="CU1048" t="s">
        <v>136</v>
      </c>
      <c r="CV1048" t="s">
        <v>13105</v>
      </c>
      <c r="CW1048" s="10" t="str">
        <f>"+12284323274"</f>
        <v>+12284323274</v>
      </c>
      <c r="CX1048" t="s">
        <v>1164</v>
      </c>
      <c r="CY1048" t="s">
        <v>132</v>
      </c>
      <c r="CZ1048" t="s">
        <v>137</v>
      </c>
      <c r="DA1048" t="s">
        <v>114</v>
      </c>
      <c r="DB1048" t="s">
        <v>136</v>
      </c>
      <c r="DC1048" t="s">
        <v>136</v>
      </c>
      <c r="DD1048" t="s">
        <v>114</v>
      </c>
    </row>
    <row r="1049" spans="1:113" ht="15" customHeight="1" x14ac:dyDescent="0.25">
      <c r="A1049" t="s">
        <v>1149</v>
      </c>
      <c r="B1049" t="s">
        <v>152</v>
      </c>
      <c r="C1049" s="1">
        <v>45181.890923379629</v>
      </c>
      <c r="D1049" s="1">
        <v>45238</v>
      </c>
      <c r="E1049" t="s">
        <v>132</v>
      </c>
      <c r="F1049" t="s">
        <v>449</v>
      </c>
      <c r="G1049" t="str">
        <f>"37-2012.00"</f>
        <v>37-2012.00</v>
      </c>
      <c r="H1049" t="s">
        <v>205</v>
      </c>
      <c r="I1049">
        <v>40</v>
      </c>
      <c r="J1049">
        <v>40</v>
      </c>
      <c r="K1049" s="1">
        <v>45267</v>
      </c>
      <c r="L1049" s="1">
        <v>45571</v>
      </c>
      <c r="M1049" s="1">
        <v>45267</v>
      </c>
      <c r="N1049" s="1">
        <v>45571</v>
      </c>
      <c r="O1049" t="s">
        <v>116</v>
      </c>
      <c r="P1049" t="s">
        <v>1150</v>
      </c>
      <c r="Q1049" t="s">
        <v>1151</v>
      </c>
      <c r="R1049" t="s">
        <v>1152</v>
      </c>
      <c r="T1049" t="s">
        <v>1153</v>
      </c>
      <c r="U1049" t="s">
        <v>1154</v>
      </c>
      <c r="V1049" s="8" t="str">
        <f>"39530"</f>
        <v>39530</v>
      </c>
      <c r="W1049" t="s">
        <v>118</v>
      </c>
      <c r="Y1049" s="10">
        <v>12283863079</v>
      </c>
      <c r="AA1049">
        <v>72112</v>
      </c>
      <c r="AB1049" t="s">
        <v>1155</v>
      </c>
      <c r="AC1049" t="s">
        <v>1156</v>
      </c>
      <c r="AE1049" t="s">
        <v>1157</v>
      </c>
      <c r="AF1049" t="s">
        <v>1152</v>
      </c>
      <c r="AH1049" t="s">
        <v>1153</v>
      </c>
      <c r="AI1049" t="s">
        <v>1154</v>
      </c>
      <c r="AJ1049" s="8" t="str">
        <f>"39530"</f>
        <v>39530</v>
      </c>
      <c r="AK1049" t="s">
        <v>118</v>
      </c>
      <c r="AM1049" s="10">
        <v>12883863079</v>
      </c>
      <c r="AO1049" t="s">
        <v>1158</v>
      </c>
      <c r="AP1049" t="s">
        <v>121</v>
      </c>
      <c r="AQ1049" t="s">
        <v>1122</v>
      </c>
      <c r="AR1049" t="s">
        <v>1123</v>
      </c>
      <c r="AS1049" t="s">
        <v>1124</v>
      </c>
      <c r="AT1049" t="s">
        <v>1125</v>
      </c>
      <c r="AU1049" t="s">
        <v>1126</v>
      </c>
      <c r="AV1049" t="s">
        <v>139</v>
      </c>
      <c r="AW1049" t="s">
        <v>140</v>
      </c>
      <c r="AX1049" s="8" t="str">
        <f>"33186"</f>
        <v>33186</v>
      </c>
      <c r="AY1049" t="s">
        <v>118</v>
      </c>
      <c r="BA1049" s="10">
        <v>13056706767</v>
      </c>
      <c r="BC1049" t="s">
        <v>1127</v>
      </c>
      <c r="BD1049" t="s">
        <v>1128</v>
      </c>
      <c r="BE1049" t="s">
        <v>140</v>
      </c>
      <c r="BF1049" t="s">
        <v>1129</v>
      </c>
      <c r="BG1049" t="s">
        <v>1154</v>
      </c>
      <c r="BH1049" s="1">
        <v>45175.833333333336</v>
      </c>
      <c r="BI1049">
        <v>52.5</v>
      </c>
      <c r="BJ1049">
        <v>7.5</v>
      </c>
      <c r="BK1049">
        <v>7.5</v>
      </c>
      <c r="BL1049">
        <v>7.5</v>
      </c>
      <c r="BM1049">
        <v>7.5</v>
      </c>
      <c r="BN1049">
        <v>7.5</v>
      </c>
      <c r="BO1049">
        <v>7.5</v>
      </c>
      <c r="BP1049">
        <v>7.5</v>
      </c>
      <c r="BQ1049" t="str">
        <f>"8:30 AM"</f>
        <v>8:30 AM</v>
      </c>
      <c r="BR1049" t="str">
        <f>"4:00 PM"</f>
        <v>4:00 PM</v>
      </c>
      <c r="BS1049" t="s">
        <v>131</v>
      </c>
      <c r="BT1049">
        <v>0</v>
      </c>
      <c r="BU1049">
        <v>0</v>
      </c>
      <c r="BV1049" t="s">
        <v>114</v>
      </c>
      <c r="BX1049" s="2" t="s">
        <v>1159</v>
      </c>
      <c r="BY1049" t="s">
        <v>1152</v>
      </c>
      <c r="CA1049" t="s">
        <v>1153</v>
      </c>
      <c r="CB1049" t="s">
        <v>1154</v>
      </c>
      <c r="CC1049" s="8" t="str">
        <f>"39530"</f>
        <v>39530</v>
      </c>
      <c r="CD1049" t="s">
        <v>1160</v>
      </c>
      <c r="CE1049" t="s">
        <v>1161</v>
      </c>
      <c r="CF1049" s="12">
        <v>11.91</v>
      </c>
      <c r="CH1049" s="12">
        <v>17.87</v>
      </c>
      <c r="CJ1049" t="s">
        <v>135</v>
      </c>
      <c r="CL1049" t="s">
        <v>1162</v>
      </c>
      <c r="CO1049" t="s">
        <v>132</v>
      </c>
      <c r="CP1049" t="s">
        <v>114</v>
      </c>
      <c r="CQ1049" t="s">
        <v>136</v>
      </c>
      <c r="CR1049" t="s">
        <v>136</v>
      </c>
      <c r="CS1049" t="s">
        <v>136</v>
      </c>
      <c r="CT1049" t="s">
        <v>136</v>
      </c>
      <c r="CU1049" t="s">
        <v>136</v>
      </c>
      <c r="CV1049" t="s">
        <v>1163</v>
      </c>
      <c r="CW1049" s="10" t="str">
        <f>"+12284323274"</f>
        <v>+12284323274</v>
      </c>
      <c r="CX1049" t="s">
        <v>1164</v>
      </c>
      <c r="CY1049" t="s">
        <v>132</v>
      </c>
      <c r="CZ1049" t="s">
        <v>137</v>
      </c>
      <c r="DA1049" t="s">
        <v>114</v>
      </c>
      <c r="DB1049" t="s">
        <v>136</v>
      </c>
      <c r="DC1049" t="s">
        <v>136</v>
      </c>
      <c r="DD1049" t="s">
        <v>114</v>
      </c>
    </row>
    <row r="1050" spans="1:113" ht="15" customHeight="1" x14ac:dyDescent="0.25">
      <c r="A1050" t="s">
        <v>21467</v>
      </c>
      <c r="B1050" t="s">
        <v>152</v>
      </c>
      <c r="C1050" s="1">
        <v>45177.657241666668</v>
      </c>
      <c r="D1050" s="1">
        <v>45238</v>
      </c>
      <c r="E1050" t="s">
        <v>132</v>
      </c>
      <c r="F1050" t="s">
        <v>21468</v>
      </c>
      <c r="G1050" t="str">
        <f>"37-2011.00"</f>
        <v>37-2011.00</v>
      </c>
      <c r="H1050" t="s">
        <v>1089</v>
      </c>
      <c r="I1050">
        <v>2</v>
      </c>
      <c r="J1050">
        <v>2</v>
      </c>
      <c r="K1050" s="1">
        <v>45261</v>
      </c>
      <c r="L1050" s="1">
        <v>45427</v>
      </c>
      <c r="M1050" s="1">
        <v>45261</v>
      </c>
      <c r="N1050" s="1">
        <v>45427</v>
      </c>
      <c r="O1050" t="s">
        <v>116</v>
      </c>
      <c r="P1050" t="s">
        <v>4489</v>
      </c>
      <c r="Q1050" t="s">
        <v>4490</v>
      </c>
      <c r="R1050" t="s">
        <v>4491</v>
      </c>
      <c r="S1050" t="s">
        <v>4492</v>
      </c>
      <c r="T1050" t="s">
        <v>4493</v>
      </c>
      <c r="U1050" t="s">
        <v>188</v>
      </c>
      <c r="V1050" s="8" t="str">
        <f>"80435"</f>
        <v>80435</v>
      </c>
      <c r="W1050" t="s">
        <v>118</v>
      </c>
      <c r="Y1050" s="10">
        <v>19704680718</v>
      </c>
      <c r="AA1050">
        <v>713920</v>
      </c>
      <c r="AB1050" t="s">
        <v>1140</v>
      </c>
      <c r="AC1050" t="s">
        <v>4494</v>
      </c>
      <c r="AE1050" t="s">
        <v>1104</v>
      </c>
      <c r="AF1050" t="s">
        <v>4491</v>
      </c>
      <c r="AG1050" t="s">
        <v>4492</v>
      </c>
      <c r="AH1050" t="s">
        <v>4493</v>
      </c>
      <c r="AI1050" t="s">
        <v>188</v>
      </c>
      <c r="AJ1050" s="8" t="str">
        <f>"80435"</f>
        <v>80435</v>
      </c>
      <c r="AK1050" t="s">
        <v>118</v>
      </c>
      <c r="AM1050" s="10">
        <v>19704680718</v>
      </c>
      <c r="AO1050" t="s">
        <v>4495</v>
      </c>
      <c r="AP1050" t="s">
        <v>121</v>
      </c>
      <c r="AQ1050" t="s">
        <v>276</v>
      </c>
      <c r="AR1050" t="s">
        <v>277</v>
      </c>
      <c r="AS1050" t="s">
        <v>278</v>
      </c>
      <c r="AT1050" t="s">
        <v>279</v>
      </c>
      <c r="AU1050" t="s">
        <v>280</v>
      </c>
      <c r="AV1050" t="s">
        <v>281</v>
      </c>
      <c r="AW1050" t="s">
        <v>222</v>
      </c>
      <c r="AX1050" s="8" t="str">
        <f>"01701"</f>
        <v>01701</v>
      </c>
      <c r="AY1050" t="s">
        <v>118</v>
      </c>
      <c r="BA1050" s="10">
        <v>16179399444</v>
      </c>
      <c r="BC1050" t="s">
        <v>282</v>
      </c>
      <c r="BD1050" t="s">
        <v>283</v>
      </c>
      <c r="BE1050" t="s">
        <v>222</v>
      </c>
      <c r="BF1050" t="s">
        <v>284</v>
      </c>
      <c r="BG1050" t="s">
        <v>188</v>
      </c>
      <c r="BH1050" s="1">
        <v>45176.833333333336</v>
      </c>
      <c r="BI1050">
        <v>35</v>
      </c>
      <c r="BJ1050">
        <v>0</v>
      </c>
      <c r="BK1050">
        <v>7</v>
      </c>
      <c r="BL1050">
        <v>7</v>
      </c>
      <c r="BM1050">
        <v>7</v>
      </c>
      <c r="BN1050">
        <v>7</v>
      </c>
      <c r="BO1050">
        <v>7</v>
      </c>
      <c r="BP1050">
        <v>0</v>
      </c>
      <c r="BQ1050" t="str">
        <f>"7:00 AM"</f>
        <v>7:00 AM</v>
      </c>
      <c r="BR1050" t="str">
        <f>"2:00 PM"</f>
        <v>2:00 PM</v>
      </c>
      <c r="BS1050" t="s">
        <v>131</v>
      </c>
      <c r="BT1050">
        <v>0</v>
      </c>
      <c r="BU1050">
        <v>6</v>
      </c>
      <c r="BV1050" t="s">
        <v>114</v>
      </c>
      <c r="BX1050" s="2" t="s">
        <v>21469</v>
      </c>
      <c r="BY1050" t="s">
        <v>4491</v>
      </c>
      <c r="CA1050" t="s">
        <v>4493</v>
      </c>
      <c r="CB1050" t="s">
        <v>188</v>
      </c>
      <c r="CC1050" s="8" t="str">
        <f>"80435"</f>
        <v>80435</v>
      </c>
      <c r="CD1050" t="s">
        <v>228</v>
      </c>
      <c r="CE1050" t="s">
        <v>1038</v>
      </c>
      <c r="CF1050" s="12">
        <v>20.5</v>
      </c>
      <c r="CG1050" s="12">
        <v>22.5</v>
      </c>
      <c r="CH1050" s="12">
        <v>30.75</v>
      </c>
      <c r="CI1050" s="12">
        <v>33.75</v>
      </c>
      <c r="CJ1050" t="s">
        <v>135</v>
      </c>
      <c r="CK1050" t="s">
        <v>21470</v>
      </c>
      <c r="CL1050" t="s">
        <v>21471</v>
      </c>
      <c r="CO1050" t="s">
        <v>132</v>
      </c>
      <c r="CP1050" t="s">
        <v>114</v>
      </c>
      <c r="CQ1050" t="s">
        <v>114</v>
      </c>
      <c r="CR1050" t="s">
        <v>136</v>
      </c>
      <c r="CS1050" t="s">
        <v>136</v>
      </c>
      <c r="CT1050" t="s">
        <v>136</v>
      </c>
      <c r="CU1050" t="s">
        <v>136</v>
      </c>
      <c r="CV1050" s="2" t="s">
        <v>4499</v>
      </c>
      <c r="CW1050" s="10" t="str">
        <f>"+19704680718"</f>
        <v>+19704680718</v>
      </c>
      <c r="CX1050" t="s">
        <v>4500</v>
      </c>
      <c r="CY1050" t="s">
        <v>132</v>
      </c>
      <c r="CZ1050" t="s">
        <v>137</v>
      </c>
      <c r="DA1050" t="s">
        <v>114</v>
      </c>
      <c r="DB1050" t="s">
        <v>114</v>
      </c>
      <c r="DC1050" t="s">
        <v>136</v>
      </c>
      <c r="DD1050" t="s">
        <v>114</v>
      </c>
    </row>
    <row r="1051" spans="1:113" ht="15" customHeight="1" x14ac:dyDescent="0.25">
      <c r="A1051" t="s">
        <v>23616</v>
      </c>
      <c r="B1051" t="s">
        <v>152</v>
      </c>
      <c r="C1051" s="1">
        <v>45177.654802546298</v>
      </c>
      <c r="D1051" s="1">
        <v>45238</v>
      </c>
      <c r="E1051" t="s">
        <v>132</v>
      </c>
      <c r="F1051" t="s">
        <v>1305</v>
      </c>
      <c r="G1051" t="str">
        <f>"35-2014.00"</f>
        <v>35-2014.00</v>
      </c>
      <c r="H1051" t="s">
        <v>154</v>
      </c>
      <c r="I1051">
        <v>3</v>
      </c>
      <c r="J1051">
        <v>3</v>
      </c>
      <c r="K1051" s="1">
        <v>45261</v>
      </c>
      <c r="L1051" s="1">
        <v>45565</v>
      </c>
      <c r="M1051" s="1">
        <v>45261</v>
      </c>
      <c r="N1051" s="1">
        <v>45565</v>
      </c>
      <c r="O1051" t="s">
        <v>116</v>
      </c>
      <c r="P1051" t="s">
        <v>4489</v>
      </c>
      <c r="Q1051" t="s">
        <v>4490</v>
      </c>
      <c r="R1051" t="s">
        <v>4491</v>
      </c>
      <c r="S1051" t="s">
        <v>4492</v>
      </c>
      <c r="T1051" t="s">
        <v>4493</v>
      </c>
      <c r="U1051" t="s">
        <v>188</v>
      </c>
      <c r="V1051" s="8" t="str">
        <f>"80435"</f>
        <v>80435</v>
      </c>
      <c r="W1051" t="s">
        <v>118</v>
      </c>
      <c r="Y1051" s="10">
        <v>19704680718</v>
      </c>
      <c r="AA1051">
        <v>713920</v>
      </c>
      <c r="AB1051" t="s">
        <v>1140</v>
      </c>
      <c r="AC1051" t="s">
        <v>4494</v>
      </c>
      <c r="AE1051" t="s">
        <v>1104</v>
      </c>
      <c r="AF1051" t="s">
        <v>4491</v>
      </c>
      <c r="AG1051" t="s">
        <v>4492</v>
      </c>
      <c r="AH1051" t="s">
        <v>4493</v>
      </c>
      <c r="AI1051" t="s">
        <v>188</v>
      </c>
      <c r="AJ1051" s="8" t="str">
        <f>"80435"</f>
        <v>80435</v>
      </c>
      <c r="AK1051" t="s">
        <v>118</v>
      </c>
      <c r="AM1051" s="10">
        <v>19704680718</v>
      </c>
      <c r="AO1051" t="s">
        <v>4495</v>
      </c>
      <c r="AP1051" t="s">
        <v>121</v>
      </c>
      <c r="AQ1051" t="s">
        <v>276</v>
      </c>
      <c r="AR1051" t="s">
        <v>277</v>
      </c>
      <c r="AS1051" t="s">
        <v>278</v>
      </c>
      <c r="AT1051" t="s">
        <v>279</v>
      </c>
      <c r="AU1051" t="s">
        <v>280</v>
      </c>
      <c r="AV1051" t="s">
        <v>281</v>
      </c>
      <c r="AW1051" t="s">
        <v>222</v>
      </c>
      <c r="AX1051" s="8" t="str">
        <f>"01701"</f>
        <v>01701</v>
      </c>
      <c r="AY1051" t="s">
        <v>118</v>
      </c>
      <c r="BA1051" s="10">
        <v>16179399444</v>
      </c>
      <c r="BC1051" t="s">
        <v>282</v>
      </c>
      <c r="BD1051" t="s">
        <v>283</v>
      </c>
      <c r="BE1051" t="s">
        <v>222</v>
      </c>
      <c r="BF1051" t="s">
        <v>284</v>
      </c>
      <c r="BG1051" t="s">
        <v>188</v>
      </c>
      <c r="BH1051" s="1">
        <v>45176.833333333336</v>
      </c>
      <c r="BI1051">
        <v>35</v>
      </c>
      <c r="BJ1051">
        <v>0</v>
      </c>
      <c r="BK1051">
        <v>7</v>
      </c>
      <c r="BL1051">
        <v>7</v>
      </c>
      <c r="BM1051">
        <v>7</v>
      </c>
      <c r="BN1051">
        <v>7</v>
      </c>
      <c r="BO1051">
        <v>7</v>
      </c>
      <c r="BP1051">
        <v>0</v>
      </c>
      <c r="BQ1051" t="str">
        <f>"7:00 AM"</f>
        <v>7:00 AM</v>
      </c>
      <c r="BR1051" t="str">
        <f>"2:00 PM"</f>
        <v>2:00 PM</v>
      </c>
      <c r="BS1051" t="s">
        <v>131</v>
      </c>
      <c r="BT1051">
        <v>0</v>
      </c>
      <c r="BU1051">
        <v>12</v>
      </c>
      <c r="BV1051" t="s">
        <v>114</v>
      </c>
      <c r="BX1051" s="2" t="s">
        <v>4496</v>
      </c>
      <c r="BY1051" t="s">
        <v>4491</v>
      </c>
      <c r="CA1051" t="s">
        <v>4493</v>
      </c>
      <c r="CB1051" t="s">
        <v>188</v>
      </c>
      <c r="CC1051" s="8" t="str">
        <f>"80435"</f>
        <v>80435</v>
      </c>
      <c r="CD1051" t="s">
        <v>228</v>
      </c>
      <c r="CE1051" t="s">
        <v>1038</v>
      </c>
      <c r="CF1051" s="12">
        <v>22</v>
      </c>
      <c r="CG1051" s="12">
        <v>27.5</v>
      </c>
      <c r="CH1051" s="12">
        <v>33</v>
      </c>
      <c r="CI1051" s="12">
        <v>41.25</v>
      </c>
      <c r="CJ1051" t="s">
        <v>135</v>
      </c>
      <c r="CK1051" t="s">
        <v>4497</v>
      </c>
      <c r="CL1051" t="s">
        <v>4498</v>
      </c>
      <c r="CO1051" t="s">
        <v>132</v>
      </c>
      <c r="CP1051" t="s">
        <v>114</v>
      </c>
      <c r="CQ1051" t="s">
        <v>114</v>
      </c>
      <c r="CR1051" t="s">
        <v>136</v>
      </c>
      <c r="CS1051" t="s">
        <v>136</v>
      </c>
      <c r="CT1051" t="s">
        <v>136</v>
      </c>
      <c r="CU1051" t="s">
        <v>136</v>
      </c>
      <c r="CV1051" s="2" t="s">
        <v>4499</v>
      </c>
      <c r="CW1051" s="10" t="str">
        <f>"+19704680718"</f>
        <v>+19704680718</v>
      </c>
      <c r="CX1051" t="s">
        <v>4500</v>
      </c>
      <c r="CY1051" t="s">
        <v>132</v>
      </c>
      <c r="CZ1051" t="s">
        <v>137</v>
      </c>
      <c r="DA1051" t="s">
        <v>114</v>
      </c>
      <c r="DB1051" t="s">
        <v>114</v>
      </c>
      <c r="DC1051" t="s">
        <v>136</v>
      </c>
      <c r="DD1051" t="s">
        <v>114</v>
      </c>
    </row>
    <row r="1052" spans="1:113" ht="15" customHeight="1" x14ac:dyDescent="0.25">
      <c r="A1052" t="s">
        <v>4488</v>
      </c>
      <c r="B1052" t="s">
        <v>152</v>
      </c>
      <c r="C1052" s="1">
        <v>45177.652463078703</v>
      </c>
      <c r="D1052" s="1">
        <v>45238</v>
      </c>
      <c r="E1052" t="s">
        <v>132</v>
      </c>
      <c r="F1052" t="s">
        <v>1305</v>
      </c>
      <c r="G1052" t="str">
        <f>"35-2014.00"</f>
        <v>35-2014.00</v>
      </c>
      <c r="H1052" t="s">
        <v>154</v>
      </c>
      <c r="I1052">
        <v>4</v>
      </c>
      <c r="J1052">
        <v>4</v>
      </c>
      <c r="K1052" s="1">
        <v>45261</v>
      </c>
      <c r="L1052" s="1">
        <v>45443</v>
      </c>
      <c r="M1052" s="1">
        <v>45261</v>
      </c>
      <c r="N1052" s="1">
        <v>45443</v>
      </c>
      <c r="O1052" t="s">
        <v>116</v>
      </c>
      <c r="P1052" t="s">
        <v>4489</v>
      </c>
      <c r="Q1052" t="s">
        <v>4490</v>
      </c>
      <c r="R1052" t="s">
        <v>4491</v>
      </c>
      <c r="S1052" t="s">
        <v>4492</v>
      </c>
      <c r="T1052" t="s">
        <v>4493</v>
      </c>
      <c r="U1052" t="s">
        <v>188</v>
      </c>
      <c r="V1052" s="8" t="str">
        <f>"80435"</f>
        <v>80435</v>
      </c>
      <c r="W1052" t="s">
        <v>118</v>
      </c>
      <c r="Y1052" s="10">
        <v>19704680718</v>
      </c>
      <c r="AA1052">
        <v>713920</v>
      </c>
      <c r="AB1052" t="s">
        <v>1140</v>
      </c>
      <c r="AC1052" t="s">
        <v>4494</v>
      </c>
      <c r="AE1052" t="s">
        <v>1104</v>
      </c>
      <c r="AF1052" t="s">
        <v>4491</v>
      </c>
      <c r="AG1052" t="s">
        <v>4492</v>
      </c>
      <c r="AH1052" t="s">
        <v>4493</v>
      </c>
      <c r="AI1052" t="s">
        <v>188</v>
      </c>
      <c r="AJ1052" s="8" t="str">
        <f>"80435"</f>
        <v>80435</v>
      </c>
      <c r="AK1052" t="s">
        <v>118</v>
      </c>
      <c r="AM1052" s="10">
        <v>19704680718</v>
      </c>
      <c r="AO1052" t="s">
        <v>4495</v>
      </c>
      <c r="AP1052" t="s">
        <v>121</v>
      </c>
      <c r="AQ1052" t="s">
        <v>276</v>
      </c>
      <c r="AR1052" t="s">
        <v>277</v>
      </c>
      <c r="AS1052" t="s">
        <v>278</v>
      </c>
      <c r="AT1052" t="s">
        <v>279</v>
      </c>
      <c r="AU1052" t="s">
        <v>280</v>
      </c>
      <c r="AV1052" t="s">
        <v>281</v>
      </c>
      <c r="AW1052" t="s">
        <v>222</v>
      </c>
      <c r="AX1052" s="8" t="str">
        <f>"01701"</f>
        <v>01701</v>
      </c>
      <c r="AY1052" t="s">
        <v>118</v>
      </c>
      <c r="BA1052" s="10">
        <v>16179399444</v>
      </c>
      <c r="BC1052" t="s">
        <v>282</v>
      </c>
      <c r="BD1052" t="s">
        <v>283</v>
      </c>
      <c r="BE1052" t="s">
        <v>222</v>
      </c>
      <c r="BF1052" t="s">
        <v>284</v>
      </c>
      <c r="BG1052" t="s">
        <v>188</v>
      </c>
      <c r="BH1052" s="1">
        <v>45176.833333333336</v>
      </c>
      <c r="BI1052">
        <v>35</v>
      </c>
      <c r="BJ1052">
        <v>0</v>
      </c>
      <c r="BK1052">
        <v>7</v>
      </c>
      <c r="BL1052">
        <v>7</v>
      </c>
      <c r="BM1052">
        <v>7</v>
      </c>
      <c r="BN1052">
        <v>7</v>
      </c>
      <c r="BO1052">
        <v>7</v>
      </c>
      <c r="BP1052">
        <v>0</v>
      </c>
      <c r="BQ1052" t="str">
        <f>"7:00 AM"</f>
        <v>7:00 AM</v>
      </c>
      <c r="BR1052" t="str">
        <f>"2:00 PM"</f>
        <v>2:00 PM</v>
      </c>
      <c r="BS1052" t="s">
        <v>131</v>
      </c>
      <c r="BT1052">
        <v>0</v>
      </c>
      <c r="BU1052">
        <v>12</v>
      </c>
      <c r="BV1052" t="s">
        <v>114</v>
      </c>
      <c r="BX1052" s="2" t="s">
        <v>4496</v>
      </c>
      <c r="BY1052" t="s">
        <v>4491</v>
      </c>
      <c r="CA1052" t="s">
        <v>4493</v>
      </c>
      <c r="CB1052" t="s">
        <v>188</v>
      </c>
      <c r="CC1052" s="8" t="str">
        <f>"80435"</f>
        <v>80435</v>
      </c>
      <c r="CD1052" t="s">
        <v>228</v>
      </c>
      <c r="CE1052" t="s">
        <v>1038</v>
      </c>
      <c r="CF1052" s="12">
        <v>22</v>
      </c>
      <c r="CG1052" s="12">
        <v>27.5</v>
      </c>
      <c r="CH1052" s="12">
        <v>33</v>
      </c>
      <c r="CI1052" s="12">
        <v>41.25</v>
      </c>
      <c r="CJ1052" t="s">
        <v>135</v>
      </c>
      <c r="CK1052" t="s">
        <v>4497</v>
      </c>
      <c r="CL1052" t="s">
        <v>4498</v>
      </c>
      <c r="CO1052" t="s">
        <v>132</v>
      </c>
      <c r="CP1052" t="s">
        <v>114</v>
      </c>
      <c r="CQ1052" t="s">
        <v>114</v>
      </c>
      <c r="CR1052" t="s">
        <v>136</v>
      </c>
      <c r="CS1052" t="s">
        <v>136</v>
      </c>
      <c r="CT1052" t="s">
        <v>136</v>
      </c>
      <c r="CU1052" t="s">
        <v>136</v>
      </c>
      <c r="CV1052" s="2" t="s">
        <v>4499</v>
      </c>
      <c r="CW1052" s="10" t="str">
        <f>"+19704680718"</f>
        <v>+19704680718</v>
      </c>
      <c r="CX1052" t="s">
        <v>4500</v>
      </c>
      <c r="CY1052" t="s">
        <v>132</v>
      </c>
      <c r="CZ1052" t="s">
        <v>137</v>
      </c>
      <c r="DA1052" t="s">
        <v>114</v>
      </c>
      <c r="DB1052" t="s">
        <v>114</v>
      </c>
      <c r="DC1052" t="s">
        <v>136</v>
      </c>
      <c r="DD1052" t="s">
        <v>114</v>
      </c>
    </row>
    <row r="1053" spans="1:113" ht="15" customHeight="1" x14ac:dyDescent="0.25">
      <c r="A1053" t="s">
        <v>18633</v>
      </c>
      <c r="B1053" t="s">
        <v>152</v>
      </c>
      <c r="C1053" s="1">
        <v>45175.777108101851</v>
      </c>
      <c r="D1053" s="1">
        <v>45238</v>
      </c>
      <c r="E1053" t="s">
        <v>132</v>
      </c>
      <c r="F1053" t="s">
        <v>2512</v>
      </c>
      <c r="G1053" t="str">
        <f>"35-3031.00"</f>
        <v>35-3031.00</v>
      </c>
      <c r="H1053" t="s">
        <v>347</v>
      </c>
      <c r="I1053">
        <v>4</v>
      </c>
      <c r="J1053">
        <v>4</v>
      </c>
      <c r="K1053" s="1">
        <v>45261</v>
      </c>
      <c r="L1053" s="1">
        <v>45382</v>
      </c>
      <c r="M1053" s="1">
        <v>45261</v>
      </c>
      <c r="N1053" s="1">
        <v>45382</v>
      </c>
      <c r="O1053" t="s">
        <v>116</v>
      </c>
      <c r="P1053" t="s">
        <v>18634</v>
      </c>
      <c r="Q1053" t="s">
        <v>18635</v>
      </c>
      <c r="R1053" t="s">
        <v>18636</v>
      </c>
      <c r="S1053" t="s">
        <v>18637</v>
      </c>
      <c r="T1053" t="s">
        <v>13928</v>
      </c>
      <c r="U1053" t="s">
        <v>127</v>
      </c>
      <c r="V1053" s="8" t="str">
        <f>"75038"</f>
        <v>75038</v>
      </c>
      <c r="W1053" t="s">
        <v>118</v>
      </c>
      <c r="Y1053" s="10">
        <v>15185236294</v>
      </c>
      <c r="AA1053">
        <v>721110</v>
      </c>
      <c r="AB1053" t="s">
        <v>18638</v>
      </c>
      <c r="AC1053" t="s">
        <v>1362</v>
      </c>
      <c r="AE1053" t="s">
        <v>18639</v>
      </c>
      <c r="AF1053" t="s">
        <v>18640</v>
      </c>
      <c r="AH1053" t="s">
        <v>3905</v>
      </c>
      <c r="AI1053" t="s">
        <v>358</v>
      </c>
      <c r="AJ1053" s="8" t="str">
        <f>"12946"</f>
        <v>12946</v>
      </c>
      <c r="AK1053" t="s">
        <v>118</v>
      </c>
      <c r="AM1053" s="10">
        <v>15185236294</v>
      </c>
      <c r="AO1053" t="s">
        <v>18641</v>
      </c>
      <c r="AP1053" t="s">
        <v>121</v>
      </c>
      <c r="AQ1053" t="s">
        <v>276</v>
      </c>
      <c r="AR1053" t="s">
        <v>277</v>
      </c>
      <c r="AS1053" t="s">
        <v>278</v>
      </c>
      <c r="AT1053" t="s">
        <v>279</v>
      </c>
      <c r="AU1053" t="s">
        <v>280</v>
      </c>
      <c r="AV1053" t="s">
        <v>281</v>
      </c>
      <c r="AW1053" t="s">
        <v>222</v>
      </c>
      <c r="AX1053" s="8" t="str">
        <f>"01701"</f>
        <v>01701</v>
      </c>
      <c r="AY1053" t="s">
        <v>118</v>
      </c>
      <c r="BA1053" s="10">
        <v>16179399444</v>
      </c>
      <c r="BC1053" t="s">
        <v>282</v>
      </c>
      <c r="BD1053" t="s">
        <v>283</v>
      </c>
      <c r="BE1053" t="s">
        <v>222</v>
      </c>
      <c r="BF1053" t="s">
        <v>284</v>
      </c>
      <c r="BG1053" t="s">
        <v>358</v>
      </c>
      <c r="BH1053" s="1">
        <v>45173.833333333336</v>
      </c>
      <c r="BI1053">
        <v>35</v>
      </c>
      <c r="BJ1053">
        <v>0</v>
      </c>
      <c r="BK1053">
        <v>7</v>
      </c>
      <c r="BL1053">
        <v>7</v>
      </c>
      <c r="BM1053">
        <v>7</v>
      </c>
      <c r="BN1053">
        <v>7</v>
      </c>
      <c r="BO1053">
        <v>7</v>
      </c>
      <c r="BP1053">
        <v>0</v>
      </c>
      <c r="BQ1053" t="str">
        <f>"7:00 AM"</f>
        <v>7:00 AM</v>
      </c>
      <c r="BR1053" t="str">
        <f>"2:00 PM"</f>
        <v>2:00 PM</v>
      </c>
      <c r="BS1053" t="s">
        <v>131</v>
      </c>
      <c r="BT1053">
        <v>0</v>
      </c>
      <c r="BU1053">
        <v>3</v>
      </c>
      <c r="BV1053" t="s">
        <v>114</v>
      </c>
      <c r="BX1053" s="2" t="s">
        <v>18642</v>
      </c>
      <c r="BY1053" t="s">
        <v>18640</v>
      </c>
      <c r="CA1053" t="s">
        <v>3905</v>
      </c>
      <c r="CB1053" t="s">
        <v>358</v>
      </c>
      <c r="CC1053" s="8" t="str">
        <f>"12946"</f>
        <v>12946</v>
      </c>
      <c r="CD1053" t="s">
        <v>3912</v>
      </c>
      <c r="CE1053" t="s">
        <v>3717</v>
      </c>
      <c r="CF1053" s="12">
        <v>19.71</v>
      </c>
      <c r="CH1053" s="12">
        <v>29.57</v>
      </c>
      <c r="CJ1053" t="s">
        <v>135</v>
      </c>
      <c r="CK1053" t="s">
        <v>18643</v>
      </c>
      <c r="CL1053" t="s">
        <v>18644</v>
      </c>
      <c r="CO1053" t="s">
        <v>132</v>
      </c>
      <c r="CP1053" t="s">
        <v>114</v>
      </c>
      <c r="CQ1053" t="s">
        <v>114</v>
      </c>
      <c r="CR1053" t="s">
        <v>136</v>
      </c>
      <c r="CS1053" t="s">
        <v>136</v>
      </c>
      <c r="CT1053" t="s">
        <v>136</v>
      </c>
      <c r="CU1053" t="s">
        <v>136</v>
      </c>
      <c r="CV1053" t="s">
        <v>18645</v>
      </c>
      <c r="CW1053" s="10" t="str">
        <f>"+15185236294"</f>
        <v>+15185236294</v>
      </c>
      <c r="CX1053" t="s">
        <v>18641</v>
      </c>
      <c r="CY1053" t="s">
        <v>132</v>
      </c>
      <c r="CZ1053" t="s">
        <v>137</v>
      </c>
      <c r="DA1053" t="s">
        <v>114</v>
      </c>
      <c r="DB1053" t="s">
        <v>114</v>
      </c>
      <c r="DC1053" t="s">
        <v>136</v>
      </c>
      <c r="DD1053" t="s">
        <v>114</v>
      </c>
    </row>
    <row r="1054" spans="1:113" ht="15" customHeight="1" x14ac:dyDescent="0.25">
      <c r="A1054" t="s">
        <v>18646</v>
      </c>
      <c r="B1054" t="s">
        <v>152</v>
      </c>
      <c r="C1054" s="1">
        <v>45175.775703125</v>
      </c>
      <c r="D1054" s="1">
        <v>45238</v>
      </c>
      <c r="E1054" t="s">
        <v>132</v>
      </c>
      <c r="F1054" t="s">
        <v>4971</v>
      </c>
      <c r="G1054" t="str">
        <f>"41-2031.00"</f>
        <v>41-2031.00</v>
      </c>
      <c r="H1054" t="s">
        <v>2705</v>
      </c>
      <c r="I1054">
        <v>3</v>
      </c>
      <c r="J1054">
        <v>3</v>
      </c>
      <c r="K1054" s="1">
        <v>45261</v>
      </c>
      <c r="L1054" s="1">
        <v>45382</v>
      </c>
      <c r="M1054" s="1">
        <v>45261</v>
      </c>
      <c r="N1054" s="1">
        <v>45382</v>
      </c>
      <c r="O1054" t="s">
        <v>116</v>
      </c>
      <c r="P1054" t="s">
        <v>18634</v>
      </c>
      <c r="Q1054" t="s">
        <v>18635</v>
      </c>
      <c r="R1054" t="s">
        <v>18636</v>
      </c>
      <c r="S1054" t="s">
        <v>18637</v>
      </c>
      <c r="T1054" t="s">
        <v>13928</v>
      </c>
      <c r="U1054" t="s">
        <v>127</v>
      </c>
      <c r="V1054" s="8" t="str">
        <f>"75038"</f>
        <v>75038</v>
      </c>
      <c r="W1054" t="s">
        <v>118</v>
      </c>
      <c r="Y1054" s="10">
        <v>15185236294</v>
      </c>
      <c r="AA1054">
        <v>721110</v>
      </c>
      <c r="AB1054" t="s">
        <v>18638</v>
      </c>
      <c r="AC1054" t="s">
        <v>1362</v>
      </c>
      <c r="AE1054" t="s">
        <v>18647</v>
      </c>
      <c r="AF1054" t="s">
        <v>18640</v>
      </c>
      <c r="AH1054" t="s">
        <v>3905</v>
      </c>
      <c r="AI1054" t="s">
        <v>358</v>
      </c>
      <c r="AJ1054" s="8" t="str">
        <f>"12946"</f>
        <v>12946</v>
      </c>
      <c r="AK1054" t="s">
        <v>118</v>
      </c>
      <c r="AM1054" s="10">
        <v>15185236294</v>
      </c>
      <c r="AO1054" t="s">
        <v>18641</v>
      </c>
      <c r="AP1054" t="s">
        <v>121</v>
      </c>
      <c r="AQ1054" t="s">
        <v>276</v>
      </c>
      <c r="AR1054" t="s">
        <v>277</v>
      </c>
      <c r="AS1054" t="s">
        <v>278</v>
      </c>
      <c r="AT1054" t="s">
        <v>279</v>
      </c>
      <c r="AU1054" t="s">
        <v>280</v>
      </c>
      <c r="AV1054" t="s">
        <v>281</v>
      </c>
      <c r="AW1054" t="s">
        <v>222</v>
      </c>
      <c r="AX1054" s="8" t="str">
        <f>"01701"</f>
        <v>01701</v>
      </c>
      <c r="AY1054" t="s">
        <v>118</v>
      </c>
      <c r="BA1054" s="10">
        <v>16179399444</v>
      </c>
      <c r="BC1054" t="s">
        <v>282</v>
      </c>
      <c r="BD1054" t="s">
        <v>283</v>
      </c>
      <c r="BE1054" t="s">
        <v>222</v>
      </c>
      <c r="BF1054" t="s">
        <v>284</v>
      </c>
      <c r="BG1054" t="s">
        <v>358</v>
      </c>
      <c r="BH1054" s="1">
        <v>45173.833333333336</v>
      </c>
      <c r="BI1054">
        <v>40</v>
      </c>
      <c r="BJ1054">
        <v>0</v>
      </c>
      <c r="BK1054">
        <v>8</v>
      </c>
      <c r="BL1054">
        <v>8</v>
      </c>
      <c r="BM1054">
        <v>8</v>
      </c>
      <c r="BN1054">
        <v>8</v>
      </c>
      <c r="BO1054">
        <v>8</v>
      </c>
      <c r="BP1054">
        <v>0</v>
      </c>
      <c r="BQ1054" t="str">
        <f>"7:00 AM"</f>
        <v>7:00 AM</v>
      </c>
      <c r="BR1054" t="str">
        <f>"3:00 PM"</f>
        <v>3:00 PM</v>
      </c>
      <c r="BS1054" t="s">
        <v>131</v>
      </c>
      <c r="BT1054">
        <v>0</v>
      </c>
      <c r="BU1054">
        <v>6</v>
      </c>
      <c r="BV1054" t="s">
        <v>114</v>
      </c>
      <c r="BX1054" s="2" t="s">
        <v>18648</v>
      </c>
      <c r="BY1054" t="s">
        <v>18640</v>
      </c>
      <c r="CA1054" t="s">
        <v>3905</v>
      </c>
      <c r="CB1054" t="s">
        <v>358</v>
      </c>
      <c r="CC1054" s="8" t="str">
        <f>"12946"</f>
        <v>12946</v>
      </c>
      <c r="CD1054" t="s">
        <v>3912</v>
      </c>
      <c r="CE1054" t="s">
        <v>3717</v>
      </c>
      <c r="CF1054" s="12">
        <v>17.420000000000002</v>
      </c>
      <c r="CG1054" s="12">
        <v>19</v>
      </c>
      <c r="CH1054" s="12">
        <v>26.13</v>
      </c>
      <c r="CI1054" s="12">
        <v>28.5</v>
      </c>
      <c r="CJ1054" t="s">
        <v>135</v>
      </c>
      <c r="CK1054" t="s">
        <v>18649</v>
      </c>
      <c r="CL1054" t="s">
        <v>18650</v>
      </c>
      <c r="CO1054" t="s">
        <v>132</v>
      </c>
      <c r="CP1054" t="s">
        <v>114</v>
      </c>
      <c r="CQ1054" t="s">
        <v>114</v>
      </c>
      <c r="CR1054" t="s">
        <v>136</v>
      </c>
      <c r="CS1054" t="s">
        <v>136</v>
      </c>
      <c r="CT1054" t="s">
        <v>136</v>
      </c>
      <c r="CU1054" t="s">
        <v>136</v>
      </c>
      <c r="CV1054" t="s">
        <v>18645</v>
      </c>
      <c r="CW1054" s="10" t="str">
        <f>"+15185236294"</f>
        <v>+15185236294</v>
      </c>
      <c r="CX1054" t="s">
        <v>18641</v>
      </c>
      <c r="CY1054" t="s">
        <v>132</v>
      </c>
      <c r="CZ1054" t="s">
        <v>137</v>
      </c>
      <c r="DA1054" t="s">
        <v>114</v>
      </c>
      <c r="DB1054" t="s">
        <v>114</v>
      </c>
      <c r="DC1054" t="s">
        <v>136</v>
      </c>
      <c r="DD1054" t="s">
        <v>114</v>
      </c>
    </row>
    <row r="1055" spans="1:113" ht="15" customHeight="1" x14ac:dyDescent="0.25">
      <c r="A1055" t="s">
        <v>15637</v>
      </c>
      <c r="B1055" t="s">
        <v>152</v>
      </c>
      <c r="C1055" s="1">
        <v>45175.684666319445</v>
      </c>
      <c r="D1055" s="1">
        <v>45238</v>
      </c>
      <c r="E1055" t="s">
        <v>132</v>
      </c>
      <c r="F1055" t="s">
        <v>4846</v>
      </c>
      <c r="G1055" t="str">
        <f>"37-3011.00"</f>
        <v>37-3011.00</v>
      </c>
      <c r="H1055" t="s">
        <v>429</v>
      </c>
      <c r="I1055">
        <v>20</v>
      </c>
      <c r="J1055">
        <v>20</v>
      </c>
      <c r="K1055" s="1">
        <v>45265</v>
      </c>
      <c r="L1055" s="1">
        <v>45565</v>
      </c>
      <c r="M1055" s="1">
        <v>45265</v>
      </c>
      <c r="N1055" s="1">
        <v>45565</v>
      </c>
      <c r="O1055" t="s">
        <v>116</v>
      </c>
      <c r="P1055" t="s">
        <v>15638</v>
      </c>
      <c r="R1055" t="s">
        <v>15639</v>
      </c>
      <c r="T1055" t="s">
        <v>2809</v>
      </c>
      <c r="U1055" t="s">
        <v>558</v>
      </c>
      <c r="V1055" s="8" t="str">
        <f>"85288"</f>
        <v>85288</v>
      </c>
      <c r="W1055" t="s">
        <v>118</v>
      </c>
      <c r="Y1055" s="10">
        <v>14808942835</v>
      </c>
      <c r="AA1055">
        <v>238</v>
      </c>
      <c r="AB1055" t="s">
        <v>15640</v>
      </c>
      <c r="AC1055" t="s">
        <v>15641</v>
      </c>
      <c r="AE1055" t="s">
        <v>15642</v>
      </c>
      <c r="AF1055" t="s">
        <v>15639</v>
      </c>
      <c r="AH1055" t="s">
        <v>2809</v>
      </c>
      <c r="AI1055" t="s">
        <v>558</v>
      </c>
      <c r="AJ1055" s="8" t="str">
        <f>"85288"</f>
        <v>85288</v>
      </c>
      <c r="AK1055" t="s">
        <v>118</v>
      </c>
      <c r="AM1055" s="10">
        <v>14808942835</v>
      </c>
      <c r="AO1055" t="s">
        <v>15643</v>
      </c>
      <c r="AP1055" t="s">
        <v>248</v>
      </c>
      <c r="AQ1055" t="s">
        <v>13683</v>
      </c>
      <c r="AR1055" t="s">
        <v>3496</v>
      </c>
      <c r="AT1055" t="s">
        <v>13684</v>
      </c>
      <c r="AU1055" t="s">
        <v>13685</v>
      </c>
      <c r="AV1055" t="s">
        <v>2960</v>
      </c>
      <c r="AW1055" t="s">
        <v>558</v>
      </c>
      <c r="AX1055" s="8" t="str">
        <f>"85048"</f>
        <v>85048</v>
      </c>
      <c r="AY1055" t="s">
        <v>118</v>
      </c>
      <c r="BA1055" s="10">
        <v>14809411885</v>
      </c>
      <c r="BC1055" t="s">
        <v>13686</v>
      </c>
      <c r="BD1055" t="s">
        <v>13687</v>
      </c>
      <c r="BG1055" t="s">
        <v>558</v>
      </c>
      <c r="BH1055" s="1">
        <v>45174.833333333336</v>
      </c>
      <c r="BI1055">
        <v>40</v>
      </c>
      <c r="BJ1055">
        <v>0</v>
      </c>
      <c r="BK1055">
        <v>8</v>
      </c>
      <c r="BL1055">
        <v>8</v>
      </c>
      <c r="BM1055">
        <v>8</v>
      </c>
      <c r="BN1055">
        <v>8</v>
      </c>
      <c r="BO1055">
        <v>8</v>
      </c>
      <c r="BP1055">
        <v>0</v>
      </c>
      <c r="BQ1055" t="str">
        <f>"6:00 AM"</f>
        <v>6:00 AM</v>
      </c>
      <c r="BR1055" t="str">
        <f>"2:30 PM"</f>
        <v>2:30 PM</v>
      </c>
      <c r="BS1055" t="s">
        <v>131</v>
      </c>
      <c r="BT1055">
        <v>0</v>
      </c>
      <c r="BU1055">
        <v>3</v>
      </c>
      <c r="BV1055" t="s">
        <v>114</v>
      </c>
      <c r="BX1055" s="2" t="s">
        <v>15644</v>
      </c>
      <c r="BY1055" t="s">
        <v>15639</v>
      </c>
      <c r="CA1055" t="s">
        <v>2809</v>
      </c>
      <c r="CB1055" t="s">
        <v>558</v>
      </c>
      <c r="CC1055" s="8" t="str">
        <f>"85288"</f>
        <v>85288</v>
      </c>
      <c r="CD1055" t="s">
        <v>1391</v>
      </c>
      <c r="CE1055" t="s">
        <v>565</v>
      </c>
      <c r="CF1055" s="12">
        <v>16.57</v>
      </c>
      <c r="CG1055" s="12">
        <v>16.57</v>
      </c>
      <c r="CH1055" s="12">
        <v>24.86</v>
      </c>
      <c r="CI1055" s="12">
        <v>24.86</v>
      </c>
      <c r="CJ1055" t="s">
        <v>135</v>
      </c>
      <c r="CK1055" t="s">
        <v>13690</v>
      </c>
      <c r="CL1055" t="s">
        <v>15645</v>
      </c>
      <c r="CO1055" t="s">
        <v>132</v>
      </c>
      <c r="CP1055" t="s">
        <v>136</v>
      </c>
      <c r="CQ1055" t="s">
        <v>136</v>
      </c>
      <c r="CR1055" t="s">
        <v>136</v>
      </c>
      <c r="CS1055" t="s">
        <v>136</v>
      </c>
      <c r="CT1055" t="s">
        <v>136</v>
      </c>
      <c r="CU1055" t="s">
        <v>114</v>
      </c>
      <c r="CV1055" t="s">
        <v>14159</v>
      </c>
      <c r="CW1055" s="10" t="str">
        <f>"+14808942835"</f>
        <v>+14808942835</v>
      </c>
      <c r="CX1055" t="s">
        <v>15643</v>
      </c>
      <c r="CY1055" t="s">
        <v>132</v>
      </c>
      <c r="CZ1055" t="s">
        <v>137</v>
      </c>
      <c r="DA1055" t="s">
        <v>114</v>
      </c>
      <c r="DB1055" t="s">
        <v>136</v>
      </c>
      <c r="DC1055" t="s">
        <v>136</v>
      </c>
      <c r="DD1055" t="s">
        <v>114</v>
      </c>
    </row>
    <row r="1056" spans="1:113" ht="15" customHeight="1" x14ac:dyDescent="0.25">
      <c r="A1056" t="s">
        <v>12094</v>
      </c>
      <c r="B1056" t="s">
        <v>152</v>
      </c>
      <c r="C1056" s="1">
        <v>45174.74403587963</v>
      </c>
      <c r="D1056" s="1">
        <v>45238</v>
      </c>
      <c r="E1056" t="s">
        <v>132</v>
      </c>
      <c r="F1056" t="s">
        <v>12095</v>
      </c>
      <c r="G1056" t="str">
        <f>"51-3022.00"</f>
        <v>51-3022.00</v>
      </c>
      <c r="H1056" t="s">
        <v>1004</v>
      </c>
      <c r="I1056">
        <v>175</v>
      </c>
      <c r="J1056">
        <v>175</v>
      </c>
      <c r="K1056" s="1">
        <v>45255</v>
      </c>
      <c r="L1056" s="1">
        <v>45504</v>
      </c>
      <c r="M1056" s="1">
        <v>45255</v>
      </c>
      <c r="N1056" s="1">
        <v>45504</v>
      </c>
      <c r="O1056" t="s">
        <v>238</v>
      </c>
      <c r="P1056" t="s">
        <v>12096</v>
      </c>
      <c r="Q1056" t="s">
        <v>132</v>
      </c>
      <c r="R1056" t="s">
        <v>12097</v>
      </c>
      <c r="T1056" t="s">
        <v>12098</v>
      </c>
      <c r="U1056" t="s">
        <v>333</v>
      </c>
      <c r="V1056" s="8" t="str">
        <f>"70515"</f>
        <v>70515</v>
      </c>
      <c r="W1056" t="s">
        <v>118</v>
      </c>
      <c r="Y1056" s="10">
        <v>13375802387</v>
      </c>
      <c r="AA1056">
        <v>31171</v>
      </c>
      <c r="AB1056" t="s">
        <v>12099</v>
      </c>
      <c r="AC1056" t="s">
        <v>12100</v>
      </c>
      <c r="AD1056" t="s">
        <v>2947</v>
      </c>
      <c r="AE1056" t="s">
        <v>629</v>
      </c>
      <c r="AF1056" t="s">
        <v>12101</v>
      </c>
      <c r="AH1056" t="s">
        <v>12098</v>
      </c>
      <c r="AI1056" t="s">
        <v>333</v>
      </c>
      <c r="AJ1056" s="8" t="str">
        <f>"70515"</f>
        <v>70515</v>
      </c>
      <c r="AK1056" t="s">
        <v>118</v>
      </c>
      <c r="AM1056" s="10">
        <v>13375802387</v>
      </c>
      <c r="AO1056" t="s">
        <v>12102</v>
      </c>
      <c r="AP1056" t="s">
        <v>121</v>
      </c>
      <c r="AQ1056" t="s">
        <v>12103</v>
      </c>
      <c r="AR1056" t="s">
        <v>3562</v>
      </c>
      <c r="AS1056" t="s">
        <v>1410</v>
      </c>
      <c r="AT1056" t="s">
        <v>7421</v>
      </c>
      <c r="AU1056" t="s">
        <v>7422</v>
      </c>
      <c r="AV1056" t="s">
        <v>3501</v>
      </c>
      <c r="AW1056" t="s">
        <v>127</v>
      </c>
      <c r="AX1056" s="8" t="str">
        <f>"75082"</f>
        <v>75082</v>
      </c>
      <c r="AY1056" t="s">
        <v>118</v>
      </c>
      <c r="BA1056" s="10">
        <v>14699407784</v>
      </c>
      <c r="BC1056" t="s">
        <v>12104</v>
      </c>
      <c r="BD1056" t="s">
        <v>7424</v>
      </c>
      <c r="BE1056" t="s">
        <v>333</v>
      </c>
      <c r="BF1056" t="s">
        <v>2190</v>
      </c>
      <c r="BG1056" t="s">
        <v>333</v>
      </c>
      <c r="BH1056" s="1">
        <v>45173.833333333336</v>
      </c>
      <c r="BI1056">
        <v>35</v>
      </c>
      <c r="BJ1056">
        <v>0</v>
      </c>
      <c r="BK1056">
        <v>7</v>
      </c>
      <c r="BL1056">
        <v>7</v>
      </c>
      <c r="BM1056">
        <v>7</v>
      </c>
      <c r="BN1056">
        <v>7</v>
      </c>
      <c r="BO1056">
        <v>7</v>
      </c>
      <c r="BP1056">
        <v>0</v>
      </c>
      <c r="BQ1056" t="str">
        <f>"8:00 AM"</f>
        <v>8:00 AM</v>
      </c>
      <c r="BR1056" t="str">
        <f>"4:00 PM"</f>
        <v>4:00 PM</v>
      </c>
      <c r="BS1056" t="s">
        <v>131</v>
      </c>
      <c r="BT1056">
        <v>0</v>
      </c>
      <c r="BU1056">
        <v>1</v>
      </c>
      <c r="BV1056" t="s">
        <v>114</v>
      </c>
      <c r="BX1056" t="s">
        <v>12105</v>
      </c>
      <c r="BY1056" t="s">
        <v>12097</v>
      </c>
      <c r="CA1056" t="s">
        <v>12098</v>
      </c>
      <c r="CB1056" t="s">
        <v>333</v>
      </c>
      <c r="CC1056" s="8" t="str">
        <f>"70515"</f>
        <v>70515</v>
      </c>
      <c r="CD1056" t="s">
        <v>6328</v>
      </c>
      <c r="CE1056" t="s">
        <v>1818</v>
      </c>
      <c r="CF1056" s="12">
        <v>12.63</v>
      </c>
      <c r="CG1056" s="12">
        <v>12.63</v>
      </c>
      <c r="CH1056" s="12">
        <v>18.95</v>
      </c>
      <c r="CI1056" s="12">
        <v>18.95</v>
      </c>
      <c r="CJ1056" t="s">
        <v>135</v>
      </c>
      <c r="CK1056" t="s">
        <v>12106</v>
      </c>
      <c r="CL1056" t="s">
        <v>12107</v>
      </c>
      <c r="CO1056" t="s">
        <v>132</v>
      </c>
      <c r="CP1056" t="s">
        <v>114</v>
      </c>
      <c r="CQ1056" t="s">
        <v>136</v>
      </c>
      <c r="CR1056" t="s">
        <v>136</v>
      </c>
      <c r="CS1056" t="s">
        <v>114</v>
      </c>
      <c r="CT1056" t="s">
        <v>136</v>
      </c>
      <c r="CU1056" t="s">
        <v>136</v>
      </c>
      <c r="CV1056" s="2" t="s">
        <v>12108</v>
      </c>
      <c r="CW1056" s="10" t="str">
        <f>"+13375802387"</f>
        <v>+13375802387</v>
      </c>
      <c r="CX1056" t="s">
        <v>12102</v>
      </c>
      <c r="CY1056" t="s">
        <v>132</v>
      </c>
      <c r="CZ1056" t="s">
        <v>137</v>
      </c>
      <c r="DA1056" t="s">
        <v>114</v>
      </c>
      <c r="DB1056" t="s">
        <v>114</v>
      </c>
      <c r="DC1056" t="s">
        <v>136</v>
      </c>
      <c r="DD1056" t="s">
        <v>114</v>
      </c>
      <c r="DE1056" t="s">
        <v>7425</v>
      </c>
      <c r="DF1056" t="s">
        <v>2001</v>
      </c>
      <c r="DG1056" t="s">
        <v>3587</v>
      </c>
      <c r="DH1056" t="s">
        <v>7424</v>
      </c>
      <c r="DI1056" t="s">
        <v>7426</v>
      </c>
    </row>
    <row r="1057" spans="1:113" ht="15" customHeight="1" x14ac:dyDescent="0.25">
      <c r="A1057" t="s">
        <v>18697</v>
      </c>
      <c r="B1057" t="s">
        <v>152</v>
      </c>
      <c r="C1057" s="1">
        <v>45174.597357638886</v>
      </c>
      <c r="D1057" s="1">
        <v>45238</v>
      </c>
      <c r="E1057" t="s">
        <v>132</v>
      </c>
      <c r="F1057" t="s">
        <v>293</v>
      </c>
      <c r="G1057" t="str">
        <f>"37-2012.00"</f>
        <v>37-2012.00</v>
      </c>
      <c r="H1057" t="s">
        <v>205</v>
      </c>
      <c r="I1057">
        <v>3</v>
      </c>
      <c r="J1057">
        <v>3</v>
      </c>
      <c r="K1057" s="1">
        <v>45261</v>
      </c>
      <c r="L1057" s="1">
        <v>45382</v>
      </c>
      <c r="M1057" s="1">
        <v>45261</v>
      </c>
      <c r="N1057" s="1">
        <v>45382</v>
      </c>
      <c r="O1057" t="s">
        <v>116</v>
      </c>
      <c r="P1057" t="s">
        <v>18698</v>
      </c>
      <c r="Q1057" t="s">
        <v>18699</v>
      </c>
      <c r="R1057" t="s">
        <v>18700</v>
      </c>
      <c r="T1057" t="s">
        <v>11942</v>
      </c>
      <c r="U1057" t="s">
        <v>2194</v>
      </c>
      <c r="V1057" s="8" t="str">
        <f>"03255"</f>
        <v>03255</v>
      </c>
      <c r="W1057" t="s">
        <v>118</v>
      </c>
      <c r="Y1057" s="10">
        <v>16037632010</v>
      </c>
      <c r="AA1057">
        <v>721110</v>
      </c>
      <c r="AB1057" t="s">
        <v>3906</v>
      </c>
      <c r="AC1057" t="s">
        <v>708</v>
      </c>
      <c r="AE1057" t="s">
        <v>743</v>
      </c>
      <c r="AF1057" t="s">
        <v>3907</v>
      </c>
      <c r="AG1057" t="s">
        <v>3908</v>
      </c>
      <c r="AH1057" t="s">
        <v>3909</v>
      </c>
      <c r="AI1057" t="s">
        <v>2194</v>
      </c>
      <c r="AJ1057" s="8" t="str">
        <f>"03801"</f>
        <v>03801</v>
      </c>
      <c r="AK1057" t="s">
        <v>118</v>
      </c>
      <c r="AM1057" s="10">
        <v>13392347591</v>
      </c>
      <c r="AO1057" t="s">
        <v>3910</v>
      </c>
      <c r="AP1057" t="s">
        <v>121</v>
      </c>
      <c r="AQ1057" t="s">
        <v>276</v>
      </c>
      <c r="AR1057" t="s">
        <v>277</v>
      </c>
      <c r="AS1057" t="s">
        <v>278</v>
      </c>
      <c r="AT1057" t="s">
        <v>279</v>
      </c>
      <c r="AU1057" t="s">
        <v>280</v>
      </c>
      <c r="AV1057" t="s">
        <v>281</v>
      </c>
      <c r="AW1057" t="s">
        <v>222</v>
      </c>
      <c r="AX1057" s="8" t="str">
        <f>"01701"</f>
        <v>01701</v>
      </c>
      <c r="AY1057" t="s">
        <v>118</v>
      </c>
      <c r="BA1057" s="10">
        <v>16179399444</v>
      </c>
      <c r="BC1057" t="s">
        <v>282</v>
      </c>
      <c r="BD1057" t="s">
        <v>283</v>
      </c>
      <c r="BE1057" t="s">
        <v>222</v>
      </c>
      <c r="BF1057" t="s">
        <v>284</v>
      </c>
      <c r="BG1057" t="s">
        <v>2194</v>
      </c>
      <c r="BH1057" s="1">
        <v>45173.833333333336</v>
      </c>
      <c r="BI1057">
        <v>35</v>
      </c>
      <c r="BJ1057">
        <v>0</v>
      </c>
      <c r="BK1057">
        <v>7</v>
      </c>
      <c r="BL1057">
        <v>7</v>
      </c>
      <c r="BM1057">
        <v>7</v>
      </c>
      <c r="BN1057">
        <v>7</v>
      </c>
      <c r="BO1057">
        <v>7</v>
      </c>
      <c r="BP1057">
        <v>0</v>
      </c>
      <c r="BQ1057" t="str">
        <f>"7:30 AM"</f>
        <v>7:30 AM</v>
      </c>
      <c r="BR1057" t="str">
        <f>"2:30 PM"</f>
        <v>2:30 PM</v>
      </c>
      <c r="BS1057" t="s">
        <v>131</v>
      </c>
      <c r="BT1057">
        <v>0</v>
      </c>
      <c r="BU1057">
        <v>0</v>
      </c>
      <c r="BV1057" t="s">
        <v>114</v>
      </c>
      <c r="BX1057" t="s">
        <v>18701</v>
      </c>
      <c r="BY1057" t="s">
        <v>18700</v>
      </c>
      <c r="CA1057" t="s">
        <v>11942</v>
      </c>
      <c r="CB1057" t="s">
        <v>2194</v>
      </c>
      <c r="CC1057" s="8" t="str">
        <f>"03255"</f>
        <v>03255</v>
      </c>
      <c r="CD1057" t="s">
        <v>18702</v>
      </c>
      <c r="CE1057" t="s">
        <v>2365</v>
      </c>
      <c r="CF1057" s="12">
        <v>15.77</v>
      </c>
      <c r="CG1057" s="12">
        <v>19</v>
      </c>
      <c r="CH1057" s="12">
        <v>23.66</v>
      </c>
      <c r="CI1057" s="12">
        <v>28.5</v>
      </c>
      <c r="CJ1057" t="s">
        <v>135</v>
      </c>
      <c r="CK1057" t="s">
        <v>18703</v>
      </c>
      <c r="CL1057" t="s">
        <v>18704</v>
      </c>
      <c r="CO1057" t="s">
        <v>132</v>
      </c>
      <c r="CP1057" t="s">
        <v>114</v>
      </c>
      <c r="CQ1057" t="s">
        <v>114</v>
      </c>
      <c r="CR1057" t="s">
        <v>136</v>
      </c>
      <c r="CS1057" t="s">
        <v>136</v>
      </c>
      <c r="CT1057" t="s">
        <v>136</v>
      </c>
      <c r="CU1057" t="s">
        <v>136</v>
      </c>
      <c r="CV1057" t="s">
        <v>18705</v>
      </c>
      <c r="CW1057" s="10" t="str">
        <f>"+13392347591"</f>
        <v>+13392347591</v>
      </c>
      <c r="CX1057" t="s">
        <v>3910</v>
      </c>
      <c r="CY1057" t="s">
        <v>132</v>
      </c>
      <c r="CZ1057" t="s">
        <v>137</v>
      </c>
      <c r="DA1057" t="s">
        <v>114</v>
      </c>
      <c r="DB1057" t="s">
        <v>114</v>
      </c>
      <c r="DC1057" t="s">
        <v>136</v>
      </c>
      <c r="DD1057" t="s">
        <v>114</v>
      </c>
    </row>
    <row r="1058" spans="1:113" ht="15" customHeight="1" x14ac:dyDescent="0.25">
      <c r="A1058" t="s">
        <v>21672</v>
      </c>
      <c r="B1058" t="s">
        <v>152</v>
      </c>
      <c r="C1058" s="1">
        <v>45174.574013194448</v>
      </c>
      <c r="D1058" s="1">
        <v>45238</v>
      </c>
      <c r="E1058" t="s">
        <v>132</v>
      </c>
      <c r="F1058" t="s">
        <v>4510</v>
      </c>
      <c r="G1058" t="str">
        <f>"39-2021.00"</f>
        <v>39-2021.00</v>
      </c>
      <c r="H1058" t="s">
        <v>2895</v>
      </c>
      <c r="I1058">
        <v>12</v>
      </c>
      <c r="J1058">
        <v>12</v>
      </c>
      <c r="K1058" s="1">
        <v>45260</v>
      </c>
      <c r="L1058" s="1">
        <v>45383</v>
      </c>
      <c r="M1058" s="1">
        <v>45260</v>
      </c>
      <c r="N1058" s="1">
        <v>45383</v>
      </c>
      <c r="O1058" t="s">
        <v>238</v>
      </c>
      <c r="P1058" t="s">
        <v>21673</v>
      </c>
      <c r="R1058" t="s">
        <v>21674</v>
      </c>
      <c r="T1058" t="s">
        <v>2630</v>
      </c>
      <c r="U1058" t="s">
        <v>140</v>
      </c>
      <c r="V1058" s="8" t="str">
        <f>"33414"</f>
        <v>33414</v>
      </c>
      <c r="W1058" t="s">
        <v>118</v>
      </c>
      <c r="Y1058" s="10">
        <v>14439527146</v>
      </c>
      <c r="AA1058">
        <v>711219</v>
      </c>
      <c r="AB1058" t="s">
        <v>21675</v>
      </c>
      <c r="AC1058" t="s">
        <v>6232</v>
      </c>
      <c r="AD1058" t="s">
        <v>3052</v>
      </c>
      <c r="AE1058" t="s">
        <v>629</v>
      </c>
      <c r="AF1058" t="s">
        <v>21674</v>
      </c>
      <c r="AH1058" t="s">
        <v>2630</v>
      </c>
      <c r="AI1058" t="s">
        <v>140</v>
      </c>
      <c r="AJ1058" s="8" t="str">
        <f>"33414"</f>
        <v>33414</v>
      </c>
      <c r="AK1058" t="s">
        <v>118</v>
      </c>
      <c r="AM1058" s="10">
        <v>14439527146</v>
      </c>
      <c r="AO1058" t="s">
        <v>21676</v>
      </c>
      <c r="AP1058" t="s">
        <v>121</v>
      </c>
      <c r="AQ1058" t="s">
        <v>4516</v>
      </c>
      <c r="AR1058" t="s">
        <v>1235</v>
      </c>
      <c r="AT1058" t="s">
        <v>4517</v>
      </c>
      <c r="AU1058" t="s">
        <v>4518</v>
      </c>
      <c r="AV1058" t="s">
        <v>1220</v>
      </c>
      <c r="AW1058" t="s">
        <v>358</v>
      </c>
      <c r="AX1058" s="8" t="str">
        <f>"10165"</f>
        <v>10165</v>
      </c>
      <c r="AY1058" t="s">
        <v>118</v>
      </c>
      <c r="BA1058" s="10">
        <v>12127604400</v>
      </c>
      <c r="BC1058" t="s">
        <v>4519</v>
      </c>
      <c r="BD1058" t="s">
        <v>4520</v>
      </c>
      <c r="BE1058" t="s">
        <v>358</v>
      </c>
      <c r="BF1058" t="s">
        <v>4521</v>
      </c>
      <c r="BG1058" t="s">
        <v>140</v>
      </c>
      <c r="BH1058" s="1">
        <v>45167.833333333336</v>
      </c>
      <c r="BI1058">
        <v>40</v>
      </c>
      <c r="BJ1058">
        <v>8</v>
      </c>
      <c r="BK1058">
        <v>0</v>
      </c>
      <c r="BL1058">
        <v>0</v>
      </c>
      <c r="BM1058">
        <v>8</v>
      </c>
      <c r="BN1058">
        <v>8</v>
      </c>
      <c r="BO1058">
        <v>8</v>
      </c>
      <c r="BP1058">
        <v>8</v>
      </c>
      <c r="BQ1058" t="str">
        <f>"5:00 AM"</f>
        <v>5:00 AM</v>
      </c>
      <c r="BR1058" t="str">
        <f>"11:00 AM"</f>
        <v>11:00 AM</v>
      </c>
      <c r="BS1058" t="s">
        <v>131</v>
      </c>
      <c r="BT1058">
        <v>0</v>
      </c>
      <c r="BU1058">
        <v>0</v>
      </c>
      <c r="BV1058" t="s">
        <v>114</v>
      </c>
      <c r="BX1058" t="s">
        <v>21677</v>
      </c>
      <c r="BY1058" t="s">
        <v>4522</v>
      </c>
      <c r="BZ1058" t="s">
        <v>4523</v>
      </c>
      <c r="CA1058" t="s">
        <v>4524</v>
      </c>
      <c r="CB1058" t="s">
        <v>140</v>
      </c>
      <c r="CC1058" s="8" t="str">
        <f>"33472"</f>
        <v>33472</v>
      </c>
      <c r="CD1058" t="s">
        <v>767</v>
      </c>
      <c r="CE1058" t="s">
        <v>149</v>
      </c>
      <c r="CF1058" s="12">
        <v>16.510000000000002</v>
      </c>
      <c r="CG1058" s="12">
        <v>16.510000000000002</v>
      </c>
      <c r="CH1058" s="12">
        <v>24.77</v>
      </c>
      <c r="CI1058" s="12">
        <v>24.77</v>
      </c>
      <c r="CJ1058" t="s">
        <v>135</v>
      </c>
      <c r="CL1058" t="s">
        <v>21678</v>
      </c>
      <c r="CO1058" t="s">
        <v>132</v>
      </c>
      <c r="CP1058" t="s">
        <v>114</v>
      </c>
      <c r="CQ1058" t="s">
        <v>114</v>
      </c>
      <c r="CR1058" t="s">
        <v>136</v>
      </c>
      <c r="CS1058" t="s">
        <v>114</v>
      </c>
      <c r="CT1058" t="s">
        <v>136</v>
      </c>
      <c r="CU1058" t="s">
        <v>136</v>
      </c>
      <c r="CV1058" s="2" t="s">
        <v>21679</v>
      </c>
      <c r="CW1058" s="10" t="str">
        <f>"+14439527146"</f>
        <v>+14439527146</v>
      </c>
      <c r="CX1058" t="s">
        <v>21676</v>
      </c>
      <c r="CY1058" t="s">
        <v>132</v>
      </c>
      <c r="CZ1058" t="s">
        <v>137</v>
      </c>
      <c r="DA1058" t="s">
        <v>114</v>
      </c>
      <c r="DB1058" t="s">
        <v>114</v>
      </c>
      <c r="DC1058" t="s">
        <v>136</v>
      </c>
      <c r="DD1058" t="s">
        <v>114</v>
      </c>
    </row>
    <row r="1059" spans="1:113" ht="15" customHeight="1" x14ac:dyDescent="0.25">
      <c r="A1059" t="s">
        <v>6969</v>
      </c>
      <c r="B1059" t="s">
        <v>152</v>
      </c>
      <c r="C1059" s="1">
        <v>45170.535073263891</v>
      </c>
      <c r="D1059" s="1">
        <v>45238</v>
      </c>
      <c r="E1059" t="s">
        <v>132</v>
      </c>
      <c r="F1059" t="s">
        <v>2014</v>
      </c>
      <c r="G1059" t="str">
        <f>"51-6011.00"</f>
        <v>51-6011.00</v>
      </c>
      <c r="H1059" t="s">
        <v>2015</v>
      </c>
      <c r="I1059">
        <v>25</v>
      </c>
      <c r="J1059">
        <v>25</v>
      </c>
      <c r="K1059" s="1">
        <v>45245</v>
      </c>
      <c r="L1059" s="1">
        <v>45397</v>
      </c>
      <c r="M1059" s="1">
        <v>45245</v>
      </c>
      <c r="N1059" s="1">
        <v>45397</v>
      </c>
      <c r="O1059" t="s">
        <v>116</v>
      </c>
      <c r="P1059" t="s">
        <v>6970</v>
      </c>
      <c r="Q1059" t="s">
        <v>6971</v>
      </c>
      <c r="R1059" t="s">
        <v>6972</v>
      </c>
      <c r="T1059" t="s">
        <v>6973</v>
      </c>
      <c r="U1059" t="s">
        <v>188</v>
      </c>
      <c r="V1059" s="8" t="str">
        <f>"81631"</f>
        <v>81631</v>
      </c>
      <c r="W1059" t="s">
        <v>118</v>
      </c>
      <c r="Y1059" s="10">
        <v>19702621182</v>
      </c>
      <c r="AA1059">
        <v>812320</v>
      </c>
      <c r="AB1059" t="s">
        <v>6974</v>
      </c>
      <c r="AC1059" t="s">
        <v>6975</v>
      </c>
      <c r="AE1059" t="s">
        <v>561</v>
      </c>
      <c r="AF1059" t="s">
        <v>6972</v>
      </c>
      <c r="AH1059" t="s">
        <v>6973</v>
      </c>
      <c r="AI1059" t="s">
        <v>188</v>
      </c>
      <c r="AJ1059" s="8" t="str">
        <f>"81631"</f>
        <v>81631</v>
      </c>
      <c r="AK1059" t="s">
        <v>118</v>
      </c>
      <c r="AM1059" s="10">
        <v>19702621182</v>
      </c>
      <c r="AO1059" t="s">
        <v>6976</v>
      </c>
      <c r="AP1059" t="s">
        <v>121</v>
      </c>
      <c r="AQ1059" t="s">
        <v>1771</v>
      </c>
      <c r="AR1059" t="s">
        <v>1772</v>
      </c>
      <c r="AS1059" t="s">
        <v>1410</v>
      </c>
      <c r="AT1059" t="s">
        <v>1773</v>
      </c>
      <c r="AU1059" t="s">
        <v>1774</v>
      </c>
      <c r="AV1059" t="s">
        <v>1775</v>
      </c>
      <c r="AW1059" t="s">
        <v>1776</v>
      </c>
      <c r="AX1059" s="8" t="str">
        <f>"08034"</f>
        <v>08034</v>
      </c>
      <c r="AY1059" t="s">
        <v>118</v>
      </c>
      <c r="AZ1059" t="s">
        <v>1777</v>
      </c>
      <c r="BA1059" s="10">
        <v>18562819750</v>
      </c>
      <c r="BC1059" t="s">
        <v>1778</v>
      </c>
      <c r="BD1059" t="s">
        <v>1779</v>
      </c>
      <c r="BE1059" t="s">
        <v>1776</v>
      </c>
      <c r="BF1059" t="s">
        <v>1780</v>
      </c>
      <c r="BG1059" t="s">
        <v>188</v>
      </c>
      <c r="BH1059" s="1">
        <v>45169.833333333336</v>
      </c>
      <c r="BI1059">
        <v>40</v>
      </c>
      <c r="BJ1059">
        <v>0</v>
      </c>
      <c r="BK1059">
        <v>8</v>
      </c>
      <c r="BL1059">
        <v>8</v>
      </c>
      <c r="BM1059">
        <v>8</v>
      </c>
      <c r="BN1059">
        <v>8</v>
      </c>
      <c r="BO1059">
        <v>8</v>
      </c>
      <c r="BP1059">
        <v>0</v>
      </c>
      <c r="BQ1059" t="str">
        <f>"9:00 AM"</f>
        <v>9:00 AM</v>
      </c>
      <c r="BR1059" t="str">
        <f>"5:00 PM"</f>
        <v>5:00 PM</v>
      </c>
      <c r="BS1059" t="s">
        <v>131</v>
      </c>
      <c r="BT1059">
        <v>0</v>
      </c>
      <c r="BU1059">
        <v>0</v>
      </c>
      <c r="BV1059" t="s">
        <v>114</v>
      </c>
      <c r="BX1059" s="2" t="s">
        <v>6977</v>
      </c>
      <c r="BY1059" t="s">
        <v>6972</v>
      </c>
      <c r="CA1059" t="s">
        <v>6973</v>
      </c>
      <c r="CB1059" t="s">
        <v>188</v>
      </c>
      <c r="CC1059" s="8" t="str">
        <f>"81631"</f>
        <v>81631</v>
      </c>
      <c r="CD1059" t="s">
        <v>1037</v>
      </c>
      <c r="CE1059" t="s">
        <v>1038</v>
      </c>
      <c r="CF1059" s="12">
        <v>16.41</v>
      </c>
      <c r="CG1059" s="12">
        <v>16.41</v>
      </c>
      <c r="CH1059" s="12">
        <v>24.62</v>
      </c>
      <c r="CI1059" s="12">
        <v>24.62</v>
      </c>
      <c r="CJ1059" t="s">
        <v>135</v>
      </c>
      <c r="CK1059" t="s">
        <v>6978</v>
      </c>
      <c r="CL1059" t="s">
        <v>6979</v>
      </c>
      <c r="CO1059" t="s">
        <v>132</v>
      </c>
      <c r="CP1059" t="s">
        <v>114</v>
      </c>
      <c r="CQ1059" t="s">
        <v>114</v>
      </c>
      <c r="CR1059" t="s">
        <v>136</v>
      </c>
      <c r="CS1059" t="s">
        <v>136</v>
      </c>
      <c r="CT1059" t="s">
        <v>136</v>
      </c>
      <c r="CU1059" t="s">
        <v>114</v>
      </c>
      <c r="CV1059" t="s">
        <v>131</v>
      </c>
      <c r="CW1059" s="10" t="str">
        <f>"+19702621182"</f>
        <v>+19702621182</v>
      </c>
      <c r="CX1059" t="s">
        <v>6976</v>
      </c>
      <c r="CY1059" t="s">
        <v>132</v>
      </c>
      <c r="CZ1059" t="s">
        <v>137</v>
      </c>
      <c r="DA1059" t="s">
        <v>114</v>
      </c>
      <c r="DB1059" t="s">
        <v>114</v>
      </c>
      <c r="DC1059" t="s">
        <v>136</v>
      </c>
      <c r="DD1059" t="s">
        <v>114</v>
      </c>
    </row>
    <row r="1060" spans="1:113" ht="15" customHeight="1" x14ac:dyDescent="0.25">
      <c r="A1060" t="s">
        <v>6252</v>
      </c>
      <c r="B1060" t="s">
        <v>152</v>
      </c>
      <c r="C1060" s="1">
        <v>45156.544769791668</v>
      </c>
      <c r="D1060" s="1">
        <v>45238</v>
      </c>
      <c r="E1060" t="s">
        <v>114</v>
      </c>
      <c r="F1060" t="s">
        <v>6164</v>
      </c>
      <c r="G1060" t="str">
        <f>"51-9111.00"</f>
        <v>51-9111.00</v>
      </c>
      <c r="H1060" t="s">
        <v>6253</v>
      </c>
      <c r="I1060">
        <v>4</v>
      </c>
      <c r="J1060">
        <v>4</v>
      </c>
      <c r="K1060" s="1">
        <v>45231</v>
      </c>
      <c r="L1060" s="1">
        <v>45473</v>
      </c>
      <c r="M1060" s="1">
        <v>45231</v>
      </c>
      <c r="N1060" s="1">
        <v>45473</v>
      </c>
      <c r="O1060" t="s">
        <v>116</v>
      </c>
      <c r="P1060" t="s">
        <v>6254</v>
      </c>
      <c r="R1060" t="s">
        <v>6255</v>
      </c>
      <c r="S1060" t="s">
        <v>6256</v>
      </c>
      <c r="T1060" t="s">
        <v>6257</v>
      </c>
      <c r="U1060" t="s">
        <v>903</v>
      </c>
      <c r="V1060" s="8" t="str">
        <f>"04037"</f>
        <v>04037</v>
      </c>
      <c r="W1060" t="s">
        <v>118</v>
      </c>
      <c r="Y1060" s="10">
        <v>12079353341</v>
      </c>
      <c r="AA1060">
        <v>115114</v>
      </c>
      <c r="AB1060" t="s">
        <v>6258</v>
      </c>
      <c r="AC1060" t="s">
        <v>6259</v>
      </c>
      <c r="AE1060" t="s">
        <v>764</v>
      </c>
      <c r="AF1060" t="s">
        <v>6255</v>
      </c>
      <c r="AH1060" t="s">
        <v>6257</v>
      </c>
      <c r="AI1060" t="s">
        <v>903</v>
      </c>
      <c r="AJ1060" s="8" t="str">
        <f>"04037"</f>
        <v>04037</v>
      </c>
      <c r="AK1060" t="s">
        <v>118</v>
      </c>
      <c r="AM1060" s="10">
        <v>12079353341</v>
      </c>
      <c r="AO1060" t="s">
        <v>132</v>
      </c>
      <c r="AP1060" t="s">
        <v>248</v>
      </c>
      <c r="AQ1060" t="s">
        <v>577</v>
      </c>
      <c r="AR1060" t="s">
        <v>578</v>
      </c>
      <c r="AT1060" t="s">
        <v>579</v>
      </c>
      <c r="AV1060" t="s">
        <v>580</v>
      </c>
      <c r="AW1060" t="s">
        <v>581</v>
      </c>
      <c r="AX1060" s="8" t="str">
        <f>"22903"</f>
        <v>22903</v>
      </c>
      <c r="AY1060" t="s">
        <v>118</v>
      </c>
      <c r="BA1060" s="10">
        <v>14342634300</v>
      </c>
      <c r="BC1060" t="s">
        <v>582</v>
      </c>
      <c r="BD1060" t="s">
        <v>583</v>
      </c>
      <c r="BG1060" t="s">
        <v>903</v>
      </c>
      <c r="BH1060" s="1">
        <v>45155.833333333336</v>
      </c>
      <c r="BI1060">
        <v>40</v>
      </c>
      <c r="BJ1060">
        <v>0</v>
      </c>
      <c r="BK1060">
        <v>8</v>
      </c>
      <c r="BL1060">
        <v>8</v>
      </c>
      <c r="BM1060">
        <v>8</v>
      </c>
      <c r="BN1060">
        <v>8</v>
      </c>
      <c r="BO1060">
        <v>8</v>
      </c>
      <c r="BP1060">
        <v>0</v>
      </c>
      <c r="BQ1060" t="str">
        <f>"6:00 AM"</f>
        <v>6:00 AM</v>
      </c>
      <c r="BR1060" t="str">
        <f>"2:30 PM"</f>
        <v>2:30 PM</v>
      </c>
      <c r="BS1060" t="s">
        <v>131</v>
      </c>
      <c r="BT1060">
        <v>0</v>
      </c>
      <c r="BU1060">
        <v>0</v>
      </c>
      <c r="BV1060" t="s">
        <v>114</v>
      </c>
      <c r="BX1060" s="2" t="s">
        <v>6260</v>
      </c>
      <c r="BY1060" t="s">
        <v>6261</v>
      </c>
      <c r="CA1060" t="s">
        <v>6257</v>
      </c>
      <c r="CB1060" t="s">
        <v>903</v>
      </c>
      <c r="CC1060" s="8" t="str">
        <f>"04037"</f>
        <v>04037</v>
      </c>
      <c r="CD1060" t="s">
        <v>6262</v>
      </c>
      <c r="CE1060" t="s">
        <v>2185</v>
      </c>
      <c r="CF1060" s="12">
        <v>20.04</v>
      </c>
      <c r="CH1060" s="12">
        <v>30.06</v>
      </c>
      <c r="CJ1060" t="s">
        <v>135</v>
      </c>
      <c r="CK1060" t="s">
        <v>3456</v>
      </c>
      <c r="CL1060" t="s">
        <v>6263</v>
      </c>
      <c r="CO1060" t="s">
        <v>132</v>
      </c>
      <c r="CP1060" t="s">
        <v>136</v>
      </c>
      <c r="CQ1060" t="s">
        <v>136</v>
      </c>
      <c r="CR1060" t="s">
        <v>136</v>
      </c>
      <c r="CS1060" t="s">
        <v>136</v>
      </c>
      <c r="CT1060" t="s">
        <v>136</v>
      </c>
      <c r="CU1060" t="s">
        <v>136</v>
      </c>
      <c r="CV1060" t="s">
        <v>6264</v>
      </c>
      <c r="CW1060" s="10" t="str">
        <f>"N/A"</f>
        <v>N/A</v>
      </c>
      <c r="CX1060" t="s">
        <v>6265</v>
      </c>
      <c r="CY1060" t="s">
        <v>2772</v>
      </c>
      <c r="CZ1060" t="s">
        <v>137</v>
      </c>
      <c r="DA1060" t="s">
        <v>114</v>
      </c>
      <c r="DB1060" t="s">
        <v>136</v>
      </c>
      <c r="DC1060" t="s">
        <v>136</v>
      </c>
      <c r="DD1060" t="s">
        <v>114</v>
      </c>
      <c r="DE1060" t="s">
        <v>595</v>
      </c>
      <c r="DF1060" t="s">
        <v>596</v>
      </c>
      <c r="DH1060" t="s">
        <v>583</v>
      </c>
      <c r="DI1060" t="s">
        <v>582</v>
      </c>
    </row>
    <row r="1061" spans="1:113" ht="15" customHeight="1" x14ac:dyDescent="0.25">
      <c r="A1061" t="s">
        <v>1058</v>
      </c>
      <c r="B1061" t="s">
        <v>152</v>
      </c>
      <c r="C1061" s="1">
        <v>45125.931385416668</v>
      </c>
      <c r="D1061" s="1">
        <v>45238</v>
      </c>
      <c r="E1061" t="s">
        <v>114</v>
      </c>
      <c r="F1061" t="s">
        <v>1059</v>
      </c>
      <c r="G1061" t="str">
        <f>"35-2014.00"</f>
        <v>35-2014.00</v>
      </c>
      <c r="H1061" t="s">
        <v>154</v>
      </c>
      <c r="I1061">
        <v>20</v>
      </c>
      <c r="J1061">
        <v>20</v>
      </c>
      <c r="K1061" s="1">
        <v>45200</v>
      </c>
      <c r="L1061" s="1">
        <v>45473</v>
      </c>
      <c r="M1061" s="1">
        <v>45200</v>
      </c>
      <c r="N1061" s="1">
        <v>45473</v>
      </c>
      <c r="O1061" t="s">
        <v>116</v>
      </c>
      <c r="P1061" t="s">
        <v>1060</v>
      </c>
      <c r="Q1061" t="s">
        <v>1061</v>
      </c>
      <c r="R1061" t="s">
        <v>1062</v>
      </c>
      <c r="T1061" t="s">
        <v>761</v>
      </c>
      <c r="U1061" t="s">
        <v>140</v>
      </c>
      <c r="V1061" s="8" t="str">
        <f>"33445"</f>
        <v>33445</v>
      </c>
      <c r="W1061" t="s">
        <v>118</v>
      </c>
      <c r="Y1061" s="10">
        <v>15618230990</v>
      </c>
      <c r="AA1061">
        <v>72111</v>
      </c>
      <c r="AB1061" t="s">
        <v>1063</v>
      </c>
      <c r="AC1061" t="s">
        <v>1064</v>
      </c>
      <c r="AE1061" t="s">
        <v>1065</v>
      </c>
      <c r="AF1061" t="s">
        <v>1066</v>
      </c>
      <c r="AH1061" t="s">
        <v>1067</v>
      </c>
      <c r="AI1061" t="s">
        <v>140</v>
      </c>
      <c r="AJ1061" s="8" t="str">
        <f>"33445"</f>
        <v>33445</v>
      </c>
      <c r="AK1061" t="s">
        <v>118</v>
      </c>
      <c r="AM1061" s="10">
        <v>13476719373</v>
      </c>
      <c r="AO1061" t="s">
        <v>1068</v>
      </c>
      <c r="AP1061" t="s">
        <v>121</v>
      </c>
      <c r="AQ1061" t="s">
        <v>1059</v>
      </c>
      <c r="AR1061" t="s">
        <v>1069</v>
      </c>
      <c r="AS1061" t="s">
        <v>962</v>
      </c>
      <c r="AT1061" t="s">
        <v>1070</v>
      </c>
      <c r="AU1061" t="s">
        <v>1071</v>
      </c>
      <c r="AV1061" t="s">
        <v>573</v>
      </c>
      <c r="AW1061" t="s">
        <v>550</v>
      </c>
      <c r="AX1061" s="8" t="str">
        <f>"30309"</f>
        <v>30309</v>
      </c>
      <c r="AY1061" t="s">
        <v>118</v>
      </c>
      <c r="BA1061" s="10">
        <v>14042404151</v>
      </c>
      <c r="BC1061" t="s">
        <v>1072</v>
      </c>
      <c r="BD1061" t="s">
        <v>1073</v>
      </c>
      <c r="BE1061" t="s">
        <v>550</v>
      </c>
      <c r="BF1061" t="s">
        <v>1074</v>
      </c>
      <c r="BG1061" t="s">
        <v>140</v>
      </c>
      <c r="BH1061" s="1">
        <v>45124.833333333336</v>
      </c>
      <c r="BI1061">
        <v>35</v>
      </c>
      <c r="BJ1061">
        <v>0</v>
      </c>
      <c r="BK1061">
        <v>7</v>
      </c>
      <c r="BL1061">
        <v>7</v>
      </c>
      <c r="BM1061">
        <v>7</v>
      </c>
      <c r="BN1061">
        <v>0</v>
      </c>
      <c r="BO1061">
        <v>7</v>
      </c>
      <c r="BP1061">
        <v>7</v>
      </c>
      <c r="BQ1061" t="str">
        <f>"6:00 AM"</f>
        <v>6:00 AM</v>
      </c>
      <c r="BR1061" t="str">
        <f>"2:00 PM"</f>
        <v>2:00 PM</v>
      </c>
      <c r="BS1061" t="s">
        <v>131</v>
      </c>
      <c r="BT1061">
        <v>0</v>
      </c>
      <c r="BU1061">
        <v>0</v>
      </c>
      <c r="BV1061" t="s">
        <v>114</v>
      </c>
      <c r="BX1061" t="s">
        <v>1075</v>
      </c>
      <c r="BY1061" t="s">
        <v>1062</v>
      </c>
      <c r="CA1061" t="s">
        <v>761</v>
      </c>
      <c r="CB1061" t="s">
        <v>140</v>
      </c>
      <c r="CC1061" s="8" t="str">
        <f>"33445"</f>
        <v>33445</v>
      </c>
      <c r="CD1061" t="s">
        <v>767</v>
      </c>
      <c r="CE1061" t="s">
        <v>149</v>
      </c>
      <c r="CF1061" s="12">
        <v>15.5</v>
      </c>
      <c r="CH1061" s="12">
        <v>23.25</v>
      </c>
      <c r="CJ1061" t="s">
        <v>135</v>
      </c>
      <c r="CL1061" t="s">
        <v>1076</v>
      </c>
      <c r="CO1061" t="s">
        <v>132</v>
      </c>
      <c r="CP1061" t="s">
        <v>114</v>
      </c>
      <c r="CQ1061" t="s">
        <v>136</v>
      </c>
      <c r="CR1061" t="s">
        <v>136</v>
      </c>
      <c r="CS1061" t="s">
        <v>136</v>
      </c>
      <c r="CT1061" t="s">
        <v>136</v>
      </c>
      <c r="CU1061" t="s">
        <v>136</v>
      </c>
      <c r="CV1061" t="s">
        <v>1077</v>
      </c>
      <c r="CW1061" s="10" t="str">
        <f>"+15618230990"</f>
        <v>+15618230990</v>
      </c>
      <c r="CX1061" t="s">
        <v>1078</v>
      </c>
      <c r="CY1061" t="s">
        <v>1079</v>
      </c>
      <c r="CZ1061" t="s">
        <v>137</v>
      </c>
      <c r="DA1061" t="s">
        <v>114</v>
      </c>
      <c r="DB1061" t="s">
        <v>136</v>
      </c>
      <c r="DC1061" t="s">
        <v>136</v>
      </c>
      <c r="DD1061" t="s">
        <v>114</v>
      </c>
    </row>
    <row r="1062" spans="1:113" ht="15" customHeight="1" x14ac:dyDescent="0.25">
      <c r="A1062" t="s">
        <v>21534</v>
      </c>
      <c r="B1062" t="s">
        <v>152</v>
      </c>
      <c r="C1062" s="1">
        <v>45120.744522569446</v>
      </c>
      <c r="D1062" s="1">
        <v>45238</v>
      </c>
      <c r="E1062" t="s">
        <v>114</v>
      </c>
      <c r="F1062" t="s">
        <v>1689</v>
      </c>
      <c r="G1062" t="str">
        <f>"37-2012.00"</f>
        <v>37-2012.00</v>
      </c>
      <c r="H1062" t="s">
        <v>205</v>
      </c>
      <c r="I1062">
        <v>40</v>
      </c>
      <c r="J1062">
        <v>40</v>
      </c>
      <c r="K1062" s="1">
        <v>45200</v>
      </c>
      <c r="L1062" s="1">
        <v>45413</v>
      </c>
      <c r="M1062" s="1">
        <v>45200</v>
      </c>
      <c r="N1062" s="1">
        <v>45413</v>
      </c>
      <c r="O1062" t="s">
        <v>116</v>
      </c>
      <c r="P1062" t="s">
        <v>21535</v>
      </c>
      <c r="R1062" t="s">
        <v>18359</v>
      </c>
      <c r="T1062" t="s">
        <v>401</v>
      </c>
      <c r="U1062" t="s">
        <v>402</v>
      </c>
      <c r="V1062" s="8" t="str">
        <f>"92008"</f>
        <v>92008</v>
      </c>
      <c r="W1062" t="s">
        <v>118</v>
      </c>
      <c r="Y1062" s="10">
        <v>17604318500</v>
      </c>
      <c r="AA1062">
        <v>72111</v>
      </c>
      <c r="AB1062" t="s">
        <v>11772</v>
      </c>
      <c r="AC1062" t="s">
        <v>12336</v>
      </c>
      <c r="AE1062" t="s">
        <v>11034</v>
      </c>
      <c r="AF1062" t="s">
        <v>18359</v>
      </c>
      <c r="AH1062" t="s">
        <v>401</v>
      </c>
      <c r="AI1062" t="s">
        <v>402</v>
      </c>
      <c r="AJ1062" s="8" t="str">
        <f>"92008"</f>
        <v>92008</v>
      </c>
      <c r="AK1062" t="s">
        <v>118</v>
      </c>
      <c r="AL1062" t="s">
        <v>12356</v>
      </c>
      <c r="AM1062" s="10">
        <v>17604318500</v>
      </c>
      <c r="AO1062" t="s">
        <v>18360</v>
      </c>
      <c r="AP1062" t="s">
        <v>121</v>
      </c>
      <c r="AQ1062" t="s">
        <v>1327</v>
      </c>
      <c r="AR1062" t="s">
        <v>1328</v>
      </c>
      <c r="AS1062" t="s">
        <v>1329</v>
      </c>
      <c r="AT1062" t="s">
        <v>1330</v>
      </c>
      <c r="AU1062" t="s">
        <v>1331</v>
      </c>
      <c r="AV1062" t="s">
        <v>142</v>
      </c>
      <c r="AW1062" t="s">
        <v>140</v>
      </c>
      <c r="AX1062" s="8" t="str">
        <f>"33126"</f>
        <v>33126</v>
      </c>
      <c r="AY1062" t="s">
        <v>118</v>
      </c>
      <c r="BA1062" s="10">
        <v>13057745800</v>
      </c>
      <c r="BC1062" t="s">
        <v>1332</v>
      </c>
      <c r="BD1062" t="s">
        <v>1333</v>
      </c>
      <c r="BE1062" t="s">
        <v>140</v>
      </c>
      <c r="BF1062" t="s">
        <v>172</v>
      </c>
      <c r="BG1062" t="s">
        <v>402</v>
      </c>
      <c r="BH1062" s="1">
        <v>45116.833333333336</v>
      </c>
      <c r="BI1062">
        <v>35</v>
      </c>
      <c r="BJ1062">
        <v>7</v>
      </c>
      <c r="BK1062">
        <v>7</v>
      </c>
      <c r="BL1062">
        <v>7</v>
      </c>
      <c r="BM1062">
        <v>7</v>
      </c>
      <c r="BN1062">
        <v>7</v>
      </c>
      <c r="BO1062">
        <v>0</v>
      </c>
      <c r="BP1062">
        <v>0</v>
      </c>
      <c r="BQ1062" t="str">
        <f>"8:30 AM"</f>
        <v>8:30 AM</v>
      </c>
      <c r="BR1062" t="str">
        <f>"4:00 PM"</f>
        <v>4:00 PM</v>
      </c>
      <c r="BS1062" t="s">
        <v>131</v>
      </c>
      <c r="BT1062">
        <v>0</v>
      </c>
      <c r="BU1062">
        <v>0</v>
      </c>
      <c r="BV1062" t="s">
        <v>114</v>
      </c>
      <c r="BX1062" s="2" t="s">
        <v>18361</v>
      </c>
      <c r="BY1062" t="s">
        <v>21536</v>
      </c>
      <c r="CA1062" t="s">
        <v>401</v>
      </c>
      <c r="CB1062" t="s">
        <v>402</v>
      </c>
      <c r="CC1062" s="8" t="str">
        <f>"92008"</f>
        <v>92008</v>
      </c>
      <c r="CD1062" t="s">
        <v>2435</v>
      </c>
      <c r="CE1062" t="s">
        <v>2436</v>
      </c>
      <c r="CF1062" s="12">
        <v>18.37</v>
      </c>
      <c r="CG1062" s="12">
        <v>19.5</v>
      </c>
      <c r="CH1062" s="12">
        <v>27.55</v>
      </c>
      <c r="CI1062" s="12">
        <v>29.25</v>
      </c>
      <c r="CJ1062" t="s">
        <v>135</v>
      </c>
      <c r="CL1062" t="s">
        <v>21537</v>
      </c>
      <c r="CO1062" t="s">
        <v>132</v>
      </c>
      <c r="CP1062" t="s">
        <v>136</v>
      </c>
      <c r="CQ1062" t="s">
        <v>114</v>
      </c>
      <c r="CR1062" t="s">
        <v>136</v>
      </c>
      <c r="CS1062" t="s">
        <v>114</v>
      </c>
      <c r="CT1062" t="s">
        <v>136</v>
      </c>
      <c r="CU1062" t="s">
        <v>136</v>
      </c>
      <c r="CV1062" s="2" t="s">
        <v>18364</v>
      </c>
      <c r="CW1062" s="10" t="str">
        <f>"+17606666763"</f>
        <v>+17606666763</v>
      </c>
      <c r="CX1062" t="s">
        <v>18360</v>
      </c>
      <c r="CY1062" t="s">
        <v>18365</v>
      </c>
      <c r="CZ1062" t="s">
        <v>137</v>
      </c>
      <c r="DA1062" t="s">
        <v>114</v>
      </c>
      <c r="DB1062" t="s">
        <v>136</v>
      </c>
      <c r="DC1062" t="s">
        <v>136</v>
      </c>
      <c r="DD1062" t="s">
        <v>114</v>
      </c>
    </row>
    <row r="1063" spans="1:113" ht="15" customHeight="1" x14ac:dyDescent="0.25">
      <c r="A1063" t="s">
        <v>4549</v>
      </c>
      <c r="B1063" t="s">
        <v>152</v>
      </c>
      <c r="C1063" s="1">
        <v>45198.34002314815</v>
      </c>
      <c r="D1063" s="1">
        <v>45237</v>
      </c>
      <c r="E1063" t="s">
        <v>132</v>
      </c>
      <c r="F1063" t="s">
        <v>236</v>
      </c>
      <c r="G1063" t="str">
        <f>"39-3091.00"</f>
        <v>39-3091.00</v>
      </c>
      <c r="H1063" t="s">
        <v>237</v>
      </c>
      <c r="I1063">
        <v>77</v>
      </c>
      <c r="J1063">
        <v>77</v>
      </c>
      <c r="K1063" s="1">
        <v>45288</v>
      </c>
      <c r="L1063" s="1">
        <v>45590</v>
      </c>
      <c r="M1063" s="1">
        <v>45288</v>
      </c>
      <c r="N1063" s="1">
        <v>45590</v>
      </c>
      <c r="O1063" t="s">
        <v>238</v>
      </c>
      <c r="P1063" t="s">
        <v>4550</v>
      </c>
      <c r="R1063" t="s">
        <v>4551</v>
      </c>
      <c r="T1063" t="s">
        <v>2224</v>
      </c>
      <c r="U1063" t="s">
        <v>434</v>
      </c>
      <c r="V1063" s="8" t="str">
        <f>"19406"</f>
        <v>19406</v>
      </c>
      <c r="W1063" t="s">
        <v>118</v>
      </c>
      <c r="Y1063" s="10">
        <v>15169013014</v>
      </c>
      <c r="AA1063">
        <v>711190</v>
      </c>
      <c r="AB1063" t="s">
        <v>4552</v>
      </c>
      <c r="AC1063" t="s">
        <v>404</v>
      </c>
      <c r="AD1063" t="s">
        <v>3976</v>
      </c>
      <c r="AE1063" t="s">
        <v>629</v>
      </c>
      <c r="AF1063" t="s">
        <v>4551</v>
      </c>
      <c r="AH1063" t="s">
        <v>2224</v>
      </c>
      <c r="AI1063" t="s">
        <v>434</v>
      </c>
      <c r="AJ1063" s="8" t="str">
        <f>"19406"</f>
        <v>19406</v>
      </c>
      <c r="AK1063" t="s">
        <v>118</v>
      </c>
      <c r="AM1063" s="10">
        <v>15169013014</v>
      </c>
      <c r="AO1063" t="s">
        <v>4553</v>
      </c>
      <c r="AP1063" t="s">
        <v>248</v>
      </c>
      <c r="AQ1063" t="s">
        <v>249</v>
      </c>
      <c r="AR1063" t="s">
        <v>250</v>
      </c>
      <c r="AS1063" t="s">
        <v>251</v>
      </c>
      <c r="AT1063" t="s">
        <v>252</v>
      </c>
      <c r="AU1063" t="s">
        <v>253</v>
      </c>
      <c r="AV1063" t="s">
        <v>254</v>
      </c>
      <c r="AW1063" t="s">
        <v>127</v>
      </c>
      <c r="AX1063" s="8" t="str">
        <f>"78550"</f>
        <v>78550</v>
      </c>
      <c r="AY1063" t="s">
        <v>118</v>
      </c>
      <c r="AZ1063" t="s">
        <v>255</v>
      </c>
      <c r="BA1063" s="10">
        <v>19564408720</v>
      </c>
      <c r="BB1063" s="3" t="s">
        <v>256</v>
      </c>
      <c r="BC1063" t="s">
        <v>257</v>
      </c>
      <c r="BD1063" t="s">
        <v>258</v>
      </c>
      <c r="BG1063" t="s">
        <v>434</v>
      </c>
      <c r="BH1063" s="1">
        <v>45197.833333333336</v>
      </c>
      <c r="BI1063">
        <v>40</v>
      </c>
      <c r="BJ1063">
        <v>8</v>
      </c>
      <c r="BK1063">
        <v>0</v>
      </c>
      <c r="BL1063">
        <v>0</v>
      </c>
      <c r="BM1063">
        <v>8</v>
      </c>
      <c r="BN1063">
        <v>8</v>
      </c>
      <c r="BO1063">
        <v>8</v>
      </c>
      <c r="BP1063">
        <v>8</v>
      </c>
      <c r="BQ1063" t="str">
        <f>"1:00 PM"</f>
        <v>1:00 PM</v>
      </c>
      <c r="BR1063" t="str">
        <f>"10:00 PM"</f>
        <v>10:00 PM</v>
      </c>
      <c r="BS1063" t="s">
        <v>131</v>
      </c>
      <c r="BT1063">
        <v>0</v>
      </c>
      <c r="BU1063">
        <v>0</v>
      </c>
      <c r="BV1063" t="s">
        <v>114</v>
      </c>
      <c r="BX1063" s="2" t="s">
        <v>259</v>
      </c>
      <c r="BY1063" t="s">
        <v>4554</v>
      </c>
      <c r="CA1063" t="s">
        <v>4555</v>
      </c>
      <c r="CB1063" t="s">
        <v>434</v>
      </c>
      <c r="CC1063" s="8" t="str">
        <f>"19020"</f>
        <v>19020</v>
      </c>
      <c r="CD1063" t="s">
        <v>3073</v>
      </c>
      <c r="CE1063" t="s">
        <v>443</v>
      </c>
      <c r="CF1063" s="12">
        <v>10.39</v>
      </c>
      <c r="CG1063" s="12">
        <v>16.3</v>
      </c>
      <c r="CJ1063" t="s">
        <v>135</v>
      </c>
      <c r="CK1063" t="s">
        <v>264</v>
      </c>
      <c r="CL1063" t="s">
        <v>4556</v>
      </c>
      <c r="CO1063" t="s">
        <v>132</v>
      </c>
      <c r="CP1063" t="s">
        <v>136</v>
      </c>
      <c r="CQ1063" t="s">
        <v>136</v>
      </c>
      <c r="CR1063" t="s">
        <v>114</v>
      </c>
      <c r="CS1063" t="s">
        <v>136</v>
      </c>
      <c r="CT1063" t="s">
        <v>136</v>
      </c>
      <c r="CU1063" t="s">
        <v>136</v>
      </c>
      <c r="CV1063" t="s">
        <v>4557</v>
      </c>
      <c r="CW1063" s="10" t="str">
        <f>"+15169013014"</f>
        <v>+15169013014</v>
      </c>
      <c r="CX1063" t="s">
        <v>4553</v>
      </c>
      <c r="CY1063" t="s">
        <v>132</v>
      </c>
      <c r="CZ1063" t="s">
        <v>137</v>
      </c>
      <c r="DA1063" t="s">
        <v>114</v>
      </c>
      <c r="DB1063" t="s">
        <v>136</v>
      </c>
      <c r="DC1063" t="s">
        <v>136</v>
      </c>
      <c r="DD1063" t="s">
        <v>114</v>
      </c>
    </row>
    <row r="1064" spans="1:113" ht="15" customHeight="1" x14ac:dyDescent="0.25">
      <c r="A1064" t="s">
        <v>4473</v>
      </c>
      <c r="B1064" t="s">
        <v>152</v>
      </c>
      <c r="C1064" s="1">
        <v>45192.344055092595</v>
      </c>
      <c r="D1064" s="1">
        <v>45237</v>
      </c>
      <c r="E1064" t="s">
        <v>132</v>
      </c>
      <c r="F1064" t="s">
        <v>236</v>
      </c>
      <c r="G1064" t="str">
        <f>"39-3091.00"</f>
        <v>39-3091.00</v>
      </c>
      <c r="H1064" t="s">
        <v>237</v>
      </c>
      <c r="I1064">
        <v>12</v>
      </c>
      <c r="J1064">
        <v>12</v>
      </c>
      <c r="K1064" s="1">
        <v>45282</v>
      </c>
      <c r="L1064" s="1">
        <v>45586</v>
      </c>
      <c r="M1064" s="1">
        <v>45282</v>
      </c>
      <c r="N1064" s="1">
        <v>45586</v>
      </c>
      <c r="O1064" t="s">
        <v>238</v>
      </c>
      <c r="P1064" t="s">
        <v>4474</v>
      </c>
      <c r="R1064" t="s">
        <v>4475</v>
      </c>
      <c r="S1064" t="s">
        <v>4476</v>
      </c>
      <c r="T1064" t="s">
        <v>3634</v>
      </c>
      <c r="U1064" t="s">
        <v>402</v>
      </c>
      <c r="V1064" s="8" t="str">
        <f>"90405"</f>
        <v>90405</v>
      </c>
      <c r="W1064" t="s">
        <v>118</v>
      </c>
      <c r="Y1064" s="10">
        <v>13108807945</v>
      </c>
      <c r="AA1064">
        <v>7139</v>
      </c>
      <c r="AB1064" t="s">
        <v>4477</v>
      </c>
      <c r="AC1064" t="s">
        <v>4478</v>
      </c>
      <c r="AE1064" t="s">
        <v>629</v>
      </c>
      <c r="AF1064" t="s">
        <v>4475</v>
      </c>
      <c r="AG1064" t="s">
        <v>4479</v>
      </c>
      <c r="AH1064" t="s">
        <v>3634</v>
      </c>
      <c r="AI1064" t="s">
        <v>402</v>
      </c>
      <c r="AJ1064" s="8" t="str">
        <f>"90405"</f>
        <v>90405</v>
      </c>
      <c r="AK1064" t="s">
        <v>118</v>
      </c>
      <c r="AM1064" s="10">
        <v>13108807945</v>
      </c>
      <c r="AO1064" t="s">
        <v>4480</v>
      </c>
      <c r="AP1064" t="s">
        <v>248</v>
      </c>
      <c r="AQ1064" t="s">
        <v>249</v>
      </c>
      <c r="AR1064" t="s">
        <v>250</v>
      </c>
      <c r="AS1064" t="s">
        <v>251</v>
      </c>
      <c r="AT1064" t="s">
        <v>252</v>
      </c>
      <c r="AU1064" t="s">
        <v>253</v>
      </c>
      <c r="AV1064" t="s">
        <v>254</v>
      </c>
      <c r="AW1064" t="s">
        <v>127</v>
      </c>
      <c r="AX1064" s="8" t="str">
        <f>"78550"</f>
        <v>78550</v>
      </c>
      <c r="AY1064" t="s">
        <v>118</v>
      </c>
      <c r="AZ1064" t="s">
        <v>255</v>
      </c>
      <c r="BA1064" s="10">
        <v>19564408720</v>
      </c>
      <c r="BB1064" s="3" t="s">
        <v>256</v>
      </c>
      <c r="BC1064" t="s">
        <v>257</v>
      </c>
      <c r="BD1064" t="s">
        <v>258</v>
      </c>
      <c r="BG1064" t="s">
        <v>402</v>
      </c>
      <c r="BH1064" s="1">
        <v>45191.833333333336</v>
      </c>
      <c r="BI1064">
        <v>40</v>
      </c>
      <c r="BJ1064">
        <v>8</v>
      </c>
      <c r="BK1064">
        <v>0</v>
      </c>
      <c r="BL1064">
        <v>0</v>
      </c>
      <c r="BM1064">
        <v>8</v>
      </c>
      <c r="BN1064">
        <v>8</v>
      </c>
      <c r="BO1064">
        <v>8</v>
      </c>
      <c r="BP1064">
        <v>8</v>
      </c>
      <c r="BQ1064" t="str">
        <f>"1:00 PM"</f>
        <v>1:00 PM</v>
      </c>
      <c r="BR1064" t="str">
        <f>"10:00 PM"</f>
        <v>10:00 PM</v>
      </c>
      <c r="BS1064" t="s">
        <v>131</v>
      </c>
      <c r="BT1064">
        <v>0</v>
      </c>
      <c r="BU1064">
        <v>0</v>
      </c>
      <c r="BV1064" t="s">
        <v>114</v>
      </c>
      <c r="BX1064" s="2" t="s">
        <v>259</v>
      </c>
      <c r="BY1064" t="s">
        <v>4481</v>
      </c>
      <c r="CA1064" t="s">
        <v>4482</v>
      </c>
      <c r="CB1064" t="s">
        <v>402</v>
      </c>
      <c r="CC1064" s="8" t="str">
        <f>"91763"</f>
        <v>91763</v>
      </c>
      <c r="CD1064" t="s">
        <v>4483</v>
      </c>
      <c r="CE1064" t="s">
        <v>4484</v>
      </c>
      <c r="CF1064" s="12">
        <v>10.039999999999999</v>
      </c>
      <c r="CG1064" s="12">
        <v>17.18</v>
      </c>
      <c r="CJ1064" t="s">
        <v>135</v>
      </c>
      <c r="CK1064" t="s">
        <v>264</v>
      </c>
      <c r="CL1064" t="s">
        <v>4485</v>
      </c>
      <c r="CO1064" t="s">
        <v>132</v>
      </c>
      <c r="CP1064" t="s">
        <v>136</v>
      </c>
      <c r="CQ1064" t="s">
        <v>136</v>
      </c>
      <c r="CR1064" t="s">
        <v>114</v>
      </c>
      <c r="CS1064" t="s">
        <v>136</v>
      </c>
      <c r="CT1064" t="s">
        <v>136</v>
      </c>
      <c r="CU1064" t="s">
        <v>136</v>
      </c>
      <c r="CV1064" t="s">
        <v>4486</v>
      </c>
      <c r="CW1064" s="10" t="str">
        <f>"+13108807945"</f>
        <v>+13108807945</v>
      </c>
      <c r="CX1064" t="s">
        <v>4487</v>
      </c>
      <c r="CY1064" t="s">
        <v>132</v>
      </c>
      <c r="CZ1064" t="s">
        <v>137</v>
      </c>
      <c r="DA1064" t="s">
        <v>114</v>
      </c>
      <c r="DB1064" t="s">
        <v>114</v>
      </c>
      <c r="DC1064" t="s">
        <v>136</v>
      </c>
      <c r="DD1064" t="s">
        <v>114</v>
      </c>
    </row>
    <row r="1065" spans="1:113" ht="15" customHeight="1" x14ac:dyDescent="0.25">
      <c r="A1065" t="s">
        <v>19631</v>
      </c>
      <c r="B1065" t="s">
        <v>152</v>
      </c>
      <c r="C1065" s="1">
        <v>45190.698417361113</v>
      </c>
      <c r="D1065" s="1">
        <v>45237</v>
      </c>
      <c r="E1065" t="s">
        <v>132</v>
      </c>
      <c r="F1065" t="s">
        <v>1247</v>
      </c>
      <c r="G1065" t="str">
        <f>"45-4011.00"</f>
        <v>45-4011.00</v>
      </c>
      <c r="H1065" t="s">
        <v>842</v>
      </c>
      <c r="I1065">
        <v>45</v>
      </c>
      <c r="J1065">
        <v>45</v>
      </c>
      <c r="K1065" s="1">
        <v>45280</v>
      </c>
      <c r="L1065" s="1">
        <v>45580</v>
      </c>
      <c r="M1065" s="1">
        <v>45280</v>
      </c>
      <c r="N1065" s="1">
        <v>45580</v>
      </c>
      <c r="O1065" t="s">
        <v>116</v>
      </c>
      <c r="P1065" t="s">
        <v>19632</v>
      </c>
      <c r="R1065" t="s">
        <v>19633</v>
      </c>
      <c r="T1065" t="s">
        <v>845</v>
      </c>
      <c r="U1065" t="s">
        <v>479</v>
      </c>
      <c r="V1065" s="8" t="str">
        <f>"97502"</f>
        <v>97502</v>
      </c>
      <c r="W1065" t="s">
        <v>118</v>
      </c>
      <c r="Y1065" s="10">
        <v>15419447735</v>
      </c>
      <c r="AA1065">
        <v>115310</v>
      </c>
      <c r="AB1065" t="s">
        <v>846</v>
      </c>
      <c r="AC1065" t="s">
        <v>19634</v>
      </c>
      <c r="AD1065" t="s">
        <v>132</v>
      </c>
      <c r="AE1065" t="s">
        <v>629</v>
      </c>
      <c r="AF1065" t="s">
        <v>19633</v>
      </c>
      <c r="AH1065" t="s">
        <v>845</v>
      </c>
      <c r="AI1065" t="s">
        <v>479</v>
      </c>
      <c r="AJ1065" s="8" t="str">
        <f>"97502"</f>
        <v>97502</v>
      </c>
      <c r="AK1065" t="s">
        <v>118</v>
      </c>
      <c r="AM1065" s="10">
        <v>15419447735</v>
      </c>
      <c r="AO1065" t="s">
        <v>19635</v>
      </c>
      <c r="AP1065" t="s">
        <v>248</v>
      </c>
      <c r="AQ1065" t="s">
        <v>1030</v>
      </c>
      <c r="AR1065" t="s">
        <v>1031</v>
      </c>
      <c r="AS1065" t="s">
        <v>132</v>
      </c>
      <c r="AT1065" t="s">
        <v>1032</v>
      </c>
      <c r="AU1065" t="s">
        <v>852</v>
      </c>
      <c r="AV1065" t="s">
        <v>1033</v>
      </c>
      <c r="AW1065" t="s">
        <v>854</v>
      </c>
      <c r="AX1065" s="8" t="str">
        <f>"83814"</f>
        <v>83814</v>
      </c>
      <c r="AY1065" t="s">
        <v>118</v>
      </c>
      <c r="BA1065" s="10">
        <v>12087772654</v>
      </c>
      <c r="BC1065" t="s">
        <v>1034</v>
      </c>
      <c r="BD1065" t="s">
        <v>856</v>
      </c>
      <c r="BG1065" t="s">
        <v>479</v>
      </c>
      <c r="BH1065" s="1">
        <v>45175.833333333336</v>
      </c>
      <c r="BI1065">
        <v>40</v>
      </c>
      <c r="BJ1065">
        <v>0</v>
      </c>
      <c r="BK1065">
        <v>8</v>
      </c>
      <c r="BL1065">
        <v>8</v>
      </c>
      <c r="BM1065">
        <v>8</v>
      </c>
      <c r="BN1065">
        <v>8</v>
      </c>
      <c r="BO1065">
        <v>8</v>
      </c>
      <c r="BP1065">
        <v>0</v>
      </c>
      <c r="BQ1065" t="str">
        <f>"7:00 AM"</f>
        <v>7:00 AM</v>
      </c>
      <c r="BR1065" t="str">
        <f>"3:30 PM"</f>
        <v>3:30 PM</v>
      </c>
      <c r="BS1065" t="s">
        <v>131</v>
      </c>
      <c r="BT1065">
        <v>0</v>
      </c>
      <c r="BU1065">
        <v>3</v>
      </c>
      <c r="BV1065" t="s">
        <v>114</v>
      </c>
      <c r="BX1065" s="2" t="s">
        <v>19636</v>
      </c>
      <c r="BY1065" t="s">
        <v>19637</v>
      </c>
      <c r="CA1065" t="s">
        <v>845</v>
      </c>
      <c r="CB1065" t="s">
        <v>479</v>
      </c>
      <c r="CC1065" s="8" t="str">
        <f>"97502"</f>
        <v>97502</v>
      </c>
      <c r="CD1065" t="s">
        <v>859</v>
      </c>
      <c r="CE1065" t="s">
        <v>860</v>
      </c>
      <c r="CF1065" s="12">
        <v>14.21</v>
      </c>
      <c r="CG1065" s="12">
        <v>30</v>
      </c>
      <c r="CH1065" s="12">
        <v>21.32</v>
      </c>
      <c r="CI1065" s="12">
        <v>45</v>
      </c>
      <c r="CJ1065" t="s">
        <v>135</v>
      </c>
      <c r="CK1065" t="s">
        <v>861</v>
      </c>
      <c r="CL1065" t="s">
        <v>19638</v>
      </c>
      <c r="CO1065" t="s">
        <v>132</v>
      </c>
      <c r="CP1065" t="s">
        <v>136</v>
      </c>
      <c r="CQ1065" t="s">
        <v>136</v>
      </c>
      <c r="CR1065" t="s">
        <v>136</v>
      </c>
      <c r="CS1065" t="s">
        <v>114</v>
      </c>
      <c r="CT1065" t="s">
        <v>136</v>
      </c>
      <c r="CU1065" t="s">
        <v>136</v>
      </c>
      <c r="CV1065" t="s">
        <v>1040</v>
      </c>
      <c r="CW1065" s="10" t="str">
        <f>"+15419447735"</f>
        <v>+15419447735</v>
      </c>
      <c r="CX1065" t="s">
        <v>19635</v>
      </c>
      <c r="CY1065" t="s">
        <v>132</v>
      </c>
      <c r="CZ1065" t="s">
        <v>137</v>
      </c>
      <c r="DA1065" t="s">
        <v>114</v>
      </c>
      <c r="DB1065" t="s">
        <v>114</v>
      </c>
      <c r="DC1065" t="s">
        <v>136</v>
      </c>
      <c r="DD1065" t="s">
        <v>114</v>
      </c>
    </row>
    <row r="1066" spans="1:113" ht="15" customHeight="1" x14ac:dyDescent="0.25">
      <c r="A1066" t="s">
        <v>10693</v>
      </c>
      <c r="B1066" t="s">
        <v>152</v>
      </c>
      <c r="C1066" s="1">
        <v>45189.129371527779</v>
      </c>
      <c r="D1066" s="1">
        <v>45237</v>
      </c>
      <c r="E1066" t="s">
        <v>132</v>
      </c>
      <c r="F1066" t="s">
        <v>3992</v>
      </c>
      <c r="G1066" t="str">
        <f>"37-3011.00"</f>
        <v>37-3011.00</v>
      </c>
      <c r="H1066" t="s">
        <v>429</v>
      </c>
      <c r="I1066">
        <v>13</v>
      </c>
      <c r="J1066">
        <v>13</v>
      </c>
      <c r="K1066" s="1">
        <v>45264</v>
      </c>
      <c r="L1066" s="1">
        <v>45382</v>
      </c>
      <c r="M1066" s="1">
        <v>45264</v>
      </c>
      <c r="N1066" s="1">
        <v>45382</v>
      </c>
      <c r="O1066" t="s">
        <v>238</v>
      </c>
      <c r="P1066" t="s">
        <v>10694</v>
      </c>
      <c r="R1066" t="s">
        <v>10695</v>
      </c>
      <c r="T1066" t="s">
        <v>2467</v>
      </c>
      <c r="U1066" t="s">
        <v>211</v>
      </c>
      <c r="V1066" s="8" t="str">
        <f>"84059"</f>
        <v>84059</v>
      </c>
      <c r="W1066" t="s">
        <v>118</v>
      </c>
      <c r="Y1066" s="10">
        <v>18016361713</v>
      </c>
      <c r="AA1066">
        <v>56173</v>
      </c>
      <c r="AB1066" t="s">
        <v>1893</v>
      </c>
      <c r="AC1066" t="s">
        <v>10696</v>
      </c>
      <c r="AE1066" t="s">
        <v>561</v>
      </c>
      <c r="AF1066" t="s">
        <v>10695</v>
      </c>
      <c r="AH1066" t="s">
        <v>2467</v>
      </c>
      <c r="AI1066" t="s">
        <v>211</v>
      </c>
      <c r="AJ1066" s="8" t="str">
        <f>"84059"</f>
        <v>84059</v>
      </c>
      <c r="AK1066" t="s">
        <v>118</v>
      </c>
      <c r="AM1066" s="10">
        <v>18016361713</v>
      </c>
      <c r="AO1066" t="s">
        <v>10697</v>
      </c>
      <c r="AP1066" t="s">
        <v>248</v>
      </c>
      <c r="AQ1066" t="s">
        <v>1700</v>
      </c>
      <c r="AR1066" t="s">
        <v>1701</v>
      </c>
      <c r="AT1066" t="s">
        <v>1702</v>
      </c>
      <c r="AV1066" t="s">
        <v>2467</v>
      </c>
      <c r="AW1066" t="s">
        <v>211</v>
      </c>
      <c r="AX1066" s="8" t="str">
        <f>"84059"</f>
        <v>84059</v>
      </c>
      <c r="AY1066" t="s">
        <v>118</v>
      </c>
      <c r="BA1066" s="10">
        <v>18013677097</v>
      </c>
      <c r="BC1066" t="s">
        <v>4601</v>
      </c>
      <c r="BD1066" t="s">
        <v>4602</v>
      </c>
      <c r="BG1066" t="s">
        <v>211</v>
      </c>
      <c r="BH1066" s="1">
        <v>45188.833333333336</v>
      </c>
      <c r="BI1066">
        <v>35</v>
      </c>
      <c r="BJ1066">
        <v>0</v>
      </c>
      <c r="BK1066">
        <v>7</v>
      </c>
      <c r="BL1066">
        <v>7</v>
      </c>
      <c r="BM1066">
        <v>7</v>
      </c>
      <c r="BN1066">
        <v>7</v>
      </c>
      <c r="BO1066">
        <v>7</v>
      </c>
      <c r="BP1066">
        <v>0</v>
      </c>
      <c r="BQ1066" t="str">
        <f>"8:00 AM"</f>
        <v>8:00 AM</v>
      </c>
      <c r="BR1066" t="str">
        <f>"3:30 PM"</f>
        <v>3:30 PM</v>
      </c>
      <c r="BS1066" t="s">
        <v>131</v>
      </c>
      <c r="BT1066">
        <v>0</v>
      </c>
      <c r="BU1066">
        <v>0</v>
      </c>
      <c r="BV1066" t="s">
        <v>114</v>
      </c>
      <c r="BX1066" s="2" t="s">
        <v>4603</v>
      </c>
      <c r="BY1066" t="s">
        <v>10695</v>
      </c>
      <c r="CA1066" t="s">
        <v>2467</v>
      </c>
      <c r="CB1066" t="s">
        <v>211</v>
      </c>
      <c r="CC1066" s="8" t="str">
        <f>"84059"</f>
        <v>84059</v>
      </c>
      <c r="CD1066" t="s">
        <v>2468</v>
      </c>
      <c r="CE1066" t="s">
        <v>2469</v>
      </c>
      <c r="CF1066" s="12">
        <v>18.3</v>
      </c>
      <c r="CJ1066" t="s">
        <v>135</v>
      </c>
      <c r="CK1066" t="s">
        <v>4604</v>
      </c>
      <c r="CL1066" t="s">
        <v>10698</v>
      </c>
      <c r="CO1066" t="s">
        <v>132</v>
      </c>
      <c r="CP1066" t="s">
        <v>136</v>
      </c>
      <c r="CQ1066" t="s">
        <v>136</v>
      </c>
      <c r="CR1066" t="s">
        <v>114</v>
      </c>
      <c r="CS1066" t="s">
        <v>114</v>
      </c>
      <c r="CT1066" t="s">
        <v>136</v>
      </c>
      <c r="CU1066" t="s">
        <v>114</v>
      </c>
      <c r="CV1066" t="s">
        <v>2470</v>
      </c>
      <c r="CW1066" s="10" t="str">
        <f>"+18016361713"</f>
        <v>+18016361713</v>
      </c>
      <c r="CX1066" t="s">
        <v>10699</v>
      </c>
      <c r="CY1066" t="s">
        <v>132</v>
      </c>
      <c r="CZ1066" t="s">
        <v>137</v>
      </c>
      <c r="DA1066" t="s">
        <v>114</v>
      </c>
      <c r="DB1066" t="s">
        <v>114</v>
      </c>
      <c r="DC1066" t="s">
        <v>136</v>
      </c>
      <c r="DD1066" t="s">
        <v>114</v>
      </c>
    </row>
    <row r="1067" spans="1:113" ht="15" customHeight="1" x14ac:dyDescent="0.25">
      <c r="A1067" t="s">
        <v>14565</v>
      </c>
      <c r="B1067" t="s">
        <v>152</v>
      </c>
      <c r="C1067" s="1">
        <v>45188.795709837963</v>
      </c>
      <c r="D1067" s="1">
        <v>45237</v>
      </c>
      <c r="E1067" t="s">
        <v>132</v>
      </c>
      <c r="F1067" t="s">
        <v>1247</v>
      </c>
      <c r="G1067" t="str">
        <f>"45-4011.00"</f>
        <v>45-4011.00</v>
      </c>
      <c r="H1067" t="s">
        <v>842</v>
      </c>
      <c r="I1067">
        <v>100</v>
      </c>
      <c r="J1067">
        <v>100</v>
      </c>
      <c r="K1067" s="1">
        <v>45275</v>
      </c>
      <c r="L1067" s="1">
        <v>45578</v>
      </c>
      <c r="M1067" s="1">
        <v>45275</v>
      </c>
      <c r="N1067" s="1">
        <v>45578</v>
      </c>
      <c r="O1067" t="s">
        <v>116</v>
      </c>
      <c r="P1067" t="s">
        <v>14566</v>
      </c>
      <c r="R1067" t="s">
        <v>14567</v>
      </c>
      <c r="T1067" t="s">
        <v>845</v>
      </c>
      <c r="U1067" t="s">
        <v>479</v>
      </c>
      <c r="V1067" s="8" t="str">
        <f>"97502"</f>
        <v>97502</v>
      </c>
      <c r="W1067" t="s">
        <v>118</v>
      </c>
      <c r="Y1067" s="10">
        <v>15412616713</v>
      </c>
      <c r="AA1067">
        <v>11531</v>
      </c>
      <c r="AB1067" t="s">
        <v>14568</v>
      </c>
      <c r="AC1067" t="s">
        <v>14569</v>
      </c>
      <c r="AE1067" t="s">
        <v>2907</v>
      </c>
      <c r="AF1067" t="s">
        <v>14567</v>
      </c>
      <c r="AH1067" t="s">
        <v>845</v>
      </c>
      <c r="AI1067" t="s">
        <v>479</v>
      </c>
      <c r="AJ1067" s="8" t="str">
        <f>"97502"</f>
        <v>97502</v>
      </c>
      <c r="AK1067" t="s">
        <v>118</v>
      </c>
      <c r="AM1067" s="10">
        <v>15412616713</v>
      </c>
      <c r="AO1067" t="s">
        <v>14570</v>
      </c>
      <c r="AP1067" t="s">
        <v>248</v>
      </c>
      <c r="AQ1067" t="s">
        <v>2152</v>
      </c>
      <c r="AR1067" t="s">
        <v>2153</v>
      </c>
      <c r="AT1067" t="s">
        <v>1253</v>
      </c>
      <c r="AU1067" t="s">
        <v>852</v>
      </c>
      <c r="AV1067" t="s">
        <v>853</v>
      </c>
      <c r="AW1067" t="s">
        <v>854</v>
      </c>
      <c r="AX1067" s="8" t="str">
        <f>"83814"</f>
        <v>83814</v>
      </c>
      <c r="AY1067" t="s">
        <v>118</v>
      </c>
      <c r="BA1067" s="10">
        <v>12087772654</v>
      </c>
      <c r="BC1067" t="s">
        <v>2154</v>
      </c>
      <c r="BD1067" t="s">
        <v>856</v>
      </c>
      <c r="BG1067" t="s">
        <v>479</v>
      </c>
      <c r="BH1067" s="1">
        <v>45183.833333333336</v>
      </c>
      <c r="BI1067">
        <v>40</v>
      </c>
      <c r="BJ1067">
        <v>0</v>
      </c>
      <c r="BK1067">
        <v>8</v>
      </c>
      <c r="BL1067">
        <v>8</v>
      </c>
      <c r="BM1067">
        <v>8</v>
      </c>
      <c r="BN1067">
        <v>8</v>
      </c>
      <c r="BO1067">
        <v>8</v>
      </c>
      <c r="BP1067">
        <v>0</v>
      </c>
      <c r="BQ1067" t="str">
        <f>"6:00 AM"</f>
        <v>6:00 AM</v>
      </c>
      <c r="BR1067" t="str">
        <f>"2:30 PM"</f>
        <v>2:30 PM</v>
      </c>
      <c r="BS1067" t="s">
        <v>131</v>
      </c>
      <c r="BT1067">
        <v>0</v>
      </c>
      <c r="BU1067">
        <v>3</v>
      </c>
      <c r="BV1067" t="s">
        <v>114</v>
      </c>
      <c r="BX1067" s="2" t="s">
        <v>14571</v>
      </c>
      <c r="BY1067" t="s">
        <v>14572</v>
      </c>
      <c r="CA1067" t="s">
        <v>845</v>
      </c>
      <c r="CB1067" t="s">
        <v>479</v>
      </c>
      <c r="CC1067" s="8" t="str">
        <f>"97502"</f>
        <v>97502</v>
      </c>
      <c r="CD1067" t="s">
        <v>859</v>
      </c>
      <c r="CE1067" t="s">
        <v>860</v>
      </c>
      <c r="CF1067" s="12">
        <v>15.47</v>
      </c>
      <c r="CG1067" s="12">
        <v>27</v>
      </c>
      <c r="CH1067" s="12">
        <v>23.21</v>
      </c>
      <c r="CI1067" s="12">
        <v>40.5</v>
      </c>
      <c r="CJ1067" t="s">
        <v>135</v>
      </c>
      <c r="CK1067" t="s">
        <v>861</v>
      </c>
      <c r="CL1067" t="s">
        <v>14573</v>
      </c>
      <c r="CO1067" t="s">
        <v>132</v>
      </c>
      <c r="CP1067" t="s">
        <v>136</v>
      </c>
      <c r="CQ1067" t="s">
        <v>136</v>
      </c>
      <c r="CR1067" t="s">
        <v>136</v>
      </c>
      <c r="CS1067" t="s">
        <v>114</v>
      </c>
      <c r="CT1067" t="s">
        <v>136</v>
      </c>
      <c r="CU1067" t="s">
        <v>136</v>
      </c>
      <c r="CV1067" t="s">
        <v>1040</v>
      </c>
      <c r="CW1067" s="10" t="str">
        <f>"+15412616713"</f>
        <v>+15412616713</v>
      </c>
      <c r="CX1067" t="s">
        <v>14570</v>
      </c>
      <c r="CY1067" t="s">
        <v>132</v>
      </c>
      <c r="CZ1067" t="s">
        <v>137</v>
      </c>
      <c r="DA1067" t="s">
        <v>114</v>
      </c>
      <c r="DB1067" t="s">
        <v>136</v>
      </c>
      <c r="DC1067" t="s">
        <v>136</v>
      </c>
      <c r="DD1067" t="s">
        <v>114</v>
      </c>
    </row>
    <row r="1068" spans="1:113" ht="15" customHeight="1" x14ac:dyDescent="0.25">
      <c r="A1068" t="s">
        <v>20839</v>
      </c>
      <c r="B1068" t="s">
        <v>152</v>
      </c>
      <c r="C1068" s="1">
        <v>45185.366838194444</v>
      </c>
      <c r="D1068" s="1">
        <v>45237</v>
      </c>
      <c r="E1068" t="s">
        <v>132</v>
      </c>
      <c r="F1068" t="s">
        <v>5482</v>
      </c>
      <c r="G1068" t="str">
        <f>"37-2012.00"</f>
        <v>37-2012.00</v>
      </c>
      <c r="H1068" t="s">
        <v>205</v>
      </c>
      <c r="I1068">
        <v>24</v>
      </c>
      <c r="J1068">
        <v>24</v>
      </c>
      <c r="K1068" s="1">
        <v>45275</v>
      </c>
      <c r="L1068" s="1">
        <v>45579</v>
      </c>
      <c r="M1068" s="1">
        <v>45275</v>
      </c>
      <c r="N1068" s="1">
        <v>45579</v>
      </c>
      <c r="O1068" t="s">
        <v>116</v>
      </c>
      <c r="P1068" t="s">
        <v>20840</v>
      </c>
      <c r="Q1068" t="s">
        <v>20841</v>
      </c>
      <c r="R1068" t="s">
        <v>20842</v>
      </c>
      <c r="S1068" t="s">
        <v>20843</v>
      </c>
      <c r="T1068" t="s">
        <v>587</v>
      </c>
      <c r="U1068" t="s">
        <v>584</v>
      </c>
      <c r="V1068" s="8" t="str">
        <f>"83001-1712"</f>
        <v>83001-1712</v>
      </c>
      <c r="W1068" t="s">
        <v>118</v>
      </c>
      <c r="Y1068" s="10">
        <v>13077332648</v>
      </c>
      <c r="AA1068">
        <v>72111</v>
      </c>
      <c r="AB1068" t="s">
        <v>20844</v>
      </c>
      <c r="AC1068" t="s">
        <v>20845</v>
      </c>
      <c r="AE1068" t="s">
        <v>794</v>
      </c>
      <c r="AF1068" t="s">
        <v>20842</v>
      </c>
      <c r="AG1068" t="s">
        <v>20843</v>
      </c>
      <c r="AH1068" t="s">
        <v>587</v>
      </c>
      <c r="AI1068" t="s">
        <v>584</v>
      </c>
      <c r="AJ1068" s="8" t="str">
        <f>"83001-1712"</f>
        <v>83001-1712</v>
      </c>
      <c r="AK1068" t="s">
        <v>118</v>
      </c>
      <c r="AM1068" s="10">
        <v>13077332648</v>
      </c>
      <c r="AO1068" t="s">
        <v>132</v>
      </c>
      <c r="AP1068" t="s">
        <v>248</v>
      </c>
      <c r="AQ1068" t="s">
        <v>2132</v>
      </c>
      <c r="AR1068" t="s">
        <v>2133</v>
      </c>
      <c r="AT1068" t="s">
        <v>579</v>
      </c>
      <c r="AV1068" t="s">
        <v>580</v>
      </c>
      <c r="AW1068" t="s">
        <v>581</v>
      </c>
      <c r="AX1068" s="8" t="str">
        <f>"22903"</f>
        <v>22903</v>
      </c>
      <c r="AY1068" t="s">
        <v>118</v>
      </c>
      <c r="BA1068" s="10">
        <v>14342634300</v>
      </c>
      <c r="BC1068" t="s">
        <v>2271</v>
      </c>
      <c r="BD1068" t="s">
        <v>583</v>
      </c>
      <c r="BG1068" t="s">
        <v>584</v>
      </c>
      <c r="BH1068" s="1">
        <v>45184.833333333336</v>
      </c>
      <c r="BI1068">
        <v>35</v>
      </c>
      <c r="BJ1068">
        <v>0</v>
      </c>
      <c r="BK1068">
        <v>7</v>
      </c>
      <c r="BL1068">
        <v>7</v>
      </c>
      <c r="BM1068">
        <v>7</v>
      </c>
      <c r="BN1068">
        <v>7</v>
      </c>
      <c r="BO1068">
        <v>7</v>
      </c>
      <c r="BP1068">
        <v>0</v>
      </c>
      <c r="BQ1068" t="str">
        <f>"8:00 AM"</f>
        <v>8:00 AM</v>
      </c>
      <c r="BR1068" t="str">
        <f>"4:00 PM"</f>
        <v>4:00 PM</v>
      </c>
      <c r="BS1068" t="s">
        <v>131</v>
      </c>
      <c r="BT1068">
        <v>0</v>
      </c>
      <c r="BU1068">
        <v>0</v>
      </c>
      <c r="BV1068" t="s">
        <v>114</v>
      </c>
      <c r="BX1068" s="2" t="s">
        <v>20846</v>
      </c>
      <c r="BY1068" t="s">
        <v>20847</v>
      </c>
      <c r="CA1068" t="s">
        <v>587</v>
      </c>
      <c r="CB1068" t="s">
        <v>584</v>
      </c>
      <c r="CC1068" s="8" t="str">
        <f>"83001-1712"</f>
        <v>83001-1712</v>
      </c>
      <c r="CD1068" t="s">
        <v>588</v>
      </c>
      <c r="CE1068" t="s">
        <v>589</v>
      </c>
      <c r="CF1068" s="12">
        <v>15.76</v>
      </c>
      <c r="CH1068" s="12">
        <v>23.64</v>
      </c>
      <c r="CJ1068" t="s">
        <v>135</v>
      </c>
      <c r="CK1068" t="s">
        <v>20848</v>
      </c>
      <c r="CL1068" t="s">
        <v>20849</v>
      </c>
      <c r="CO1068" t="s">
        <v>132</v>
      </c>
      <c r="CP1068" t="s">
        <v>114</v>
      </c>
      <c r="CQ1068" t="s">
        <v>114</v>
      </c>
      <c r="CR1068" t="s">
        <v>136</v>
      </c>
      <c r="CS1068" t="s">
        <v>136</v>
      </c>
      <c r="CT1068" t="s">
        <v>136</v>
      </c>
      <c r="CU1068" t="s">
        <v>136</v>
      </c>
      <c r="CV1068" t="s">
        <v>20850</v>
      </c>
      <c r="CW1068" s="10" t="str">
        <f>"N/A"</f>
        <v>N/A</v>
      </c>
      <c r="CX1068" t="s">
        <v>20851</v>
      </c>
      <c r="CY1068" t="s">
        <v>9103</v>
      </c>
      <c r="CZ1068" t="s">
        <v>137</v>
      </c>
      <c r="DA1068" t="s">
        <v>114</v>
      </c>
      <c r="DB1068" t="s">
        <v>136</v>
      </c>
      <c r="DC1068" t="s">
        <v>136</v>
      </c>
      <c r="DD1068" t="s">
        <v>114</v>
      </c>
      <c r="DE1068" t="s">
        <v>2273</v>
      </c>
      <c r="DF1068" t="s">
        <v>1069</v>
      </c>
      <c r="DH1068" t="s">
        <v>583</v>
      </c>
      <c r="DI1068" t="s">
        <v>2271</v>
      </c>
    </row>
    <row r="1069" spans="1:113" ht="15" customHeight="1" x14ac:dyDescent="0.25">
      <c r="A1069" t="s">
        <v>11694</v>
      </c>
      <c r="B1069" t="s">
        <v>152</v>
      </c>
      <c r="C1069" s="1">
        <v>45183.690671180557</v>
      </c>
      <c r="D1069" s="1">
        <v>45237</v>
      </c>
      <c r="E1069" t="s">
        <v>132</v>
      </c>
      <c r="F1069" t="s">
        <v>3992</v>
      </c>
      <c r="G1069" t="str">
        <f>"47-4051.00"</f>
        <v>47-4051.00</v>
      </c>
      <c r="H1069" t="s">
        <v>5632</v>
      </c>
      <c r="I1069">
        <v>12</v>
      </c>
      <c r="J1069">
        <v>12</v>
      </c>
      <c r="K1069" s="1">
        <v>45261</v>
      </c>
      <c r="L1069" s="1">
        <v>45397</v>
      </c>
      <c r="M1069" s="1">
        <v>45261</v>
      </c>
      <c r="N1069" s="1">
        <v>45397</v>
      </c>
      <c r="O1069" t="s">
        <v>238</v>
      </c>
      <c r="P1069" t="s">
        <v>11695</v>
      </c>
      <c r="R1069" t="s">
        <v>11696</v>
      </c>
      <c r="T1069" t="s">
        <v>11697</v>
      </c>
      <c r="U1069" t="s">
        <v>543</v>
      </c>
      <c r="V1069" s="8" t="str">
        <f>"44072"</f>
        <v>44072</v>
      </c>
      <c r="W1069" t="s">
        <v>118</v>
      </c>
      <c r="Y1069" s="10">
        <v>14407290011</v>
      </c>
      <c r="AA1069">
        <v>56173</v>
      </c>
      <c r="AB1069" t="s">
        <v>11698</v>
      </c>
      <c r="AC1069" t="s">
        <v>826</v>
      </c>
      <c r="AE1069" t="s">
        <v>1799</v>
      </c>
      <c r="AF1069" t="s">
        <v>11696</v>
      </c>
      <c r="AH1069" t="s">
        <v>11697</v>
      </c>
      <c r="AI1069" t="s">
        <v>543</v>
      </c>
      <c r="AJ1069" s="8" t="str">
        <f>"44072"</f>
        <v>44072</v>
      </c>
      <c r="AK1069" t="s">
        <v>118</v>
      </c>
      <c r="AM1069" s="10">
        <v>14407290011</v>
      </c>
      <c r="AO1069" t="s">
        <v>132</v>
      </c>
      <c r="AP1069" t="s">
        <v>248</v>
      </c>
      <c r="AQ1069" t="s">
        <v>577</v>
      </c>
      <c r="AR1069" t="s">
        <v>578</v>
      </c>
      <c r="AS1069" t="s">
        <v>5973</v>
      </c>
      <c r="AT1069" t="s">
        <v>579</v>
      </c>
      <c r="AV1069" t="s">
        <v>580</v>
      </c>
      <c r="AW1069" t="s">
        <v>581</v>
      </c>
      <c r="AX1069" s="8" t="str">
        <f>"22903"</f>
        <v>22903</v>
      </c>
      <c r="AY1069" t="s">
        <v>118</v>
      </c>
      <c r="BA1069" s="10">
        <v>14342634300</v>
      </c>
      <c r="BC1069" t="s">
        <v>11699</v>
      </c>
      <c r="BD1069" t="s">
        <v>583</v>
      </c>
      <c r="BG1069" t="s">
        <v>543</v>
      </c>
      <c r="BH1069" s="1">
        <v>45181.833333333336</v>
      </c>
      <c r="BI1069">
        <v>35</v>
      </c>
      <c r="BJ1069">
        <v>0</v>
      </c>
      <c r="BK1069">
        <v>7</v>
      </c>
      <c r="BL1069">
        <v>7</v>
      </c>
      <c r="BM1069">
        <v>7</v>
      </c>
      <c r="BN1069">
        <v>7</v>
      </c>
      <c r="BO1069">
        <v>7</v>
      </c>
      <c r="BP1069">
        <v>0</v>
      </c>
      <c r="BQ1069" t="str">
        <f>"7:30 AM"</f>
        <v>7:30 AM</v>
      </c>
      <c r="BR1069" t="str">
        <f>"3:00 PM"</f>
        <v>3:00 PM</v>
      </c>
      <c r="BS1069" t="s">
        <v>131</v>
      </c>
      <c r="BT1069">
        <v>0</v>
      </c>
      <c r="BU1069">
        <v>0</v>
      </c>
      <c r="BV1069" t="s">
        <v>114</v>
      </c>
      <c r="BX1069" s="2" t="s">
        <v>11700</v>
      </c>
      <c r="BY1069" t="s">
        <v>11701</v>
      </c>
      <c r="CA1069" t="s">
        <v>11697</v>
      </c>
      <c r="CB1069" t="s">
        <v>543</v>
      </c>
      <c r="CC1069" s="8" t="str">
        <f>"44072"</f>
        <v>44072</v>
      </c>
      <c r="CD1069" t="s">
        <v>2533</v>
      </c>
      <c r="CE1069" t="s">
        <v>1839</v>
      </c>
      <c r="CF1069" s="12">
        <v>24.96</v>
      </c>
      <c r="CH1069" s="12">
        <v>37.44</v>
      </c>
      <c r="CJ1069" t="s">
        <v>135</v>
      </c>
      <c r="CK1069" t="s">
        <v>590</v>
      </c>
      <c r="CL1069" t="s">
        <v>11702</v>
      </c>
      <c r="CO1069" t="s">
        <v>132</v>
      </c>
      <c r="CP1069" t="s">
        <v>136</v>
      </c>
      <c r="CQ1069" t="s">
        <v>114</v>
      </c>
      <c r="CR1069" t="s">
        <v>136</v>
      </c>
      <c r="CS1069" t="s">
        <v>136</v>
      </c>
      <c r="CT1069" t="s">
        <v>136</v>
      </c>
      <c r="CU1069" t="s">
        <v>136</v>
      </c>
      <c r="CV1069" t="s">
        <v>11703</v>
      </c>
      <c r="CW1069" s="10" t="str">
        <f>"N/A"</f>
        <v>N/A</v>
      </c>
      <c r="CX1069" t="s">
        <v>11704</v>
      </c>
      <c r="CY1069" t="s">
        <v>2025</v>
      </c>
      <c r="CZ1069" t="s">
        <v>137</v>
      </c>
      <c r="DA1069" t="s">
        <v>114</v>
      </c>
      <c r="DB1069" t="s">
        <v>136</v>
      </c>
      <c r="DC1069" t="s">
        <v>136</v>
      </c>
      <c r="DD1069" t="s">
        <v>114</v>
      </c>
      <c r="DE1069" t="s">
        <v>577</v>
      </c>
      <c r="DF1069" t="s">
        <v>578</v>
      </c>
      <c r="DG1069" t="s">
        <v>5973</v>
      </c>
      <c r="DH1069" t="s">
        <v>9449</v>
      </c>
      <c r="DI1069" t="s">
        <v>11699</v>
      </c>
    </row>
    <row r="1070" spans="1:113" ht="15" customHeight="1" x14ac:dyDescent="0.25">
      <c r="A1070" t="s">
        <v>19411</v>
      </c>
      <c r="B1070" t="s">
        <v>152</v>
      </c>
      <c r="C1070" s="1">
        <v>45181.842441203706</v>
      </c>
      <c r="D1070" s="1">
        <v>45237</v>
      </c>
      <c r="E1070" t="s">
        <v>132</v>
      </c>
      <c r="F1070" t="s">
        <v>10238</v>
      </c>
      <c r="G1070" t="str">
        <f>"49-9043.00"</f>
        <v>49-9043.00</v>
      </c>
      <c r="H1070" t="s">
        <v>10239</v>
      </c>
      <c r="I1070">
        <v>3</v>
      </c>
      <c r="J1070">
        <v>3</v>
      </c>
      <c r="K1070" s="1">
        <v>45256</v>
      </c>
      <c r="L1070" s="1">
        <v>45383</v>
      </c>
      <c r="M1070" s="1">
        <v>45256</v>
      </c>
      <c r="N1070" s="1">
        <v>45383</v>
      </c>
      <c r="O1070" t="s">
        <v>238</v>
      </c>
      <c r="P1070" t="s">
        <v>19412</v>
      </c>
      <c r="R1070" t="s">
        <v>5052</v>
      </c>
      <c r="T1070" t="s">
        <v>5053</v>
      </c>
      <c r="U1070" t="s">
        <v>1154</v>
      </c>
      <c r="V1070" s="8" t="str">
        <f>"39455"</f>
        <v>39455</v>
      </c>
      <c r="W1070" t="s">
        <v>118</v>
      </c>
      <c r="Y1070" s="10">
        <v>16014360151</v>
      </c>
      <c r="AA1070">
        <v>711190</v>
      </c>
      <c r="AB1070" t="s">
        <v>5054</v>
      </c>
      <c r="AC1070" t="s">
        <v>5055</v>
      </c>
      <c r="AE1070" t="s">
        <v>561</v>
      </c>
      <c r="AF1070" t="s">
        <v>5052</v>
      </c>
      <c r="AH1070" t="s">
        <v>5053</v>
      </c>
      <c r="AI1070" t="s">
        <v>1154</v>
      </c>
      <c r="AJ1070" s="8" t="str">
        <f>"39455"</f>
        <v>39455</v>
      </c>
      <c r="AK1070" t="s">
        <v>118</v>
      </c>
      <c r="AM1070" s="10">
        <v>606014360151</v>
      </c>
      <c r="AO1070" t="s">
        <v>5056</v>
      </c>
      <c r="AP1070" t="s">
        <v>248</v>
      </c>
      <c r="AQ1070" t="s">
        <v>3290</v>
      </c>
      <c r="AR1070" t="s">
        <v>2001</v>
      </c>
      <c r="AT1070" t="s">
        <v>3291</v>
      </c>
      <c r="AV1070" t="s">
        <v>3292</v>
      </c>
      <c r="AW1070" t="s">
        <v>402</v>
      </c>
      <c r="AX1070" s="8" t="str">
        <f>"93446"</f>
        <v>93446</v>
      </c>
      <c r="AY1070" t="s">
        <v>118</v>
      </c>
      <c r="AZ1070" t="s">
        <v>3293</v>
      </c>
      <c r="BA1070" s="10">
        <v>13217042589</v>
      </c>
      <c r="BC1070" t="s">
        <v>3294</v>
      </c>
      <c r="BD1070" t="s">
        <v>3295</v>
      </c>
      <c r="BG1070" t="s">
        <v>1154</v>
      </c>
      <c r="BH1070" s="1">
        <v>45180.833333333336</v>
      </c>
      <c r="BI1070">
        <v>35</v>
      </c>
      <c r="BJ1070">
        <v>0</v>
      </c>
      <c r="BK1070">
        <v>7</v>
      </c>
      <c r="BL1070">
        <v>7</v>
      </c>
      <c r="BM1070">
        <v>7</v>
      </c>
      <c r="BN1070">
        <v>7</v>
      </c>
      <c r="BO1070">
        <v>7</v>
      </c>
      <c r="BP1070">
        <v>0</v>
      </c>
      <c r="BQ1070" t="str">
        <f>"8:00 AM"</f>
        <v>8:00 AM</v>
      </c>
      <c r="BR1070" t="str">
        <f>"3:00 PM"</f>
        <v>3:00 PM</v>
      </c>
      <c r="BS1070" t="s">
        <v>131</v>
      </c>
      <c r="BT1070">
        <v>0</v>
      </c>
      <c r="BU1070">
        <v>0</v>
      </c>
      <c r="BV1070" t="s">
        <v>114</v>
      </c>
      <c r="BX1070" s="2" t="s">
        <v>19413</v>
      </c>
      <c r="BY1070" t="s">
        <v>5052</v>
      </c>
      <c r="CA1070" t="s">
        <v>5057</v>
      </c>
      <c r="CB1070" t="s">
        <v>1154</v>
      </c>
      <c r="CC1070" s="8" t="str">
        <f>"39455"</f>
        <v>39455</v>
      </c>
      <c r="CD1070" t="s">
        <v>5058</v>
      </c>
      <c r="CE1070" t="s">
        <v>5059</v>
      </c>
      <c r="CF1070" s="12">
        <v>34.14</v>
      </c>
      <c r="CH1070" s="12">
        <v>51.21</v>
      </c>
      <c r="CJ1070" t="s">
        <v>135</v>
      </c>
      <c r="CK1070" t="s">
        <v>5469</v>
      </c>
      <c r="CL1070" t="s">
        <v>19414</v>
      </c>
      <c r="CO1070" t="s">
        <v>132</v>
      </c>
      <c r="CP1070" t="s">
        <v>114</v>
      </c>
      <c r="CQ1070" t="s">
        <v>114</v>
      </c>
      <c r="CR1070" t="s">
        <v>136</v>
      </c>
      <c r="CS1070" t="s">
        <v>136</v>
      </c>
      <c r="CT1070" t="s">
        <v>136</v>
      </c>
      <c r="CU1070" t="s">
        <v>136</v>
      </c>
      <c r="CV1070" t="s">
        <v>19415</v>
      </c>
      <c r="CW1070" s="10" t="str">
        <f>"+16014360151"</f>
        <v>+16014360151</v>
      </c>
      <c r="CX1070" t="s">
        <v>5056</v>
      </c>
      <c r="CY1070" t="s">
        <v>132</v>
      </c>
      <c r="CZ1070" t="s">
        <v>137</v>
      </c>
      <c r="DA1070" t="s">
        <v>114</v>
      </c>
      <c r="DB1070" t="s">
        <v>114</v>
      </c>
      <c r="DC1070" t="s">
        <v>136</v>
      </c>
      <c r="DD1070" t="s">
        <v>114</v>
      </c>
    </row>
    <row r="1071" spans="1:113" ht="15" customHeight="1" x14ac:dyDescent="0.25">
      <c r="A1071" t="s">
        <v>22792</v>
      </c>
      <c r="B1071" t="s">
        <v>152</v>
      </c>
      <c r="C1071" s="1">
        <v>45180.802998263891</v>
      </c>
      <c r="D1071" s="1">
        <v>45237</v>
      </c>
      <c r="E1071" t="s">
        <v>132</v>
      </c>
      <c r="F1071" t="s">
        <v>22793</v>
      </c>
      <c r="G1071" t="str">
        <f>"49-9098.00"</f>
        <v>49-9098.00</v>
      </c>
      <c r="H1071" t="s">
        <v>945</v>
      </c>
      <c r="I1071">
        <v>8</v>
      </c>
      <c r="J1071">
        <v>8</v>
      </c>
      <c r="K1071" s="1">
        <v>45261</v>
      </c>
      <c r="L1071" s="1">
        <v>45407</v>
      </c>
      <c r="M1071" s="1">
        <v>45261</v>
      </c>
      <c r="N1071" s="1">
        <v>45407</v>
      </c>
      <c r="O1071" t="s">
        <v>116</v>
      </c>
      <c r="P1071" t="s">
        <v>10264</v>
      </c>
      <c r="Q1071" t="s">
        <v>132</v>
      </c>
      <c r="R1071" t="s">
        <v>10265</v>
      </c>
      <c r="S1071" t="s">
        <v>132</v>
      </c>
      <c r="T1071" t="s">
        <v>10266</v>
      </c>
      <c r="U1071" t="s">
        <v>169</v>
      </c>
      <c r="V1071" s="8" t="str">
        <f>"55612"</f>
        <v>55612</v>
      </c>
      <c r="W1071" t="s">
        <v>118</v>
      </c>
      <c r="Y1071" s="10">
        <v>12184061330</v>
      </c>
      <c r="AA1071">
        <v>72111</v>
      </c>
      <c r="AB1071" t="s">
        <v>10267</v>
      </c>
      <c r="AC1071" t="s">
        <v>10268</v>
      </c>
      <c r="AD1071" t="s">
        <v>132</v>
      </c>
      <c r="AE1071" t="s">
        <v>4572</v>
      </c>
      <c r="AF1071" t="s">
        <v>10265</v>
      </c>
      <c r="AG1071" t="s">
        <v>132</v>
      </c>
      <c r="AH1071" t="s">
        <v>10266</v>
      </c>
      <c r="AI1071" t="s">
        <v>169</v>
      </c>
      <c r="AJ1071" s="8" t="str">
        <f>"55612"</f>
        <v>55612</v>
      </c>
      <c r="AK1071" t="s">
        <v>118</v>
      </c>
      <c r="AM1071" s="10">
        <v>12184061330</v>
      </c>
      <c r="AO1071" t="s">
        <v>10269</v>
      </c>
      <c r="AP1071" t="s">
        <v>248</v>
      </c>
      <c r="AQ1071" t="s">
        <v>6916</v>
      </c>
      <c r="AR1071" t="s">
        <v>3625</v>
      </c>
      <c r="AS1071" t="s">
        <v>132</v>
      </c>
      <c r="AT1071" t="s">
        <v>6917</v>
      </c>
      <c r="AU1071" t="s">
        <v>6918</v>
      </c>
      <c r="AV1071" t="s">
        <v>6919</v>
      </c>
      <c r="AW1071" t="s">
        <v>127</v>
      </c>
      <c r="AX1071" s="8" t="str">
        <f>"78266"</f>
        <v>78266</v>
      </c>
      <c r="AY1071" t="s">
        <v>118</v>
      </c>
      <c r="BA1071" s="10">
        <v>18305844555</v>
      </c>
      <c r="BC1071" t="s">
        <v>6920</v>
      </c>
      <c r="BD1071" t="s">
        <v>6921</v>
      </c>
      <c r="BG1071" t="s">
        <v>169</v>
      </c>
      <c r="BH1071" s="1">
        <v>45179.833333333336</v>
      </c>
      <c r="BI1071">
        <v>40</v>
      </c>
      <c r="BJ1071">
        <v>0</v>
      </c>
      <c r="BK1071">
        <v>8</v>
      </c>
      <c r="BL1071">
        <v>8</v>
      </c>
      <c r="BM1071">
        <v>8</v>
      </c>
      <c r="BN1071">
        <v>8</v>
      </c>
      <c r="BO1071">
        <v>8</v>
      </c>
      <c r="BP1071">
        <v>0</v>
      </c>
      <c r="BQ1071" t="str">
        <f>"8:00 PM"</f>
        <v>8:00 PM</v>
      </c>
      <c r="BR1071" t="str">
        <f>"5:00 PM"</f>
        <v>5:00 PM</v>
      </c>
      <c r="BS1071" t="s">
        <v>131</v>
      </c>
      <c r="BT1071">
        <v>0</v>
      </c>
      <c r="BU1071">
        <v>3</v>
      </c>
      <c r="BV1071" t="s">
        <v>114</v>
      </c>
      <c r="BX1071" t="s">
        <v>131</v>
      </c>
      <c r="BY1071" t="s">
        <v>10265</v>
      </c>
      <c r="BZ1071" t="s">
        <v>132</v>
      </c>
      <c r="CA1071" t="s">
        <v>10266</v>
      </c>
      <c r="CB1071" t="s">
        <v>169</v>
      </c>
      <c r="CC1071" s="8" t="str">
        <f>"55612"</f>
        <v>55612</v>
      </c>
      <c r="CD1071" t="s">
        <v>5756</v>
      </c>
      <c r="CE1071" t="s">
        <v>10271</v>
      </c>
      <c r="CF1071" s="12">
        <v>19.28</v>
      </c>
      <c r="CG1071" s="12">
        <v>19.28</v>
      </c>
      <c r="CJ1071" t="s">
        <v>135</v>
      </c>
      <c r="CK1071" t="s">
        <v>6922</v>
      </c>
      <c r="CL1071" t="s">
        <v>22794</v>
      </c>
      <c r="CO1071" t="s">
        <v>132</v>
      </c>
      <c r="CP1071" t="s">
        <v>114</v>
      </c>
      <c r="CQ1071" t="s">
        <v>114</v>
      </c>
      <c r="CR1071" t="s">
        <v>114</v>
      </c>
      <c r="CS1071" t="s">
        <v>136</v>
      </c>
      <c r="CT1071" t="s">
        <v>136</v>
      </c>
      <c r="CU1071" t="s">
        <v>136</v>
      </c>
      <c r="CV1071" t="s">
        <v>10273</v>
      </c>
      <c r="CW1071" s="10" t="str">
        <f>"+12184061330"</f>
        <v>+12184061330</v>
      </c>
      <c r="CX1071" t="s">
        <v>10269</v>
      </c>
      <c r="CY1071" t="s">
        <v>132</v>
      </c>
      <c r="CZ1071" t="s">
        <v>137</v>
      </c>
      <c r="DA1071" t="s">
        <v>114</v>
      </c>
      <c r="DB1071" t="s">
        <v>136</v>
      </c>
      <c r="DC1071" t="s">
        <v>136</v>
      </c>
      <c r="DD1071" t="s">
        <v>114</v>
      </c>
    </row>
    <row r="1072" spans="1:113" ht="15" customHeight="1" x14ac:dyDescent="0.25">
      <c r="A1072" t="s">
        <v>21452</v>
      </c>
      <c r="B1072" t="s">
        <v>152</v>
      </c>
      <c r="C1072" s="1">
        <v>45180.723631134257</v>
      </c>
      <c r="D1072" s="1">
        <v>45237</v>
      </c>
      <c r="E1072" t="s">
        <v>132</v>
      </c>
      <c r="F1072" t="s">
        <v>1247</v>
      </c>
      <c r="G1072" t="str">
        <f>"45-4011.00"</f>
        <v>45-4011.00</v>
      </c>
      <c r="H1072" t="s">
        <v>842</v>
      </c>
      <c r="I1072">
        <v>25</v>
      </c>
      <c r="J1072">
        <v>25</v>
      </c>
      <c r="K1072" s="1">
        <v>45261</v>
      </c>
      <c r="L1072" s="1">
        <v>45565</v>
      </c>
      <c r="M1072" s="1">
        <v>45261</v>
      </c>
      <c r="N1072" s="1">
        <v>45565</v>
      </c>
      <c r="O1072" t="s">
        <v>238</v>
      </c>
      <c r="P1072" t="s">
        <v>21453</v>
      </c>
      <c r="R1072" t="s">
        <v>21454</v>
      </c>
      <c r="T1072" t="s">
        <v>2906</v>
      </c>
      <c r="U1072" t="s">
        <v>479</v>
      </c>
      <c r="V1072" s="8" t="str">
        <f>"97501"</f>
        <v>97501</v>
      </c>
      <c r="W1072" t="s">
        <v>118</v>
      </c>
      <c r="Y1072" s="10">
        <v>15416218751</v>
      </c>
      <c r="AA1072">
        <v>115310</v>
      </c>
      <c r="AB1072" t="s">
        <v>2186</v>
      </c>
      <c r="AC1072" t="s">
        <v>21455</v>
      </c>
      <c r="AE1072" t="s">
        <v>561</v>
      </c>
      <c r="AF1072" t="s">
        <v>21454</v>
      </c>
      <c r="AH1072" t="s">
        <v>2906</v>
      </c>
      <c r="AI1072" t="s">
        <v>479</v>
      </c>
      <c r="AJ1072" s="8" t="str">
        <f>"97501"</f>
        <v>97501</v>
      </c>
      <c r="AK1072" t="s">
        <v>118</v>
      </c>
      <c r="AM1072" s="10">
        <v>15416218751</v>
      </c>
      <c r="AO1072" t="s">
        <v>21456</v>
      </c>
      <c r="AP1072" t="s">
        <v>248</v>
      </c>
      <c r="AQ1072" t="s">
        <v>2949</v>
      </c>
      <c r="AR1072" t="s">
        <v>2950</v>
      </c>
      <c r="AS1072" t="s">
        <v>132</v>
      </c>
      <c r="AT1072" t="s">
        <v>1032</v>
      </c>
      <c r="AV1072" t="s">
        <v>853</v>
      </c>
      <c r="AW1072" t="s">
        <v>854</v>
      </c>
      <c r="AX1072" s="8" t="str">
        <f>"83814"</f>
        <v>83814</v>
      </c>
      <c r="AY1072" t="s">
        <v>118</v>
      </c>
      <c r="BA1072" s="10">
        <v>12087772654</v>
      </c>
      <c r="BC1072" t="s">
        <v>2951</v>
      </c>
      <c r="BD1072" t="s">
        <v>856</v>
      </c>
      <c r="BG1072" t="s">
        <v>479</v>
      </c>
      <c r="BH1072" s="1">
        <v>45151.833333333336</v>
      </c>
      <c r="BI1072">
        <v>40</v>
      </c>
      <c r="BJ1072">
        <v>0</v>
      </c>
      <c r="BK1072">
        <v>8</v>
      </c>
      <c r="BL1072">
        <v>8</v>
      </c>
      <c r="BM1072">
        <v>8</v>
      </c>
      <c r="BN1072">
        <v>8</v>
      </c>
      <c r="BO1072">
        <v>8</v>
      </c>
      <c r="BP1072">
        <v>0</v>
      </c>
      <c r="BQ1072" t="str">
        <f>"6:00 AM"</f>
        <v>6:00 AM</v>
      </c>
      <c r="BR1072" t="str">
        <f>"4:00 PM"</f>
        <v>4:00 PM</v>
      </c>
      <c r="BS1072" t="s">
        <v>131</v>
      </c>
      <c r="BT1072">
        <v>0</v>
      </c>
      <c r="BU1072">
        <v>3</v>
      </c>
      <c r="BV1072" t="s">
        <v>114</v>
      </c>
      <c r="BX1072" t="s">
        <v>4841</v>
      </c>
      <c r="BY1072" t="s">
        <v>21457</v>
      </c>
      <c r="CA1072" t="s">
        <v>2906</v>
      </c>
      <c r="CB1072" t="s">
        <v>479</v>
      </c>
      <c r="CC1072" s="8" t="str">
        <f>"97501"</f>
        <v>97501</v>
      </c>
      <c r="CD1072" t="s">
        <v>859</v>
      </c>
      <c r="CE1072" t="s">
        <v>860</v>
      </c>
      <c r="CF1072" s="12">
        <v>15.5</v>
      </c>
      <c r="CG1072" s="12">
        <v>21.04</v>
      </c>
      <c r="CH1072" s="12">
        <v>23.25</v>
      </c>
      <c r="CI1072" s="12">
        <v>31.56</v>
      </c>
      <c r="CJ1072" t="s">
        <v>135</v>
      </c>
      <c r="CK1072" t="s">
        <v>861</v>
      </c>
      <c r="CL1072" t="s">
        <v>21458</v>
      </c>
      <c r="CO1072" t="s">
        <v>132</v>
      </c>
      <c r="CP1072" t="s">
        <v>136</v>
      </c>
      <c r="CQ1072" t="s">
        <v>136</v>
      </c>
      <c r="CR1072" t="s">
        <v>136</v>
      </c>
      <c r="CS1072" t="s">
        <v>114</v>
      </c>
      <c r="CT1072" t="s">
        <v>136</v>
      </c>
      <c r="CU1072" t="s">
        <v>136</v>
      </c>
      <c r="CV1072" t="s">
        <v>1040</v>
      </c>
      <c r="CW1072" s="10" t="str">
        <f>"+15416218751"</f>
        <v>+15416218751</v>
      </c>
      <c r="CX1072" t="s">
        <v>21456</v>
      </c>
      <c r="CY1072" t="s">
        <v>132</v>
      </c>
      <c r="CZ1072" t="s">
        <v>137</v>
      </c>
      <c r="DA1072" t="s">
        <v>114</v>
      </c>
      <c r="DB1072" t="s">
        <v>136</v>
      </c>
      <c r="DC1072" t="s">
        <v>136</v>
      </c>
      <c r="DD1072" t="s">
        <v>114</v>
      </c>
    </row>
    <row r="1073" spans="1:113" ht="15" customHeight="1" x14ac:dyDescent="0.25">
      <c r="A1073" t="s">
        <v>13250</v>
      </c>
      <c r="B1073" t="s">
        <v>152</v>
      </c>
      <c r="C1073" s="1">
        <v>45177.684731365742</v>
      </c>
      <c r="D1073" s="1">
        <v>45237</v>
      </c>
      <c r="E1073" t="s">
        <v>132</v>
      </c>
      <c r="F1073" t="s">
        <v>13251</v>
      </c>
      <c r="G1073" t="str">
        <f>"35-2021.00"</f>
        <v>35-2021.00</v>
      </c>
      <c r="H1073" t="s">
        <v>2303</v>
      </c>
      <c r="I1073">
        <v>2</v>
      </c>
      <c r="J1073">
        <v>2</v>
      </c>
      <c r="K1073" s="1">
        <v>45252</v>
      </c>
      <c r="L1073" s="1">
        <v>45397</v>
      </c>
      <c r="M1073" s="1">
        <v>45252</v>
      </c>
      <c r="N1073" s="1">
        <v>45397</v>
      </c>
      <c r="O1073" t="s">
        <v>116</v>
      </c>
      <c r="P1073" t="s">
        <v>13252</v>
      </c>
      <c r="Q1073" t="s">
        <v>13253</v>
      </c>
      <c r="R1073" t="s">
        <v>13254</v>
      </c>
      <c r="S1073" t="s">
        <v>13255</v>
      </c>
      <c r="T1073" t="s">
        <v>9863</v>
      </c>
      <c r="U1073" t="s">
        <v>506</v>
      </c>
      <c r="V1073" s="8" t="str">
        <f>"05751"</f>
        <v>05751</v>
      </c>
      <c r="W1073" t="s">
        <v>118</v>
      </c>
      <c r="Y1073" s="10">
        <v>18024225335</v>
      </c>
      <c r="AA1073">
        <v>722511</v>
      </c>
      <c r="AB1073" t="s">
        <v>13256</v>
      </c>
      <c r="AC1073" t="s">
        <v>596</v>
      </c>
      <c r="AE1073" t="s">
        <v>13257</v>
      </c>
      <c r="AF1073" t="s">
        <v>13254</v>
      </c>
      <c r="AG1073" t="s">
        <v>13255</v>
      </c>
      <c r="AH1073" t="s">
        <v>9863</v>
      </c>
      <c r="AI1073" t="s">
        <v>506</v>
      </c>
      <c r="AJ1073" s="8" t="str">
        <f>"05751"</f>
        <v>05751</v>
      </c>
      <c r="AK1073" t="s">
        <v>118</v>
      </c>
      <c r="AM1073" s="10">
        <v>18024225335</v>
      </c>
      <c r="AO1073" t="s">
        <v>13258</v>
      </c>
      <c r="AP1073" t="s">
        <v>121</v>
      </c>
      <c r="AQ1073" t="s">
        <v>276</v>
      </c>
      <c r="AR1073" t="s">
        <v>277</v>
      </c>
      <c r="AS1073" t="s">
        <v>278</v>
      </c>
      <c r="AT1073" t="s">
        <v>279</v>
      </c>
      <c r="AU1073" t="s">
        <v>280</v>
      </c>
      <c r="AV1073" t="s">
        <v>281</v>
      </c>
      <c r="AW1073" t="s">
        <v>222</v>
      </c>
      <c r="AX1073" s="8" t="str">
        <f>"01701"</f>
        <v>01701</v>
      </c>
      <c r="AY1073" t="s">
        <v>118</v>
      </c>
      <c r="BA1073" s="10">
        <v>16179399444</v>
      </c>
      <c r="BC1073" t="s">
        <v>282</v>
      </c>
      <c r="BD1073" t="s">
        <v>283</v>
      </c>
      <c r="BE1073" t="s">
        <v>222</v>
      </c>
      <c r="BF1073" t="s">
        <v>284</v>
      </c>
      <c r="BG1073" t="s">
        <v>506</v>
      </c>
      <c r="BH1073" s="1">
        <v>45176.833333333336</v>
      </c>
      <c r="BI1073">
        <v>40</v>
      </c>
      <c r="BJ1073">
        <v>0</v>
      </c>
      <c r="BK1073">
        <v>8</v>
      </c>
      <c r="BL1073">
        <v>8</v>
      </c>
      <c r="BM1073">
        <v>8</v>
      </c>
      <c r="BN1073">
        <v>8</v>
      </c>
      <c r="BO1073">
        <v>8</v>
      </c>
      <c r="BP1073">
        <v>0</v>
      </c>
      <c r="BQ1073" t="str">
        <f>"1:00 PM"</f>
        <v>1:00 PM</v>
      </c>
      <c r="BR1073" t="str">
        <f>"9:00 PM"</f>
        <v>9:00 PM</v>
      </c>
      <c r="BS1073" t="s">
        <v>131</v>
      </c>
      <c r="BT1073">
        <v>0</v>
      </c>
      <c r="BU1073">
        <v>12</v>
      </c>
      <c r="BV1073" t="s">
        <v>114</v>
      </c>
      <c r="BX1073" s="2" t="s">
        <v>13259</v>
      </c>
      <c r="BY1073" t="s">
        <v>13254</v>
      </c>
      <c r="CA1073" t="s">
        <v>9863</v>
      </c>
      <c r="CB1073" t="s">
        <v>506</v>
      </c>
      <c r="CC1073" s="8" t="str">
        <f>"05751"</f>
        <v>05751</v>
      </c>
      <c r="CD1073" t="s">
        <v>8124</v>
      </c>
      <c r="CE1073" t="s">
        <v>523</v>
      </c>
      <c r="CF1073" s="12">
        <v>17.600000000000001</v>
      </c>
      <c r="CG1073" s="12">
        <v>19</v>
      </c>
      <c r="CH1073" s="12">
        <v>26.4</v>
      </c>
      <c r="CI1073" s="12">
        <v>28.5</v>
      </c>
      <c r="CJ1073" t="s">
        <v>135</v>
      </c>
      <c r="CK1073" t="s">
        <v>13260</v>
      </c>
      <c r="CL1073" t="s">
        <v>13261</v>
      </c>
      <c r="CO1073" t="s">
        <v>132</v>
      </c>
      <c r="CP1073" t="s">
        <v>114</v>
      </c>
      <c r="CQ1073" t="s">
        <v>114</v>
      </c>
      <c r="CR1073" t="s">
        <v>136</v>
      </c>
      <c r="CS1073" t="s">
        <v>136</v>
      </c>
      <c r="CT1073" t="s">
        <v>136</v>
      </c>
      <c r="CU1073" t="s">
        <v>136</v>
      </c>
      <c r="CV1073" t="s">
        <v>13262</v>
      </c>
      <c r="CW1073" s="10" t="str">
        <f>"+18024225335"</f>
        <v>+18024225335</v>
      </c>
      <c r="CX1073" t="s">
        <v>13258</v>
      </c>
      <c r="CY1073" t="s">
        <v>132</v>
      </c>
      <c r="CZ1073" t="s">
        <v>137</v>
      </c>
      <c r="DA1073" t="s">
        <v>114</v>
      </c>
      <c r="DB1073" t="s">
        <v>114</v>
      </c>
      <c r="DC1073" t="s">
        <v>136</v>
      </c>
      <c r="DD1073" t="s">
        <v>114</v>
      </c>
    </row>
    <row r="1074" spans="1:113" ht="15" customHeight="1" x14ac:dyDescent="0.25">
      <c r="A1074" t="s">
        <v>10666</v>
      </c>
      <c r="B1074" t="s">
        <v>152</v>
      </c>
      <c r="C1074" s="1">
        <v>45177.630631134256</v>
      </c>
      <c r="D1074" s="1">
        <v>45237</v>
      </c>
      <c r="E1074" t="s">
        <v>132</v>
      </c>
      <c r="F1074" t="s">
        <v>10667</v>
      </c>
      <c r="G1074" t="str">
        <f>"37-3011.00"</f>
        <v>37-3011.00</v>
      </c>
      <c r="H1074" t="s">
        <v>429</v>
      </c>
      <c r="I1074">
        <v>15</v>
      </c>
      <c r="J1074">
        <v>15</v>
      </c>
      <c r="K1074" s="1">
        <v>45261</v>
      </c>
      <c r="L1074" s="1">
        <v>45397</v>
      </c>
      <c r="M1074" s="1">
        <v>45261</v>
      </c>
      <c r="N1074" s="1">
        <v>45397</v>
      </c>
      <c r="O1074" t="s">
        <v>238</v>
      </c>
      <c r="P1074" t="s">
        <v>10668</v>
      </c>
      <c r="R1074" t="s">
        <v>10669</v>
      </c>
      <c r="T1074" t="s">
        <v>10670</v>
      </c>
      <c r="U1074" t="s">
        <v>984</v>
      </c>
      <c r="V1074" s="8" t="str">
        <f>"65630"</f>
        <v>65630</v>
      </c>
      <c r="W1074" t="s">
        <v>118</v>
      </c>
      <c r="Y1074" s="10">
        <v>14175277940</v>
      </c>
      <c r="Z1074" s="3" t="s">
        <v>256</v>
      </c>
      <c r="AA1074">
        <v>56173</v>
      </c>
      <c r="AB1074" t="s">
        <v>10671</v>
      </c>
      <c r="AC1074" t="s">
        <v>10672</v>
      </c>
      <c r="AE1074" t="s">
        <v>561</v>
      </c>
      <c r="AF1074" t="s">
        <v>10673</v>
      </c>
      <c r="AH1074" t="s">
        <v>10670</v>
      </c>
      <c r="AI1074" t="s">
        <v>984</v>
      </c>
      <c r="AJ1074" s="8" t="str">
        <f>"65630"</f>
        <v>65630</v>
      </c>
      <c r="AK1074" t="s">
        <v>118</v>
      </c>
      <c r="AM1074" s="10">
        <v>14175277940</v>
      </c>
      <c r="AN1074" s="3" t="s">
        <v>256</v>
      </c>
      <c r="AO1074" t="s">
        <v>10674</v>
      </c>
      <c r="AP1074" t="s">
        <v>248</v>
      </c>
      <c r="AQ1074" t="s">
        <v>249</v>
      </c>
      <c r="AR1074" t="s">
        <v>250</v>
      </c>
      <c r="AS1074" t="s">
        <v>251</v>
      </c>
      <c r="AT1074" t="s">
        <v>252</v>
      </c>
      <c r="AU1074" t="s">
        <v>253</v>
      </c>
      <c r="AV1074" t="s">
        <v>254</v>
      </c>
      <c r="AW1074" t="s">
        <v>127</v>
      </c>
      <c r="AX1074" s="8" t="str">
        <f>"78550"</f>
        <v>78550</v>
      </c>
      <c r="AY1074" t="s">
        <v>118</v>
      </c>
      <c r="AZ1074" t="s">
        <v>692</v>
      </c>
      <c r="BA1074" s="10">
        <v>19564408720</v>
      </c>
      <c r="BB1074" s="3" t="s">
        <v>256</v>
      </c>
      <c r="BC1074" t="s">
        <v>338</v>
      </c>
      <c r="BD1074" t="s">
        <v>258</v>
      </c>
      <c r="BG1074" t="s">
        <v>984</v>
      </c>
      <c r="BH1074" s="1">
        <v>45176.833333333336</v>
      </c>
      <c r="BI1074">
        <v>40</v>
      </c>
      <c r="BJ1074">
        <v>0</v>
      </c>
      <c r="BK1074">
        <v>8</v>
      </c>
      <c r="BL1074">
        <v>8</v>
      </c>
      <c r="BM1074">
        <v>8</v>
      </c>
      <c r="BN1074">
        <v>8</v>
      </c>
      <c r="BO1074">
        <v>8</v>
      </c>
      <c r="BP1074">
        <v>0</v>
      </c>
      <c r="BQ1074" t="str">
        <f>"7:00 AM"</f>
        <v>7:00 AM</v>
      </c>
      <c r="BR1074" t="str">
        <f>"5:00 PM"</f>
        <v>5:00 PM</v>
      </c>
      <c r="BS1074" t="s">
        <v>131</v>
      </c>
      <c r="BT1074">
        <v>0</v>
      </c>
      <c r="BU1074">
        <v>0</v>
      </c>
      <c r="BV1074" t="s">
        <v>114</v>
      </c>
      <c r="BX1074" t="s">
        <v>946</v>
      </c>
      <c r="BY1074" t="s">
        <v>10669</v>
      </c>
      <c r="CA1074" t="s">
        <v>10670</v>
      </c>
      <c r="CB1074" t="s">
        <v>984</v>
      </c>
      <c r="CC1074" s="8" t="str">
        <f>"65630"</f>
        <v>65630</v>
      </c>
      <c r="CD1074" t="s">
        <v>2156</v>
      </c>
      <c r="CE1074" t="s">
        <v>2157</v>
      </c>
      <c r="CF1074" s="12">
        <v>14.84</v>
      </c>
      <c r="CG1074" s="12">
        <v>14.84</v>
      </c>
      <c r="CJ1074" t="s">
        <v>135</v>
      </c>
      <c r="CK1074" t="s">
        <v>342</v>
      </c>
      <c r="CL1074" t="s">
        <v>10675</v>
      </c>
      <c r="CO1074" t="s">
        <v>132</v>
      </c>
      <c r="CP1074" t="s">
        <v>136</v>
      </c>
      <c r="CQ1074" t="s">
        <v>136</v>
      </c>
      <c r="CR1074" t="s">
        <v>114</v>
      </c>
      <c r="CS1074" t="s">
        <v>114</v>
      </c>
      <c r="CT1074" t="s">
        <v>136</v>
      </c>
      <c r="CU1074" t="s">
        <v>136</v>
      </c>
      <c r="CV1074" t="s">
        <v>10676</v>
      </c>
      <c r="CW1074" s="10" t="str">
        <f>"+14175277940"</f>
        <v>+14175277940</v>
      </c>
      <c r="CX1074" t="s">
        <v>10674</v>
      </c>
      <c r="CY1074" t="s">
        <v>132</v>
      </c>
      <c r="CZ1074" t="s">
        <v>137</v>
      </c>
      <c r="DA1074" t="s">
        <v>114</v>
      </c>
      <c r="DB1074" t="s">
        <v>136</v>
      </c>
      <c r="DC1074" t="s">
        <v>136</v>
      </c>
      <c r="DD1074" t="s">
        <v>114</v>
      </c>
    </row>
    <row r="1075" spans="1:113" ht="15" customHeight="1" x14ac:dyDescent="0.25">
      <c r="A1075" t="s">
        <v>17387</v>
      </c>
      <c r="B1075" t="s">
        <v>152</v>
      </c>
      <c r="C1075" s="1">
        <v>45176.719887500003</v>
      </c>
      <c r="D1075" s="1">
        <v>45237</v>
      </c>
      <c r="E1075" t="s">
        <v>132</v>
      </c>
      <c r="F1075" t="s">
        <v>293</v>
      </c>
      <c r="G1075" t="str">
        <f>"37-2012.00"</f>
        <v>37-2012.00</v>
      </c>
      <c r="H1075" t="s">
        <v>205</v>
      </c>
      <c r="I1075">
        <v>25</v>
      </c>
      <c r="J1075">
        <v>25</v>
      </c>
      <c r="K1075" s="1">
        <v>45252</v>
      </c>
      <c r="L1075" s="1">
        <v>45402</v>
      </c>
      <c r="M1075" s="1">
        <v>45252</v>
      </c>
      <c r="N1075" s="1">
        <v>45402</v>
      </c>
      <c r="O1075" t="s">
        <v>238</v>
      </c>
      <c r="P1075" t="s">
        <v>8666</v>
      </c>
      <c r="Q1075" t="s">
        <v>8667</v>
      </c>
      <c r="R1075" t="s">
        <v>8668</v>
      </c>
      <c r="S1075" t="s">
        <v>8669</v>
      </c>
      <c r="T1075" t="s">
        <v>891</v>
      </c>
      <c r="U1075" t="s">
        <v>892</v>
      </c>
      <c r="V1075" s="8" t="str">
        <f>"59716"</f>
        <v>59716</v>
      </c>
      <c r="W1075" t="s">
        <v>118</v>
      </c>
      <c r="Y1075" s="10">
        <v>14069557618</v>
      </c>
      <c r="AA1075">
        <v>721110</v>
      </c>
      <c r="AB1075" t="s">
        <v>8670</v>
      </c>
      <c r="AC1075" t="s">
        <v>1826</v>
      </c>
      <c r="AE1075" t="s">
        <v>1349</v>
      </c>
      <c r="AF1075" t="s">
        <v>8668</v>
      </c>
      <c r="AG1075" t="s">
        <v>8669</v>
      </c>
      <c r="AH1075" t="s">
        <v>891</v>
      </c>
      <c r="AI1075" t="s">
        <v>892</v>
      </c>
      <c r="AJ1075" s="8" t="str">
        <f>"59716"</f>
        <v>59716</v>
      </c>
      <c r="AK1075" t="s">
        <v>118</v>
      </c>
      <c r="AM1075" s="10">
        <v>14069557618</v>
      </c>
      <c r="AO1075" t="s">
        <v>8671</v>
      </c>
      <c r="AP1075" t="s">
        <v>121</v>
      </c>
      <c r="AQ1075" t="s">
        <v>276</v>
      </c>
      <c r="AR1075" t="s">
        <v>277</v>
      </c>
      <c r="AS1075" t="s">
        <v>278</v>
      </c>
      <c r="AT1075" t="s">
        <v>279</v>
      </c>
      <c r="AU1075" t="s">
        <v>280</v>
      </c>
      <c r="AV1075" t="s">
        <v>281</v>
      </c>
      <c r="AW1075" t="s">
        <v>222</v>
      </c>
      <c r="AX1075" s="8" t="str">
        <f>"01701"</f>
        <v>01701</v>
      </c>
      <c r="AY1075" t="s">
        <v>118</v>
      </c>
      <c r="BA1075" s="10">
        <v>16179399444</v>
      </c>
      <c r="BC1075" t="s">
        <v>282</v>
      </c>
      <c r="BD1075" t="s">
        <v>283</v>
      </c>
      <c r="BE1075" t="s">
        <v>222</v>
      </c>
      <c r="BF1075" t="s">
        <v>284</v>
      </c>
      <c r="BG1075" t="s">
        <v>892</v>
      </c>
      <c r="BH1075" s="1">
        <v>45176.833333333336</v>
      </c>
      <c r="BI1075">
        <v>40</v>
      </c>
      <c r="BJ1075">
        <v>0</v>
      </c>
      <c r="BK1075">
        <v>8</v>
      </c>
      <c r="BL1075">
        <v>8</v>
      </c>
      <c r="BM1075">
        <v>8</v>
      </c>
      <c r="BN1075">
        <v>8</v>
      </c>
      <c r="BO1075">
        <v>8</v>
      </c>
      <c r="BP1075">
        <v>0</v>
      </c>
      <c r="BQ1075" t="str">
        <f>"9:00 AM"</f>
        <v>9:00 AM</v>
      </c>
      <c r="BR1075" t="str">
        <f>"5:00 PM"</f>
        <v>5:00 PM</v>
      </c>
      <c r="BS1075" t="s">
        <v>131</v>
      </c>
      <c r="BT1075">
        <v>0</v>
      </c>
      <c r="BU1075">
        <v>3</v>
      </c>
      <c r="BV1075" t="s">
        <v>114</v>
      </c>
      <c r="BX1075" s="2" t="s">
        <v>17388</v>
      </c>
      <c r="BY1075" t="s">
        <v>8668</v>
      </c>
      <c r="CA1075" t="s">
        <v>891</v>
      </c>
      <c r="CB1075" t="s">
        <v>892</v>
      </c>
      <c r="CC1075" s="8" t="str">
        <f>"59716"</f>
        <v>59716</v>
      </c>
      <c r="CD1075" t="s">
        <v>908</v>
      </c>
      <c r="CE1075" t="s">
        <v>909</v>
      </c>
      <c r="CF1075" s="12">
        <v>16</v>
      </c>
      <c r="CG1075" s="12">
        <v>17</v>
      </c>
      <c r="CH1075" s="12">
        <v>24</v>
      </c>
      <c r="CI1075" s="12">
        <v>25.5</v>
      </c>
      <c r="CJ1075" t="s">
        <v>135</v>
      </c>
      <c r="CK1075" t="s">
        <v>17389</v>
      </c>
      <c r="CL1075" t="s">
        <v>17390</v>
      </c>
      <c r="CO1075" t="s">
        <v>132</v>
      </c>
      <c r="CP1075" t="s">
        <v>114</v>
      </c>
      <c r="CQ1075" t="s">
        <v>136</v>
      </c>
      <c r="CR1075" t="s">
        <v>136</v>
      </c>
      <c r="CS1075" t="s">
        <v>136</v>
      </c>
      <c r="CT1075" t="s">
        <v>136</v>
      </c>
      <c r="CU1075" t="s">
        <v>136</v>
      </c>
      <c r="CV1075" t="s">
        <v>8675</v>
      </c>
      <c r="CW1075" s="10" t="str">
        <f>"+14069938191"</f>
        <v>+14069938191</v>
      </c>
      <c r="CX1075" t="s">
        <v>8671</v>
      </c>
      <c r="CY1075" t="s">
        <v>132</v>
      </c>
      <c r="CZ1075" t="s">
        <v>137</v>
      </c>
      <c r="DA1075" t="s">
        <v>114</v>
      </c>
      <c r="DB1075" t="s">
        <v>114</v>
      </c>
      <c r="DC1075" t="s">
        <v>136</v>
      </c>
      <c r="DD1075" t="s">
        <v>114</v>
      </c>
    </row>
    <row r="1076" spans="1:113" ht="15" customHeight="1" x14ac:dyDescent="0.25">
      <c r="A1076" t="s">
        <v>8977</v>
      </c>
      <c r="B1076" t="s">
        <v>152</v>
      </c>
      <c r="C1076" s="1">
        <v>45175.594143287039</v>
      </c>
      <c r="D1076" s="1">
        <v>45237</v>
      </c>
      <c r="E1076" t="s">
        <v>132</v>
      </c>
      <c r="F1076" t="s">
        <v>449</v>
      </c>
      <c r="G1076" t="str">
        <f>"37-2012.00"</f>
        <v>37-2012.00</v>
      </c>
      <c r="H1076" t="s">
        <v>205</v>
      </c>
      <c r="I1076">
        <v>3</v>
      </c>
      <c r="J1076">
        <v>3</v>
      </c>
      <c r="K1076" s="1">
        <v>45250</v>
      </c>
      <c r="L1076" s="1">
        <v>45443</v>
      </c>
      <c r="M1076" s="1">
        <v>45250</v>
      </c>
      <c r="N1076" s="1">
        <v>45443</v>
      </c>
      <c r="O1076" t="s">
        <v>116</v>
      </c>
      <c r="P1076" t="s">
        <v>8978</v>
      </c>
      <c r="Q1076" t="s">
        <v>8979</v>
      </c>
      <c r="R1076" t="s">
        <v>8980</v>
      </c>
      <c r="T1076" t="s">
        <v>8981</v>
      </c>
      <c r="U1076" t="s">
        <v>188</v>
      </c>
      <c r="V1076" s="8" t="str">
        <f>"80828"</f>
        <v>80828</v>
      </c>
      <c r="W1076" t="s">
        <v>118</v>
      </c>
      <c r="Y1076" s="10">
        <v>17197752752</v>
      </c>
      <c r="AA1076">
        <v>72111</v>
      </c>
      <c r="AB1076" t="s">
        <v>8982</v>
      </c>
      <c r="AC1076" t="s">
        <v>8983</v>
      </c>
      <c r="AE1076" t="s">
        <v>654</v>
      </c>
      <c r="AF1076" t="s">
        <v>8980</v>
      </c>
      <c r="AH1076" t="s">
        <v>7932</v>
      </c>
      <c r="AI1076" t="s">
        <v>188</v>
      </c>
      <c r="AJ1076" s="8" t="str">
        <f>"80828"</f>
        <v>80828</v>
      </c>
      <c r="AK1076" t="s">
        <v>118</v>
      </c>
      <c r="AM1076" s="10">
        <v>17197752752</v>
      </c>
      <c r="AO1076" t="s">
        <v>8984</v>
      </c>
      <c r="AP1076" t="s">
        <v>248</v>
      </c>
      <c r="AQ1076" t="s">
        <v>8985</v>
      </c>
      <c r="AR1076" t="s">
        <v>8986</v>
      </c>
      <c r="AS1076" t="s">
        <v>8987</v>
      </c>
      <c r="AT1076" t="s">
        <v>8988</v>
      </c>
      <c r="AV1076" t="s">
        <v>8989</v>
      </c>
      <c r="AW1076" t="s">
        <v>892</v>
      </c>
      <c r="AX1076" s="8" t="str">
        <f>"59104"</f>
        <v>59104</v>
      </c>
      <c r="AY1076" t="s">
        <v>118</v>
      </c>
      <c r="BA1076" s="10">
        <v>14066718510</v>
      </c>
      <c r="BC1076" t="s">
        <v>8990</v>
      </c>
      <c r="BD1076" t="s">
        <v>8991</v>
      </c>
      <c r="BG1076" t="s">
        <v>188</v>
      </c>
      <c r="BH1076" s="1">
        <v>45174.833333333336</v>
      </c>
      <c r="BI1076">
        <v>36</v>
      </c>
      <c r="BJ1076">
        <v>8</v>
      </c>
      <c r="BK1076">
        <v>7</v>
      </c>
      <c r="BL1076">
        <v>0</v>
      </c>
      <c r="BM1076">
        <v>0</v>
      </c>
      <c r="BN1076">
        <v>5</v>
      </c>
      <c r="BO1076">
        <v>8</v>
      </c>
      <c r="BP1076">
        <v>8</v>
      </c>
      <c r="BQ1076" t="str">
        <f>"7:00 AM"</f>
        <v>7:00 AM</v>
      </c>
      <c r="BR1076" t="str">
        <f>"3:00 PM"</f>
        <v>3:00 PM</v>
      </c>
      <c r="BS1076" t="s">
        <v>131</v>
      </c>
      <c r="BT1076">
        <v>0</v>
      </c>
      <c r="BU1076">
        <v>3</v>
      </c>
      <c r="BV1076" t="s">
        <v>114</v>
      </c>
      <c r="BX1076" t="s">
        <v>131</v>
      </c>
      <c r="BY1076" t="s">
        <v>8992</v>
      </c>
      <c r="CA1076" t="s">
        <v>7932</v>
      </c>
      <c r="CB1076" t="s">
        <v>188</v>
      </c>
      <c r="CC1076" s="8" t="str">
        <f>"80828"</f>
        <v>80828</v>
      </c>
      <c r="CD1076" t="s">
        <v>2150</v>
      </c>
      <c r="CE1076" t="s">
        <v>4322</v>
      </c>
      <c r="CF1076" s="12">
        <v>15.71</v>
      </c>
      <c r="CH1076" s="12">
        <v>23.57</v>
      </c>
      <c r="CJ1076" t="s">
        <v>135</v>
      </c>
      <c r="CL1076" t="s">
        <v>8993</v>
      </c>
      <c r="CO1076" t="s">
        <v>132</v>
      </c>
      <c r="CP1076" t="s">
        <v>114</v>
      </c>
      <c r="CQ1076" t="s">
        <v>114</v>
      </c>
      <c r="CR1076" t="s">
        <v>136</v>
      </c>
      <c r="CS1076" t="s">
        <v>114</v>
      </c>
      <c r="CT1076" t="s">
        <v>136</v>
      </c>
      <c r="CU1076" t="s">
        <v>136</v>
      </c>
      <c r="CV1076" t="s">
        <v>8994</v>
      </c>
      <c r="CW1076" s="10" t="str">
        <f>"+18007533757"</f>
        <v>+18007533757</v>
      </c>
      <c r="CX1076" t="s">
        <v>8984</v>
      </c>
      <c r="CY1076" t="s">
        <v>132</v>
      </c>
      <c r="CZ1076" t="s">
        <v>137</v>
      </c>
      <c r="DA1076" t="s">
        <v>114</v>
      </c>
      <c r="DB1076" t="s">
        <v>114</v>
      </c>
      <c r="DC1076" t="s">
        <v>136</v>
      </c>
      <c r="DD1076" t="s">
        <v>114</v>
      </c>
    </row>
    <row r="1077" spans="1:113" ht="15" customHeight="1" x14ac:dyDescent="0.25">
      <c r="A1077" t="s">
        <v>4373</v>
      </c>
      <c r="B1077" t="s">
        <v>152</v>
      </c>
      <c r="C1077" s="1">
        <v>45174.595467013889</v>
      </c>
      <c r="D1077" s="1">
        <v>45237</v>
      </c>
      <c r="E1077" t="s">
        <v>132</v>
      </c>
      <c r="F1077" t="s">
        <v>293</v>
      </c>
      <c r="G1077" t="str">
        <f>"37-2012.00"</f>
        <v>37-2012.00</v>
      </c>
      <c r="H1077" t="s">
        <v>205</v>
      </c>
      <c r="I1077">
        <v>6</v>
      </c>
      <c r="J1077">
        <v>6</v>
      </c>
      <c r="K1077" s="1">
        <v>45261</v>
      </c>
      <c r="L1077" s="1">
        <v>45382</v>
      </c>
      <c r="M1077" s="1">
        <v>45261</v>
      </c>
      <c r="N1077" s="1">
        <v>45382</v>
      </c>
      <c r="O1077" t="s">
        <v>116</v>
      </c>
      <c r="P1077" t="s">
        <v>4374</v>
      </c>
      <c r="Q1077" t="s">
        <v>4375</v>
      </c>
      <c r="R1077" t="s">
        <v>4376</v>
      </c>
      <c r="T1077" t="s">
        <v>1672</v>
      </c>
      <c r="U1077" t="s">
        <v>506</v>
      </c>
      <c r="V1077" s="8" t="str">
        <f>"05672"</f>
        <v>05672</v>
      </c>
      <c r="W1077" t="s">
        <v>118</v>
      </c>
      <c r="Y1077" s="10">
        <v>18022768200</v>
      </c>
      <c r="AA1077">
        <v>721110</v>
      </c>
      <c r="AB1077" t="s">
        <v>3906</v>
      </c>
      <c r="AC1077" t="s">
        <v>708</v>
      </c>
      <c r="AE1077" t="s">
        <v>743</v>
      </c>
      <c r="AF1077" t="s">
        <v>3907</v>
      </c>
      <c r="AG1077" t="s">
        <v>3908</v>
      </c>
      <c r="AH1077" t="s">
        <v>3909</v>
      </c>
      <c r="AI1077" t="s">
        <v>2194</v>
      </c>
      <c r="AJ1077" s="8" t="str">
        <f>"03801"</f>
        <v>03801</v>
      </c>
      <c r="AK1077" t="s">
        <v>118</v>
      </c>
      <c r="AM1077" s="10">
        <v>13392347591</v>
      </c>
      <c r="AO1077" t="s">
        <v>3910</v>
      </c>
      <c r="AP1077" t="s">
        <v>121</v>
      </c>
      <c r="AQ1077" t="s">
        <v>276</v>
      </c>
      <c r="AR1077" t="s">
        <v>277</v>
      </c>
      <c r="AS1077" t="s">
        <v>278</v>
      </c>
      <c r="AT1077" t="s">
        <v>279</v>
      </c>
      <c r="AU1077" t="s">
        <v>280</v>
      </c>
      <c r="AV1077" t="s">
        <v>281</v>
      </c>
      <c r="AW1077" t="s">
        <v>222</v>
      </c>
      <c r="AX1077" s="8" t="str">
        <f>"01701"</f>
        <v>01701</v>
      </c>
      <c r="AY1077" t="s">
        <v>118</v>
      </c>
      <c r="BA1077" s="10">
        <v>16179399444</v>
      </c>
      <c r="BC1077" t="s">
        <v>282</v>
      </c>
      <c r="BD1077" t="s">
        <v>283</v>
      </c>
      <c r="BE1077" t="s">
        <v>222</v>
      </c>
      <c r="BF1077" t="s">
        <v>284</v>
      </c>
      <c r="BG1077" t="s">
        <v>506</v>
      </c>
      <c r="BH1077" s="1">
        <v>45173.833333333336</v>
      </c>
      <c r="BI1077">
        <v>35</v>
      </c>
      <c r="BJ1077">
        <v>0</v>
      </c>
      <c r="BK1077">
        <v>7</v>
      </c>
      <c r="BL1077">
        <v>7</v>
      </c>
      <c r="BM1077">
        <v>7</v>
      </c>
      <c r="BN1077">
        <v>7</v>
      </c>
      <c r="BO1077">
        <v>7</v>
      </c>
      <c r="BP1077">
        <v>0</v>
      </c>
      <c r="BQ1077" t="str">
        <f>"7:30 AM"</f>
        <v>7:30 AM</v>
      </c>
      <c r="BR1077" t="str">
        <f>"2:30 PM"</f>
        <v>2:30 PM</v>
      </c>
      <c r="BS1077" t="s">
        <v>131</v>
      </c>
      <c r="BT1077">
        <v>0</v>
      </c>
      <c r="BU1077">
        <v>0</v>
      </c>
      <c r="BV1077" t="s">
        <v>114</v>
      </c>
      <c r="BX1077" t="s">
        <v>3564</v>
      </c>
      <c r="BY1077" t="s">
        <v>4376</v>
      </c>
      <c r="CA1077" t="s">
        <v>1672</v>
      </c>
      <c r="CB1077" t="s">
        <v>506</v>
      </c>
      <c r="CC1077" s="8" t="str">
        <f>"05672"</f>
        <v>05672</v>
      </c>
      <c r="CD1077" t="s">
        <v>1683</v>
      </c>
      <c r="CE1077" t="s">
        <v>1108</v>
      </c>
      <c r="CF1077" s="12">
        <v>17</v>
      </c>
      <c r="CG1077" s="12">
        <v>19</v>
      </c>
      <c r="CH1077" s="12">
        <v>25.5</v>
      </c>
      <c r="CI1077" s="12">
        <v>28.5</v>
      </c>
      <c r="CJ1077" t="s">
        <v>135</v>
      </c>
      <c r="CK1077" t="s">
        <v>4377</v>
      </c>
      <c r="CL1077" t="s">
        <v>4378</v>
      </c>
      <c r="CO1077" t="s">
        <v>132</v>
      </c>
      <c r="CP1077" t="s">
        <v>114</v>
      </c>
      <c r="CQ1077" t="s">
        <v>114</v>
      </c>
      <c r="CR1077" t="s">
        <v>136</v>
      </c>
      <c r="CS1077" t="s">
        <v>136</v>
      </c>
      <c r="CT1077" t="s">
        <v>136</v>
      </c>
      <c r="CU1077" t="s">
        <v>136</v>
      </c>
      <c r="CV1077" t="s">
        <v>4379</v>
      </c>
      <c r="CW1077" s="10" t="str">
        <f>"+13392347591"</f>
        <v>+13392347591</v>
      </c>
      <c r="CX1077" t="s">
        <v>3910</v>
      </c>
      <c r="CY1077" t="s">
        <v>132</v>
      </c>
      <c r="CZ1077" t="s">
        <v>137</v>
      </c>
      <c r="DA1077" t="s">
        <v>114</v>
      </c>
      <c r="DB1077" t="s">
        <v>114</v>
      </c>
      <c r="DC1077" t="s">
        <v>136</v>
      </c>
      <c r="DD1077" t="s">
        <v>114</v>
      </c>
    </row>
    <row r="1078" spans="1:113" ht="15" customHeight="1" x14ac:dyDescent="0.25">
      <c r="A1078" t="s">
        <v>14311</v>
      </c>
      <c r="B1078" t="s">
        <v>152</v>
      </c>
      <c r="C1078" s="1">
        <v>45174.548304398151</v>
      </c>
      <c r="D1078" s="1">
        <v>45237</v>
      </c>
      <c r="E1078" t="s">
        <v>132</v>
      </c>
      <c r="F1078" t="s">
        <v>5382</v>
      </c>
      <c r="G1078" t="str">
        <f>"37-1011.00"</f>
        <v>37-1011.00</v>
      </c>
      <c r="H1078" t="s">
        <v>5383</v>
      </c>
      <c r="I1078">
        <v>4</v>
      </c>
      <c r="J1078">
        <v>4</v>
      </c>
      <c r="K1078" s="1">
        <v>45249</v>
      </c>
      <c r="L1078" s="1">
        <v>45550</v>
      </c>
      <c r="M1078" s="1">
        <v>45249</v>
      </c>
      <c r="N1078" s="1">
        <v>45550</v>
      </c>
      <c r="O1078" t="s">
        <v>238</v>
      </c>
      <c r="P1078" t="s">
        <v>10246</v>
      </c>
      <c r="Q1078" t="s">
        <v>10246</v>
      </c>
      <c r="R1078" t="s">
        <v>10247</v>
      </c>
      <c r="S1078" t="s">
        <v>14312</v>
      </c>
      <c r="T1078" t="s">
        <v>2773</v>
      </c>
      <c r="U1078" t="s">
        <v>140</v>
      </c>
      <c r="V1078" s="8" t="str">
        <f>"32408"</f>
        <v>32408</v>
      </c>
      <c r="W1078" t="s">
        <v>118</v>
      </c>
      <c r="Y1078" s="10">
        <v>17864929774</v>
      </c>
      <c r="AA1078">
        <v>561720</v>
      </c>
      <c r="AB1078" t="s">
        <v>10248</v>
      </c>
      <c r="AC1078" t="s">
        <v>10249</v>
      </c>
      <c r="AE1078" t="s">
        <v>629</v>
      </c>
      <c r="AF1078" t="s">
        <v>10247</v>
      </c>
      <c r="AH1078" t="s">
        <v>2773</v>
      </c>
      <c r="AI1078" t="s">
        <v>140</v>
      </c>
      <c r="AJ1078" s="8" t="str">
        <f>"32408"</f>
        <v>32408</v>
      </c>
      <c r="AK1078" t="s">
        <v>118</v>
      </c>
      <c r="AM1078" s="10">
        <v>17863285408</v>
      </c>
      <c r="AO1078" t="s">
        <v>10250</v>
      </c>
      <c r="AX1078" s="8" t="str">
        <f>""</f>
        <v/>
      </c>
      <c r="BG1078" t="s">
        <v>967</v>
      </c>
      <c r="BH1078" s="1">
        <v>45173.833333333336</v>
      </c>
      <c r="BI1078">
        <v>35</v>
      </c>
      <c r="BJ1078">
        <v>5</v>
      </c>
      <c r="BK1078">
        <v>5</v>
      </c>
      <c r="BL1078">
        <v>5</v>
      </c>
      <c r="BM1078">
        <v>5</v>
      </c>
      <c r="BN1078">
        <v>5</v>
      </c>
      <c r="BO1078">
        <v>5</v>
      </c>
      <c r="BP1078">
        <v>5</v>
      </c>
      <c r="BQ1078" t="str">
        <f>"8:00 AM"</f>
        <v>8:00 AM</v>
      </c>
      <c r="BR1078" t="str">
        <f>"4:00 PM"</f>
        <v>4:00 PM</v>
      </c>
      <c r="BS1078" t="s">
        <v>147</v>
      </c>
      <c r="BT1078">
        <v>1</v>
      </c>
      <c r="BU1078">
        <v>12</v>
      </c>
      <c r="BV1078" t="s">
        <v>136</v>
      </c>
      <c r="BW1078">
        <v>20</v>
      </c>
      <c r="BX1078" s="2" t="s">
        <v>14313</v>
      </c>
      <c r="BY1078" t="s">
        <v>14314</v>
      </c>
      <c r="CA1078" t="s">
        <v>970</v>
      </c>
      <c r="CB1078" t="s">
        <v>967</v>
      </c>
      <c r="CC1078" s="8" t="str">
        <f>"89449"</f>
        <v>89449</v>
      </c>
      <c r="CD1078" t="s">
        <v>971</v>
      </c>
      <c r="CE1078" t="s">
        <v>972</v>
      </c>
      <c r="CF1078" s="12">
        <v>17.100000000000001</v>
      </c>
      <c r="CG1078" s="12">
        <v>22</v>
      </c>
      <c r="CH1078" s="12">
        <v>25.65</v>
      </c>
      <c r="CI1078" s="12">
        <v>33</v>
      </c>
      <c r="CJ1078" t="s">
        <v>135</v>
      </c>
      <c r="CK1078" t="s">
        <v>14315</v>
      </c>
      <c r="CL1078" t="s">
        <v>14316</v>
      </c>
      <c r="CO1078" t="s">
        <v>132</v>
      </c>
      <c r="CP1078" t="s">
        <v>136</v>
      </c>
      <c r="CQ1078" t="s">
        <v>114</v>
      </c>
      <c r="CR1078" t="s">
        <v>136</v>
      </c>
      <c r="CS1078" t="s">
        <v>114</v>
      </c>
      <c r="CT1078" t="s">
        <v>136</v>
      </c>
      <c r="CU1078" t="s">
        <v>136</v>
      </c>
      <c r="CV1078" s="2" t="s">
        <v>10255</v>
      </c>
      <c r="CW1078" s="10" t="str">
        <f>"+17869429774"</f>
        <v>+17869429774</v>
      </c>
      <c r="CX1078" t="s">
        <v>10256</v>
      </c>
      <c r="CY1078" t="s">
        <v>132</v>
      </c>
      <c r="CZ1078" t="s">
        <v>137</v>
      </c>
      <c r="DA1078" t="s">
        <v>114</v>
      </c>
      <c r="DB1078" t="s">
        <v>114</v>
      </c>
      <c r="DC1078" t="s">
        <v>136</v>
      </c>
      <c r="DD1078" t="s">
        <v>114</v>
      </c>
    </row>
    <row r="1079" spans="1:113" ht="15" customHeight="1" x14ac:dyDescent="0.25">
      <c r="A1079" t="s">
        <v>11421</v>
      </c>
      <c r="B1079" t="s">
        <v>152</v>
      </c>
      <c r="C1079" s="1">
        <v>45167.538842361108</v>
      </c>
      <c r="D1079" s="1">
        <v>45237</v>
      </c>
      <c r="E1079" t="s">
        <v>114</v>
      </c>
      <c r="F1079" t="s">
        <v>2313</v>
      </c>
      <c r="G1079" t="str">
        <f>"35-2014.00"</f>
        <v>35-2014.00</v>
      </c>
      <c r="H1079" t="s">
        <v>154</v>
      </c>
      <c r="I1079">
        <v>4</v>
      </c>
      <c r="J1079">
        <v>4</v>
      </c>
      <c r="K1079" s="1">
        <v>45250</v>
      </c>
      <c r="L1079" s="1">
        <v>45504</v>
      </c>
      <c r="M1079" s="1">
        <v>45250</v>
      </c>
      <c r="N1079" s="1">
        <v>45504</v>
      </c>
      <c r="O1079" t="s">
        <v>116</v>
      </c>
      <c r="P1079" t="s">
        <v>11422</v>
      </c>
      <c r="Q1079" t="s">
        <v>11423</v>
      </c>
      <c r="R1079" t="s">
        <v>11424</v>
      </c>
      <c r="S1079" t="s">
        <v>11425</v>
      </c>
      <c r="T1079" t="s">
        <v>3442</v>
      </c>
      <c r="U1079" t="s">
        <v>127</v>
      </c>
      <c r="V1079" s="8" t="str">
        <f>"77703"</f>
        <v>77703</v>
      </c>
      <c r="W1079" t="s">
        <v>118</v>
      </c>
      <c r="Y1079" s="10">
        <v>13374665630</v>
      </c>
      <c r="AA1079">
        <v>72251</v>
      </c>
      <c r="AB1079" t="s">
        <v>11426</v>
      </c>
      <c r="AC1079" t="s">
        <v>9431</v>
      </c>
      <c r="AE1079" t="s">
        <v>629</v>
      </c>
      <c r="AF1079" t="s">
        <v>11424</v>
      </c>
      <c r="AG1079" t="s">
        <v>11425</v>
      </c>
      <c r="AH1079" t="s">
        <v>3442</v>
      </c>
      <c r="AI1079" t="s">
        <v>127</v>
      </c>
      <c r="AJ1079" s="8" t="str">
        <f>"77703"</f>
        <v>77703</v>
      </c>
      <c r="AK1079" t="s">
        <v>118</v>
      </c>
      <c r="AM1079" s="10">
        <v>13374665630</v>
      </c>
      <c r="AO1079" t="s">
        <v>11427</v>
      </c>
      <c r="AP1079" t="s">
        <v>121</v>
      </c>
      <c r="AQ1079" t="s">
        <v>1842</v>
      </c>
      <c r="AR1079" t="s">
        <v>1843</v>
      </c>
      <c r="AT1079" t="s">
        <v>1844</v>
      </c>
      <c r="AU1079" t="s">
        <v>1845</v>
      </c>
      <c r="AV1079" t="s">
        <v>1846</v>
      </c>
      <c r="AW1079" t="s">
        <v>581</v>
      </c>
      <c r="AX1079" s="8" t="str">
        <f>"24590"</f>
        <v>24590</v>
      </c>
      <c r="AY1079" t="s">
        <v>118</v>
      </c>
      <c r="BA1079" s="10">
        <v>14349981102</v>
      </c>
      <c r="BC1079" t="s">
        <v>1847</v>
      </c>
      <c r="BD1079" t="s">
        <v>1848</v>
      </c>
      <c r="BE1079" t="s">
        <v>581</v>
      </c>
      <c r="BF1079" t="s">
        <v>1849</v>
      </c>
      <c r="BG1079" t="s">
        <v>127</v>
      </c>
      <c r="BH1079" s="1">
        <v>45166.833333333336</v>
      </c>
      <c r="BI1079">
        <v>35</v>
      </c>
      <c r="BJ1079">
        <v>0</v>
      </c>
      <c r="BK1079">
        <v>7</v>
      </c>
      <c r="BL1079">
        <v>7</v>
      </c>
      <c r="BM1079">
        <v>7</v>
      </c>
      <c r="BN1079">
        <v>7</v>
      </c>
      <c r="BO1079">
        <v>7</v>
      </c>
      <c r="BP1079">
        <v>0</v>
      </c>
      <c r="BQ1079" t="str">
        <f>"8:00 AM"</f>
        <v>8:00 AM</v>
      </c>
      <c r="BR1079" t="str">
        <f>"11:00 PM"</f>
        <v>11:00 PM</v>
      </c>
      <c r="BS1079" t="s">
        <v>131</v>
      </c>
      <c r="BT1079">
        <v>0</v>
      </c>
      <c r="BU1079">
        <v>3</v>
      </c>
      <c r="BV1079" t="s">
        <v>114</v>
      </c>
      <c r="BX1079" s="2" t="s">
        <v>11428</v>
      </c>
      <c r="BY1079" t="s">
        <v>11424</v>
      </c>
      <c r="CA1079" t="s">
        <v>3442</v>
      </c>
      <c r="CB1079" t="s">
        <v>127</v>
      </c>
      <c r="CC1079" s="8" t="str">
        <f>"77703"</f>
        <v>77703</v>
      </c>
      <c r="CD1079" t="s">
        <v>1767</v>
      </c>
      <c r="CE1079" t="s">
        <v>2433</v>
      </c>
      <c r="CF1079" s="12">
        <v>13.79</v>
      </c>
      <c r="CH1079" s="12">
        <v>20.69</v>
      </c>
      <c r="CJ1079" t="s">
        <v>135</v>
      </c>
      <c r="CL1079" t="s">
        <v>11429</v>
      </c>
      <c r="CO1079" t="s">
        <v>132</v>
      </c>
      <c r="CP1079" t="s">
        <v>114</v>
      </c>
      <c r="CQ1079" t="s">
        <v>136</v>
      </c>
      <c r="CR1079" t="s">
        <v>136</v>
      </c>
      <c r="CS1079" t="s">
        <v>114</v>
      </c>
      <c r="CT1079" t="s">
        <v>136</v>
      </c>
      <c r="CU1079" t="s">
        <v>136</v>
      </c>
      <c r="CV1079" s="2" t="s">
        <v>11430</v>
      </c>
      <c r="CW1079" s="10" t="str">
        <f>"+13374665630"</f>
        <v>+13374665630</v>
      </c>
      <c r="CX1079" t="s">
        <v>11427</v>
      </c>
      <c r="CY1079" t="s">
        <v>132</v>
      </c>
      <c r="CZ1079" t="s">
        <v>137</v>
      </c>
      <c r="DA1079" t="s">
        <v>114</v>
      </c>
      <c r="DB1079" t="s">
        <v>136</v>
      </c>
      <c r="DC1079" t="s">
        <v>136</v>
      </c>
      <c r="DD1079" t="s">
        <v>114</v>
      </c>
    </row>
    <row r="1080" spans="1:113" ht="15" customHeight="1" x14ac:dyDescent="0.25">
      <c r="A1080" t="s">
        <v>6881</v>
      </c>
      <c r="B1080" t="s">
        <v>152</v>
      </c>
      <c r="C1080" s="1">
        <v>45166.517469907405</v>
      </c>
      <c r="D1080" s="1">
        <v>45237</v>
      </c>
      <c r="E1080" t="s">
        <v>136</v>
      </c>
      <c r="F1080" t="s">
        <v>1059</v>
      </c>
      <c r="G1080" t="str">
        <f>"35-2021.00"</f>
        <v>35-2021.00</v>
      </c>
      <c r="H1080" t="s">
        <v>2303</v>
      </c>
      <c r="I1080">
        <v>7</v>
      </c>
      <c r="J1080">
        <v>7</v>
      </c>
      <c r="K1080" s="1">
        <v>45241</v>
      </c>
      <c r="L1080" s="1">
        <v>45427</v>
      </c>
      <c r="M1080" s="1">
        <v>45241</v>
      </c>
      <c r="N1080" s="1">
        <v>45427</v>
      </c>
      <c r="O1080" t="s">
        <v>116</v>
      </c>
      <c r="P1080" t="s">
        <v>6882</v>
      </c>
      <c r="R1080" t="s">
        <v>6883</v>
      </c>
      <c r="T1080" t="s">
        <v>6884</v>
      </c>
      <c r="U1080" t="s">
        <v>140</v>
      </c>
      <c r="V1080" s="8" t="str">
        <f>"33418"</f>
        <v>33418</v>
      </c>
      <c r="W1080" t="s">
        <v>118</v>
      </c>
      <c r="Y1080" s="10">
        <v>15616124769</v>
      </c>
      <c r="AA1080">
        <v>713910</v>
      </c>
      <c r="AB1080" t="s">
        <v>6885</v>
      </c>
      <c r="AC1080" t="s">
        <v>2005</v>
      </c>
      <c r="AE1080" t="s">
        <v>1119</v>
      </c>
      <c r="AF1080" t="s">
        <v>6883</v>
      </c>
      <c r="AH1080" t="s">
        <v>6884</v>
      </c>
      <c r="AI1080" t="s">
        <v>140</v>
      </c>
      <c r="AJ1080" s="8" t="str">
        <f>"33418"</f>
        <v>33418</v>
      </c>
      <c r="AK1080" t="s">
        <v>118</v>
      </c>
      <c r="AM1080" s="10">
        <v>15616124769</v>
      </c>
      <c r="AO1080" t="s">
        <v>6886</v>
      </c>
      <c r="AP1080" t="s">
        <v>121</v>
      </c>
      <c r="AQ1080" t="s">
        <v>6887</v>
      </c>
      <c r="AR1080" t="s">
        <v>6888</v>
      </c>
      <c r="AS1080" t="s">
        <v>6889</v>
      </c>
      <c r="AT1080" t="s">
        <v>6890</v>
      </c>
      <c r="AU1080" t="s">
        <v>6891</v>
      </c>
      <c r="AV1080" t="s">
        <v>6884</v>
      </c>
      <c r="AW1080" t="s">
        <v>140</v>
      </c>
      <c r="AX1080" s="8" t="str">
        <f>"33401"</f>
        <v>33401</v>
      </c>
      <c r="AY1080" t="s">
        <v>118</v>
      </c>
      <c r="BA1080" s="10">
        <v>15618416346</v>
      </c>
      <c r="BC1080" t="s">
        <v>6892</v>
      </c>
      <c r="BD1080" t="s">
        <v>6893</v>
      </c>
      <c r="BE1080" t="s">
        <v>140</v>
      </c>
      <c r="BF1080" t="s">
        <v>172</v>
      </c>
      <c r="BG1080" t="s">
        <v>140</v>
      </c>
      <c r="BH1080" s="1">
        <v>45145.833333333336</v>
      </c>
      <c r="BI1080">
        <v>40</v>
      </c>
      <c r="BJ1080">
        <v>7</v>
      </c>
      <c r="BK1080">
        <v>3</v>
      </c>
      <c r="BL1080">
        <v>2</v>
      </c>
      <c r="BM1080">
        <v>7</v>
      </c>
      <c r="BN1080">
        <v>7</v>
      </c>
      <c r="BO1080">
        <v>7</v>
      </c>
      <c r="BP1080">
        <v>7</v>
      </c>
      <c r="BQ1080" t="str">
        <f>"9:00 AM"</f>
        <v>9:00 AM</v>
      </c>
      <c r="BR1080" t="str">
        <f>"10:00 PM"</f>
        <v>10:00 PM</v>
      </c>
      <c r="BS1080" t="s">
        <v>147</v>
      </c>
      <c r="BT1080">
        <v>1</v>
      </c>
      <c r="BU1080">
        <v>3</v>
      </c>
      <c r="BV1080" t="s">
        <v>114</v>
      </c>
      <c r="BX1080" s="2" t="s">
        <v>6894</v>
      </c>
      <c r="BY1080" t="s">
        <v>6883</v>
      </c>
      <c r="CA1080" t="s">
        <v>6884</v>
      </c>
      <c r="CB1080" t="s">
        <v>140</v>
      </c>
      <c r="CC1080" s="8" t="str">
        <f>"33418"</f>
        <v>33418</v>
      </c>
      <c r="CD1080" t="s">
        <v>767</v>
      </c>
      <c r="CE1080" t="s">
        <v>149</v>
      </c>
      <c r="CF1080" s="12">
        <v>15.21</v>
      </c>
      <c r="CG1080" s="12">
        <v>15.21</v>
      </c>
      <c r="CH1080" s="12">
        <v>22.82</v>
      </c>
      <c r="CI1080" s="12">
        <v>22.82</v>
      </c>
      <c r="CJ1080" t="s">
        <v>135</v>
      </c>
      <c r="CK1080" t="s">
        <v>6895</v>
      </c>
      <c r="CL1080" t="s">
        <v>6896</v>
      </c>
      <c r="CO1080" t="s">
        <v>132</v>
      </c>
      <c r="CP1080" t="s">
        <v>114</v>
      </c>
      <c r="CQ1080" t="s">
        <v>136</v>
      </c>
      <c r="CR1080" t="s">
        <v>136</v>
      </c>
      <c r="CS1080" t="s">
        <v>136</v>
      </c>
      <c r="CT1080" t="s">
        <v>136</v>
      </c>
      <c r="CU1080" t="s">
        <v>136</v>
      </c>
      <c r="CV1080" t="s">
        <v>6897</v>
      </c>
      <c r="CW1080" s="10" t="str">
        <f>"+15616124769"</f>
        <v>+15616124769</v>
      </c>
      <c r="CX1080" t="s">
        <v>132</v>
      </c>
      <c r="CY1080" t="s">
        <v>6898</v>
      </c>
      <c r="CZ1080" t="s">
        <v>137</v>
      </c>
      <c r="DA1080" t="s">
        <v>114</v>
      </c>
      <c r="DB1080" t="s">
        <v>136</v>
      </c>
      <c r="DC1080" t="s">
        <v>136</v>
      </c>
      <c r="DD1080" t="s">
        <v>114</v>
      </c>
      <c r="DE1080" t="s">
        <v>6887</v>
      </c>
      <c r="DF1080" t="s">
        <v>6888</v>
      </c>
      <c r="DG1080" t="s">
        <v>3526</v>
      </c>
      <c r="DH1080" t="s">
        <v>6899</v>
      </c>
      <c r="DI1080" t="s">
        <v>6900</v>
      </c>
    </row>
    <row r="1081" spans="1:113" ht="15" customHeight="1" x14ac:dyDescent="0.25">
      <c r="A1081" t="s">
        <v>10388</v>
      </c>
      <c r="B1081" t="s">
        <v>152</v>
      </c>
      <c r="C1081" s="1">
        <v>45159.610119791665</v>
      </c>
      <c r="D1081" s="1">
        <v>45237</v>
      </c>
      <c r="E1081" t="s">
        <v>114</v>
      </c>
      <c r="F1081" t="s">
        <v>10389</v>
      </c>
      <c r="G1081" t="str">
        <f>"47-2061.00"</f>
        <v>47-2061.00</v>
      </c>
      <c r="H1081" t="s">
        <v>570</v>
      </c>
      <c r="I1081">
        <v>2</v>
      </c>
      <c r="J1081">
        <v>2</v>
      </c>
      <c r="K1081" s="1">
        <v>45234</v>
      </c>
      <c r="L1081" s="1">
        <v>45444</v>
      </c>
      <c r="M1081" s="1">
        <v>45234</v>
      </c>
      <c r="N1081" s="1">
        <v>45444</v>
      </c>
      <c r="O1081" t="s">
        <v>238</v>
      </c>
      <c r="P1081" t="s">
        <v>10390</v>
      </c>
      <c r="R1081" t="s">
        <v>10391</v>
      </c>
      <c r="S1081" t="s">
        <v>3076</v>
      </c>
      <c r="T1081" t="s">
        <v>10392</v>
      </c>
      <c r="U1081" t="s">
        <v>1722</v>
      </c>
      <c r="V1081" s="8" t="str">
        <f>"20852"</f>
        <v>20852</v>
      </c>
      <c r="W1081" t="s">
        <v>118</v>
      </c>
      <c r="Y1081" s="10">
        <v>14107339261</v>
      </c>
      <c r="AA1081">
        <v>56179</v>
      </c>
      <c r="AB1081" t="s">
        <v>10393</v>
      </c>
      <c r="AC1081" t="s">
        <v>10394</v>
      </c>
      <c r="AE1081" t="s">
        <v>561</v>
      </c>
      <c r="AF1081" t="s">
        <v>10391</v>
      </c>
      <c r="AG1081" t="s">
        <v>3076</v>
      </c>
      <c r="AH1081" t="s">
        <v>10392</v>
      </c>
      <c r="AI1081" t="s">
        <v>1722</v>
      </c>
      <c r="AJ1081" s="8" t="str">
        <f>"20852"</f>
        <v>20852</v>
      </c>
      <c r="AK1081" t="s">
        <v>118</v>
      </c>
      <c r="AM1081" s="10">
        <v>14107339261</v>
      </c>
      <c r="AO1081" t="s">
        <v>10395</v>
      </c>
      <c r="AP1081" t="s">
        <v>121</v>
      </c>
      <c r="AQ1081" t="s">
        <v>1771</v>
      </c>
      <c r="AR1081" t="s">
        <v>1772</v>
      </c>
      <c r="AS1081" t="s">
        <v>1410</v>
      </c>
      <c r="AT1081" t="s">
        <v>1773</v>
      </c>
      <c r="AU1081" t="s">
        <v>1774</v>
      </c>
      <c r="AV1081" t="s">
        <v>1775</v>
      </c>
      <c r="AW1081" t="s">
        <v>1776</v>
      </c>
      <c r="AX1081" s="8" t="str">
        <f>"08034"</f>
        <v>08034</v>
      </c>
      <c r="AY1081" t="s">
        <v>118</v>
      </c>
      <c r="AZ1081" t="s">
        <v>1777</v>
      </c>
      <c r="BA1081" s="10">
        <v>18562819750</v>
      </c>
      <c r="BC1081" t="s">
        <v>1778</v>
      </c>
      <c r="BD1081" t="s">
        <v>1779</v>
      </c>
      <c r="BE1081" t="s">
        <v>1776</v>
      </c>
      <c r="BF1081" t="s">
        <v>1780</v>
      </c>
      <c r="BG1081" t="s">
        <v>1722</v>
      </c>
      <c r="BH1081" s="1">
        <v>45158.833333333336</v>
      </c>
      <c r="BI1081">
        <v>40</v>
      </c>
      <c r="BJ1081">
        <v>0</v>
      </c>
      <c r="BK1081">
        <v>8</v>
      </c>
      <c r="BL1081">
        <v>8</v>
      </c>
      <c r="BM1081">
        <v>8</v>
      </c>
      <c r="BN1081">
        <v>8</v>
      </c>
      <c r="BO1081">
        <v>8</v>
      </c>
      <c r="BP1081">
        <v>0</v>
      </c>
      <c r="BQ1081" t="str">
        <f>"8:00 AM"</f>
        <v>8:00 AM</v>
      </c>
      <c r="BR1081" t="str">
        <f>"5:00 PM"</f>
        <v>5:00 PM</v>
      </c>
      <c r="BS1081" t="s">
        <v>147</v>
      </c>
      <c r="BT1081">
        <v>0</v>
      </c>
      <c r="BU1081">
        <v>0</v>
      </c>
      <c r="BV1081" t="s">
        <v>114</v>
      </c>
      <c r="BX1081" s="2" t="s">
        <v>10396</v>
      </c>
      <c r="BY1081" t="s">
        <v>10391</v>
      </c>
      <c r="BZ1081" t="s">
        <v>3076</v>
      </c>
      <c r="CA1081" t="s">
        <v>10392</v>
      </c>
      <c r="CB1081" t="s">
        <v>1722</v>
      </c>
      <c r="CC1081" s="8" t="str">
        <f>"20852"</f>
        <v>20852</v>
      </c>
      <c r="CD1081" t="s">
        <v>878</v>
      </c>
      <c r="CE1081" t="s">
        <v>1794</v>
      </c>
      <c r="CF1081" s="12">
        <v>21.29</v>
      </c>
      <c r="CG1081" s="12">
        <v>21.29</v>
      </c>
      <c r="CH1081" s="12">
        <v>31.93</v>
      </c>
      <c r="CI1081" s="12">
        <v>31.93</v>
      </c>
      <c r="CJ1081" t="s">
        <v>135</v>
      </c>
      <c r="CK1081" t="s">
        <v>1782</v>
      </c>
      <c r="CL1081" t="s">
        <v>10397</v>
      </c>
      <c r="CO1081" t="s">
        <v>132</v>
      </c>
      <c r="CP1081" t="s">
        <v>136</v>
      </c>
      <c r="CQ1081" t="s">
        <v>136</v>
      </c>
      <c r="CR1081" t="s">
        <v>136</v>
      </c>
      <c r="CS1081" t="s">
        <v>136</v>
      </c>
      <c r="CT1081" t="s">
        <v>136</v>
      </c>
      <c r="CU1081" t="s">
        <v>136</v>
      </c>
      <c r="CV1081" t="s">
        <v>10398</v>
      </c>
      <c r="CW1081" s="10" t="str">
        <f>"+14107339261"</f>
        <v>+14107339261</v>
      </c>
      <c r="CX1081" t="s">
        <v>10399</v>
      </c>
      <c r="CY1081" t="s">
        <v>132</v>
      </c>
      <c r="CZ1081" t="s">
        <v>137</v>
      </c>
      <c r="DA1081" t="s">
        <v>114</v>
      </c>
      <c r="DB1081" t="s">
        <v>114</v>
      </c>
      <c r="DC1081" t="s">
        <v>136</v>
      </c>
      <c r="DD1081" t="s">
        <v>114</v>
      </c>
    </row>
    <row r="1082" spans="1:113" ht="15" customHeight="1" x14ac:dyDescent="0.25">
      <c r="A1082" t="s">
        <v>12006</v>
      </c>
      <c r="B1082" t="s">
        <v>152</v>
      </c>
      <c r="C1082" s="1">
        <v>45156.946635763888</v>
      </c>
      <c r="D1082" s="1">
        <v>45237</v>
      </c>
      <c r="E1082" t="s">
        <v>114</v>
      </c>
      <c r="F1082" t="s">
        <v>3014</v>
      </c>
      <c r="G1082" t="str">
        <f>"49-9098.00"</f>
        <v>49-9098.00</v>
      </c>
      <c r="H1082" t="s">
        <v>945</v>
      </c>
      <c r="I1082">
        <v>10</v>
      </c>
      <c r="J1082">
        <v>10</v>
      </c>
      <c r="K1082" s="1">
        <v>45231</v>
      </c>
      <c r="L1082" s="1">
        <v>45383</v>
      </c>
      <c r="M1082" s="1">
        <v>45231</v>
      </c>
      <c r="N1082" s="1">
        <v>45383</v>
      </c>
      <c r="O1082" t="s">
        <v>238</v>
      </c>
      <c r="P1082" t="s">
        <v>11270</v>
      </c>
      <c r="R1082" t="s">
        <v>11276</v>
      </c>
      <c r="T1082" t="s">
        <v>1391</v>
      </c>
      <c r="U1082" t="s">
        <v>558</v>
      </c>
      <c r="V1082" s="8" t="str">
        <f>"85139"</f>
        <v>85139</v>
      </c>
      <c r="W1082" t="s">
        <v>118</v>
      </c>
      <c r="Y1082" s="10">
        <v>16027580300</v>
      </c>
      <c r="Z1082" s="3" t="s">
        <v>256</v>
      </c>
      <c r="AA1082">
        <v>7139</v>
      </c>
      <c r="AB1082" t="s">
        <v>11272</v>
      </c>
      <c r="AC1082" t="s">
        <v>11273</v>
      </c>
      <c r="AE1082" t="s">
        <v>11274</v>
      </c>
      <c r="AF1082" t="s">
        <v>11271</v>
      </c>
      <c r="AH1082" t="s">
        <v>1391</v>
      </c>
      <c r="AI1082" t="s">
        <v>558</v>
      </c>
      <c r="AJ1082" s="8" t="str">
        <f>"85139"</f>
        <v>85139</v>
      </c>
      <c r="AK1082" t="s">
        <v>118</v>
      </c>
      <c r="AM1082" s="10">
        <v>16027580300</v>
      </c>
      <c r="AN1082" s="3" t="s">
        <v>256</v>
      </c>
      <c r="AO1082" t="s">
        <v>11275</v>
      </c>
      <c r="AP1082" t="s">
        <v>248</v>
      </c>
      <c r="AQ1082" t="s">
        <v>249</v>
      </c>
      <c r="AR1082" t="s">
        <v>250</v>
      </c>
      <c r="AS1082" t="s">
        <v>251</v>
      </c>
      <c r="AT1082" t="s">
        <v>252</v>
      </c>
      <c r="AU1082" t="s">
        <v>253</v>
      </c>
      <c r="AV1082" t="s">
        <v>254</v>
      </c>
      <c r="AW1082" t="s">
        <v>127</v>
      </c>
      <c r="AX1082" s="8" t="str">
        <f>"78550"</f>
        <v>78550</v>
      </c>
      <c r="AY1082" t="s">
        <v>118</v>
      </c>
      <c r="AZ1082" t="s">
        <v>255</v>
      </c>
      <c r="BA1082" s="10">
        <v>19564408720</v>
      </c>
      <c r="BB1082" s="3" t="s">
        <v>256</v>
      </c>
      <c r="BC1082" t="s">
        <v>338</v>
      </c>
      <c r="BD1082" t="s">
        <v>258</v>
      </c>
      <c r="BG1082" t="s">
        <v>479</v>
      </c>
      <c r="BH1082" s="1">
        <v>45155.833333333336</v>
      </c>
      <c r="BI1082">
        <v>40</v>
      </c>
      <c r="BJ1082">
        <v>0</v>
      </c>
      <c r="BK1082">
        <v>8</v>
      </c>
      <c r="BL1082">
        <v>8</v>
      </c>
      <c r="BM1082">
        <v>8</v>
      </c>
      <c r="BN1082">
        <v>8</v>
      </c>
      <c r="BO1082">
        <v>8</v>
      </c>
      <c r="BP1082">
        <v>0</v>
      </c>
      <c r="BQ1082" t="str">
        <f>"8:00 AM"</f>
        <v>8:00 AM</v>
      </c>
      <c r="BR1082" t="str">
        <f>"5:00 PM"</f>
        <v>5:00 PM</v>
      </c>
      <c r="BS1082" t="s">
        <v>131</v>
      </c>
      <c r="BT1082">
        <v>0</v>
      </c>
      <c r="BU1082">
        <v>0</v>
      </c>
      <c r="BV1082" t="s">
        <v>114</v>
      </c>
      <c r="BX1082" s="2" t="s">
        <v>2396</v>
      </c>
      <c r="BY1082" t="s">
        <v>12007</v>
      </c>
      <c r="CA1082" t="s">
        <v>12008</v>
      </c>
      <c r="CB1082" t="s">
        <v>479</v>
      </c>
      <c r="CC1082" s="8" t="str">
        <f>"97138"</f>
        <v>97138</v>
      </c>
      <c r="CD1082" t="s">
        <v>12009</v>
      </c>
      <c r="CE1082" t="s">
        <v>7045</v>
      </c>
      <c r="CF1082" s="12">
        <v>18.07</v>
      </c>
      <c r="CG1082" s="12">
        <v>18.07</v>
      </c>
      <c r="CH1082" s="12">
        <v>0</v>
      </c>
      <c r="CI1082" s="12">
        <v>0</v>
      </c>
      <c r="CJ1082" t="s">
        <v>135</v>
      </c>
      <c r="CK1082" t="s">
        <v>342</v>
      </c>
      <c r="CL1082" t="s">
        <v>12010</v>
      </c>
      <c r="CO1082" t="s">
        <v>132</v>
      </c>
      <c r="CP1082" t="s">
        <v>114</v>
      </c>
      <c r="CQ1082" t="s">
        <v>136</v>
      </c>
      <c r="CR1082" t="s">
        <v>114</v>
      </c>
      <c r="CS1082" t="s">
        <v>136</v>
      </c>
      <c r="CT1082" t="s">
        <v>136</v>
      </c>
      <c r="CU1082" t="s">
        <v>136</v>
      </c>
      <c r="CV1082" t="s">
        <v>12011</v>
      </c>
      <c r="CW1082" s="10" t="str">
        <f>"+16027580300"</f>
        <v>+16027580300</v>
      </c>
      <c r="CX1082" t="s">
        <v>11275</v>
      </c>
      <c r="CY1082" t="s">
        <v>132</v>
      </c>
      <c r="CZ1082" t="s">
        <v>137</v>
      </c>
      <c r="DA1082" t="s">
        <v>114</v>
      </c>
      <c r="DB1082" t="s">
        <v>136</v>
      </c>
      <c r="DC1082" t="s">
        <v>136</v>
      </c>
      <c r="DD1082" t="s">
        <v>114</v>
      </c>
    </row>
    <row r="1083" spans="1:113" ht="15" customHeight="1" x14ac:dyDescent="0.25">
      <c r="A1083" t="s">
        <v>9873</v>
      </c>
      <c r="B1083" t="s">
        <v>152</v>
      </c>
      <c r="C1083" s="1">
        <v>45155.918612152775</v>
      </c>
      <c r="D1083" s="1">
        <v>45237</v>
      </c>
      <c r="E1083" t="s">
        <v>114</v>
      </c>
      <c r="F1083" t="s">
        <v>3992</v>
      </c>
      <c r="G1083" t="str">
        <f>"37-2011.00"</f>
        <v>37-2011.00</v>
      </c>
      <c r="H1083" t="s">
        <v>1089</v>
      </c>
      <c r="I1083">
        <v>3</v>
      </c>
      <c r="J1083">
        <v>3</v>
      </c>
      <c r="K1083" s="1">
        <v>45230</v>
      </c>
      <c r="L1083" s="1">
        <v>45397</v>
      </c>
      <c r="M1083" s="1">
        <v>45230</v>
      </c>
      <c r="N1083" s="1">
        <v>45397</v>
      </c>
      <c r="O1083" t="s">
        <v>238</v>
      </c>
      <c r="P1083" t="s">
        <v>9874</v>
      </c>
      <c r="R1083" t="s">
        <v>9875</v>
      </c>
      <c r="T1083" t="s">
        <v>9876</v>
      </c>
      <c r="U1083" t="s">
        <v>740</v>
      </c>
      <c r="V1083" s="8" t="str">
        <f>"52627"</f>
        <v>52627</v>
      </c>
      <c r="W1083" t="s">
        <v>118</v>
      </c>
      <c r="Y1083" s="10">
        <v>13193725047</v>
      </c>
      <c r="AA1083">
        <v>238110</v>
      </c>
      <c r="AB1083" t="s">
        <v>9877</v>
      </c>
      <c r="AC1083" t="s">
        <v>2188</v>
      </c>
      <c r="AE1083" t="s">
        <v>629</v>
      </c>
      <c r="AF1083" t="s">
        <v>9878</v>
      </c>
      <c r="AH1083" t="s">
        <v>9876</v>
      </c>
      <c r="AI1083" t="s">
        <v>740</v>
      </c>
      <c r="AJ1083" s="8" t="str">
        <f>"52627"</f>
        <v>52627</v>
      </c>
      <c r="AK1083" t="s">
        <v>118</v>
      </c>
      <c r="AM1083" s="10">
        <v>13193725047</v>
      </c>
      <c r="AO1083" t="s">
        <v>9879</v>
      </c>
      <c r="AP1083" t="s">
        <v>121</v>
      </c>
      <c r="AQ1083" t="s">
        <v>1408</v>
      </c>
      <c r="AR1083" t="s">
        <v>1409</v>
      </c>
      <c r="AS1083" t="s">
        <v>1410</v>
      </c>
      <c r="AT1083" t="s">
        <v>9880</v>
      </c>
      <c r="AV1083" t="s">
        <v>9881</v>
      </c>
      <c r="AW1083" t="s">
        <v>740</v>
      </c>
      <c r="AX1083" s="8" t="str">
        <f>"50010"</f>
        <v>50010</v>
      </c>
      <c r="AY1083" t="s">
        <v>118</v>
      </c>
      <c r="BA1083" s="10">
        <v>15154124961</v>
      </c>
      <c r="BC1083" t="s">
        <v>9882</v>
      </c>
      <c r="BD1083" t="s">
        <v>9883</v>
      </c>
      <c r="BE1083" t="s">
        <v>740</v>
      </c>
      <c r="BF1083" t="s">
        <v>172</v>
      </c>
      <c r="BG1083" t="s">
        <v>740</v>
      </c>
      <c r="BH1083" s="1">
        <v>45154.833333333336</v>
      </c>
      <c r="BI1083">
        <v>40</v>
      </c>
      <c r="BJ1083">
        <v>0</v>
      </c>
      <c r="BK1083">
        <v>8</v>
      </c>
      <c r="BL1083">
        <v>8</v>
      </c>
      <c r="BM1083">
        <v>8</v>
      </c>
      <c r="BN1083">
        <v>8</v>
      </c>
      <c r="BO1083">
        <v>8</v>
      </c>
      <c r="BP1083">
        <v>0</v>
      </c>
      <c r="BQ1083" t="str">
        <f>"7:00 AM"</f>
        <v>7:00 AM</v>
      </c>
      <c r="BR1083" t="str">
        <f>"3:30 PM"</f>
        <v>3:30 PM</v>
      </c>
      <c r="BS1083" t="s">
        <v>131</v>
      </c>
      <c r="BT1083">
        <v>0</v>
      </c>
      <c r="BU1083">
        <v>0</v>
      </c>
      <c r="BV1083" t="s">
        <v>114</v>
      </c>
      <c r="BX1083" s="2" t="s">
        <v>9884</v>
      </c>
      <c r="BY1083" t="s">
        <v>9885</v>
      </c>
      <c r="CA1083" t="s">
        <v>9876</v>
      </c>
      <c r="CB1083" t="s">
        <v>740</v>
      </c>
      <c r="CC1083" s="8" t="str">
        <f>"52627"</f>
        <v>52627</v>
      </c>
      <c r="CD1083" t="s">
        <v>362</v>
      </c>
      <c r="CE1083" t="s">
        <v>1301</v>
      </c>
      <c r="CF1083" s="12">
        <v>16.77</v>
      </c>
      <c r="CH1083" s="12">
        <v>25.16</v>
      </c>
      <c r="CJ1083" t="s">
        <v>135</v>
      </c>
      <c r="CK1083" t="s">
        <v>5905</v>
      </c>
      <c r="CL1083" t="s">
        <v>9886</v>
      </c>
      <c r="CO1083" t="s">
        <v>132</v>
      </c>
      <c r="CP1083" t="s">
        <v>136</v>
      </c>
      <c r="CQ1083" t="s">
        <v>136</v>
      </c>
      <c r="CR1083" t="s">
        <v>136</v>
      </c>
      <c r="CS1083" t="s">
        <v>136</v>
      </c>
      <c r="CT1083" t="s">
        <v>136</v>
      </c>
      <c r="CU1083" t="s">
        <v>136</v>
      </c>
      <c r="CV1083" t="s">
        <v>9887</v>
      </c>
      <c r="CW1083" s="10" t="str">
        <f>"+13193725047"</f>
        <v>+13193725047</v>
      </c>
      <c r="CX1083" t="s">
        <v>9879</v>
      </c>
      <c r="CY1083" t="s">
        <v>132</v>
      </c>
      <c r="CZ1083" t="s">
        <v>137</v>
      </c>
      <c r="DA1083" t="s">
        <v>114</v>
      </c>
      <c r="DB1083" t="s">
        <v>114</v>
      </c>
      <c r="DC1083" t="s">
        <v>136</v>
      </c>
      <c r="DD1083" t="s">
        <v>114</v>
      </c>
    </row>
    <row r="1084" spans="1:113" ht="15" customHeight="1" x14ac:dyDescent="0.25">
      <c r="A1084" t="s">
        <v>16655</v>
      </c>
      <c r="B1084" t="s">
        <v>152</v>
      </c>
      <c r="C1084" s="1">
        <v>45149.746114699075</v>
      </c>
      <c r="D1084" s="1">
        <v>45237</v>
      </c>
      <c r="E1084" t="s">
        <v>114</v>
      </c>
      <c r="F1084" t="s">
        <v>154</v>
      </c>
      <c r="G1084" t="str">
        <f>"35-2014.00"</f>
        <v>35-2014.00</v>
      </c>
      <c r="H1084" t="s">
        <v>154</v>
      </c>
      <c r="I1084">
        <v>5</v>
      </c>
      <c r="J1084">
        <v>5</v>
      </c>
      <c r="K1084" s="1">
        <v>45224</v>
      </c>
      <c r="L1084" s="1">
        <v>45473</v>
      </c>
      <c r="M1084" s="1">
        <v>45224</v>
      </c>
      <c r="N1084" s="1">
        <v>45473</v>
      </c>
      <c r="O1084" t="s">
        <v>116</v>
      </c>
      <c r="P1084" t="s">
        <v>15312</v>
      </c>
      <c r="Q1084" t="s">
        <v>15313</v>
      </c>
      <c r="R1084" t="s">
        <v>16656</v>
      </c>
      <c r="T1084" t="s">
        <v>2161</v>
      </c>
      <c r="U1084" t="s">
        <v>127</v>
      </c>
      <c r="V1084" s="8" t="str">
        <f>"78412"</f>
        <v>78412</v>
      </c>
      <c r="W1084" t="s">
        <v>118</v>
      </c>
      <c r="Y1084" s="10">
        <v>13619608561</v>
      </c>
      <c r="AA1084">
        <v>72251</v>
      </c>
      <c r="AB1084" t="s">
        <v>8028</v>
      </c>
      <c r="AC1084" t="s">
        <v>13637</v>
      </c>
      <c r="AE1084" t="s">
        <v>7838</v>
      </c>
      <c r="AF1084" t="s">
        <v>15315</v>
      </c>
      <c r="AH1084" t="s">
        <v>2161</v>
      </c>
      <c r="AI1084" t="s">
        <v>127</v>
      </c>
      <c r="AJ1084" s="8" t="str">
        <f>"78412"</f>
        <v>78412</v>
      </c>
      <c r="AK1084" t="s">
        <v>118</v>
      </c>
      <c r="AM1084" s="10">
        <v>13619608561</v>
      </c>
      <c r="AO1084" t="s">
        <v>15314</v>
      </c>
      <c r="AP1084" t="s">
        <v>248</v>
      </c>
      <c r="AQ1084" t="s">
        <v>2562</v>
      </c>
      <c r="AR1084" t="s">
        <v>2563</v>
      </c>
      <c r="AT1084" t="s">
        <v>5414</v>
      </c>
      <c r="AV1084" t="s">
        <v>2564</v>
      </c>
      <c r="AW1084" t="s">
        <v>127</v>
      </c>
      <c r="AX1084" s="8" t="str">
        <f>"77057"</f>
        <v>77057</v>
      </c>
      <c r="AY1084" t="s">
        <v>118</v>
      </c>
      <c r="BA1084" s="10">
        <v>17138218466</v>
      </c>
      <c r="BC1084" t="s">
        <v>2565</v>
      </c>
      <c r="BD1084" t="s">
        <v>2566</v>
      </c>
      <c r="BG1084" t="s">
        <v>127</v>
      </c>
      <c r="BH1084" s="1">
        <v>45141.833333333336</v>
      </c>
      <c r="BI1084">
        <v>40</v>
      </c>
      <c r="BJ1084">
        <v>0</v>
      </c>
      <c r="BK1084">
        <v>8</v>
      </c>
      <c r="BL1084">
        <v>8</v>
      </c>
      <c r="BM1084">
        <v>8</v>
      </c>
      <c r="BN1084">
        <v>8</v>
      </c>
      <c r="BO1084">
        <v>8</v>
      </c>
      <c r="BP1084">
        <v>0</v>
      </c>
      <c r="BQ1084" t="str">
        <f>"7:00 AM"</f>
        <v>7:00 AM</v>
      </c>
      <c r="BR1084" t="str">
        <f>"4:00 PM"</f>
        <v>4:00 PM</v>
      </c>
      <c r="BS1084" t="s">
        <v>131</v>
      </c>
      <c r="BT1084">
        <v>0</v>
      </c>
      <c r="BU1084">
        <v>3</v>
      </c>
      <c r="BV1084" t="s">
        <v>114</v>
      </c>
      <c r="BX1084" t="s">
        <v>16657</v>
      </c>
      <c r="BY1084" t="s">
        <v>15315</v>
      </c>
      <c r="CA1084" t="s">
        <v>2161</v>
      </c>
      <c r="CB1084" t="s">
        <v>127</v>
      </c>
      <c r="CC1084" s="8" t="str">
        <f>"78412"</f>
        <v>78412</v>
      </c>
      <c r="CD1084" t="s">
        <v>2162</v>
      </c>
      <c r="CE1084" t="s">
        <v>2163</v>
      </c>
      <c r="CF1084" s="12">
        <v>13.53</v>
      </c>
      <c r="CG1084" s="12">
        <v>13.53</v>
      </c>
      <c r="CH1084" s="12">
        <v>20.3</v>
      </c>
      <c r="CI1084" s="12">
        <v>20.3</v>
      </c>
      <c r="CJ1084" t="s">
        <v>135</v>
      </c>
      <c r="CL1084" t="s">
        <v>16658</v>
      </c>
      <c r="CO1084" t="s">
        <v>132</v>
      </c>
      <c r="CP1084" t="s">
        <v>114</v>
      </c>
      <c r="CQ1084" t="s">
        <v>114</v>
      </c>
      <c r="CR1084" t="s">
        <v>136</v>
      </c>
      <c r="CS1084" t="s">
        <v>114</v>
      </c>
      <c r="CT1084" t="s">
        <v>136</v>
      </c>
      <c r="CU1084" t="s">
        <v>114</v>
      </c>
      <c r="CV1084" t="s">
        <v>1570</v>
      </c>
      <c r="CW1084" s="10" t="str">
        <f>"+13618158954"</f>
        <v>+13618158954</v>
      </c>
      <c r="CX1084" t="s">
        <v>15314</v>
      </c>
      <c r="CY1084" t="s">
        <v>132</v>
      </c>
      <c r="CZ1084" t="s">
        <v>137</v>
      </c>
      <c r="DA1084" t="s">
        <v>114</v>
      </c>
      <c r="DB1084" t="s">
        <v>114</v>
      </c>
      <c r="DC1084" t="s">
        <v>136</v>
      </c>
      <c r="DD1084" t="s">
        <v>114</v>
      </c>
    </row>
    <row r="1085" spans="1:113" ht="15" customHeight="1" x14ac:dyDescent="0.25">
      <c r="A1085" t="s">
        <v>13379</v>
      </c>
      <c r="B1085" t="s">
        <v>152</v>
      </c>
      <c r="C1085" s="1">
        <v>45141.531561805554</v>
      </c>
      <c r="D1085" s="1">
        <v>45237</v>
      </c>
      <c r="E1085" t="s">
        <v>114</v>
      </c>
      <c r="F1085" t="s">
        <v>1595</v>
      </c>
      <c r="G1085" t="str">
        <f>"47-2073.00"</f>
        <v>47-2073.00</v>
      </c>
      <c r="H1085" t="s">
        <v>5760</v>
      </c>
      <c r="I1085">
        <v>30</v>
      </c>
      <c r="J1085">
        <v>30</v>
      </c>
      <c r="K1085" s="1">
        <v>45216</v>
      </c>
      <c r="L1085" s="1">
        <v>45366</v>
      </c>
      <c r="M1085" s="1">
        <v>45216</v>
      </c>
      <c r="N1085" s="1">
        <v>45366</v>
      </c>
      <c r="O1085" t="s">
        <v>116</v>
      </c>
      <c r="P1085" t="s">
        <v>13380</v>
      </c>
      <c r="R1085" t="s">
        <v>13381</v>
      </c>
      <c r="T1085" t="s">
        <v>13382</v>
      </c>
      <c r="U1085" t="s">
        <v>1598</v>
      </c>
      <c r="V1085" s="8" t="str">
        <f>"35613"</f>
        <v>35613</v>
      </c>
      <c r="W1085" t="s">
        <v>118</v>
      </c>
      <c r="Y1085" s="10">
        <v>12564312277</v>
      </c>
      <c r="AA1085">
        <v>5617</v>
      </c>
      <c r="AB1085" t="s">
        <v>3496</v>
      </c>
      <c r="AC1085" t="s">
        <v>10888</v>
      </c>
      <c r="AE1085" t="s">
        <v>120</v>
      </c>
      <c r="AF1085" t="s">
        <v>13383</v>
      </c>
      <c r="AH1085" t="s">
        <v>13382</v>
      </c>
      <c r="AI1085" t="s">
        <v>1598</v>
      </c>
      <c r="AJ1085" s="8" t="str">
        <f>"35613"</f>
        <v>35613</v>
      </c>
      <c r="AK1085" t="s">
        <v>118</v>
      </c>
      <c r="AM1085" s="10">
        <v>12564312277</v>
      </c>
      <c r="AO1085" t="s">
        <v>13384</v>
      </c>
      <c r="AP1085" t="s">
        <v>248</v>
      </c>
      <c r="AQ1085" t="s">
        <v>13385</v>
      </c>
      <c r="AR1085" t="s">
        <v>2757</v>
      </c>
      <c r="AS1085" t="s">
        <v>12264</v>
      </c>
      <c r="AT1085" t="s">
        <v>13386</v>
      </c>
      <c r="AV1085" t="s">
        <v>5608</v>
      </c>
      <c r="AW1085" t="s">
        <v>358</v>
      </c>
      <c r="AX1085" s="8" t="str">
        <f>"12534"</f>
        <v>12534</v>
      </c>
      <c r="AY1085" t="s">
        <v>118</v>
      </c>
      <c r="BA1085" s="10">
        <v>19178545221</v>
      </c>
      <c r="BC1085" t="s">
        <v>13387</v>
      </c>
      <c r="BD1085" t="s">
        <v>13388</v>
      </c>
      <c r="BG1085" t="s">
        <v>1598</v>
      </c>
      <c r="BH1085" s="1">
        <v>45140.833333333336</v>
      </c>
      <c r="BI1085">
        <v>40</v>
      </c>
      <c r="BJ1085">
        <v>0</v>
      </c>
      <c r="BK1085">
        <v>8</v>
      </c>
      <c r="BL1085">
        <v>8</v>
      </c>
      <c r="BM1085">
        <v>8</v>
      </c>
      <c r="BN1085">
        <v>8</v>
      </c>
      <c r="BO1085">
        <v>8</v>
      </c>
      <c r="BP1085">
        <v>0</v>
      </c>
      <c r="BQ1085" t="str">
        <f>"8:00 AM"</f>
        <v>8:00 AM</v>
      </c>
      <c r="BR1085" t="str">
        <f>"4:00 PM"</f>
        <v>4:00 PM</v>
      </c>
      <c r="BS1085" t="s">
        <v>131</v>
      </c>
      <c r="BT1085">
        <v>0</v>
      </c>
      <c r="BU1085">
        <v>2</v>
      </c>
      <c r="BV1085" t="s">
        <v>114</v>
      </c>
      <c r="BX1085" t="s">
        <v>131</v>
      </c>
      <c r="BY1085" t="s">
        <v>13389</v>
      </c>
      <c r="CA1085" t="s">
        <v>13382</v>
      </c>
      <c r="CB1085" t="s">
        <v>1598</v>
      </c>
      <c r="CC1085" s="8" t="str">
        <f>"35613"</f>
        <v>35613</v>
      </c>
      <c r="CD1085" t="s">
        <v>8117</v>
      </c>
      <c r="CE1085" t="s">
        <v>8073</v>
      </c>
      <c r="CF1085" s="12">
        <v>22.76</v>
      </c>
      <c r="CG1085" s="12">
        <v>22.76</v>
      </c>
      <c r="CJ1085" t="s">
        <v>135</v>
      </c>
      <c r="CK1085" t="s">
        <v>132</v>
      </c>
      <c r="CL1085" t="s">
        <v>13390</v>
      </c>
      <c r="CO1085" t="s">
        <v>132</v>
      </c>
      <c r="CP1085" t="s">
        <v>136</v>
      </c>
      <c r="CQ1085" t="s">
        <v>136</v>
      </c>
      <c r="CR1085" t="s">
        <v>114</v>
      </c>
      <c r="CS1085" t="s">
        <v>114</v>
      </c>
      <c r="CT1085" t="s">
        <v>136</v>
      </c>
      <c r="CU1085" t="s">
        <v>114</v>
      </c>
      <c r="CV1085" t="s">
        <v>3631</v>
      </c>
      <c r="CW1085" s="10" t="str">
        <f>"+12564312277"</f>
        <v>+12564312277</v>
      </c>
      <c r="CX1085" t="s">
        <v>13384</v>
      </c>
      <c r="CY1085" t="s">
        <v>132</v>
      </c>
      <c r="CZ1085" t="s">
        <v>137</v>
      </c>
      <c r="DA1085" t="s">
        <v>114</v>
      </c>
      <c r="DB1085" t="s">
        <v>114</v>
      </c>
      <c r="DC1085" t="s">
        <v>136</v>
      </c>
      <c r="DD1085" t="s">
        <v>114</v>
      </c>
    </row>
    <row r="1086" spans="1:113" ht="15" customHeight="1" x14ac:dyDescent="0.25">
      <c r="A1086" t="s">
        <v>20510</v>
      </c>
      <c r="B1086" t="s">
        <v>152</v>
      </c>
      <c r="C1086" s="1">
        <v>45188.787470254632</v>
      </c>
      <c r="D1086" s="1">
        <v>45236</v>
      </c>
      <c r="E1086" t="s">
        <v>132</v>
      </c>
      <c r="F1086" t="s">
        <v>1247</v>
      </c>
      <c r="G1086" t="str">
        <f>"45-4011.00"</f>
        <v>45-4011.00</v>
      </c>
      <c r="H1086" t="s">
        <v>842</v>
      </c>
      <c r="I1086">
        <v>170</v>
      </c>
      <c r="J1086">
        <v>170</v>
      </c>
      <c r="K1086" s="1">
        <v>45278</v>
      </c>
      <c r="L1086" s="1">
        <v>45582</v>
      </c>
      <c r="M1086" s="1">
        <v>45278</v>
      </c>
      <c r="N1086" s="1">
        <v>45582</v>
      </c>
      <c r="O1086" t="s">
        <v>116</v>
      </c>
      <c r="P1086" t="s">
        <v>20511</v>
      </c>
      <c r="R1086" t="s">
        <v>20512</v>
      </c>
      <c r="T1086" t="s">
        <v>845</v>
      </c>
      <c r="U1086" t="s">
        <v>479</v>
      </c>
      <c r="V1086" s="8" t="str">
        <f>"97502"</f>
        <v>97502</v>
      </c>
      <c r="W1086" t="s">
        <v>118</v>
      </c>
      <c r="Y1086" s="10">
        <v>15413266093</v>
      </c>
      <c r="AA1086">
        <v>1153</v>
      </c>
      <c r="AB1086" t="s">
        <v>20513</v>
      </c>
      <c r="AC1086" t="s">
        <v>20514</v>
      </c>
      <c r="AD1086" t="s">
        <v>132</v>
      </c>
      <c r="AE1086" t="s">
        <v>20515</v>
      </c>
      <c r="AF1086" t="s">
        <v>20512</v>
      </c>
      <c r="AH1086" t="s">
        <v>845</v>
      </c>
      <c r="AI1086" t="s">
        <v>479</v>
      </c>
      <c r="AJ1086" s="8" t="str">
        <f>"97502"</f>
        <v>97502</v>
      </c>
      <c r="AK1086" t="s">
        <v>118</v>
      </c>
      <c r="AM1086" s="10">
        <v>15413266093</v>
      </c>
      <c r="AO1086" t="s">
        <v>132</v>
      </c>
      <c r="AP1086" t="s">
        <v>248</v>
      </c>
      <c r="AQ1086" t="s">
        <v>849</v>
      </c>
      <c r="AR1086" t="s">
        <v>850</v>
      </c>
      <c r="AS1086" t="s">
        <v>132</v>
      </c>
      <c r="AT1086" t="s">
        <v>851</v>
      </c>
      <c r="AU1086" t="s">
        <v>852</v>
      </c>
      <c r="AV1086" t="s">
        <v>853</v>
      </c>
      <c r="AW1086" t="s">
        <v>854</v>
      </c>
      <c r="AX1086" s="8" t="str">
        <f>"83814"</f>
        <v>83814</v>
      </c>
      <c r="AY1086" t="s">
        <v>118</v>
      </c>
      <c r="BA1086" s="10">
        <v>12087772654</v>
      </c>
      <c r="BC1086" t="s">
        <v>855</v>
      </c>
      <c r="BD1086" t="s">
        <v>856</v>
      </c>
      <c r="BG1086" t="s">
        <v>479</v>
      </c>
      <c r="BH1086" s="1">
        <v>45187.833333333336</v>
      </c>
      <c r="BI1086">
        <v>40</v>
      </c>
      <c r="BJ1086">
        <v>0</v>
      </c>
      <c r="BK1086">
        <v>8</v>
      </c>
      <c r="BL1086">
        <v>8</v>
      </c>
      <c r="BM1086">
        <v>8</v>
      </c>
      <c r="BN1086">
        <v>8</v>
      </c>
      <c r="BO1086">
        <v>8</v>
      </c>
      <c r="BP1086">
        <v>0</v>
      </c>
      <c r="BQ1086" t="str">
        <f>"6:30 AM"</f>
        <v>6:30 AM</v>
      </c>
      <c r="BR1086" t="str">
        <f>"3:00 PM"</f>
        <v>3:00 PM</v>
      </c>
      <c r="BS1086" t="s">
        <v>131</v>
      </c>
      <c r="BT1086">
        <v>0</v>
      </c>
      <c r="BU1086">
        <v>3</v>
      </c>
      <c r="BV1086" t="s">
        <v>114</v>
      </c>
      <c r="BX1086" s="2" t="s">
        <v>20516</v>
      </c>
      <c r="BY1086" t="s">
        <v>20517</v>
      </c>
      <c r="CA1086" t="s">
        <v>845</v>
      </c>
      <c r="CB1086" t="s">
        <v>479</v>
      </c>
      <c r="CC1086" s="8" t="str">
        <f>"97502"</f>
        <v>97502</v>
      </c>
      <c r="CD1086" t="s">
        <v>859</v>
      </c>
      <c r="CE1086" t="s">
        <v>860</v>
      </c>
      <c r="CF1086" s="12">
        <v>11.15</v>
      </c>
      <c r="CG1086" s="12">
        <v>30</v>
      </c>
      <c r="CH1086" s="12">
        <v>16.73</v>
      </c>
      <c r="CI1086" s="12">
        <v>45</v>
      </c>
      <c r="CJ1086" t="s">
        <v>135</v>
      </c>
      <c r="CK1086" t="s">
        <v>861</v>
      </c>
      <c r="CL1086" t="s">
        <v>20518</v>
      </c>
      <c r="CM1086" t="s">
        <v>20519</v>
      </c>
      <c r="CN1086" t="s">
        <v>20520</v>
      </c>
      <c r="CO1086" t="s">
        <v>132</v>
      </c>
      <c r="CP1086" t="s">
        <v>136</v>
      </c>
      <c r="CQ1086" t="s">
        <v>136</v>
      </c>
      <c r="CR1086" t="s">
        <v>136</v>
      </c>
      <c r="CS1086" t="s">
        <v>114</v>
      </c>
      <c r="CT1086" t="s">
        <v>136</v>
      </c>
      <c r="CU1086" t="s">
        <v>136</v>
      </c>
      <c r="CV1086" t="s">
        <v>1040</v>
      </c>
      <c r="CW1086" s="10" t="str">
        <f>"+15413266093"</f>
        <v>+15413266093</v>
      </c>
      <c r="CX1086" t="s">
        <v>20515</v>
      </c>
      <c r="CY1086" t="s">
        <v>132</v>
      </c>
      <c r="CZ1086" t="s">
        <v>137</v>
      </c>
      <c r="DA1086" t="s">
        <v>114</v>
      </c>
      <c r="DB1086" t="s">
        <v>136</v>
      </c>
      <c r="DC1086" t="s">
        <v>136</v>
      </c>
      <c r="DD1086" t="s">
        <v>114</v>
      </c>
    </row>
    <row r="1087" spans="1:113" ht="15" customHeight="1" x14ac:dyDescent="0.25">
      <c r="A1087" t="s">
        <v>15589</v>
      </c>
      <c r="B1087" t="s">
        <v>152</v>
      </c>
      <c r="C1087" s="1">
        <v>45188.69277303241</v>
      </c>
      <c r="D1087" s="1">
        <v>45236</v>
      </c>
      <c r="E1087" t="s">
        <v>132</v>
      </c>
      <c r="F1087" t="s">
        <v>685</v>
      </c>
      <c r="G1087" t="str">
        <f>"35-3023.00"</f>
        <v>35-3023.00</v>
      </c>
      <c r="H1087" t="s">
        <v>1365</v>
      </c>
      <c r="I1087">
        <v>8</v>
      </c>
      <c r="J1087">
        <v>8</v>
      </c>
      <c r="K1087" s="1">
        <v>45263</v>
      </c>
      <c r="L1087" s="1">
        <v>45535</v>
      </c>
      <c r="M1087" s="1">
        <v>45263</v>
      </c>
      <c r="N1087" s="1">
        <v>45535</v>
      </c>
      <c r="O1087" t="s">
        <v>238</v>
      </c>
      <c r="P1087" t="s">
        <v>15590</v>
      </c>
      <c r="Q1087" t="s">
        <v>15591</v>
      </c>
      <c r="R1087" t="s">
        <v>15592</v>
      </c>
      <c r="T1087" t="s">
        <v>401</v>
      </c>
      <c r="U1087" t="s">
        <v>402</v>
      </c>
      <c r="V1087" s="8" t="str">
        <f>"92008"</f>
        <v>92008</v>
      </c>
      <c r="W1087" t="s">
        <v>118</v>
      </c>
      <c r="Y1087" s="10">
        <v>17608897124</v>
      </c>
      <c r="Z1087" s="3" t="s">
        <v>256</v>
      </c>
      <c r="AA1087">
        <v>7139</v>
      </c>
      <c r="AB1087" t="s">
        <v>15593</v>
      </c>
      <c r="AC1087" t="s">
        <v>15594</v>
      </c>
      <c r="AE1087" t="s">
        <v>629</v>
      </c>
      <c r="AF1087" t="s">
        <v>15592</v>
      </c>
      <c r="AH1087" t="s">
        <v>401</v>
      </c>
      <c r="AI1087" t="s">
        <v>402</v>
      </c>
      <c r="AJ1087" s="8" t="str">
        <f>"92008"</f>
        <v>92008</v>
      </c>
      <c r="AK1087" t="s">
        <v>118</v>
      </c>
      <c r="AM1087" s="10">
        <v>17608897124</v>
      </c>
      <c r="AN1087" s="3" t="s">
        <v>256</v>
      </c>
      <c r="AO1087" t="s">
        <v>15595</v>
      </c>
      <c r="AP1087" t="s">
        <v>248</v>
      </c>
      <c r="AQ1087" t="s">
        <v>249</v>
      </c>
      <c r="AR1087" t="s">
        <v>250</v>
      </c>
      <c r="AS1087" t="s">
        <v>251</v>
      </c>
      <c r="AT1087" t="s">
        <v>252</v>
      </c>
      <c r="AU1087" t="s">
        <v>253</v>
      </c>
      <c r="AV1087" t="s">
        <v>254</v>
      </c>
      <c r="AW1087" t="s">
        <v>127</v>
      </c>
      <c r="AX1087" s="8" t="str">
        <f>"78550"</f>
        <v>78550</v>
      </c>
      <c r="AY1087" t="s">
        <v>118</v>
      </c>
      <c r="AZ1087" t="s">
        <v>255</v>
      </c>
      <c r="BA1087" s="10">
        <v>19564408720</v>
      </c>
      <c r="BB1087" s="3" t="s">
        <v>256</v>
      </c>
      <c r="BC1087" t="s">
        <v>338</v>
      </c>
      <c r="BD1087" t="s">
        <v>258</v>
      </c>
      <c r="BG1087" t="s">
        <v>402</v>
      </c>
      <c r="BH1087" s="1">
        <v>45187.833333333336</v>
      </c>
      <c r="BI1087">
        <v>40</v>
      </c>
      <c r="BJ1087">
        <v>8</v>
      </c>
      <c r="BK1087">
        <v>0</v>
      </c>
      <c r="BL1087">
        <v>0</v>
      </c>
      <c r="BM1087">
        <v>8</v>
      </c>
      <c r="BN1087">
        <v>8</v>
      </c>
      <c r="BO1087">
        <v>8</v>
      </c>
      <c r="BP1087">
        <v>8</v>
      </c>
      <c r="BQ1087" t="str">
        <f>"1:00 PM"</f>
        <v>1:00 PM</v>
      </c>
      <c r="BR1087" t="str">
        <f>"10:00 PM"</f>
        <v>10:00 PM</v>
      </c>
      <c r="BS1087" t="s">
        <v>131</v>
      </c>
      <c r="BT1087">
        <v>0</v>
      </c>
      <c r="BU1087">
        <v>0</v>
      </c>
      <c r="BV1087" t="s">
        <v>114</v>
      </c>
      <c r="BX1087" s="2" t="s">
        <v>259</v>
      </c>
      <c r="BY1087" t="s">
        <v>15592</v>
      </c>
      <c r="CA1087" t="s">
        <v>401</v>
      </c>
      <c r="CB1087" t="s">
        <v>402</v>
      </c>
      <c r="CC1087" s="8" t="str">
        <f>"92008"</f>
        <v>92008</v>
      </c>
      <c r="CD1087" t="s">
        <v>2435</v>
      </c>
      <c r="CE1087" t="s">
        <v>2436</v>
      </c>
      <c r="CF1087" s="12">
        <v>16.37</v>
      </c>
      <c r="CG1087" s="12">
        <v>16.43</v>
      </c>
      <c r="CJ1087" t="s">
        <v>135</v>
      </c>
      <c r="CK1087" t="s">
        <v>342</v>
      </c>
      <c r="CL1087" t="s">
        <v>15596</v>
      </c>
      <c r="CO1087" t="s">
        <v>132</v>
      </c>
      <c r="CP1087" t="s">
        <v>136</v>
      </c>
      <c r="CQ1087" t="s">
        <v>136</v>
      </c>
      <c r="CR1087" t="s">
        <v>114</v>
      </c>
      <c r="CS1087" t="s">
        <v>114</v>
      </c>
      <c r="CT1087" t="s">
        <v>136</v>
      </c>
      <c r="CU1087" t="s">
        <v>136</v>
      </c>
      <c r="CV1087" t="s">
        <v>9745</v>
      </c>
      <c r="CW1087" s="10" t="str">
        <f>"+17608897124"</f>
        <v>+17608897124</v>
      </c>
      <c r="CX1087" t="s">
        <v>15595</v>
      </c>
      <c r="CY1087" t="s">
        <v>132</v>
      </c>
      <c r="CZ1087" t="s">
        <v>137</v>
      </c>
      <c r="DA1087" t="s">
        <v>114</v>
      </c>
      <c r="DB1087" t="s">
        <v>114</v>
      </c>
      <c r="DC1087" t="s">
        <v>136</v>
      </c>
      <c r="DD1087" t="s">
        <v>114</v>
      </c>
    </row>
    <row r="1088" spans="1:113" ht="15" customHeight="1" x14ac:dyDescent="0.25">
      <c r="A1088" t="s">
        <v>21480</v>
      </c>
      <c r="B1088" t="s">
        <v>152</v>
      </c>
      <c r="C1088" s="1">
        <v>45185.918455208332</v>
      </c>
      <c r="D1088" s="1">
        <v>45236</v>
      </c>
      <c r="E1088" t="s">
        <v>132</v>
      </c>
      <c r="F1088" t="s">
        <v>2715</v>
      </c>
      <c r="G1088" t="str">
        <f>"39-3091.00"</f>
        <v>39-3091.00</v>
      </c>
      <c r="H1088" t="s">
        <v>237</v>
      </c>
      <c r="I1088">
        <v>25</v>
      </c>
      <c r="J1088">
        <v>25</v>
      </c>
      <c r="K1088" s="1">
        <v>45275</v>
      </c>
      <c r="L1088" s="1">
        <v>45579</v>
      </c>
      <c r="M1088" s="1">
        <v>45275</v>
      </c>
      <c r="N1088" s="1">
        <v>45579</v>
      </c>
      <c r="O1088" t="s">
        <v>238</v>
      </c>
      <c r="P1088" t="s">
        <v>21481</v>
      </c>
      <c r="R1088" t="s">
        <v>15189</v>
      </c>
      <c r="T1088" t="s">
        <v>1280</v>
      </c>
      <c r="U1088" t="s">
        <v>127</v>
      </c>
      <c r="V1088" s="8" t="str">
        <f>"78131"</f>
        <v>78131</v>
      </c>
      <c r="W1088" t="s">
        <v>118</v>
      </c>
      <c r="Y1088" s="10">
        <v>12144030706</v>
      </c>
      <c r="AA1088">
        <v>71399</v>
      </c>
      <c r="AB1088" t="s">
        <v>21482</v>
      </c>
      <c r="AC1088" t="s">
        <v>3145</v>
      </c>
      <c r="AE1088" t="s">
        <v>561</v>
      </c>
      <c r="AF1088" t="s">
        <v>21483</v>
      </c>
      <c r="AH1088" t="s">
        <v>1280</v>
      </c>
      <c r="AI1088" t="s">
        <v>127</v>
      </c>
      <c r="AJ1088" s="8" t="str">
        <f>"78131"</f>
        <v>78131</v>
      </c>
      <c r="AK1088" t="s">
        <v>118</v>
      </c>
      <c r="AM1088" s="10">
        <v>12144030706</v>
      </c>
      <c r="AO1088" t="s">
        <v>21484</v>
      </c>
      <c r="AP1088" t="s">
        <v>248</v>
      </c>
      <c r="AQ1088" t="s">
        <v>960</v>
      </c>
      <c r="AR1088" t="s">
        <v>961</v>
      </c>
      <c r="AS1088" t="s">
        <v>962</v>
      </c>
      <c r="AT1088" t="s">
        <v>963</v>
      </c>
      <c r="AU1088" t="s">
        <v>296</v>
      </c>
      <c r="AV1088" t="s">
        <v>964</v>
      </c>
      <c r="AW1088" t="s">
        <v>127</v>
      </c>
      <c r="AX1088" s="8" t="str">
        <f>"75033"</f>
        <v>75033</v>
      </c>
      <c r="AY1088" t="s">
        <v>118</v>
      </c>
      <c r="BA1088" s="10">
        <v>19727789690</v>
      </c>
      <c r="BC1088" t="s">
        <v>1388</v>
      </c>
      <c r="BD1088" t="s">
        <v>966</v>
      </c>
      <c r="BG1088" t="s">
        <v>127</v>
      </c>
      <c r="BH1088" s="1">
        <v>45184.833333333336</v>
      </c>
      <c r="BI1088">
        <v>45</v>
      </c>
      <c r="BJ1088">
        <v>9</v>
      </c>
      <c r="BK1088">
        <v>9</v>
      </c>
      <c r="BL1088">
        <v>9</v>
      </c>
      <c r="BM1088">
        <v>0</v>
      </c>
      <c r="BN1088">
        <v>0</v>
      </c>
      <c r="BO1088">
        <v>9</v>
      </c>
      <c r="BP1088">
        <v>9</v>
      </c>
      <c r="BQ1088" t="str">
        <f>"10:00 AM"</f>
        <v>10:00 AM</v>
      </c>
      <c r="BR1088" t="str">
        <f>"7:00 PM"</f>
        <v>7:00 PM</v>
      </c>
      <c r="BS1088" t="s">
        <v>131</v>
      </c>
      <c r="BT1088">
        <v>0</v>
      </c>
      <c r="BU1088">
        <v>0</v>
      </c>
      <c r="BV1088" t="s">
        <v>114</v>
      </c>
      <c r="BX1088" s="2" t="s">
        <v>21485</v>
      </c>
      <c r="BY1088" t="s">
        <v>15189</v>
      </c>
      <c r="CA1088" t="s">
        <v>1280</v>
      </c>
      <c r="CB1088" t="s">
        <v>127</v>
      </c>
      <c r="CC1088" s="8" t="str">
        <f>"78131"</f>
        <v>78131</v>
      </c>
      <c r="CD1088" t="s">
        <v>1286</v>
      </c>
      <c r="CE1088" t="s">
        <v>1287</v>
      </c>
      <c r="CF1088" s="12">
        <v>11.04</v>
      </c>
      <c r="CG1088" s="12">
        <v>15.33</v>
      </c>
      <c r="CH1088" s="12">
        <v>20.49</v>
      </c>
      <c r="CI1088" s="12">
        <v>30.66</v>
      </c>
      <c r="CJ1088" t="s">
        <v>135</v>
      </c>
      <c r="CK1088" t="s">
        <v>3772</v>
      </c>
      <c r="CL1088" t="s">
        <v>21486</v>
      </c>
      <c r="CO1088" t="s">
        <v>132</v>
      </c>
      <c r="CP1088" t="s">
        <v>136</v>
      </c>
      <c r="CQ1088" t="s">
        <v>136</v>
      </c>
      <c r="CR1088" t="s">
        <v>136</v>
      </c>
      <c r="CS1088" t="s">
        <v>136</v>
      </c>
      <c r="CT1088" t="s">
        <v>136</v>
      </c>
      <c r="CU1088" t="s">
        <v>136</v>
      </c>
      <c r="CV1088" t="s">
        <v>2972</v>
      </c>
      <c r="CW1088" s="10" t="str">
        <f>"+18306292010"</f>
        <v>+18306292010</v>
      </c>
      <c r="CX1088" t="s">
        <v>132</v>
      </c>
      <c r="CY1088" t="s">
        <v>1853</v>
      </c>
      <c r="CZ1088" t="s">
        <v>137</v>
      </c>
      <c r="DA1088" t="s">
        <v>114</v>
      </c>
      <c r="DB1088" t="s">
        <v>136</v>
      </c>
      <c r="DC1088" t="s">
        <v>136</v>
      </c>
      <c r="DD1088" t="s">
        <v>114</v>
      </c>
    </row>
    <row r="1089" spans="1:113" ht="15" customHeight="1" x14ac:dyDescent="0.25">
      <c r="A1089" t="s">
        <v>17160</v>
      </c>
      <c r="B1089" t="s">
        <v>152</v>
      </c>
      <c r="C1089" s="1">
        <v>45185.027868287034</v>
      </c>
      <c r="D1089" s="1">
        <v>45236</v>
      </c>
      <c r="E1089" t="s">
        <v>132</v>
      </c>
      <c r="F1089" t="s">
        <v>5482</v>
      </c>
      <c r="G1089" t="str">
        <f>"37-2012.00"</f>
        <v>37-2012.00</v>
      </c>
      <c r="H1089" t="s">
        <v>205</v>
      </c>
      <c r="I1089">
        <v>8</v>
      </c>
      <c r="J1089">
        <v>8</v>
      </c>
      <c r="K1089" s="1">
        <v>45275</v>
      </c>
      <c r="L1089" s="1">
        <v>45583</v>
      </c>
      <c r="M1089" s="1">
        <v>45275</v>
      </c>
      <c r="N1089" s="1">
        <v>45583</v>
      </c>
      <c r="O1089" t="s">
        <v>116</v>
      </c>
      <c r="P1089" t="s">
        <v>5483</v>
      </c>
      <c r="Q1089" t="s">
        <v>17161</v>
      </c>
      <c r="R1089" t="s">
        <v>17162</v>
      </c>
      <c r="S1089" t="s">
        <v>17163</v>
      </c>
      <c r="T1089" t="s">
        <v>3120</v>
      </c>
      <c r="U1089" t="s">
        <v>892</v>
      </c>
      <c r="V1089" s="8" t="str">
        <f>"59758"</f>
        <v>59758</v>
      </c>
      <c r="W1089" t="s">
        <v>118</v>
      </c>
      <c r="Y1089" s="10">
        <v>14066467376</v>
      </c>
      <c r="AA1089">
        <v>72111</v>
      </c>
      <c r="AB1089" t="s">
        <v>3124</v>
      </c>
      <c r="AC1089" t="s">
        <v>5484</v>
      </c>
      <c r="AE1089" t="s">
        <v>561</v>
      </c>
      <c r="AF1089" t="s">
        <v>17162</v>
      </c>
      <c r="AG1089" t="s">
        <v>17163</v>
      </c>
      <c r="AH1089" t="s">
        <v>3120</v>
      </c>
      <c r="AI1089" t="s">
        <v>892</v>
      </c>
      <c r="AJ1089" s="8" t="str">
        <f>"59758"</f>
        <v>59758</v>
      </c>
      <c r="AK1089" t="s">
        <v>118</v>
      </c>
      <c r="AM1089" s="10">
        <v>14066467376</v>
      </c>
      <c r="AO1089" t="s">
        <v>132</v>
      </c>
      <c r="AP1089" t="s">
        <v>248</v>
      </c>
      <c r="AQ1089" t="s">
        <v>1873</v>
      </c>
      <c r="AR1089" t="s">
        <v>1265</v>
      </c>
      <c r="AT1089" t="s">
        <v>1350</v>
      </c>
      <c r="AU1089" t="s">
        <v>1351</v>
      </c>
      <c r="AV1089" t="s">
        <v>1352</v>
      </c>
      <c r="AW1089" t="s">
        <v>581</v>
      </c>
      <c r="AX1089" s="8" t="str">
        <f>"22949"</f>
        <v>22949</v>
      </c>
      <c r="AY1089" t="s">
        <v>118</v>
      </c>
      <c r="BA1089" s="10">
        <v>14342634300</v>
      </c>
      <c r="BC1089" t="s">
        <v>17164</v>
      </c>
      <c r="BD1089" t="s">
        <v>583</v>
      </c>
      <c r="BG1089" t="s">
        <v>892</v>
      </c>
      <c r="BH1089" s="1">
        <v>45184.833333333336</v>
      </c>
      <c r="BI1089">
        <v>35</v>
      </c>
      <c r="BJ1089">
        <v>0</v>
      </c>
      <c r="BK1089">
        <v>7</v>
      </c>
      <c r="BL1089">
        <v>7</v>
      </c>
      <c r="BM1089">
        <v>7</v>
      </c>
      <c r="BN1089">
        <v>7</v>
      </c>
      <c r="BO1089">
        <v>7</v>
      </c>
      <c r="BP1089">
        <v>0</v>
      </c>
      <c r="BQ1089" t="str">
        <f>"8:00 AM"</f>
        <v>8:00 AM</v>
      </c>
      <c r="BR1089" t="str">
        <f>"3:30 PM"</f>
        <v>3:30 PM</v>
      </c>
      <c r="BS1089" t="s">
        <v>131</v>
      </c>
      <c r="BT1089">
        <v>0</v>
      </c>
      <c r="BU1089">
        <v>0</v>
      </c>
      <c r="BV1089" t="s">
        <v>114</v>
      </c>
      <c r="BX1089" s="2" t="s">
        <v>5485</v>
      </c>
      <c r="BY1089" t="s">
        <v>17165</v>
      </c>
      <c r="CA1089" t="s">
        <v>3120</v>
      </c>
      <c r="CB1089" t="s">
        <v>892</v>
      </c>
      <c r="CC1089" s="8" t="str">
        <f>"59758"</f>
        <v>59758</v>
      </c>
      <c r="CD1089" t="s">
        <v>1957</v>
      </c>
      <c r="CE1089" t="s">
        <v>909</v>
      </c>
      <c r="CF1089" s="12">
        <v>14.7</v>
      </c>
      <c r="CH1089" s="12">
        <v>22.05</v>
      </c>
      <c r="CI1089" s="12">
        <v>22.05</v>
      </c>
      <c r="CJ1089" t="s">
        <v>135</v>
      </c>
      <c r="CK1089" t="s">
        <v>590</v>
      </c>
      <c r="CL1089" t="s">
        <v>17166</v>
      </c>
      <c r="CO1089" t="s">
        <v>132</v>
      </c>
      <c r="CP1089" t="s">
        <v>114</v>
      </c>
      <c r="CQ1089" t="s">
        <v>114</v>
      </c>
      <c r="CR1089" t="s">
        <v>136</v>
      </c>
      <c r="CS1089" t="s">
        <v>136</v>
      </c>
      <c r="CT1089" t="s">
        <v>136</v>
      </c>
      <c r="CU1089" t="s">
        <v>136</v>
      </c>
      <c r="CV1089" t="s">
        <v>17167</v>
      </c>
      <c r="CW1089" s="10" t="str">
        <f>"N/A"</f>
        <v>N/A</v>
      </c>
      <c r="CX1089" t="s">
        <v>17168</v>
      </c>
      <c r="CY1089" t="s">
        <v>5376</v>
      </c>
      <c r="CZ1089" t="s">
        <v>137</v>
      </c>
      <c r="DA1089" t="s">
        <v>114</v>
      </c>
      <c r="DB1089" t="s">
        <v>136</v>
      </c>
      <c r="DC1089" t="s">
        <v>136</v>
      </c>
      <c r="DD1089" t="s">
        <v>114</v>
      </c>
      <c r="DE1089" t="s">
        <v>2479</v>
      </c>
      <c r="DF1089" t="s">
        <v>2045</v>
      </c>
      <c r="DH1089" t="s">
        <v>583</v>
      </c>
      <c r="DI1089" t="s">
        <v>2477</v>
      </c>
    </row>
    <row r="1090" spans="1:113" ht="15" customHeight="1" x14ac:dyDescent="0.25">
      <c r="A1090" t="s">
        <v>11415</v>
      </c>
      <c r="B1090" t="s">
        <v>152</v>
      </c>
      <c r="C1090" s="1">
        <v>45184.751091435188</v>
      </c>
      <c r="D1090" s="1">
        <v>45236</v>
      </c>
      <c r="E1090" t="s">
        <v>132</v>
      </c>
      <c r="F1090" t="s">
        <v>2417</v>
      </c>
      <c r="G1090" t="str">
        <f>"37-2012.00"</f>
        <v>37-2012.00</v>
      </c>
      <c r="H1090" t="s">
        <v>205</v>
      </c>
      <c r="I1090">
        <v>10</v>
      </c>
      <c r="J1090">
        <v>10</v>
      </c>
      <c r="K1090" s="1">
        <v>45269</v>
      </c>
      <c r="L1090" s="1">
        <v>45543</v>
      </c>
      <c r="M1090" s="1">
        <v>45269</v>
      </c>
      <c r="N1090" s="1">
        <v>45543</v>
      </c>
      <c r="O1090" t="s">
        <v>116</v>
      </c>
      <c r="P1090" t="s">
        <v>2418</v>
      </c>
      <c r="R1090" t="s">
        <v>2419</v>
      </c>
      <c r="T1090" t="s">
        <v>2420</v>
      </c>
      <c r="U1090" t="s">
        <v>386</v>
      </c>
      <c r="V1090" s="8" t="str">
        <f>"38555"</f>
        <v>38555</v>
      </c>
      <c r="W1090" t="s">
        <v>118</v>
      </c>
      <c r="Y1090" s="10">
        <v>18004891718</v>
      </c>
      <c r="AA1090">
        <v>56172</v>
      </c>
      <c r="AB1090" t="s">
        <v>6839</v>
      </c>
      <c r="AC1090" t="s">
        <v>6840</v>
      </c>
      <c r="AE1090" t="s">
        <v>6841</v>
      </c>
      <c r="AF1090" t="s">
        <v>2419</v>
      </c>
      <c r="AH1090" t="s">
        <v>2420</v>
      </c>
      <c r="AI1090" t="s">
        <v>386</v>
      </c>
      <c r="AJ1090" s="8" t="str">
        <f>"38555"</f>
        <v>38555</v>
      </c>
      <c r="AK1090" t="s">
        <v>118</v>
      </c>
      <c r="AM1090" s="10">
        <v>14077231164</v>
      </c>
      <c r="AO1090" t="s">
        <v>2422</v>
      </c>
      <c r="AX1090" s="8" t="str">
        <f>""</f>
        <v/>
      </c>
      <c r="BG1090" t="s">
        <v>140</v>
      </c>
      <c r="BH1090" s="1">
        <v>45183.833333333336</v>
      </c>
      <c r="BI1090">
        <v>35</v>
      </c>
      <c r="BJ1090">
        <v>7</v>
      </c>
      <c r="BK1090">
        <v>0</v>
      </c>
      <c r="BL1090">
        <v>0</v>
      </c>
      <c r="BM1090">
        <v>7</v>
      </c>
      <c r="BN1090">
        <v>7</v>
      </c>
      <c r="BO1090">
        <v>7</v>
      </c>
      <c r="BP1090">
        <v>7</v>
      </c>
      <c r="BQ1090" t="str">
        <f>"9:00 AM"</f>
        <v>9:00 AM</v>
      </c>
      <c r="BR1090" t="str">
        <f>"4:00 PM"</f>
        <v>4:00 PM</v>
      </c>
      <c r="BS1090" t="s">
        <v>131</v>
      </c>
      <c r="BT1090">
        <v>0</v>
      </c>
      <c r="BU1090">
        <v>3</v>
      </c>
      <c r="BV1090" t="s">
        <v>114</v>
      </c>
      <c r="BX1090" s="2" t="s">
        <v>2423</v>
      </c>
      <c r="BY1090" t="s">
        <v>11416</v>
      </c>
      <c r="CA1090" t="s">
        <v>11417</v>
      </c>
      <c r="CB1090" t="s">
        <v>140</v>
      </c>
      <c r="CC1090" s="8" t="str">
        <f>"32092"</f>
        <v>32092</v>
      </c>
      <c r="CD1090" t="s">
        <v>11418</v>
      </c>
      <c r="CE1090" t="s">
        <v>3596</v>
      </c>
      <c r="CF1090" s="12">
        <v>13.79</v>
      </c>
      <c r="CH1090" s="12">
        <v>20.69</v>
      </c>
      <c r="CJ1090" t="s">
        <v>305</v>
      </c>
      <c r="CK1090" t="s">
        <v>11419</v>
      </c>
      <c r="CL1090" t="s">
        <v>11420</v>
      </c>
      <c r="CO1090" t="s">
        <v>132</v>
      </c>
      <c r="CP1090" t="s">
        <v>114</v>
      </c>
      <c r="CQ1090" t="s">
        <v>136</v>
      </c>
      <c r="CR1090" t="s">
        <v>136</v>
      </c>
      <c r="CS1090" t="s">
        <v>136</v>
      </c>
      <c r="CT1090" t="s">
        <v>136</v>
      </c>
      <c r="CU1090" t="s">
        <v>136</v>
      </c>
      <c r="CV1090" t="s">
        <v>2426</v>
      </c>
      <c r="CW1090" s="10" t="str">
        <f>"+14077231139"</f>
        <v>+14077231139</v>
      </c>
      <c r="CX1090" t="s">
        <v>2427</v>
      </c>
      <c r="CY1090" t="s">
        <v>132</v>
      </c>
      <c r="CZ1090" t="s">
        <v>137</v>
      </c>
      <c r="DA1090" t="s">
        <v>114</v>
      </c>
      <c r="DB1090" t="s">
        <v>136</v>
      </c>
      <c r="DC1090" t="s">
        <v>136</v>
      </c>
      <c r="DD1090" t="s">
        <v>114</v>
      </c>
    </row>
    <row r="1091" spans="1:113" ht="15" customHeight="1" x14ac:dyDescent="0.25">
      <c r="A1091" t="s">
        <v>15646</v>
      </c>
      <c r="B1091" t="s">
        <v>152</v>
      </c>
      <c r="C1091" s="1">
        <v>45184.738694791668</v>
      </c>
      <c r="D1091" s="1">
        <v>45236</v>
      </c>
      <c r="E1091" t="s">
        <v>132</v>
      </c>
      <c r="F1091" t="s">
        <v>2417</v>
      </c>
      <c r="G1091" t="str">
        <f>"37-2012.00"</f>
        <v>37-2012.00</v>
      </c>
      <c r="H1091" t="s">
        <v>205</v>
      </c>
      <c r="I1091">
        <v>18</v>
      </c>
      <c r="J1091">
        <v>18</v>
      </c>
      <c r="K1091" s="1">
        <v>45269</v>
      </c>
      <c r="L1091" s="1">
        <v>45543</v>
      </c>
      <c r="M1091" s="1">
        <v>45269</v>
      </c>
      <c r="N1091" s="1">
        <v>45543</v>
      </c>
      <c r="O1091" t="s">
        <v>116</v>
      </c>
      <c r="P1091" t="s">
        <v>2418</v>
      </c>
      <c r="R1091" t="s">
        <v>2419</v>
      </c>
      <c r="T1091" t="s">
        <v>2420</v>
      </c>
      <c r="U1091" t="s">
        <v>386</v>
      </c>
      <c r="V1091" s="8" t="str">
        <f>"38555"</f>
        <v>38555</v>
      </c>
      <c r="W1091" t="s">
        <v>118</v>
      </c>
      <c r="Y1091" s="10">
        <v>18004891718</v>
      </c>
      <c r="AA1091">
        <v>56172</v>
      </c>
      <c r="AB1091" t="s">
        <v>6839</v>
      </c>
      <c r="AC1091" t="s">
        <v>6840</v>
      </c>
      <c r="AE1091" t="s">
        <v>6841</v>
      </c>
      <c r="AF1091" t="s">
        <v>2419</v>
      </c>
      <c r="AH1091" t="s">
        <v>2420</v>
      </c>
      <c r="AI1091" t="s">
        <v>386</v>
      </c>
      <c r="AJ1091" s="8" t="str">
        <f>"38555"</f>
        <v>38555</v>
      </c>
      <c r="AK1091" t="s">
        <v>118</v>
      </c>
      <c r="AM1091" s="10">
        <v>14077231164</v>
      </c>
      <c r="AO1091" t="s">
        <v>2422</v>
      </c>
      <c r="AX1091" s="8" t="str">
        <f>""</f>
        <v/>
      </c>
      <c r="BG1091" t="s">
        <v>222</v>
      </c>
      <c r="BH1091" s="1">
        <v>45183.833333333336</v>
      </c>
      <c r="BI1091">
        <v>35</v>
      </c>
      <c r="BJ1091">
        <v>7</v>
      </c>
      <c r="BK1091">
        <v>0</v>
      </c>
      <c r="BL1091">
        <v>0</v>
      </c>
      <c r="BM1091">
        <v>7</v>
      </c>
      <c r="BN1091">
        <v>7</v>
      </c>
      <c r="BO1091">
        <v>7</v>
      </c>
      <c r="BP1091">
        <v>7</v>
      </c>
      <c r="BQ1091" t="str">
        <f>"9:00 AM"</f>
        <v>9:00 AM</v>
      </c>
      <c r="BR1091" t="str">
        <f>"4:00 PM"</f>
        <v>4:00 PM</v>
      </c>
      <c r="BS1091" t="s">
        <v>131</v>
      </c>
      <c r="BT1091">
        <v>0</v>
      </c>
      <c r="BU1091">
        <v>3</v>
      </c>
      <c r="BV1091" t="s">
        <v>114</v>
      </c>
      <c r="BX1091" s="2" t="s">
        <v>2423</v>
      </c>
      <c r="BY1091" t="s">
        <v>15647</v>
      </c>
      <c r="CA1091" t="s">
        <v>15648</v>
      </c>
      <c r="CB1091" t="s">
        <v>222</v>
      </c>
      <c r="CC1091" s="8" t="str">
        <f>"01237"</f>
        <v>01237</v>
      </c>
      <c r="CD1091" t="s">
        <v>2573</v>
      </c>
      <c r="CE1091" t="s">
        <v>2076</v>
      </c>
      <c r="CF1091" s="12">
        <v>18.75</v>
      </c>
      <c r="CH1091" s="12">
        <v>28.13</v>
      </c>
      <c r="CJ1091" t="s">
        <v>305</v>
      </c>
      <c r="CK1091" t="s">
        <v>15649</v>
      </c>
      <c r="CL1091" t="s">
        <v>15650</v>
      </c>
      <c r="CO1091" t="s">
        <v>132</v>
      </c>
      <c r="CP1091" t="s">
        <v>136</v>
      </c>
      <c r="CQ1091" t="s">
        <v>136</v>
      </c>
      <c r="CR1091" t="s">
        <v>136</v>
      </c>
      <c r="CS1091" t="s">
        <v>136</v>
      </c>
      <c r="CT1091" t="s">
        <v>136</v>
      </c>
      <c r="CU1091" t="s">
        <v>136</v>
      </c>
      <c r="CV1091" t="s">
        <v>2426</v>
      </c>
      <c r="CW1091" s="10" t="str">
        <f>"+14077231139"</f>
        <v>+14077231139</v>
      </c>
      <c r="CX1091" t="s">
        <v>2427</v>
      </c>
      <c r="CY1091" t="s">
        <v>132</v>
      </c>
      <c r="CZ1091" t="s">
        <v>137</v>
      </c>
      <c r="DA1091" t="s">
        <v>114</v>
      </c>
      <c r="DB1091" t="s">
        <v>136</v>
      </c>
      <c r="DC1091" t="s">
        <v>136</v>
      </c>
      <c r="DD1091" t="s">
        <v>114</v>
      </c>
    </row>
    <row r="1092" spans="1:113" ht="15" customHeight="1" x14ac:dyDescent="0.25">
      <c r="A1092" t="s">
        <v>20287</v>
      </c>
      <c r="B1092" t="s">
        <v>152</v>
      </c>
      <c r="C1092" s="1">
        <v>45181.827486111113</v>
      </c>
      <c r="D1092" s="1">
        <v>45236</v>
      </c>
      <c r="E1092" t="s">
        <v>132</v>
      </c>
      <c r="F1092" t="s">
        <v>1595</v>
      </c>
      <c r="G1092" t="str">
        <f>"37-3011.00"</f>
        <v>37-3011.00</v>
      </c>
      <c r="H1092" t="s">
        <v>429</v>
      </c>
      <c r="I1092">
        <v>4</v>
      </c>
      <c r="J1092">
        <v>4</v>
      </c>
      <c r="K1092" s="1">
        <v>45256</v>
      </c>
      <c r="L1092" s="1">
        <v>45292</v>
      </c>
      <c r="M1092" s="1">
        <v>45256</v>
      </c>
      <c r="N1092" s="1">
        <v>45292</v>
      </c>
      <c r="O1092" t="s">
        <v>238</v>
      </c>
      <c r="P1092" t="s">
        <v>6153</v>
      </c>
      <c r="R1092" t="s">
        <v>6156</v>
      </c>
      <c r="S1092" t="s">
        <v>6157</v>
      </c>
      <c r="T1092" t="s">
        <v>6154</v>
      </c>
      <c r="U1092" t="s">
        <v>1691</v>
      </c>
      <c r="V1092" s="8" t="str">
        <f>"29464"</f>
        <v>29464</v>
      </c>
      <c r="W1092" t="s">
        <v>118</v>
      </c>
      <c r="Y1092" s="10">
        <v>18436700195</v>
      </c>
      <c r="AA1092">
        <v>56173</v>
      </c>
      <c r="AB1092" t="s">
        <v>3501</v>
      </c>
      <c r="AC1092" t="s">
        <v>6155</v>
      </c>
      <c r="AE1092" t="s">
        <v>561</v>
      </c>
      <c r="AF1092" t="s">
        <v>20288</v>
      </c>
      <c r="AH1092" t="s">
        <v>6154</v>
      </c>
      <c r="AI1092" t="s">
        <v>1691</v>
      </c>
      <c r="AJ1092" s="8" t="str">
        <f>"29466"</f>
        <v>29466</v>
      </c>
      <c r="AK1092" t="s">
        <v>118</v>
      </c>
      <c r="AM1092" s="10">
        <v>18432969498</v>
      </c>
      <c r="AO1092" t="s">
        <v>6158</v>
      </c>
      <c r="AP1092" t="s">
        <v>121</v>
      </c>
      <c r="AQ1092" t="s">
        <v>1902</v>
      </c>
      <c r="AR1092" t="s">
        <v>1903</v>
      </c>
      <c r="AS1092" t="s">
        <v>1555</v>
      </c>
      <c r="AT1092" t="s">
        <v>1904</v>
      </c>
      <c r="AU1092" t="s">
        <v>1905</v>
      </c>
      <c r="AV1092" t="s">
        <v>1906</v>
      </c>
      <c r="AW1092" t="s">
        <v>358</v>
      </c>
      <c r="AX1092" s="8" t="str">
        <f>"12207"</f>
        <v>12207</v>
      </c>
      <c r="AY1092" t="s">
        <v>118</v>
      </c>
      <c r="BA1092" s="10">
        <v>15187012770</v>
      </c>
      <c r="BC1092" t="s">
        <v>3062</v>
      </c>
      <c r="BD1092" t="s">
        <v>1907</v>
      </c>
      <c r="BE1092" t="s">
        <v>358</v>
      </c>
      <c r="BF1092" t="s">
        <v>1908</v>
      </c>
      <c r="BG1092" t="s">
        <v>1691</v>
      </c>
      <c r="BH1092" s="1">
        <v>45180.833333333336</v>
      </c>
      <c r="BI1092">
        <v>45</v>
      </c>
      <c r="BJ1092">
        <v>0</v>
      </c>
      <c r="BK1092">
        <v>8</v>
      </c>
      <c r="BL1092">
        <v>8</v>
      </c>
      <c r="BM1092">
        <v>8</v>
      </c>
      <c r="BN1092">
        <v>8</v>
      </c>
      <c r="BO1092">
        <v>8</v>
      </c>
      <c r="BP1092">
        <v>5</v>
      </c>
      <c r="BQ1092" t="str">
        <f>"7:00 AM"</f>
        <v>7:00 AM</v>
      </c>
      <c r="BR1092" t="str">
        <f>"5:00 PM"</f>
        <v>5:00 PM</v>
      </c>
      <c r="BS1092" t="s">
        <v>131</v>
      </c>
      <c r="BT1092">
        <v>0</v>
      </c>
      <c r="BU1092">
        <v>1</v>
      </c>
      <c r="BV1092" t="s">
        <v>114</v>
      </c>
      <c r="BX1092" t="s">
        <v>20289</v>
      </c>
      <c r="BY1092" t="s">
        <v>6156</v>
      </c>
      <c r="BZ1092" t="s">
        <v>6157</v>
      </c>
      <c r="CA1092" t="s">
        <v>6154</v>
      </c>
      <c r="CB1092" t="s">
        <v>1691</v>
      </c>
      <c r="CC1092" s="8" t="str">
        <f>"29464"</f>
        <v>29464</v>
      </c>
      <c r="CD1092" t="s">
        <v>1868</v>
      </c>
      <c r="CE1092" t="s">
        <v>1869</v>
      </c>
      <c r="CF1092" s="12">
        <v>16.09</v>
      </c>
      <c r="CH1092" s="12">
        <v>24.14</v>
      </c>
      <c r="CJ1092" t="s">
        <v>135</v>
      </c>
      <c r="CK1092" t="s">
        <v>3061</v>
      </c>
      <c r="CL1092" t="s">
        <v>20290</v>
      </c>
      <c r="CO1092" t="s">
        <v>132</v>
      </c>
      <c r="CP1092" t="s">
        <v>136</v>
      </c>
      <c r="CQ1092" t="s">
        <v>136</v>
      </c>
      <c r="CR1092" t="s">
        <v>136</v>
      </c>
      <c r="CS1092" t="s">
        <v>114</v>
      </c>
      <c r="CT1092" t="s">
        <v>136</v>
      </c>
      <c r="CU1092" t="s">
        <v>114</v>
      </c>
      <c r="CV1092" t="s">
        <v>20291</v>
      </c>
      <c r="CW1092" s="10" t="str">
        <f>"+18436700195"</f>
        <v>+18436700195</v>
      </c>
      <c r="CX1092" t="s">
        <v>6158</v>
      </c>
      <c r="CY1092" t="s">
        <v>132</v>
      </c>
      <c r="CZ1092" t="s">
        <v>137</v>
      </c>
      <c r="DA1092" t="s">
        <v>114</v>
      </c>
      <c r="DB1092" t="s">
        <v>114</v>
      </c>
      <c r="DC1092" t="s">
        <v>136</v>
      </c>
      <c r="DD1092" t="s">
        <v>114</v>
      </c>
    </row>
    <row r="1093" spans="1:113" ht="15" customHeight="1" x14ac:dyDescent="0.25">
      <c r="A1093" t="s">
        <v>22442</v>
      </c>
      <c r="B1093" t="s">
        <v>152</v>
      </c>
      <c r="C1093" s="1">
        <v>45181.682205324076</v>
      </c>
      <c r="D1093" s="1">
        <v>45236</v>
      </c>
      <c r="E1093" t="s">
        <v>132</v>
      </c>
      <c r="F1093" t="s">
        <v>3847</v>
      </c>
      <c r="G1093" t="str">
        <f>"39-2021.00"</f>
        <v>39-2021.00</v>
      </c>
      <c r="H1093" t="s">
        <v>2895</v>
      </c>
      <c r="I1093">
        <v>7</v>
      </c>
      <c r="J1093">
        <v>7</v>
      </c>
      <c r="K1093" s="1">
        <v>45261</v>
      </c>
      <c r="L1093" s="1">
        <v>45565</v>
      </c>
      <c r="M1093" s="1">
        <v>45261</v>
      </c>
      <c r="N1093" s="1">
        <v>45565</v>
      </c>
      <c r="O1093" t="s">
        <v>238</v>
      </c>
      <c r="P1093" t="s">
        <v>22443</v>
      </c>
      <c r="R1093" t="s">
        <v>22444</v>
      </c>
      <c r="T1093" t="s">
        <v>6090</v>
      </c>
      <c r="U1093" t="s">
        <v>1722</v>
      </c>
      <c r="V1093" s="8" t="str">
        <f>"21921"</f>
        <v>21921</v>
      </c>
      <c r="W1093" t="s">
        <v>118</v>
      </c>
      <c r="Y1093" s="10">
        <v>13155290183</v>
      </c>
      <c r="AA1093">
        <v>711212</v>
      </c>
      <c r="AB1093" t="s">
        <v>22445</v>
      </c>
      <c r="AC1093" t="s">
        <v>1295</v>
      </c>
      <c r="AE1093" t="s">
        <v>3852</v>
      </c>
      <c r="AF1093" t="s">
        <v>22446</v>
      </c>
      <c r="AH1093" t="s">
        <v>6090</v>
      </c>
      <c r="AI1093" t="s">
        <v>1722</v>
      </c>
      <c r="AJ1093" s="8" t="str">
        <f>"21921"</f>
        <v>21921</v>
      </c>
      <c r="AK1093" t="s">
        <v>118</v>
      </c>
      <c r="AM1093" s="10">
        <v>13155290183</v>
      </c>
      <c r="AO1093" t="s">
        <v>22447</v>
      </c>
      <c r="AP1093" t="s">
        <v>121</v>
      </c>
      <c r="AQ1093" t="s">
        <v>3854</v>
      </c>
      <c r="AR1093" t="s">
        <v>144</v>
      </c>
      <c r="AS1093" t="s">
        <v>3855</v>
      </c>
      <c r="AT1093" t="s">
        <v>2605</v>
      </c>
      <c r="AU1093" t="s">
        <v>2606</v>
      </c>
      <c r="AV1093" t="s">
        <v>2607</v>
      </c>
      <c r="AW1093" t="s">
        <v>2608</v>
      </c>
      <c r="AX1093" s="8" t="str">
        <f>"73069"</f>
        <v>73069</v>
      </c>
      <c r="AY1093" t="s">
        <v>118</v>
      </c>
      <c r="BA1093" s="10">
        <v>14053642525</v>
      </c>
      <c r="BC1093" t="s">
        <v>2609</v>
      </c>
      <c r="BD1093" t="s">
        <v>2610</v>
      </c>
      <c r="BE1093" t="s">
        <v>2608</v>
      </c>
      <c r="BF1093" t="s">
        <v>2611</v>
      </c>
      <c r="BG1093" t="s">
        <v>333</v>
      </c>
      <c r="BH1093" s="1">
        <v>45172.833333333336</v>
      </c>
      <c r="BI1093">
        <v>56</v>
      </c>
      <c r="BJ1093">
        <v>8</v>
      </c>
      <c r="BK1093">
        <v>8</v>
      </c>
      <c r="BL1093">
        <v>8</v>
      </c>
      <c r="BM1093">
        <v>8</v>
      </c>
      <c r="BN1093">
        <v>8</v>
      </c>
      <c r="BO1093">
        <v>8</v>
      </c>
      <c r="BP1093">
        <v>8</v>
      </c>
      <c r="BQ1093" t="str">
        <f>"5:00 AM"</f>
        <v>5:00 AM</v>
      </c>
      <c r="BR1093" t="str">
        <f>"5:00 PM"</f>
        <v>5:00 PM</v>
      </c>
      <c r="BS1093" t="s">
        <v>131</v>
      </c>
      <c r="BT1093">
        <v>0</v>
      </c>
      <c r="BU1093">
        <v>1</v>
      </c>
      <c r="BV1093" t="s">
        <v>114</v>
      </c>
      <c r="BX1093" s="2" t="s">
        <v>2870</v>
      </c>
      <c r="BY1093" t="s">
        <v>22448</v>
      </c>
      <c r="BZ1093" t="s">
        <v>22449</v>
      </c>
      <c r="CA1093" t="s">
        <v>5102</v>
      </c>
      <c r="CB1093" t="s">
        <v>333</v>
      </c>
      <c r="CC1093" s="8" t="str">
        <f>"70119"</f>
        <v>70119</v>
      </c>
      <c r="CD1093" t="s">
        <v>679</v>
      </c>
      <c r="CE1093" t="s">
        <v>341</v>
      </c>
      <c r="CF1093" s="12">
        <v>11.85</v>
      </c>
      <c r="CG1093" s="12">
        <v>11.85</v>
      </c>
      <c r="CH1093" s="12">
        <v>17.78</v>
      </c>
      <c r="CI1093" s="12">
        <v>17.78</v>
      </c>
      <c r="CJ1093" t="s">
        <v>135</v>
      </c>
      <c r="CL1093" t="s">
        <v>22450</v>
      </c>
      <c r="CO1093" t="s">
        <v>132</v>
      </c>
      <c r="CP1093" t="s">
        <v>114</v>
      </c>
      <c r="CQ1093" t="s">
        <v>114</v>
      </c>
      <c r="CR1093" t="s">
        <v>136</v>
      </c>
      <c r="CS1093" t="s">
        <v>114</v>
      </c>
      <c r="CT1093" t="s">
        <v>136</v>
      </c>
      <c r="CU1093" t="s">
        <v>136</v>
      </c>
      <c r="CV1093" t="s">
        <v>3861</v>
      </c>
      <c r="CW1093" s="10" t="str">
        <f>"+13155290183"</f>
        <v>+13155290183</v>
      </c>
      <c r="CX1093" t="s">
        <v>22447</v>
      </c>
      <c r="CY1093" t="s">
        <v>132</v>
      </c>
      <c r="CZ1093" t="s">
        <v>137</v>
      </c>
      <c r="DA1093" t="s">
        <v>114</v>
      </c>
      <c r="DB1093" t="s">
        <v>114</v>
      </c>
      <c r="DC1093" t="s">
        <v>136</v>
      </c>
      <c r="DD1093" t="s">
        <v>114</v>
      </c>
    </row>
    <row r="1094" spans="1:113" ht="15" customHeight="1" x14ac:dyDescent="0.25">
      <c r="A1094" t="s">
        <v>8661</v>
      </c>
      <c r="B1094" t="s">
        <v>152</v>
      </c>
      <c r="C1094" s="1">
        <v>45178.723803356479</v>
      </c>
      <c r="D1094" s="1">
        <v>45236</v>
      </c>
      <c r="E1094" t="s">
        <v>132</v>
      </c>
      <c r="F1094" t="s">
        <v>3992</v>
      </c>
      <c r="G1094" t="str">
        <f>"37-2011.00"</f>
        <v>37-2011.00</v>
      </c>
      <c r="H1094" t="s">
        <v>1089</v>
      </c>
      <c r="I1094">
        <v>4</v>
      </c>
      <c r="J1094">
        <v>4</v>
      </c>
      <c r="K1094" s="1">
        <v>45261</v>
      </c>
      <c r="L1094" s="1">
        <v>45382</v>
      </c>
      <c r="M1094" s="1">
        <v>45261</v>
      </c>
      <c r="N1094" s="1">
        <v>45382</v>
      </c>
      <c r="O1094" t="s">
        <v>238</v>
      </c>
      <c r="P1094" t="s">
        <v>2462</v>
      </c>
      <c r="R1094" t="s">
        <v>2463</v>
      </c>
      <c r="T1094" t="s">
        <v>2464</v>
      </c>
      <c r="U1094" t="s">
        <v>211</v>
      </c>
      <c r="V1094" s="8" t="str">
        <f>"84057"</f>
        <v>84057</v>
      </c>
      <c r="W1094" t="s">
        <v>118</v>
      </c>
      <c r="Y1094" s="10">
        <v>18019000007</v>
      </c>
      <c r="AA1094">
        <v>56173</v>
      </c>
      <c r="AB1094" t="s">
        <v>2465</v>
      </c>
      <c r="AC1094" t="s">
        <v>8662</v>
      </c>
      <c r="AD1094" t="s">
        <v>1714</v>
      </c>
      <c r="AE1094" t="s">
        <v>629</v>
      </c>
      <c r="AF1094" t="s">
        <v>2463</v>
      </c>
      <c r="AH1094" t="s">
        <v>2464</v>
      </c>
      <c r="AI1094" t="s">
        <v>211</v>
      </c>
      <c r="AJ1094" s="8" t="str">
        <f>"84057"</f>
        <v>84057</v>
      </c>
      <c r="AK1094" t="s">
        <v>118</v>
      </c>
      <c r="AM1094" s="10">
        <v>18019000007</v>
      </c>
      <c r="AO1094" t="s">
        <v>2466</v>
      </c>
      <c r="AP1094" t="s">
        <v>248</v>
      </c>
      <c r="AQ1094" t="s">
        <v>1700</v>
      </c>
      <c r="AR1094" t="s">
        <v>1701</v>
      </c>
      <c r="AT1094" t="s">
        <v>1702</v>
      </c>
      <c r="AV1094" t="s">
        <v>2467</v>
      </c>
      <c r="AW1094" t="s">
        <v>211</v>
      </c>
      <c r="AX1094" s="8" t="str">
        <f>"84059"</f>
        <v>84059</v>
      </c>
      <c r="AY1094" t="s">
        <v>118</v>
      </c>
      <c r="BA1094" s="10">
        <v>18013677097</v>
      </c>
      <c r="BC1094" t="s">
        <v>4601</v>
      </c>
      <c r="BD1094" t="s">
        <v>4602</v>
      </c>
      <c r="BG1094" t="s">
        <v>211</v>
      </c>
      <c r="BH1094" s="1">
        <v>45177.833333333336</v>
      </c>
      <c r="BI1094">
        <v>35</v>
      </c>
      <c r="BJ1094">
        <v>0</v>
      </c>
      <c r="BK1094">
        <v>7</v>
      </c>
      <c r="BL1094">
        <v>7</v>
      </c>
      <c r="BM1094">
        <v>7</v>
      </c>
      <c r="BN1094">
        <v>7</v>
      </c>
      <c r="BO1094">
        <v>7</v>
      </c>
      <c r="BP1094">
        <v>0</v>
      </c>
      <c r="BQ1094" t="str">
        <f>"8:00 AM"</f>
        <v>8:00 AM</v>
      </c>
      <c r="BR1094" t="str">
        <f>"3:30 PM"</f>
        <v>3:30 PM</v>
      </c>
      <c r="BS1094" t="s">
        <v>131</v>
      </c>
      <c r="BT1094">
        <v>0</v>
      </c>
      <c r="BU1094">
        <v>0</v>
      </c>
      <c r="BV1094" t="s">
        <v>114</v>
      </c>
      <c r="BX1094" s="2" t="s">
        <v>8663</v>
      </c>
      <c r="BY1094" t="s">
        <v>2463</v>
      </c>
      <c r="CA1094" t="s">
        <v>2464</v>
      </c>
      <c r="CB1094" t="s">
        <v>211</v>
      </c>
      <c r="CC1094" s="8" t="str">
        <f>"84057"</f>
        <v>84057</v>
      </c>
      <c r="CD1094" t="s">
        <v>2468</v>
      </c>
      <c r="CE1094" t="s">
        <v>2469</v>
      </c>
      <c r="CF1094" s="12">
        <v>13.8</v>
      </c>
      <c r="CH1094" s="12">
        <v>20.7</v>
      </c>
      <c r="CJ1094" t="s">
        <v>135</v>
      </c>
      <c r="CK1094" t="s">
        <v>4604</v>
      </c>
      <c r="CL1094" t="s">
        <v>8664</v>
      </c>
      <c r="CO1094" t="s">
        <v>132</v>
      </c>
      <c r="CP1094" t="s">
        <v>136</v>
      </c>
      <c r="CQ1094" t="s">
        <v>136</v>
      </c>
      <c r="CR1094" t="s">
        <v>136</v>
      </c>
      <c r="CS1094" t="s">
        <v>114</v>
      </c>
      <c r="CT1094" t="s">
        <v>136</v>
      </c>
      <c r="CU1094" t="s">
        <v>114</v>
      </c>
      <c r="CV1094" t="s">
        <v>2470</v>
      </c>
      <c r="CW1094" s="10" t="str">
        <f>"+18019000007"</f>
        <v>+18019000007</v>
      </c>
      <c r="CX1094" t="s">
        <v>2466</v>
      </c>
      <c r="CY1094" t="s">
        <v>132</v>
      </c>
      <c r="CZ1094" t="s">
        <v>137</v>
      </c>
      <c r="DA1094" t="s">
        <v>114</v>
      </c>
      <c r="DB1094" t="s">
        <v>114</v>
      </c>
      <c r="DC1094" t="s">
        <v>136</v>
      </c>
      <c r="DD1094" t="s">
        <v>114</v>
      </c>
    </row>
    <row r="1095" spans="1:113" ht="15" customHeight="1" x14ac:dyDescent="0.25">
      <c r="A1095" t="s">
        <v>23306</v>
      </c>
      <c r="B1095" t="s">
        <v>152</v>
      </c>
      <c r="C1095" s="1">
        <v>45176.868272800923</v>
      </c>
      <c r="D1095" s="1">
        <v>45236</v>
      </c>
      <c r="E1095" t="s">
        <v>132</v>
      </c>
      <c r="F1095" t="s">
        <v>3992</v>
      </c>
      <c r="G1095" t="str">
        <f>"37-2011.00"</f>
        <v>37-2011.00</v>
      </c>
      <c r="H1095" t="s">
        <v>1089</v>
      </c>
      <c r="I1095">
        <v>8</v>
      </c>
      <c r="J1095">
        <v>8</v>
      </c>
      <c r="K1095" s="1">
        <v>45261</v>
      </c>
      <c r="L1095" s="1">
        <v>45382</v>
      </c>
      <c r="M1095" s="1">
        <v>45261</v>
      </c>
      <c r="N1095" s="1">
        <v>45382</v>
      </c>
      <c r="O1095" t="s">
        <v>238</v>
      </c>
      <c r="P1095" t="s">
        <v>23307</v>
      </c>
      <c r="R1095" t="s">
        <v>6148</v>
      </c>
      <c r="T1095" t="s">
        <v>3995</v>
      </c>
      <c r="U1095" t="s">
        <v>211</v>
      </c>
      <c r="V1095" s="8" t="str">
        <f>"84003"</f>
        <v>84003</v>
      </c>
      <c r="W1095" t="s">
        <v>118</v>
      </c>
      <c r="Y1095" s="10">
        <v>18014006479</v>
      </c>
      <c r="AA1095">
        <v>56173</v>
      </c>
      <c r="AB1095" t="s">
        <v>6149</v>
      </c>
      <c r="AC1095" t="s">
        <v>5857</v>
      </c>
      <c r="AE1095" t="s">
        <v>120</v>
      </c>
      <c r="AF1095" t="s">
        <v>6148</v>
      </c>
      <c r="AH1095" t="s">
        <v>3995</v>
      </c>
      <c r="AI1095" t="s">
        <v>211</v>
      </c>
      <c r="AJ1095" s="8" t="str">
        <f>"84003"</f>
        <v>84003</v>
      </c>
      <c r="AK1095" t="s">
        <v>118</v>
      </c>
      <c r="AM1095" s="10">
        <v>18014006479</v>
      </c>
      <c r="AO1095" t="s">
        <v>6150</v>
      </c>
      <c r="AP1095" t="s">
        <v>248</v>
      </c>
      <c r="AQ1095" t="s">
        <v>1700</v>
      </c>
      <c r="AR1095" t="s">
        <v>1701</v>
      </c>
      <c r="AT1095" t="s">
        <v>1702</v>
      </c>
      <c r="AV1095" t="s">
        <v>2467</v>
      </c>
      <c r="AW1095" t="s">
        <v>211</v>
      </c>
      <c r="AX1095" s="8" t="str">
        <f>"84059"</f>
        <v>84059</v>
      </c>
      <c r="AY1095" t="s">
        <v>118</v>
      </c>
      <c r="BA1095" s="10">
        <v>18013677097</v>
      </c>
      <c r="BC1095" t="s">
        <v>4601</v>
      </c>
      <c r="BD1095" t="s">
        <v>4602</v>
      </c>
      <c r="BG1095" t="s">
        <v>211</v>
      </c>
      <c r="BH1095" s="1">
        <v>45175.833333333336</v>
      </c>
      <c r="BI1095">
        <v>35</v>
      </c>
      <c r="BJ1095">
        <v>0</v>
      </c>
      <c r="BK1095">
        <v>7</v>
      </c>
      <c r="BL1095">
        <v>7</v>
      </c>
      <c r="BM1095">
        <v>7</v>
      </c>
      <c r="BN1095">
        <v>7</v>
      </c>
      <c r="BO1095">
        <v>7</v>
      </c>
      <c r="BP1095">
        <v>0</v>
      </c>
      <c r="BQ1095" t="str">
        <f>"8:00 AM"</f>
        <v>8:00 AM</v>
      </c>
      <c r="BR1095" t="str">
        <f>"3:30 PM"</f>
        <v>3:30 PM</v>
      </c>
      <c r="BS1095" t="s">
        <v>131</v>
      </c>
      <c r="BT1095">
        <v>0</v>
      </c>
      <c r="BU1095">
        <v>0</v>
      </c>
      <c r="BV1095" t="s">
        <v>114</v>
      </c>
      <c r="BX1095" s="2" t="s">
        <v>8663</v>
      </c>
      <c r="BY1095" t="s">
        <v>6148</v>
      </c>
      <c r="CA1095" t="s">
        <v>3995</v>
      </c>
      <c r="CB1095" t="s">
        <v>211</v>
      </c>
      <c r="CC1095" s="8" t="str">
        <f>"84003"</f>
        <v>84003</v>
      </c>
      <c r="CD1095" t="s">
        <v>2468</v>
      </c>
      <c r="CE1095" t="s">
        <v>2469</v>
      </c>
      <c r="CF1095" s="12">
        <v>14.3</v>
      </c>
      <c r="CJ1095" t="s">
        <v>135</v>
      </c>
      <c r="CK1095" t="s">
        <v>23308</v>
      </c>
      <c r="CL1095" t="s">
        <v>23309</v>
      </c>
      <c r="CO1095" t="s">
        <v>132</v>
      </c>
      <c r="CP1095" t="s">
        <v>136</v>
      </c>
      <c r="CQ1095" t="s">
        <v>136</v>
      </c>
      <c r="CR1095" t="s">
        <v>114</v>
      </c>
      <c r="CS1095" t="s">
        <v>114</v>
      </c>
      <c r="CT1095" t="s">
        <v>136</v>
      </c>
      <c r="CU1095" t="s">
        <v>114</v>
      </c>
      <c r="CV1095" t="s">
        <v>2470</v>
      </c>
      <c r="CW1095" s="10" t="str">
        <f>"+18014006479"</f>
        <v>+18014006479</v>
      </c>
      <c r="CX1095" t="s">
        <v>6150</v>
      </c>
      <c r="CY1095" t="s">
        <v>132</v>
      </c>
      <c r="CZ1095" t="s">
        <v>137</v>
      </c>
      <c r="DA1095" t="s">
        <v>114</v>
      </c>
      <c r="DB1095" t="s">
        <v>114</v>
      </c>
      <c r="DC1095" t="s">
        <v>136</v>
      </c>
      <c r="DD1095" t="s">
        <v>114</v>
      </c>
    </row>
    <row r="1096" spans="1:113" ht="15" customHeight="1" x14ac:dyDescent="0.25">
      <c r="A1096" t="s">
        <v>3991</v>
      </c>
      <c r="B1096" t="s">
        <v>152</v>
      </c>
      <c r="C1096" s="1">
        <v>45176.817303703705</v>
      </c>
      <c r="D1096" s="1">
        <v>45236</v>
      </c>
      <c r="E1096" t="s">
        <v>132</v>
      </c>
      <c r="F1096" t="s">
        <v>3992</v>
      </c>
      <c r="G1096" t="str">
        <f>"37-2011.00"</f>
        <v>37-2011.00</v>
      </c>
      <c r="H1096" t="s">
        <v>1089</v>
      </c>
      <c r="I1096">
        <v>50</v>
      </c>
      <c r="J1096">
        <v>50</v>
      </c>
      <c r="K1096" s="1">
        <v>45261</v>
      </c>
      <c r="L1096" s="1">
        <v>45382</v>
      </c>
      <c r="M1096" s="1">
        <v>45261</v>
      </c>
      <c r="N1096" s="1">
        <v>45382</v>
      </c>
      <c r="O1096" t="s">
        <v>238</v>
      </c>
      <c r="P1096" t="s">
        <v>3993</v>
      </c>
      <c r="R1096" t="s">
        <v>3994</v>
      </c>
      <c r="T1096" t="s">
        <v>3995</v>
      </c>
      <c r="U1096" t="s">
        <v>211</v>
      </c>
      <c r="V1096" s="8" t="str">
        <f>"84003"</f>
        <v>84003</v>
      </c>
      <c r="W1096" t="s">
        <v>118</v>
      </c>
      <c r="Y1096" s="10">
        <v>18017630301</v>
      </c>
      <c r="AA1096">
        <v>56173</v>
      </c>
      <c r="AB1096" t="s">
        <v>3996</v>
      </c>
      <c r="AC1096" t="s">
        <v>1826</v>
      </c>
      <c r="AE1096" t="s">
        <v>378</v>
      </c>
      <c r="AF1096" t="s">
        <v>3997</v>
      </c>
      <c r="AG1096" t="s">
        <v>296</v>
      </c>
      <c r="AH1096" t="s">
        <v>3995</v>
      </c>
      <c r="AI1096" t="s">
        <v>211</v>
      </c>
      <c r="AJ1096" s="8" t="str">
        <f>"84003"</f>
        <v>84003</v>
      </c>
      <c r="AK1096" t="s">
        <v>118</v>
      </c>
      <c r="AM1096" s="10">
        <v>18017630301</v>
      </c>
      <c r="AO1096" t="s">
        <v>3998</v>
      </c>
      <c r="AX1096" s="8" t="str">
        <f>""</f>
        <v/>
      </c>
      <c r="BG1096" t="s">
        <v>211</v>
      </c>
      <c r="BH1096" s="1">
        <v>45175.833333333336</v>
      </c>
      <c r="BI1096">
        <v>35</v>
      </c>
      <c r="BJ1096">
        <v>0</v>
      </c>
      <c r="BK1096">
        <v>7</v>
      </c>
      <c r="BL1096">
        <v>7</v>
      </c>
      <c r="BM1096">
        <v>7</v>
      </c>
      <c r="BN1096">
        <v>7</v>
      </c>
      <c r="BO1096">
        <v>7</v>
      </c>
      <c r="BP1096">
        <v>0</v>
      </c>
      <c r="BQ1096" t="str">
        <f>"8:00 AM"</f>
        <v>8:00 AM</v>
      </c>
      <c r="BR1096" t="str">
        <f>"3:30 PM"</f>
        <v>3:30 PM</v>
      </c>
      <c r="BS1096" t="s">
        <v>131</v>
      </c>
      <c r="BT1096">
        <v>0</v>
      </c>
      <c r="BU1096">
        <v>0</v>
      </c>
      <c r="BV1096" t="s">
        <v>114</v>
      </c>
      <c r="BX1096" s="2" t="s">
        <v>3999</v>
      </c>
      <c r="BY1096" t="s">
        <v>4000</v>
      </c>
      <c r="CA1096" t="s">
        <v>3995</v>
      </c>
      <c r="CB1096" t="s">
        <v>211</v>
      </c>
      <c r="CC1096" s="8" t="str">
        <f>"84003"</f>
        <v>84003</v>
      </c>
      <c r="CD1096" t="s">
        <v>2468</v>
      </c>
      <c r="CE1096" t="s">
        <v>2469</v>
      </c>
      <c r="CF1096" s="12">
        <v>15.45</v>
      </c>
      <c r="CH1096" s="12">
        <v>23.18</v>
      </c>
      <c r="CJ1096" t="s">
        <v>135</v>
      </c>
      <c r="CK1096" t="s">
        <v>4001</v>
      </c>
      <c r="CL1096" t="s">
        <v>4002</v>
      </c>
      <c r="CO1096" t="s">
        <v>132</v>
      </c>
      <c r="CP1096" t="s">
        <v>136</v>
      </c>
      <c r="CQ1096" t="s">
        <v>136</v>
      </c>
      <c r="CR1096" t="s">
        <v>136</v>
      </c>
      <c r="CS1096" t="s">
        <v>114</v>
      </c>
      <c r="CT1096" t="s">
        <v>136</v>
      </c>
      <c r="CU1096" t="s">
        <v>114</v>
      </c>
      <c r="CV1096" t="s">
        <v>2470</v>
      </c>
      <c r="CW1096" s="10" t="str">
        <f>"+18017630301"</f>
        <v>+18017630301</v>
      </c>
      <c r="CX1096" t="s">
        <v>3998</v>
      </c>
      <c r="CY1096" t="s">
        <v>132</v>
      </c>
      <c r="CZ1096" t="s">
        <v>137</v>
      </c>
      <c r="DA1096" t="s">
        <v>114</v>
      </c>
      <c r="DB1096" t="s">
        <v>114</v>
      </c>
      <c r="DC1096" t="s">
        <v>136</v>
      </c>
      <c r="DD1096" t="s">
        <v>114</v>
      </c>
    </row>
    <row r="1097" spans="1:113" ht="15" customHeight="1" x14ac:dyDescent="0.25">
      <c r="A1097" t="s">
        <v>16693</v>
      </c>
      <c r="B1097" t="s">
        <v>152</v>
      </c>
      <c r="C1097" s="1">
        <v>45176.766922569448</v>
      </c>
      <c r="D1097" s="1">
        <v>45236</v>
      </c>
      <c r="E1097" t="s">
        <v>132</v>
      </c>
      <c r="F1097" t="s">
        <v>3098</v>
      </c>
      <c r="G1097" t="str">
        <f>"39-3091.00"</f>
        <v>39-3091.00</v>
      </c>
      <c r="H1097" t="s">
        <v>237</v>
      </c>
      <c r="I1097">
        <v>40</v>
      </c>
      <c r="J1097">
        <v>40</v>
      </c>
      <c r="K1097" s="1">
        <v>45251</v>
      </c>
      <c r="L1097" s="1">
        <v>45504</v>
      </c>
      <c r="M1097" s="1">
        <v>45251</v>
      </c>
      <c r="N1097" s="1">
        <v>45504</v>
      </c>
      <c r="O1097" t="s">
        <v>238</v>
      </c>
      <c r="P1097" t="s">
        <v>16694</v>
      </c>
      <c r="R1097" t="s">
        <v>8889</v>
      </c>
      <c r="S1097" t="s">
        <v>16695</v>
      </c>
      <c r="T1097" t="s">
        <v>2926</v>
      </c>
      <c r="U1097" t="s">
        <v>158</v>
      </c>
      <c r="V1097" s="8" t="str">
        <f>"49686"</f>
        <v>49686</v>
      </c>
      <c r="W1097" t="s">
        <v>118</v>
      </c>
      <c r="Y1097" s="10">
        <v>12319466886</v>
      </c>
      <c r="Z1097" s="3" t="s">
        <v>256</v>
      </c>
      <c r="AA1097">
        <v>71119</v>
      </c>
      <c r="AB1097" t="s">
        <v>8891</v>
      </c>
      <c r="AC1097" t="s">
        <v>4170</v>
      </c>
      <c r="AE1097" t="s">
        <v>2850</v>
      </c>
      <c r="AF1097" t="s">
        <v>8889</v>
      </c>
      <c r="AG1097" t="s">
        <v>16695</v>
      </c>
      <c r="AH1097" t="s">
        <v>2926</v>
      </c>
      <c r="AI1097" t="s">
        <v>158</v>
      </c>
      <c r="AJ1097" s="8" t="str">
        <f>"49686"</f>
        <v>49686</v>
      </c>
      <c r="AK1097" t="s">
        <v>118</v>
      </c>
      <c r="AM1097" s="10">
        <v>18132992322</v>
      </c>
      <c r="AN1097" s="3" t="s">
        <v>256</v>
      </c>
      <c r="AO1097" t="s">
        <v>16696</v>
      </c>
      <c r="AP1097" t="s">
        <v>248</v>
      </c>
      <c r="AQ1097" t="s">
        <v>249</v>
      </c>
      <c r="AR1097" t="s">
        <v>250</v>
      </c>
      <c r="AS1097" t="s">
        <v>251</v>
      </c>
      <c r="AT1097" t="s">
        <v>252</v>
      </c>
      <c r="AU1097" t="s">
        <v>253</v>
      </c>
      <c r="AV1097" t="s">
        <v>254</v>
      </c>
      <c r="AW1097" t="s">
        <v>127</v>
      </c>
      <c r="AX1097" s="8" t="str">
        <f>"78550"</f>
        <v>78550</v>
      </c>
      <c r="AY1097" t="s">
        <v>118</v>
      </c>
      <c r="AZ1097" t="s">
        <v>255</v>
      </c>
      <c r="BA1097" s="10">
        <v>19564408720</v>
      </c>
      <c r="BB1097" s="3" t="s">
        <v>256</v>
      </c>
      <c r="BC1097" t="s">
        <v>338</v>
      </c>
      <c r="BD1097" t="s">
        <v>258</v>
      </c>
      <c r="BG1097" t="s">
        <v>158</v>
      </c>
      <c r="BH1097" s="1">
        <v>45175.833333333336</v>
      </c>
      <c r="BI1097">
        <v>40</v>
      </c>
      <c r="BJ1097">
        <v>8</v>
      </c>
      <c r="BK1097">
        <v>0</v>
      </c>
      <c r="BL1097">
        <v>0</v>
      </c>
      <c r="BM1097">
        <v>8</v>
      </c>
      <c r="BN1097">
        <v>8</v>
      </c>
      <c r="BO1097">
        <v>8</v>
      </c>
      <c r="BP1097">
        <v>8</v>
      </c>
      <c r="BQ1097" t="str">
        <f>"1:00 PM"</f>
        <v>1:00 PM</v>
      </c>
      <c r="BR1097" t="str">
        <f>"10:00 PM"</f>
        <v>10:00 PM</v>
      </c>
      <c r="BS1097" t="s">
        <v>131</v>
      </c>
      <c r="BT1097">
        <v>0</v>
      </c>
      <c r="BU1097">
        <v>0</v>
      </c>
      <c r="BV1097" t="s">
        <v>114</v>
      </c>
      <c r="BX1097" s="2" t="s">
        <v>259</v>
      </c>
      <c r="BY1097" t="s">
        <v>8889</v>
      </c>
      <c r="CA1097" t="s">
        <v>2926</v>
      </c>
      <c r="CB1097" t="s">
        <v>158</v>
      </c>
      <c r="CC1097" s="8" t="str">
        <f>"49686"</f>
        <v>49686</v>
      </c>
      <c r="CD1097" t="s">
        <v>2130</v>
      </c>
      <c r="CE1097" t="s">
        <v>175</v>
      </c>
      <c r="CF1097" s="12">
        <v>12.07</v>
      </c>
      <c r="CG1097" s="12">
        <v>13.74</v>
      </c>
      <c r="CJ1097" t="s">
        <v>135</v>
      </c>
      <c r="CK1097" t="s">
        <v>342</v>
      </c>
      <c r="CL1097" t="s">
        <v>16697</v>
      </c>
      <c r="CO1097" t="s">
        <v>132</v>
      </c>
      <c r="CP1097" t="s">
        <v>136</v>
      </c>
      <c r="CQ1097" t="s">
        <v>136</v>
      </c>
      <c r="CR1097" t="s">
        <v>114</v>
      </c>
      <c r="CS1097" t="s">
        <v>136</v>
      </c>
      <c r="CT1097" t="s">
        <v>136</v>
      </c>
      <c r="CU1097" t="s">
        <v>136</v>
      </c>
      <c r="CV1097" t="s">
        <v>344</v>
      </c>
      <c r="CW1097" s="10" t="str">
        <f>"+12319466886"</f>
        <v>+12319466886</v>
      </c>
      <c r="CX1097" t="s">
        <v>16696</v>
      </c>
      <c r="CY1097" t="s">
        <v>132</v>
      </c>
      <c r="CZ1097" t="s">
        <v>137</v>
      </c>
      <c r="DA1097" t="s">
        <v>114</v>
      </c>
      <c r="DB1097" t="s">
        <v>136</v>
      </c>
      <c r="DC1097" t="s">
        <v>136</v>
      </c>
      <c r="DD1097" t="s">
        <v>114</v>
      </c>
    </row>
    <row r="1098" spans="1:113" ht="15" customHeight="1" x14ac:dyDescent="0.25">
      <c r="A1098" t="s">
        <v>14354</v>
      </c>
      <c r="B1098" t="s">
        <v>152</v>
      </c>
      <c r="C1098" s="1">
        <v>45176.585680902775</v>
      </c>
      <c r="D1098" s="1">
        <v>45236</v>
      </c>
      <c r="E1098" t="s">
        <v>132</v>
      </c>
      <c r="F1098" t="s">
        <v>3992</v>
      </c>
      <c r="G1098" t="str">
        <f>"37-2011.00"</f>
        <v>37-2011.00</v>
      </c>
      <c r="H1098" t="s">
        <v>1089</v>
      </c>
      <c r="I1098">
        <v>10</v>
      </c>
      <c r="J1098">
        <v>10</v>
      </c>
      <c r="K1098" s="1">
        <v>45261</v>
      </c>
      <c r="L1098" s="1">
        <v>45382</v>
      </c>
      <c r="M1098" s="1">
        <v>45261</v>
      </c>
      <c r="N1098" s="1">
        <v>45382</v>
      </c>
      <c r="O1098" t="s">
        <v>238</v>
      </c>
      <c r="P1098" t="s">
        <v>7862</v>
      </c>
      <c r="R1098" t="s">
        <v>7863</v>
      </c>
      <c r="T1098" t="s">
        <v>7864</v>
      </c>
      <c r="U1098" t="s">
        <v>211</v>
      </c>
      <c r="V1098" s="8" t="str">
        <f>"84043"</f>
        <v>84043</v>
      </c>
      <c r="W1098" t="s">
        <v>118</v>
      </c>
      <c r="Y1098" s="10">
        <v>18014047176</v>
      </c>
      <c r="AA1098">
        <v>56173</v>
      </c>
      <c r="AB1098" t="s">
        <v>7865</v>
      </c>
      <c r="AC1098" t="s">
        <v>145</v>
      </c>
      <c r="AD1098" t="s">
        <v>1738</v>
      </c>
      <c r="AE1098" t="s">
        <v>561</v>
      </c>
      <c r="AF1098" t="s">
        <v>7863</v>
      </c>
      <c r="AH1098" t="s">
        <v>7864</v>
      </c>
      <c r="AI1098" t="s">
        <v>211</v>
      </c>
      <c r="AJ1098" s="8" t="str">
        <f>"84043"</f>
        <v>84043</v>
      </c>
      <c r="AK1098" t="s">
        <v>118</v>
      </c>
      <c r="AM1098" s="10">
        <v>18014047176</v>
      </c>
      <c r="AO1098" t="s">
        <v>7866</v>
      </c>
      <c r="AP1098" t="s">
        <v>248</v>
      </c>
      <c r="AQ1098" t="s">
        <v>1700</v>
      </c>
      <c r="AR1098" t="s">
        <v>1701</v>
      </c>
      <c r="AT1098" t="s">
        <v>1702</v>
      </c>
      <c r="AV1098" t="s">
        <v>2467</v>
      </c>
      <c r="AW1098" t="s">
        <v>211</v>
      </c>
      <c r="AX1098" s="8" t="str">
        <f>"84059"</f>
        <v>84059</v>
      </c>
      <c r="AY1098" t="s">
        <v>118</v>
      </c>
      <c r="BA1098" s="10">
        <v>18013677097</v>
      </c>
      <c r="BC1098" t="s">
        <v>4601</v>
      </c>
      <c r="BD1098" t="s">
        <v>4602</v>
      </c>
      <c r="BG1098" t="s">
        <v>211</v>
      </c>
      <c r="BH1098" s="1">
        <v>45175.833333333336</v>
      </c>
      <c r="BI1098">
        <v>35</v>
      </c>
      <c r="BJ1098">
        <v>0</v>
      </c>
      <c r="BK1098">
        <v>7</v>
      </c>
      <c r="BL1098">
        <v>7</v>
      </c>
      <c r="BM1098">
        <v>7</v>
      </c>
      <c r="BN1098">
        <v>7</v>
      </c>
      <c r="BO1098">
        <v>7</v>
      </c>
      <c r="BP1098">
        <v>0</v>
      </c>
      <c r="BQ1098" t="str">
        <f>"8:00 AM"</f>
        <v>8:00 AM</v>
      </c>
      <c r="BR1098" t="str">
        <f>"3:30 PM"</f>
        <v>3:30 PM</v>
      </c>
      <c r="BS1098" t="s">
        <v>131</v>
      </c>
      <c r="BT1098">
        <v>0</v>
      </c>
      <c r="BU1098">
        <v>0</v>
      </c>
      <c r="BV1098" t="s">
        <v>114</v>
      </c>
      <c r="BX1098" s="2" t="s">
        <v>5221</v>
      </c>
      <c r="BY1098" t="s">
        <v>7863</v>
      </c>
      <c r="CA1098" t="s">
        <v>7864</v>
      </c>
      <c r="CB1098" t="s">
        <v>211</v>
      </c>
      <c r="CC1098" s="8" t="str">
        <f>"84043"</f>
        <v>84043</v>
      </c>
      <c r="CD1098" t="s">
        <v>2468</v>
      </c>
      <c r="CE1098" t="s">
        <v>2469</v>
      </c>
      <c r="CF1098" s="12">
        <v>14.3</v>
      </c>
      <c r="CG1098" s="12">
        <v>17.21</v>
      </c>
      <c r="CH1098" s="12">
        <v>21.45</v>
      </c>
      <c r="CI1098" s="12">
        <v>25.8</v>
      </c>
      <c r="CJ1098" t="s">
        <v>135</v>
      </c>
      <c r="CK1098" t="s">
        <v>131</v>
      </c>
      <c r="CL1098" t="s">
        <v>14355</v>
      </c>
      <c r="CO1098" t="s">
        <v>132</v>
      </c>
      <c r="CP1098" t="s">
        <v>136</v>
      </c>
      <c r="CQ1098" t="s">
        <v>136</v>
      </c>
      <c r="CR1098" t="s">
        <v>136</v>
      </c>
      <c r="CS1098" t="s">
        <v>114</v>
      </c>
      <c r="CT1098" t="s">
        <v>136</v>
      </c>
      <c r="CU1098" t="s">
        <v>114</v>
      </c>
      <c r="CV1098" t="s">
        <v>1705</v>
      </c>
      <c r="CW1098" s="10" t="str">
        <f>"+18014047176"</f>
        <v>+18014047176</v>
      </c>
      <c r="CX1098" t="s">
        <v>7866</v>
      </c>
      <c r="CY1098" t="s">
        <v>132</v>
      </c>
      <c r="CZ1098" t="s">
        <v>137</v>
      </c>
      <c r="DA1098" t="s">
        <v>114</v>
      </c>
      <c r="DB1098" t="s">
        <v>114</v>
      </c>
      <c r="DC1098" t="s">
        <v>136</v>
      </c>
      <c r="DD1098" t="s">
        <v>114</v>
      </c>
    </row>
    <row r="1099" spans="1:113" ht="15" customHeight="1" x14ac:dyDescent="0.25">
      <c r="A1099" t="s">
        <v>15415</v>
      </c>
      <c r="B1099" t="s">
        <v>152</v>
      </c>
      <c r="C1099" s="1">
        <v>45175.955988888891</v>
      </c>
      <c r="D1099" s="1">
        <v>45236</v>
      </c>
      <c r="E1099" t="s">
        <v>132</v>
      </c>
      <c r="F1099" t="s">
        <v>3992</v>
      </c>
      <c r="G1099" t="str">
        <f>"37-2011.00"</f>
        <v>37-2011.00</v>
      </c>
      <c r="H1099" t="s">
        <v>1089</v>
      </c>
      <c r="I1099">
        <v>30</v>
      </c>
      <c r="J1099">
        <v>30</v>
      </c>
      <c r="K1099" s="1">
        <v>45261</v>
      </c>
      <c r="L1099" s="1">
        <v>45382</v>
      </c>
      <c r="M1099" s="1">
        <v>45261</v>
      </c>
      <c r="N1099" s="1">
        <v>45382</v>
      </c>
      <c r="O1099" t="s">
        <v>238</v>
      </c>
      <c r="P1099" t="s">
        <v>15416</v>
      </c>
      <c r="R1099" t="s">
        <v>15417</v>
      </c>
      <c r="T1099" t="s">
        <v>4842</v>
      </c>
      <c r="U1099" t="s">
        <v>211</v>
      </c>
      <c r="V1099" s="8" t="str">
        <f>"84070"</f>
        <v>84070</v>
      </c>
      <c r="W1099" t="s">
        <v>118</v>
      </c>
      <c r="Y1099" s="10">
        <v>18015773732</v>
      </c>
      <c r="AA1099">
        <v>56173</v>
      </c>
      <c r="AB1099" t="s">
        <v>7258</v>
      </c>
      <c r="AC1099" t="s">
        <v>3170</v>
      </c>
      <c r="AE1099" t="s">
        <v>629</v>
      </c>
      <c r="AF1099" t="s">
        <v>15417</v>
      </c>
      <c r="AH1099" t="s">
        <v>4842</v>
      </c>
      <c r="AI1099" t="s">
        <v>211</v>
      </c>
      <c r="AJ1099" s="8" t="str">
        <f>"84070"</f>
        <v>84070</v>
      </c>
      <c r="AK1099" t="s">
        <v>118</v>
      </c>
      <c r="AM1099" s="10">
        <v>18015773732</v>
      </c>
      <c r="AO1099" t="s">
        <v>15418</v>
      </c>
      <c r="AP1099" t="s">
        <v>248</v>
      </c>
      <c r="AQ1099" t="s">
        <v>1700</v>
      </c>
      <c r="AR1099" t="s">
        <v>1701</v>
      </c>
      <c r="AT1099" t="s">
        <v>1702</v>
      </c>
      <c r="AV1099" t="s">
        <v>2467</v>
      </c>
      <c r="AW1099" t="s">
        <v>211</v>
      </c>
      <c r="AX1099" s="8" t="str">
        <f>"84059"</f>
        <v>84059</v>
      </c>
      <c r="AY1099" t="s">
        <v>118</v>
      </c>
      <c r="BA1099" s="10">
        <v>18013677097</v>
      </c>
      <c r="BC1099" t="s">
        <v>4601</v>
      </c>
      <c r="BD1099" t="s">
        <v>4602</v>
      </c>
      <c r="BG1099" t="s">
        <v>211</v>
      </c>
      <c r="BH1099" s="1">
        <v>45174.833333333336</v>
      </c>
      <c r="BI1099">
        <v>35</v>
      </c>
      <c r="BJ1099">
        <v>0</v>
      </c>
      <c r="BK1099">
        <v>7</v>
      </c>
      <c r="BL1099">
        <v>7</v>
      </c>
      <c r="BM1099">
        <v>7</v>
      </c>
      <c r="BN1099">
        <v>7</v>
      </c>
      <c r="BO1099">
        <v>7</v>
      </c>
      <c r="BP1099">
        <v>0</v>
      </c>
      <c r="BQ1099" t="str">
        <f>"8:00 AM"</f>
        <v>8:00 AM</v>
      </c>
      <c r="BR1099" t="str">
        <f>"4:00 PM"</f>
        <v>4:00 PM</v>
      </c>
      <c r="BS1099" t="s">
        <v>131</v>
      </c>
      <c r="BT1099">
        <v>0</v>
      </c>
      <c r="BU1099">
        <v>0</v>
      </c>
      <c r="BV1099" t="s">
        <v>114</v>
      </c>
      <c r="BX1099" s="2" t="s">
        <v>15419</v>
      </c>
      <c r="BY1099" t="s">
        <v>15417</v>
      </c>
      <c r="CA1099" t="s">
        <v>4842</v>
      </c>
      <c r="CB1099" t="s">
        <v>211</v>
      </c>
      <c r="CC1099" s="8" t="str">
        <f>"84070"</f>
        <v>84070</v>
      </c>
      <c r="CD1099" t="s">
        <v>1567</v>
      </c>
      <c r="CE1099" t="s">
        <v>1568</v>
      </c>
      <c r="CF1099" s="12">
        <v>14.3</v>
      </c>
      <c r="CG1099" s="12">
        <v>17.21</v>
      </c>
      <c r="CJ1099" t="s">
        <v>135</v>
      </c>
      <c r="CK1099" t="s">
        <v>131</v>
      </c>
      <c r="CL1099" t="s">
        <v>15420</v>
      </c>
      <c r="CO1099" t="s">
        <v>132</v>
      </c>
      <c r="CP1099" t="s">
        <v>136</v>
      </c>
      <c r="CQ1099" t="s">
        <v>136</v>
      </c>
      <c r="CR1099" t="s">
        <v>114</v>
      </c>
      <c r="CS1099" t="s">
        <v>114</v>
      </c>
      <c r="CT1099" t="s">
        <v>136</v>
      </c>
      <c r="CU1099" t="s">
        <v>114</v>
      </c>
      <c r="CV1099" t="s">
        <v>2470</v>
      </c>
      <c r="CW1099" s="10" t="str">
        <f>"+18015773732"</f>
        <v>+18015773732</v>
      </c>
      <c r="CX1099" t="s">
        <v>15418</v>
      </c>
      <c r="CY1099" t="s">
        <v>132</v>
      </c>
      <c r="CZ1099" t="s">
        <v>137</v>
      </c>
      <c r="DA1099" t="s">
        <v>114</v>
      </c>
      <c r="DB1099" t="s">
        <v>114</v>
      </c>
      <c r="DC1099" t="s">
        <v>136</v>
      </c>
      <c r="DD1099" t="s">
        <v>114</v>
      </c>
    </row>
    <row r="1100" spans="1:113" ht="15" customHeight="1" x14ac:dyDescent="0.25">
      <c r="A1100" t="s">
        <v>18457</v>
      </c>
      <c r="B1100" t="s">
        <v>152</v>
      </c>
      <c r="C1100" s="1">
        <v>45175.437798842591</v>
      </c>
      <c r="D1100" s="1">
        <v>45236</v>
      </c>
      <c r="E1100" t="s">
        <v>132</v>
      </c>
      <c r="F1100" t="s">
        <v>4510</v>
      </c>
      <c r="G1100" t="str">
        <f>"39-2021.00"</f>
        <v>39-2021.00</v>
      </c>
      <c r="H1100" t="s">
        <v>2895</v>
      </c>
      <c r="I1100">
        <v>8</v>
      </c>
      <c r="J1100">
        <v>8</v>
      </c>
      <c r="K1100" s="1">
        <v>45260</v>
      </c>
      <c r="L1100" s="1">
        <v>45383</v>
      </c>
      <c r="M1100" s="1">
        <v>45260</v>
      </c>
      <c r="N1100" s="1">
        <v>45383</v>
      </c>
      <c r="O1100" t="s">
        <v>238</v>
      </c>
      <c r="P1100" t="s">
        <v>18458</v>
      </c>
      <c r="R1100" t="s">
        <v>18459</v>
      </c>
      <c r="S1100" t="s">
        <v>18460</v>
      </c>
      <c r="T1100" t="s">
        <v>18461</v>
      </c>
      <c r="U1100" t="s">
        <v>1722</v>
      </c>
      <c r="V1100" s="8" t="str">
        <f>"20625"</f>
        <v>20625</v>
      </c>
      <c r="W1100" t="s">
        <v>118</v>
      </c>
      <c r="Y1100" s="10">
        <v>14109715035</v>
      </c>
      <c r="AA1100">
        <v>711219</v>
      </c>
      <c r="AB1100" t="s">
        <v>18462</v>
      </c>
      <c r="AC1100" t="s">
        <v>12610</v>
      </c>
      <c r="AD1100" t="s">
        <v>2291</v>
      </c>
      <c r="AE1100" t="s">
        <v>629</v>
      </c>
      <c r="AF1100" t="s">
        <v>18459</v>
      </c>
      <c r="AG1100" t="s">
        <v>18460</v>
      </c>
      <c r="AH1100" t="s">
        <v>18461</v>
      </c>
      <c r="AI1100" t="s">
        <v>1722</v>
      </c>
      <c r="AJ1100" s="8" t="str">
        <f>"20625"</f>
        <v>20625</v>
      </c>
      <c r="AK1100" t="s">
        <v>118</v>
      </c>
      <c r="AM1100" s="10">
        <v>14109715035</v>
      </c>
      <c r="AO1100" t="s">
        <v>18463</v>
      </c>
      <c r="AP1100" t="s">
        <v>121</v>
      </c>
      <c r="AQ1100" t="s">
        <v>4516</v>
      </c>
      <c r="AR1100" t="s">
        <v>1235</v>
      </c>
      <c r="AT1100" t="s">
        <v>4517</v>
      </c>
      <c r="AU1100" t="s">
        <v>4518</v>
      </c>
      <c r="AV1100" t="s">
        <v>1220</v>
      </c>
      <c r="AW1100" t="s">
        <v>358</v>
      </c>
      <c r="AX1100" s="8" t="str">
        <f>"10165"</f>
        <v>10165</v>
      </c>
      <c r="AY1100" t="s">
        <v>118</v>
      </c>
      <c r="BA1100" s="10">
        <v>12127604400</v>
      </c>
      <c r="BC1100" t="s">
        <v>4519</v>
      </c>
      <c r="BD1100" t="s">
        <v>4520</v>
      </c>
      <c r="BE1100" t="s">
        <v>358</v>
      </c>
      <c r="BF1100" t="s">
        <v>4521</v>
      </c>
      <c r="BG1100" t="s">
        <v>140</v>
      </c>
      <c r="BH1100" s="1">
        <v>45167.833333333336</v>
      </c>
      <c r="BI1100">
        <v>40</v>
      </c>
      <c r="BJ1100">
        <v>8</v>
      </c>
      <c r="BK1100">
        <v>0</v>
      </c>
      <c r="BL1100">
        <v>0</v>
      </c>
      <c r="BM1100">
        <v>8</v>
      </c>
      <c r="BN1100">
        <v>8</v>
      </c>
      <c r="BO1100">
        <v>8</v>
      </c>
      <c r="BP1100">
        <v>8</v>
      </c>
      <c r="BQ1100" t="str">
        <f>"5:00 AM"</f>
        <v>5:00 AM</v>
      </c>
      <c r="BR1100" t="str">
        <f>"11:00 AM"</f>
        <v>11:00 AM</v>
      </c>
      <c r="BS1100" t="s">
        <v>131</v>
      </c>
      <c r="BT1100">
        <v>0</v>
      </c>
      <c r="BU1100">
        <v>0</v>
      </c>
      <c r="BV1100" t="s">
        <v>114</v>
      </c>
      <c r="BX1100" t="s">
        <v>1570</v>
      </c>
      <c r="BY1100" t="s">
        <v>4522</v>
      </c>
      <c r="BZ1100" t="s">
        <v>4523</v>
      </c>
      <c r="CA1100" t="s">
        <v>4524</v>
      </c>
      <c r="CB1100" t="s">
        <v>140</v>
      </c>
      <c r="CC1100" s="8" t="str">
        <f>"33472"</f>
        <v>33472</v>
      </c>
      <c r="CD1100" t="s">
        <v>767</v>
      </c>
      <c r="CE1100" t="s">
        <v>149</v>
      </c>
      <c r="CF1100" s="12">
        <v>16.510000000000002</v>
      </c>
      <c r="CG1100" s="12">
        <v>16.510000000000002</v>
      </c>
      <c r="CH1100" s="12">
        <v>24.77</v>
      </c>
      <c r="CI1100" s="12">
        <v>24.77</v>
      </c>
      <c r="CJ1100" t="s">
        <v>135</v>
      </c>
      <c r="CL1100" t="s">
        <v>18464</v>
      </c>
      <c r="CO1100" t="s">
        <v>132</v>
      </c>
      <c r="CP1100" t="s">
        <v>114</v>
      </c>
      <c r="CQ1100" t="s">
        <v>114</v>
      </c>
      <c r="CR1100" t="s">
        <v>136</v>
      </c>
      <c r="CS1100" t="s">
        <v>114</v>
      </c>
      <c r="CT1100" t="s">
        <v>136</v>
      </c>
      <c r="CU1100" t="s">
        <v>136</v>
      </c>
      <c r="CV1100" t="s">
        <v>18465</v>
      </c>
      <c r="CW1100" s="10" t="str">
        <f>"+14109715035"</f>
        <v>+14109715035</v>
      </c>
      <c r="CX1100" t="s">
        <v>18463</v>
      </c>
      <c r="CY1100" t="s">
        <v>132</v>
      </c>
      <c r="CZ1100" t="s">
        <v>137</v>
      </c>
      <c r="DA1100" t="s">
        <v>114</v>
      </c>
      <c r="DB1100" t="s">
        <v>114</v>
      </c>
      <c r="DC1100" t="s">
        <v>136</v>
      </c>
      <c r="DD1100" t="s">
        <v>114</v>
      </c>
    </row>
    <row r="1101" spans="1:113" ht="15" customHeight="1" x14ac:dyDescent="0.25">
      <c r="A1101" t="s">
        <v>19357</v>
      </c>
      <c r="B1101" t="s">
        <v>152</v>
      </c>
      <c r="C1101" s="1">
        <v>45175.435985995369</v>
      </c>
      <c r="D1101" s="1">
        <v>45236</v>
      </c>
      <c r="E1101" t="s">
        <v>132</v>
      </c>
      <c r="F1101" t="s">
        <v>4510</v>
      </c>
      <c r="G1101" t="str">
        <f>"39-2021.00"</f>
        <v>39-2021.00</v>
      </c>
      <c r="H1101" t="s">
        <v>2895</v>
      </c>
      <c r="I1101">
        <v>8</v>
      </c>
      <c r="J1101">
        <v>8</v>
      </c>
      <c r="K1101" s="1">
        <v>45260</v>
      </c>
      <c r="L1101" s="1">
        <v>45383</v>
      </c>
      <c r="M1101" s="1">
        <v>45260</v>
      </c>
      <c r="N1101" s="1">
        <v>45383</v>
      </c>
      <c r="O1101" t="s">
        <v>238</v>
      </c>
      <c r="P1101" t="s">
        <v>4511</v>
      </c>
      <c r="R1101" t="s">
        <v>4512</v>
      </c>
      <c r="T1101" t="s">
        <v>2119</v>
      </c>
      <c r="U1101" t="s">
        <v>1434</v>
      </c>
      <c r="V1101" s="8" t="str">
        <f>"40217"</f>
        <v>40217</v>
      </c>
      <c r="W1101" t="s">
        <v>118</v>
      </c>
      <c r="Y1101" s="10">
        <v>15188107858</v>
      </c>
      <c r="AA1101">
        <v>711219</v>
      </c>
      <c r="AB1101" t="s">
        <v>4513</v>
      </c>
      <c r="AC1101" t="s">
        <v>4514</v>
      </c>
      <c r="AD1101" t="s">
        <v>962</v>
      </c>
      <c r="AE1101" t="s">
        <v>629</v>
      </c>
      <c r="AF1101" t="s">
        <v>4512</v>
      </c>
      <c r="AH1101" t="s">
        <v>2119</v>
      </c>
      <c r="AI1101" t="s">
        <v>1434</v>
      </c>
      <c r="AJ1101" s="8" t="str">
        <f>"40217"</f>
        <v>40217</v>
      </c>
      <c r="AK1101" t="s">
        <v>118</v>
      </c>
      <c r="AM1101" s="10">
        <v>15188107858</v>
      </c>
      <c r="AO1101" t="s">
        <v>4515</v>
      </c>
      <c r="AP1101" t="s">
        <v>121</v>
      </c>
      <c r="AQ1101" t="s">
        <v>4516</v>
      </c>
      <c r="AR1101" t="s">
        <v>1235</v>
      </c>
      <c r="AT1101" t="s">
        <v>4517</v>
      </c>
      <c r="AU1101" t="s">
        <v>4518</v>
      </c>
      <c r="AV1101" t="s">
        <v>1220</v>
      </c>
      <c r="AW1101" t="s">
        <v>358</v>
      </c>
      <c r="AX1101" s="8" t="str">
        <f>"10165"</f>
        <v>10165</v>
      </c>
      <c r="AY1101" t="s">
        <v>118</v>
      </c>
      <c r="BA1101" s="10">
        <v>12127604400</v>
      </c>
      <c r="BC1101" t="s">
        <v>4519</v>
      </c>
      <c r="BD1101" t="s">
        <v>4520</v>
      </c>
      <c r="BE1101" t="s">
        <v>358</v>
      </c>
      <c r="BF1101" t="s">
        <v>4521</v>
      </c>
      <c r="BG1101" t="s">
        <v>140</v>
      </c>
      <c r="BH1101" s="1">
        <v>45172.833333333336</v>
      </c>
      <c r="BI1101">
        <v>40</v>
      </c>
      <c r="BJ1101">
        <v>8</v>
      </c>
      <c r="BK1101">
        <v>0</v>
      </c>
      <c r="BL1101">
        <v>0</v>
      </c>
      <c r="BM1101">
        <v>8</v>
      </c>
      <c r="BN1101">
        <v>8</v>
      </c>
      <c r="BO1101">
        <v>8</v>
      </c>
      <c r="BP1101">
        <v>8</v>
      </c>
      <c r="BQ1101" t="str">
        <f>"5:00 AM"</f>
        <v>5:00 AM</v>
      </c>
      <c r="BR1101" t="str">
        <f>"11:00 AM"</f>
        <v>11:00 AM</v>
      </c>
      <c r="BS1101" t="s">
        <v>131</v>
      </c>
      <c r="BT1101">
        <v>0</v>
      </c>
      <c r="BU1101">
        <v>0</v>
      </c>
      <c r="BV1101" t="s">
        <v>114</v>
      </c>
      <c r="BX1101" t="s">
        <v>1570</v>
      </c>
      <c r="BY1101" t="s">
        <v>8768</v>
      </c>
      <c r="BZ1101" t="s">
        <v>8769</v>
      </c>
      <c r="CA1101" t="s">
        <v>8770</v>
      </c>
      <c r="CB1101" t="s">
        <v>140</v>
      </c>
      <c r="CC1101" s="8" t="str">
        <f>"33009"</f>
        <v>33009</v>
      </c>
      <c r="CD1101" t="s">
        <v>287</v>
      </c>
      <c r="CE1101" t="s">
        <v>149</v>
      </c>
      <c r="CF1101" s="12">
        <v>14.11</v>
      </c>
      <c r="CG1101" s="12">
        <v>14.11</v>
      </c>
      <c r="CH1101" s="12">
        <v>21.17</v>
      </c>
      <c r="CI1101" s="12">
        <v>21.17</v>
      </c>
      <c r="CJ1101" t="s">
        <v>135</v>
      </c>
      <c r="CL1101" t="s">
        <v>19358</v>
      </c>
      <c r="CO1101" t="s">
        <v>132</v>
      </c>
      <c r="CP1101" t="s">
        <v>114</v>
      </c>
      <c r="CQ1101" t="s">
        <v>114</v>
      </c>
      <c r="CR1101" t="s">
        <v>136</v>
      </c>
      <c r="CS1101" t="s">
        <v>114</v>
      </c>
      <c r="CT1101" t="s">
        <v>136</v>
      </c>
      <c r="CU1101" t="s">
        <v>136</v>
      </c>
      <c r="CV1101" t="s">
        <v>4526</v>
      </c>
      <c r="CW1101" s="10" t="str">
        <f>"+15188107858"</f>
        <v>+15188107858</v>
      </c>
      <c r="CX1101" t="s">
        <v>4515</v>
      </c>
      <c r="CY1101" t="s">
        <v>132</v>
      </c>
      <c r="CZ1101" t="s">
        <v>137</v>
      </c>
      <c r="DA1101" t="s">
        <v>114</v>
      </c>
      <c r="DB1101" t="s">
        <v>114</v>
      </c>
      <c r="DC1101" t="s">
        <v>136</v>
      </c>
      <c r="DD1101" t="s">
        <v>114</v>
      </c>
    </row>
    <row r="1102" spans="1:113" ht="15" customHeight="1" x14ac:dyDescent="0.25">
      <c r="A1102" t="s">
        <v>14253</v>
      </c>
      <c r="B1102" t="s">
        <v>152</v>
      </c>
      <c r="C1102" s="1">
        <v>45174.596006597225</v>
      </c>
      <c r="D1102" s="1">
        <v>45236</v>
      </c>
      <c r="E1102" t="s">
        <v>132</v>
      </c>
      <c r="F1102" t="s">
        <v>293</v>
      </c>
      <c r="G1102" t="str">
        <f>"37-2012.00"</f>
        <v>37-2012.00</v>
      </c>
      <c r="H1102" t="s">
        <v>205</v>
      </c>
      <c r="I1102">
        <v>3</v>
      </c>
      <c r="J1102">
        <v>3</v>
      </c>
      <c r="K1102" s="1">
        <v>45261</v>
      </c>
      <c r="L1102" s="1">
        <v>45382</v>
      </c>
      <c r="M1102" s="1">
        <v>45261</v>
      </c>
      <c r="N1102" s="1">
        <v>45382</v>
      </c>
      <c r="O1102" t="s">
        <v>116</v>
      </c>
      <c r="P1102" t="s">
        <v>14254</v>
      </c>
      <c r="Q1102" t="s">
        <v>14255</v>
      </c>
      <c r="R1102" t="s">
        <v>14256</v>
      </c>
      <c r="T1102" t="s">
        <v>14257</v>
      </c>
      <c r="U1102" t="s">
        <v>358</v>
      </c>
      <c r="V1102" s="8" t="str">
        <f>"12442"</f>
        <v>12442</v>
      </c>
      <c r="W1102" t="s">
        <v>118</v>
      </c>
      <c r="Y1102" s="10">
        <v>15184410523</v>
      </c>
      <c r="AA1102">
        <v>721110</v>
      </c>
      <c r="AB1102" t="s">
        <v>3906</v>
      </c>
      <c r="AC1102" t="s">
        <v>708</v>
      </c>
      <c r="AE1102" t="s">
        <v>6076</v>
      </c>
      <c r="AF1102" t="s">
        <v>3907</v>
      </c>
      <c r="AG1102" t="s">
        <v>3908</v>
      </c>
      <c r="AH1102" t="s">
        <v>3909</v>
      </c>
      <c r="AI1102" t="s">
        <v>2194</v>
      </c>
      <c r="AJ1102" s="8" t="str">
        <f>"03801"</f>
        <v>03801</v>
      </c>
      <c r="AK1102" t="s">
        <v>118</v>
      </c>
      <c r="AM1102" s="10">
        <v>13392347591</v>
      </c>
      <c r="AO1102" t="s">
        <v>3910</v>
      </c>
      <c r="AP1102" t="s">
        <v>121</v>
      </c>
      <c r="AQ1102" t="s">
        <v>276</v>
      </c>
      <c r="AR1102" t="s">
        <v>277</v>
      </c>
      <c r="AS1102" t="s">
        <v>278</v>
      </c>
      <c r="AT1102" t="s">
        <v>279</v>
      </c>
      <c r="AU1102" t="s">
        <v>280</v>
      </c>
      <c r="AV1102" t="s">
        <v>281</v>
      </c>
      <c r="AW1102" t="s">
        <v>222</v>
      </c>
      <c r="AX1102" s="8" t="str">
        <f>"01701"</f>
        <v>01701</v>
      </c>
      <c r="AY1102" t="s">
        <v>118</v>
      </c>
      <c r="BA1102" s="10">
        <v>16179399444</v>
      </c>
      <c r="BC1102" t="s">
        <v>282</v>
      </c>
      <c r="BD1102" t="s">
        <v>283</v>
      </c>
      <c r="BE1102" t="s">
        <v>222</v>
      </c>
      <c r="BF1102" t="s">
        <v>284</v>
      </c>
      <c r="BG1102" t="s">
        <v>358</v>
      </c>
      <c r="BH1102" s="1">
        <v>45173.833333333336</v>
      </c>
      <c r="BI1102">
        <v>35</v>
      </c>
      <c r="BJ1102">
        <v>0</v>
      </c>
      <c r="BK1102">
        <v>7</v>
      </c>
      <c r="BL1102">
        <v>7</v>
      </c>
      <c r="BM1102">
        <v>7</v>
      </c>
      <c r="BN1102">
        <v>7</v>
      </c>
      <c r="BO1102">
        <v>7</v>
      </c>
      <c r="BP1102">
        <v>0</v>
      </c>
      <c r="BQ1102" t="str">
        <f>"8:30 AM"</f>
        <v>8:30 AM</v>
      </c>
      <c r="BR1102" t="str">
        <f>"3:30 PM"</f>
        <v>3:30 PM</v>
      </c>
      <c r="BS1102" t="s">
        <v>131</v>
      </c>
      <c r="BT1102">
        <v>0</v>
      </c>
      <c r="BU1102">
        <v>0</v>
      </c>
      <c r="BV1102" t="s">
        <v>114</v>
      </c>
      <c r="BX1102" t="s">
        <v>3564</v>
      </c>
      <c r="BY1102" t="s">
        <v>14256</v>
      </c>
      <c r="CA1102" t="s">
        <v>14257</v>
      </c>
      <c r="CB1102" t="s">
        <v>358</v>
      </c>
      <c r="CC1102" s="8" t="str">
        <f>"12442"</f>
        <v>12442</v>
      </c>
      <c r="CD1102" t="s">
        <v>4156</v>
      </c>
      <c r="CE1102" t="s">
        <v>3574</v>
      </c>
      <c r="CF1102" s="12">
        <v>16.190000000000001</v>
      </c>
      <c r="CG1102" s="12">
        <v>19</v>
      </c>
      <c r="CH1102" s="12">
        <v>24.29</v>
      </c>
      <c r="CI1102" s="12">
        <v>28.5</v>
      </c>
      <c r="CJ1102" t="s">
        <v>135</v>
      </c>
      <c r="CK1102" t="s">
        <v>14258</v>
      </c>
      <c r="CL1102" t="s">
        <v>14259</v>
      </c>
      <c r="CO1102" t="s">
        <v>132</v>
      </c>
      <c r="CP1102" t="s">
        <v>114</v>
      </c>
      <c r="CQ1102" t="s">
        <v>114</v>
      </c>
      <c r="CR1102" t="s">
        <v>136</v>
      </c>
      <c r="CS1102" t="s">
        <v>136</v>
      </c>
      <c r="CT1102" t="s">
        <v>136</v>
      </c>
      <c r="CU1102" t="s">
        <v>136</v>
      </c>
      <c r="CV1102" t="s">
        <v>14260</v>
      </c>
      <c r="CW1102" s="10" t="str">
        <f>"+13392347591"</f>
        <v>+13392347591</v>
      </c>
      <c r="CX1102" t="s">
        <v>3910</v>
      </c>
      <c r="CY1102" t="s">
        <v>132</v>
      </c>
      <c r="CZ1102" t="s">
        <v>137</v>
      </c>
      <c r="DA1102" t="s">
        <v>114</v>
      </c>
      <c r="DB1102" t="s">
        <v>114</v>
      </c>
      <c r="DC1102" t="s">
        <v>136</v>
      </c>
      <c r="DD1102" t="s">
        <v>114</v>
      </c>
    </row>
    <row r="1103" spans="1:113" ht="15" customHeight="1" x14ac:dyDescent="0.25">
      <c r="A1103" t="s">
        <v>14446</v>
      </c>
      <c r="B1103" t="s">
        <v>152</v>
      </c>
      <c r="C1103" s="1">
        <v>45174.595712037037</v>
      </c>
      <c r="D1103" s="1">
        <v>45236</v>
      </c>
      <c r="E1103" t="s">
        <v>132</v>
      </c>
      <c r="F1103" t="s">
        <v>293</v>
      </c>
      <c r="G1103" t="str">
        <f>"37-2012.00"</f>
        <v>37-2012.00</v>
      </c>
      <c r="H1103" t="s">
        <v>205</v>
      </c>
      <c r="I1103">
        <v>4</v>
      </c>
      <c r="J1103">
        <v>4</v>
      </c>
      <c r="K1103" s="1">
        <v>45261</v>
      </c>
      <c r="L1103" s="1">
        <v>45382</v>
      </c>
      <c r="M1103" s="1">
        <v>45261</v>
      </c>
      <c r="N1103" s="1">
        <v>45382</v>
      </c>
      <c r="O1103" t="s">
        <v>116</v>
      </c>
      <c r="P1103" t="s">
        <v>14447</v>
      </c>
      <c r="Q1103" t="s">
        <v>14448</v>
      </c>
      <c r="R1103" t="s">
        <v>14449</v>
      </c>
      <c r="T1103" t="s">
        <v>1672</v>
      </c>
      <c r="U1103" t="s">
        <v>506</v>
      </c>
      <c r="V1103" s="8" t="str">
        <f>"05672"</f>
        <v>05672</v>
      </c>
      <c r="W1103" t="s">
        <v>118</v>
      </c>
      <c r="Y1103" s="10">
        <v>18022538088</v>
      </c>
      <c r="AA1103">
        <v>721110</v>
      </c>
      <c r="AB1103" t="s">
        <v>3906</v>
      </c>
      <c r="AC1103" t="s">
        <v>708</v>
      </c>
      <c r="AE1103" t="s">
        <v>743</v>
      </c>
      <c r="AF1103" t="s">
        <v>3907</v>
      </c>
      <c r="AG1103" t="s">
        <v>3908</v>
      </c>
      <c r="AH1103" t="s">
        <v>3909</v>
      </c>
      <c r="AI1103" t="s">
        <v>2194</v>
      </c>
      <c r="AJ1103" s="8" t="str">
        <f>"03801"</f>
        <v>03801</v>
      </c>
      <c r="AK1103" t="s">
        <v>118</v>
      </c>
      <c r="AM1103" s="10">
        <v>13392347591</v>
      </c>
      <c r="AO1103" t="s">
        <v>3910</v>
      </c>
      <c r="AP1103" t="s">
        <v>121</v>
      </c>
      <c r="AQ1103" t="s">
        <v>276</v>
      </c>
      <c r="AR1103" t="s">
        <v>277</v>
      </c>
      <c r="AS1103" t="s">
        <v>278</v>
      </c>
      <c r="AT1103" t="s">
        <v>279</v>
      </c>
      <c r="AU1103" t="s">
        <v>280</v>
      </c>
      <c r="AV1103" t="s">
        <v>281</v>
      </c>
      <c r="AW1103" t="s">
        <v>222</v>
      </c>
      <c r="AX1103" s="8" t="str">
        <f>"01701"</f>
        <v>01701</v>
      </c>
      <c r="AY1103" t="s">
        <v>118</v>
      </c>
      <c r="BA1103" s="10">
        <v>16179399444</v>
      </c>
      <c r="BC1103" t="s">
        <v>282</v>
      </c>
      <c r="BD1103" t="s">
        <v>283</v>
      </c>
      <c r="BE1103" t="s">
        <v>222</v>
      </c>
      <c r="BF1103" t="s">
        <v>284</v>
      </c>
      <c r="BG1103" t="s">
        <v>506</v>
      </c>
      <c r="BH1103" s="1">
        <v>45173.833333333336</v>
      </c>
      <c r="BI1103">
        <v>40</v>
      </c>
      <c r="BJ1103">
        <v>0</v>
      </c>
      <c r="BK1103">
        <v>8</v>
      </c>
      <c r="BL1103">
        <v>8</v>
      </c>
      <c r="BM1103">
        <v>8</v>
      </c>
      <c r="BN1103">
        <v>8</v>
      </c>
      <c r="BO1103">
        <v>8</v>
      </c>
      <c r="BP1103">
        <v>0</v>
      </c>
      <c r="BQ1103" t="str">
        <f>"8:30 AM"</f>
        <v>8:30 AM</v>
      </c>
      <c r="BR1103" t="str">
        <f>"4:30 PM"</f>
        <v>4:30 PM</v>
      </c>
      <c r="BS1103" t="s">
        <v>131</v>
      </c>
      <c r="BT1103">
        <v>0</v>
      </c>
      <c r="BU1103">
        <v>3</v>
      </c>
      <c r="BV1103" t="s">
        <v>114</v>
      </c>
      <c r="BX1103" s="2" t="s">
        <v>14450</v>
      </c>
      <c r="BY1103" t="s">
        <v>14449</v>
      </c>
      <c r="CA1103" t="s">
        <v>1672</v>
      </c>
      <c r="CB1103" t="s">
        <v>506</v>
      </c>
      <c r="CC1103" s="8" t="str">
        <f>"05672"</f>
        <v>05672</v>
      </c>
      <c r="CD1103" t="s">
        <v>1683</v>
      </c>
      <c r="CE1103" t="s">
        <v>1108</v>
      </c>
      <c r="CF1103" s="12">
        <v>15.97</v>
      </c>
      <c r="CG1103" s="12">
        <v>19</v>
      </c>
      <c r="CH1103" s="12">
        <v>23.96</v>
      </c>
      <c r="CI1103" s="12">
        <v>28.5</v>
      </c>
      <c r="CJ1103" t="s">
        <v>135</v>
      </c>
      <c r="CK1103" t="s">
        <v>14250</v>
      </c>
      <c r="CL1103" t="s">
        <v>14451</v>
      </c>
      <c r="CO1103" t="s">
        <v>132</v>
      </c>
      <c r="CP1103" t="s">
        <v>114</v>
      </c>
      <c r="CQ1103" t="s">
        <v>114</v>
      </c>
      <c r="CR1103" t="s">
        <v>136</v>
      </c>
      <c r="CS1103" t="s">
        <v>136</v>
      </c>
      <c r="CT1103" t="s">
        <v>136</v>
      </c>
      <c r="CU1103" t="s">
        <v>136</v>
      </c>
      <c r="CV1103" t="s">
        <v>14452</v>
      </c>
      <c r="CW1103" s="10" t="str">
        <f>"+13392347591"</f>
        <v>+13392347591</v>
      </c>
      <c r="CX1103" t="s">
        <v>3910</v>
      </c>
      <c r="CY1103" t="s">
        <v>132</v>
      </c>
      <c r="CZ1103" t="s">
        <v>137</v>
      </c>
      <c r="DA1103" t="s">
        <v>114</v>
      </c>
      <c r="DB1103" t="s">
        <v>114</v>
      </c>
      <c r="DC1103" t="s">
        <v>136</v>
      </c>
      <c r="DD1103" t="s">
        <v>114</v>
      </c>
    </row>
    <row r="1104" spans="1:113" ht="15" customHeight="1" x14ac:dyDescent="0.25">
      <c r="A1104" t="s">
        <v>19395</v>
      </c>
      <c r="B1104" t="s">
        <v>152</v>
      </c>
      <c r="C1104" s="1">
        <v>45174.570121874996</v>
      </c>
      <c r="D1104" s="1">
        <v>45236</v>
      </c>
      <c r="E1104" t="s">
        <v>132</v>
      </c>
      <c r="F1104" t="s">
        <v>4510</v>
      </c>
      <c r="G1104" t="str">
        <f>"39-2021.00"</f>
        <v>39-2021.00</v>
      </c>
      <c r="H1104" t="s">
        <v>2895</v>
      </c>
      <c r="I1104">
        <v>15</v>
      </c>
      <c r="J1104">
        <v>15</v>
      </c>
      <c r="K1104" s="1">
        <v>45260</v>
      </c>
      <c r="L1104" s="1">
        <v>45383</v>
      </c>
      <c r="M1104" s="1">
        <v>45260</v>
      </c>
      <c r="N1104" s="1">
        <v>45383</v>
      </c>
      <c r="O1104" t="s">
        <v>238</v>
      </c>
      <c r="P1104" t="s">
        <v>19396</v>
      </c>
      <c r="R1104" t="s">
        <v>19397</v>
      </c>
      <c r="T1104" t="s">
        <v>19398</v>
      </c>
      <c r="U1104" t="s">
        <v>358</v>
      </c>
      <c r="V1104" s="8" t="str">
        <f>"12020"</f>
        <v>12020</v>
      </c>
      <c r="W1104" t="s">
        <v>118</v>
      </c>
      <c r="Y1104" s="10">
        <v>15164282608</v>
      </c>
      <c r="AA1104">
        <v>711219</v>
      </c>
      <c r="AB1104" t="s">
        <v>4513</v>
      </c>
      <c r="AC1104" t="s">
        <v>144</v>
      </c>
      <c r="AD1104" t="s">
        <v>17739</v>
      </c>
      <c r="AE1104" t="s">
        <v>629</v>
      </c>
      <c r="AF1104" t="s">
        <v>19397</v>
      </c>
      <c r="AH1104" t="s">
        <v>19398</v>
      </c>
      <c r="AI1104" t="s">
        <v>358</v>
      </c>
      <c r="AJ1104" s="8" t="str">
        <f>"12020"</f>
        <v>12020</v>
      </c>
      <c r="AK1104" t="s">
        <v>118</v>
      </c>
      <c r="AM1104" s="10">
        <v>15164282608</v>
      </c>
      <c r="AO1104" t="s">
        <v>19399</v>
      </c>
      <c r="AP1104" t="s">
        <v>121</v>
      </c>
      <c r="AQ1104" t="s">
        <v>4516</v>
      </c>
      <c r="AR1104" t="s">
        <v>1235</v>
      </c>
      <c r="AT1104" t="s">
        <v>4517</v>
      </c>
      <c r="AU1104" t="s">
        <v>4518</v>
      </c>
      <c r="AV1104" t="s">
        <v>1220</v>
      </c>
      <c r="AW1104" t="s">
        <v>358</v>
      </c>
      <c r="AX1104" s="8" t="str">
        <f>"10165"</f>
        <v>10165</v>
      </c>
      <c r="AY1104" t="s">
        <v>118</v>
      </c>
      <c r="BA1104" s="10">
        <v>12127604400</v>
      </c>
      <c r="BC1104" t="s">
        <v>4519</v>
      </c>
      <c r="BD1104" t="s">
        <v>4520</v>
      </c>
      <c r="BE1104" t="s">
        <v>358</v>
      </c>
      <c r="BF1104" t="s">
        <v>4521</v>
      </c>
      <c r="BG1104" t="s">
        <v>140</v>
      </c>
      <c r="BH1104" s="1">
        <v>45167.833333333336</v>
      </c>
      <c r="BI1104">
        <v>40</v>
      </c>
      <c r="BJ1104">
        <v>8</v>
      </c>
      <c r="BK1104">
        <v>0</v>
      </c>
      <c r="BL1104">
        <v>0</v>
      </c>
      <c r="BM1104">
        <v>8</v>
      </c>
      <c r="BN1104">
        <v>8</v>
      </c>
      <c r="BO1104">
        <v>8</v>
      </c>
      <c r="BP1104">
        <v>8</v>
      </c>
      <c r="BQ1104" t="str">
        <f>"5:00 AM"</f>
        <v>5:00 AM</v>
      </c>
      <c r="BR1104" t="str">
        <f>"11:00 AM"</f>
        <v>11:00 AM</v>
      </c>
      <c r="BS1104" t="s">
        <v>131</v>
      </c>
      <c r="BT1104">
        <v>0</v>
      </c>
      <c r="BU1104">
        <v>0</v>
      </c>
      <c r="BV1104" t="s">
        <v>114</v>
      </c>
      <c r="BX1104" t="s">
        <v>1570</v>
      </c>
      <c r="BY1104" t="s">
        <v>8768</v>
      </c>
      <c r="BZ1104" t="s">
        <v>8769</v>
      </c>
      <c r="CA1104" t="s">
        <v>8770</v>
      </c>
      <c r="CB1104" t="s">
        <v>140</v>
      </c>
      <c r="CC1104" s="8" t="str">
        <f>"33009"</f>
        <v>33009</v>
      </c>
      <c r="CD1104" t="s">
        <v>287</v>
      </c>
      <c r="CE1104" t="s">
        <v>149</v>
      </c>
      <c r="CF1104" s="12">
        <v>16.510000000000002</v>
      </c>
      <c r="CG1104" s="12">
        <v>16.510000000000002</v>
      </c>
      <c r="CH1104" s="12">
        <v>24.77</v>
      </c>
      <c r="CI1104" s="12">
        <v>24.77</v>
      </c>
      <c r="CJ1104" t="s">
        <v>135</v>
      </c>
      <c r="CL1104" t="s">
        <v>19400</v>
      </c>
      <c r="CO1104" t="s">
        <v>132</v>
      </c>
      <c r="CP1104" t="s">
        <v>114</v>
      </c>
      <c r="CQ1104" t="s">
        <v>114</v>
      </c>
      <c r="CR1104" t="s">
        <v>136</v>
      </c>
      <c r="CS1104" t="s">
        <v>114</v>
      </c>
      <c r="CT1104" t="s">
        <v>136</v>
      </c>
      <c r="CU1104" t="s">
        <v>136</v>
      </c>
      <c r="CV1104" s="2" t="s">
        <v>19401</v>
      </c>
      <c r="CW1104" s="10" t="str">
        <f>"+15164282608"</f>
        <v>+15164282608</v>
      </c>
      <c r="CX1104" t="s">
        <v>19399</v>
      </c>
      <c r="CY1104" t="s">
        <v>132</v>
      </c>
      <c r="CZ1104" t="s">
        <v>137</v>
      </c>
      <c r="DA1104" t="s">
        <v>114</v>
      </c>
      <c r="DB1104" t="s">
        <v>114</v>
      </c>
      <c r="DC1104" t="s">
        <v>136</v>
      </c>
      <c r="DD1104" t="s">
        <v>114</v>
      </c>
    </row>
    <row r="1105" spans="1:113" ht="15" customHeight="1" x14ac:dyDescent="0.25">
      <c r="A1105" t="s">
        <v>6587</v>
      </c>
      <c r="B1105" t="s">
        <v>152</v>
      </c>
      <c r="C1105" s="1">
        <v>45174.500228009259</v>
      </c>
      <c r="D1105" s="1">
        <v>45236</v>
      </c>
      <c r="E1105" t="s">
        <v>132</v>
      </c>
      <c r="F1105" t="s">
        <v>293</v>
      </c>
      <c r="G1105" t="str">
        <f>"37-2012.00"</f>
        <v>37-2012.00</v>
      </c>
      <c r="H1105" t="s">
        <v>205</v>
      </c>
      <c r="I1105">
        <v>5</v>
      </c>
      <c r="J1105">
        <v>5</v>
      </c>
      <c r="K1105" s="1">
        <v>45261</v>
      </c>
      <c r="L1105" s="1">
        <v>45382</v>
      </c>
      <c r="M1105" s="1">
        <v>45261</v>
      </c>
      <c r="N1105" s="1">
        <v>45382</v>
      </c>
      <c r="O1105" t="s">
        <v>116</v>
      </c>
      <c r="P1105" t="s">
        <v>3236</v>
      </c>
      <c r="R1105" t="s">
        <v>3237</v>
      </c>
      <c r="S1105" t="s">
        <v>3076</v>
      </c>
      <c r="T1105" t="s">
        <v>3238</v>
      </c>
      <c r="U1105" t="s">
        <v>222</v>
      </c>
      <c r="V1105" s="8" t="str">
        <f>"02169"</f>
        <v>02169</v>
      </c>
      <c r="W1105" t="s">
        <v>118</v>
      </c>
      <c r="Y1105" s="10">
        <v>16177703722</v>
      </c>
      <c r="AA1105">
        <v>72111</v>
      </c>
      <c r="AB1105" t="s">
        <v>3239</v>
      </c>
      <c r="AC1105" t="s">
        <v>1212</v>
      </c>
      <c r="AE1105" t="s">
        <v>3240</v>
      </c>
      <c r="AF1105" t="s">
        <v>3237</v>
      </c>
      <c r="AG1105" t="s">
        <v>3076</v>
      </c>
      <c r="AH1105" t="s">
        <v>3238</v>
      </c>
      <c r="AI1105" t="s">
        <v>222</v>
      </c>
      <c r="AJ1105" s="8" t="str">
        <f>"02169"</f>
        <v>02169</v>
      </c>
      <c r="AK1105" t="s">
        <v>118</v>
      </c>
      <c r="AM1105" s="10">
        <v>12075579208</v>
      </c>
      <c r="AO1105" t="s">
        <v>3241</v>
      </c>
      <c r="AP1105" t="s">
        <v>121</v>
      </c>
      <c r="AQ1105" t="s">
        <v>898</v>
      </c>
      <c r="AR1105" t="s">
        <v>899</v>
      </c>
      <c r="AT1105" t="s">
        <v>900</v>
      </c>
      <c r="AU1105" t="s">
        <v>901</v>
      </c>
      <c r="AV1105" t="s">
        <v>902</v>
      </c>
      <c r="AW1105" t="s">
        <v>903</v>
      </c>
      <c r="AX1105" s="8" t="str">
        <f>"04101"</f>
        <v>04101</v>
      </c>
      <c r="AY1105" t="s">
        <v>118</v>
      </c>
      <c r="BA1105" s="10">
        <v>12077913260</v>
      </c>
      <c r="BC1105" t="s">
        <v>904</v>
      </c>
      <c r="BD1105" t="s">
        <v>905</v>
      </c>
      <c r="BE1105" t="s">
        <v>903</v>
      </c>
      <c r="BF1105" t="s">
        <v>906</v>
      </c>
      <c r="BG1105" t="s">
        <v>903</v>
      </c>
      <c r="BH1105" s="1">
        <v>45173.833333333336</v>
      </c>
      <c r="BI1105">
        <v>35</v>
      </c>
      <c r="BJ1105">
        <v>0</v>
      </c>
      <c r="BK1105">
        <v>7</v>
      </c>
      <c r="BL1105">
        <v>7</v>
      </c>
      <c r="BM1105">
        <v>7</v>
      </c>
      <c r="BN1105">
        <v>7</v>
      </c>
      <c r="BO1105">
        <v>7</v>
      </c>
      <c r="BP1105">
        <v>0</v>
      </c>
      <c r="BQ1105" t="str">
        <f>"8:00 AM"</f>
        <v>8:00 AM</v>
      </c>
      <c r="BR1105" t="str">
        <f>"3:00 PM"</f>
        <v>3:00 PM</v>
      </c>
      <c r="BS1105" t="s">
        <v>131</v>
      </c>
      <c r="BT1105">
        <v>0</v>
      </c>
      <c r="BU1105">
        <v>0</v>
      </c>
      <c r="BV1105" t="s">
        <v>114</v>
      </c>
      <c r="BX1105" t="s">
        <v>6588</v>
      </c>
      <c r="BY1105" t="s">
        <v>6589</v>
      </c>
      <c r="CA1105" t="s">
        <v>4108</v>
      </c>
      <c r="CB1105" t="s">
        <v>903</v>
      </c>
      <c r="CC1105" s="8" t="str">
        <f>"04217"</f>
        <v>04217</v>
      </c>
      <c r="CD1105" t="s">
        <v>4109</v>
      </c>
      <c r="CE1105" t="s">
        <v>2185</v>
      </c>
      <c r="CF1105" s="12">
        <v>15.8</v>
      </c>
      <c r="CG1105" s="12">
        <v>15.8</v>
      </c>
      <c r="CH1105" s="12">
        <v>23.7</v>
      </c>
      <c r="CI1105" s="12">
        <v>23.7</v>
      </c>
      <c r="CJ1105" t="s">
        <v>135</v>
      </c>
      <c r="CK1105" t="s">
        <v>6590</v>
      </c>
      <c r="CL1105" t="s">
        <v>6591</v>
      </c>
      <c r="CO1105" t="s">
        <v>132</v>
      </c>
      <c r="CP1105" t="s">
        <v>114</v>
      </c>
      <c r="CQ1105" t="s">
        <v>114</v>
      </c>
      <c r="CR1105" t="s">
        <v>136</v>
      </c>
      <c r="CS1105" t="s">
        <v>136</v>
      </c>
      <c r="CT1105" t="s">
        <v>136</v>
      </c>
      <c r="CU1105" t="s">
        <v>136</v>
      </c>
      <c r="CV1105" t="s">
        <v>3243</v>
      </c>
      <c r="CW1105" s="10" t="str">
        <f>"+12076455800"</f>
        <v>+12076455800</v>
      </c>
      <c r="CX1105" t="s">
        <v>3244</v>
      </c>
      <c r="CY1105" t="s">
        <v>4111</v>
      </c>
      <c r="CZ1105" t="s">
        <v>137</v>
      </c>
      <c r="DA1105" t="s">
        <v>114</v>
      </c>
      <c r="DB1105" t="s">
        <v>114</v>
      </c>
      <c r="DC1105" t="s">
        <v>136</v>
      </c>
      <c r="DD1105" t="s">
        <v>114</v>
      </c>
    </row>
    <row r="1106" spans="1:113" ht="15" customHeight="1" x14ac:dyDescent="0.25">
      <c r="A1106" t="s">
        <v>4105</v>
      </c>
      <c r="B1106" t="s">
        <v>152</v>
      </c>
      <c r="C1106" s="1">
        <v>45174.495879861111</v>
      </c>
      <c r="D1106" s="1">
        <v>45236</v>
      </c>
      <c r="E1106" t="s">
        <v>132</v>
      </c>
      <c r="F1106" t="s">
        <v>1059</v>
      </c>
      <c r="G1106" t="str">
        <f>"35-2014.00"</f>
        <v>35-2014.00</v>
      </c>
      <c r="H1106" t="s">
        <v>154</v>
      </c>
      <c r="I1106">
        <v>3</v>
      </c>
      <c r="J1106">
        <v>3</v>
      </c>
      <c r="K1106" s="1">
        <v>45261</v>
      </c>
      <c r="L1106" s="1">
        <v>45382</v>
      </c>
      <c r="M1106" s="1">
        <v>45261</v>
      </c>
      <c r="N1106" s="1">
        <v>45382</v>
      </c>
      <c r="O1106" t="s">
        <v>116</v>
      </c>
      <c r="P1106" t="s">
        <v>3236</v>
      </c>
      <c r="R1106" t="s">
        <v>3237</v>
      </c>
      <c r="S1106" t="s">
        <v>3076</v>
      </c>
      <c r="T1106" t="s">
        <v>3238</v>
      </c>
      <c r="U1106" t="s">
        <v>222</v>
      </c>
      <c r="V1106" s="8" t="str">
        <f>"02169"</f>
        <v>02169</v>
      </c>
      <c r="W1106" t="s">
        <v>118</v>
      </c>
      <c r="Y1106" s="10">
        <v>16177703722</v>
      </c>
      <c r="AA1106">
        <v>72111</v>
      </c>
      <c r="AB1106" t="s">
        <v>3239</v>
      </c>
      <c r="AC1106" t="s">
        <v>1212</v>
      </c>
      <c r="AE1106" t="s">
        <v>3240</v>
      </c>
      <c r="AF1106" t="s">
        <v>3237</v>
      </c>
      <c r="AG1106" t="s">
        <v>3076</v>
      </c>
      <c r="AH1106" t="s">
        <v>3238</v>
      </c>
      <c r="AI1106" t="s">
        <v>222</v>
      </c>
      <c r="AJ1106" s="8" t="str">
        <f>"02169"</f>
        <v>02169</v>
      </c>
      <c r="AK1106" t="s">
        <v>118</v>
      </c>
      <c r="AM1106" s="10">
        <v>12075579208</v>
      </c>
      <c r="AO1106" t="s">
        <v>3241</v>
      </c>
      <c r="AP1106" t="s">
        <v>121</v>
      </c>
      <c r="AQ1106" t="s">
        <v>898</v>
      </c>
      <c r="AR1106" t="s">
        <v>3877</v>
      </c>
      <c r="AT1106" t="s">
        <v>900</v>
      </c>
      <c r="AU1106" t="s">
        <v>3878</v>
      </c>
      <c r="AV1106" t="s">
        <v>902</v>
      </c>
      <c r="AW1106" t="s">
        <v>903</v>
      </c>
      <c r="AX1106" s="8" t="str">
        <f>"04101"</f>
        <v>04101</v>
      </c>
      <c r="AY1106" t="s">
        <v>118</v>
      </c>
      <c r="BA1106" s="10">
        <v>12077913000</v>
      </c>
      <c r="BB1106">
        <v>3260</v>
      </c>
      <c r="BC1106" t="s">
        <v>904</v>
      </c>
      <c r="BD1106" t="s">
        <v>905</v>
      </c>
      <c r="BE1106" t="s">
        <v>903</v>
      </c>
      <c r="BF1106" t="s">
        <v>4106</v>
      </c>
      <c r="BG1106" t="s">
        <v>903</v>
      </c>
      <c r="BH1106" s="1">
        <v>45173.833333333336</v>
      </c>
      <c r="BI1106">
        <v>35</v>
      </c>
      <c r="BJ1106">
        <v>0</v>
      </c>
      <c r="BK1106">
        <v>7</v>
      </c>
      <c r="BL1106">
        <v>7</v>
      </c>
      <c r="BM1106">
        <v>7</v>
      </c>
      <c r="BN1106">
        <v>7</v>
      </c>
      <c r="BO1106">
        <v>7</v>
      </c>
      <c r="BP1106">
        <v>0</v>
      </c>
      <c r="BQ1106" t="str">
        <f>"8:00 AM"</f>
        <v>8:00 AM</v>
      </c>
      <c r="BR1106" t="str">
        <f>"3:00 PM"</f>
        <v>3:00 PM</v>
      </c>
      <c r="BS1106" t="s">
        <v>131</v>
      </c>
      <c r="BT1106">
        <v>0</v>
      </c>
      <c r="BU1106">
        <v>0</v>
      </c>
      <c r="BV1106" t="s">
        <v>114</v>
      </c>
      <c r="BX1106" t="s">
        <v>3879</v>
      </c>
      <c r="BY1106" t="s">
        <v>4107</v>
      </c>
      <c r="CA1106" t="s">
        <v>4108</v>
      </c>
      <c r="CB1106" t="s">
        <v>903</v>
      </c>
      <c r="CC1106" s="8" t="str">
        <f>"04217"</f>
        <v>04217</v>
      </c>
      <c r="CD1106" t="s">
        <v>4109</v>
      </c>
      <c r="CE1106" t="s">
        <v>2185</v>
      </c>
      <c r="CF1106" s="12">
        <v>17.57</v>
      </c>
      <c r="CG1106" s="12">
        <v>17.57</v>
      </c>
      <c r="CH1106" s="12">
        <v>26.36</v>
      </c>
      <c r="CI1106" s="12">
        <v>26.36</v>
      </c>
      <c r="CJ1106" t="s">
        <v>135</v>
      </c>
      <c r="CK1106" t="s">
        <v>3347</v>
      </c>
      <c r="CL1106" t="s">
        <v>4110</v>
      </c>
      <c r="CO1106" t="s">
        <v>132</v>
      </c>
      <c r="CP1106" t="s">
        <v>114</v>
      </c>
      <c r="CQ1106" t="s">
        <v>114</v>
      </c>
      <c r="CR1106" t="s">
        <v>136</v>
      </c>
      <c r="CS1106" t="s">
        <v>136</v>
      </c>
      <c r="CT1106" t="s">
        <v>136</v>
      </c>
      <c r="CU1106" t="s">
        <v>136</v>
      </c>
      <c r="CV1106" t="s">
        <v>3348</v>
      </c>
      <c r="CW1106" s="10" t="str">
        <f>"+12076455800"</f>
        <v>+12076455800</v>
      </c>
      <c r="CX1106" t="s">
        <v>3244</v>
      </c>
      <c r="CY1106" t="s">
        <v>4111</v>
      </c>
      <c r="CZ1106" t="s">
        <v>137</v>
      </c>
      <c r="DA1106" t="s">
        <v>114</v>
      </c>
      <c r="DB1106" t="s">
        <v>114</v>
      </c>
      <c r="DC1106" t="s">
        <v>136</v>
      </c>
      <c r="DD1106" t="s">
        <v>114</v>
      </c>
    </row>
    <row r="1107" spans="1:113" ht="15" customHeight="1" x14ac:dyDescent="0.25">
      <c r="A1107" t="s">
        <v>4527</v>
      </c>
      <c r="B1107" t="s">
        <v>152</v>
      </c>
      <c r="C1107" s="1">
        <v>45170.440652083336</v>
      </c>
      <c r="D1107" s="1">
        <v>45236</v>
      </c>
      <c r="E1107" t="s">
        <v>132</v>
      </c>
      <c r="F1107" t="s">
        <v>4528</v>
      </c>
      <c r="G1107" t="str">
        <f>"37-2011.00"</f>
        <v>37-2011.00</v>
      </c>
      <c r="H1107" t="s">
        <v>1089</v>
      </c>
      <c r="I1107">
        <v>10</v>
      </c>
      <c r="J1107">
        <v>10</v>
      </c>
      <c r="K1107" s="1">
        <v>45245</v>
      </c>
      <c r="L1107" s="1">
        <v>45376</v>
      </c>
      <c r="M1107" s="1">
        <v>45245</v>
      </c>
      <c r="N1107" s="1">
        <v>45376</v>
      </c>
      <c r="O1107" t="s">
        <v>238</v>
      </c>
      <c r="P1107" t="s">
        <v>4529</v>
      </c>
      <c r="Q1107" t="s">
        <v>132</v>
      </c>
      <c r="R1107" t="s">
        <v>4530</v>
      </c>
      <c r="S1107" t="s">
        <v>4531</v>
      </c>
      <c r="T1107" t="s">
        <v>4532</v>
      </c>
      <c r="U1107" t="s">
        <v>740</v>
      </c>
      <c r="V1107" s="8" t="str">
        <f>"52235"</f>
        <v>52235</v>
      </c>
      <c r="W1107" t="s">
        <v>118</v>
      </c>
      <c r="Y1107" s="10">
        <v>13196219549</v>
      </c>
      <c r="AA1107">
        <v>56173</v>
      </c>
      <c r="AB1107" t="s">
        <v>4533</v>
      </c>
      <c r="AC1107" t="s">
        <v>3145</v>
      </c>
      <c r="AD1107" t="s">
        <v>1738</v>
      </c>
      <c r="AE1107" t="s">
        <v>4534</v>
      </c>
      <c r="AF1107" t="s">
        <v>4530</v>
      </c>
      <c r="AG1107" t="s">
        <v>4535</v>
      </c>
      <c r="AH1107" t="s">
        <v>4532</v>
      </c>
      <c r="AI1107" t="s">
        <v>740</v>
      </c>
      <c r="AJ1107" s="8" t="str">
        <f>"52235"</f>
        <v>52235</v>
      </c>
      <c r="AK1107" t="s">
        <v>118</v>
      </c>
      <c r="AM1107" s="10">
        <v>13196219549</v>
      </c>
      <c r="AO1107" t="s">
        <v>4536</v>
      </c>
      <c r="AP1107" t="s">
        <v>248</v>
      </c>
      <c r="AQ1107" t="s">
        <v>1962</v>
      </c>
      <c r="AR1107" t="s">
        <v>1963</v>
      </c>
      <c r="AS1107" t="s">
        <v>1964</v>
      </c>
      <c r="AT1107" t="s">
        <v>1965</v>
      </c>
      <c r="AV1107" t="s">
        <v>1966</v>
      </c>
      <c r="AW1107" t="s">
        <v>740</v>
      </c>
      <c r="AX1107" s="8" t="str">
        <f>"52761"</f>
        <v>52761</v>
      </c>
      <c r="AY1107" t="s">
        <v>118</v>
      </c>
      <c r="BA1107" s="10">
        <v>13194000335</v>
      </c>
      <c r="BC1107" t="s">
        <v>1967</v>
      </c>
      <c r="BD1107" t="s">
        <v>1968</v>
      </c>
      <c r="BG1107" t="s">
        <v>740</v>
      </c>
      <c r="BH1107" s="1">
        <v>45168.833333333336</v>
      </c>
      <c r="BI1107">
        <v>40</v>
      </c>
      <c r="BJ1107">
        <v>0</v>
      </c>
      <c r="BK1107">
        <v>8</v>
      </c>
      <c r="BL1107">
        <v>8</v>
      </c>
      <c r="BM1107">
        <v>8</v>
      </c>
      <c r="BN1107">
        <v>8</v>
      </c>
      <c r="BO1107">
        <v>8</v>
      </c>
      <c r="BP1107">
        <v>0</v>
      </c>
      <c r="BQ1107" t="str">
        <f>"8:00 AM"</f>
        <v>8:00 AM</v>
      </c>
      <c r="BR1107" t="str">
        <f>"4:00 PM"</f>
        <v>4:00 PM</v>
      </c>
      <c r="BS1107" t="s">
        <v>131</v>
      </c>
      <c r="BT1107">
        <v>0</v>
      </c>
      <c r="BU1107">
        <v>0</v>
      </c>
      <c r="BV1107" t="s">
        <v>114</v>
      </c>
      <c r="BX1107" s="2" t="s">
        <v>4537</v>
      </c>
      <c r="BY1107" t="s">
        <v>4538</v>
      </c>
      <c r="CA1107" t="s">
        <v>4532</v>
      </c>
      <c r="CB1107" t="s">
        <v>740</v>
      </c>
      <c r="CC1107" s="8" t="str">
        <f>"52235"</f>
        <v>52235</v>
      </c>
      <c r="CD1107" t="s">
        <v>1969</v>
      </c>
      <c r="CE1107" t="s">
        <v>1970</v>
      </c>
      <c r="CF1107" s="12">
        <v>17</v>
      </c>
      <c r="CG1107" s="12">
        <v>17</v>
      </c>
      <c r="CH1107" s="12">
        <v>25.5</v>
      </c>
      <c r="CI1107" s="12">
        <v>25.5</v>
      </c>
      <c r="CJ1107" t="s">
        <v>135</v>
      </c>
      <c r="CK1107" t="s">
        <v>4539</v>
      </c>
      <c r="CL1107" t="s">
        <v>4540</v>
      </c>
      <c r="CO1107" t="s">
        <v>132</v>
      </c>
      <c r="CP1107" t="s">
        <v>136</v>
      </c>
      <c r="CQ1107" t="s">
        <v>114</v>
      </c>
      <c r="CR1107" t="s">
        <v>136</v>
      </c>
      <c r="CS1107" t="s">
        <v>114</v>
      </c>
      <c r="CT1107" t="s">
        <v>136</v>
      </c>
      <c r="CU1107" t="s">
        <v>114</v>
      </c>
      <c r="CV1107" s="2" t="s">
        <v>4541</v>
      </c>
      <c r="CW1107" s="10" t="str">
        <f>"+13196794990"</f>
        <v>+13196794990</v>
      </c>
      <c r="CX1107" t="s">
        <v>4536</v>
      </c>
      <c r="CY1107" t="s">
        <v>132</v>
      </c>
      <c r="CZ1107" t="s">
        <v>137</v>
      </c>
      <c r="DA1107" t="s">
        <v>114</v>
      </c>
      <c r="DB1107" t="s">
        <v>136</v>
      </c>
      <c r="DC1107" t="s">
        <v>136</v>
      </c>
      <c r="DD1107" t="s">
        <v>114</v>
      </c>
    </row>
    <row r="1108" spans="1:113" ht="15" customHeight="1" x14ac:dyDescent="0.25">
      <c r="A1108" t="s">
        <v>10184</v>
      </c>
      <c r="B1108" t="s">
        <v>152</v>
      </c>
      <c r="C1108" s="1">
        <v>45168.7316587963</v>
      </c>
      <c r="D1108" s="1">
        <v>45236</v>
      </c>
      <c r="E1108" t="s">
        <v>114</v>
      </c>
      <c r="F1108" t="s">
        <v>944</v>
      </c>
      <c r="G1108" t="str">
        <f>"49-9098.00"</f>
        <v>49-9098.00</v>
      </c>
      <c r="H1108" t="s">
        <v>945</v>
      </c>
      <c r="I1108">
        <v>5</v>
      </c>
      <c r="J1108">
        <v>5</v>
      </c>
      <c r="K1108" s="1">
        <v>45243</v>
      </c>
      <c r="L1108" s="1">
        <v>45337</v>
      </c>
      <c r="M1108" s="1">
        <v>45243</v>
      </c>
      <c r="N1108" s="1">
        <v>45337</v>
      </c>
      <c r="O1108" t="s">
        <v>238</v>
      </c>
      <c r="P1108" t="s">
        <v>9738</v>
      </c>
      <c r="R1108" t="s">
        <v>9739</v>
      </c>
      <c r="S1108" t="s">
        <v>10185</v>
      </c>
      <c r="T1108" t="s">
        <v>9741</v>
      </c>
      <c r="U1108" t="s">
        <v>2608</v>
      </c>
      <c r="V1108" s="8" t="str">
        <f>"73018"</f>
        <v>73018</v>
      </c>
      <c r="W1108" t="s">
        <v>118</v>
      </c>
      <c r="Y1108" s="10">
        <v>14058330012</v>
      </c>
      <c r="Z1108" s="3" t="s">
        <v>256</v>
      </c>
      <c r="AA1108">
        <v>71399</v>
      </c>
      <c r="AB1108" t="s">
        <v>5831</v>
      </c>
      <c r="AC1108" t="s">
        <v>1872</v>
      </c>
      <c r="AE1108" t="s">
        <v>561</v>
      </c>
      <c r="AF1108" t="s">
        <v>9739</v>
      </c>
      <c r="AH1108" t="s">
        <v>9741</v>
      </c>
      <c r="AI1108" t="s">
        <v>2608</v>
      </c>
      <c r="AJ1108" s="8" t="str">
        <f>"73018"</f>
        <v>73018</v>
      </c>
      <c r="AK1108" t="s">
        <v>118</v>
      </c>
      <c r="AM1108" s="10">
        <v>14058330012</v>
      </c>
      <c r="AN1108" s="3" t="s">
        <v>256</v>
      </c>
      <c r="AO1108" t="s">
        <v>9742</v>
      </c>
      <c r="AP1108" t="s">
        <v>248</v>
      </c>
      <c r="AQ1108" t="s">
        <v>249</v>
      </c>
      <c r="AR1108" t="s">
        <v>250</v>
      </c>
      <c r="AS1108" t="s">
        <v>251</v>
      </c>
      <c r="AT1108" t="s">
        <v>252</v>
      </c>
      <c r="AU1108" t="s">
        <v>253</v>
      </c>
      <c r="AV1108" t="s">
        <v>254</v>
      </c>
      <c r="AW1108" t="s">
        <v>127</v>
      </c>
      <c r="AX1108" s="8" t="str">
        <f>"78550"</f>
        <v>78550</v>
      </c>
      <c r="AY1108" t="s">
        <v>118</v>
      </c>
      <c r="AZ1108" t="s">
        <v>255</v>
      </c>
      <c r="BA1108" s="10">
        <v>19564408720</v>
      </c>
      <c r="BB1108" s="3" t="s">
        <v>256</v>
      </c>
      <c r="BC1108" t="s">
        <v>338</v>
      </c>
      <c r="BD1108" t="s">
        <v>258</v>
      </c>
      <c r="BG1108" t="s">
        <v>2608</v>
      </c>
      <c r="BH1108" s="1">
        <v>45167.833333333336</v>
      </c>
      <c r="BI1108">
        <v>40</v>
      </c>
      <c r="BJ1108">
        <v>0</v>
      </c>
      <c r="BK1108">
        <v>8</v>
      </c>
      <c r="BL1108">
        <v>8</v>
      </c>
      <c r="BM1108">
        <v>8</v>
      </c>
      <c r="BN1108">
        <v>8</v>
      </c>
      <c r="BO1108">
        <v>8</v>
      </c>
      <c r="BP1108">
        <v>0</v>
      </c>
      <c r="BQ1108" t="str">
        <f>"9:00 AM"</f>
        <v>9:00 AM</v>
      </c>
      <c r="BR1108" t="str">
        <f>"5:00 PM"</f>
        <v>5:00 PM</v>
      </c>
      <c r="BS1108" t="s">
        <v>131</v>
      </c>
      <c r="BT1108">
        <v>0</v>
      </c>
      <c r="BU1108">
        <v>0</v>
      </c>
      <c r="BV1108" t="s">
        <v>114</v>
      </c>
      <c r="BX1108" t="s">
        <v>946</v>
      </c>
      <c r="BY1108" t="s">
        <v>9739</v>
      </c>
      <c r="CA1108" t="s">
        <v>9741</v>
      </c>
      <c r="CB1108" t="s">
        <v>2608</v>
      </c>
      <c r="CC1108" s="8" t="str">
        <f>"73018"</f>
        <v>73018</v>
      </c>
      <c r="CD1108" t="s">
        <v>5836</v>
      </c>
      <c r="CE1108" t="s">
        <v>3577</v>
      </c>
      <c r="CF1108" s="12">
        <v>15.77</v>
      </c>
      <c r="CG1108" s="12">
        <v>15.77</v>
      </c>
      <c r="CH1108" s="12">
        <v>0</v>
      </c>
      <c r="CI1108" s="12">
        <v>0</v>
      </c>
      <c r="CJ1108" t="s">
        <v>135</v>
      </c>
      <c r="CK1108" t="s">
        <v>342</v>
      </c>
      <c r="CL1108" t="s">
        <v>10186</v>
      </c>
      <c r="CO1108" t="s">
        <v>132</v>
      </c>
      <c r="CP1108" t="s">
        <v>114</v>
      </c>
      <c r="CQ1108" t="s">
        <v>136</v>
      </c>
      <c r="CR1108" t="s">
        <v>114</v>
      </c>
      <c r="CS1108" t="s">
        <v>136</v>
      </c>
      <c r="CT1108" t="s">
        <v>136</v>
      </c>
      <c r="CU1108" t="s">
        <v>136</v>
      </c>
      <c r="CV1108" t="s">
        <v>9745</v>
      </c>
      <c r="CW1108" s="10" t="str">
        <f>"+14058330012"</f>
        <v>+14058330012</v>
      </c>
      <c r="CX1108" t="s">
        <v>9742</v>
      </c>
      <c r="CY1108" t="s">
        <v>132</v>
      </c>
      <c r="CZ1108" t="s">
        <v>137</v>
      </c>
      <c r="DA1108" t="s">
        <v>114</v>
      </c>
      <c r="DB1108" t="s">
        <v>136</v>
      </c>
      <c r="DC1108" t="s">
        <v>136</v>
      </c>
      <c r="DD1108" t="s">
        <v>114</v>
      </c>
    </row>
    <row r="1109" spans="1:113" ht="15" customHeight="1" x14ac:dyDescent="0.25">
      <c r="A1109" t="s">
        <v>8389</v>
      </c>
      <c r="B1109" t="s">
        <v>152</v>
      </c>
      <c r="C1109" s="1">
        <v>45167.926205555559</v>
      </c>
      <c r="D1109" s="1">
        <v>45236</v>
      </c>
      <c r="E1109" t="s">
        <v>114</v>
      </c>
      <c r="F1109" t="s">
        <v>1364</v>
      </c>
      <c r="G1109" t="str">
        <f>"35-9011.00"</f>
        <v>35-9011.00</v>
      </c>
      <c r="H1109" t="s">
        <v>1512</v>
      </c>
      <c r="I1109">
        <v>13</v>
      </c>
      <c r="J1109">
        <v>13</v>
      </c>
      <c r="K1109" s="1">
        <v>45257</v>
      </c>
      <c r="L1109" s="1">
        <v>45396</v>
      </c>
      <c r="M1109" s="1">
        <v>45257</v>
      </c>
      <c r="N1109" s="1">
        <v>45396</v>
      </c>
      <c r="O1109" t="s">
        <v>238</v>
      </c>
      <c r="P1109" t="s">
        <v>4360</v>
      </c>
      <c r="Q1109" t="s">
        <v>4361</v>
      </c>
      <c r="R1109" t="s">
        <v>4362</v>
      </c>
      <c r="S1109" t="s">
        <v>4363</v>
      </c>
      <c r="T1109" t="s">
        <v>210</v>
      </c>
      <c r="U1109" t="s">
        <v>211</v>
      </c>
      <c r="V1109" s="8" t="str">
        <f>"84060"</f>
        <v>84060</v>
      </c>
      <c r="W1109" t="s">
        <v>118</v>
      </c>
      <c r="Y1109" s="10">
        <v>14356456653</v>
      </c>
      <c r="AA1109">
        <v>72111</v>
      </c>
      <c r="AB1109" t="s">
        <v>4364</v>
      </c>
      <c r="AC1109" t="s">
        <v>4365</v>
      </c>
      <c r="AE1109" t="s">
        <v>2016</v>
      </c>
      <c r="AF1109" t="s">
        <v>4363</v>
      </c>
      <c r="AG1109" t="s">
        <v>4362</v>
      </c>
      <c r="AH1109" t="s">
        <v>210</v>
      </c>
      <c r="AI1109" t="s">
        <v>211</v>
      </c>
      <c r="AJ1109" s="8" t="str">
        <f>"84060"</f>
        <v>84060</v>
      </c>
      <c r="AK1109" t="s">
        <v>118</v>
      </c>
      <c r="AM1109" s="10">
        <v>14356456653</v>
      </c>
      <c r="AO1109" t="s">
        <v>4367</v>
      </c>
      <c r="AP1109" t="s">
        <v>121</v>
      </c>
      <c r="AQ1109" t="s">
        <v>1675</v>
      </c>
      <c r="AR1109" t="s">
        <v>1676</v>
      </c>
      <c r="AS1109" t="s">
        <v>1677</v>
      </c>
      <c r="AT1109" t="s">
        <v>1678</v>
      </c>
      <c r="AU1109" t="s">
        <v>296</v>
      </c>
      <c r="AV1109" t="s">
        <v>1679</v>
      </c>
      <c r="AW1109" t="s">
        <v>402</v>
      </c>
      <c r="AX1109" s="8" t="str">
        <f>"91361"</f>
        <v>91361</v>
      </c>
      <c r="AY1109" t="s">
        <v>118</v>
      </c>
      <c r="BA1109" s="10">
        <v>18052611393</v>
      </c>
      <c r="BC1109" t="s">
        <v>1680</v>
      </c>
      <c r="BD1109" t="s">
        <v>1681</v>
      </c>
      <c r="BE1109" t="s">
        <v>140</v>
      </c>
      <c r="BF1109" t="s">
        <v>146</v>
      </c>
      <c r="BG1109" t="s">
        <v>211</v>
      </c>
      <c r="BH1109" s="1">
        <v>45158.833333333336</v>
      </c>
      <c r="BI1109">
        <v>35</v>
      </c>
      <c r="BJ1109">
        <v>5</v>
      </c>
      <c r="BK1109">
        <v>5</v>
      </c>
      <c r="BL1109">
        <v>5</v>
      </c>
      <c r="BM1109">
        <v>5</v>
      </c>
      <c r="BN1109">
        <v>5</v>
      </c>
      <c r="BO1109">
        <v>5</v>
      </c>
      <c r="BP1109">
        <v>5</v>
      </c>
      <c r="BQ1109" t="str">
        <f>"7:15 AM"</f>
        <v>7:15 AM</v>
      </c>
      <c r="BR1109" t="str">
        <f>"4:30 PM"</f>
        <v>4:30 PM</v>
      </c>
      <c r="BS1109" t="s">
        <v>131</v>
      </c>
      <c r="BT1109">
        <v>0</v>
      </c>
      <c r="BU1109">
        <v>0</v>
      </c>
      <c r="BV1109" t="s">
        <v>114</v>
      </c>
      <c r="BX1109" s="2" t="s">
        <v>8390</v>
      </c>
      <c r="BY1109" t="s">
        <v>4362</v>
      </c>
      <c r="CA1109" t="s">
        <v>210</v>
      </c>
      <c r="CB1109" t="s">
        <v>211</v>
      </c>
      <c r="CC1109" s="8" t="str">
        <f>"84060"</f>
        <v>84060</v>
      </c>
      <c r="CD1109" t="s">
        <v>228</v>
      </c>
      <c r="CE1109" t="s">
        <v>229</v>
      </c>
      <c r="CF1109" s="12">
        <v>11.2</v>
      </c>
      <c r="CG1109" s="12">
        <v>25.32</v>
      </c>
      <c r="CH1109" s="12">
        <v>16.8</v>
      </c>
      <c r="CI1109" s="12">
        <v>37.979999999999997</v>
      </c>
      <c r="CJ1109" t="s">
        <v>135</v>
      </c>
      <c r="CK1109" t="s">
        <v>4369</v>
      </c>
      <c r="CL1109" t="s">
        <v>8391</v>
      </c>
      <c r="CO1109" t="s">
        <v>132</v>
      </c>
      <c r="CP1109" t="s">
        <v>136</v>
      </c>
      <c r="CQ1109" t="s">
        <v>114</v>
      </c>
      <c r="CR1109" t="s">
        <v>136</v>
      </c>
      <c r="CS1109" t="s">
        <v>136</v>
      </c>
      <c r="CT1109" t="s">
        <v>136</v>
      </c>
      <c r="CU1109" t="s">
        <v>136</v>
      </c>
      <c r="CV1109" s="2" t="s">
        <v>8392</v>
      </c>
      <c r="CW1109" s="10" t="str">
        <f>"+14355132063"</f>
        <v>+14355132063</v>
      </c>
      <c r="CX1109" t="s">
        <v>8393</v>
      </c>
      <c r="CY1109" t="s">
        <v>132</v>
      </c>
      <c r="CZ1109" t="s">
        <v>137</v>
      </c>
      <c r="DA1109" t="s">
        <v>114</v>
      </c>
      <c r="DB1109" t="s">
        <v>114</v>
      </c>
      <c r="DC1109" t="s">
        <v>136</v>
      </c>
      <c r="DD1109" t="s">
        <v>114</v>
      </c>
    </row>
    <row r="1110" spans="1:113" ht="15" customHeight="1" x14ac:dyDescent="0.25">
      <c r="A1110" t="s">
        <v>21507</v>
      </c>
      <c r="B1110" t="s">
        <v>152</v>
      </c>
      <c r="C1110" s="1">
        <v>45166.596185995368</v>
      </c>
      <c r="D1110" s="1">
        <v>45236</v>
      </c>
      <c r="E1110" t="s">
        <v>114</v>
      </c>
      <c r="F1110" t="s">
        <v>3544</v>
      </c>
      <c r="G1110" t="str">
        <f>"51-3022.00"</f>
        <v>51-3022.00</v>
      </c>
      <c r="H1110" t="s">
        <v>1004</v>
      </c>
      <c r="I1110">
        <v>10</v>
      </c>
      <c r="J1110">
        <v>10</v>
      </c>
      <c r="K1110" s="1">
        <v>45255</v>
      </c>
      <c r="L1110" s="1">
        <v>45473</v>
      </c>
      <c r="M1110" s="1">
        <v>45255</v>
      </c>
      <c r="N1110" s="1">
        <v>45473</v>
      </c>
      <c r="O1110" t="s">
        <v>238</v>
      </c>
      <c r="P1110" t="s">
        <v>21508</v>
      </c>
      <c r="R1110" t="s">
        <v>21509</v>
      </c>
      <c r="S1110" t="s">
        <v>21510</v>
      </c>
      <c r="T1110" t="s">
        <v>17836</v>
      </c>
      <c r="U1110" t="s">
        <v>333</v>
      </c>
      <c r="V1110" s="8" t="str">
        <f>"71327"</f>
        <v>71327</v>
      </c>
      <c r="W1110" t="s">
        <v>118</v>
      </c>
      <c r="Y1110" s="10">
        <v>13188762716</v>
      </c>
      <c r="AA1110">
        <v>311710</v>
      </c>
      <c r="AB1110" t="s">
        <v>929</v>
      </c>
      <c r="AC1110" t="s">
        <v>250</v>
      </c>
      <c r="AE1110" t="s">
        <v>561</v>
      </c>
      <c r="AF1110" t="s">
        <v>21509</v>
      </c>
      <c r="AG1110" t="s">
        <v>21510</v>
      </c>
      <c r="AH1110" t="s">
        <v>17836</v>
      </c>
      <c r="AI1110" t="s">
        <v>333</v>
      </c>
      <c r="AJ1110" s="8" t="str">
        <f>"71327"</f>
        <v>71327</v>
      </c>
      <c r="AK1110" t="s">
        <v>118</v>
      </c>
      <c r="AM1110" s="10">
        <v>13188762716</v>
      </c>
      <c r="AO1110" t="s">
        <v>17834</v>
      </c>
      <c r="AP1110" t="s">
        <v>121</v>
      </c>
      <c r="AQ1110" t="s">
        <v>11587</v>
      </c>
      <c r="AR1110" t="s">
        <v>5623</v>
      </c>
      <c r="AS1110" t="s">
        <v>2787</v>
      </c>
      <c r="AT1110" t="s">
        <v>7421</v>
      </c>
      <c r="AU1110" t="s">
        <v>7422</v>
      </c>
      <c r="AV1110" t="s">
        <v>3501</v>
      </c>
      <c r="AW1110" t="s">
        <v>127</v>
      </c>
      <c r="AX1110" s="8" t="str">
        <f>"75082"</f>
        <v>75082</v>
      </c>
      <c r="AY1110" t="s">
        <v>118</v>
      </c>
      <c r="BA1110" s="10">
        <v>14699624396</v>
      </c>
      <c r="BC1110" t="s">
        <v>11588</v>
      </c>
      <c r="BD1110" t="s">
        <v>7424</v>
      </c>
      <c r="BE1110" t="s">
        <v>375</v>
      </c>
      <c r="BF1110" t="s">
        <v>1223</v>
      </c>
      <c r="BG1110" t="s">
        <v>333</v>
      </c>
      <c r="BH1110" s="1">
        <v>45161.833333333336</v>
      </c>
      <c r="BI1110">
        <v>35</v>
      </c>
      <c r="BJ1110">
        <v>0</v>
      </c>
      <c r="BK1110">
        <v>7</v>
      </c>
      <c r="BL1110">
        <v>7</v>
      </c>
      <c r="BM1110">
        <v>7</v>
      </c>
      <c r="BN1110">
        <v>7</v>
      </c>
      <c r="BO1110">
        <v>7</v>
      </c>
      <c r="BP1110">
        <v>0</v>
      </c>
      <c r="BQ1110" t="str">
        <f>"8:00 AM"</f>
        <v>8:00 AM</v>
      </c>
      <c r="BR1110" t="str">
        <f>"4:00 PM"</f>
        <v>4:00 PM</v>
      </c>
      <c r="BS1110" t="s">
        <v>131</v>
      </c>
      <c r="BT1110">
        <v>0</v>
      </c>
      <c r="BU1110">
        <v>1</v>
      </c>
      <c r="BV1110" t="s">
        <v>114</v>
      </c>
      <c r="BX1110" t="s">
        <v>21511</v>
      </c>
      <c r="BY1110" t="s">
        <v>21509</v>
      </c>
      <c r="CA1110" t="s">
        <v>17836</v>
      </c>
      <c r="CB1110" t="s">
        <v>333</v>
      </c>
      <c r="CC1110" s="8" t="str">
        <f>"71327"</f>
        <v>71327</v>
      </c>
      <c r="CD1110" t="s">
        <v>17837</v>
      </c>
      <c r="CE1110" t="s">
        <v>4268</v>
      </c>
      <c r="CF1110" s="12">
        <v>13.24</v>
      </c>
      <c r="CG1110" s="12">
        <v>13.24</v>
      </c>
      <c r="CH1110" s="12">
        <v>19.86</v>
      </c>
      <c r="CI1110" s="12">
        <v>19.86</v>
      </c>
      <c r="CJ1110" t="s">
        <v>135</v>
      </c>
      <c r="CL1110" t="s">
        <v>21512</v>
      </c>
      <c r="CO1110" t="s">
        <v>132</v>
      </c>
      <c r="CP1110" t="s">
        <v>136</v>
      </c>
      <c r="CQ1110" t="s">
        <v>136</v>
      </c>
      <c r="CR1110" t="s">
        <v>136</v>
      </c>
      <c r="CS1110" t="s">
        <v>114</v>
      </c>
      <c r="CT1110" t="s">
        <v>136</v>
      </c>
      <c r="CU1110" t="s">
        <v>136</v>
      </c>
      <c r="CV1110" t="s">
        <v>21513</v>
      </c>
      <c r="CW1110" s="10" t="str">
        <f>"+13188762716"</f>
        <v>+13188762716</v>
      </c>
      <c r="CX1110" t="s">
        <v>17834</v>
      </c>
      <c r="CY1110" t="s">
        <v>132</v>
      </c>
      <c r="CZ1110" t="s">
        <v>137</v>
      </c>
      <c r="DA1110" t="s">
        <v>114</v>
      </c>
      <c r="DB1110" t="s">
        <v>114</v>
      </c>
      <c r="DC1110" t="s">
        <v>136</v>
      </c>
      <c r="DD1110" t="s">
        <v>114</v>
      </c>
      <c r="DE1110" t="s">
        <v>7425</v>
      </c>
      <c r="DF1110" t="s">
        <v>2001</v>
      </c>
      <c r="DG1110" t="s">
        <v>3587</v>
      </c>
      <c r="DH1110" t="s">
        <v>7424</v>
      </c>
      <c r="DI1110" t="s">
        <v>7426</v>
      </c>
    </row>
    <row r="1111" spans="1:113" ht="15" customHeight="1" x14ac:dyDescent="0.25">
      <c r="A1111" t="s">
        <v>10588</v>
      </c>
      <c r="B1111" t="s">
        <v>152</v>
      </c>
      <c r="C1111" s="1">
        <v>45163.595969444446</v>
      </c>
      <c r="D1111" s="1">
        <v>45236</v>
      </c>
      <c r="E1111" t="s">
        <v>114</v>
      </c>
      <c r="F1111" t="s">
        <v>3847</v>
      </c>
      <c r="G1111" t="str">
        <f>"39-2021.00"</f>
        <v>39-2021.00</v>
      </c>
      <c r="H1111" t="s">
        <v>2895</v>
      </c>
      <c r="I1111">
        <v>10</v>
      </c>
      <c r="J1111">
        <v>10</v>
      </c>
      <c r="K1111" s="1">
        <v>45245</v>
      </c>
      <c r="L1111" s="1">
        <v>45412</v>
      </c>
      <c r="M1111" s="1">
        <v>45245</v>
      </c>
      <c r="N1111" s="1">
        <v>45412</v>
      </c>
      <c r="O1111" t="s">
        <v>238</v>
      </c>
      <c r="P1111" t="s">
        <v>5187</v>
      </c>
      <c r="R1111" t="s">
        <v>5188</v>
      </c>
      <c r="T1111" t="s">
        <v>1764</v>
      </c>
      <c r="U1111" t="s">
        <v>1434</v>
      </c>
      <c r="V1111" s="8" t="str">
        <f>"40513"</f>
        <v>40513</v>
      </c>
      <c r="W1111" t="s">
        <v>118</v>
      </c>
      <c r="Y1111" s="10">
        <v>15028210614</v>
      </c>
      <c r="AA1111">
        <v>711212</v>
      </c>
      <c r="AB1111" t="s">
        <v>2296</v>
      </c>
      <c r="AC1111" t="s">
        <v>5189</v>
      </c>
      <c r="AE1111" t="s">
        <v>3852</v>
      </c>
      <c r="AF1111" t="s">
        <v>5188</v>
      </c>
      <c r="AH1111" t="s">
        <v>1764</v>
      </c>
      <c r="AI1111" t="s">
        <v>1434</v>
      </c>
      <c r="AJ1111" s="8" t="str">
        <f>"40513"</f>
        <v>40513</v>
      </c>
      <c r="AK1111" t="s">
        <v>118</v>
      </c>
      <c r="AM1111" s="10">
        <v>15028210614</v>
      </c>
      <c r="AO1111" t="s">
        <v>5190</v>
      </c>
      <c r="AP1111" t="s">
        <v>121</v>
      </c>
      <c r="AQ1111" t="s">
        <v>3854</v>
      </c>
      <c r="AR1111" t="s">
        <v>144</v>
      </c>
      <c r="AS1111" t="s">
        <v>3855</v>
      </c>
      <c r="AT1111" t="s">
        <v>2605</v>
      </c>
      <c r="AU1111" t="s">
        <v>2606</v>
      </c>
      <c r="AV1111" t="s">
        <v>2607</v>
      </c>
      <c r="AW1111" t="s">
        <v>2608</v>
      </c>
      <c r="AX1111" s="8" t="str">
        <f>"73069"</f>
        <v>73069</v>
      </c>
      <c r="AY1111" t="s">
        <v>118</v>
      </c>
      <c r="BA1111" s="10">
        <v>14053642525</v>
      </c>
      <c r="BC1111" t="s">
        <v>2609</v>
      </c>
      <c r="BD1111" t="s">
        <v>2610</v>
      </c>
      <c r="BE1111" t="s">
        <v>2608</v>
      </c>
      <c r="BF1111" t="s">
        <v>2611</v>
      </c>
      <c r="BG1111" t="s">
        <v>140</v>
      </c>
      <c r="BH1111" s="1">
        <v>45161.833333333336</v>
      </c>
      <c r="BI1111">
        <v>56</v>
      </c>
      <c r="BJ1111">
        <v>8</v>
      </c>
      <c r="BK1111">
        <v>8</v>
      </c>
      <c r="BL1111">
        <v>8</v>
      </c>
      <c r="BM1111">
        <v>8</v>
      </c>
      <c r="BN1111">
        <v>8</v>
      </c>
      <c r="BO1111">
        <v>8</v>
      </c>
      <c r="BP1111">
        <v>8</v>
      </c>
      <c r="BQ1111" t="str">
        <f>"5:00 AM"</f>
        <v>5:00 AM</v>
      </c>
      <c r="BR1111" t="str">
        <f>"5:00 PM"</f>
        <v>5:00 PM</v>
      </c>
      <c r="BS1111" t="s">
        <v>131</v>
      </c>
      <c r="BT1111">
        <v>0</v>
      </c>
      <c r="BU1111">
        <v>1</v>
      </c>
      <c r="BV1111" t="s">
        <v>114</v>
      </c>
      <c r="BX1111" s="2" t="s">
        <v>3116</v>
      </c>
      <c r="BY1111" t="s">
        <v>4025</v>
      </c>
      <c r="BZ1111" t="s">
        <v>4026</v>
      </c>
      <c r="CA1111" t="s">
        <v>4027</v>
      </c>
      <c r="CB1111" t="s">
        <v>140</v>
      </c>
      <c r="CC1111" s="8" t="str">
        <f>"33009"</f>
        <v>33009</v>
      </c>
      <c r="CD1111" t="s">
        <v>287</v>
      </c>
      <c r="CE1111" t="s">
        <v>149</v>
      </c>
      <c r="CF1111" s="12">
        <v>14.11</v>
      </c>
      <c r="CG1111" s="12">
        <v>14.11</v>
      </c>
      <c r="CH1111" s="12">
        <v>21.17</v>
      </c>
      <c r="CI1111" s="12">
        <v>21.17</v>
      </c>
      <c r="CJ1111" t="s">
        <v>135</v>
      </c>
      <c r="CL1111" t="s">
        <v>10589</v>
      </c>
      <c r="CO1111" t="s">
        <v>132</v>
      </c>
      <c r="CP1111" t="s">
        <v>114</v>
      </c>
      <c r="CQ1111" t="s">
        <v>114</v>
      </c>
      <c r="CR1111" t="s">
        <v>136</v>
      </c>
      <c r="CS1111" t="s">
        <v>114</v>
      </c>
      <c r="CT1111" t="s">
        <v>136</v>
      </c>
      <c r="CU1111" t="s">
        <v>136</v>
      </c>
      <c r="CV1111" t="s">
        <v>10590</v>
      </c>
      <c r="CW1111" s="10" t="str">
        <f>"+15028210614"</f>
        <v>+15028210614</v>
      </c>
      <c r="CX1111" t="s">
        <v>5190</v>
      </c>
      <c r="CY1111" t="s">
        <v>132</v>
      </c>
      <c r="CZ1111" t="s">
        <v>137</v>
      </c>
      <c r="DA1111" t="s">
        <v>114</v>
      </c>
      <c r="DB1111" t="s">
        <v>114</v>
      </c>
      <c r="DC1111" t="s">
        <v>136</v>
      </c>
      <c r="DD1111" t="s">
        <v>114</v>
      </c>
    </row>
    <row r="1112" spans="1:113" ht="15" customHeight="1" x14ac:dyDescent="0.25">
      <c r="A1112" t="s">
        <v>6936</v>
      </c>
      <c r="B1112" t="s">
        <v>152</v>
      </c>
      <c r="C1112" s="1">
        <v>45159.585634027775</v>
      </c>
      <c r="D1112" s="1">
        <v>45236</v>
      </c>
      <c r="E1112" t="s">
        <v>136</v>
      </c>
      <c r="F1112" t="s">
        <v>5128</v>
      </c>
      <c r="G1112" t="str">
        <f>"35-2021.00"</f>
        <v>35-2021.00</v>
      </c>
      <c r="H1112" t="s">
        <v>2303</v>
      </c>
      <c r="I1112">
        <v>5</v>
      </c>
      <c r="J1112">
        <v>5</v>
      </c>
      <c r="K1112" s="1">
        <v>45235</v>
      </c>
      <c r="L1112" s="1">
        <v>45444</v>
      </c>
      <c r="M1112" s="1">
        <v>45235</v>
      </c>
      <c r="N1112" s="1">
        <v>45444</v>
      </c>
      <c r="O1112" t="s">
        <v>116</v>
      </c>
      <c r="P1112" t="s">
        <v>6937</v>
      </c>
      <c r="Q1112" t="s">
        <v>6938</v>
      </c>
      <c r="R1112" t="s">
        <v>6939</v>
      </c>
      <c r="T1112" t="s">
        <v>6940</v>
      </c>
      <c r="U1112" t="s">
        <v>222</v>
      </c>
      <c r="V1112" s="8" t="str">
        <f>"02364"</f>
        <v>02364</v>
      </c>
      <c r="W1112" t="s">
        <v>118</v>
      </c>
      <c r="Y1112" s="10">
        <v>15083538930</v>
      </c>
      <c r="AA1112">
        <v>722511</v>
      </c>
      <c r="AB1112" t="s">
        <v>6941</v>
      </c>
      <c r="AC1112" t="s">
        <v>2238</v>
      </c>
      <c r="AE1112" t="s">
        <v>6942</v>
      </c>
      <c r="AF1112" t="s">
        <v>6939</v>
      </c>
      <c r="AH1112" t="s">
        <v>6940</v>
      </c>
      <c r="AI1112" t="s">
        <v>222</v>
      </c>
      <c r="AJ1112" s="8" t="str">
        <f>"02364"</f>
        <v>02364</v>
      </c>
      <c r="AK1112" t="s">
        <v>118</v>
      </c>
      <c r="AM1112" s="10">
        <v>15083538930</v>
      </c>
      <c r="AO1112" t="s">
        <v>6943</v>
      </c>
      <c r="AP1112" t="s">
        <v>121</v>
      </c>
      <c r="AQ1112" t="s">
        <v>2211</v>
      </c>
      <c r="AR1112" t="s">
        <v>2212</v>
      </c>
      <c r="AS1112" t="s">
        <v>2213</v>
      </c>
      <c r="AT1112" t="s">
        <v>2215</v>
      </c>
      <c r="AU1112" t="s">
        <v>2214</v>
      </c>
      <c r="AV1112" t="s">
        <v>2216</v>
      </c>
      <c r="AW1112" t="s">
        <v>222</v>
      </c>
      <c r="AX1112" s="8" t="str">
        <f>"02539"</f>
        <v>02539</v>
      </c>
      <c r="AY1112" t="s">
        <v>118</v>
      </c>
      <c r="BA1112" s="10">
        <v>15086273322</v>
      </c>
      <c r="BC1112" t="s">
        <v>2217</v>
      </c>
      <c r="BD1112" t="s">
        <v>2218</v>
      </c>
      <c r="BE1112" t="s">
        <v>222</v>
      </c>
      <c r="BF1112" t="s">
        <v>284</v>
      </c>
      <c r="BG1112" t="s">
        <v>222</v>
      </c>
      <c r="BH1112" s="1">
        <v>45158.833333333336</v>
      </c>
      <c r="BI1112">
        <v>37</v>
      </c>
      <c r="BJ1112">
        <v>5</v>
      </c>
      <c r="BK1112">
        <v>9</v>
      </c>
      <c r="BL1112">
        <v>5</v>
      </c>
      <c r="BM1112">
        <v>6</v>
      </c>
      <c r="BN1112">
        <v>6</v>
      </c>
      <c r="BO1112">
        <v>6</v>
      </c>
      <c r="BP1112">
        <v>0</v>
      </c>
      <c r="BQ1112" t="str">
        <f>"6:00 AM"</f>
        <v>6:00 AM</v>
      </c>
      <c r="BR1112" t="str">
        <f>"12:00 PM"</f>
        <v>12:00 PM</v>
      </c>
      <c r="BS1112" t="s">
        <v>131</v>
      </c>
      <c r="BT1112">
        <v>0</v>
      </c>
      <c r="BU1112">
        <v>3</v>
      </c>
      <c r="BV1112" t="s">
        <v>114</v>
      </c>
      <c r="BX1112" t="s">
        <v>132</v>
      </c>
      <c r="BY1112" t="s">
        <v>6939</v>
      </c>
      <c r="CA1112" t="s">
        <v>6940</v>
      </c>
      <c r="CB1112" t="s">
        <v>222</v>
      </c>
      <c r="CC1112" s="8" t="str">
        <f>"02364"</f>
        <v>02364</v>
      </c>
      <c r="CD1112" t="s">
        <v>6944</v>
      </c>
      <c r="CE1112" t="s">
        <v>2399</v>
      </c>
      <c r="CF1112" s="12">
        <v>16.72</v>
      </c>
      <c r="CG1112" s="12">
        <v>19</v>
      </c>
      <c r="CJ1112" t="s">
        <v>135</v>
      </c>
      <c r="CK1112" t="s">
        <v>6945</v>
      </c>
      <c r="CL1112" t="s">
        <v>6946</v>
      </c>
      <c r="CO1112" t="s">
        <v>132</v>
      </c>
      <c r="CP1112" t="s">
        <v>114</v>
      </c>
      <c r="CQ1112" t="s">
        <v>114</v>
      </c>
      <c r="CR1112" t="s">
        <v>114</v>
      </c>
      <c r="CS1112" t="s">
        <v>114</v>
      </c>
      <c r="CT1112" t="s">
        <v>136</v>
      </c>
      <c r="CU1112" t="s">
        <v>114</v>
      </c>
      <c r="CV1112" t="s">
        <v>5381</v>
      </c>
      <c r="CW1112" s="10" t="str">
        <f>"+15083538930"</f>
        <v>+15083538930</v>
      </c>
      <c r="CX1112" t="s">
        <v>6947</v>
      </c>
      <c r="CY1112" t="s">
        <v>132</v>
      </c>
      <c r="CZ1112" t="s">
        <v>137</v>
      </c>
      <c r="DA1112" t="s">
        <v>114</v>
      </c>
      <c r="DB1112" t="s">
        <v>114</v>
      </c>
      <c r="DC1112" t="s">
        <v>136</v>
      </c>
      <c r="DD1112" t="s">
        <v>114</v>
      </c>
    </row>
    <row r="1113" spans="1:113" ht="15" customHeight="1" x14ac:dyDescent="0.25">
      <c r="A1113" t="s">
        <v>20354</v>
      </c>
      <c r="B1113" t="s">
        <v>152</v>
      </c>
      <c r="C1113" s="1">
        <v>45154.743858333335</v>
      </c>
      <c r="D1113" s="1">
        <v>45236</v>
      </c>
      <c r="E1113" t="s">
        <v>114</v>
      </c>
      <c r="F1113" t="s">
        <v>5261</v>
      </c>
      <c r="G1113" t="str">
        <f>"35-3023.01"</f>
        <v>35-3023.01</v>
      </c>
      <c r="H1113" t="s">
        <v>1365</v>
      </c>
      <c r="I1113">
        <v>5</v>
      </c>
      <c r="J1113">
        <v>5</v>
      </c>
      <c r="K1113" s="1">
        <v>45231</v>
      </c>
      <c r="L1113" s="1">
        <v>45474</v>
      </c>
      <c r="M1113" s="1">
        <v>45231</v>
      </c>
      <c r="N1113" s="1">
        <v>45474</v>
      </c>
      <c r="O1113" t="s">
        <v>116</v>
      </c>
      <c r="P1113" t="s">
        <v>20355</v>
      </c>
      <c r="R1113" t="s">
        <v>20356</v>
      </c>
      <c r="S1113" t="s">
        <v>852</v>
      </c>
      <c r="T1113" t="s">
        <v>11194</v>
      </c>
      <c r="U1113" t="s">
        <v>1825</v>
      </c>
      <c r="V1113" s="8" t="str">
        <f>"72401"</f>
        <v>72401</v>
      </c>
      <c r="W1113" t="s">
        <v>118</v>
      </c>
      <c r="X1113" t="s">
        <v>20357</v>
      </c>
      <c r="Y1113" s="10">
        <v>18702433684</v>
      </c>
      <c r="AA1113">
        <v>722515</v>
      </c>
      <c r="AB1113" t="s">
        <v>13993</v>
      </c>
      <c r="AC1113" t="s">
        <v>20358</v>
      </c>
      <c r="AD1113" t="s">
        <v>3798</v>
      </c>
      <c r="AE1113" t="s">
        <v>12687</v>
      </c>
      <c r="AF1113" t="s">
        <v>20359</v>
      </c>
      <c r="AH1113" t="s">
        <v>11194</v>
      </c>
      <c r="AI1113" t="s">
        <v>1825</v>
      </c>
      <c r="AJ1113" s="8" t="str">
        <f>"72401"</f>
        <v>72401</v>
      </c>
      <c r="AK1113" t="s">
        <v>118</v>
      </c>
      <c r="AL1113" t="s">
        <v>20360</v>
      </c>
      <c r="AM1113" s="10">
        <v>18702433684</v>
      </c>
      <c r="AO1113" t="s">
        <v>20361</v>
      </c>
      <c r="AX1113" s="8" t="str">
        <f>""</f>
        <v/>
      </c>
      <c r="BG1113" t="s">
        <v>1825</v>
      </c>
      <c r="BH1113" s="1">
        <v>45153.833333333336</v>
      </c>
      <c r="BI1113">
        <v>35</v>
      </c>
      <c r="BJ1113">
        <v>0</v>
      </c>
      <c r="BK1113">
        <v>6</v>
      </c>
      <c r="BL1113">
        <v>5</v>
      </c>
      <c r="BM1113">
        <v>6</v>
      </c>
      <c r="BN1113">
        <v>6</v>
      </c>
      <c r="BO1113">
        <v>6</v>
      </c>
      <c r="BP1113">
        <v>6</v>
      </c>
      <c r="BQ1113" t="str">
        <f>"9:00 AM"</f>
        <v>9:00 AM</v>
      </c>
      <c r="BR1113" t="str">
        <f>"3:00 PM"</f>
        <v>3:00 PM</v>
      </c>
      <c r="BS1113" t="s">
        <v>131</v>
      </c>
      <c r="BT1113">
        <v>0</v>
      </c>
      <c r="BU1113">
        <v>0</v>
      </c>
      <c r="BV1113" t="s">
        <v>114</v>
      </c>
      <c r="BX1113" s="2" t="s">
        <v>20362</v>
      </c>
      <c r="BY1113" t="s">
        <v>20356</v>
      </c>
      <c r="BZ1113" t="s">
        <v>852</v>
      </c>
      <c r="CA1113" t="s">
        <v>11194</v>
      </c>
      <c r="CB1113" t="s">
        <v>1825</v>
      </c>
      <c r="CC1113" s="8" t="str">
        <f>"72401"</f>
        <v>72401</v>
      </c>
      <c r="CD1113" t="s">
        <v>11195</v>
      </c>
      <c r="CE1113" t="s">
        <v>11196</v>
      </c>
      <c r="CF1113" s="12">
        <v>12.3</v>
      </c>
      <c r="CG1113" s="12">
        <v>12.5</v>
      </c>
      <c r="CH1113" s="12">
        <v>18.45</v>
      </c>
      <c r="CI1113" s="12">
        <v>18.75</v>
      </c>
      <c r="CJ1113" t="s">
        <v>135</v>
      </c>
      <c r="CK1113" t="s">
        <v>20363</v>
      </c>
      <c r="CL1113" t="s">
        <v>20364</v>
      </c>
      <c r="CO1113" t="s">
        <v>132</v>
      </c>
      <c r="CP1113" t="s">
        <v>114</v>
      </c>
      <c r="CQ1113" t="s">
        <v>114</v>
      </c>
      <c r="CR1113" t="s">
        <v>136</v>
      </c>
      <c r="CS1113" t="s">
        <v>136</v>
      </c>
      <c r="CT1113" t="s">
        <v>136</v>
      </c>
      <c r="CU1113" t="s">
        <v>114</v>
      </c>
      <c r="CV1113" s="2" t="s">
        <v>20365</v>
      </c>
      <c r="CW1113" s="10" t="str">
        <f>"+18702433684"</f>
        <v>+18702433684</v>
      </c>
      <c r="CX1113" t="s">
        <v>20361</v>
      </c>
      <c r="CY1113" t="s">
        <v>20366</v>
      </c>
      <c r="CZ1113" t="s">
        <v>137</v>
      </c>
      <c r="DA1113" t="s">
        <v>114</v>
      </c>
      <c r="DB1113" t="s">
        <v>114</v>
      </c>
      <c r="DC1113" t="s">
        <v>136</v>
      </c>
      <c r="DD1113" t="s">
        <v>114</v>
      </c>
    </row>
    <row r="1114" spans="1:113" ht="15" customHeight="1" x14ac:dyDescent="0.25">
      <c r="A1114" t="s">
        <v>6373</v>
      </c>
      <c r="B1114" t="s">
        <v>152</v>
      </c>
      <c r="C1114" s="1">
        <v>45153.487941550928</v>
      </c>
      <c r="D1114" s="1">
        <v>45236</v>
      </c>
      <c r="E1114" t="s">
        <v>136</v>
      </c>
      <c r="F1114" t="s">
        <v>6374</v>
      </c>
      <c r="G1114" t="str">
        <f>"37-2011.00"</f>
        <v>37-2011.00</v>
      </c>
      <c r="H1114" t="s">
        <v>1089</v>
      </c>
      <c r="I1114">
        <v>5</v>
      </c>
      <c r="J1114">
        <v>5</v>
      </c>
      <c r="K1114" s="1">
        <v>45231</v>
      </c>
      <c r="L1114" s="1">
        <v>45412</v>
      </c>
      <c r="M1114" s="1">
        <v>45231</v>
      </c>
      <c r="N1114" s="1">
        <v>45412</v>
      </c>
      <c r="O1114" t="s">
        <v>116</v>
      </c>
      <c r="P1114" t="s">
        <v>6375</v>
      </c>
      <c r="Q1114" t="s">
        <v>6376</v>
      </c>
      <c r="R1114" t="s">
        <v>6377</v>
      </c>
      <c r="S1114" t="s">
        <v>6378</v>
      </c>
      <c r="T1114" t="s">
        <v>6379</v>
      </c>
      <c r="U1114" t="s">
        <v>903</v>
      </c>
      <c r="V1114" s="8" t="str">
        <f>"04261"</f>
        <v>04261</v>
      </c>
      <c r="W1114" t="s">
        <v>118</v>
      </c>
      <c r="Y1114" s="10">
        <v>18005432754</v>
      </c>
      <c r="AA1114">
        <v>721110</v>
      </c>
      <c r="AB1114" t="s">
        <v>6380</v>
      </c>
      <c r="AC1114" t="s">
        <v>6381</v>
      </c>
      <c r="AE1114" t="s">
        <v>6382</v>
      </c>
      <c r="AF1114" t="s">
        <v>6383</v>
      </c>
      <c r="AH1114" t="s">
        <v>6384</v>
      </c>
      <c r="AI1114" t="s">
        <v>903</v>
      </c>
      <c r="AJ1114" s="8" t="str">
        <f>"04261"</f>
        <v>04261</v>
      </c>
      <c r="AK1114" t="s">
        <v>118</v>
      </c>
      <c r="AM1114" s="10">
        <v>18005432754</v>
      </c>
      <c r="AO1114" t="s">
        <v>6385</v>
      </c>
      <c r="AP1114" t="s">
        <v>121</v>
      </c>
      <c r="AQ1114" t="s">
        <v>1192</v>
      </c>
      <c r="AR1114" t="s">
        <v>1193</v>
      </c>
      <c r="AS1114" t="s">
        <v>1829</v>
      </c>
      <c r="AT1114" t="s">
        <v>1195</v>
      </c>
      <c r="AU1114" t="s">
        <v>6386</v>
      </c>
      <c r="AV1114" t="s">
        <v>6387</v>
      </c>
      <c r="AW1114" t="s">
        <v>140</v>
      </c>
      <c r="AX1114" s="8" t="str">
        <f>"33316"</f>
        <v>33316</v>
      </c>
      <c r="AY1114" t="s">
        <v>118</v>
      </c>
      <c r="BA1114" s="10">
        <v>15613228604</v>
      </c>
      <c r="BC1114" t="s">
        <v>1198</v>
      </c>
      <c r="BD1114" t="s">
        <v>1199</v>
      </c>
      <c r="BE1114" t="s">
        <v>402</v>
      </c>
      <c r="BF1114" t="s">
        <v>6388</v>
      </c>
      <c r="BG1114" t="s">
        <v>903</v>
      </c>
      <c r="BH1114" s="1">
        <v>45140.833333333336</v>
      </c>
      <c r="BI1114">
        <v>35</v>
      </c>
      <c r="BJ1114">
        <v>7</v>
      </c>
      <c r="BK1114">
        <v>7</v>
      </c>
      <c r="BL1114">
        <v>0</v>
      </c>
      <c r="BM1114">
        <v>0</v>
      </c>
      <c r="BN1114">
        <v>7</v>
      </c>
      <c r="BO1114">
        <v>7</v>
      </c>
      <c r="BP1114">
        <v>7</v>
      </c>
      <c r="BQ1114" t="str">
        <f>"6:00 AM"</f>
        <v>6:00 AM</v>
      </c>
      <c r="BR1114" t="str">
        <f>"10:00 PM"</f>
        <v>10:00 PM</v>
      </c>
      <c r="BS1114" t="s">
        <v>131</v>
      </c>
      <c r="BT1114">
        <v>0</v>
      </c>
      <c r="BU1114">
        <v>3</v>
      </c>
      <c r="BV1114" t="s">
        <v>114</v>
      </c>
      <c r="BX1114" s="2" t="s">
        <v>6389</v>
      </c>
      <c r="BY1114" t="s">
        <v>6390</v>
      </c>
      <c r="BZ1114" t="s">
        <v>6383</v>
      </c>
      <c r="CA1114" t="s">
        <v>6384</v>
      </c>
      <c r="CB1114" t="s">
        <v>903</v>
      </c>
      <c r="CC1114" s="8" t="str">
        <f>"04261"</f>
        <v>04261</v>
      </c>
      <c r="CD1114" t="s">
        <v>6262</v>
      </c>
      <c r="CE1114" t="s">
        <v>2185</v>
      </c>
      <c r="CF1114" s="12">
        <v>16.440000000000001</v>
      </c>
      <c r="CG1114" s="12">
        <v>16.440000000000001</v>
      </c>
      <c r="CH1114" s="12">
        <v>24.66</v>
      </c>
      <c r="CI1114" s="12">
        <v>24.66</v>
      </c>
      <c r="CJ1114" t="s">
        <v>135</v>
      </c>
      <c r="CK1114" t="s">
        <v>6391</v>
      </c>
      <c r="CL1114" t="s">
        <v>6392</v>
      </c>
      <c r="CO1114" t="s">
        <v>132</v>
      </c>
      <c r="CP1114" t="s">
        <v>136</v>
      </c>
      <c r="CQ1114" t="s">
        <v>136</v>
      </c>
      <c r="CR1114" t="s">
        <v>136</v>
      </c>
      <c r="CS1114" t="s">
        <v>136</v>
      </c>
      <c r="CT1114" t="s">
        <v>136</v>
      </c>
      <c r="CU1114" t="s">
        <v>136</v>
      </c>
      <c r="CV1114" s="2" t="s">
        <v>6393</v>
      </c>
      <c r="CW1114" s="10" t="str">
        <f>"+12078245166"</f>
        <v>+12078245166</v>
      </c>
      <c r="CX1114" t="s">
        <v>6394</v>
      </c>
      <c r="CY1114" t="s">
        <v>132</v>
      </c>
      <c r="CZ1114" t="s">
        <v>137</v>
      </c>
      <c r="DA1114" t="s">
        <v>114</v>
      </c>
      <c r="DB1114" t="s">
        <v>114</v>
      </c>
      <c r="DC1114" t="s">
        <v>136</v>
      </c>
      <c r="DD1114" t="s">
        <v>114</v>
      </c>
    </row>
    <row r="1115" spans="1:113" ht="15" customHeight="1" x14ac:dyDescent="0.25">
      <c r="A1115" t="s">
        <v>19706</v>
      </c>
      <c r="B1115" t="s">
        <v>152</v>
      </c>
      <c r="C1115" s="1">
        <v>45153.473140972223</v>
      </c>
      <c r="D1115" s="1">
        <v>45236</v>
      </c>
      <c r="E1115" t="s">
        <v>114</v>
      </c>
      <c r="F1115" t="s">
        <v>19707</v>
      </c>
      <c r="G1115" t="str">
        <f>"35-2014.00"</f>
        <v>35-2014.00</v>
      </c>
      <c r="H1115" t="s">
        <v>154</v>
      </c>
      <c r="I1115">
        <v>27</v>
      </c>
      <c r="J1115">
        <v>27</v>
      </c>
      <c r="K1115" s="1">
        <v>45231</v>
      </c>
      <c r="L1115" s="1">
        <v>45397</v>
      </c>
      <c r="M1115" s="1">
        <v>45231</v>
      </c>
      <c r="N1115" s="1">
        <v>45397</v>
      </c>
      <c r="O1115" t="s">
        <v>238</v>
      </c>
      <c r="P1115" t="s">
        <v>6375</v>
      </c>
      <c r="Q1115" t="s">
        <v>6376</v>
      </c>
      <c r="R1115" t="s">
        <v>6377</v>
      </c>
      <c r="S1115" t="s">
        <v>6378</v>
      </c>
      <c r="T1115" t="s">
        <v>6379</v>
      </c>
      <c r="U1115" t="s">
        <v>903</v>
      </c>
      <c r="V1115" s="8" t="str">
        <f>"04261"</f>
        <v>04261</v>
      </c>
      <c r="W1115" t="s">
        <v>118</v>
      </c>
      <c r="Y1115" s="10">
        <v>18005432754</v>
      </c>
      <c r="AA1115">
        <v>721110</v>
      </c>
      <c r="AB1115" t="s">
        <v>6380</v>
      </c>
      <c r="AC1115" t="s">
        <v>6381</v>
      </c>
      <c r="AE1115" t="s">
        <v>6382</v>
      </c>
      <c r="AF1115" t="s">
        <v>6383</v>
      </c>
      <c r="AH1115" t="s">
        <v>6384</v>
      </c>
      <c r="AI1115" t="s">
        <v>903</v>
      </c>
      <c r="AJ1115" s="8" t="str">
        <f>"04261"</f>
        <v>04261</v>
      </c>
      <c r="AK1115" t="s">
        <v>118</v>
      </c>
      <c r="AM1115" s="10">
        <v>18005432754</v>
      </c>
      <c r="AO1115" t="s">
        <v>6385</v>
      </c>
      <c r="AP1115" t="s">
        <v>121</v>
      </c>
      <c r="AQ1115" t="s">
        <v>1192</v>
      </c>
      <c r="AR1115" t="s">
        <v>1193</v>
      </c>
      <c r="AS1115" t="s">
        <v>1829</v>
      </c>
      <c r="AT1115" t="s">
        <v>1195</v>
      </c>
      <c r="AU1115" t="s">
        <v>6386</v>
      </c>
      <c r="AV1115" t="s">
        <v>6387</v>
      </c>
      <c r="AW1115" t="s">
        <v>140</v>
      </c>
      <c r="AX1115" s="8" t="str">
        <f>"33316"</f>
        <v>33316</v>
      </c>
      <c r="AY1115" t="s">
        <v>118</v>
      </c>
      <c r="BA1115" s="10">
        <v>15613228604</v>
      </c>
      <c r="BC1115" t="s">
        <v>1198</v>
      </c>
      <c r="BD1115" t="s">
        <v>1199</v>
      </c>
      <c r="BE1115" t="s">
        <v>1825</v>
      </c>
      <c r="BF1115" t="s">
        <v>1200</v>
      </c>
      <c r="BG1115" t="s">
        <v>903</v>
      </c>
      <c r="BH1115" s="1">
        <v>45140.833333333336</v>
      </c>
      <c r="BI1115">
        <v>35</v>
      </c>
      <c r="BJ1115">
        <v>7</v>
      </c>
      <c r="BK1115">
        <v>0</v>
      </c>
      <c r="BL1115">
        <v>0</v>
      </c>
      <c r="BM1115">
        <v>7</v>
      </c>
      <c r="BN1115">
        <v>7</v>
      </c>
      <c r="BO1115">
        <v>7</v>
      </c>
      <c r="BP1115">
        <v>7</v>
      </c>
      <c r="BQ1115" t="str">
        <f>"6:00 AM"</f>
        <v>6:00 AM</v>
      </c>
      <c r="BR1115" t="str">
        <f>"11:00 PM"</f>
        <v>11:00 PM</v>
      </c>
      <c r="BS1115" t="s">
        <v>131</v>
      </c>
      <c r="BT1115">
        <v>0</v>
      </c>
      <c r="BU1115">
        <v>3</v>
      </c>
      <c r="BV1115" t="s">
        <v>114</v>
      </c>
      <c r="BX1115" s="2" t="s">
        <v>19708</v>
      </c>
      <c r="BY1115" t="s">
        <v>6390</v>
      </c>
      <c r="BZ1115" t="s">
        <v>6383</v>
      </c>
      <c r="CA1115" t="s">
        <v>6384</v>
      </c>
      <c r="CB1115" t="s">
        <v>903</v>
      </c>
      <c r="CC1115" s="8" t="str">
        <f>"04261"</f>
        <v>04261</v>
      </c>
      <c r="CD1115" t="s">
        <v>6262</v>
      </c>
      <c r="CE1115" t="s">
        <v>2185</v>
      </c>
      <c r="CF1115" s="12">
        <v>16.13</v>
      </c>
      <c r="CG1115" s="12">
        <v>16.13</v>
      </c>
      <c r="CH1115" s="12">
        <v>24.2</v>
      </c>
      <c r="CI1115" s="12">
        <v>24.2</v>
      </c>
      <c r="CJ1115" t="s">
        <v>135</v>
      </c>
      <c r="CL1115" t="s">
        <v>19709</v>
      </c>
      <c r="CO1115" t="s">
        <v>132</v>
      </c>
      <c r="CP1115" t="s">
        <v>136</v>
      </c>
      <c r="CQ1115" t="s">
        <v>136</v>
      </c>
      <c r="CR1115" t="s">
        <v>136</v>
      </c>
      <c r="CS1115" t="s">
        <v>136</v>
      </c>
      <c r="CT1115" t="s">
        <v>136</v>
      </c>
      <c r="CU1115" t="s">
        <v>136</v>
      </c>
      <c r="CV1115" s="2" t="s">
        <v>19710</v>
      </c>
      <c r="CW1115" s="10" t="str">
        <f>"+12078245166"</f>
        <v>+12078245166</v>
      </c>
      <c r="CX1115" t="s">
        <v>6394</v>
      </c>
      <c r="CY1115" t="s">
        <v>132</v>
      </c>
      <c r="CZ1115" t="s">
        <v>137</v>
      </c>
      <c r="DA1115" t="s">
        <v>114</v>
      </c>
      <c r="DB1115" t="s">
        <v>114</v>
      </c>
      <c r="DC1115" t="s">
        <v>136</v>
      </c>
      <c r="DD1115" t="s">
        <v>114</v>
      </c>
    </row>
    <row r="1116" spans="1:113" ht="15" customHeight="1" x14ac:dyDescent="0.25">
      <c r="A1116" t="s">
        <v>10413</v>
      </c>
      <c r="B1116" t="s">
        <v>152</v>
      </c>
      <c r="C1116" s="1">
        <v>45152.677838310185</v>
      </c>
      <c r="D1116" s="1">
        <v>45236</v>
      </c>
      <c r="E1116" t="s">
        <v>114</v>
      </c>
      <c r="F1116" t="s">
        <v>700</v>
      </c>
      <c r="G1116" t="str">
        <f>"49-9099.00"</f>
        <v>49-9099.00</v>
      </c>
      <c r="H1116" t="s">
        <v>3863</v>
      </c>
      <c r="I1116">
        <v>25</v>
      </c>
      <c r="J1116">
        <v>25</v>
      </c>
      <c r="K1116" s="1">
        <v>45231</v>
      </c>
      <c r="L1116" s="1">
        <v>45366</v>
      </c>
      <c r="M1116" s="1">
        <v>45231</v>
      </c>
      <c r="N1116" s="1">
        <v>45366</v>
      </c>
      <c r="O1116" t="s">
        <v>238</v>
      </c>
      <c r="P1116" t="s">
        <v>10414</v>
      </c>
      <c r="R1116" t="s">
        <v>10415</v>
      </c>
      <c r="T1116" t="s">
        <v>603</v>
      </c>
      <c r="U1116" t="s">
        <v>127</v>
      </c>
      <c r="V1116" s="8" t="str">
        <f>"78729"</f>
        <v>78729</v>
      </c>
      <c r="W1116" t="s">
        <v>118</v>
      </c>
      <c r="Y1116" s="10">
        <v>15124535569</v>
      </c>
      <c r="AA1116">
        <v>56173</v>
      </c>
      <c r="AB1116" t="s">
        <v>10416</v>
      </c>
      <c r="AC1116" t="s">
        <v>575</v>
      </c>
      <c r="AE1116" t="s">
        <v>561</v>
      </c>
      <c r="AF1116" t="s">
        <v>10417</v>
      </c>
      <c r="AH1116" t="s">
        <v>603</v>
      </c>
      <c r="AI1116" t="s">
        <v>127</v>
      </c>
      <c r="AJ1116" s="8" t="str">
        <f>"78729"</f>
        <v>78729</v>
      </c>
      <c r="AK1116" t="s">
        <v>118</v>
      </c>
      <c r="AM1116" s="10">
        <v>15124535569</v>
      </c>
      <c r="AO1116" t="s">
        <v>132</v>
      </c>
      <c r="AP1116" t="s">
        <v>121</v>
      </c>
      <c r="AQ1116" t="s">
        <v>1172</v>
      </c>
      <c r="AR1116" t="s">
        <v>1173</v>
      </c>
      <c r="AS1116" t="s">
        <v>708</v>
      </c>
      <c r="AT1116" t="s">
        <v>3325</v>
      </c>
      <c r="AV1116" t="s">
        <v>603</v>
      </c>
      <c r="AW1116" t="s">
        <v>127</v>
      </c>
      <c r="AX1116" s="8" t="str">
        <f>"78705"</f>
        <v>78705</v>
      </c>
      <c r="AY1116" t="s">
        <v>118</v>
      </c>
      <c r="BA1116" s="10">
        <v>15123470007</v>
      </c>
      <c r="BC1116" t="s">
        <v>1175</v>
      </c>
      <c r="BD1116" t="s">
        <v>1176</v>
      </c>
      <c r="BE1116" t="s">
        <v>127</v>
      </c>
      <c r="BF1116" t="s">
        <v>750</v>
      </c>
      <c r="BG1116" t="s">
        <v>127</v>
      </c>
      <c r="BH1116" s="1">
        <v>45151.833333333336</v>
      </c>
      <c r="BI1116">
        <v>40</v>
      </c>
      <c r="BJ1116">
        <v>0</v>
      </c>
      <c r="BK1116">
        <v>8</v>
      </c>
      <c r="BL1116">
        <v>8</v>
      </c>
      <c r="BM1116">
        <v>8</v>
      </c>
      <c r="BN1116">
        <v>8</v>
      </c>
      <c r="BO1116">
        <v>8</v>
      </c>
      <c r="BP1116">
        <v>0</v>
      </c>
      <c r="BQ1116" t="str">
        <f>"8:00 AM"</f>
        <v>8:00 AM</v>
      </c>
      <c r="BR1116" t="str">
        <f>"5:00 PM"</f>
        <v>5:00 PM</v>
      </c>
      <c r="BS1116" t="s">
        <v>131</v>
      </c>
      <c r="BT1116">
        <v>0</v>
      </c>
      <c r="BU1116">
        <v>0</v>
      </c>
      <c r="BV1116" t="s">
        <v>114</v>
      </c>
      <c r="BX1116" t="s">
        <v>131</v>
      </c>
      <c r="BY1116" t="s">
        <v>10418</v>
      </c>
      <c r="CA1116" t="s">
        <v>10419</v>
      </c>
      <c r="CB1116" t="s">
        <v>127</v>
      </c>
      <c r="CC1116" s="8" t="str">
        <f>"78620"</f>
        <v>78620</v>
      </c>
      <c r="CD1116" t="s">
        <v>5800</v>
      </c>
      <c r="CE1116" t="s">
        <v>324</v>
      </c>
      <c r="CF1116" s="12">
        <v>21.95</v>
      </c>
      <c r="CG1116" s="12">
        <v>21.95</v>
      </c>
      <c r="CH1116" s="12">
        <v>32.93</v>
      </c>
      <c r="CI1116" s="12">
        <v>32.93</v>
      </c>
      <c r="CJ1116" t="s">
        <v>135</v>
      </c>
      <c r="CK1116" t="s">
        <v>6143</v>
      </c>
      <c r="CL1116" t="s">
        <v>10420</v>
      </c>
      <c r="CO1116" t="s">
        <v>132</v>
      </c>
      <c r="CP1116" t="s">
        <v>136</v>
      </c>
      <c r="CQ1116" t="s">
        <v>136</v>
      </c>
      <c r="CR1116" t="s">
        <v>136</v>
      </c>
      <c r="CS1116" t="s">
        <v>136</v>
      </c>
      <c r="CT1116" t="s">
        <v>136</v>
      </c>
      <c r="CU1116" t="s">
        <v>114</v>
      </c>
      <c r="CV1116" t="s">
        <v>1705</v>
      </c>
      <c r="CW1116" s="10" t="str">
        <f>"+15124535569"</f>
        <v>+15124535569</v>
      </c>
      <c r="CX1116" t="s">
        <v>10421</v>
      </c>
      <c r="CY1116" t="s">
        <v>132</v>
      </c>
      <c r="CZ1116" t="s">
        <v>137</v>
      </c>
      <c r="DA1116" t="s">
        <v>114</v>
      </c>
      <c r="DB1116" t="s">
        <v>114</v>
      </c>
      <c r="DC1116" t="s">
        <v>136</v>
      </c>
      <c r="DD1116" t="s">
        <v>114</v>
      </c>
    </row>
    <row r="1117" spans="1:113" ht="15" customHeight="1" x14ac:dyDescent="0.25">
      <c r="A1117" t="s">
        <v>4064</v>
      </c>
      <c r="B1117" t="s">
        <v>152</v>
      </c>
      <c r="C1117" s="1">
        <v>45152.556295717593</v>
      </c>
      <c r="D1117" s="1">
        <v>45236</v>
      </c>
      <c r="E1117" t="s">
        <v>114</v>
      </c>
      <c r="F1117" t="s">
        <v>4065</v>
      </c>
      <c r="G1117" t="str">
        <f>"37-3011.00"</f>
        <v>37-3011.00</v>
      </c>
      <c r="H1117" t="s">
        <v>429</v>
      </c>
      <c r="I1117">
        <v>12</v>
      </c>
      <c r="J1117">
        <v>12</v>
      </c>
      <c r="K1117" s="1">
        <v>45227</v>
      </c>
      <c r="L1117" s="1">
        <v>45504</v>
      </c>
      <c r="M1117" s="1">
        <v>45227</v>
      </c>
      <c r="N1117" s="1">
        <v>45504</v>
      </c>
      <c r="O1117" t="s">
        <v>238</v>
      </c>
      <c r="P1117" t="s">
        <v>4066</v>
      </c>
      <c r="R1117" t="s">
        <v>4067</v>
      </c>
      <c r="T1117" t="s">
        <v>4068</v>
      </c>
      <c r="U1117" t="s">
        <v>158</v>
      </c>
      <c r="V1117" s="8" t="str">
        <f>"48329"</f>
        <v>48329</v>
      </c>
      <c r="W1117" t="s">
        <v>118</v>
      </c>
      <c r="Y1117" s="10">
        <v>12486736092</v>
      </c>
      <c r="AA1117">
        <v>56173</v>
      </c>
      <c r="AB1117" t="s">
        <v>4069</v>
      </c>
      <c r="AC1117" t="s">
        <v>3249</v>
      </c>
      <c r="AE1117" t="s">
        <v>378</v>
      </c>
      <c r="AF1117" t="s">
        <v>4070</v>
      </c>
      <c r="AH1117" t="s">
        <v>4071</v>
      </c>
      <c r="AI1117" t="s">
        <v>158</v>
      </c>
      <c r="AJ1117" s="8" t="str">
        <f>"48329"</f>
        <v>48329</v>
      </c>
      <c r="AK1117" t="s">
        <v>118</v>
      </c>
      <c r="AM1117" s="10">
        <v>12486736092</v>
      </c>
      <c r="AO1117" t="s">
        <v>4072</v>
      </c>
      <c r="AP1117" t="s">
        <v>248</v>
      </c>
      <c r="AQ1117" t="s">
        <v>2147</v>
      </c>
      <c r="AR1117" t="s">
        <v>1555</v>
      </c>
      <c r="AT1117" t="s">
        <v>2148</v>
      </c>
      <c r="AV1117" t="s">
        <v>1920</v>
      </c>
      <c r="AW1117" t="s">
        <v>140</v>
      </c>
      <c r="AX1117" s="8" t="str">
        <f>"33813"</f>
        <v>33813</v>
      </c>
      <c r="AY1117" t="s">
        <v>118</v>
      </c>
      <c r="BA1117" s="10">
        <v>18636444912</v>
      </c>
      <c r="BC1117" t="s">
        <v>2149</v>
      </c>
      <c r="BD1117" t="s">
        <v>4073</v>
      </c>
      <c r="BG1117" t="s">
        <v>158</v>
      </c>
      <c r="BH1117" s="1">
        <v>45151.833333333336</v>
      </c>
      <c r="BI1117">
        <v>40</v>
      </c>
      <c r="BJ1117">
        <v>0</v>
      </c>
      <c r="BK1117">
        <v>8</v>
      </c>
      <c r="BL1117">
        <v>8</v>
      </c>
      <c r="BM1117">
        <v>8</v>
      </c>
      <c r="BN1117">
        <v>8</v>
      </c>
      <c r="BO1117">
        <v>8</v>
      </c>
      <c r="BP1117">
        <v>0</v>
      </c>
      <c r="BQ1117" t="str">
        <f>"8:00 PM"</f>
        <v>8:00 PM</v>
      </c>
      <c r="BR1117" t="str">
        <f>"5:00 PM"</f>
        <v>5:00 PM</v>
      </c>
      <c r="BS1117" t="s">
        <v>131</v>
      </c>
      <c r="BT1117">
        <v>0</v>
      </c>
      <c r="BU1117">
        <v>3</v>
      </c>
      <c r="BV1117" t="s">
        <v>114</v>
      </c>
      <c r="BX1117" t="s">
        <v>4074</v>
      </c>
      <c r="BY1117" t="s">
        <v>4075</v>
      </c>
      <c r="CA1117" t="s">
        <v>4068</v>
      </c>
      <c r="CB1117" t="s">
        <v>158</v>
      </c>
      <c r="CC1117" s="8" t="str">
        <f>"48329"</f>
        <v>48329</v>
      </c>
      <c r="CD1117" t="s">
        <v>2227</v>
      </c>
      <c r="CE1117" t="s">
        <v>2228</v>
      </c>
      <c r="CF1117" s="12">
        <v>17.55</v>
      </c>
      <c r="CG1117" s="12">
        <v>17.55</v>
      </c>
      <c r="CH1117" s="12">
        <v>26.33</v>
      </c>
      <c r="CI1117" s="12">
        <v>26.33</v>
      </c>
      <c r="CJ1117" t="s">
        <v>135</v>
      </c>
      <c r="CL1117" t="s">
        <v>4076</v>
      </c>
      <c r="CO1117" t="s">
        <v>132</v>
      </c>
      <c r="CP1117" t="s">
        <v>136</v>
      </c>
      <c r="CQ1117" t="s">
        <v>136</v>
      </c>
      <c r="CR1117" t="s">
        <v>136</v>
      </c>
      <c r="CS1117" t="s">
        <v>136</v>
      </c>
      <c r="CT1117" t="s">
        <v>136</v>
      </c>
      <c r="CU1117" t="s">
        <v>136</v>
      </c>
      <c r="CV1117" t="s">
        <v>131</v>
      </c>
      <c r="CW1117" s="10" t="str">
        <f>"+12486736092"</f>
        <v>+12486736092</v>
      </c>
      <c r="CX1117" t="s">
        <v>4072</v>
      </c>
      <c r="CY1117" t="s">
        <v>132</v>
      </c>
      <c r="CZ1117" t="s">
        <v>137</v>
      </c>
      <c r="DA1117" t="s">
        <v>114</v>
      </c>
      <c r="DB1117" t="s">
        <v>136</v>
      </c>
      <c r="DC1117" t="s">
        <v>136</v>
      </c>
      <c r="DD1117" t="s">
        <v>114</v>
      </c>
    </row>
    <row r="1118" spans="1:113" ht="15" customHeight="1" x14ac:dyDescent="0.25">
      <c r="A1118" t="s">
        <v>11581</v>
      </c>
      <c r="B1118" t="s">
        <v>152</v>
      </c>
      <c r="C1118" s="1">
        <v>45147.640808564815</v>
      </c>
      <c r="D1118" s="1">
        <v>45236</v>
      </c>
      <c r="E1118" t="s">
        <v>114</v>
      </c>
      <c r="F1118" t="s">
        <v>3746</v>
      </c>
      <c r="G1118" t="str">
        <f>"35-2015.00"</f>
        <v>35-2015.00</v>
      </c>
      <c r="H1118" t="s">
        <v>2075</v>
      </c>
      <c r="I1118">
        <v>5</v>
      </c>
      <c r="J1118">
        <v>5</v>
      </c>
      <c r="K1118" s="1">
        <v>45237</v>
      </c>
      <c r="L1118" s="1">
        <v>45473</v>
      </c>
      <c r="M1118" s="1">
        <v>45237</v>
      </c>
      <c r="N1118" s="1">
        <v>45473</v>
      </c>
      <c r="O1118" t="s">
        <v>116</v>
      </c>
      <c r="P1118" t="s">
        <v>11582</v>
      </c>
      <c r="Q1118" t="s">
        <v>11583</v>
      </c>
      <c r="R1118" t="s">
        <v>11584</v>
      </c>
      <c r="T1118" t="s">
        <v>6092</v>
      </c>
      <c r="U1118" t="s">
        <v>333</v>
      </c>
      <c r="V1118" s="8" t="str">
        <f>"70601"</f>
        <v>70601</v>
      </c>
      <c r="W1118" t="s">
        <v>118</v>
      </c>
      <c r="Y1118" s="10">
        <v>13374783354</v>
      </c>
      <c r="AA1118">
        <v>722511</v>
      </c>
      <c r="AB1118" t="s">
        <v>11585</v>
      </c>
      <c r="AC1118" t="s">
        <v>2410</v>
      </c>
      <c r="AE1118" t="s">
        <v>561</v>
      </c>
      <c r="AF1118" t="s">
        <v>11584</v>
      </c>
      <c r="AH1118" t="s">
        <v>6092</v>
      </c>
      <c r="AI1118" t="s">
        <v>333</v>
      </c>
      <c r="AJ1118" s="8" t="str">
        <f>"70601"</f>
        <v>70601</v>
      </c>
      <c r="AK1118" t="s">
        <v>118</v>
      </c>
      <c r="AM1118" s="10">
        <v>13374783354</v>
      </c>
      <c r="AO1118" t="s">
        <v>11586</v>
      </c>
      <c r="AP1118" t="s">
        <v>121</v>
      </c>
      <c r="AQ1118" t="s">
        <v>11587</v>
      </c>
      <c r="AR1118" t="s">
        <v>5623</v>
      </c>
      <c r="AS1118" t="s">
        <v>2787</v>
      </c>
      <c r="AT1118" t="s">
        <v>7421</v>
      </c>
      <c r="AU1118" t="s">
        <v>7422</v>
      </c>
      <c r="AV1118" t="s">
        <v>3501</v>
      </c>
      <c r="AW1118" t="s">
        <v>127</v>
      </c>
      <c r="AX1118" s="8" t="str">
        <f>"75082"</f>
        <v>75082</v>
      </c>
      <c r="AY1118" t="s">
        <v>118</v>
      </c>
      <c r="BA1118" s="10">
        <v>14699624396</v>
      </c>
      <c r="BC1118" t="s">
        <v>11588</v>
      </c>
      <c r="BD1118" t="s">
        <v>7424</v>
      </c>
      <c r="BE1118" t="s">
        <v>375</v>
      </c>
      <c r="BF1118" t="s">
        <v>1223</v>
      </c>
      <c r="BG1118" t="s">
        <v>333</v>
      </c>
      <c r="BH1118" s="1">
        <v>45116.833333333336</v>
      </c>
      <c r="BI1118">
        <v>35</v>
      </c>
      <c r="BJ1118">
        <v>5</v>
      </c>
      <c r="BK1118">
        <v>5</v>
      </c>
      <c r="BL1118">
        <v>5</v>
      </c>
      <c r="BM1118">
        <v>5</v>
      </c>
      <c r="BN1118">
        <v>5</v>
      </c>
      <c r="BO1118">
        <v>5</v>
      </c>
      <c r="BP1118">
        <v>5</v>
      </c>
      <c r="BQ1118" t="str">
        <f>"10:00 AM"</f>
        <v>10:00 AM</v>
      </c>
      <c r="BR1118" t="str">
        <f>"3:30 PM"</f>
        <v>3:30 PM</v>
      </c>
      <c r="BS1118" t="s">
        <v>131</v>
      </c>
      <c r="BT1118">
        <v>0</v>
      </c>
      <c r="BU1118">
        <v>3</v>
      </c>
      <c r="BV1118" t="s">
        <v>114</v>
      </c>
      <c r="BX1118" t="s">
        <v>11589</v>
      </c>
      <c r="BY1118" t="s">
        <v>11584</v>
      </c>
      <c r="CA1118" t="s">
        <v>6092</v>
      </c>
      <c r="CB1118" t="s">
        <v>333</v>
      </c>
      <c r="CC1118" s="8" t="str">
        <f>"70601"</f>
        <v>70601</v>
      </c>
      <c r="CD1118" t="s">
        <v>6094</v>
      </c>
      <c r="CE1118" t="s">
        <v>6095</v>
      </c>
      <c r="CF1118" s="12">
        <v>12.19</v>
      </c>
      <c r="CG1118" s="12">
        <v>12.19</v>
      </c>
      <c r="CH1118" s="12">
        <v>18.29</v>
      </c>
      <c r="CI1118" s="12">
        <v>18.29</v>
      </c>
      <c r="CJ1118" t="s">
        <v>135</v>
      </c>
      <c r="CK1118" t="s">
        <v>11590</v>
      </c>
      <c r="CL1118" t="s">
        <v>11591</v>
      </c>
      <c r="CO1118" t="s">
        <v>132</v>
      </c>
      <c r="CP1118" t="s">
        <v>114</v>
      </c>
      <c r="CQ1118" t="s">
        <v>114</v>
      </c>
      <c r="CR1118" t="s">
        <v>136</v>
      </c>
      <c r="CS1118" t="s">
        <v>114</v>
      </c>
      <c r="CT1118" t="s">
        <v>136</v>
      </c>
      <c r="CU1118" t="s">
        <v>136</v>
      </c>
      <c r="CV1118" t="s">
        <v>11592</v>
      </c>
      <c r="CW1118" s="10" t="str">
        <f>"+13374783354"</f>
        <v>+13374783354</v>
      </c>
      <c r="CX1118" t="s">
        <v>11586</v>
      </c>
      <c r="CY1118" t="s">
        <v>132</v>
      </c>
      <c r="CZ1118" t="s">
        <v>137</v>
      </c>
      <c r="DA1118" t="s">
        <v>114</v>
      </c>
      <c r="DB1118" t="s">
        <v>136</v>
      </c>
      <c r="DC1118" t="s">
        <v>136</v>
      </c>
      <c r="DD1118" t="s">
        <v>114</v>
      </c>
      <c r="DE1118" t="s">
        <v>1310</v>
      </c>
      <c r="DF1118" t="s">
        <v>11593</v>
      </c>
      <c r="DG1118" t="s">
        <v>3526</v>
      </c>
      <c r="DH1118" t="s">
        <v>11594</v>
      </c>
      <c r="DI1118" t="s">
        <v>11595</v>
      </c>
    </row>
    <row r="1119" spans="1:113" ht="15" customHeight="1" x14ac:dyDescent="0.25">
      <c r="A1119" t="s">
        <v>23288</v>
      </c>
      <c r="B1119" t="s">
        <v>152</v>
      </c>
      <c r="C1119" s="1">
        <v>45145.412258101853</v>
      </c>
      <c r="D1119" s="1">
        <v>45236</v>
      </c>
      <c r="E1119" t="s">
        <v>136</v>
      </c>
      <c r="F1119" t="s">
        <v>23289</v>
      </c>
      <c r="G1119" t="str">
        <f>"39-9011.01"</f>
        <v>39-9011.01</v>
      </c>
      <c r="H1119" t="s">
        <v>183</v>
      </c>
      <c r="I1119">
        <v>1</v>
      </c>
      <c r="J1119">
        <v>1</v>
      </c>
      <c r="K1119" s="1">
        <v>45228</v>
      </c>
      <c r="L1119" s="1">
        <v>45534</v>
      </c>
      <c r="M1119" s="1">
        <v>45228</v>
      </c>
      <c r="N1119" s="1">
        <v>45534</v>
      </c>
      <c r="O1119" t="s">
        <v>184</v>
      </c>
      <c r="P1119" t="s">
        <v>23290</v>
      </c>
      <c r="R1119" t="s">
        <v>23291</v>
      </c>
      <c r="T1119" t="s">
        <v>8327</v>
      </c>
      <c r="U1119" t="s">
        <v>117</v>
      </c>
      <c r="V1119" s="8" t="str">
        <f>"60607"</f>
        <v>60607</v>
      </c>
      <c r="W1119" t="s">
        <v>118</v>
      </c>
      <c r="Y1119" s="10">
        <v>13127318816</v>
      </c>
      <c r="AA1119">
        <v>814110</v>
      </c>
      <c r="AB1119" t="s">
        <v>23292</v>
      </c>
      <c r="AC1119" t="s">
        <v>23293</v>
      </c>
      <c r="AE1119" t="s">
        <v>5983</v>
      </c>
      <c r="AF1119" t="s">
        <v>23294</v>
      </c>
      <c r="AH1119" t="s">
        <v>8327</v>
      </c>
      <c r="AI1119" t="s">
        <v>117</v>
      </c>
      <c r="AJ1119" s="8" t="str">
        <f>"60607"</f>
        <v>60607</v>
      </c>
      <c r="AK1119" t="s">
        <v>118</v>
      </c>
      <c r="AM1119" s="10">
        <v>13127318816</v>
      </c>
      <c r="AO1119" t="s">
        <v>23295</v>
      </c>
      <c r="AP1119" t="s">
        <v>121</v>
      </c>
      <c r="AQ1119" t="s">
        <v>217</v>
      </c>
      <c r="AR1119" t="s">
        <v>5985</v>
      </c>
      <c r="AS1119" t="s">
        <v>5986</v>
      </c>
      <c r="AT1119" t="s">
        <v>5987</v>
      </c>
      <c r="AU1119" t="s">
        <v>5988</v>
      </c>
      <c r="AV1119" t="s">
        <v>518</v>
      </c>
      <c r="AW1119" t="s">
        <v>402</v>
      </c>
      <c r="AX1119" s="8" t="str">
        <f>"90034"</f>
        <v>90034</v>
      </c>
      <c r="AY1119" t="s">
        <v>118</v>
      </c>
      <c r="BA1119" s="10">
        <v>12133754084</v>
      </c>
      <c r="BC1119" t="s">
        <v>5989</v>
      </c>
      <c r="BD1119" t="s">
        <v>5990</v>
      </c>
      <c r="BE1119" t="s">
        <v>402</v>
      </c>
      <c r="BF1119" t="s">
        <v>4644</v>
      </c>
      <c r="BG1119" t="s">
        <v>117</v>
      </c>
      <c r="BH1119" s="1">
        <v>45126.833333333336</v>
      </c>
      <c r="BI1119">
        <v>40</v>
      </c>
      <c r="BJ1119">
        <v>0</v>
      </c>
      <c r="BK1119">
        <v>8</v>
      </c>
      <c r="BL1119">
        <v>8</v>
      </c>
      <c r="BM1119">
        <v>8</v>
      </c>
      <c r="BN1119">
        <v>8</v>
      </c>
      <c r="BO1119">
        <v>8</v>
      </c>
      <c r="BP1119">
        <v>0</v>
      </c>
      <c r="BQ1119" t="str">
        <f>"9:00 AM"</f>
        <v>9:00 AM</v>
      </c>
      <c r="BR1119" t="str">
        <f>"5:00 PM"</f>
        <v>5:00 PM</v>
      </c>
      <c r="BS1119" t="s">
        <v>131</v>
      </c>
      <c r="BT1119">
        <v>0</v>
      </c>
      <c r="BU1119">
        <v>12</v>
      </c>
      <c r="BV1119" t="s">
        <v>114</v>
      </c>
      <c r="BX1119" t="s">
        <v>1570</v>
      </c>
      <c r="BY1119" t="s">
        <v>23291</v>
      </c>
      <c r="CA1119" t="s">
        <v>8327</v>
      </c>
      <c r="CB1119" t="s">
        <v>117</v>
      </c>
      <c r="CC1119" s="8" t="str">
        <f>"60607"</f>
        <v>60607</v>
      </c>
      <c r="CD1119" t="s">
        <v>5756</v>
      </c>
      <c r="CE1119" t="s">
        <v>134</v>
      </c>
      <c r="CF1119" s="12">
        <v>15.8</v>
      </c>
      <c r="CH1119" s="12">
        <v>23.7</v>
      </c>
      <c r="CJ1119" t="s">
        <v>135</v>
      </c>
      <c r="CK1119" t="s">
        <v>131</v>
      </c>
      <c r="CL1119" t="s">
        <v>23296</v>
      </c>
      <c r="CO1119" t="s">
        <v>132</v>
      </c>
      <c r="CP1119" t="s">
        <v>114</v>
      </c>
      <c r="CQ1119" t="s">
        <v>136</v>
      </c>
      <c r="CR1119" t="s">
        <v>136</v>
      </c>
      <c r="CS1119" t="s">
        <v>114</v>
      </c>
      <c r="CT1119" t="s">
        <v>136</v>
      </c>
      <c r="CU1119" t="s">
        <v>136</v>
      </c>
      <c r="CV1119" t="s">
        <v>23297</v>
      </c>
      <c r="CW1119" s="10" t="str">
        <f>"+13127318816"</f>
        <v>+13127318816</v>
      </c>
      <c r="CX1119" t="s">
        <v>23295</v>
      </c>
      <c r="CY1119" t="s">
        <v>132</v>
      </c>
      <c r="CZ1119" t="s">
        <v>137</v>
      </c>
      <c r="DA1119" t="s">
        <v>114</v>
      </c>
      <c r="DB1119" t="s">
        <v>114</v>
      </c>
      <c r="DC1119" t="s">
        <v>136</v>
      </c>
      <c r="DD1119" t="s">
        <v>114</v>
      </c>
    </row>
    <row r="1120" spans="1:113" ht="15" customHeight="1" x14ac:dyDescent="0.25">
      <c r="A1120" t="s">
        <v>8534</v>
      </c>
      <c r="B1120" t="s">
        <v>152</v>
      </c>
      <c r="C1120" s="1">
        <v>45142.663760185183</v>
      </c>
      <c r="D1120" s="1">
        <v>45236</v>
      </c>
      <c r="E1120" t="s">
        <v>114</v>
      </c>
      <c r="F1120" t="s">
        <v>153</v>
      </c>
      <c r="G1120" t="str">
        <f>"35-2014.00"</f>
        <v>35-2014.00</v>
      </c>
      <c r="H1120" t="s">
        <v>154</v>
      </c>
      <c r="I1120">
        <v>8</v>
      </c>
      <c r="J1120">
        <v>8</v>
      </c>
      <c r="K1120" s="1">
        <v>45217</v>
      </c>
      <c r="L1120" s="1">
        <v>45491</v>
      </c>
      <c r="M1120" s="1">
        <v>45217</v>
      </c>
      <c r="N1120" s="1">
        <v>45491</v>
      </c>
      <c r="O1120" t="s">
        <v>116</v>
      </c>
      <c r="P1120" t="s">
        <v>8535</v>
      </c>
      <c r="R1120" t="s">
        <v>8536</v>
      </c>
      <c r="T1120" t="s">
        <v>5102</v>
      </c>
      <c r="U1120" t="s">
        <v>333</v>
      </c>
      <c r="V1120" s="8" t="str">
        <f>"70130"</f>
        <v>70130</v>
      </c>
      <c r="W1120" t="s">
        <v>118</v>
      </c>
      <c r="Y1120" s="10">
        <v>15042079309</v>
      </c>
      <c r="AA1120">
        <v>722511</v>
      </c>
      <c r="AB1120" t="s">
        <v>486</v>
      </c>
      <c r="AC1120" t="s">
        <v>8537</v>
      </c>
      <c r="AE1120" t="s">
        <v>8538</v>
      </c>
      <c r="AF1120" t="s">
        <v>8536</v>
      </c>
      <c r="AH1120" t="s">
        <v>5102</v>
      </c>
      <c r="AI1120" t="s">
        <v>333</v>
      </c>
      <c r="AJ1120" s="8" t="str">
        <f>"70130"</f>
        <v>70130</v>
      </c>
      <c r="AK1120" t="s">
        <v>118</v>
      </c>
      <c r="AM1120" s="10">
        <v>15042071345</v>
      </c>
      <c r="AO1120" t="s">
        <v>8539</v>
      </c>
      <c r="AP1120" t="s">
        <v>248</v>
      </c>
      <c r="AQ1120" t="s">
        <v>8540</v>
      </c>
      <c r="AR1120" t="s">
        <v>8541</v>
      </c>
      <c r="AT1120" t="s">
        <v>8542</v>
      </c>
      <c r="AU1120">
        <v>612</v>
      </c>
      <c r="AV1120" t="s">
        <v>766</v>
      </c>
      <c r="AW1120" t="s">
        <v>140</v>
      </c>
      <c r="AX1120" s="8" t="str">
        <f>"33141"</f>
        <v>33141</v>
      </c>
      <c r="AY1120" t="s">
        <v>118</v>
      </c>
      <c r="BA1120" s="10">
        <v>17863480376</v>
      </c>
      <c r="BC1120" t="s">
        <v>8543</v>
      </c>
      <c r="BD1120" t="s">
        <v>8544</v>
      </c>
      <c r="BG1120" t="s">
        <v>333</v>
      </c>
      <c r="BH1120" s="1">
        <v>45132.833333333336</v>
      </c>
      <c r="BI1120">
        <v>35</v>
      </c>
      <c r="BJ1120">
        <v>5</v>
      </c>
      <c r="BK1120">
        <v>5</v>
      </c>
      <c r="BL1120">
        <v>5</v>
      </c>
      <c r="BM1120">
        <v>5</v>
      </c>
      <c r="BN1120">
        <v>5</v>
      </c>
      <c r="BO1120">
        <v>5</v>
      </c>
      <c r="BP1120">
        <v>5</v>
      </c>
      <c r="BQ1120" t="str">
        <f>"8:00 AM"</f>
        <v>8:00 AM</v>
      </c>
      <c r="BR1120" t="str">
        <f>"4:00 PM"</f>
        <v>4:00 PM</v>
      </c>
      <c r="BS1120" t="s">
        <v>131</v>
      </c>
      <c r="BT1120">
        <v>0</v>
      </c>
      <c r="BU1120">
        <v>12</v>
      </c>
      <c r="BV1120" t="s">
        <v>114</v>
      </c>
      <c r="BX1120" s="2" t="s">
        <v>8545</v>
      </c>
      <c r="BY1120" t="s">
        <v>8536</v>
      </c>
      <c r="CA1120" t="s">
        <v>5102</v>
      </c>
      <c r="CB1120" t="s">
        <v>333</v>
      </c>
      <c r="CC1120" s="8" t="str">
        <f>"70130"</f>
        <v>70130</v>
      </c>
      <c r="CD1120" t="s">
        <v>679</v>
      </c>
      <c r="CE1120" t="s">
        <v>341</v>
      </c>
      <c r="CF1120" s="12">
        <v>16</v>
      </c>
      <c r="CG1120" s="12">
        <v>23</v>
      </c>
      <c r="CH1120" s="12">
        <v>24</v>
      </c>
      <c r="CI1120" s="12">
        <v>34.5</v>
      </c>
      <c r="CJ1120" t="s">
        <v>135</v>
      </c>
      <c r="CK1120" t="s">
        <v>8546</v>
      </c>
      <c r="CL1120" t="s">
        <v>8547</v>
      </c>
      <c r="CO1120" t="s">
        <v>132</v>
      </c>
      <c r="CP1120" t="s">
        <v>114</v>
      </c>
      <c r="CQ1120" t="s">
        <v>114</v>
      </c>
      <c r="CR1120" t="s">
        <v>136</v>
      </c>
      <c r="CS1120" t="s">
        <v>114</v>
      </c>
      <c r="CT1120" t="s">
        <v>136</v>
      </c>
      <c r="CU1120" t="s">
        <v>136</v>
      </c>
      <c r="CV1120" s="2" t="s">
        <v>8548</v>
      </c>
      <c r="CW1120" s="10" t="str">
        <f>"+15048953804"</f>
        <v>+15048953804</v>
      </c>
      <c r="CX1120" t="s">
        <v>8549</v>
      </c>
      <c r="CY1120" t="s">
        <v>132</v>
      </c>
      <c r="CZ1120" t="s">
        <v>137</v>
      </c>
      <c r="DA1120" t="s">
        <v>114</v>
      </c>
      <c r="DB1120" t="s">
        <v>114</v>
      </c>
      <c r="DC1120" t="s">
        <v>136</v>
      </c>
      <c r="DD1120" t="s">
        <v>114</v>
      </c>
    </row>
    <row r="1121" spans="1:113" ht="15" customHeight="1" x14ac:dyDescent="0.25">
      <c r="A1121" t="s">
        <v>7195</v>
      </c>
      <c r="B1121" t="s">
        <v>152</v>
      </c>
      <c r="C1121" s="1">
        <v>45141.56678645833</v>
      </c>
      <c r="D1121" s="1">
        <v>45236</v>
      </c>
      <c r="E1121" t="s">
        <v>114</v>
      </c>
      <c r="F1121" t="s">
        <v>7196</v>
      </c>
      <c r="G1121" t="str">
        <f>"37-3011.00"</f>
        <v>37-3011.00</v>
      </c>
      <c r="H1121" t="s">
        <v>429</v>
      </c>
      <c r="I1121">
        <v>36</v>
      </c>
      <c r="J1121">
        <v>36</v>
      </c>
      <c r="K1121" s="1">
        <v>45231</v>
      </c>
      <c r="L1121" s="1">
        <v>45536</v>
      </c>
      <c r="M1121" s="1">
        <v>45231</v>
      </c>
      <c r="N1121" s="1">
        <v>45536</v>
      </c>
      <c r="O1121" t="s">
        <v>238</v>
      </c>
      <c r="P1121" t="s">
        <v>7197</v>
      </c>
      <c r="R1121" t="s">
        <v>7198</v>
      </c>
      <c r="T1121" t="s">
        <v>4988</v>
      </c>
      <c r="U1121" t="s">
        <v>1691</v>
      </c>
      <c r="V1121" s="8" t="str">
        <f>"29488"</f>
        <v>29488</v>
      </c>
      <c r="W1121" t="s">
        <v>118</v>
      </c>
      <c r="Y1121" s="10">
        <v>18439091594</v>
      </c>
      <c r="AA1121">
        <v>56173</v>
      </c>
      <c r="AB1121" t="s">
        <v>3272</v>
      </c>
      <c r="AC1121" t="s">
        <v>4426</v>
      </c>
      <c r="AD1121" t="s">
        <v>132</v>
      </c>
      <c r="AE1121" t="s">
        <v>561</v>
      </c>
      <c r="AF1121" t="s">
        <v>7198</v>
      </c>
      <c r="AH1121" t="s">
        <v>4988</v>
      </c>
      <c r="AI1121" t="s">
        <v>1691</v>
      </c>
      <c r="AJ1121" s="8" t="str">
        <f>"29488"</f>
        <v>29488</v>
      </c>
      <c r="AK1121" t="s">
        <v>118</v>
      </c>
      <c r="AM1121" s="10">
        <v>18439091594</v>
      </c>
      <c r="AO1121" t="s">
        <v>7199</v>
      </c>
      <c r="AP1121" t="s">
        <v>248</v>
      </c>
      <c r="AQ1121" t="s">
        <v>1030</v>
      </c>
      <c r="AR1121" t="s">
        <v>1031</v>
      </c>
      <c r="AS1121" t="s">
        <v>132</v>
      </c>
      <c r="AT1121" t="s">
        <v>1032</v>
      </c>
      <c r="AU1121" t="s">
        <v>852</v>
      </c>
      <c r="AV1121" t="s">
        <v>1033</v>
      </c>
      <c r="AW1121" t="s">
        <v>854</v>
      </c>
      <c r="AX1121" s="8" t="str">
        <f>"83814"</f>
        <v>83814</v>
      </c>
      <c r="AY1121" t="s">
        <v>118</v>
      </c>
      <c r="BA1121" s="10">
        <v>12087772654</v>
      </c>
      <c r="BC1121" t="s">
        <v>1034</v>
      </c>
      <c r="BD1121" t="s">
        <v>856</v>
      </c>
      <c r="BG1121" t="s">
        <v>1691</v>
      </c>
      <c r="BH1121" s="1">
        <v>45126.833333333336</v>
      </c>
      <c r="BI1121">
        <v>40</v>
      </c>
      <c r="BJ1121">
        <v>0</v>
      </c>
      <c r="BK1121">
        <v>8</v>
      </c>
      <c r="BL1121">
        <v>8</v>
      </c>
      <c r="BM1121">
        <v>8</v>
      </c>
      <c r="BN1121">
        <v>8</v>
      </c>
      <c r="BO1121">
        <v>8</v>
      </c>
      <c r="BP1121">
        <v>0</v>
      </c>
      <c r="BQ1121" t="str">
        <f>"7:00 AM"</f>
        <v>7:00 AM</v>
      </c>
      <c r="BR1121" t="str">
        <f>"4:00 PM"</f>
        <v>4:00 PM</v>
      </c>
      <c r="BS1121" t="s">
        <v>131</v>
      </c>
      <c r="BT1121">
        <v>0</v>
      </c>
      <c r="BU1121">
        <v>0</v>
      </c>
      <c r="BV1121" t="s">
        <v>114</v>
      </c>
      <c r="BX1121" s="2" t="s">
        <v>7200</v>
      </c>
      <c r="BY1121" t="s">
        <v>7201</v>
      </c>
      <c r="CA1121" t="s">
        <v>4988</v>
      </c>
      <c r="CB1121" t="s">
        <v>1691</v>
      </c>
      <c r="CC1121" s="8" t="str">
        <f>"29488"</f>
        <v>29488</v>
      </c>
      <c r="CD1121" t="s">
        <v>4990</v>
      </c>
      <c r="CE1121" t="s">
        <v>4991</v>
      </c>
      <c r="CF1121" s="12">
        <v>14.66</v>
      </c>
      <c r="CH1121" s="12">
        <v>21.99</v>
      </c>
      <c r="CJ1121" t="s">
        <v>135</v>
      </c>
      <c r="CK1121" t="s">
        <v>132</v>
      </c>
      <c r="CL1121" t="s">
        <v>7202</v>
      </c>
      <c r="CO1121" t="s">
        <v>132</v>
      </c>
      <c r="CP1121" t="s">
        <v>136</v>
      </c>
      <c r="CQ1121" t="s">
        <v>136</v>
      </c>
      <c r="CR1121" t="s">
        <v>136</v>
      </c>
      <c r="CS1121" t="s">
        <v>136</v>
      </c>
      <c r="CT1121" t="s">
        <v>136</v>
      </c>
      <c r="CU1121" t="s">
        <v>114</v>
      </c>
      <c r="CV1121" t="s">
        <v>1040</v>
      </c>
      <c r="CW1121" s="10" t="str">
        <f>"+18439091594"</f>
        <v>+18439091594</v>
      </c>
      <c r="CX1121" t="s">
        <v>7199</v>
      </c>
      <c r="CY1121" t="s">
        <v>132</v>
      </c>
      <c r="CZ1121" t="s">
        <v>137</v>
      </c>
      <c r="DA1121" t="s">
        <v>114</v>
      </c>
      <c r="DB1121" t="s">
        <v>136</v>
      </c>
      <c r="DC1121" t="s">
        <v>136</v>
      </c>
      <c r="DD1121" t="s">
        <v>114</v>
      </c>
    </row>
    <row r="1122" spans="1:113" ht="15" customHeight="1" x14ac:dyDescent="0.25">
      <c r="A1122" t="s">
        <v>14317</v>
      </c>
      <c r="B1122" t="s">
        <v>152</v>
      </c>
      <c r="C1122" s="1">
        <v>45132.89706909722</v>
      </c>
      <c r="D1122" s="1">
        <v>45236</v>
      </c>
      <c r="E1122" t="s">
        <v>114</v>
      </c>
      <c r="F1122" t="s">
        <v>1397</v>
      </c>
      <c r="G1122" t="str">
        <f>"39-9011.01"</f>
        <v>39-9011.01</v>
      </c>
      <c r="H1122" t="s">
        <v>183</v>
      </c>
      <c r="I1122">
        <v>1</v>
      </c>
      <c r="J1122">
        <v>1</v>
      </c>
      <c r="K1122" s="1">
        <v>45209</v>
      </c>
      <c r="L1122" s="1">
        <v>46264</v>
      </c>
      <c r="M1122" s="1">
        <v>45209</v>
      </c>
      <c r="N1122" s="1">
        <v>46264</v>
      </c>
      <c r="O1122" t="s">
        <v>184</v>
      </c>
      <c r="P1122" t="s">
        <v>14318</v>
      </c>
      <c r="R1122" t="s">
        <v>14319</v>
      </c>
      <c r="T1122" t="s">
        <v>3033</v>
      </c>
      <c r="U1122" t="s">
        <v>2706</v>
      </c>
      <c r="V1122" s="8" t="str">
        <f>"99501"</f>
        <v>99501</v>
      </c>
      <c r="W1122" t="s">
        <v>118</v>
      </c>
      <c r="Y1122" s="10">
        <v>19072777727</v>
      </c>
      <c r="AA1122">
        <v>8141</v>
      </c>
      <c r="AB1122" t="s">
        <v>10278</v>
      </c>
      <c r="AC1122" t="s">
        <v>931</v>
      </c>
      <c r="AD1122" t="s">
        <v>3029</v>
      </c>
      <c r="AE1122" t="s">
        <v>6272</v>
      </c>
      <c r="AF1122" t="s">
        <v>14320</v>
      </c>
      <c r="AH1122" t="s">
        <v>3033</v>
      </c>
      <c r="AI1122" t="s">
        <v>2706</v>
      </c>
      <c r="AJ1122" s="8" t="str">
        <f>"99501"</f>
        <v>99501</v>
      </c>
      <c r="AK1122" t="s">
        <v>118</v>
      </c>
      <c r="AM1122" s="10">
        <v>19072777727</v>
      </c>
      <c r="AO1122" t="s">
        <v>14321</v>
      </c>
      <c r="AP1122" t="s">
        <v>121</v>
      </c>
      <c r="AQ1122" t="s">
        <v>3935</v>
      </c>
      <c r="AR1122" t="s">
        <v>3936</v>
      </c>
      <c r="AS1122" t="s">
        <v>3937</v>
      </c>
      <c r="AT1122" t="s">
        <v>3938</v>
      </c>
      <c r="AU1122" t="s">
        <v>3939</v>
      </c>
      <c r="AV1122" t="s">
        <v>3940</v>
      </c>
      <c r="AW1122" t="s">
        <v>2262</v>
      </c>
      <c r="AX1122" s="8" t="str">
        <f>"06510"</f>
        <v>06510</v>
      </c>
      <c r="AY1122" t="s">
        <v>118</v>
      </c>
      <c r="BA1122" s="10">
        <v>19198270660</v>
      </c>
      <c r="BC1122" t="s">
        <v>3941</v>
      </c>
      <c r="BD1122" t="s">
        <v>3942</v>
      </c>
      <c r="BE1122" t="s">
        <v>375</v>
      </c>
      <c r="BF1122" t="s">
        <v>3943</v>
      </c>
      <c r="BG1122" t="s">
        <v>2706</v>
      </c>
      <c r="BH1122" s="1">
        <v>45131.833333333336</v>
      </c>
      <c r="BI1122">
        <v>46</v>
      </c>
      <c r="BJ1122">
        <v>2</v>
      </c>
      <c r="BK1122">
        <v>8</v>
      </c>
      <c r="BL1122">
        <v>8</v>
      </c>
      <c r="BM1122">
        <v>8</v>
      </c>
      <c r="BN1122">
        <v>8</v>
      </c>
      <c r="BO1122">
        <v>8</v>
      </c>
      <c r="BP1122">
        <v>4</v>
      </c>
      <c r="BQ1122" t="str">
        <f>"9:00 AM"</f>
        <v>9:00 AM</v>
      </c>
      <c r="BR1122" t="str">
        <f>"5:00 PM"</f>
        <v>5:00 PM</v>
      </c>
      <c r="BS1122" t="s">
        <v>147</v>
      </c>
      <c r="BT1122">
        <v>0</v>
      </c>
      <c r="BU1122">
        <v>12</v>
      </c>
      <c r="BV1122" t="s">
        <v>114</v>
      </c>
      <c r="BX1122" s="2" t="s">
        <v>14322</v>
      </c>
      <c r="BY1122" t="s">
        <v>14320</v>
      </c>
      <c r="CA1122" t="s">
        <v>3033</v>
      </c>
      <c r="CB1122" t="s">
        <v>2706</v>
      </c>
      <c r="CC1122" s="8" t="str">
        <f>"99501"</f>
        <v>99501</v>
      </c>
      <c r="CD1122" t="s">
        <v>3034</v>
      </c>
      <c r="CE1122" t="s">
        <v>3035</v>
      </c>
      <c r="CF1122" s="12">
        <v>15.99</v>
      </c>
      <c r="CG1122" s="12">
        <v>15.99</v>
      </c>
      <c r="CH1122" s="12">
        <v>24</v>
      </c>
      <c r="CI1122" s="12">
        <v>24</v>
      </c>
      <c r="CJ1122" t="s">
        <v>135</v>
      </c>
      <c r="CL1122" t="s">
        <v>14323</v>
      </c>
      <c r="CO1122" t="s">
        <v>132</v>
      </c>
      <c r="CP1122" t="s">
        <v>114</v>
      </c>
      <c r="CQ1122" t="s">
        <v>114</v>
      </c>
      <c r="CR1122" t="s">
        <v>114</v>
      </c>
      <c r="CS1122" t="s">
        <v>114</v>
      </c>
      <c r="CT1122" t="s">
        <v>136</v>
      </c>
      <c r="CU1122" t="s">
        <v>136</v>
      </c>
      <c r="CV1122" t="s">
        <v>14324</v>
      </c>
      <c r="CW1122" s="10" t="str">
        <f>"+19072777727"</f>
        <v>+19072777727</v>
      </c>
      <c r="CX1122" t="s">
        <v>14321</v>
      </c>
      <c r="CY1122" t="s">
        <v>132</v>
      </c>
      <c r="CZ1122" t="s">
        <v>137</v>
      </c>
      <c r="DA1122" t="s">
        <v>114</v>
      </c>
      <c r="DB1122" t="s">
        <v>114</v>
      </c>
      <c r="DC1122" t="s">
        <v>136</v>
      </c>
      <c r="DD1122" t="s">
        <v>114</v>
      </c>
    </row>
    <row r="1123" spans="1:113" ht="15" customHeight="1" x14ac:dyDescent="0.25">
      <c r="A1123" t="s">
        <v>15509</v>
      </c>
      <c r="B1123" t="s">
        <v>152</v>
      </c>
      <c r="C1123" s="1">
        <v>45124.778388888888</v>
      </c>
      <c r="D1123" s="1">
        <v>45236</v>
      </c>
      <c r="E1123" t="s">
        <v>114</v>
      </c>
      <c r="F1123" t="s">
        <v>6288</v>
      </c>
      <c r="G1123" t="str">
        <f>"37-3011.00"</f>
        <v>37-3011.00</v>
      </c>
      <c r="H1123" t="s">
        <v>429</v>
      </c>
      <c r="I1123">
        <v>5</v>
      </c>
      <c r="J1123">
        <v>5</v>
      </c>
      <c r="K1123" s="1">
        <v>45200</v>
      </c>
      <c r="L1123" s="1">
        <v>45382</v>
      </c>
      <c r="M1123" s="1">
        <v>45200</v>
      </c>
      <c r="N1123" s="1">
        <v>45382</v>
      </c>
      <c r="O1123" t="s">
        <v>238</v>
      </c>
      <c r="P1123" t="s">
        <v>15510</v>
      </c>
      <c r="Q1123" t="s">
        <v>6290</v>
      </c>
      <c r="R1123" t="s">
        <v>6291</v>
      </c>
      <c r="S1123" t="s">
        <v>6292</v>
      </c>
      <c r="T1123" t="s">
        <v>1658</v>
      </c>
      <c r="U1123" t="s">
        <v>558</v>
      </c>
      <c r="V1123" s="8" t="str">
        <f>"85260"</f>
        <v>85260</v>
      </c>
      <c r="W1123" t="s">
        <v>118</v>
      </c>
      <c r="Y1123" s="10">
        <v>16027816775</v>
      </c>
      <c r="AA1123">
        <v>111421</v>
      </c>
      <c r="AB1123" t="s">
        <v>6293</v>
      </c>
      <c r="AC1123" t="s">
        <v>3207</v>
      </c>
      <c r="AE1123" t="s">
        <v>6294</v>
      </c>
      <c r="AF1123" t="s">
        <v>6295</v>
      </c>
      <c r="AG1123" t="s">
        <v>6296</v>
      </c>
      <c r="AH1123" t="s">
        <v>1658</v>
      </c>
      <c r="AI1123" t="s">
        <v>558</v>
      </c>
      <c r="AJ1123" s="8" t="str">
        <f>"85260"</f>
        <v>85260</v>
      </c>
      <c r="AK1123" t="s">
        <v>118</v>
      </c>
      <c r="AM1123" s="10">
        <v>16027816775</v>
      </c>
      <c r="AO1123" t="s">
        <v>6297</v>
      </c>
      <c r="AP1123" t="s">
        <v>121</v>
      </c>
      <c r="AQ1123" t="s">
        <v>1902</v>
      </c>
      <c r="AR1123" t="s">
        <v>1903</v>
      </c>
      <c r="AS1123" t="s">
        <v>1555</v>
      </c>
      <c r="AT1123" t="s">
        <v>1904</v>
      </c>
      <c r="AU1123" t="s">
        <v>1905</v>
      </c>
      <c r="AV1123" t="s">
        <v>1906</v>
      </c>
      <c r="AW1123" t="s">
        <v>358</v>
      </c>
      <c r="AX1123" s="8" t="str">
        <f>"12207"</f>
        <v>12207</v>
      </c>
      <c r="AY1123" t="s">
        <v>118</v>
      </c>
      <c r="BA1123" s="10">
        <v>15187012770</v>
      </c>
      <c r="BC1123" t="s">
        <v>2117</v>
      </c>
      <c r="BD1123" t="s">
        <v>1907</v>
      </c>
      <c r="BE1123" t="s">
        <v>358</v>
      </c>
      <c r="BF1123" t="s">
        <v>1908</v>
      </c>
      <c r="BG1123" t="s">
        <v>967</v>
      </c>
      <c r="BH1123" s="1">
        <v>45123.833333333336</v>
      </c>
      <c r="BI1123">
        <v>40</v>
      </c>
      <c r="BJ1123">
        <v>0</v>
      </c>
      <c r="BK1123">
        <v>8</v>
      </c>
      <c r="BL1123">
        <v>8</v>
      </c>
      <c r="BM1123">
        <v>8</v>
      </c>
      <c r="BN1123">
        <v>8</v>
      </c>
      <c r="BO1123">
        <v>8</v>
      </c>
      <c r="BP1123">
        <v>0</v>
      </c>
      <c r="BQ1123" t="str">
        <f>"6:00 AM"</f>
        <v>6:00 AM</v>
      </c>
      <c r="BR1123" t="str">
        <f>"2:30 PM"</f>
        <v>2:30 PM</v>
      </c>
      <c r="BS1123" t="s">
        <v>131</v>
      </c>
      <c r="BT1123">
        <v>0</v>
      </c>
      <c r="BU1123">
        <v>0</v>
      </c>
      <c r="BV1123" t="s">
        <v>114</v>
      </c>
      <c r="BX1123" s="2" t="s">
        <v>15511</v>
      </c>
      <c r="BY1123" t="s">
        <v>15512</v>
      </c>
      <c r="CA1123" t="s">
        <v>9651</v>
      </c>
      <c r="CB1123" t="s">
        <v>967</v>
      </c>
      <c r="CC1123" s="8" t="str">
        <f>"89123"</f>
        <v>89123</v>
      </c>
      <c r="CD1123" t="s">
        <v>4455</v>
      </c>
      <c r="CE1123" t="s">
        <v>4456</v>
      </c>
      <c r="CF1123" s="12">
        <v>17.850000000000001</v>
      </c>
      <c r="CH1123" s="12">
        <v>26.78</v>
      </c>
      <c r="CJ1123" t="s">
        <v>135</v>
      </c>
      <c r="CK1123" t="s">
        <v>3061</v>
      </c>
      <c r="CL1123" t="s">
        <v>15513</v>
      </c>
      <c r="CO1123" t="s">
        <v>132</v>
      </c>
      <c r="CP1123" t="s">
        <v>136</v>
      </c>
      <c r="CQ1123" t="s">
        <v>136</v>
      </c>
      <c r="CR1123" t="s">
        <v>136</v>
      </c>
      <c r="CS1123" t="s">
        <v>136</v>
      </c>
      <c r="CT1123" t="s">
        <v>136</v>
      </c>
      <c r="CU1123" t="s">
        <v>136</v>
      </c>
      <c r="CV1123" t="s">
        <v>6301</v>
      </c>
      <c r="CW1123" s="10" t="str">
        <f>"+16027816775"</f>
        <v>+16027816775</v>
      </c>
      <c r="CX1123" t="s">
        <v>6297</v>
      </c>
      <c r="CY1123" t="s">
        <v>132</v>
      </c>
      <c r="CZ1123" t="s">
        <v>137</v>
      </c>
      <c r="DA1123" t="s">
        <v>114</v>
      </c>
      <c r="DB1123" t="s">
        <v>114</v>
      </c>
      <c r="DC1123" t="s">
        <v>136</v>
      </c>
      <c r="DD1123" t="s">
        <v>114</v>
      </c>
      <c r="DE1123" t="s">
        <v>6302</v>
      </c>
      <c r="DF1123" t="s">
        <v>2896</v>
      </c>
      <c r="DH1123" t="s">
        <v>2897</v>
      </c>
      <c r="DI1123" t="s">
        <v>2121</v>
      </c>
    </row>
    <row r="1124" spans="1:113" ht="15" customHeight="1" x14ac:dyDescent="0.25">
      <c r="A1124" t="s">
        <v>6287</v>
      </c>
      <c r="B1124" t="s">
        <v>152</v>
      </c>
      <c r="C1124" s="1">
        <v>45124.402313078703</v>
      </c>
      <c r="D1124" s="1">
        <v>45236</v>
      </c>
      <c r="E1124" t="s">
        <v>114</v>
      </c>
      <c r="F1124" t="s">
        <v>6288</v>
      </c>
      <c r="G1124" t="str">
        <f>"37-3011.00"</f>
        <v>37-3011.00</v>
      </c>
      <c r="H1124" t="s">
        <v>429</v>
      </c>
      <c r="I1124">
        <v>50</v>
      </c>
      <c r="J1124">
        <v>50</v>
      </c>
      <c r="K1124" s="1">
        <v>45200</v>
      </c>
      <c r="L1124" s="1">
        <v>45382</v>
      </c>
      <c r="M1124" s="1">
        <v>45200</v>
      </c>
      <c r="N1124" s="1">
        <v>45382</v>
      </c>
      <c r="O1124" t="s">
        <v>238</v>
      </c>
      <c r="P1124" t="s">
        <v>6289</v>
      </c>
      <c r="Q1124" t="s">
        <v>6290</v>
      </c>
      <c r="R1124" t="s">
        <v>6291</v>
      </c>
      <c r="S1124" t="s">
        <v>6292</v>
      </c>
      <c r="T1124" t="s">
        <v>1658</v>
      </c>
      <c r="U1124" t="s">
        <v>558</v>
      </c>
      <c r="V1124" s="8" t="str">
        <f>"85260"</f>
        <v>85260</v>
      </c>
      <c r="W1124" t="s">
        <v>118</v>
      </c>
      <c r="Y1124" s="10">
        <v>16027816775</v>
      </c>
      <c r="AA1124">
        <v>111421</v>
      </c>
      <c r="AB1124" t="s">
        <v>6293</v>
      </c>
      <c r="AC1124" t="s">
        <v>3207</v>
      </c>
      <c r="AE1124" t="s">
        <v>6294</v>
      </c>
      <c r="AF1124" t="s">
        <v>6295</v>
      </c>
      <c r="AG1124" t="s">
        <v>6296</v>
      </c>
      <c r="AH1124" t="s">
        <v>1658</v>
      </c>
      <c r="AI1124" t="s">
        <v>558</v>
      </c>
      <c r="AJ1124" s="8" t="str">
        <f>"85260"</f>
        <v>85260</v>
      </c>
      <c r="AK1124" t="s">
        <v>118</v>
      </c>
      <c r="AM1124" s="10">
        <v>16027816775</v>
      </c>
      <c r="AO1124" t="s">
        <v>6297</v>
      </c>
      <c r="AP1124" t="s">
        <v>121</v>
      </c>
      <c r="AQ1124" t="s">
        <v>1902</v>
      </c>
      <c r="AR1124" t="s">
        <v>1903</v>
      </c>
      <c r="AS1124" t="s">
        <v>1555</v>
      </c>
      <c r="AT1124" t="s">
        <v>1904</v>
      </c>
      <c r="AU1124" t="s">
        <v>1905</v>
      </c>
      <c r="AV1124" t="s">
        <v>1906</v>
      </c>
      <c r="AW1124" t="s">
        <v>358</v>
      </c>
      <c r="AX1124" s="8" t="str">
        <f>"12207"</f>
        <v>12207</v>
      </c>
      <c r="AY1124" t="s">
        <v>118</v>
      </c>
      <c r="BA1124" s="10">
        <v>15187012770</v>
      </c>
      <c r="BC1124" t="s">
        <v>2117</v>
      </c>
      <c r="BD1124" t="s">
        <v>1907</v>
      </c>
      <c r="BE1124" t="s">
        <v>358</v>
      </c>
      <c r="BF1124" t="s">
        <v>1908</v>
      </c>
      <c r="BG1124" t="s">
        <v>558</v>
      </c>
      <c r="BH1124" s="1">
        <v>45123.833333333336</v>
      </c>
      <c r="BI1124">
        <v>40</v>
      </c>
      <c r="BJ1124">
        <v>0</v>
      </c>
      <c r="BK1124">
        <v>8</v>
      </c>
      <c r="BL1124">
        <v>8</v>
      </c>
      <c r="BM1124">
        <v>8</v>
      </c>
      <c r="BN1124">
        <v>8</v>
      </c>
      <c r="BO1124">
        <v>8</v>
      </c>
      <c r="BP1124">
        <v>0</v>
      </c>
      <c r="BQ1124" t="str">
        <f>"6:00 AM"</f>
        <v>6:00 AM</v>
      </c>
      <c r="BR1124" t="str">
        <f>"2:30 PM"</f>
        <v>2:30 PM</v>
      </c>
      <c r="BS1124" t="s">
        <v>131</v>
      </c>
      <c r="BT1124">
        <v>0</v>
      </c>
      <c r="BU1124">
        <v>0</v>
      </c>
      <c r="BV1124" t="s">
        <v>114</v>
      </c>
      <c r="BX1124" s="2" t="s">
        <v>6298</v>
      </c>
      <c r="BY1124" t="s">
        <v>6299</v>
      </c>
      <c r="CA1124" t="s">
        <v>1658</v>
      </c>
      <c r="CB1124" t="s">
        <v>558</v>
      </c>
      <c r="CC1124" s="8" t="str">
        <f>"85032"</f>
        <v>85032</v>
      </c>
      <c r="CD1124" t="s">
        <v>1391</v>
      </c>
      <c r="CE1124" t="s">
        <v>565</v>
      </c>
      <c r="CF1124" s="12">
        <v>17.309999999999999</v>
      </c>
      <c r="CH1124" s="12">
        <v>25.97</v>
      </c>
      <c r="CJ1124" t="s">
        <v>135</v>
      </c>
      <c r="CK1124" t="s">
        <v>3061</v>
      </c>
      <c r="CL1124" t="s">
        <v>6300</v>
      </c>
      <c r="CO1124" t="s">
        <v>132</v>
      </c>
      <c r="CP1124" t="s">
        <v>136</v>
      </c>
      <c r="CQ1124" t="s">
        <v>136</v>
      </c>
      <c r="CR1124" t="s">
        <v>136</v>
      </c>
      <c r="CS1124" t="s">
        <v>136</v>
      </c>
      <c r="CT1124" t="s">
        <v>136</v>
      </c>
      <c r="CU1124" t="s">
        <v>136</v>
      </c>
      <c r="CV1124" t="s">
        <v>6301</v>
      </c>
      <c r="CW1124" s="10" t="str">
        <f>"+16027816775"</f>
        <v>+16027816775</v>
      </c>
      <c r="CX1124" t="s">
        <v>6297</v>
      </c>
      <c r="CY1124" t="s">
        <v>132</v>
      </c>
      <c r="CZ1124" t="s">
        <v>137</v>
      </c>
      <c r="DA1124" t="s">
        <v>114</v>
      </c>
      <c r="DB1124" t="s">
        <v>114</v>
      </c>
      <c r="DC1124" t="s">
        <v>136</v>
      </c>
      <c r="DD1124" t="s">
        <v>114</v>
      </c>
      <c r="DE1124" t="s">
        <v>6302</v>
      </c>
      <c r="DF1124" t="s">
        <v>2896</v>
      </c>
      <c r="DH1124" t="s">
        <v>2897</v>
      </c>
      <c r="DI1124" t="s">
        <v>2121</v>
      </c>
    </row>
    <row r="1125" spans="1:113" ht="15" customHeight="1" x14ac:dyDescent="0.25">
      <c r="A1125" t="s">
        <v>4003</v>
      </c>
      <c r="B1125" t="s">
        <v>152</v>
      </c>
      <c r="C1125" s="1">
        <v>45120.648622685185</v>
      </c>
      <c r="D1125" s="1">
        <v>45236</v>
      </c>
      <c r="E1125" t="s">
        <v>114</v>
      </c>
      <c r="F1125" t="s">
        <v>1059</v>
      </c>
      <c r="G1125" t="str">
        <f>"35-2014.00"</f>
        <v>35-2014.00</v>
      </c>
      <c r="H1125" t="s">
        <v>154</v>
      </c>
      <c r="I1125">
        <v>6</v>
      </c>
      <c r="J1125">
        <v>6</v>
      </c>
      <c r="K1125" s="1">
        <v>45210</v>
      </c>
      <c r="L1125" s="1">
        <v>45392</v>
      </c>
      <c r="M1125" s="1">
        <v>45210</v>
      </c>
      <c r="N1125" s="1">
        <v>45392</v>
      </c>
      <c r="O1125" t="s">
        <v>116</v>
      </c>
      <c r="P1125" t="s">
        <v>4004</v>
      </c>
      <c r="Q1125" t="s">
        <v>4005</v>
      </c>
      <c r="R1125" t="s">
        <v>4006</v>
      </c>
      <c r="S1125" t="s">
        <v>4007</v>
      </c>
      <c r="T1125" t="s">
        <v>1457</v>
      </c>
      <c r="U1125" t="s">
        <v>188</v>
      </c>
      <c r="V1125" s="8" t="str">
        <f>"81620"</f>
        <v>81620</v>
      </c>
      <c r="W1125" t="s">
        <v>118</v>
      </c>
      <c r="Y1125" s="10">
        <v>19708458153</v>
      </c>
      <c r="AA1125">
        <v>722511</v>
      </c>
      <c r="AB1125" t="s">
        <v>4008</v>
      </c>
      <c r="AC1125" t="s">
        <v>4009</v>
      </c>
      <c r="AE1125" t="s">
        <v>561</v>
      </c>
      <c r="AF1125" t="s">
        <v>4006</v>
      </c>
      <c r="AG1125" t="s">
        <v>4007</v>
      </c>
      <c r="AH1125" t="s">
        <v>1457</v>
      </c>
      <c r="AI1125" t="s">
        <v>188</v>
      </c>
      <c r="AJ1125" s="8" t="str">
        <f>"81620"</f>
        <v>81620</v>
      </c>
      <c r="AK1125" t="s">
        <v>118</v>
      </c>
      <c r="AM1125" s="10">
        <v>19708458153</v>
      </c>
      <c r="AO1125" t="s">
        <v>4010</v>
      </c>
      <c r="AP1125" t="s">
        <v>121</v>
      </c>
      <c r="AQ1125" t="s">
        <v>1523</v>
      </c>
      <c r="AR1125" t="s">
        <v>1524</v>
      </c>
      <c r="AS1125" t="s">
        <v>1525</v>
      </c>
      <c r="AT1125" t="s">
        <v>1526</v>
      </c>
      <c r="AU1125" t="s">
        <v>1527</v>
      </c>
      <c r="AV1125" t="s">
        <v>1084</v>
      </c>
      <c r="AW1125" t="s">
        <v>188</v>
      </c>
      <c r="AX1125" s="8" t="str">
        <f>"81657"</f>
        <v>81657</v>
      </c>
      <c r="AY1125" t="s">
        <v>118</v>
      </c>
      <c r="BA1125" s="10">
        <v>19703066476</v>
      </c>
      <c r="BC1125" t="s">
        <v>1528</v>
      </c>
      <c r="BD1125" t="s">
        <v>1529</v>
      </c>
      <c r="BE1125" t="s">
        <v>188</v>
      </c>
      <c r="BF1125" t="s">
        <v>1530</v>
      </c>
      <c r="BG1125" t="s">
        <v>188</v>
      </c>
      <c r="BH1125" s="1">
        <v>45119.833333333336</v>
      </c>
      <c r="BI1125">
        <v>40</v>
      </c>
      <c r="BJ1125">
        <v>0</v>
      </c>
      <c r="BK1125">
        <v>8</v>
      </c>
      <c r="BL1125">
        <v>8</v>
      </c>
      <c r="BM1125">
        <v>8</v>
      </c>
      <c r="BN1125">
        <v>8</v>
      </c>
      <c r="BO1125">
        <v>8</v>
      </c>
      <c r="BP1125">
        <v>0</v>
      </c>
      <c r="BQ1125" t="str">
        <f>"8:00 AM"</f>
        <v>8:00 AM</v>
      </c>
      <c r="BR1125" t="str">
        <f>"10:00 PM"</f>
        <v>10:00 PM</v>
      </c>
      <c r="BS1125" t="s">
        <v>131</v>
      </c>
      <c r="BT1125">
        <v>0</v>
      </c>
      <c r="BU1125">
        <v>6</v>
      </c>
      <c r="BV1125" t="s">
        <v>114</v>
      </c>
      <c r="BX1125" s="2" t="s">
        <v>4011</v>
      </c>
      <c r="BY1125" t="s">
        <v>4012</v>
      </c>
      <c r="BZ1125" t="s">
        <v>4013</v>
      </c>
      <c r="CA1125" t="s">
        <v>1457</v>
      </c>
      <c r="CB1125" t="s">
        <v>188</v>
      </c>
      <c r="CC1125" s="8" t="str">
        <f>"81620"</f>
        <v>81620</v>
      </c>
      <c r="CD1125" t="s">
        <v>1037</v>
      </c>
      <c r="CE1125" t="s">
        <v>1038</v>
      </c>
      <c r="CF1125" s="12">
        <v>18.11</v>
      </c>
      <c r="CH1125" s="12">
        <v>27.17</v>
      </c>
      <c r="CJ1125" t="s">
        <v>135</v>
      </c>
      <c r="CK1125" t="e">
        <f>+DOE.</f>
        <v>#NAME?</v>
      </c>
      <c r="CL1125" t="s">
        <v>4014</v>
      </c>
      <c r="CO1125" t="s">
        <v>132</v>
      </c>
      <c r="CP1125" t="s">
        <v>114</v>
      </c>
      <c r="CQ1125" t="s">
        <v>114</v>
      </c>
      <c r="CR1125" t="s">
        <v>136</v>
      </c>
      <c r="CS1125" t="s">
        <v>136</v>
      </c>
      <c r="CT1125" t="s">
        <v>136</v>
      </c>
      <c r="CU1125" t="s">
        <v>114</v>
      </c>
      <c r="CV1125" t="s">
        <v>4015</v>
      </c>
      <c r="CW1125" s="10" t="str">
        <f>"+19708458153"</f>
        <v>+19708458153</v>
      </c>
      <c r="CX1125" t="s">
        <v>4010</v>
      </c>
      <c r="CY1125" t="s">
        <v>132</v>
      </c>
      <c r="CZ1125" t="s">
        <v>137</v>
      </c>
      <c r="DA1125" t="s">
        <v>114</v>
      </c>
      <c r="DB1125" t="s">
        <v>114</v>
      </c>
      <c r="DC1125" t="s">
        <v>136</v>
      </c>
      <c r="DD1125" t="s">
        <v>114</v>
      </c>
    </row>
    <row r="1126" spans="1:113" ht="15" customHeight="1" x14ac:dyDescent="0.25">
      <c r="A1126" t="s">
        <v>4673</v>
      </c>
      <c r="B1126" t="s">
        <v>152</v>
      </c>
      <c r="C1126" s="1">
        <v>45114.519305208334</v>
      </c>
      <c r="D1126" s="1">
        <v>45236</v>
      </c>
      <c r="E1126" t="s">
        <v>114</v>
      </c>
      <c r="F1126" t="s">
        <v>4674</v>
      </c>
      <c r="G1126" t="str">
        <f>"47-2051.00"</f>
        <v>47-2051.00</v>
      </c>
      <c r="H1126" t="s">
        <v>1291</v>
      </c>
      <c r="I1126">
        <v>22</v>
      </c>
      <c r="J1126">
        <v>22</v>
      </c>
      <c r="K1126" s="1">
        <v>45200</v>
      </c>
      <c r="L1126" s="1">
        <v>45366</v>
      </c>
      <c r="M1126" s="1">
        <v>45200</v>
      </c>
      <c r="N1126" s="1">
        <v>45366</v>
      </c>
      <c r="O1126" t="s">
        <v>238</v>
      </c>
      <c r="P1126" t="s">
        <v>4675</v>
      </c>
      <c r="R1126" t="s">
        <v>4676</v>
      </c>
      <c r="T1126" t="s">
        <v>3520</v>
      </c>
      <c r="U1126" t="s">
        <v>1427</v>
      </c>
      <c r="V1126" s="8" t="str">
        <f>"19702"</f>
        <v>19702</v>
      </c>
      <c r="W1126" t="s">
        <v>118</v>
      </c>
      <c r="Y1126" s="10">
        <v>13025591428</v>
      </c>
      <c r="AA1126">
        <v>56179</v>
      </c>
      <c r="AB1126" t="s">
        <v>4677</v>
      </c>
      <c r="AC1126" t="s">
        <v>4170</v>
      </c>
      <c r="AE1126" t="s">
        <v>629</v>
      </c>
      <c r="AF1126" t="s">
        <v>4676</v>
      </c>
      <c r="AH1126" t="s">
        <v>3520</v>
      </c>
      <c r="AI1126" t="s">
        <v>1427</v>
      </c>
      <c r="AJ1126" s="8" t="str">
        <f>"19702"</f>
        <v>19702</v>
      </c>
      <c r="AK1126" t="s">
        <v>118</v>
      </c>
      <c r="AM1126" s="10">
        <v>13025591428</v>
      </c>
      <c r="AO1126" t="s">
        <v>4678</v>
      </c>
      <c r="AP1126" t="s">
        <v>121</v>
      </c>
      <c r="AQ1126" t="s">
        <v>2236</v>
      </c>
      <c r="AR1126" t="s">
        <v>2237</v>
      </c>
      <c r="AS1126" t="s">
        <v>2238</v>
      </c>
      <c r="AT1126" t="s">
        <v>3668</v>
      </c>
      <c r="AV1126" t="s">
        <v>3669</v>
      </c>
      <c r="AW1126" t="s">
        <v>1427</v>
      </c>
      <c r="AX1126" s="8" t="str">
        <f>"19934"</f>
        <v>19934</v>
      </c>
      <c r="AY1126" t="s">
        <v>118</v>
      </c>
      <c r="BA1126" s="10">
        <v>16103485354</v>
      </c>
      <c r="BC1126" t="s">
        <v>2240</v>
      </c>
      <c r="BD1126" t="s">
        <v>2241</v>
      </c>
      <c r="BE1126" t="s">
        <v>434</v>
      </c>
      <c r="BF1126" t="s">
        <v>2242</v>
      </c>
      <c r="BG1126" t="s">
        <v>1427</v>
      </c>
      <c r="BH1126" s="1">
        <v>45111.833333333336</v>
      </c>
      <c r="BI1126">
        <v>50</v>
      </c>
      <c r="BJ1126">
        <v>0</v>
      </c>
      <c r="BK1126">
        <v>8</v>
      </c>
      <c r="BL1126">
        <v>8</v>
      </c>
      <c r="BM1126">
        <v>8</v>
      </c>
      <c r="BN1126">
        <v>8</v>
      </c>
      <c r="BO1126">
        <v>8</v>
      </c>
      <c r="BP1126">
        <v>10</v>
      </c>
      <c r="BQ1126" t="str">
        <f>"7:00 AM"</f>
        <v>7:00 AM</v>
      </c>
      <c r="BR1126" t="str">
        <f>"3:30 PM"</f>
        <v>3:30 PM</v>
      </c>
      <c r="BS1126" t="s">
        <v>131</v>
      </c>
      <c r="BT1126">
        <v>0</v>
      </c>
      <c r="BU1126">
        <v>0</v>
      </c>
      <c r="BV1126" t="s">
        <v>114</v>
      </c>
      <c r="BX1126" s="2" t="s">
        <v>2243</v>
      </c>
      <c r="BY1126" t="s">
        <v>4676</v>
      </c>
      <c r="CA1126" t="s">
        <v>3520</v>
      </c>
      <c r="CB1126" t="s">
        <v>1427</v>
      </c>
      <c r="CC1126" s="8" t="str">
        <f>"19702"</f>
        <v>19702</v>
      </c>
      <c r="CD1126" t="s">
        <v>3479</v>
      </c>
      <c r="CE1126" t="s">
        <v>443</v>
      </c>
      <c r="CF1126" s="12">
        <v>26.5</v>
      </c>
      <c r="CG1126" s="12">
        <v>26.5</v>
      </c>
      <c r="CH1126" s="12">
        <v>39.75</v>
      </c>
      <c r="CI1126" s="12">
        <v>39.75</v>
      </c>
      <c r="CJ1126" t="s">
        <v>135</v>
      </c>
      <c r="CL1126" t="s">
        <v>4679</v>
      </c>
      <c r="CO1126" t="s">
        <v>132</v>
      </c>
      <c r="CP1126" t="s">
        <v>136</v>
      </c>
      <c r="CQ1126" t="s">
        <v>136</v>
      </c>
      <c r="CR1126" t="s">
        <v>136</v>
      </c>
      <c r="CS1126" t="s">
        <v>136</v>
      </c>
      <c r="CT1126" t="s">
        <v>136</v>
      </c>
      <c r="CU1126" t="s">
        <v>114</v>
      </c>
      <c r="CV1126" t="s">
        <v>2246</v>
      </c>
      <c r="CW1126" s="10" t="str">
        <f>"+16105591428"</f>
        <v>+16105591428</v>
      </c>
      <c r="CX1126" t="s">
        <v>4678</v>
      </c>
      <c r="CY1126" t="s">
        <v>132</v>
      </c>
      <c r="CZ1126" t="s">
        <v>137</v>
      </c>
      <c r="DA1126" t="s">
        <v>114</v>
      </c>
      <c r="DB1126" t="s">
        <v>114</v>
      </c>
      <c r="DC1126" t="s">
        <v>136</v>
      </c>
      <c r="DD1126" t="s">
        <v>114</v>
      </c>
    </row>
    <row r="1127" spans="1:113" ht="15" customHeight="1" x14ac:dyDescent="0.25">
      <c r="A1127" t="s">
        <v>12150</v>
      </c>
      <c r="B1127" t="s">
        <v>152</v>
      </c>
      <c r="C1127" s="1">
        <v>45112.873978819443</v>
      </c>
      <c r="D1127" s="1">
        <v>45236</v>
      </c>
      <c r="E1127" t="s">
        <v>114</v>
      </c>
      <c r="F1127" t="s">
        <v>1397</v>
      </c>
      <c r="G1127" t="str">
        <f>"39-9011.01"</f>
        <v>39-9011.01</v>
      </c>
      <c r="H1127" t="s">
        <v>1488</v>
      </c>
      <c r="I1127">
        <v>1</v>
      </c>
      <c r="J1127">
        <v>1</v>
      </c>
      <c r="K1127" s="1">
        <v>45200</v>
      </c>
      <c r="L1127" s="1">
        <v>46295</v>
      </c>
      <c r="M1127" s="1">
        <v>45200</v>
      </c>
      <c r="N1127" s="1">
        <v>46295</v>
      </c>
      <c r="O1127" t="s">
        <v>184</v>
      </c>
      <c r="P1127" t="s">
        <v>12151</v>
      </c>
      <c r="R1127" t="s">
        <v>12152</v>
      </c>
      <c r="S1127" t="s">
        <v>12153</v>
      </c>
      <c r="T1127" t="s">
        <v>1220</v>
      </c>
      <c r="U1127" t="s">
        <v>358</v>
      </c>
      <c r="V1127" s="8" t="str">
        <f>"10012"</f>
        <v>10012</v>
      </c>
      <c r="W1127" t="s">
        <v>118</v>
      </c>
      <c r="Y1127" s="10">
        <v>14015338080</v>
      </c>
      <c r="AA1127">
        <v>814110</v>
      </c>
      <c r="AB1127" t="s">
        <v>12154</v>
      </c>
      <c r="AC1127" t="s">
        <v>12155</v>
      </c>
      <c r="AE1127" t="s">
        <v>6806</v>
      </c>
      <c r="AF1127" t="s">
        <v>12152</v>
      </c>
      <c r="AG1127" t="s">
        <v>12153</v>
      </c>
      <c r="AH1127" t="s">
        <v>1220</v>
      </c>
      <c r="AI1127" t="s">
        <v>358</v>
      </c>
      <c r="AJ1127" s="8" t="str">
        <f>"10012"</f>
        <v>10012</v>
      </c>
      <c r="AK1127" t="s">
        <v>118</v>
      </c>
      <c r="AM1127" s="10">
        <v>14015338080</v>
      </c>
      <c r="AO1127" t="s">
        <v>12156</v>
      </c>
      <c r="AP1127" t="s">
        <v>121</v>
      </c>
      <c r="AQ1127" t="s">
        <v>6808</v>
      </c>
      <c r="AR1127" t="s">
        <v>1212</v>
      </c>
      <c r="AS1127" t="s">
        <v>1738</v>
      </c>
      <c r="AT1127" t="s">
        <v>6809</v>
      </c>
      <c r="AU1127" t="s">
        <v>3487</v>
      </c>
      <c r="AV1127" t="s">
        <v>6667</v>
      </c>
      <c r="AW1127" t="s">
        <v>140</v>
      </c>
      <c r="AX1127" s="8" t="str">
        <f>"33410"</f>
        <v>33410</v>
      </c>
      <c r="AY1127" t="s">
        <v>118</v>
      </c>
      <c r="BA1127" s="10">
        <v>15614785353</v>
      </c>
      <c r="BB1127">
        <v>0</v>
      </c>
      <c r="BC1127" t="s">
        <v>6810</v>
      </c>
      <c r="BD1127" t="s">
        <v>6811</v>
      </c>
      <c r="BE1127" t="s">
        <v>140</v>
      </c>
      <c r="BF1127" t="s">
        <v>146</v>
      </c>
      <c r="BG1127" t="s">
        <v>358</v>
      </c>
      <c r="BH1127" s="1">
        <v>45106.833333333336</v>
      </c>
      <c r="BI1127">
        <v>50</v>
      </c>
      <c r="BJ1127">
        <v>0</v>
      </c>
      <c r="BK1127">
        <v>10</v>
      </c>
      <c r="BL1127">
        <v>10</v>
      </c>
      <c r="BM1127">
        <v>10</v>
      </c>
      <c r="BN1127">
        <v>10</v>
      </c>
      <c r="BO1127">
        <v>10</v>
      </c>
      <c r="BP1127">
        <v>0</v>
      </c>
      <c r="BQ1127" t="str">
        <f>"8:00 AM"</f>
        <v>8:00 AM</v>
      </c>
      <c r="BR1127" t="str">
        <f>"6:00 PM"</f>
        <v>6:00 PM</v>
      </c>
      <c r="BS1127" t="s">
        <v>147</v>
      </c>
      <c r="BT1127">
        <v>0</v>
      </c>
      <c r="BU1127">
        <v>12</v>
      </c>
      <c r="BV1127" t="s">
        <v>114</v>
      </c>
      <c r="BX1127" t="s">
        <v>131</v>
      </c>
      <c r="BY1127" t="s">
        <v>12152</v>
      </c>
      <c r="BZ1127" t="s">
        <v>12153</v>
      </c>
      <c r="CA1127" t="s">
        <v>1220</v>
      </c>
      <c r="CB1127" t="s">
        <v>358</v>
      </c>
      <c r="CC1127" s="8" t="str">
        <f>"10012"</f>
        <v>10012</v>
      </c>
      <c r="CD1127" t="s">
        <v>1497</v>
      </c>
      <c r="CE1127" t="s">
        <v>1418</v>
      </c>
      <c r="CF1127" s="12">
        <v>16.329999999999998</v>
      </c>
      <c r="CH1127" s="12">
        <v>24.5</v>
      </c>
      <c r="CJ1127" t="s">
        <v>135</v>
      </c>
      <c r="CL1127" t="s">
        <v>12157</v>
      </c>
      <c r="CO1127" t="s">
        <v>132</v>
      </c>
      <c r="CP1127" t="s">
        <v>114</v>
      </c>
      <c r="CQ1127" t="s">
        <v>114</v>
      </c>
      <c r="CR1127" t="s">
        <v>136</v>
      </c>
      <c r="CS1127" t="s">
        <v>114</v>
      </c>
      <c r="CT1127" t="s">
        <v>136</v>
      </c>
      <c r="CU1127" t="s">
        <v>114</v>
      </c>
      <c r="CV1127" t="s">
        <v>131</v>
      </c>
      <c r="CW1127" s="10" t="str">
        <f>"+19292967453"</f>
        <v>+19292967453</v>
      </c>
      <c r="CX1127" t="s">
        <v>12156</v>
      </c>
      <c r="CY1127" t="s">
        <v>132</v>
      </c>
      <c r="CZ1127" t="s">
        <v>137</v>
      </c>
      <c r="DA1127" t="s">
        <v>114</v>
      </c>
      <c r="DB1127" t="s">
        <v>114</v>
      </c>
      <c r="DC1127" t="s">
        <v>136</v>
      </c>
      <c r="DD1127" t="s">
        <v>114</v>
      </c>
    </row>
    <row r="1128" spans="1:113" ht="15" customHeight="1" x14ac:dyDescent="0.25">
      <c r="A1128" t="s">
        <v>14034</v>
      </c>
      <c r="B1128" t="s">
        <v>152</v>
      </c>
      <c r="C1128" s="1">
        <v>45110.39680185185</v>
      </c>
      <c r="D1128" s="1">
        <v>45236</v>
      </c>
      <c r="E1128" t="s">
        <v>114</v>
      </c>
      <c r="F1128" t="s">
        <v>14035</v>
      </c>
      <c r="G1128" t="str">
        <f>"39-9011.01"</f>
        <v>39-9011.01</v>
      </c>
      <c r="H1128" t="s">
        <v>183</v>
      </c>
      <c r="I1128">
        <v>1</v>
      </c>
      <c r="J1128">
        <v>1</v>
      </c>
      <c r="K1128" s="1">
        <v>45200</v>
      </c>
      <c r="L1128" s="1">
        <v>45473</v>
      </c>
      <c r="M1128" s="1">
        <v>45200</v>
      </c>
      <c r="N1128" s="1">
        <v>45473</v>
      </c>
      <c r="O1128" t="s">
        <v>238</v>
      </c>
      <c r="P1128" t="s">
        <v>14036</v>
      </c>
      <c r="R1128" t="s">
        <v>14037</v>
      </c>
      <c r="T1128" t="s">
        <v>3720</v>
      </c>
      <c r="U1128" t="s">
        <v>1776</v>
      </c>
      <c r="V1128" s="8" t="str">
        <f>"08057"</f>
        <v>08057</v>
      </c>
      <c r="W1128" t="s">
        <v>118</v>
      </c>
      <c r="Y1128" s="10">
        <v>12157768338</v>
      </c>
      <c r="AA1128">
        <v>814110</v>
      </c>
      <c r="AB1128" t="s">
        <v>14038</v>
      </c>
      <c r="AC1128" t="s">
        <v>3485</v>
      </c>
      <c r="AE1128" t="s">
        <v>14039</v>
      </c>
      <c r="AF1128" t="s">
        <v>14037</v>
      </c>
      <c r="AH1128" t="s">
        <v>3720</v>
      </c>
      <c r="AI1128" t="s">
        <v>1776</v>
      </c>
      <c r="AJ1128" s="8" t="str">
        <f>"08057"</f>
        <v>08057</v>
      </c>
      <c r="AK1128" t="s">
        <v>118</v>
      </c>
      <c r="AM1128" s="10">
        <v>12157768338</v>
      </c>
      <c r="AO1128" t="s">
        <v>14040</v>
      </c>
      <c r="AP1128" t="s">
        <v>121</v>
      </c>
      <c r="AQ1128" t="s">
        <v>12753</v>
      </c>
      <c r="AR1128" t="s">
        <v>1362</v>
      </c>
      <c r="AS1128" t="s">
        <v>12754</v>
      </c>
      <c r="AT1128" t="s">
        <v>14041</v>
      </c>
      <c r="AV1128" t="s">
        <v>3615</v>
      </c>
      <c r="AW1128" t="s">
        <v>434</v>
      </c>
      <c r="AX1128" s="8" t="str">
        <f>"19102"</f>
        <v>19102</v>
      </c>
      <c r="AY1128" t="s">
        <v>118</v>
      </c>
      <c r="BA1128" s="10">
        <v>12679306411</v>
      </c>
      <c r="BC1128" t="s">
        <v>12755</v>
      </c>
      <c r="BD1128" t="s">
        <v>12756</v>
      </c>
      <c r="BE1128" t="s">
        <v>434</v>
      </c>
      <c r="BF1128" t="s">
        <v>2242</v>
      </c>
      <c r="BG1128" t="s">
        <v>1776</v>
      </c>
      <c r="BH1128" s="1">
        <v>45089.833333333336</v>
      </c>
      <c r="BI1128">
        <v>36</v>
      </c>
      <c r="BJ1128">
        <v>12</v>
      </c>
      <c r="BK1128">
        <v>0</v>
      </c>
      <c r="BL1128">
        <v>0</v>
      </c>
      <c r="BM1128">
        <v>0</v>
      </c>
      <c r="BN1128">
        <v>0</v>
      </c>
      <c r="BO1128">
        <v>12</v>
      </c>
      <c r="BP1128">
        <v>12</v>
      </c>
      <c r="BQ1128" t="str">
        <f>"8:00 AM"</f>
        <v>8:00 AM</v>
      </c>
      <c r="BR1128" t="str">
        <f>"8:00 PM"</f>
        <v>8:00 PM</v>
      </c>
      <c r="BS1128" t="s">
        <v>147</v>
      </c>
      <c r="BT1128">
        <v>0</v>
      </c>
      <c r="BU1128">
        <v>0</v>
      </c>
      <c r="BV1128" t="s">
        <v>114</v>
      </c>
      <c r="BX1128" s="2" t="s">
        <v>14042</v>
      </c>
      <c r="BY1128" t="s">
        <v>14037</v>
      </c>
      <c r="CA1128" t="s">
        <v>3720</v>
      </c>
      <c r="CB1128" t="s">
        <v>1776</v>
      </c>
      <c r="CC1128" s="8" t="str">
        <f>"08057"</f>
        <v>08057</v>
      </c>
      <c r="CD1128" t="s">
        <v>3721</v>
      </c>
      <c r="CE1128" t="s">
        <v>443</v>
      </c>
      <c r="CF1128" s="12">
        <v>14.13</v>
      </c>
      <c r="CJ1128" t="s">
        <v>135</v>
      </c>
      <c r="CK1128" t="s">
        <v>14043</v>
      </c>
      <c r="CL1128" t="s">
        <v>14044</v>
      </c>
      <c r="CO1128" t="s">
        <v>132</v>
      </c>
      <c r="CP1128" t="s">
        <v>114</v>
      </c>
      <c r="CQ1128" t="s">
        <v>114</v>
      </c>
      <c r="CR1128" t="s">
        <v>114</v>
      </c>
      <c r="CS1128" t="s">
        <v>114</v>
      </c>
      <c r="CT1128" t="s">
        <v>136</v>
      </c>
      <c r="CU1128" t="s">
        <v>136</v>
      </c>
      <c r="CV1128" t="s">
        <v>14045</v>
      </c>
      <c r="CW1128" s="10" t="str">
        <f>"+12157768338"</f>
        <v>+12157768338</v>
      </c>
      <c r="CX1128" t="s">
        <v>14040</v>
      </c>
      <c r="CY1128" t="s">
        <v>132</v>
      </c>
      <c r="CZ1128" t="s">
        <v>137</v>
      </c>
      <c r="DA1128" t="s">
        <v>114</v>
      </c>
      <c r="DB1128" t="s">
        <v>114</v>
      </c>
      <c r="DC1128" t="s">
        <v>136</v>
      </c>
      <c r="DD1128" t="s">
        <v>114</v>
      </c>
    </row>
    <row r="1129" spans="1:113" ht="15" customHeight="1" x14ac:dyDescent="0.25">
      <c r="A1129" t="s">
        <v>20400</v>
      </c>
      <c r="B1129" t="s">
        <v>152</v>
      </c>
      <c r="C1129" s="1">
        <v>45185.521446527775</v>
      </c>
      <c r="D1129" s="1">
        <v>45233</v>
      </c>
      <c r="E1129" t="s">
        <v>132</v>
      </c>
      <c r="F1129" t="s">
        <v>20401</v>
      </c>
      <c r="G1129" t="str">
        <f>"49-9098.00"</f>
        <v>49-9098.00</v>
      </c>
      <c r="H1129" t="s">
        <v>945</v>
      </c>
      <c r="I1129">
        <v>3</v>
      </c>
      <c r="J1129">
        <v>3</v>
      </c>
      <c r="K1129" s="1">
        <v>45275</v>
      </c>
      <c r="L1129" s="1">
        <v>45383</v>
      </c>
      <c r="M1129" s="1">
        <v>45275</v>
      </c>
      <c r="N1129" s="1">
        <v>45383</v>
      </c>
      <c r="O1129" t="s">
        <v>238</v>
      </c>
      <c r="P1129" t="s">
        <v>20402</v>
      </c>
      <c r="Q1129" t="s">
        <v>20403</v>
      </c>
      <c r="R1129" t="s">
        <v>20404</v>
      </c>
      <c r="T1129" t="s">
        <v>7930</v>
      </c>
      <c r="U1129" t="s">
        <v>892</v>
      </c>
      <c r="V1129" s="8" t="str">
        <f>"59808"</f>
        <v>59808</v>
      </c>
      <c r="W1129" t="s">
        <v>118</v>
      </c>
      <c r="Y1129" s="10">
        <v>14238172263</v>
      </c>
      <c r="AA1129">
        <v>71119</v>
      </c>
      <c r="AB1129" t="s">
        <v>19065</v>
      </c>
      <c r="AC1129" t="s">
        <v>19066</v>
      </c>
      <c r="AE1129" t="s">
        <v>561</v>
      </c>
      <c r="AF1129" t="s">
        <v>20404</v>
      </c>
      <c r="AH1129" t="s">
        <v>7930</v>
      </c>
      <c r="AI1129" t="s">
        <v>892</v>
      </c>
      <c r="AJ1129" s="8" t="str">
        <f>"59808"</f>
        <v>59808</v>
      </c>
      <c r="AK1129" t="s">
        <v>118</v>
      </c>
      <c r="AM1129" s="10">
        <v>14238172263</v>
      </c>
      <c r="AO1129" t="s">
        <v>19067</v>
      </c>
      <c r="AP1129" t="s">
        <v>248</v>
      </c>
      <c r="AQ1129" t="s">
        <v>3290</v>
      </c>
      <c r="AR1129" t="s">
        <v>2001</v>
      </c>
      <c r="AT1129" t="s">
        <v>3291</v>
      </c>
      <c r="AV1129" t="s">
        <v>3292</v>
      </c>
      <c r="AW1129" t="s">
        <v>402</v>
      </c>
      <c r="AX1129" s="8" t="str">
        <f>"93446"</f>
        <v>93446</v>
      </c>
      <c r="AY1129" t="s">
        <v>118</v>
      </c>
      <c r="AZ1129" t="s">
        <v>3293</v>
      </c>
      <c r="BA1129" s="10">
        <v>13217042589</v>
      </c>
      <c r="BC1129" t="s">
        <v>3294</v>
      </c>
      <c r="BD1129" t="s">
        <v>3295</v>
      </c>
      <c r="BG1129" t="s">
        <v>581</v>
      </c>
      <c r="BH1129" s="1">
        <v>45182.833333333336</v>
      </c>
      <c r="BI1129">
        <v>35</v>
      </c>
      <c r="BJ1129">
        <v>0</v>
      </c>
      <c r="BK1129">
        <v>7</v>
      </c>
      <c r="BL1129">
        <v>7</v>
      </c>
      <c r="BM1129">
        <v>7</v>
      </c>
      <c r="BN1129">
        <v>7</v>
      </c>
      <c r="BO1129">
        <v>7</v>
      </c>
      <c r="BP1129">
        <v>0</v>
      </c>
      <c r="BQ1129" t="str">
        <f>"8:00 AM"</f>
        <v>8:00 AM</v>
      </c>
      <c r="BR1129" t="str">
        <f>"3:00 PM"</f>
        <v>3:00 PM</v>
      </c>
      <c r="BS1129" t="s">
        <v>131</v>
      </c>
      <c r="BT1129">
        <v>0</v>
      </c>
      <c r="BU1129">
        <v>0</v>
      </c>
      <c r="BV1129" t="s">
        <v>114</v>
      </c>
      <c r="BX1129" s="2" t="s">
        <v>20405</v>
      </c>
      <c r="BY1129" t="s">
        <v>20406</v>
      </c>
      <c r="CA1129" t="s">
        <v>12279</v>
      </c>
      <c r="CB1129" t="s">
        <v>581</v>
      </c>
      <c r="CC1129" s="8" t="str">
        <f>"24293"</f>
        <v>24293</v>
      </c>
      <c r="CD1129" t="s">
        <v>10930</v>
      </c>
      <c r="CE1129" t="s">
        <v>9672</v>
      </c>
      <c r="CF1129" s="12">
        <v>16.25</v>
      </c>
      <c r="CH1129" s="12">
        <v>24.38</v>
      </c>
      <c r="CI1129" s="12">
        <v>24.38</v>
      </c>
      <c r="CJ1129" t="s">
        <v>135</v>
      </c>
      <c r="CK1129" t="s">
        <v>5469</v>
      </c>
      <c r="CL1129" t="s">
        <v>20407</v>
      </c>
      <c r="CO1129" t="s">
        <v>132</v>
      </c>
      <c r="CP1129" t="s">
        <v>114</v>
      </c>
      <c r="CQ1129" t="s">
        <v>114</v>
      </c>
      <c r="CR1129" t="s">
        <v>136</v>
      </c>
      <c r="CS1129" t="s">
        <v>136</v>
      </c>
      <c r="CT1129" t="s">
        <v>136</v>
      </c>
      <c r="CU1129" t="s">
        <v>136</v>
      </c>
      <c r="CV1129" t="s">
        <v>132</v>
      </c>
      <c r="CW1129" s="10" t="str">
        <f>"+14238172263"</f>
        <v>+14238172263</v>
      </c>
      <c r="CX1129" t="s">
        <v>19067</v>
      </c>
      <c r="CY1129" t="s">
        <v>132</v>
      </c>
      <c r="CZ1129" t="s">
        <v>137</v>
      </c>
      <c r="DA1129" t="s">
        <v>114</v>
      </c>
      <c r="DB1129" t="s">
        <v>114</v>
      </c>
      <c r="DC1129" t="s">
        <v>136</v>
      </c>
      <c r="DD1129" t="s">
        <v>114</v>
      </c>
    </row>
    <row r="1130" spans="1:113" ht="15" customHeight="1" x14ac:dyDescent="0.25">
      <c r="A1130" t="s">
        <v>23712</v>
      </c>
      <c r="B1130" t="s">
        <v>152</v>
      </c>
      <c r="C1130" s="1">
        <v>45184.772549074078</v>
      </c>
      <c r="D1130" s="1">
        <v>45233</v>
      </c>
      <c r="E1130" t="s">
        <v>132</v>
      </c>
      <c r="F1130" t="s">
        <v>7945</v>
      </c>
      <c r="G1130" t="str">
        <f>"51-3022.00"</f>
        <v>51-3022.00</v>
      </c>
      <c r="H1130" t="s">
        <v>1004</v>
      </c>
      <c r="I1130">
        <v>120</v>
      </c>
      <c r="J1130">
        <v>120</v>
      </c>
      <c r="K1130" s="1">
        <v>45264</v>
      </c>
      <c r="L1130" s="1">
        <v>45479</v>
      </c>
      <c r="M1130" s="1">
        <v>45264</v>
      </c>
      <c r="N1130" s="1">
        <v>45479</v>
      </c>
      <c r="O1130" t="s">
        <v>238</v>
      </c>
      <c r="P1130" t="s">
        <v>23713</v>
      </c>
      <c r="R1130" t="s">
        <v>23714</v>
      </c>
      <c r="T1130" t="s">
        <v>23715</v>
      </c>
      <c r="U1130" t="s">
        <v>333</v>
      </c>
      <c r="V1130" s="8" t="str">
        <f>"70515"</f>
        <v>70515</v>
      </c>
      <c r="W1130" t="s">
        <v>118</v>
      </c>
      <c r="Y1130" s="10">
        <v>13374325000</v>
      </c>
      <c r="AA1130">
        <v>424460</v>
      </c>
      <c r="AB1130" t="s">
        <v>5087</v>
      </c>
      <c r="AC1130" t="s">
        <v>7892</v>
      </c>
      <c r="AD1130" t="s">
        <v>23716</v>
      </c>
      <c r="AE1130" t="s">
        <v>561</v>
      </c>
      <c r="AF1130" t="s">
        <v>23714</v>
      </c>
      <c r="AH1130" t="s">
        <v>23715</v>
      </c>
      <c r="AI1130" t="s">
        <v>333</v>
      </c>
      <c r="AJ1130" s="8" t="str">
        <f>"70515"</f>
        <v>70515</v>
      </c>
      <c r="AK1130" t="s">
        <v>118</v>
      </c>
      <c r="AM1130" s="10">
        <v>13374325000</v>
      </c>
      <c r="AO1130" t="s">
        <v>23717</v>
      </c>
      <c r="AP1130" t="s">
        <v>121</v>
      </c>
      <c r="AQ1130" t="s">
        <v>3627</v>
      </c>
      <c r="AR1130" t="s">
        <v>2309</v>
      </c>
      <c r="AS1130" t="s">
        <v>5087</v>
      </c>
      <c r="AT1130" t="s">
        <v>23718</v>
      </c>
      <c r="AU1130" t="s">
        <v>6326</v>
      </c>
      <c r="AV1130" t="s">
        <v>5089</v>
      </c>
      <c r="AW1130" t="s">
        <v>333</v>
      </c>
      <c r="AX1130" s="8" t="str">
        <f>"70535"</f>
        <v>70535</v>
      </c>
      <c r="AY1130" t="s">
        <v>118</v>
      </c>
      <c r="BA1130" s="10">
        <v>13374663722</v>
      </c>
      <c r="BC1130" t="s">
        <v>5090</v>
      </c>
      <c r="BD1130" t="s">
        <v>5091</v>
      </c>
      <c r="BE1130" t="s">
        <v>333</v>
      </c>
      <c r="BF1130" t="s">
        <v>2190</v>
      </c>
      <c r="BG1130" t="s">
        <v>333</v>
      </c>
      <c r="BH1130" s="1">
        <v>45183.833333333336</v>
      </c>
      <c r="BI1130">
        <v>35</v>
      </c>
      <c r="BJ1130">
        <v>0</v>
      </c>
      <c r="BK1130">
        <v>7</v>
      </c>
      <c r="BL1130">
        <v>7</v>
      </c>
      <c r="BM1130">
        <v>7</v>
      </c>
      <c r="BN1130">
        <v>7</v>
      </c>
      <c r="BO1130">
        <v>7</v>
      </c>
      <c r="BP1130">
        <v>0</v>
      </c>
      <c r="BQ1130" t="str">
        <f>"5:00 AM"</f>
        <v>5:00 AM</v>
      </c>
      <c r="BR1130" t="str">
        <f>"12:30 PM"</f>
        <v>12:30 PM</v>
      </c>
      <c r="BS1130" t="s">
        <v>131</v>
      </c>
      <c r="BT1130">
        <v>0</v>
      </c>
      <c r="BU1130">
        <v>0</v>
      </c>
      <c r="BV1130" t="s">
        <v>114</v>
      </c>
      <c r="BX1130" s="2" t="s">
        <v>23719</v>
      </c>
      <c r="BY1130" t="s">
        <v>23714</v>
      </c>
      <c r="CA1130" t="s">
        <v>23715</v>
      </c>
      <c r="CB1130" t="s">
        <v>333</v>
      </c>
      <c r="CC1130" s="8" t="str">
        <f>"70515"</f>
        <v>70515</v>
      </c>
      <c r="CD1130" t="s">
        <v>10195</v>
      </c>
      <c r="CE1130" t="s">
        <v>4268</v>
      </c>
      <c r="CF1130" s="12">
        <v>12.47</v>
      </c>
      <c r="CG1130" s="12">
        <v>12.47</v>
      </c>
      <c r="CH1130" s="12">
        <v>18.71</v>
      </c>
      <c r="CI1130" s="12">
        <v>18.71</v>
      </c>
      <c r="CJ1130" t="s">
        <v>135</v>
      </c>
      <c r="CK1130" t="s">
        <v>23720</v>
      </c>
      <c r="CL1130" t="s">
        <v>23721</v>
      </c>
      <c r="CO1130" t="s">
        <v>132</v>
      </c>
      <c r="CP1130" t="s">
        <v>114</v>
      </c>
      <c r="CQ1130" t="s">
        <v>136</v>
      </c>
      <c r="CR1130" t="s">
        <v>136</v>
      </c>
      <c r="CS1130" t="s">
        <v>136</v>
      </c>
      <c r="CT1130" t="s">
        <v>136</v>
      </c>
      <c r="CU1130" t="s">
        <v>136</v>
      </c>
      <c r="CV1130" s="2" t="s">
        <v>23722</v>
      </c>
      <c r="CW1130" s="10" t="str">
        <f>"+13372074374"</f>
        <v>+13372074374</v>
      </c>
      <c r="CX1130" t="s">
        <v>23717</v>
      </c>
      <c r="CY1130" t="s">
        <v>132</v>
      </c>
      <c r="CZ1130" t="s">
        <v>137</v>
      </c>
      <c r="DA1130" t="s">
        <v>114</v>
      </c>
      <c r="DB1130" t="s">
        <v>114</v>
      </c>
      <c r="DC1130" t="s">
        <v>136</v>
      </c>
      <c r="DD1130" t="s">
        <v>114</v>
      </c>
    </row>
    <row r="1131" spans="1:113" ht="15" customHeight="1" x14ac:dyDescent="0.25">
      <c r="A1131" t="s">
        <v>19288</v>
      </c>
      <c r="B1131" t="s">
        <v>152</v>
      </c>
      <c r="C1131" s="1">
        <v>45180.652233217595</v>
      </c>
      <c r="D1131" s="1">
        <v>45233</v>
      </c>
      <c r="E1131" t="s">
        <v>132</v>
      </c>
      <c r="F1131" t="s">
        <v>19289</v>
      </c>
      <c r="G1131" t="str">
        <f>"47-4051.00"</f>
        <v>47-4051.00</v>
      </c>
      <c r="H1131" t="s">
        <v>5632</v>
      </c>
      <c r="I1131">
        <v>2</v>
      </c>
      <c r="J1131">
        <v>2</v>
      </c>
      <c r="K1131" s="1">
        <v>45261</v>
      </c>
      <c r="L1131" s="1">
        <v>45397</v>
      </c>
      <c r="M1131" s="1">
        <v>45261</v>
      </c>
      <c r="N1131" s="1">
        <v>45397</v>
      </c>
      <c r="O1131" t="s">
        <v>116</v>
      </c>
      <c r="P1131" t="s">
        <v>19290</v>
      </c>
      <c r="R1131" t="s">
        <v>19291</v>
      </c>
      <c r="T1131" t="s">
        <v>19292</v>
      </c>
      <c r="U1131" t="s">
        <v>543</v>
      </c>
      <c r="V1131" s="8" t="str">
        <f>"44017"</f>
        <v>44017</v>
      </c>
      <c r="W1131" t="s">
        <v>118</v>
      </c>
      <c r="Y1131" s="10">
        <v>12164020831</v>
      </c>
      <c r="AA1131">
        <v>56173</v>
      </c>
      <c r="AB1131" t="s">
        <v>19293</v>
      </c>
      <c r="AC1131" t="s">
        <v>1791</v>
      </c>
      <c r="AE1131" t="s">
        <v>654</v>
      </c>
      <c r="AF1131" t="s">
        <v>19291</v>
      </c>
      <c r="AH1131" t="s">
        <v>19292</v>
      </c>
      <c r="AI1131" t="s">
        <v>543</v>
      </c>
      <c r="AJ1131" s="8" t="str">
        <f>"44017"</f>
        <v>44017</v>
      </c>
      <c r="AK1131" t="s">
        <v>118</v>
      </c>
      <c r="AM1131" s="10">
        <v>12164020831</v>
      </c>
      <c r="AO1131" t="s">
        <v>19294</v>
      </c>
      <c r="AP1131" t="s">
        <v>121</v>
      </c>
      <c r="AQ1131" t="s">
        <v>1736</v>
      </c>
      <c r="AR1131" t="s">
        <v>1737</v>
      </c>
      <c r="AS1131" t="s">
        <v>1738</v>
      </c>
      <c r="AT1131" t="s">
        <v>1739</v>
      </c>
      <c r="AV1131" t="s">
        <v>1740</v>
      </c>
      <c r="AW1131" t="s">
        <v>543</v>
      </c>
      <c r="AX1131" s="8" t="str">
        <f>"44087"</f>
        <v>44087</v>
      </c>
      <c r="AY1131" t="s">
        <v>118</v>
      </c>
      <c r="BA1131" s="10">
        <v>13307154491</v>
      </c>
      <c r="BC1131" t="s">
        <v>1741</v>
      </c>
      <c r="BD1131" t="s">
        <v>1742</v>
      </c>
      <c r="BE1131" t="s">
        <v>543</v>
      </c>
      <c r="BF1131" t="s">
        <v>2506</v>
      </c>
      <c r="BG1131" t="s">
        <v>543</v>
      </c>
      <c r="BH1131" s="1">
        <v>45179.833333333336</v>
      </c>
      <c r="BI1131">
        <v>40</v>
      </c>
      <c r="BJ1131">
        <v>0</v>
      </c>
      <c r="BK1131">
        <v>8</v>
      </c>
      <c r="BL1131">
        <v>8</v>
      </c>
      <c r="BM1131">
        <v>8</v>
      </c>
      <c r="BN1131">
        <v>8</v>
      </c>
      <c r="BO1131">
        <v>8</v>
      </c>
      <c r="BP1131">
        <v>0</v>
      </c>
      <c r="BQ1131" t="str">
        <f>"8:30 AM"</f>
        <v>8:30 AM</v>
      </c>
      <c r="BR1131" t="str">
        <f>"6:30 PM"</f>
        <v>6:30 PM</v>
      </c>
      <c r="BS1131" t="s">
        <v>131</v>
      </c>
      <c r="BT1131">
        <v>0</v>
      </c>
      <c r="BU1131">
        <v>0</v>
      </c>
      <c r="BV1131" t="s">
        <v>114</v>
      </c>
      <c r="BX1131" s="2" t="s">
        <v>19295</v>
      </c>
      <c r="BY1131" t="s">
        <v>19291</v>
      </c>
      <c r="CA1131" t="s">
        <v>19292</v>
      </c>
      <c r="CB1131" t="s">
        <v>543</v>
      </c>
      <c r="CC1131" s="8" t="str">
        <f>"44017"</f>
        <v>44017</v>
      </c>
      <c r="CD1131" t="s">
        <v>1838</v>
      </c>
      <c r="CE1131" t="s">
        <v>1839</v>
      </c>
      <c r="CF1131" s="12">
        <v>24.96</v>
      </c>
      <c r="CG1131" s="12">
        <v>24.96</v>
      </c>
      <c r="CH1131" s="12">
        <v>37.44</v>
      </c>
      <c r="CI1131" s="12">
        <v>37.44</v>
      </c>
      <c r="CJ1131" t="s">
        <v>135</v>
      </c>
      <c r="CK1131" t="s">
        <v>19296</v>
      </c>
      <c r="CL1131" t="s">
        <v>19297</v>
      </c>
      <c r="CO1131" t="s">
        <v>132</v>
      </c>
      <c r="CP1131" t="s">
        <v>136</v>
      </c>
      <c r="CQ1131" t="s">
        <v>136</v>
      </c>
      <c r="CR1131" t="s">
        <v>136</v>
      </c>
      <c r="CS1131" t="s">
        <v>136</v>
      </c>
      <c r="CT1131" t="s">
        <v>136</v>
      </c>
      <c r="CU1131" t="s">
        <v>136</v>
      </c>
      <c r="CV1131" t="s">
        <v>9792</v>
      </c>
      <c r="CW1131" s="10" t="str">
        <f>"+12164020831"</f>
        <v>+12164020831</v>
      </c>
      <c r="CX1131" t="s">
        <v>19294</v>
      </c>
      <c r="CY1131" t="s">
        <v>796</v>
      </c>
      <c r="CZ1131" t="s">
        <v>137</v>
      </c>
      <c r="DA1131" t="s">
        <v>114</v>
      </c>
      <c r="DB1131" t="s">
        <v>114</v>
      </c>
      <c r="DC1131" t="s">
        <v>136</v>
      </c>
      <c r="DD1131" t="s">
        <v>114</v>
      </c>
    </row>
    <row r="1132" spans="1:113" ht="15" customHeight="1" x14ac:dyDescent="0.25">
      <c r="A1132" t="s">
        <v>23492</v>
      </c>
      <c r="B1132" t="s">
        <v>152</v>
      </c>
      <c r="C1132" s="1">
        <v>45174.575536111108</v>
      </c>
      <c r="D1132" s="1">
        <v>45233</v>
      </c>
      <c r="E1132" t="s">
        <v>132</v>
      </c>
      <c r="F1132" t="s">
        <v>4510</v>
      </c>
      <c r="G1132" t="str">
        <f>"39-2021.00"</f>
        <v>39-2021.00</v>
      </c>
      <c r="H1132" t="s">
        <v>2895</v>
      </c>
      <c r="I1132">
        <v>10</v>
      </c>
      <c r="J1132">
        <v>10</v>
      </c>
      <c r="K1132" s="1">
        <v>45260</v>
      </c>
      <c r="L1132" s="1">
        <v>45383</v>
      </c>
      <c r="M1132" s="1">
        <v>45260</v>
      </c>
      <c r="N1132" s="1">
        <v>45383</v>
      </c>
      <c r="O1132" t="s">
        <v>238</v>
      </c>
      <c r="P1132" t="s">
        <v>23493</v>
      </c>
      <c r="R1132" t="s">
        <v>23494</v>
      </c>
      <c r="T1132" t="s">
        <v>9590</v>
      </c>
      <c r="U1132" t="s">
        <v>1722</v>
      </c>
      <c r="V1132" s="8" t="str">
        <f>"20774"</f>
        <v>20774</v>
      </c>
      <c r="W1132" t="s">
        <v>118</v>
      </c>
      <c r="Y1132" s="10">
        <v>14438710166</v>
      </c>
      <c r="AA1132">
        <v>711219</v>
      </c>
      <c r="AB1132" t="s">
        <v>23495</v>
      </c>
      <c r="AC1132" t="s">
        <v>2899</v>
      </c>
      <c r="AE1132" t="s">
        <v>629</v>
      </c>
      <c r="AF1132" t="s">
        <v>23496</v>
      </c>
      <c r="AH1132" t="s">
        <v>1721</v>
      </c>
      <c r="AI1132" t="s">
        <v>1722</v>
      </c>
      <c r="AJ1132" s="8" t="str">
        <f>"21401"</f>
        <v>21401</v>
      </c>
      <c r="AK1132" t="s">
        <v>118</v>
      </c>
      <c r="AM1132" s="10">
        <v>14438710166</v>
      </c>
      <c r="AO1132" t="s">
        <v>23497</v>
      </c>
      <c r="AP1132" t="s">
        <v>121</v>
      </c>
      <c r="AQ1132" t="s">
        <v>4516</v>
      </c>
      <c r="AR1132" t="s">
        <v>1235</v>
      </c>
      <c r="AT1132" t="s">
        <v>4517</v>
      </c>
      <c r="AU1132" t="s">
        <v>4518</v>
      </c>
      <c r="AV1132" t="s">
        <v>1220</v>
      </c>
      <c r="AW1132" t="s">
        <v>358</v>
      </c>
      <c r="AX1132" s="8" t="str">
        <f>"10165"</f>
        <v>10165</v>
      </c>
      <c r="AY1132" t="s">
        <v>118</v>
      </c>
      <c r="BA1132" s="10">
        <v>12127604400</v>
      </c>
      <c r="BC1132" t="s">
        <v>4519</v>
      </c>
      <c r="BD1132" t="s">
        <v>4520</v>
      </c>
      <c r="BE1132" t="s">
        <v>358</v>
      </c>
      <c r="BF1132" t="s">
        <v>4521</v>
      </c>
      <c r="BG1132" t="s">
        <v>140</v>
      </c>
      <c r="BH1132" s="1">
        <v>45167.833333333336</v>
      </c>
      <c r="BI1132">
        <v>40</v>
      </c>
      <c r="BJ1132">
        <v>8</v>
      </c>
      <c r="BK1132">
        <v>0</v>
      </c>
      <c r="BL1132">
        <v>0</v>
      </c>
      <c r="BM1132">
        <v>8</v>
      </c>
      <c r="BN1132">
        <v>8</v>
      </c>
      <c r="BO1132">
        <v>8</v>
      </c>
      <c r="BP1132">
        <v>8</v>
      </c>
      <c r="BQ1132" t="str">
        <f>"5:00 AM"</f>
        <v>5:00 AM</v>
      </c>
      <c r="BR1132" t="str">
        <f>"11:00 AM"</f>
        <v>11:00 AM</v>
      </c>
      <c r="BS1132" t="s">
        <v>131</v>
      </c>
      <c r="BT1132">
        <v>0</v>
      </c>
      <c r="BU1132">
        <v>0</v>
      </c>
      <c r="BV1132" t="s">
        <v>114</v>
      </c>
      <c r="BX1132" t="s">
        <v>1570</v>
      </c>
      <c r="BY1132" t="s">
        <v>23498</v>
      </c>
      <c r="BZ1132" t="s">
        <v>16909</v>
      </c>
      <c r="CA1132" t="s">
        <v>773</v>
      </c>
      <c r="CB1132" t="s">
        <v>140</v>
      </c>
      <c r="CC1132" s="8" t="str">
        <f>"33626"</f>
        <v>33626</v>
      </c>
      <c r="CD1132" t="s">
        <v>781</v>
      </c>
      <c r="CE1132" t="s">
        <v>467</v>
      </c>
      <c r="CF1132" s="12">
        <v>14.61</v>
      </c>
      <c r="CG1132" s="12">
        <v>14.61</v>
      </c>
      <c r="CH1132" s="12">
        <v>21.92</v>
      </c>
      <c r="CI1132" s="12">
        <v>21.92</v>
      </c>
      <c r="CJ1132" t="s">
        <v>135</v>
      </c>
      <c r="CL1132" t="s">
        <v>23499</v>
      </c>
      <c r="CO1132" t="s">
        <v>132</v>
      </c>
      <c r="CP1132" t="s">
        <v>114</v>
      </c>
      <c r="CQ1132" t="s">
        <v>114</v>
      </c>
      <c r="CR1132" t="s">
        <v>136</v>
      </c>
      <c r="CS1132" t="s">
        <v>114</v>
      </c>
      <c r="CT1132" t="s">
        <v>136</v>
      </c>
      <c r="CU1132" t="s">
        <v>136</v>
      </c>
      <c r="CV1132" t="s">
        <v>4526</v>
      </c>
      <c r="CW1132" s="10" t="str">
        <f>"+14438710166"</f>
        <v>+14438710166</v>
      </c>
      <c r="CX1132" t="s">
        <v>23497</v>
      </c>
      <c r="CY1132" t="s">
        <v>132</v>
      </c>
      <c r="CZ1132" t="s">
        <v>137</v>
      </c>
      <c r="DA1132" t="s">
        <v>114</v>
      </c>
      <c r="DB1132" t="s">
        <v>114</v>
      </c>
      <c r="DC1132" t="s">
        <v>136</v>
      </c>
      <c r="DD1132" t="s">
        <v>114</v>
      </c>
    </row>
    <row r="1133" spans="1:113" ht="15" customHeight="1" x14ac:dyDescent="0.25">
      <c r="A1133" t="s">
        <v>4509</v>
      </c>
      <c r="B1133" t="s">
        <v>152</v>
      </c>
      <c r="C1133" s="1">
        <v>45174.56393113426</v>
      </c>
      <c r="D1133" s="1">
        <v>45233</v>
      </c>
      <c r="E1133" t="s">
        <v>132</v>
      </c>
      <c r="F1133" t="s">
        <v>4510</v>
      </c>
      <c r="G1133" t="str">
        <f>"39-2021.00"</f>
        <v>39-2021.00</v>
      </c>
      <c r="H1133" t="s">
        <v>2895</v>
      </c>
      <c r="I1133">
        <v>12</v>
      </c>
      <c r="J1133">
        <v>12</v>
      </c>
      <c r="K1133" s="1">
        <v>45260</v>
      </c>
      <c r="L1133" s="1">
        <v>45383</v>
      </c>
      <c r="M1133" s="1">
        <v>45260</v>
      </c>
      <c r="N1133" s="1">
        <v>45383</v>
      </c>
      <c r="O1133" t="s">
        <v>238</v>
      </c>
      <c r="P1133" t="s">
        <v>4511</v>
      </c>
      <c r="R1133" t="s">
        <v>4512</v>
      </c>
      <c r="T1133" t="s">
        <v>2119</v>
      </c>
      <c r="U1133" t="s">
        <v>1434</v>
      </c>
      <c r="V1133" s="8" t="str">
        <f>"40217"</f>
        <v>40217</v>
      </c>
      <c r="W1133" t="s">
        <v>118</v>
      </c>
      <c r="Y1133" s="10">
        <v>15188107858</v>
      </c>
      <c r="AA1133">
        <v>711219</v>
      </c>
      <c r="AB1133" t="s">
        <v>4513</v>
      </c>
      <c r="AC1133" t="s">
        <v>4514</v>
      </c>
      <c r="AD1133" t="s">
        <v>962</v>
      </c>
      <c r="AE1133" t="s">
        <v>629</v>
      </c>
      <c r="AF1133" t="s">
        <v>4512</v>
      </c>
      <c r="AH1133" t="s">
        <v>2119</v>
      </c>
      <c r="AI1133" t="s">
        <v>1434</v>
      </c>
      <c r="AJ1133" s="8" t="str">
        <f>"40217"</f>
        <v>40217</v>
      </c>
      <c r="AK1133" t="s">
        <v>118</v>
      </c>
      <c r="AM1133" s="10">
        <v>15188107858</v>
      </c>
      <c r="AO1133" t="s">
        <v>4515</v>
      </c>
      <c r="AP1133" t="s">
        <v>121</v>
      </c>
      <c r="AQ1133" t="s">
        <v>4516</v>
      </c>
      <c r="AR1133" t="s">
        <v>1235</v>
      </c>
      <c r="AT1133" t="s">
        <v>4517</v>
      </c>
      <c r="AU1133" t="s">
        <v>4518</v>
      </c>
      <c r="AV1133" t="s">
        <v>1220</v>
      </c>
      <c r="AW1133" t="s">
        <v>358</v>
      </c>
      <c r="AX1133" s="8" t="str">
        <f>"10165"</f>
        <v>10165</v>
      </c>
      <c r="AY1133" t="s">
        <v>118</v>
      </c>
      <c r="BA1133" s="10">
        <v>12127604400</v>
      </c>
      <c r="BC1133" t="s">
        <v>4519</v>
      </c>
      <c r="BD1133" t="s">
        <v>4520</v>
      </c>
      <c r="BE1133" t="s">
        <v>358</v>
      </c>
      <c r="BF1133" t="s">
        <v>4521</v>
      </c>
      <c r="BG1133" t="s">
        <v>140</v>
      </c>
      <c r="BH1133" s="1">
        <v>45172.833333333336</v>
      </c>
      <c r="BI1133">
        <v>40</v>
      </c>
      <c r="BJ1133">
        <v>8</v>
      </c>
      <c r="BK1133">
        <v>0</v>
      </c>
      <c r="BL1133">
        <v>0</v>
      </c>
      <c r="BM1133">
        <v>8</v>
      </c>
      <c r="BN1133">
        <v>8</v>
      </c>
      <c r="BO1133">
        <v>8</v>
      </c>
      <c r="BP1133">
        <v>8</v>
      </c>
      <c r="BQ1133" t="str">
        <f>"5:00 AM"</f>
        <v>5:00 AM</v>
      </c>
      <c r="BR1133" t="str">
        <f>"11:00 AM"</f>
        <v>11:00 AM</v>
      </c>
      <c r="BS1133" t="s">
        <v>131</v>
      </c>
      <c r="BT1133">
        <v>0</v>
      </c>
      <c r="BU1133">
        <v>0</v>
      </c>
      <c r="BV1133" t="s">
        <v>114</v>
      </c>
      <c r="BX1133" t="s">
        <v>1570</v>
      </c>
      <c r="BY1133" t="s">
        <v>4522</v>
      </c>
      <c r="BZ1133" t="s">
        <v>4523</v>
      </c>
      <c r="CA1133" t="s">
        <v>4524</v>
      </c>
      <c r="CB1133" t="s">
        <v>140</v>
      </c>
      <c r="CC1133" s="8" t="str">
        <f>"33472"</f>
        <v>33472</v>
      </c>
      <c r="CD1133" t="s">
        <v>767</v>
      </c>
      <c r="CE1133" t="s">
        <v>149</v>
      </c>
      <c r="CF1133" s="12">
        <v>14.11</v>
      </c>
      <c r="CG1133" s="12">
        <v>14.11</v>
      </c>
      <c r="CH1133" s="12">
        <v>21.17</v>
      </c>
      <c r="CI1133" s="12">
        <v>21.17</v>
      </c>
      <c r="CJ1133" t="s">
        <v>135</v>
      </c>
      <c r="CL1133" t="s">
        <v>4525</v>
      </c>
      <c r="CO1133" t="s">
        <v>132</v>
      </c>
      <c r="CP1133" t="s">
        <v>114</v>
      </c>
      <c r="CQ1133" t="s">
        <v>114</v>
      </c>
      <c r="CR1133" t="s">
        <v>136</v>
      </c>
      <c r="CS1133" t="s">
        <v>114</v>
      </c>
      <c r="CT1133" t="s">
        <v>136</v>
      </c>
      <c r="CU1133" t="s">
        <v>136</v>
      </c>
      <c r="CV1133" t="s">
        <v>4526</v>
      </c>
      <c r="CW1133" s="10" t="str">
        <f>"+15188107858"</f>
        <v>+15188107858</v>
      </c>
      <c r="CX1133" t="s">
        <v>4515</v>
      </c>
      <c r="CY1133" t="s">
        <v>132</v>
      </c>
      <c r="CZ1133" t="s">
        <v>137</v>
      </c>
      <c r="DA1133" t="s">
        <v>114</v>
      </c>
      <c r="DB1133" t="s">
        <v>114</v>
      </c>
      <c r="DC1133" t="s">
        <v>136</v>
      </c>
      <c r="DD1133" t="s">
        <v>114</v>
      </c>
    </row>
    <row r="1134" spans="1:113" ht="15" customHeight="1" x14ac:dyDescent="0.25">
      <c r="A1134" t="s">
        <v>699</v>
      </c>
      <c r="B1134" t="s">
        <v>152</v>
      </c>
      <c r="C1134" s="1">
        <v>45149.746656828705</v>
      </c>
      <c r="D1134" s="1">
        <v>45233</v>
      </c>
      <c r="E1134" t="s">
        <v>114</v>
      </c>
      <c r="F1134" t="s">
        <v>700</v>
      </c>
      <c r="G1134" t="str">
        <f>"37-3011.00"</f>
        <v>37-3011.00</v>
      </c>
      <c r="H1134" t="s">
        <v>429</v>
      </c>
      <c r="I1134">
        <v>18</v>
      </c>
      <c r="J1134">
        <v>18</v>
      </c>
      <c r="K1134" s="1">
        <v>45224</v>
      </c>
      <c r="L1134" s="1">
        <v>45394</v>
      </c>
      <c r="M1134" s="1">
        <v>45224</v>
      </c>
      <c r="N1134" s="1">
        <v>45394</v>
      </c>
      <c r="O1134" t="s">
        <v>238</v>
      </c>
      <c r="P1134" t="s">
        <v>701</v>
      </c>
      <c r="R1134" t="s">
        <v>702</v>
      </c>
      <c r="T1134" t="s">
        <v>703</v>
      </c>
      <c r="U1134" t="s">
        <v>127</v>
      </c>
      <c r="V1134" s="8" t="str">
        <f>"79922"</f>
        <v>79922</v>
      </c>
      <c r="W1134" t="s">
        <v>118</v>
      </c>
      <c r="Y1134" s="10">
        <v>19152387666</v>
      </c>
      <c r="AA1134">
        <v>561730</v>
      </c>
      <c r="AB1134" t="s">
        <v>704</v>
      </c>
      <c r="AC1134" t="s">
        <v>705</v>
      </c>
      <c r="AE1134" t="s">
        <v>561</v>
      </c>
      <c r="AF1134" t="s">
        <v>702</v>
      </c>
      <c r="AH1134" t="s">
        <v>703</v>
      </c>
      <c r="AI1134" t="s">
        <v>127</v>
      </c>
      <c r="AJ1134" s="8" t="str">
        <f>"79922"</f>
        <v>79922</v>
      </c>
      <c r="AK1134" t="s">
        <v>118</v>
      </c>
      <c r="AM1134" s="10">
        <v>19152387666</v>
      </c>
      <c r="AO1134" t="s">
        <v>706</v>
      </c>
      <c r="AP1134" t="s">
        <v>121</v>
      </c>
      <c r="AQ1134" t="s">
        <v>707</v>
      </c>
      <c r="AR1134" t="s">
        <v>708</v>
      </c>
      <c r="AS1134" t="s">
        <v>709</v>
      </c>
      <c r="AT1134" t="s">
        <v>710</v>
      </c>
      <c r="AV1134" t="s">
        <v>603</v>
      </c>
      <c r="AW1134" t="s">
        <v>127</v>
      </c>
      <c r="AX1134" s="8" t="str">
        <f>"78746"</f>
        <v>78746</v>
      </c>
      <c r="AY1134" t="s">
        <v>118</v>
      </c>
      <c r="BA1134" s="10">
        <v>17372040093</v>
      </c>
      <c r="BC1134" t="s">
        <v>711</v>
      </c>
      <c r="BD1134" t="s">
        <v>712</v>
      </c>
      <c r="BE1134" t="s">
        <v>127</v>
      </c>
      <c r="BF1134" t="s">
        <v>713</v>
      </c>
      <c r="BG1134" t="s">
        <v>127</v>
      </c>
      <c r="BH1134" s="1">
        <v>45148.833333333336</v>
      </c>
      <c r="BI1134">
        <v>40</v>
      </c>
      <c r="BJ1134">
        <v>0</v>
      </c>
      <c r="BK1134">
        <v>8</v>
      </c>
      <c r="BL1134">
        <v>8</v>
      </c>
      <c r="BM1134">
        <v>8</v>
      </c>
      <c r="BN1134">
        <v>8</v>
      </c>
      <c r="BO1134">
        <v>8</v>
      </c>
      <c r="BP1134">
        <v>0</v>
      </c>
      <c r="BQ1134" t="str">
        <f>"7:30 AM"</f>
        <v>7:30 AM</v>
      </c>
      <c r="BR1134" t="str">
        <f>"4:30 PM"</f>
        <v>4:30 PM</v>
      </c>
      <c r="BS1134" t="s">
        <v>131</v>
      </c>
      <c r="BT1134">
        <v>0</v>
      </c>
      <c r="BU1134">
        <v>0</v>
      </c>
      <c r="BV1134" t="s">
        <v>114</v>
      </c>
      <c r="BX1134" t="s">
        <v>132</v>
      </c>
      <c r="BY1134" t="s">
        <v>702</v>
      </c>
      <c r="CA1134" t="s">
        <v>703</v>
      </c>
      <c r="CB1134" t="s">
        <v>127</v>
      </c>
      <c r="CC1134" s="8" t="str">
        <f>"79922"</f>
        <v>79922</v>
      </c>
      <c r="CD1134" t="s">
        <v>714</v>
      </c>
      <c r="CE1134" t="s">
        <v>715</v>
      </c>
      <c r="CF1134" s="12">
        <v>13.79</v>
      </c>
      <c r="CG1134" s="12">
        <v>13.79</v>
      </c>
      <c r="CH1134" s="12">
        <v>20.69</v>
      </c>
      <c r="CI1134" s="12">
        <v>20.69</v>
      </c>
      <c r="CJ1134" t="s">
        <v>135</v>
      </c>
      <c r="CK1134" t="s">
        <v>716</v>
      </c>
      <c r="CL1134" t="s">
        <v>717</v>
      </c>
      <c r="CO1134" t="s">
        <v>132</v>
      </c>
      <c r="CP1134" t="s">
        <v>136</v>
      </c>
      <c r="CQ1134" t="s">
        <v>136</v>
      </c>
      <c r="CR1134" t="s">
        <v>136</v>
      </c>
      <c r="CS1134" t="s">
        <v>136</v>
      </c>
      <c r="CT1134" t="s">
        <v>136</v>
      </c>
      <c r="CU1134" t="s">
        <v>114</v>
      </c>
      <c r="CV1134" t="s">
        <v>131</v>
      </c>
      <c r="CW1134" s="10" t="str">
        <f>"+19152387666"</f>
        <v>+19152387666</v>
      </c>
      <c r="CX1134" t="s">
        <v>706</v>
      </c>
      <c r="CY1134" t="s">
        <v>132</v>
      </c>
      <c r="CZ1134" t="s">
        <v>137</v>
      </c>
      <c r="DA1134" t="s">
        <v>114</v>
      </c>
      <c r="DB1134" t="s">
        <v>114</v>
      </c>
      <c r="DC1134" t="s">
        <v>136</v>
      </c>
      <c r="DD1134" t="s">
        <v>114</v>
      </c>
    </row>
    <row r="1135" spans="1:113" ht="15" customHeight="1" x14ac:dyDescent="0.25">
      <c r="A1135" t="s">
        <v>22812</v>
      </c>
      <c r="B1135" t="s">
        <v>152</v>
      </c>
      <c r="C1135" s="1">
        <v>45149.658254629627</v>
      </c>
      <c r="D1135" s="1">
        <v>45233</v>
      </c>
      <c r="E1135" t="s">
        <v>114</v>
      </c>
      <c r="F1135" t="s">
        <v>1668</v>
      </c>
      <c r="G1135" t="str">
        <f>"35-9021.00"</f>
        <v>35-9021.00</v>
      </c>
      <c r="H1135" t="s">
        <v>501</v>
      </c>
      <c r="I1135">
        <v>3</v>
      </c>
      <c r="J1135">
        <v>3</v>
      </c>
      <c r="K1135" s="1">
        <v>45231</v>
      </c>
      <c r="L1135" s="1">
        <v>45443</v>
      </c>
      <c r="M1135" s="1">
        <v>45231</v>
      </c>
      <c r="N1135" s="1">
        <v>45443</v>
      </c>
      <c r="O1135" t="s">
        <v>116</v>
      </c>
      <c r="P1135" t="s">
        <v>8774</v>
      </c>
      <c r="Q1135" t="s">
        <v>8775</v>
      </c>
      <c r="R1135" t="s">
        <v>8776</v>
      </c>
      <c r="T1135" t="s">
        <v>8777</v>
      </c>
      <c r="U1135" t="s">
        <v>140</v>
      </c>
      <c r="V1135" s="8" t="str">
        <f>"33432"</f>
        <v>33432</v>
      </c>
      <c r="W1135" t="s">
        <v>118</v>
      </c>
      <c r="Y1135" s="10">
        <v>15614473000</v>
      </c>
      <c r="AA1135">
        <v>72111</v>
      </c>
      <c r="AB1135" t="s">
        <v>8778</v>
      </c>
      <c r="AC1135" t="s">
        <v>8779</v>
      </c>
      <c r="AE1135" t="s">
        <v>8780</v>
      </c>
      <c r="AF1135" t="s">
        <v>8776</v>
      </c>
      <c r="AH1135" t="s">
        <v>8777</v>
      </c>
      <c r="AI1135" t="s">
        <v>140</v>
      </c>
      <c r="AJ1135" s="8" t="str">
        <f>"33432"</f>
        <v>33432</v>
      </c>
      <c r="AK1135" t="s">
        <v>118</v>
      </c>
      <c r="AM1135" s="10">
        <v>15615459577</v>
      </c>
      <c r="AO1135" t="s">
        <v>8781</v>
      </c>
      <c r="AP1135" t="s">
        <v>121</v>
      </c>
      <c r="AQ1135" t="s">
        <v>1327</v>
      </c>
      <c r="AR1135" t="s">
        <v>1328</v>
      </c>
      <c r="AS1135" t="s">
        <v>1329</v>
      </c>
      <c r="AT1135" t="s">
        <v>1330</v>
      </c>
      <c r="AU1135" t="s">
        <v>1331</v>
      </c>
      <c r="AV1135" t="s">
        <v>142</v>
      </c>
      <c r="AW1135" t="s">
        <v>140</v>
      </c>
      <c r="AX1135" s="8" t="str">
        <f>"33126"</f>
        <v>33126</v>
      </c>
      <c r="AY1135" t="s">
        <v>118</v>
      </c>
      <c r="BA1135" s="10">
        <v>13057745800</v>
      </c>
      <c r="BC1135" t="s">
        <v>1332</v>
      </c>
      <c r="BD1135" t="s">
        <v>1333</v>
      </c>
      <c r="BE1135" t="s">
        <v>140</v>
      </c>
      <c r="BF1135" t="s">
        <v>172</v>
      </c>
      <c r="BG1135" t="s">
        <v>140</v>
      </c>
      <c r="BH1135" s="1">
        <v>45148.833333333336</v>
      </c>
      <c r="BI1135">
        <v>35</v>
      </c>
      <c r="BJ1135">
        <v>7</v>
      </c>
      <c r="BK1135">
        <v>7</v>
      </c>
      <c r="BL1135">
        <v>7</v>
      </c>
      <c r="BM1135">
        <v>7</v>
      </c>
      <c r="BN1135">
        <v>7</v>
      </c>
      <c r="BO1135">
        <v>0</v>
      </c>
      <c r="BP1135">
        <v>0</v>
      </c>
      <c r="BQ1135" t="str">
        <f>"7:00 AM"</f>
        <v>7:00 AM</v>
      </c>
      <c r="BR1135" t="str">
        <f>"2:00 PM"</f>
        <v>2:00 PM</v>
      </c>
      <c r="BS1135" t="s">
        <v>131</v>
      </c>
      <c r="BT1135">
        <v>0</v>
      </c>
      <c r="BU1135">
        <v>3</v>
      </c>
      <c r="BV1135" t="s">
        <v>114</v>
      </c>
      <c r="BX1135" s="2" t="s">
        <v>22813</v>
      </c>
      <c r="BY1135" t="s">
        <v>8776</v>
      </c>
      <c r="CA1135" t="s">
        <v>8777</v>
      </c>
      <c r="CB1135" t="s">
        <v>140</v>
      </c>
      <c r="CC1135" s="8" t="str">
        <f>"33432"</f>
        <v>33432</v>
      </c>
      <c r="CD1135" t="s">
        <v>767</v>
      </c>
      <c r="CE1135" t="s">
        <v>149</v>
      </c>
      <c r="CF1135" s="12">
        <v>15</v>
      </c>
      <c r="CH1135" s="12">
        <v>22.5</v>
      </c>
      <c r="CJ1135" t="s">
        <v>135</v>
      </c>
      <c r="CK1135" t="s">
        <v>22814</v>
      </c>
      <c r="CL1135" t="s">
        <v>10260</v>
      </c>
      <c r="CO1135" t="s">
        <v>132</v>
      </c>
      <c r="CP1135" t="s">
        <v>114</v>
      </c>
      <c r="CQ1135" t="s">
        <v>114</v>
      </c>
      <c r="CR1135" t="s">
        <v>136</v>
      </c>
      <c r="CS1135" t="s">
        <v>136</v>
      </c>
      <c r="CT1135" t="s">
        <v>136</v>
      </c>
      <c r="CU1135" t="s">
        <v>136</v>
      </c>
      <c r="CV1135" t="s">
        <v>8785</v>
      </c>
      <c r="CW1135" s="10" t="str">
        <f>"+15615459577"</f>
        <v>+15615459577</v>
      </c>
      <c r="CX1135" t="s">
        <v>8781</v>
      </c>
      <c r="CY1135" t="s">
        <v>132</v>
      </c>
      <c r="CZ1135" t="s">
        <v>137</v>
      </c>
      <c r="DA1135" t="s">
        <v>114</v>
      </c>
      <c r="DB1135" t="s">
        <v>136</v>
      </c>
      <c r="DC1135" t="s">
        <v>136</v>
      </c>
      <c r="DD1135" t="s">
        <v>114</v>
      </c>
    </row>
    <row r="1136" spans="1:113" ht="15" customHeight="1" x14ac:dyDescent="0.25">
      <c r="A1136" t="s">
        <v>21633</v>
      </c>
      <c r="B1136" t="s">
        <v>152</v>
      </c>
      <c r="C1136" s="1">
        <v>45142.68486238426</v>
      </c>
      <c r="D1136" s="1">
        <v>45233</v>
      </c>
      <c r="E1136" t="s">
        <v>114</v>
      </c>
      <c r="F1136" t="s">
        <v>4284</v>
      </c>
      <c r="G1136" t="str">
        <f>"37-2011.00"</f>
        <v>37-2011.00</v>
      </c>
      <c r="H1136" t="s">
        <v>1089</v>
      </c>
      <c r="I1136">
        <v>100</v>
      </c>
      <c r="J1136">
        <v>100</v>
      </c>
      <c r="K1136" s="1">
        <v>45231</v>
      </c>
      <c r="L1136" s="1">
        <v>45382</v>
      </c>
      <c r="M1136" s="1">
        <v>45231</v>
      </c>
      <c r="N1136" s="1">
        <v>45382</v>
      </c>
      <c r="O1136" t="s">
        <v>238</v>
      </c>
      <c r="P1136" t="s">
        <v>4285</v>
      </c>
      <c r="R1136" t="s">
        <v>21634</v>
      </c>
      <c r="S1136" t="s">
        <v>21635</v>
      </c>
      <c r="T1136" t="s">
        <v>21636</v>
      </c>
      <c r="U1136" t="s">
        <v>211</v>
      </c>
      <c r="V1136" s="8" t="str">
        <f>"84060"</f>
        <v>84060</v>
      </c>
      <c r="W1136" t="s">
        <v>118</v>
      </c>
      <c r="Y1136" s="10">
        <v>18016805552</v>
      </c>
      <c r="AA1136">
        <v>56173</v>
      </c>
      <c r="AB1136" t="s">
        <v>4289</v>
      </c>
      <c r="AC1136" t="s">
        <v>4290</v>
      </c>
      <c r="AE1136" t="s">
        <v>4291</v>
      </c>
      <c r="AF1136" t="s">
        <v>21637</v>
      </c>
      <c r="AG1136" t="s">
        <v>21635</v>
      </c>
      <c r="AH1136" t="s">
        <v>21636</v>
      </c>
      <c r="AI1136" t="s">
        <v>211</v>
      </c>
      <c r="AJ1136" s="8" t="str">
        <f>"84060"</f>
        <v>84060</v>
      </c>
      <c r="AK1136" t="s">
        <v>118</v>
      </c>
      <c r="AM1136" s="10">
        <v>18016805552</v>
      </c>
      <c r="AO1136" t="s">
        <v>4292</v>
      </c>
      <c r="AP1136" t="s">
        <v>121</v>
      </c>
      <c r="AQ1136" t="s">
        <v>4293</v>
      </c>
      <c r="AR1136" t="s">
        <v>4294</v>
      </c>
      <c r="AS1136" t="s">
        <v>3625</v>
      </c>
      <c r="AT1136" t="s">
        <v>4295</v>
      </c>
      <c r="AV1136" t="s">
        <v>320</v>
      </c>
      <c r="AW1136" t="s">
        <v>127</v>
      </c>
      <c r="AX1136" s="8" t="str">
        <f>"78705"</f>
        <v>78705</v>
      </c>
      <c r="AY1136" t="s">
        <v>118</v>
      </c>
      <c r="BA1136" s="10">
        <v>15123470007</v>
      </c>
      <c r="BC1136" t="s">
        <v>4296</v>
      </c>
      <c r="BD1136" t="s">
        <v>4297</v>
      </c>
      <c r="BE1136" t="s">
        <v>127</v>
      </c>
      <c r="BF1136" t="s">
        <v>4298</v>
      </c>
      <c r="BG1136" t="s">
        <v>211</v>
      </c>
      <c r="BH1136" s="1">
        <v>45141.833333333336</v>
      </c>
      <c r="BI1136">
        <v>40</v>
      </c>
      <c r="BJ1136">
        <v>0</v>
      </c>
      <c r="BK1136">
        <v>8</v>
      </c>
      <c r="BL1136">
        <v>8</v>
      </c>
      <c r="BM1136">
        <v>8</v>
      </c>
      <c r="BN1136">
        <v>8</v>
      </c>
      <c r="BO1136">
        <v>8</v>
      </c>
      <c r="BP1136">
        <v>0</v>
      </c>
      <c r="BQ1136" t="str">
        <f>"8:00 AM"</f>
        <v>8:00 AM</v>
      </c>
      <c r="BR1136" t="str">
        <f>"5:00 PM"</f>
        <v>5:00 PM</v>
      </c>
      <c r="BS1136" t="s">
        <v>131</v>
      </c>
      <c r="BT1136">
        <v>0</v>
      </c>
      <c r="BU1136">
        <v>0</v>
      </c>
      <c r="BV1136" t="s">
        <v>114</v>
      </c>
      <c r="BX1136" t="s">
        <v>4299</v>
      </c>
      <c r="BY1136" t="s">
        <v>21638</v>
      </c>
      <c r="BZ1136" t="s">
        <v>21635</v>
      </c>
      <c r="CA1136" t="s">
        <v>21636</v>
      </c>
      <c r="CB1136" t="s">
        <v>211</v>
      </c>
      <c r="CC1136" s="8" t="str">
        <f>"84060"</f>
        <v>84060</v>
      </c>
      <c r="CD1136" t="s">
        <v>228</v>
      </c>
      <c r="CE1136" t="s">
        <v>229</v>
      </c>
      <c r="CF1136" s="12">
        <v>15.17</v>
      </c>
      <c r="CH1136" s="12">
        <v>22.73</v>
      </c>
      <c r="CJ1136" t="s">
        <v>135</v>
      </c>
      <c r="CL1136" t="s">
        <v>21639</v>
      </c>
      <c r="CO1136" t="s">
        <v>132</v>
      </c>
      <c r="CP1136" t="s">
        <v>114</v>
      </c>
      <c r="CQ1136" t="s">
        <v>136</v>
      </c>
      <c r="CR1136" t="s">
        <v>136</v>
      </c>
      <c r="CS1136" t="s">
        <v>136</v>
      </c>
      <c r="CT1136" t="s">
        <v>136</v>
      </c>
      <c r="CU1136" t="s">
        <v>136</v>
      </c>
      <c r="CV1136" s="2" t="s">
        <v>21640</v>
      </c>
      <c r="CW1136" s="10" t="str">
        <f>"+18016805552"</f>
        <v>+18016805552</v>
      </c>
      <c r="CX1136" t="s">
        <v>4292</v>
      </c>
      <c r="CY1136" t="s">
        <v>132</v>
      </c>
      <c r="CZ1136" t="s">
        <v>137</v>
      </c>
      <c r="DA1136" t="s">
        <v>114</v>
      </c>
      <c r="DB1136" t="s">
        <v>114</v>
      </c>
      <c r="DC1136" t="s">
        <v>136</v>
      </c>
      <c r="DD1136" t="s">
        <v>114</v>
      </c>
    </row>
    <row r="1137" spans="1:113" ht="15" customHeight="1" x14ac:dyDescent="0.25">
      <c r="A1137" t="s">
        <v>14241</v>
      </c>
      <c r="B1137" t="s">
        <v>152</v>
      </c>
      <c r="C1137" s="1">
        <v>45125.796901967595</v>
      </c>
      <c r="D1137" s="1">
        <v>45233</v>
      </c>
      <c r="E1137" t="s">
        <v>114</v>
      </c>
      <c r="F1137" t="s">
        <v>6288</v>
      </c>
      <c r="G1137" t="str">
        <f>"37-3011.00"</f>
        <v>37-3011.00</v>
      </c>
      <c r="H1137" t="s">
        <v>429</v>
      </c>
      <c r="I1137">
        <v>5</v>
      </c>
      <c r="J1137">
        <v>5</v>
      </c>
      <c r="K1137" s="1">
        <v>45200</v>
      </c>
      <c r="L1137" s="1">
        <v>45382</v>
      </c>
      <c r="M1137" s="1">
        <v>45200</v>
      </c>
      <c r="N1137" s="1">
        <v>45382</v>
      </c>
      <c r="O1137" t="s">
        <v>238</v>
      </c>
      <c r="P1137" t="s">
        <v>14242</v>
      </c>
      <c r="Q1137" t="s">
        <v>6290</v>
      </c>
      <c r="R1137" t="s">
        <v>6291</v>
      </c>
      <c r="S1137" t="s">
        <v>6292</v>
      </c>
      <c r="T1137" t="s">
        <v>1658</v>
      </c>
      <c r="U1137" t="s">
        <v>558</v>
      </c>
      <c r="V1137" s="8" t="str">
        <f>"85260"</f>
        <v>85260</v>
      </c>
      <c r="W1137" t="s">
        <v>118</v>
      </c>
      <c r="Y1137" s="10">
        <v>16027816775</v>
      </c>
      <c r="AA1137">
        <v>111421</v>
      </c>
      <c r="AB1137" t="s">
        <v>6293</v>
      </c>
      <c r="AC1137" t="s">
        <v>3207</v>
      </c>
      <c r="AE1137" t="s">
        <v>6294</v>
      </c>
      <c r="AF1137" t="s">
        <v>6295</v>
      </c>
      <c r="AG1137" t="s">
        <v>6296</v>
      </c>
      <c r="AH1137" t="s">
        <v>1658</v>
      </c>
      <c r="AI1137" t="s">
        <v>558</v>
      </c>
      <c r="AJ1137" s="8" t="str">
        <f>"85260"</f>
        <v>85260</v>
      </c>
      <c r="AK1137" t="s">
        <v>118</v>
      </c>
      <c r="AM1137" s="10">
        <v>16027816775</v>
      </c>
      <c r="AO1137" t="s">
        <v>6297</v>
      </c>
      <c r="AP1137" t="s">
        <v>121</v>
      </c>
      <c r="AQ1137" t="s">
        <v>1902</v>
      </c>
      <c r="AR1137" t="s">
        <v>1903</v>
      </c>
      <c r="AS1137" t="s">
        <v>1555</v>
      </c>
      <c r="AT1137" t="s">
        <v>1904</v>
      </c>
      <c r="AU1137" t="s">
        <v>1905</v>
      </c>
      <c r="AV1137" t="s">
        <v>1906</v>
      </c>
      <c r="AW1137" t="s">
        <v>358</v>
      </c>
      <c r="AX1137" s="8" t="str">
        <f>"12207"</f>
        <v>12207</v>
      </c>
      <c r="AY1137" t="s">
        <v>118</v>
      </c>
      <c r="BA1137" s="10">
        <v>15187012770</v>
      </c>
      <c r="BC1137" t="s">
        <v>2117</v>
      </c>
      <c r="BD1137" t="s">
        <v>1907</v>
      </c>
      <c r="BE1137" t="s">
        <v>358</v>
      </c>
      <c r="BF1137" t="s">
        <v>1908</v>
      </c>
      <c r="BG1137" t="s">
        <v>386</v>
      </c>
      <c r="BH1137" s="1">
        <v>45123.833333333336</v>
      </c>
      <c r="BI1137">
        <v>40</v>
      </c>
      <c r="BJ1137">
        <v>0</v>
      </c>
      <c r="BK1137">
        <v>8</v>
      </c>
      <c r="BL1137">
        <v>8</v>
      </c>
      <c r="BM1137">
        <v>8</v>
      </c>
      <c r="BN1137">
        <v>8</v>
      </c>
      <c r="BO1137">
        <v>8</v>
      </c>
      <c r="BP1137">
        <v>0</v>
      </c>
      <c r="BQ1137" t="str">
        <f>"6:00 AM"</f>
        <v>6:00 AM</v>
      </c>
      <c r="BR1137" t="str">
        <f>"2:30 PM"</f>
        <v>2:30 PM</v>
      </c>
      <c r="BS1137" t="s">
        <v>131</v>
      </c>
      <c r="BT1137">
        <v>0</v>
      </c>
      <c r="BU1137">
        <v>0</v>
      </c>
      <c r="BV1137" t="s">
        <v>114</v>
      </c>
      <c r="BX1137" s="2" t="s">
        <v>14243</v>
      </c>
      <c r="BY1137" t="s">
        <v>14244</v>
      </c>
      <c r="CA1137" t="s">
        <v>7568</v>
      </c>
      <c r="CB1137" t="s">
        <v>386</v>
      </c>
      <c r="CC1137" s="8" t="str">
        <f>"37067"</f>
        <v>37067</v>
      </c>
      <c r="CD1137" t="s">
        <v>3147</v>
      </c>
      <c r="CE1137" t="s">
        <v>3752</v>
      </c>
      <c r="CF1137" s="12">
        <v>17.05</v>
      </c>
      <c r="CH1137" s="12">
        <v>25.58</v>
      </c>
      <c r="CJ1137" t="s">
        <v>135</v>
      </c>
      <c r="CK1137" t="s">
        <v>3061</v>
      </c>
      <c r="CL1137" t="s">
        <v>14245</v>
      </c>
      <c r="CO1137" t="s">
        <v>132</v>
      </c>
      <c r="CP1137" t="s">
        <v>136</v>
      </c>
      <c r="CQ1137" t="s">
        <v>136</v>
      </c>
      <c r="CR1137" t="s">
        <v>136</v>
      </c>
      <c r="CS1137" t="s">
        <v>136</v>
      </c>
      <c r="CT1137" t="s">
        <v>136</v>
      </c>
      <c r="CU1137" t="s">
        <v>136</v>
      </c>
      <c r="CV1137" s="2" t="s">
        <v>7056</v>
      </c>
      <c r="CW1137" s="10" t="str">
        <f>"+16027816775"</f>
        <v>+16027816775</v>
      </c>
      <c r="CX1137" t="s">
        <v>6297</v>
      </c>
      <c r="CY1137" t="s">
        <v>132</v>
      </c>
      <c r="CZ1137" t="s">
        <v>137</v>
      </c>
      <c r="DA1137" t="s">
        <v>114</v>
      </c>
      <c r="DB1137" t="s">
        <v>114</v>
      </c>
      <c r="DC1137" t="s">
        <v>136</v>
      </c>
      <c r="DD1137" t="s">
        <v>114</v>
      </c>
      <c r="DE1137" t="s">
        <v>6302</v>
      </c>
      <c r="DF1137" t="s">
        <v>2896</v>
      </c>
      <c r="DH1137" t="s">
        <v>2897</v>
      </c>
      <c r="DI1137" t="s">
        <v>2121</v>
      </c>
    </row>
    <row r="1138" spans="1:113" ht="15" customHeight="1" x14ac:dyDescent="0.25">
      <c r="A1138" t="s">
        <v>1023</v>
      </c>
      <c r="B1138" t="s">
        <v>152</v>
      </c>
      <c r="C1138" s="1">
        <v>45118.002795601853</v>
      </c>
      <c r="D1138" s="1">
        <v>45233</v>
      </c>
      <c r="E1138" t="s">
        <v>114</v>
      </c>
      <c r="F1138" t="s">
        <v>205</v>
      </c>
      <c r="G1138" t="str">
        <f>"37-2012.00"</f>
        <v>37-2012.00</v>
      </c>
      <c r="H1138" t="s">
        <v>205</v>
      </c>
      <c r="I1138">
        <v>16</v>
      </c>
      <c r="J1138">
        <v>16</v>
      </c>
      <c r="K1138" s="1">
        <v>45208</v>
      </c>
      <c r="L1138" s="1">
        <v>45400</v>
      </c>
      <c r="M1138" s="1">
        <v>45208</v>
      </c>
      <c r="N1138" s="1">
        <v>45400</v>
      </c>
      <c r="O1138" t="s">
        <v>116</v>
      </c>
      <c r="P1138" t="s">
        <v>1024</v>
      </c>
      <c r="R1138" t="s">
        <v>1025</v>
      </c>
      <c r="T1138" t="s">
        <v>1026</v>
      </c>
      <c r="U1138" t="s">
        <v>188</v>
      </c>
      <c r="V1138" s="8" t="str">
        <f>"81632"</f>
        <v>81632</v>
      </c>
      <c r="W1138" t="s">
        <v>118</v>
      </c>
      <c r="Y1138" s="10">
        <v>19703908353</v>
      </c>
      <c r="AA1138">
        <v>721199</v>
      </c>
      <c r="AB1138" t="s">
        <v>1027</v>
      </c>
      <c r="AC1138" t="s">
        <v>1028</v>
      </c>
      <c r="AD1138" t="s">
        <v>132</v>
      </c>
      <c r="AE1138" t="s">
        <v>561</v>
      </c>
      <c r="AF1138" t="s">
        <v>1025</v>
      </c>
      <c r="AH1138" t="s">
        <v>1026</v>
      </c>
      <c r="AI1138" t="s">
        <v>188</v>
      </c>
      <c r="AJ1138" s="8" t="str">
        <f>"81632"</f>
        <v>81632</v>
      </c>
      <c r="AK1138" t="s">
        <v>118</v>
      </c>
      <c r="AM1138" s="10">
        <v>19703908353</v>
      </c>
      <c r="AO1138" t="s">
        <v>1029</v>
      </c>
      <c r="AP1138" t="s">
        <v>248</v>
      </c>
      <c r="AQ1138" t="s">
        <v>1030</v>
      </c>
      <c r="AR1138" t="s">
        <v>1031</v>
      </c>
      <c r="AS1138" t="s">
        <v>132</v>
      </c>
      <c r="AT1138" t="s">
        <v>1032</v>
      </c>
      <c r="AU1138" t="s">
        <v>852</v>
      </c>
      <c r="AV1138" t="s">
        <v>1033</v>
      </c>
      <c r="AW1138" t="s">
        <v>854</v>
      </c>
      <c r="AX1138" s="8" t="str">
        <f>"83814"</f>
        <v>83814</v>
      </c>
      <c r="AY1138" t="s">
        <v>118</v>
      </c>
      <c r="BA1138" s="10">
        <v>12087772654</v>
      </c>
      <c r="BC1138" t="s">
        <v>1034</v>
      </c>
      <c r="BD1138" t="s">
        <v>856</v>
      </c>
      <c r="BG1138" t="s">
        <v>188</v>
      </c>
      <c r="BH1138" s="1">
        <v>45113.833333333336</v>
      </c>
      <c r="BI1138">
        <v>40</v>
      </c>
      <c r="BJ1138">
        <v>0</v>
      </c>
      <c r="BK1138">
        <v>8</v>
      </c>
      <c r="BL1138">
        <v>8</v>
      </c>
      <c r="BM1138">
        <v>8</v>
      </c>
      <c r="BN1138">
        <v>8</v>
      </c>
      <c r="BO1138">
        <v>8</v>
      </c>
      <c r="BP1138">
        <v>0</v>
      </c>
      <c r="BQ1138" t="str">
        <f>"8:00 AM"</f>
        <v>8:00 AM</v>
      </c>
      <c r="BR1138" t="str">
        <f>"5:00 PM"</f>
        <v>5:00 PM</v>
      </c>
      <c r="BS1138" t="s">
        <v>131</v>
      </c>
      <c r="BT1138">
        <v>0</v>
      </c>
      <c r="BU1138">
        <v>3</v>
      </c>
      <c r="BV1138" t="s">
        <v>114</v>
      </c>
      <c r="BX1138" s="2" t="s">
        <v>1035</v>
      </c>
      <c r="BY1138" t="s">
        <v>1036</v>
      </c>
      <c r="CA1138" t="s">
        <v>1026</v>
      </c>
      <c r="CB1138" t="s">
        <v>188</v>
      </c>
      <c r="CC1138" s="8" t="str">
        <f>"81632"</f>
        <v>81632</v>
      </c>
      <c r="CD1138" t="s">
        <v>1037</v>
      </c>
      <c r="CE1138" t="s">
        <v>1038</v>
      </c>
      <c r="CF1138" s="12">
        <v>16.649999999999999</v>
      </c>
      <c r="CH1138" s="12">
        <v>24.98</v>
      </c>
      <c r="CJ1138" t="s">
        <v>135</v>
      </c>
      <c r="CK1138" t="s">
        <v>132</v>
      </c>
      <c r="CL1138" t="s">
        <v>1039</v>
      </c>
      <c r="CO1138" t="s">
        <v>132</v>
      </c>
      <c r="CP1138" t="s">
        <v>136</v>
      </c>
      <c r="CQ1138" t="s">
        <v>136</v>
      </c>
      <c r="CR1138" t="s">
        <v>136</v>
      </c>
      <c r="CS1138" t="s">
        <v>114</v>
      </c>
      <c r="CT1138" t="s">
        <v>136</v>
      </c>
      <c r="CU1138" t="s">
        <v>114</v>
      </c>
      <c r="CV1138" t="s">
        <v>1040</v>
      </c>
      <c r="CW1138" s="10" t="str">
        <f>"+19703908353"</f>
        <v>+19703908353</v>
      </c>
      <c r="CX1138" t="s">
        <v>1029</v>
      </c>
      <c r="CY1138" t="s">
        <v>132</v>
      </c>
      <c r="CZ1138" t="s">
        <v>137</v>
      </c>
      <c r="DA1138" t="s">
        <v>114</v>
      </c>
      <c r="DB1138" t="s">
        <v>136</v>
      </c>
      <c r="DC1138" t="s">
        <v>136</v>
      </c>
      <c r="DD1138" t="s">
        <v>114</v>
      </c>
    </row>
    <row r="1139" spans="1:113" ht="15" customHeight="1" x14ac:dyDescent="0.25">
      <c r="A1139" t="s">
        <v>19279</v>
      </c>
      <c r="B1139" t="s">
        <v>152</v>
      </c>
      <c r="C1139" s="1">
        <v>45114.765603703701</v>
      </c>
      <c r="D1139" s="1">
        <v>45233</v>
      </c>
      <c r="E1139" t="s">
        <v>114</v>
      </c>
      <c r="F1139" t="s">
        <v>1247</v>
      </c>
      <c r="G1139" t="str">
        <f>"45-4011.00"</f>
        <v>45-4011.00</v>
      </c>
      <c r="H1139" t="s">
        <v>842</v>
      </c>
      <c r="I1139">
        <v>15</v>
      </c>
      <c r="J1139">
        <v>15</v>
      </c>
      <c r="K1139" s="1">
        <v>45200</v>
      </c>
      <c r="L1139" s="1">
        <v>45383</v>
      </c>
      <c r="M1139" s="1">
        <v>45200</v>
      </c>
      <c r="N1139" s="1">
        <v>45383</v>
      </c>
      <c r="O1139" t="s">
        <v>238</v>
      </c>
      <c r="P1139" t="s">
        <v>19280</v>
      </c>
      <c r="R1139" t="s">
        <v>19281</v>
      </c>
      <c r="T1139" t="s">
        <v>19282</v>
      </c>
      <c r="U1139" t="s">
        <v>140</v>
      </c>
      <c r="V1139" s="8" t="str">
        <f>"32615"</f>
        <v>32615</v>
      </c>
      <c r="W1139" t="s">
        <v>118</v>
      </c>
      <c r="Y1139" s="10">
        <v>13862050057</v>
      </c>
      <c r="AA1139">
        <v>56173</v>
      </c>
      <c r="AB1139" t="s">
        <v>3411</v>
      </c>
      <c r="AC1139" t="s">
        <v>708</v>
      </c>
      <c r="AD1139" t="s">
        <v>132</v>
      </c>
      <c r="AE1139" t="s">
        <v>1959</v>
      </c>
      <c r="AF1139" t="s">
        <v>19281</v>
      </c>
      <c r="AH1139" t="s">
        <v>19282</v>
      </c>
      <c r="AI1139" t="s">
        <v>140</v>
      </c>
      <c r="AJ1139" s="8" t="str">
        <f>"32615"</f>
        <v>32615</v>
      </c>
      <c r="AK1139" t="s">
        <v>118</v>
      </c>
      <c r="AM1139" s="10">
        <v>13862050057</v>
      </c>
      <c r="AO1139" t="s">
        <v>19283</v>
      </c>
      <c r="AP1139" t="s">
        <v>248</v>
      </c>
      <c r="AQ1139" t="s">
        <v>2869</v>
      </c>
      <c r="AR1139" t="s">
        <v>1362</v>
      </c>
      <c r="AS1139" t="s">
        <v>132</v>
      </c>
      <c r="AT1139" t="s">
        <v>1032</v>
      </c>
      <c r="AU1139" t="s">
        <v>852</v>
      </c>
      <c r="AV1139" t="s">
        <v>853</v>
      </c>
      <c r="AW1139" t="s">
        <v>854</v>
      </c>
      <c r="AX1139" s="8" t="str">
        <f>"83814"</f>
        <v>83814</v>
      </c>
      <c r="AY1139" t="s">
        <v>118</v>
      </c>
      <c r="BA1139" s="10">
        <v>12087772654</v>
      </c>
      <c r="BC1139" t="s">
        <v>4831</v>
      </c>
      <c r="BD1139" t="s">
        <v>856</v>
      </c>
      <c r="BG1139" t="s">
        <v>140</v>
      </c>
      <c r="BH1139" s="1">
        <v>45113.833333333336</v>
      </c>
      <c r="BI1139">
        <v>40</v>
      </c>
      <c r="BJ1139">
        <v>0</v>
      </c>
      <c r="BK1139">
        <v>8</v>
      </c>
      <c r="BL1139">
        <v>8</v>
      </c>
      <c r="BM1139">
        <v>8</v>
      </c>
      <c r="BN1139">
        <v>8</v>
      </c>
      <c r="BO1139">
        <v>8</v>
      </c>
      <c r="BP1139">
        <v>0</v>
      </c>
      <c r="BQ1139" t="str">
        <f>"9:00 AM"</f>
        <v>9:00 AM</v>
      </c>
      <c r="BR1139" t="str">
        <f>"5:00 PM"</f>
        <v>5:00 PM</v>
      </c>
      <c r="BS1139" t="s">
        <v>131</v>
      </c>
      <c r="BT1139">
        <v>0</v>
      </c>
      <c r="BU1139">
        <v>0</v>
      </c>
      <c r="BV1139" t="s">
        <v>114</v>
      </c>
      <c r="BX1139" t="s">
        <v>11175</v>
      </c>
      <c r="BY1139" t="s">
        <v>19284</v>
      </c>
      <c r="CA1139" t="s">
        <v>19282</v>
      </c>
      <c r="CB1139" t="s">
        <v>140</v>
      </c>
      <c r="CC1139" s="8" t="str">
        <f>"32615"</f>
        <v>32615</v>
      </c>
      <c r="CD1139" t="s">
        <v>19285</v>
      </c>
      <c r="CE1139" t="s">
        <v>19286</v>
      </c>
      <c r="CF1139" s="12">
        <v>20.32</v>
      </c>
      <c r="CG1139" s="12">
        <v>25</v>
      </c>
      <c r="CH1139" s="12">
        <v>30.48</v>
      </c>
      <c r="CI1139" s="12">
        <v>37.5</v>
      </c>
      <c r="CJ1139" t="s">
        <v>135</v>
      </c>
      <c r="CK1139" t="s">
        <v>1244</v>
      </c>
      <c r="CL1139" t="s">
        <v>19287</v>
      </c>
      <c r="CO1139" t="s">
        <v>132</v>
      </c>
      <c r="CP1139" t="s">
        <v>136</v>
      </c>
      <c r="CQ1139" t="s">
        <v>136</v>
      </c>
      <c r="CR1139" t="s">
        <v>136</v>
      </c>
      <c r="CS1139" t="s">
        <v>136</v>
      </c>
      <c r="CT1139" t="s">
        <v>136</v>
      </c>
      <c r="CU1139" t="s">
        <v>114</v>
      </c>
      <c r="CV1139" t="s">
        <v>132</v>
      </c>
      <c r="CW1139" s="10" t="str">
        <f>"+13862050057"</f>
        <v>+13862050057</v>
      </c>
      <c r="CX1139" t="s">
        <v>19283</v>
      </c>
      <c r="CY1139" t="s">
        <v>132</v>
      </c>
      <c r="CZ1139" t="s">
        <v>137</v>
      </c>
      <c r="DA1139" t="s">
        <v>114</v>
      </c>
      <c r="DB1139" t="s">
        <v>114</v>
      </c>
      <c r="DC1139" t="s">
        <v>136</v>
      </c>
      <c r="DD1139" t="s">
        <v>114</v>
      </c>
    </row>
    <row r="1140" spans="1:113" ht="15" customHeight="1" x14ac:dyDescent="0.25">
      <c r="A1140" t="s">
        <v>10237</v>
      </c>
      <c r="B1140" t="s">
        <v>152</v>
      </c>
      <c r="C1140" s="1">
        <v>45181.872561226854</v>
      </c>
      <c r="D1140" s="1">
        <v>45232</v>
      </c>
      <c r="E1140" t="s">
        <v>132</v>
      </c>
      <c r="F1140" t="s">
        <v>10238</v>
      </c>
      <c r="G1140" t="str">
        <f>"49-9043.00"</f>
        <v>49-9043.00</v>
      </c>
      <c r="H1140" t="s">
        <v>10239</v>
      </c>
      <c r="I1140">
        <v>4</v>
      </c>
      <c r="J1140">
        <v>4</v>
      </c>
      <c r="K1140" s="1">
        <v>45256</v>
      </c>
      <c r="L1140" s="1">
        <v>45383</v>
      </c>
      <c r="M1140" s="1">
        <v>45256</v>
      </c>
      <c r="N1140" s="1">
        <v>45383</v>
      </c>
      <c r="O1140" t="s">
        <v>238</v>
      </c>
      <c r="P1140" t="s">
        <v>10240</v>
      </c>
      <c r="R1140" t="s">
        <v>8227</v>
      </c>
      <c r="T1140" t="s">
        <v>8228</v>
      </c>
      <c r="U1140" t="s">
        <v>2030</v>
      </c>
      <c r="V1140" s="8" t="str">
        <f>"57385"</f>
        <v>57385</v>
      </c>
      <c r="W1140" t="s">
        <v>118</v>
      </c>
      <c r="Y1140" s="10">
        <v>16055206204</v>
      </c>
      <c r="AA1140">
        <v>71119</v>
      </c>
      <c r="AB1140" t="s">
        <v>8229</v>
      </c>
      <c r="AC1140" t="s">
        <v>1999</v>
      </c>
      <c r="AE1140" t="s">
        <v>1799</v>
      </c>
      <c r="AF1140" t="s">
        <v>8227</v>
      </c>
      <c r="AH1140" t="s">
        <v>8228</v>
      </c>
      <c r="AI1140" t="s">
        <v>2030</v>
      </c>
      <c r="AJ1140" s="8" t="str">
        <f>"57385"</f>
        <v>57385</v>
      </c>
      <c r="AK1140" t="s">
        <v>118</v>
      </c>
      <c r="AM1140" s="10">
        <v>16055206204</v>
      </c>
      <c r="AO1140" t="s">
        <v>8230</v>
      </c>
      <c r="AP1140" t="s">
        <v>248</v>
      </c>
      <c r="AQ1140" t="s">
        <v>3290</v>
      </c>
      <c r="AR1140" t="s">
        <v>2001</v>
      </c>
      <c r="AT1140" t="s">
        <v>3291</v>
      </c>
      <c r="AV1140" t="s">
        <v>3292</v>
      </c>
      <c r="AW1140" t="s">
        <v>402</v>
      </c>
      <c r="AX1140" s="8" t="str">
        <f>"93446"</f>
        <v>93446</v>
      </c>
      <c r="AY1140" t="s">
        <v>118</v>
      </c>
      <c r="AZ1140" t="s">
        <v>3293</v>
      </c>
      <c r="BA1140" s="10">
        <v>13217042589</v>
      </c>
      <c r="BC1140" t="s">
        <v>3294</v>
      </c>
      <c r="BD1140" t="s">
        <v>3295</v>
      </c>
      <c r="BG1140" t="s">
        <v>2030</v>
      </c>
      <c r="BH1140" s="1">
        <v>45180.833333333336</v>
      </c>
      <c r="BI1140">
        <v>35</v>
      </c>
      <c r="BJ1140">
        <v>0</v>
      </c>
      <c r="BK1140">
        <v>7</v>
      </c>
      <c r="BL1140">
        <v>7</v>
      </c>
      <c r="BM1140">
        <v>7</v>
      </c>
      <c r="BN1140">
        <v>7</v>
      </c>
      <c r="BO1140">
        <v>7</v>
      </c>
      <c r="BP1140">
        <v>0</v>
      </c>
      <c r="BQ1140" t="str">
        <f>"8:00 AM"</f>
        <v>8:00 AM</v>
      </c>
      <c r="BR1140" t="str">
        <f>"3:00 PM"</f>
        <v>3:00 PM</v>
      </c>
      <c r="BS1140" t="s">
        <v>131</v>
      </c>
      <c r="BT1140">
        <v>0</v>
      </c>
      <c r="BU1140">
        <v>0</v>
      </c>
      <c r="BV1140" t="s">
        <v>114</v>
      </c>
      <c r="BX1140" s="2" t="s">
        <v>10241</v>
      </c>
      <c r="BY1140" t="s">
        <v>10242</v>
      </c>
      <c r="CA1140" t="s">
        <v>2123</v>
      </c>
      <c r="CB1140" t="s">
        <v>333</v>
      </c>
      <c r="CC1140" s="8" t="str">
        <f>"70392"</f>
        <v>70392</v>
      </c>
      <c r="CD1140" t="s">
        <v>8231</v>
      </c>
      <c r="CE1140" t="s">
        <v>5008</v>
      </c>
      <c r="CF1140" s="12">
        <v>28.55</v>
      </c>
      <c r="CJ1140" t="s">
        <v>135</v>
      </c>
      <c r="CK1140" t="s">
        <v>5469</v>
      </c>
      <c r="CL1140" t="s">
        <v>10243</v>
      </c>
      <c r="CO1140" t="s">
        <v>132</v>
      </c>
      <c r="CP1140" t="s">
        <v>114</v>
      </c>
      <c r="CQ1140" t="s">
        <v>114</v>
      </c>
      <c r="CR1140" t="s">
        <v>114</v>
      </c>
      <c r="CS1140" t="s">
        <v>136</v>
      </c>
      <c r="CT1140" t="s">
        <v>136</v>
      </c>
      <c r="CU1140" t="s">
        <v>136</v>
      </c>
      <c r="CV1140" t="s">
        <v>10244</v>
      </c>
      <c r="CW1140" s="10" t="str">
        <f>"+16055206204"</f>
        <v>+16055206204</v>
      </c>
      <c r="CX1140" t="s">
        <v>8230</v>
      </c>
      <c r="CY1140" t="s">
        <v>132</v>
      </c>
      <c r="CZ1140" t="s">
        <v>137</v>
      </c>
      <c r="DA1140" t="s">
        <v>114</v>
      </c>
      <c r="DB1140" t="s">
        <v>114</v>
      </c>
      <c r="DC1140" t="s">
        <v>136</v>
      </c>
      <c r="DD1140" t="s">
        <v>114</v>
      </c>
    </row>
    <row r="1141" spans="1:113" ht="15" customHeight="1" x14ac:dyDescent="0.25">
      <c r="A1141" t="s">
        <v>16667</v>
      </c>
      <c r="B1141" t="s">
        <v>152</v>
      </c>
      <c r="C1141" s="1">
        <v>45176.764332060186</v>
      </c>
      <c r="D1141" s="1">
        <v>45232</v>
      </c>
      <c r="E1141" t="s">
        <v>132</v>
      </c>
      <c r="F1141" t="s">
        <v>944</v>
      </c>
      <c r="G1141" t="str">
        <f>"49-9098.00"</f>
        <v>49-9098.00</v>
      </c>
      <c r="H1141" t="s">
        <v>945</v>
      </c>
      <c r="I1141">
        <v>20</v>
      </c>
      <c r="J1141">
        <v>20</v>
      </c>
      <c r="K1141" s="1">
        <v>45251</v>
      </c>
      <c r="L1141" s="1">
        <v>45383</v>
      </c>
      <c r="M1141" s="1">
        <v>45251</v>
      </c>
      <c r="N1141" s="1">
        <v>45383</v>
      </c>
      <c r="O1141" t="s">
        <v>238</v>
      </c>
      <c r="P1141" t="s">
        <v>11242</v>
      </c>
      <c r="R1141" t="s">
        <v>11243</v>
      </c>
      <c r="S1141" t="s">
        <v>16668</v>
      </c>
      <c r="T1141" t="s">
        <v>557</v>
      </c>
      <c r="U1141" t="s">
        <v>558</v>
      </c>
      <c r="V1141" s="8" t="str">
        <f>"85122"</f>
        <v>85122</v>
      </c>
      <c r="W1141" t="s">
        <v>118</v>
      </c>
      <c r="X1141" t="s">
        <v>692</v>
      </c>
      <c r="Y1141" s="10">
        <v>16023632677</v>
      </c>
      <c r="Z1141" s="3" t="s">
        <v>256</v>
      </c>
      <c r="AA1141">
        <v>711190</v>
      </c>
      <c r="AB1141" t="s">
        <v>11245</v>
      </c>
      <c r="AC1141" t="s">
        <v>2770</v>
      </c>
      <c r="AE1141" t="s">
        <v>16669</v>
      </c>
      <c r="AF1141" t="s">
        <v>11243</v>
      </c>
      <c r="AG1141" t="s">
        <v>16670</v>
      </c>
      <c r="AH1141" t="s">
        <v>16671</v>
      </c>
      <c r="AI1141" t="s">
        <v>558</v>
      </c>
      <c r="AJ1141" s="8" t="str">
        <f>"85122"</f>
        <v>85122</v>
      </c>
      <c r="AK1141" t="s">
        <v>118</v>
      </c>
      <c r="AL1141" t="s">
        <v>255</v>
      </c>
      <c r="AM1141" s="10">
        <v>16023632677</v>
      </c>
      <c r="AN1141" s="3" t="s">
        <v>256</v>
      </c>
      <c r="AO1141" t="s">
        <v>11246</v>
      </c>
      <c r="AP1141" t="s">
        <v>248</v>
      </c>
      <c r="AQ1141" t="s">
        <v>249</v>
      </c>
      <c r="AR1141" t="s">
        <v>250</v>
      </c>
      <c r="AS1141" t="s">
        <v>251</v>
      </c>
      <c r="AT1141" t="s">
        <v>252</v>
      </c>
      <c r="AU1141" t="s">
        <v>253</v>
      </c>
      <c r="AV1141" t="s">
        <v>254</v>
      </c>
      <c r="AW1141" t="s">
        <v>127</v>
      </c>
      <c r="AX1141" s="8" t="str">
        <f>"78550"</f>
        <v>78550</v>
      </c>
      <c r="AY1141" t="s">
        <v>118</v>
      </c>
      <c r="AZ1141" t="s">
        <v>255</v>
      </c>
      <c r="BA1141" s="10">
        <v>19564408720</v>
      </c>
      <c r="BB1141" s="3" t="s">
        <v>256</v>
      </c>
      <c r="BC1141" t="s">
        <v>338</v>
      </c>
      <c r="BD1141" t="s">
        <v>258</v>
      </c>
      <c r="BG1141" t="s">
        <v>558</v>
      </c>
      <c r="BH1141" s="1">
        <v>45175.833333333336</v>
      </c>
      <c r="BI1141">
        <v>40</v>
      </c>
      <c r="BJ1141">
        <v>0</v>
      </c>
      <c r="BK1141">
        <v>8</v>
      </c>
      <c r="BL1141">
        <v>8</v>
      </c>
      <c r="BM1141">
        <v>8</v>
      </c>
      <c r="BN1141">
        <v>8</v>
      </c>
      <c r="BO1141">
        <v>8</v>
      </c>
      <c r="BP1141">
        <v>0</v>
      </c>
      <c r="BQ1141" t="str">
        <f>"8:00 AM"</f>
        <v>8:00 AM</v>
      </c>
      <c r="BR1141" t="str">
        <f>"5:00 PM"</f>
        <v>5:00 PM</v>
      </c>
      <c r="BS1141" t="s">
        <v>131</v>
      </c>
      <c r="BT1141">
        <v>0</v>
      </c>
      <c r="BU1141">
        <v>0</v>
      </c>
      <c r="BV1141" t="s">
        <v>114</v>
      </c>
      <c r="BX1141" s="2" t="s">
        <v>2396</v>
      </c>
      <c r="BY1141" t="s">
        <v>11243</v>
      </c>
      <c r="CA1141" t="s">
        <v>557</v>
      </c>
      <c r="CB1141" t="s">
        <v>558</v>
      </c>
      <c r="CC1141" s="8" t="str">
        <f>"85122"</f>
        <v>85122</v>
      </c>
      <c r="CD1141" t="s">
        <v>1391</v>
      </c>
      <c r="CE1141" t="s">
        <v>565</v>
      </c>
      <c r="CF1141" s="12">
        <v>18.739999999999998</v>
      </c>
      <c r="CG1141" s="12">
        <v>18.739999999999998</v>
      </c>
      <c r="CJ1141" t="s">
        <v>135</v>
      </c>
      <c r="CK1141" t="s">
        <v>342</v>
      </c>
      <c r="CL1141" t="s">
        <v>16672</v>
      </c>
      <c r="CO1141" t="s">
        <v>132</v>
      </c>
      <c r="CP1141" t="s">
        <v>114</v>
      </c>
      <c r="CQ1141" t="s">
        <v>136</v>
      </c>
      <c r="CR1141" t="s">
        <v>114</v>
      </c>
      <c r="CS1141" t="s">
        <v>114</v>
      </c>
      <c r="CT1141" t="s">
        <v>136</v>
      </c>
      <c r="CU1141" t="s">
        <v>136</v>
      </c>
      <c r="CV1141" t="s">
        <v>16673</v>
      </c>
      <c r="CW1141" s="10" t="str">
        <f>"+16023632677"</f>
        <v>+16023632677</v>
      </c>
      <c r="CX1141" t="s">
        <v>16674</v>
      </c>
      <c r="CY1141" t="s">
        <v>132</v>
      </c>
      <c r="CZ1141" t="s">
        <v>137</v>
      </c>
      <c r="DA1141" t="s">
        <v>114</v>
      </c>
      <c r="DB1141" t="s">
        <v>136</v>
      </c>
      <c r="DC1141" t="s">
        <v>136</v>
      </c>
      <c r="DD1141" t="s">
        <v>114</v>
      </c>
    </row>
    <row r="1142" spans="1:113" ht="15" customHeight="1" x14ac:dyDescent="0.25">
      <c r="A1142" t="s">
        <v>16797</v>
      </c>
      <c r="B1142" t="s">
        <v>152</v>
      </c>
      <c r="C1142" s="1">
        <v>45174.673575925925</v>
      </c>
      <c r="D1142" s="1">
        <v>45232</v>
      </c>
      <c r="E1142" t="s">
        <v>132</v>
      </c>
      <c r="F1142" t="s">
        <v>5382</v>
      </c>
      <c r="G1142" t="str">
        <f>"37-1011.00"</f>
        <v>37-1011.00</v>
      </c>
      <c r="H1142" t="s">
        <v>5383</v>
      </c>
      <c r="I1142">
        <v>4</v>
      </c>
      <c r="J1142">
        <v>4</v>
      </c>
      <c r="K1142" s="1">
        <v>45249</v>
      </c>
      <c r="L1142" s="1">
        <v>45550</v>
      </c>
      <c r="M1142" s="1">
        <v>45249</v>
      </c>
      <c r="N1142" s="1">
        <v>45550</v>
      </c>
      <c r="O1142" t="s">
        <v>238</v>
      </c>
      <c r="P1142" t="s">
        <v>10246</v>
      </c>
      <c r="Q1142" t="s">
        <v>10246</v>
      </c>
      <c r="R1142" t="s">
        <v>10247</v>
      </c>
      <c r="S1142" t="s">
        <v>10796</v>
      </c>
      <c r="T1142" t="s">
        <v>2773</v>
      </c>
      <c r="U1142" t="s">
        <v>140</v>
      </c>
      <c r="V1142" s="8" t="str">
        <f>"32408"</f>
        <v>32408</v>
      </c>
      <c r="W1142" t="s">
        <v>118</v>
      </c>
      <c r="Y1142" s="10">
        <v>17864929774</v>
      </c>
      <c r="AA1142">
        <v>561720</v>
      </c>
      <c r="AB1142" t="s">
        <v>10248</v>
      </c>
      <c r="AC1142" t="s">
        <v>10249</v>
      </c>
      <c r="AE1142" t="s">
        <v>629</v>
      </c>
      <c r="AF1142" t="s">
        <v>10247</v>
      </c>
      <c r="AH1142" t="s">
        <v>2773</v>
      </c>
      <c r="AI1142" t="s">
        <v>140</v>
      </c>
      <c r="AJ1142" s="8" t="str">
        <f>"32408"</f>
        <v>32408</v>
      </c>
      <c r="AK1142" t="s">
        <v>118</v>
      </c>
      <c r="AM1142" s="10">
        <v>17864929774</v>
      </c>
      <c r="AO1142" t="s">
        <v>10250</v>
      </c>
      <c r="AX1142" s="8" t="str">
        <f>""</f>
        <v/>
      </c>
      <c r="BG1142" t="s">
        <v>375</v>
      </c>
      <c r="BH1142" s="1">
        <v>45173.833333333336</v>
      </c>
      <c r="BI1142">
        <v>35</v>
      </c>
      <c r="BJ1142">
        <v>5</v>
      </c>
      <c r="BK1142">
        <v>5</v>
      </c>
      <c r="BL1142">
        <v>5</v>
      </c>
      <c r="BM1142">
        <v>5</v>
      </c>
      <c r="BN1142">
        <v>5</v>
      </c>
      <c r="BO1142">
        <v>5</v>
      </c>
      <c r="BP1142">
        <v>5</v>
      </c>
      <c r="BQ1142" t="str">
        <f>"8:00 AM"</f>
        <v>8:00 AM</v>
      </c>
      <c r="BR1142" t="str">
        <f>"4:00 PM"</f>
        <v>4:00 PM</v>
      </c>
      <c r="BS1142" t="s">
        <v>147</v>
      </c>
      <c r="BT1142">
        <v>0</v>
      </c>
      <c r="BU1142">
        <v>12</v>
      </c>
      <c r="BV1142" t="s">
        <v>136</v>
      </c>
      <c r="BW1142">
        <v>25</v>
      </c>
      <c r="BX1142" s="2" t="s">
        <v>10251</v>
      </c>
      <c r="BY1142" t="s">
        <v>16798</v>
      </c>
      <c r="CA1142" t="s">
        <v>12975</v>
      </c>
      <c r="CB1142" t="s">
        <v>375</v>
      </c>
      <c r="CC1142" s="8" t="str">
        <f>"28719"</f>
        <v>28719</v>
      </c>
      <c r="CD1142" t="s">
        <v>12976</v>
      </c>
      <c r="CE1142" t="s">
        <v>641</v>
      </c>
      <c r="CF1142" s="12">
        <v>19.12</v>
      </c>
      <c r="CG1142" s="12">
        <v>20</v>
      </c>
      <c r="CH1142" s="12">
        <v>28.68</v>
      </c>
      <c r="CI1142" s="12">
        <v>30</v>
      </c>
      <c r="CJ1142" t="s">
        <v>135</v>
      </c>
      <c r="CK1142" t="s">
        <v>10253</v>
      </c>
      <c r="CL1142" t="s">
        <v>16799</v>
      </c>
      <c r="CO1142" t="s">
        <v>132</v>
      </c>
      <c r="CP1142" t="s">
        <v>136</v>
      </c>
      <c r="CQ1142" t="s">
        <v>114</v>
      </c>
      <c r="CR1142" t="s">
        <v>136</v>
      </c>
      <c r="CS1142" t="s">
        <v>114</v>
      </c>
      <c r="CT1142" t="s">
        <v>136</v>
      </c>
      <c r="CU1142" t="s">
        <v>136</v>
      </c>
      <c r="CV1142" s="2" t="s">
        <v>16800</v>
      </c>
      <c r="CW1142" s="10" t="str">
        <f>"+17869429774"</f>
        <v>+17869429774</v>
      </c>
      <c r="CX1142" t="s">
        <v>10256</v>
      </c>
      <c r="CY1142" t="s">
        <v>132</v>
      </c>
      <c r="CZ1142" t="s">
        <v>137</v>
      </c>
      <c r="DA1142" t="s">
        <v>114</v>
      </c>
      <c r="DB1142" t="s">
        <v>114</v>
      </c>
      <c r="DC1142" t="s">
        <v>136</v>
      </c>
      <c r="DD1142" t="s">
        <v>114</v>
      </c>
    </row>
    <row r="1143" spans="1:113" ht="15" customHeight="1" x14ac:dyDescent="0.25">
      <c r="A1143" t="s">
        <v>16730</v>
      </c>
      <c r="B1143" t="s">
        <v>152</v>
      </c>
      <c r="C1143" s="1">
        <v>45174.637765162035</v>
      </c>
      <c r="D1143" s="1">
        <v>45232</v>
      </c>
      <c r="E1143" t="s">
        <v>132</v>
      </c>
      <c r="F1143" t="s">
        <v>3544</v>
      </c>
      <c r="G1143" t="str">
        <f>"51-3022.00"</f>
        <v>51-3022.00</v>
      </c>
      <c r="H1143" t="s">
        <v>1004</v>
      </c>
      <c r="I1143">
        <v>550</v>
      </c>
      <c r="J1143">
        <v>550</v>
      </c>
      <c r="K1143" s="1">
        <v>45261</v>
      </c>
      <c r="L1143" s="1">
        <v>45412</v>
      </c>
      <c r="M1143" s="1">
        <v>45261</v>
      </c>
      <c r="N1143" s="1">
        <v>45412</v>
      </c>
      <c r="O1143" t="s">
        <v>238</v>
      </c>
      <c r="P1143" t="s">
        <v>16731</v>
      </c>
      <c r="R1143" t="s">
        <v>16732</v>
      </c>
      <c r="S1143" t="s">
        <v>5960</v>
      </c>
      <c r="T1143" t="s">
        <v>7330</v>
      </c>
      <c r="U1143" t="s">
        <v>792</v>
      </c>
      <c r="V1143" s="8" t="str">
        <f>"98004"</f>
        <v>98004</v>
      </c>
      <c r="W1143" t="s">
        <v>118</v>
      </c>
      <c r="Y1143" s="10">
        <v>12066696434</v>
      </c>
      <c r="AA1143">
        <v>3117</v>
      </c>
      <c r="AB1143" t="s">
        <v>2869</v>
      </c>
      <c r="AC1143" t="s">
        <v>278</v>
      </c>
      <c r="AD1143" t="s">
        <v>2716</v>
      </c>
      <c r="AE1143" t="s">
        <v>16733</v>
      </c>
      <c r="AF1143" t="s">
        <v>16732</v>
      </c>
      <c r="AG1143" t="s">
        <v>5960</v>
      </c>
      <c r="AH1143" t="s">
        <v>7330</v>
      </c>
      <c r="AI1143" t="s">
        <v>792</v>
      </c>
      <c r="AJ1143" s="8" t="str">
        <f>"98004"</f>
        <v>98004</v>
      </c>
      <c r="AK1143" t="s">
        <v>118</v>
      </c>
      <c r="AM1143" s="10">
        <v>12066696434</v>
      </c>
      <c r="AO1143" t="s">
        <v>16734</v>
      </c>
      <c r="AP1143" t="s">
        <v>121</v>
      </c>
      <c r="AQ1143" t="s">
        <v>1978</v>
      </c>
      <c r="AR1143" t="s">
        <v>705</v>
      </c>
      <c r="AS1143" t="s">
        <v>1979</v>
      </c>
      <c r="AT1143" t="s">
        <v>1980</v>
      </c>
      <c r="AU1143" t="s">
        <v>1981</v>
      </c>
      <c r="AV1143" t="s">
        <v>2916</v>
      </c>
      <c r="AW1143" t="s">
        <v>1722</v>
      </c>
      <c r="AX1143" s="8" t="str">
        <f>"21117"</f>
        <v>21117</v>
      </c>
      <c r="AY1143" t="s">
        <v>118</v>
      </c>
      <c r="BA1143" s="10">
        <v>14435014240</v>
      </c>
      <c r="BC1143" t="s">
        <v>1982</v>
      </c>
      <c r="BD1143" t="s">
        <v>9671</v>
      </c>
      <c r="BE1143" t="s">
        <v>358</v>
      </c>
      <c r="BF1143" t="s">
        <v>1984</v>
      </c>
      <c r="BG1143" t="s">
        <v>2706</v>
      </c>
      <c r="BH1143" s="1">
        <v>45173.833333333336</v>
      </c>
      <c r="BI1143">
        <v>40</v>
      </c>
      <c r="BJ1143">
        <v>6</v>
      </c>
      <c r="BK1143">
        <v>6</v>
      </c>
      <c r="BL1143">
        <v>6</v>
      </c>
      <c r="BM1143">
        <v>5</v>
      </c>
      <c r="BN1143">
        <v>5</v>
      </c>
      <c r="BO1143">
        <v>6</v>
      </c>
      <c r="BP1143">
        <v>6</v>
      </c>
      <c r="BQ1143" t="str">
        <f>"6:00 AM"</f>
        <v>6:00 AM</v>
      </c>
      <c r="BR1143" t="str">
        <f>"7:00 PM"</f>
        <v>7:00 PM</v>
      </c>
      <c r="BS1143" t="s">
        <v>131</v>
      </c>
      <c r="BT1143">
        <v>0</v>
      </c>
      <c r="BU1143">
        <v>0</v>
      </c>
      <c r="BV1143" t="s">
        <v>114</v>
      </c>
      <c r="BX1143" s="2" t="s">
        <v>16735</v>
      </c>
      <c r="BY1143" t="s">
        <v>16736</v>
      </c>
      <c r="CA1143" t="s">
        <v>16737</v>
      </c>
      <c r="CB1143" t="s">
        <v>2706</v>
      </c>
      <c r="CC1143" s="8" t="str">
        <f>"99692"</f>
        <v>99692</v>
      </c>
      <c r="CD1143" t="s">
        <v>16200</v>
      </c>
      <c r="CE1143" t="s">
        <v>2714</v>
      </c>
      <c r="CF1143" s="12">
        <v>17.149999999999999</v>
      </c>
      <c r="CH1143" s="12">
        <v>25.73</v>
      </c>
      <c r="CJ1143" t="s">
        <v>135</v>
      </c>
      <c r="CK1143" t="s">
        <v>16738</v>
      </c>
      <c r="CL1143" t="s">
        <v>16739</v>
      </c>
      <c r="CO1143" t="s">
        <v>132</v>
      </c>
      <c r="CP1143" t="s">
        <v>114</v>
      </c>
      <c r="CQ1143" t="s">
        <v>136</v>
      </c>
      <c r="CR1143" t="s">
        <v>136</v>
      </c>
      <c r="CS1143" t="s">
        <v>136</v>
      </c>
      <c r="CT1143" t="s">
        <v>136</v>
      </c>
      <c r="CU1143" t="s">
        <v>136</v>
      </c>
      <c r="CV1143" t="s">
        <v>1987</v>
      </c>
      <c r="CW1143" s="10" t="str">
        <f>"N/A"</f>
        <v>N/A</v>
      </c>
      <c r="CX1143" t="s">
        <v>16740</v>
      </c>
      <c r="CY1143" t="s">
        <v>16741</v>
      </c>
      <c r="CZ1143" t="s">
        <v>137</v>
      </c>
      <c r="DA1143" t="s">
        <v>114</v>
      </c>
      <c r="DB1143" t="s">
        <v>136</v>
      </c>
      <c r="DC1143" t="s">
        <v>136</v>
      </c>
      <c r="DD1143" t="s">
        <v>114</v>
      </c>
    </row>
    <row r="1144" spans="1:113" ht="15" customHeight="1" x14ac:dyDescent="0.25">
      <c r="A1144" t="s">
        <v>16812</v>
      </c>
      <c r="B1144" t="s">
        <v>152</v>
      </c>
      <c r="C1144" s="1">
        <v>45174.542429745372</v>
      </c>
      <c r="D1144" s="1">
        <v>45232</v>
      </c>
      <c r="E1144" t="s">
        <v>132</v>
      </c>
      <c r="F1144" t="s">
        <v>9859</v>
      </c>
      <c r="G1144" t="str">
        <f>"39-3091.00"</f>
        <v>39-3091.00</v>
      </c>
      <c r="H1144" t="s">
        <v>237</v>
      </c>
      <c r="I1144">
        <v>20</v>
      </c>
      <c r="J1144">
        <v>20</v>
      </c>
      <c r="K1144" s="1">
        <v>45261</v>
      </c>
      <c r="L1144" s="1">
        <v>45397</v>
      </c>
      <c r="M1144" s="1">
        <v>45261</v>
      </c>
      <c r="N1144" s="1">
        <v>45397</v>
      </c>
      <c r="O1144" t="s">
        <v>238</v>
      </c>
      <c r="P1144" t="s">
        <v>9860</v>
      </c>
      <c r="Q1144" t="s">
        <v>9861</v>
      </c>
      <c r="R1144" t="s">
        <v>9862</v>
      </c>
      <c r="T1144" t="s">
        <v>9863</v>
      </c>
      <c r="U1144" t="s">
        <v>506</v>
      </c>
      <c r="V1144" s="8" t="str">
        <f>"05751"</f>
        <v>05751</v>
      </c>
      <c r="W1144" t="s">
        <v>118</v>
      </c>
      <c r="Y1144" s="10">
        <v>18024226100</v>
      </c>
      <c r="AA1144">
        <v>721110</v>
      </c>
      <c r="AB1144" t="s">
        <v>7695</v>
      </c>
      <c r="AC1144" t="s">
        <v>1808</v>
      </c>
      <c r="AE1144" t="s">
        <v>9864</v>
      </c>
      <c r="AF1144" t="s">
        <v>9862</v>
      </c>
      <c r="AH1144" t="s">
        <v>9863</v>
      </c>
      <c r="AI1144" t="s">
        <v>506</v>
      </c>
      <c r="AJ1144" s="8" t="str">
        <f>"05751"</f>
        <v>05751</v>
      </c>
      <c r="AK1144" t="s">
        <v>118</v>
      </c>
      <c r="AM1144" s="10">
        <v>18024226100</v>
      </c>
      <c r="AO1144" t="s">
        <v>9865</v>
      </c>
      <c r="AP1144" t="s">
        <v>121</v>
      </c>
      <c r="AQ1144" t="s">
        <v>276</v>
      </c>
      <c r="AR1144" t="s">
        <v>277</v>
      </c>
      <c r="AS1144" t="s">
        <v>278</v>
      </c>
      <c r="AT1144" t="s">
        <v>279</v>
      </c>
      <c r="AU1144" t="s">
        <v>280</v>
      </c>
      <c r="AV1144" t="s">
        <v>281</v>
      </c>
      <c r="AW1144" t="s">
        <v>222</v>
      </c>
      <c r="AX1144" s="8" t="str">
        <f>"01701"</f>
        <v>01701</v>
      </c>
      <c r="AY1144" t="s">
        <v>118</v>
      </c>
      <c r="BA1144" s="10">
        <v>16179399444</v>
      </c>
      <c r="BC1144" t="s">
        <v>282</v>
      </c>
      <c r="BD1144" t="s">
        <v>283</v>
      </c>
      <c r="BE1144" t="s">
        <v>222</v>
      </c>
      <c r="BF1144" t="s">
        <v>284</v>
      </c>
      <c r="BG1144" t="s">
        <v>506</v>
      </c>
      <c r="BH1144" s="1">
        <v>45173.833333333336</v>
      </c>
      <c r="BI1144">
        <v>35</v>
      </c>
      <c r="BJ1144">
        <v>0</v>
      </c>
      <c r="BK1144">
        <v>7</v>
      </c>
      <c r="BL1144">
        <v>7</v>
      </c>
      <c r="BM1144">
        <v>7</v>
      </c>
      <c r="BN1144">
        <v>7</v>
      </c>
      <c r="BO1144">
        <v>7</v>
      </c>
      <c r="BP1144">
        <v>0</v>
      </c>
      <c r="BQ1144" t="str">
        <f>"6:00 AM"</f>
        <v>6:00 AM</v>
      </c>
      <c r="BR1144" t="str">
        <f>"1:00 PM"</f>
        <v>1:00 PM</v>
      </c>
      <c r="BS1144" t="s">
        <v>131</v>
      </c>
      <c r="BT1144">
        <v>0</v>
      </c>
      <c r="BU1144">
        <v>3</v>
      </c>
      <c r="BV1144" t="s">
        <v>114</v>
      </c>
      <c r="BX1144" s="2" t="s">
        <v>9866</v>
      </c>
      <c r="BY1144" t="s">
        <v>9862</v>
      </c>
      <c r="CA1144" t="s">
        <v>9863</v>
      </c>
      <c r="CB1144" t="s">
        <v>506</v>
      </c>
      <c r="CC1144" s="8" t="str">
        <f>"05751"</f>
        <v>05751</v>
      </c>
      <c r="CD1144" t="s">
        <v>8124</v>
      </c>
      <c r="CE1144" t="s">
        <v>523</v>
      </c>
      <c r="CF1144" s="12">
        <v>17.2</v>
      </c>
      <c r="CG1144" s="12">
        <v>35</v>
      </c>
      <c r="CH1144" s="12">
        <v>25.8</v>
      </c>
      <c r="CI1144" s="12">
        <v>52.5</v>
      </c>
      <c r="CJ1144" t="s">
        <v>135</v>
      </c>
      <c r="CK1144" t="s">
        <v>16813</v>
      </c>
      <c r="CL1144" t="s">
        <v>9868</v>
      </c>
      <c r="CO1144" t="s">
        <v>132</v>
      </c>
      <c r="CP1144" t="s">
        <v>136</v>
      </c>
      <c r="CQ1144" t="s">
        <v>114</v>
      </c>
      <c r="CR1144" t="s">
        <v>136</v>
      </c>
      <c r="CS1144" t="s">
        <v>136</v>
      </c>
      <c r="CT1144" t="s">
        <v>136</v>
      </c>
      <c r="CU1144" t="s">
        <v>136</v>
      </c>
      <c r="CV1144" t="s">
        <v>9869</v>
      </c>
      <c r="CW1144" s="10" t="str">
        <f>"+18024226821"</f>
        <v>+18024226821</v>
      </c>
      <c r="CX1144" t="s">
        <v>9865</v>
      </c>
      <c r="CY1144" t="s">
        <v>132</v>
      </c>
      <c r="CZ1144" t="s">
        <v>137</v>
      </c>
      <c r="DA1144" t="s">
        <v>114</v>
      </c>
      <c r="DB1144" t="s">
        <v>114</v>
      </c>
      <c r="DC1144" t="s">
        <v>136</v>
      </c>
      <c r="DD1144" t="s">
        <v>114</v>
      </c>
    </row>
    <row r="1145" spans="1:113" ht="15" customHeight="1" x14ac:dyDescent="0.25">
      <c r="A1145" t="s">
        <v>12972</v>
      </c>
      <c r="B1145" t="s">
        <v>152</v>
      </c>
      <c r="C1145" s="1">
        <v>45173.029303009258</v>
      </c>
      <c r="D1145" s="1">
        <v>45232</v>
      </c>
      <c r="E1145" t="s">
        <v>132</v>
      </c>
      <c r="F1145" t="s">
        <v>10795</v>
      </c>
      <c r="G1145" t="str">
        <f>"37-2012.00"</f>
        <v>37-2012.00</v>
      </c>
      <c r="H1145" t="s">
        <v>205</v>
      </c>
      <c r="I1145">
        <v>100</v>
      </c>
      <c r="J1145">
        <v>100</v>
      </c>
      <c r="K1145" s="1">
        <v>45248</v>
      </c>
      <c r="L1145" s="1">
        <v>45550</v>
      </c>
      <c r="M1145" s="1">
        <v>45248</v>
      </c>
      <c r="N1145" s="1">
        <v>45550</v>
      </c>
      <c r="O1145" t="s">
        <v>238</v>
      </c>
      <c r="P1145" t="s">
        <v>10246</v>
      </c>
      <c r="Q1145" t="s">
        <v>10246</v>
      </c>
      <c r="R1145" t="s">
        <v>10247</v>
      </c>
      <c r="S1145" t="s">
        <v>10796</v>
      </c>
      <c r="T1145" t="s">
        <v>2773</v>
      </c>
      <c r="U1145" t="s">
        <v>140</v>
      </c>
      <c r="V1145" s="8" t="str">
        <f>"32408"</f>
        <v>32408</v>
      </c>
      <c r="W1145" t="s">
        <v>118</v>
      </c>
      <c r="Y1145" s="10">
        <v>17864929774</v>
      </c>
      <c r="AA1145">
        <v>561720</v>
      </c>
      <c r="AB1145" t="s">
        <v>10248</v>
      </c>
      <c r="AC1145" t="s">
        <v>10249</v>
      </c>
      <c r="AE1145" t="s">
        <v>629</v>
      </c>
      <c r="AF1145" t="s">
        <v>10247</v>
      </c>
      <c r="AH1145" t="s">
        <v>2773</v>
      </c>
      <c r="AI1145" t="s">
        <v>140</v>
      </c>
      <c r="AJ1145" s="8" t="str">
        <f>"32408"</f>
        <v>32408</v>
      </c>
      <c r="AK1145" t="s">
        <v>118</v>
      </c>
      <c r="AM1145" s="10">
        <v>17864929774</v>
      </c>
      <c r="AO1145" t="s">
        <v>10250</v>
      </c>
      <c r="AX1145" s="8" t="str">
        <f>""</f>
        <v/>
      </c>
      <c r="BG1145" t="s">
        <v>375</v>
      </c>
      <c r="BH1145" s="1">
        <v>45172.833333333336</v>
      </c>
      <c r="BI1145">
        <v>35</v>
      </c>
      <c r="BJ1145">
        <v>5</v>
      </c>
      <c r="BK1145">
        <v>5</v>
      </c>
      <c r="BL1145">
        <v>5</v>
      </c>
      <c r="BM1145">
        <v>5</v>
      </c>
      <c r="BN1145">
        <v>5</v>
      </c>
      <c r="BO1145">
        <v>5</v>
      </c>
      <c r="BP1145">
        <v>5</v>
      </c>
      <c r="BQ1145" t="str">
        <f>"8:00 AM"</f>
        <v>8:00 AM</v>
      </c>
      <c r="BR1145" t="str">
        <f>"4:00 PM"</f>
        <v>4:00 PM</v>
      </c>
      <c r="BS1145" t="s">
        <v>131</v>
      </c>
      <c r="BT1145">
        <v>0</v>
      </c>
      <c r="BU1145">
        <v>1</v>
      </c>
      <c r="BV1145" t="s">
        <v>114</v>
      </c>
      <c r="BX1145" s="2" t="s">
        <v>12973</v>
      </c>
      <c r="BY1145" t="s">
        <v>12974</v>
      </c>
      <c r="CA1145" t="s">
        <v>12975</v>
      </c>
      <c r="CB1145" t="s">
        <v>375</v>
      </c>
      <c r="CC1145" s="8" t="str">
        <f>"28719"</f>
        <v>28719</v>
      </c>
      <c r="CD1145" t="s">
        <v>12976</v>
      </c>
      <c r="CE1145" t="s">
        <v>641</v>
      </c>
      <c r="CF1145" s="12">
        <v>12.36</v>
      </c>
      <c r="CG1145" s="12">
        <v>16</v>
      </c>
      <c r="CH1145" s="12">
        <v>18.54</v>
      </c>
      <c r="CI1145" s="12">
        <v>24</v>
      </c>
      <c r="CJ1145" t="s">
        <v>135</v>
      </c>
      <c r="CK1145" t="s">
        <v>10253</v>
      </c>
      <c r="CL1145" t="s">
        <v>12977</v>
      </c>
      <c r="CO1145" t="s">
        <v>132</v>
      </c>
      <c r="CP1145" t="s">
        <v>136</v>
      </c>
      <c r="CQ1145" t="s">
        <v>114</v>
      </c>
      <c r="CR1145" t="s">
        <v>136</v>
      </c>
      <c r="CS1145" t="s">
        <v>114</v>
      </c>
      <c r="CT1145" t="s">
        <v>136</v>
      </c>
      <c r="CU1145" t="s">
        <v>136</v>
      </c>
      <c r="CV1145" s="2" t="s">
        <v>10255</v>
      </c>
      <c r="CW1145" s="10" t="str">
        <f>"+17869429774"</f>
        <v>+17869429774</v>
      </c>
      <c r="CX1145" t="s">
        <v>10256</v>
      </c>
      <c r="CY1145" t="s">
        <v>132</v>
      </c>
      <c r="CZ1145" t="s">
        <v>137</v>
      </c>
      <c r="DA1145" t="s">
        <v>114</v>
      </c>
      <c r="DB1145" t="s">
        <v>114</v>
      </c>
      <c r="DC1145" t="s">
        <v>136</v>
      </c>
      <c r="DD1145" t="s">
        <v>114</v>
      </c>
    </row>
    <row r="1146" spans="1:113" ht="15" customHeight="1" x14ac:dyDescent="0.25">
      <c r="A1146" t="s">
        <v>15421</v>
      </c>
      <c r="B1146" t="s">
        <v>152</v>
      </c>
      <c r="C1146" s="1">
        <v>45173.005485185182</v>
      </c>
      <c r="D1146" s="1">
        <v>45232</v>
      </c>
      <c r="E1146" t="s">
        <v>132</v>
      </c>
      <c r="F1146" t="s">
        <v>10795</v>
      </c>
      <c r="G1146" t="str">
        <f>"37-2012.00"</f>
        <v>37-2012.00</v>
      </c>
      <c r="H1146" t="s">
        <v>205</v>
      </c>
      <c r="I1146">
        <v>75</v>
      </c>
      <c r="J1146">
        <v>75</v>
      </c>
      <c r="K1146" s="1">
        <v>45248</v>
      </c>
      <c r="L1146" s="1">
        <v>45550</v>
      </c>
      <c r="M1146" s="1">
        <v>45248</v>
      </c>
      <c r="N1146" s="1">
        <v>45550</v>
      </c>
      <c r="O1146" t="s">
        <v>238</v>
      </c>
      <c r="P1146" t="s">
        <v>15422</v>
      </c>
      <c r="Q1146" t="s">
        <v>15422</v>
      </c>
      <c r="R1146" t="s">
        <v>15423</v>
      </c>
      <c r="S1146" t="s">
        <v>14312</v>
      </c>
      <c r="T1146" t="s">
        <v>1309</v>
      </c>
      <c r="U1146" t="s">
        <v>140</v>
      </c>
      <c r="V1146" s="8" t="str">
        <f>"33141"</f>
        <v>33141</v>
      </c>
      <c r="W1146" t="s">
        <v>118</v>
      </c>
      <c r="Y1146" s="10">
        <v>17864929774</v>
      </c>
      <c r="AA1146">
        <v>561720</v>
      </c>
      <c r="AB1146" t="s">
        <v>10248</v>
      </c>
      <c r="AC1146" t="s">
        <v>10249</v>
      </c>
      <c r="AE1146" t="s">
        <v>629</v>
      </c>
      <c r="AF1146" t="s">
        <v>10247</v>
      </c>
      <c r="AH1146" t="s">
        <v>2773</v>
      </c>
      <c r="AI1146" t="s">
        <v>140</v>
      </c>
      <c r="AJ1146" s="8" t="str">
        <f>"32408"</f>
        <v>32408</v>
      </c>
      <c r="AK1146" t="s">
        <v>118</v>
      </c>
      <c r="AM1146" s="10">
        <v>17864929774</v>
      </c>
      <c r="AO1146" t="s">
        <v>10250</v>
      </c>
      <c r="AX1146" s="8" t="str">
        <f>""</f>
        <v/>
      </c>
      <c r="BG1146" t="s">
        <v>333</v>
      </c>
      <c r="BH1146" s="1">
        <v>45169.833333333336</v>
      </c>
      <c r="BI1146">
        <v>35</v>
      </c>
      <c r="BJ1146">
        <v>5</v>
      </c>
      <c r="BK1146">
        <v>5</v>
      </c>
      <c r="BL1146">
        <v>5</v>
      </c>
      <c r="BM1146">
        <v>5</v>
      </c>
      <c r="BN1146">
        <v>5</v>
      </c>
      <c r="BO1146">
        <v>5</v>
      </c>
      <c r="BP1146">
        <v>5</v>
      </c>
      <c r="BQ1146" t="str">
        <f>"8:00 AM"</f>
        <v>8:00 AM</v>
      </c>
      <c r="BR1146" t="str">
        <f>"4:00 PM"</f>
        <v>4:00 PM</v>
      </c>
      <c r="BS1146" t="s">
        <v>131</v>
      </c>
      <c r="BT1146">
        <v>0</v>
      </c>
      <c r="BU1146">
        <v>1</v>
      </c>
      <c r="BV1146" t="s">
        <v>114</v>
      </c>
      <c r="BX1146" s="2" t="s">
        <v>10799</v>
      </c>
      <c r="BY1146" t="s">
        <v>15424</v>
      </c>
      <c r="CA1146" t="s">
        <v>6092</v>
      </c>
      <c r="CB1146" t="s">
        <v>333</v>
      </c>
      <c r="CC1146" s="8" t="str">
        <f>"70601"</f>
        <v>70601</v>
      </c>
      <c r="CD1146" t="s">
        <v>6094</v>
      </c>
      <c r="CE1146" t="s">
        <v>6095</v>
      </c>
      <c r="CF1146" s="12">
        <v>11.07</v>
      </c>
      <c r="CG1146" s="12">
        <v>16</v>
      </c>
      <c r="CH1146" s="12">
        <v>16.61</v>
      </c>
      <c r="CI1146" s="12">
        <v>24</v>
      </c>
      <c r="CJ1146" t="s">
        <v>135</v>
      </c>
      <c r="CK1146" t="s">
        <v>10253</v>
      </c>
      <c r="CL1146" t="s">
        <v>15425</v>
      </c>
      <c r="CO1146" t="s">
        <v>132</v>
      </c>
      <c r="CP1146" t="s">
        <v>136</v>
      </c>
      <c r="CQ1146" t="s">
        <v>114</v>
      </c>
      <c r="CR1146" t="s">
        <v>136</v>
      </c>
      <c r="CS1146" t="s">
        <v>114</v>
      </c>
      <c r="CT1146" t="s">
        <v>136</v>
      </c>
      <c r="CU1146" t="s">
        <v>136</v>
      </c>
      <c r="CV1146" s="2" t="s">
        <v>15426</v>
      </c>
      <c r="CW1146" s="10" t="str">
        <f>"+17869429774"</f>
        <v>+17869429774</v>
      </c>
      <c r="CX1146" t="s">
        <v>10256</v>
      </c>
      <c r="CY1146" t="s">
        <v>132</v>
      </c>
      <c r="CZ1146" t="s">
        <v>137</v>
      </c>
      <c r="DA1146" t="s">
        <v>114</v>
      </c>
      <c r="DB1146" t="s">
        <v>114</v>
      </c>
      <c r="DC1146" t="s">
        <v>136</v>
      </c>
      <c r="DD1146" t="s">
        <v>114</v>
      </c>
    </row>
    <row r="1147" spans="1:113" ht="15" customHeight="1" x14ac:dyDescent="0.25">
      <c r="A1147" t="s">
        <v>22699</v>
      </c>
      <c r="B1147" t="s">
        <v>152</v>
      </c>
      <c r="C1147" s="1">
        <v>45171.7411130787</v>
      </c>
      <c r="D1147" s="1">
        <v>45232</v>
      </c>
      <c r="E1147" t="s">
        <v>132</v>
      </c>
      <c r="F1147" t="s">
        <v>2310</v>
      </c>
      <c r="G1147" t="str">
        <f>"35-2014.00"</f>
        <v>35-2014.00</v>
      </c>
      <c r="H1147" t="s">
        <v>154</v>
      </c>
      <c r="I1147">
        <v>5</v>
      </c>
      <c r="J1147">
        <v>5</v>
      </c>
      <c r="K1147" s="1">
        <v>45261</v>
      </c>
      <c r="L1147" s="1">
        <v>45410</v>
      </c>
      <c r="M1147" s="1">
        <v>45261</v>
      </c>
      <c r="N1147" s="1">
        <v>45410</v>
      </c>
      <c r="O1147" t="s">
        <v>116</v>
      </c>
      <c r="P1147" t="s">
        <v>22700</v>
      </c>
      <c r="Q1147" t="s">
        <v>22701</v>
      </c>
      <c r="R1147" t="s">
        <v>22702</v>
      </c>
      <c r="T1147" t="s">
        <v>22703</v>
      </c>
      <c r="U1147" t="s">
        <v>792</v>
      </c>
      <c r="V1147" s="8" t="str">
        <f>"98022"</f>
        <v>98022</v>
      </c>
      <c r="W1147" t="s">
        <v>118</v>
      </c>
      <c r="Y1147" s="10">
        <v>18332797895</v>
      </c>
      <c r="AA1147">
        <v>71392</v>
      </c>
      <c r="AB1147" t="s">
        <v>22704</v>
      </c>
      <c r="AC1147" t="s">
        <v>5904</v>
      </c>
      <c r="AE1147" t="s">
        <v>405</v>
      </c>
      <c r="AF1147" t="s">
        <v>22702</v>
      </c>
      <c r="AH1147" t="s">
        <v>22703</v>
      </c>
      <c r="AI1147" t="s">
        <v>792</v>
      </c>
      <c r="AJ1147" s="8" t="str">
        <f>"98022"</f>
        <v>98022</v>
      </c>
      <c r="AK1147" t="s">
        <v>118</v>
      </c>
      <c r="AM1147" s="10">
        <v>18332797895</v>
      </c>
      <c r="AO1147" t="s">
        <v>22705</v>
      </c>
      <c r="AP1147" t="s">
        <v>121</v>
      </c>
      <c r="AQ1147" t="s">
        <v>1675</v>
      </c>
      <c r="AR1147" t="s">
        <v>1676</v>
      </c>
      <c r="AS1147" t="s">
        <v>1677</v>
      </c>
      <c r="AT1147" t="s">
        <v>1678</v>
      </c>
      <c r="AU1147" t="s">
        <v>296</v>
      </c>
      <c r="AV1147" t="s">
        <v>1679</v>
      </c>
      <c r="AW1147" t="s">
        <v>402</v>
      </c>
      <c r="AX1147" s="8" t="str">
        <f>"91361"</f>
        <v>91361</v>
      </c>
      <c r="AY1147" t="s">
        <v>118</v>
      </c>
      <c r="BA1147" s="10">
        <v>18052611393</v>
      </c>
      <c r="BC1147" t="s">
        <v>1680</v>
      </c>
      <c r="BD1147" t="s">
        <v>1681</v>
      </c>
      <c r="BE1147" t="s">
        <v>140</v>
      </c>
      <c r="BF1147" t="s">
        <v>146</v>
      </c>
      <c r="BG1147" t="s">
        <v>792</v>
      </c>
      <c r="BH1147" s="1">
        <v>45170.833333333336</v>
      </c>
      <c r="BI1147">
        <v>35</v>
      </c>
      <c r="BJ1147">
        <v>5</v>
      </c>
      <c r="BK1147">
        <v>5</v>
      </c>
      <c r="BL1147">
        <v>5</v>
      </c>
      <c r="BM1147">
        <v>5</v>
      </c>
      <c r="BN1147">
        <v>5</v>
      </c>
      <c r="BO1147">
        <v>5</v>
      </c>
      <c r="BP1147">
        <v>5</v>
      </c>
      <c r="BQ1147" t="str">
        <f>"6:00 AM"</f>
        <v>6:00 AM</v>
      </c>
      <c r="BR1147" t="str">
        <f>"2:00 PM"</f>
        <v>2:00 PM</v>
      </c>
      <c r="BS1147" t="s">
        <v>131</v>
      </c>
      <c r="BT1147">
        <v>0</v>
      </c>
      <c r="BU1147">
        <v>12</v>
      </c>
      <c r="BV1147" t="s">
        <v>114</v>
      </c>
      <c r="BX1147" s="2" t="s">
        <v>22706</v>
      </c>
      <c r="BY1147" t="s">
        <v>22702</v>
      </c>
      <c r="CA1147" t="s">
        <v>22703</v>
      </c>
      <c r="CB1147" t="s">
        <v>792</v>
      </c>
      <c r="CC1147" s="8" t="str">
        <f>"98022"</f>
        <v>98022</v>
      </c>
      <c r="CD1147" t="s">
        <v>6912</v>
      </c>
      <c r="CE1147" t="s">
        <v>9297</v>
      </c>
      <c r="CF1147" s="12">
        <v>20.04</v>
      </c>
      <c r="CG1147" s="12">
        <v>23.99</v>
      </c>
      <c r="CH1147" s="12">
        <v>30.06</v>
      </c>
      <c r="CI1147" s="12">
        <v>35.99</v>
      </c>
      <c r="CJ1147" t="s">
        <v>135</v>
      </c>
      <c r="CK1147" t="s">
        <v>22707</v>
      </c>
      <c r="CL1147" t="s">
        <v>22708</v>
      </c>
      <c r="CO1147" t="s">
        <v>132</v>
      </c>
      <c r="CP1147" t="s">
        <v>114</v>
      </c>
      <c r="CQ1147" t="s">
        <v>136</v>
      </c>
      <c r="CR1147" t="s">
        <v>136</v>
      </c>
      <c r="CS1147" t="s">
        <v>136</v>
      </c>
      <c r="CT1147" t="s">
        <v>136</v>
      </c>
      <c r="CU1147" t="s">
        <v>136</v>
      </c>
      <c r="CV1147" s="2" t="s">
        <v>22709</v>
      </c>
      <c r="CW1147" s="10" t="str">
        <f>"+13606633015"</f>
        <v>+13606633015</v>
      </c>
      <c r="CX1147" t="s">
        <v>22710</v>
      </c>
      <c r="CY1147" t="s">
        <v>132</v>
      </c>
      <c r="CZ1147" t="s">
        <v>137</v>
      </c>
      <c r="DA1147" t="s">
        <v>114</v>
      </c>
      <c r="DB1147" t="s">
        <v>114</v>
      </c>
      <c r="DC1147" t="s">
        <v>136</v>
      </c>
      <c r="DD1147" t="s">
        <v>114</v>
      </c>
    </row>
    <row r="1148" spans="1:113" ht="15" customHeight="1" x14ac:dyDescent="0.25">
      <c r="A1148" t="s">
        <v>15728</v>
      </c>
      <c r="B1148" t="s">
        <v>152</v>
      </c>
      <c r="C1148" s="1">
        <v>45171.078860416666</v>
      </c>
      <c r="D1148" s="1">
        <v>45232</v>
      </c>
      <c r="E1148" t="s">
        <v>132</v>
      </c>
      <c r="F1148" t="s">
        <v>293</v>
      </c>
      <c r="G1148" t="str">
        <f>"37-2012.00"</f>
        <v>37-2012.00</v>
      </c>
      <c r="H1148" t="s">
        <v>205</v>
      </c>
      <c r="I1148">
        <v>35</v>
      </c>
      <c r="J1148">
        <v>35</v>
      </c>
      <c r="K1148" s="1">
        <v>45261</v>
      </c>
      <c r="L1148" s="1">
        <v>45542</v>
      </c>
      <c r="M1148" s="1">
        <v>45261</v>
      </c>
      <c r="N1148" s="1">
        <v>45542</v>
      </c>
      <c r="O1148" t="s">
        <v>116</v>
      </c>
      <c r="P1148" t="s">
        <v>6927</v>
      </c>
      <c r="Q1148" t="s">
        <v>6928</v>
      </c>
      <c r="R1148" t="s">
        <v>6929</v>
      </c>
      <c r="T1148" t="s">
        <v>6930</v>
      </c>
      <c r="U1148" t="s">
        <v>140</v>
      </c>
      <c r="V1148" s="8" t="str">
        <f>"33160"</f>
        <v>33160</v>
      </c>
      <c r="W1148" t="s">
        <v>118</v>
      </c>
      <c r="Y1148" s="10">
        <v>13056925702</v>
      </c>
      <c r="AA1148">
        <v>72111</v>
      </c>
      <c r="AB1148" t="s">
        <v>6931</v>
      </c>
      <c r="AC1148" t="s">
        <v>6141</v>
      </c>
      <c r="AE1148" t="s">
        <v>1104</v>
      </c>
      <c r="AF1148" t="s">
        <v>6929</v>
      </c>
      <c r="AH1148" t="s">
        <v>6930</v>
      </c>
      <c r="AI1148" t="s">
        <v>140</v>
      </c>
      <c r="AJ1148" s="8" t="str">
        <f>"33160"</f>
        <v>33160</v>
      </c>
      <c r="AK1148" t="s">
        <v>118</v>
      </c>
      <c r="AM1148" s="10">
        <v>13056925702</v>
      </c>
      <c r="AO1148" t="s">
        <v>6932</v>
      </c>
      <c r="AP1148" t="s">
        <v>248</v>
      </c>
      <c r="AQ1148" t="s">
        <v>960</v>
      </c>
      <c r="AR1148" t="s">
        <v>961</v>
      </c>
      <c r="AS1148" t="s">
        <v>962</v>
      </c>
      <c r="AT1148" t="s">
        <v>963</v>
      </c>
      <c r="AU1148" t="s">
        <v>296</v>
      </c>
      <c r="AV1148" t="s">
        <v>964</v>
      </c>
      <c r="AW1148" t="s">
        <v>127</v>
      </c>
      <c r="AX1148" s="8" t="str">
        <f>"75033"</f>
        <v>75033</v>
      </c>
      <c r="AY1148" t="s">
        <v>118</v>
      </c>
      <c r="BA1148" s="10">
        <v>19727789690</v>
      </c>
      <c r="BC1148" t="s">
        <v>1837</v>
      </c>
      <c r="BD1148" t="s">
        <v>966</v>
      </c>
      <c r="BG1148" t="s">
        <v>140</v>
      </c>
      <c r="BH1148" s="1">
        <v>45170.833333333336</v>
      </c>
      <c r="BI1148">
        <v>40</v>
      </c>
      <c r="BJ1148">
        <v>8</v>
      </c>
      <c r="BK1148">
        <v>8</v>
      </c>
      <c r="BL1148">
        <v>0</v>
      </c>
      <c r="BM1148">
        <v>8</v>
      </c>
      <c r="BN1148">
        <v>0</v>
      </c>
      <c r="BO1148">
        <v>8</v>
      </c>
      <c r="BP1148">
        <v>8</v>
      </c>
      <c r="BQ1148" t="str">
        <f>"7:00 AM"</f>
        <v>7:00 AM</v>
      </c>
      <c r="BR1148" t="str">
        <f>"3:30 PM"</f>
        <v>3:30 PM</v>
      </c>
      <c r="BS1148" t="s">
        <v>131</v>
      </c>
      <c r="BT1148">
        <v>0</v>
      </c>
      <c r="BU1148">
        <v>2</v>
      </c>
      <c r="BV1148" t="s">
        <v>114</v>
      </c>
      <c r="BX1148" s="2" t="s">
        <v>15729</v>
      </c>
      <c r="BY1148" t="s">
        <v>6929</v>
      </c>
      <c r="CA1148" t="s">
        <v>6930</v>
      </c>
      <c r="CB1148" t="s">
        <v>140</v>
      </c>
      <c r="CC1148" s="8" t="str">
        <f>"33160"</f>
        <v>33160</v>
      </c>
      <c r="CD1148" t="s">
        <v>148</v>
      </c>
      <c r="CE1148" t="s">
        <v>149</v>
      </c>
      <c r="CF1148" s="12">
        <v>13.06</v>
      </c>
      <c r="CG1148" s="12">
        <v>13.06</v>
      </c>
      <c r="CH1148" s="12">
        <v>19.59</v>
      </c>
      <c r="CI1148" s="12">
        <v>19.59</v>
      </c>
      <c r="CJ1148" t="s">
        <v>135</v>
      </c>
      <c r="CK1148" t="s">
        <v>973</v>
      </c>
      <c r="CL1148" t="s">
        <v>15730</v>
      </c>
      <c r="CO1148" t="s">
        <v>132</v>
      </c>
      <c r="CP1148" t="s">
        <v>114</v>
      </c>
      <c r="CQ1148" t="s">
        <v>114</v>
      </c>
      <c r="CR1148" t="s">
        <v>136</v>
      </c>
      <c r="CS1148" t="s">
        <v>136</v>
      </c>
      <c r="CT1148" t="s">
        <v>136</v>
      </c>
      <c r="CU1148" t="s">
        <v>136</v>
      </c>
      <c r="CV1148" s="2" t="s">
        <v>15731</v>
      </c>
      <c r="CW1148" s="10" t="str">
        <f>"+13056925702"</f>
        <v>+13056925702</v>
      </c>
      <c r="CX1148" t="s">
        <v>132</v>
      </c>
      <c r="CY1148" t="s">
        <v>6175</v>
      </c>
      <c r="CZ1148" t="s">
        <v>137</v>
      </c>
      <c r="DA1148" t="s">
        <v>114</v>
      </c>
      <c r="DB1148" t="s">
        <v>136</v>
      </c>
      <c r="DC1148" t="s">
        <v>136</v>
      </c>
      <c r="DD1148" t="s">
        <v>114</v>
      </c>
    </row>
    <row r="1149" spans="1:113" ht="15" customHeight="1" x14ac:dyDescent="0.25">
      <c r="A1149" t="s">
        <v>23337</v>
      </c>
      <c r="B1149" t="s">
        <v>152</v>
      </c>
      <c r="C1149" s="1">
        <v>45171.022022337966</v>
      </c>
      <c r="D1149" s="1">
        <v>45232</v>
      </c>
      <c r="E1149" t="s">
        <v>132</v>
      </c>
      <c r="F1149" t="s">
        <v>1247</v>
      </c>
      <c r="G1149" t="str">
        <f>"45-4011.00"</f>
        <v>45-4011.00</v>
      </c>
      <c r="H1149" t="s">
        <v>842</v>
      </c>
      <c r="I1149">
        <v>12</v>
      </c>
      <c r="J1149">
        <v>12</v>
      </c>
      <c r="K1149" s="1">
        <v>45261</v>
      </c>
      <c r="L1149" s="1">
        <v>45565</v>
      </c>
      <c r="M1149" s="1">
        <v>45261</v>
      </c>
      <c r="N1149" s="1">
        <v>45565</v>
      </c>
      <c r="O1149" t="s">
        <v>116</v>
      </c>
      <c r="P1149" t="s">
        <v>23338</v>
      </c>
      <c r="R1149" t="s">
        <v>23339</v>
      </c>
      <c r="T1149" t="s">
        <v>2447</v>
      </c>
      <c r="U1149" t="s">
        <v>479</v>
      </c>
      <c r="V1149" s="8" t="str">
        <f>"97477"</f>
        <v>97477</v>
      </c>
      <c r="W1149" t="s">
        <v>118</v>
      </c>
      <c r="Y1149" s="10">
        <v>15417260845</v>
      </c>
      <c r="AA1149">
        <v>11531</v>
      </c>
      <c r="AB1149" t="s">
        <v>4167</v>
      </c>
      <c r="AC1149" t="s">
        <v>3029</v>
      </c>
      <c r="AE1149" t="s">
        <v>629</v>
      </c>
      <c r="AF1149" t="s">
        <v>23339</v>
      </c>
      <c r="AH1149" t="s">
        <v>2447</v>
      </c>
      <c r="AI1149" t="s">
        <v>479</v>
      </c>
      <c r="AJ1149" s="8" t="str">
        <f>"97477"</f>
        <v>97477</v>
      </c>
      <c r="AK1149" t="s">
        <v>118</v>
      </c>
      <c r="AM1149" s="10">
        <v>15417260845</v>
      </c>
      <c r="AO1149" t="s">
        <v>23340</v>
      </c>
      <c r="AP1149" t="s">
        <v>248</v>
      </c>
      <c r="AQ1149" t="s">
        <v>1894</v>
      </c>
      <c r="AR1149" t="s">
        <v>1895</v>
      </c>
      <c r="AS1149" t="s">
        <v>132</v>
      </c>
      <c r="AT1149" t="s">
        <v>1032</v>
      </c>
      <c r="AU1149" t="s">
        <v>852</v>
      </c>
      <c r="AV1149" t="s">
        <v>853</v>
      </c>
      <c r="AW1149" t="s">
        <v>854</v>
      </c>
      <c r="AX1149" s="8" t="str">
        <f>"83814"</f>
        <v>83814</v>
      </c>
      <c r="AY1149" t="s">
        <v>118</v>
      </c>
      <c r="BA1149" s="10">
        <v>12087772654</v>
      </c>
      <c r="BC1149" t="s">
        <v>1896</v>
      </c>
      <c r="BD1149" t="s">
        <v>856</v>
      </c>
      <c r="BG1149" t="s">
        <v>479</v>
      </c>
      <c r="BH1149" s="1">
        <v>45169.833333333336</v>
      </c>
      <c r="BI1149">
        <v>40</v>
      </c>
      <c r="BJ1149">
        <v>0</v>
      </c>
      <c r="BK1149">
        <v>8</v>
      </c>
      <c r="BL1149">
        <v>8</v>
      </c>
      <c r="BM1149">
        <v>8</v>
      </c>
      <c r="BN1149">
        <v>8</v>
      </c>
      <c r="BO1149">
        <v>8</v>
      </c>
      <c r="BP1149">
        <v>0</v>
      </c>
      <c r="BQ1149" t="str">
        <f>"6:00 AM"</f>
        <v>6:00 AM</v>
      </c>
      <c r="BR1149" t="str">
        <f>"2:00 PM"</f>
        <v>2:00 PM</v>
      </c>
      <c r="BS1149" t="s">
        <v>131</v>
      </c>
      <c r="BT1149">
        <v>0</v>
      </c>
      <c r="BU1149">
        <v>3</v>
      </c>
      <c r="BV1149" t="s">
        <v>114</v>
      </c>
      <c r="BX1149" s="2" t="s">
        <v>12534</v>
      </c>
      <c r="BY1149" t="s">
        <v>23341</v>
      </c>
      <c r="CA1149" t="s">
        <v>2447</v>
      </c>
      <c r="CB1149" t="s">
        <v>479</v>
      </c>
      <c r="CC1149" s="8" t="str">
        <f>"97477"</f>
        <v>97477</v>
      </c>
      <c r="CD1149" t="s">
        <v>17618</v>
      </c>
      <c r="CE1149" t="s">
        <v>20730</v>
      </c>
      <c r="CF1149" s="12">
        <v>17.920000000000002</v>
      </c>
      <c r="CG1149" s="12">
        <v>24</v>
      </c>
      <c r="CH1149" s="12">
        <v>26.88</v>
      </c>
      <c r="CI1149" s="12">
        <v>36</v>
      </c>
      <c r="CJ1149" t="s">
        <v>135</v>
      </c>
      <c r="CK1149" t="s">
        <v>23342</v>
      </c>
      <c r="CL1149" t="s">
        <v>23343</v>
      </c>
      <c r="CO1149" t="s">
        <v>132</v>
      </c>
      <c r="CP1149" t="s">
        <v>136</v>
      </c>
      <c r="CQ1149" t="s">
        <v>136</v>
      </c>
      <c r="CR1149" t="s">
        <v>136</v>
      </c>
      <c r="CS1149" t="s">
        <v>114</v>
      </c>
      <c r="CT1149" t="s">
        <v>136</v>
      </c>
      <c r="CU1149" t="s">
        <v>136</v>
      </c>
      <c r="CV1149" t="s">
        <v>1040</v>
      </c>
      <c r="CW1149" s="10" t="str">
        <f>"+15419538212"</f>
        <v>+15419538212</v>
      </c>
      <c r="CX1149" t="s">
        <v>23344</v>
      </c>
      <c r="CY1149" t="s">
        <v>132</v>
      </c>
      <c r="CZ1149" t="s">
        <v>137</v>
      </c>
      <c r="DA1149" t="s">
        <v>114</v>
      </c>
      <c r="DB1149" t="s">
        <v>136</v>
      </c>
      <c r="DC1149" t="s">
        <v>136</v>
      </c>
      <c r="DD1149" t="s">
        <v>114</v>
      </c>
    </row>
    <row r="1150" spans="1:113" ht="15" customHeight="1" x14ac:dyDescent="0.25">
      <c r="A1150" t="s">
        <v>23169</v>
      </c>
      <c r="B1150" t="s">
        <v>152</v>
      </c>
      <c r="C1150" s="1">
        <v>45171.001338657406</v>
      </c>
      <c r="D1150" s="1">
        <v>45232</v>
      </c>
      <c r="E1150" t="s">
        <v>132</v>
      </c>
      <c r="F1150" t="s">
        <v>2715</v>
      </c>
      <c r="G1150" t="str">
        <f>"39-3091.00"</f>
        <v>39-3091.00</v>
      </c>
      <c r="H1150" t="s">
        <v>237</v>
      </c>
      <c r="I1150">
        <v>10</v>
      </c>
      <c r="J1150">
        <v>10</v>
      </c>
      <c r="K1150" s="1">
        <v>45261</v>
      </c>
      <c r="L1150" s="1">
        <v>45427</v>
      </c>
      <c r="M1150" s="1">
        <v>45261</v>
      </c>
      <c r="N1150" s="1">
        <v>45427</v>
      </c>
      <c r="O1150" t="s">
        <v>238</v>
      </c>
      <c r="P1150" t="s">
        <v>23170</v>
      </c>
      <c r="R1150" t="s">
        <v>23171</v>
      </c>
      <c r="T1150" t="s">
        <v>23172</v>
      </c>
      <c r="U1150" t="s">
        <v>127</v>
      </c>
      <c r="V1150" s="8" t="str">
        <f>"78830"</f>
        <v>78830</v>
      </c>
      <c r="W1150" t="s">
        <v>118</v>
      </c>
      <c r="Y1150" s="10">
        <v>12103801064</v>
      </c>
      <c r="AA1150">
        <v>71399</v>
      </c>
      <c r="AB1150" t="s">
        <v>23173</v>
      </c>
      <c r="AC1150" t="s">
        <v>10784</v>
      </c>
      <c r="AE1150" t="s">
        <v>23174</v>
      </c>
      <c r="AF1150" t="s">
        <v>23171</v>
      </c>
      <c r="AH1150" t="s">
        <v>23172</v>
      </c>
      <c r="AI1150" t="s">
        <v>127</v>
      </c>
      <c r="AJ1150" s="8" t="str">
        <f>"78830"</f>
        <v>78830</v>
      </c>
      <c r="AK1150" t="s">
        <v>118</v>
      </c>
      <c r="AM1150" s="10">
        <v>12103801064</v>
      </c>
      <c r="AO1150" t="s">
        <v>23175</v>
      </c>
      <c r="AP1150" t="s">
        <v>248</v>
      </c>
      <c r="AQ1150" t="s">
        <v>960</v>
      </c>
      <c r="AR1150" t="s">
        <v>961</v>
      </c>
      <c r="AS1150" t="s">
        <v>962</v>
      </c>
      <c r="AT1150" t="s">
        <v>963</v>
      </c>
      <c r="AU1150" t="s">
        <v>296</v>
      </c>
      <c r="AV1150" t="s">
        <v>964</v>
      </c>
      <c r="AW1150" t="s">
        <v>127</v>
      </c>
      <c r="AX1150" s="8" t="str">
        <f>"75033"</f>
        <v>75033</v>
      </c>
      <c r="AY1150" t="s">
        <v>118</v>
      </c>
      <c r="BA1150" s="10">
        <v>19727789690</v>
      </c>
      <c r="BC1150" t="s">
        <v>1388</v>
      </c>
      <c r="BD1150" t="s">
        <v>966</v>
      </c>
      <c r="BG1150" t="s">
        <v>127</v>
      </c>
      <c r="BH1150" s="1">
        <v>45170.833333333336</v>
      </c>
      <c r="BI1150">
        <v>48</v>
      </c>
      <c r="BJ1150">
        <v>8</v>
      </c>
      <c r="BK1150">
        <v>0</v>
      </c>
      <c r="BL1150">
        <v>8</v>
      </c>
      <c r="BM1150">
        <v>8</v>
      </c>
      <c r="BN1150">
        <v>8</v>
      </c>
      <c r="BO1150">
        <v>8</v>
      </c>
      <c r="BP1150">
        <v>8</v>
      </c>
      <c r="BQ1150" t="str">
        <f>"10:00 AM"</f>
        <v>10:00 AM</v>
      </c>
      <c r="BR1150" t="str">
        <f>"7:00 PM"</f>
        <v>7:00 PM</v>
      </c>
      <c r="BS1150" t="s">
        <v>131</v>
      </c>
      <c r="BT1150">
        <v>0</v>
      </c>
      <c r="BU1150">
        <v>0</v>
      </c>
      <c r="BV1150" t="s">
        <v>114</v>
      </c>
      <c r="BX1150" s="2" t="s">
        <v>23176</v>
      </c>
      <c r="BY1150" t="s">
        <v>23177</v>
      </c>
      <c r="CA1150" t="s">
        <v>3400</v>
      </c>
      <c r="CB1150" t="s">
        <v>127</v>
      </c>
      <c r="CC1150" s="8" t="str">
        <f>"78666"</f>
        <v>78666</v>
      </c>
      <c r="CD1150" t="s">
        <v>5800</v>
      </c>
      <c r="CE1150" t="s">
        <v>324</v>
      </c>
      <c r="CF1150" s="12">
        <v>9.9700000000000006</v>
      </c>
      <c r="CG1150" s="12">
        <v>11.5</v>
      </c>
      <c r="CJ1150" t="s">
        <v>135</v>
      </c>
      <c r="CK1150" t="s">
        <v>3772</v>
      </c>
      <c r="CL1150" t="s">
        <v>23178</v>
      </c>
      <c r="CO1150" t="s">
        <v>132</v>
      </c>
      <c r="CP1150" t="s">
        <v>136</v>
      </c>
      <c r="CQ1150" t="s">
        <v>136</v>
      </c>
      <c r="CR1150" t="s">
        <v>114</v>
      </c>
      <c r="CS1150" t="s">
        <v>136</v>
      </c>
      <c r="CT1150" t="s">
        <v>136</v>
      </c>
      <c r="CU1150" t="s">
        <v>136</v>
      </c>
      <c r="CV1150" t="s">
        <v>23179</v>
      </c>
      <c r="CW1150" s="10" t="str">
        <f>"+12103801064"</f>
        <v>+12103801064</v>
      </c>
      <c r="CX1150" t="s">
        <v>132</v>
      </c>
      <c r="CY1150" t="s">
        <v>1853</v>
      </c>
      <c r="CZ1150" t="s">
        <v>137</v>
      </c>
      <c r="DA1150" t="s">
        <v>114</v>
      </c>
      <c r="DB1150" t="s">
        <v>136</v>
      </c>
      <c r="DC1150" t="s">
        <v>136</v>
      </c>
      <c r="DD1150" t="s">
        <v>114</v>
      </c>
    </row>
    <row r="1151" spans="1:113" ht="15" customHeight="1" x14ac:dyDescent="0.25">
      <c r="A1151" t="s">
        <v>17109</v>
      </c>
      <c r="B1151" t="s">
        <v>152</v>
      </c>
      <c r="C1151" s="1">
        <v>45167.917521643518</v>
      </c>
      <c r="D1151" s="1">
        <v>45232</v>
      </c>
      <c r="E1151" t="s">
        <v>114</v>
      </c>
      <c r="F1151" t="s">
        <v>17110</v>
      </c>
      <c r="G1151" t="str">
        <f>"37-2011.00"</f>
        <v>37-2011.00</v>
      </c>
      <c r="H1151" t="s">
        <v>1089</v>
      </c>
      <c r="I1151">
        <v>6</v>
      </c>
      <c r="J1151">
        <v>6</v>
      </c>
      <c r="K1151" s="1">
        <v>45257</v>
      </c>
      <c r="L1151" s="1">
        <v>45396</v>
      </c>
      <c r="M1151" s="1">
        <v>45257</v>
      </c>
      <c r="N1151" s="1">
        <v>45396</v>
      </c>
      <c r="O1151" t="s">
        <v>116</v>
      </c>
      <c r="P1151" t="s">
        <v>4360</v>
      </c>
      <c r="Q1151" t="s">
        <v>4361</v>
      </c>
      <c r="R1151" t="s">
        <v>4362</v>
      </c>
      <c r="S1151" t="s">
        <v>4363</v>
      </c>
      <c r="T1151" t="s">
        <v>210</v>
      </c>
      <c r="U1151" t="s">
        <v>211</v>
      </c>
      <c r="V1151" s="8" t="str">
        <f>"84060"</f>
        <v>84060</v>
      </c>
      <c r="W1151" t="s">
        <v>118</v>
      </c>
      <c r="Y1151" s="10">
        <v>14356456653</v>
      </c>
      <c r="AA1151">
        <v>72111</v>
      </c>
      <c r="AB1151" t="s">
        <v>4364</v>
      </c>
      <c r="AC1151" t="s">
        <v>4365</v>
      </c>
      <c r="AE1151" t="s">
        <v>2016</v>
      </c>
      <c r="AF1151" t="s">
        <v>4366</v>
      </c>
      <c r="AG1151" t="s">
        <v>4362</v>
      </c>
      <c r="AH1151" t="s">
        <v>210</v>
      </c>
      <c r="AI1151" t="s">
        <v>211</v>
      </c>
      <c r="AJ1151" s="8" t="str">
        <f>"84060"</f>
        <v>84060</v>
      </c>
      <c r="AK1151" t="s">
        <v>118</v>
      </c>
      <c r="AM1151" s="10">
        <v>14356456653</v>
      </c>
      <c r="AO1151" t="s">
        <v>4367</v>
      </c>
      <c r="AP1151" t="s">
        <v>121</v>
      </c>
      <c r="AQ1151" t="s">
        <v>1675</v>
      </c>
      <c r="AR1151" t="s">
        <v>1676</v>
      </c>
      <c r="AS1151" t="s">
        <v>1677</v>
      </c>
      <c r="AT1151" t="s">
        <v>1678</v>
      </c>
      <c r="AU1151" t="s">
        <v>296</v>
      </c>
      <c r="AV1151" t="s">
        <v>1679</v>
      </c>
      <c r="AW1151" t="s">
        <v>402</v>
      </c>
      <c r="AX1151" s="8" t="str">
        <f>"91361"</f>
        <v>91361</v>
      </c>
      <c r="AY1151" t="s">
        <v>118</v>
      </c>
      <c r="BA1151" s="10">
        <v>18052611393</v>
      </c>
      <c r="BC1151" t="s">
        <v>1680</v>
      </c>
      <c r="BD1151" t="s">
        <v>1681</v>
      </c>
      <c r="BE1151" t="s">
        <v>140</v>
      </c>
      <c r="BF1151" t="s">
        <v>146</v>
      </c>
      <c r="BG1151" t="s">
        <v>211</v>
      </c>
      <c r="BH1151" s="1">
        <v>45158.833333333336</v>
      </c>
      <c r="BI1151">
        <v>35</v>
      </c>
      <c r="BJ1151">
        <v>5</v>
      </c>
      <c r="BK1151">
        <v>5</v>
      </c>
      <c r="BL1151">
        <v>5</v>
      </c>
      <c r="BM1151">
        <v>5</v>
      </c>
      <c r="BN1151">
        <v>5</v>
      </c>
      <c r="BO1151">
        <v>5</v>
      </c>
      <c r="BP1151">
        <v>5</v>
      </c>
      <c r="BQ1151" t="str">
        <f>"3:00 PM"</f>
        <v>3:00 PM</v>
      </c>
      <c r="BR1151" t="str">
        <f>"11:30 PM"</f>
        <v>11:30 PM</v>
      </c>
      <c r="BS1151" t="s">
        <v>131</v>
      </c>
      <c r="BT1151">
        <v>0</v>
      </c>
      <c r="BU1151">
        <v>0</v>
      </c>
      <c r="BV1151" t="s">
        <v>114</v>
      </c>
      <c r="BX1151" s="2" t="s">
        <v>17111</v>
      </c>
      <c r="BY1151" t="s">
        <v>4362</v>
      </c>
      <c r="CA1151" t="s">
        <v>210</v>
      </c>
      <c r="CB1151" t="s">
        <v>211</v>
      </c>
      <c r="CC1151" s="8" t="str">
        <f>"84060"</f>
        <v>84060</v>
      </c>
      <c r="CD1151" t="s">
        <v>228</v>
      </c>
      <c r="CE1151" t="s">
        <v>229</v>
      </c>
      <c r="CF1151" s="12">
        <v>15.17</v>
      </c>
      <c r="CG1151" s="12">
        <v>25.32</v>
      </c>
      <c r="CH1151" s="12">
        <v>22.76</v>
      </c>
      <c r="CI1151" s="12">
        <v>37.979999999999997</v>
      </c>
      <c r="CJ1151" t="s">
        <v>135</v>
      </c>
      <c r="CK1151" t="s">
        <v>4369</v>
      </c>
      <c r="CL1151" t="s">
        <v>17112</v>
      </c>
      <c r="CO1151" t="s">
        <v>132</v>
      </c>
      <c r="CP1151" t="s">
        <v>136</v>
      </c>
      <c r="CQ1151" t="s">
        <v>114</v>
      </c>
      <c r="CR1151" t="s">
        <v>136</v>
      </c>
      <c r="CS1151" t="s">
        <v>136</v>
      </c>
      <c r="CT1151" t="s">
        <v>136</v>
      </c>
      <c r="CU1151" t="s">
        <v>136</v>
      </c>
      <c r="CV1151" t="s">
        <v>17113</v>
      </c>
      <c r="CW1151" s="10" t="str">
        <f>"+14357773074"</f>
        <v>+14357773074</v>
      </c>
      <c r="CX1151" t="s">
        <v>17114</v>
      </c>
      <c r="CY1151" t="s">
        <v>132</v>
      </c>
      <c r="CZ1151" t="s">
        <v>137</v>
      </c>
      <c r="DA1151" t="s">
        <v>114</v>
      </c>
      <c r="DB1151" t="s">
        <v>114</v>
      </c>
      <c r="DC1151" t="s">
        <v>136</v>
      </c>
      <c r="DD1151" t="s">
        <v>114</v>
      </c>
    </row>
    <row r="1152" spans="1:113" ht="15" customHeight="1" x14ac:dyDescent="0.25">
      <c r="A1152" t="s">
        <v>622</v>
      </c>
      <c r="B1152" t="s">
        <v>152</v>
      </c>
      <c r="C1152" s="1">
        <v>45167.496797337961</v>
      </c>
      <c r="D1152" s="1">
        <v>45232</v>
      </c>
      <c r="E1152" t="s">
        <v>136</v>
      </c>
      <c r="F1152" t="s">
        <v>623</v>
      </c>
      <c r="G1152" t="str">
        <f>"37-3011.00"</f>
        <v>37-3011.00</v>
      </c>
      <c r="H1152" t="s">
        <v>429</v>
      </c>
      <c r="I1152">
        <v>28</v>
      </c>
      <c r="J1152">
        <v>28</v>
      </c>
      <c r="K1152" s="1">
        <v>45242</v>
      </c>
      <c r="L1152" s="1">
        <v>45534</v>
      </c>
      <c r="M1152" s="1">
        <v>45242</v>
      </c>
      <c r="N1152" s="1">
        <v>45534</v>
      </c>
      <c r="O1152" t="s">
        <v>238</v>
      </c>
      <c r="P1152" t="s">
        <v>624</v>
      </c>
      <c r="R1152" t="s">
        <v>625</v>
      </c>
      <c r="T1152" t="s">
        <v>626</v>
      </c>
      <c r="U1152" t="s">
        <v>550</v>
      </c>
      <c r="V1152" s="8" t="str">
        <f>"30907"</f>
        <v>30907</v>
      </c>
      <c r="W1152" t="s">
        <v>118</v>
      </c>
      <c r="Y1152" s="10">
        <v>12704429723</v>
      </c>
      <c r="AA1152">
        <v>71391</v>
      </c>
      <c r="AB1152" t="s">
        <v>627</v>
      </c>
      <c r="AC1152" t="s">
        <v>144</v>
      </c>
      <c r="AD1152" t="s">
        <v>628</v>
      </c>
      <c r="AE1152" t="s">
        <v>629</v>
      </c>
      <c r="AF1152" t="s">
        <v>625</v>
      </c>
      <c r="AH1152" t="s">
        <v>626</v>
      </c>
      <c r="AI1152" t="s">
        <v>550</v>
      </c>
      <c r="AJ1152" s="8" t="str">
        <f>"30907"</f>
        <v>30907</v>
      </c>
      <c r="AK1152" t="s">
        <v>118</v>
      </c>
      <c r="AM1152" s="10">
        <v>12704429723</v>
      </c>
      <c r="AO1152" t="s">
        <v>630</v>
      </c>
      <c r="AP1152" t="s">
        <v>121</v>
      </c>
      <c r="AQ1152" t="s">
        <v>587</v>
      </c>
      <c r="AR1152" t="s">
        <v>278</v>
      </c>
      <c r="AS1152" t="s">
        <v>631</v>
      </c>
      <c r="AT1152" t="s">
        <v>632</v>
      </c>
      <c r="AU1152" t="s">
        <v>633</v>
      </c>
      <c r="AV1152" t="s">
        <v>634</v>
      </c>
      <c r="AW1152" t="s">
        <v>375</v>
      </c>
      <c r="AX1152" s="8" t="str">
        <f>"28328"</f>
        <v>28328</v>
      </c>
      <c r="AY1152" t="s">
        <v>118</v>
      </c>
      <c r="BA1152" s="10">
        <v>19105924121</v>
      </c>
      <c r="BC1152" t="s">
        <v>635</v>
      </c>
      <c r="BD1152" t="s">
        <v>636</v>
      </c>
      <c r="BE1152" t="s">
        <v>375</v>
      </c>
      <c r="BF1152" t="s">
        <v>172</v>
      </c>
      <c r="BG1152" t="s">
        <v>375</v>
      </c>
      <c r="BH1152" s="1">
        <v>45166.833333333336</v>
      </c>
      <c r="BI1152">
        <v>40</v>
      </c>
      <c r="BJ1152">
        <v>0</v>
      </c>
      <c r="BK1152">
        <v>7</v>
      </c>
      <c r="BL1152">
        <v>7</v>
      </c>
      <c r="BM1152">
        <v>7</v>
      </c>
      <c r="BN1152">
        <v>7</v>
      </c>
      <c r="BO1152">
        <v>7</v>
      </c>
      <c r="BP1152">
        <v>5</v>
      </c>
      <c r="BQ1152" t="str">
        <f>"8:00 AM"</f>
        <v>8:00 AM</v>
      </c>
      <c r="BR1152" t="str">
        <f>"4:00 PM"</f>
        <v>4:00 PM</v>
      </c>
      <c r="BS1152" t="s">
        <v>131</v>
      </c>
      <c r="BT1152">
        <v>0</v>
      </c>
      <c r="BU1152">
        <v>3</v>
      </c>
      <c r="BV1152" t="s">
        <v>114</v>
      </c>
      <c r="BX1152" s="2" t="s">
        <v>637</v>
      </c>
      <c r="BY1152" t="s">
        <v>638</v>
      </c>
      <c r="CA1152" t="s">
        <v>639</v>
      </c>
      <c r="CB1152" t="s">
        <v>375</v>
      </c>
      <c r="CC1152" s="8" t="str">
        <f>"28604"</f>
        <v>28604</v>
      </c>
      <c r="CD1152" t="s">
        <v>640</v>
      </c>
      <c r="CE1152" t="s">
        <v>641</v>
      </c>
      <c r="CF1152" s="12">
        <v>14.48</v>
      </c>
      <c r="CG1152" s="12">
        <v>14.48</v>
      </c>
      <c r="CH1152" s="12">
        <v>21.72</v>
      </c>
      <c r="CI1152" s="12">
        <v>21.72</v>
      </c>
      <c r="CJ1152" t="s">
        <v>135</v>
      </c>
      <c r="CK1152" t="s">
        <v>642</v>
      </c>
      <c r="CL1152" t="s">
        <v>643</v>
      </c>
      <c r="CO1152" t="s">
        <v>132</v>
      </c>
      <c r="CP1152" t="s">
        <v>136</v>
      </c>
      <c r="CQ1152" t="s">
        <v>114</v>
      </c>
      <c r="CR1152" t="s">
        <v>136</v>
      </c>
      <c r="CS1152" t="s">
        <v>114</v>
      </c>
      <c r="CT1152" t="s">
        <v>136</v>
      </c>
      <c r="CU1152" t="s">
        <v>136</v>
      </c>
      <c r="CV1152" t="s">
        <v>644</v>
      </c>
      <c r="CW1152" s="10" t="str">
        <f>"+12704429723"</f>
        <v>+12704429723</v>
      </c>
      <c r="CX1152" t="s">
        <v>630</v>
      </c>
      <c r="CY1152" t="s">
        <v>645</v>
      </c>
      <c r="CZ1152" t="s">
        <v>137</v>
      </c>
      <c r="DA1152" t="s">
        <v>114</v>
      </c>
      <c r="DB1152" t="s">
        <v>136</v>
      </c>
      <c r="DC1152" t="s">
        <v>136</v>
      </c>
      <c r="DD1152" t="s">
        <v>114</v>
      </c>
    </row>
    <row r="1153" spans="1:113" ht="15" customHeight="1" x14ac:dyDescent="0.25">
      <c r="A1153" t="s">
        <v>4192</v>
      </c>
      <c r="B1153" t="s">
        <v>152</v>
      </c>
      <c r="C1153" s="1">
        <v>45160.689896412034</v>
      </c>
      <c r="D1153" s="1">
        <v>45232</v>
      </c>
      <c r="E1153" t="s">
        <v>114</v>
      </c>
      <c r="F1153" t="s">
        <v>4193</v>
      </c>
      <c r="G1153" t="str">
        <f>"37-2011.00"</f>
        <v>37-2011.00</v>
      </c>
      <c r="H1153" t="s">
        <v>1089</v>
      </c>
      <c r="I1153">
        <v>15</v>
      </c>
      <c r="J1153">
        <v>15</v>
      </c>
      <c r="K1153" s="1">
        <v>45250</v>
      </c>
      <c r="L1153" s="1">
        <v>45382</v>
      </c>
      <c r="M1153" s="1">
        <v>45250</v>
      </c>
      <c r="N1153" s="1">
        <v>45382</v>
      </c>
      <c r="O1153" t="s">
        <v>238</v>
      </c>
      <c r="P1153" t="s">
        <v>4194</v>
      </c>
      <c r="R1153" t="s">
        <v>4195</v>
      </c>
      <c r="T1153" t="s">
        <v>2730</v>
      </c>
      <c r="U1153" t="s">
        <v>358</v>
      </c>
      <c r="V1153" s="8" t="str">
        <f>"10603"</f>
        <v>10603</v>
      </c>
      <c r="W1153" t="s">
        <v>118</v>
      </c>
      <c r="Y1153" s="10">
        <v>19149466666</v>
      </c>
      <c r="AA1153">
        <v>56173</v>
      </c>
      <c r="AB1153" t="s">
        <v>4196</v>
      </c>
      <c r="AC1153" t="s">
        <v>2022</v>
      </c>
      <c r="AE1153" t="s">
        <v>378</v>
      </c>
      <c r="AF1153" t="s">
        <v>4195</v>
      </c>
      <c r="AH1153" t="s">
        <v>2730</v>
      </c>
      <c r="AI1153" t="s">
        <v>358</v>
      </c>
      <c r="AJ1153" s="8" t="str">
        <f>"10603"</f>
        <v>10603</v>
      </c>
      <c r="AK1153" t="s">
        <v>118</v>
      </c>
      <c r="AM1153" s="10">
        <v>19149466666</v>
      </c>
      <c r="AO1153" t="s">
        <v>4197</v>
      </c>
      <c r="AP1153" t="s">
        <v>121</v>
      </c>
      <c r="AQ1153" t="s">
        <v>4198</v>
      </c>
      <c r="AR1153" t="s">
        <v>4199</v>
      </c>
      <c r="AT1153" t="s">
        <v>4200</v>
      </c>
      <c r="AU1153" t="s">
        <v>4201</v>
      </c>
      <c r="AV1153" t="s">
        <v>1220</v>
      </c>
      <c r="AW1153" t="s">
        <v>358</v>
      </c>
      <c r="AX1153" s="8" t="str">
        <f>"10007"</f>
        <v>10007</v>
      </c>
      <c r="AY1153" t="s">
        <v>118</v>
      </c>
      <c r="BA1153" s="10">
        <v>12122338100</v>
      </c>
      <c r="BC1153" t="s">
        <v>4202</v>
      </c>
      <c r="BD1153" t="s">
        <v>4203</v>
      </c>
      <c r="BE1153" t="s">
        <v>222</v>
      </c>
      <c r="BF1153" t="s">
        <v>284</v>
      </c>
      <c r="BG1153" t="s">
        <v>358</v>
      </c>
      <c r="BH1153" s="1">
        <v>45153.833333333336</v>
      </c>
      <c r="BI1153">
        <v>40</v>
      </c>
      <c r="BJ1153">
        <v>8</v>
      </c>
      <c r="BK1153">
        <v>0</v>
      </c>
      <c r="BL1153">
        <v>0</v>
      </c>
      <c r="BM1153">
        <v>8</v>
      </c>
      <c r="BN1153">
        <v>8</v>
      </c>
      <c r="BO1153">
        <v>8</v>
      </c>
      <c r="BP1153">
        <v>8</v>
      </c>
      <c r="BQ1153" t="str">
        <f>"8:00 AM"</f>
        <v>8:00 AM</v>
      </c>
      <c r="BR1153" t="str">
        <f>"4:00 PM"</f>
        <v>4:00 PM</v>
      </c>
      <c r="BS1153" t="s">
        <v>131</v>
      </c>
      <c r="BT1153">
        <v>0</v>
      </c>
      <c r="BU1153">
        <v>0</v>
      </c>
      <c r="BV1153" t="s">
        <v>114</v>
      </c>
      <c r="BX1153" s="2" t="s">
        <v>4204</v>
      </c>
      <c r="BY1153" t="s">
        <v>4205</v>
      </c>
      <c r="CA1153" t="s">
        <v>2730</v>
      </c>
      <c r="CB1153" t="s">
        <v>358</v>
      </c>
      <c r="CC1153" s="8" t="str">
        <f>"10603"</f>
        <v>10603</v>
      </c>
      <c r="CD1153" t="s">
        <v>1417</v>
      </c>
      <c r="CE1153" t="s">
        <v>1418</v>
      </c>
      <c r="CF1153" s="12">
        <v>19.940000000000001</v>
      </c>
      <c r="CH1153" s="12">
        <v>29.91</v>
      </c>
      <c r="CJ1153" t="s">
        <v>135</v>
      </c>
      <c r="CL1153" t="s">
        <v>4206</v>
      </c>
      <c r="CO1153" t="s">
        <v>132</v>
      </c>
      <c r="CP1153" t="s">
        <v>136</v>
      </c>
      <c r="CQ1153" t="s">
        <v>136</v>
      </c>
      <c r="CR1153" t="s">
        <v>136</v>
      </c>
      <c r="CS1153" t="s">
        <v>114</v>
      </c>
      <c r="CT1153" t="s">
        <v>136</v>
      </c>
      <c r="CU1153" t="s">
        <v>114</v>
      </c>
      <c r="CV1153" t="s">
        <v>132</v>
      </c>
      <c r="CW1153" s="10" t="str">
        <f>"+19149553910"</f>
        <v>+19149553910</v>
      </c>
      <c r="CX1153" t="s">
        <v>4197</v>
      </c>
      <c r="CY1153" t="s">
        <v>132</v>
      </c>
      <c r="CZ1153" t="s">
        <v>137</v>
      </c>
      <c r="DA1153" t="s">
        <v>114</v>
      </c>
      <c r="DB1153" t="s">
        <v>114</v>
      </c>
      <c r="DC1153" t="s">
        <v>136</v>
      </c>
      <c r="DD1153" t="s">
        <v>114</v>
      </c>
    </row>
    <row r="1154" spans="1:113" ht="15" customHeight="1" x14ac:dyDescent="0.25">
      <c r="A1154" t="s">
        <v>499</v>
      </c>
      <c r="B1154" t="s">
        <v>152</v>
      </c>
      <c r="C1154" s="1">
        <v>45160.56882349537</v>
      </c>
      <c r="D1154" s="1">
        <v>45232</v>
      </c>
      <c r="E1154" t="s">
        <v>114</v>
      </c>
      <c r="F1154" t="s">
        <v>500</v>
      </c>
      <c r="G1154" t="str">
        <f>"35-9021.00"</f>
        <v>35-9021.00</v>
      </c>
      <c r="H1154" t="s">
        <v>501</v>
      </c>
      <c r="I1154">
        <v>10</v>
      </c>
      <c r="J1154">
        <v>10</v>
      </c>
      <c r="K1154" s="1">
        <v>45250</v>
      </c>
      <c r="L1154" s="1">
        <v>45388</v>
      </c>
      <c r="M1154" s="1">
        <v>45250</v>
      </c>
      <c r="N1154" s="1">
        <v>45388</v>
      </c>
      <c r="O1154" t="s">
        <v>116</v>
      </c>
      <c r="P1154" t="s">
        <v>502</v>
      </c>
      <c r="Q1154" t="s">
        <v>503</v>
      </c>
      <c r="R1154" t="s">
        <v>504</v>
      </c>
      <c r="T1154" t="s">
        <v>505</v>
      </c>
      <c r="U1154" t="s">
        <v>506</v>
      </c>
      <c r="V1154" s="8" t="str">
        <f>"05356"</f>
        <v>05356</v>
      </c>
      <c r="W1154" t="s">
        <v>118</v>
      </c>
      <c r="Y1154" s="10">
        <v>13034041800</v>
      </c>
      <c r="AA1154">
        <v>713920</v>
      </c>
      <c r="AB1154" t="s">
        <v>507</v>
      </c>
      <c r="AC1154" t="s">
        <v>508</v>
      </c>
      <c r="AE1154" t="s">
        <v>509</v>
      </c>
      <c r="AF1154" t="s">
        <v>510</v>
      </c>
      <c r="AH1154" t="s">
        <v>511</v>
      </c>
      <c r="AI1154" t="s">
        <v>188</v>
      </c>
      <c r="AJ1154" s="8" t="str">
        <f>"80021"</f>
        <v>80021</v>
      </c>
      <c r="AK1154" t="s">
        <v>118</v>
      </c>
      <c r="AM1154" s="10">
        <v>13034041800</v>
      </c>
      <c r="AO1154" t="s">
        <v>512</v>
      </c>
      <c r="AP1154" t="s">
        <v>121</v>
      </c>
      <c r="AQ1154" t="s">
        <v>513</v>
      </c>
      <c r="AR1154" t="s">
        <v>514</v>
      </c>
      <c r="AS1154" t="s">
        <v>515</v>
      </c>
      <c r="AT1154" t="s">
        <v>516</v>
      </c>
      <c r="AU1154" t="s">
        <v>517</v>
      </c>
      <c r="AV1154" t="s">
        <v>518</v>
      </c>
      <c r="AW1154" t="s">
        <v>402</v>
      </c>
      <c r="AX1154" s="8" t="str">
        <f>"90071"</f>
        <v>90071</v>
      </c>
      <c r="AY1154" t="s">
        <v>118</v>
      </c>
      <c r="BA1154" s="10">
        <v>13108203322</v>
      </c>
      <c r="BC1154" t="s">
        <v>519</v>
      </c>
      <c r="BD1154" t="s">
        <v>520</v>
      </c>
      <c r="BE1154" t="s">
        <v>188</v>
      </c>
      <c r="BF1154" t="s">
        <v>172</v>
      </c>
      <c r="BG1154" t="s">
        <v>506</v>
      </c>
      <c r="BH1154" s="1">
        <v>45159.833333333336</v>
      </c>
      <c r="BI1154">
        <v>35</v>
      </c>
      <c r="BJ1154">
        <v>5</v>
      </c>
      <c r="BK1154">
        <v>5</v>
      </c>
      <c r="BL1154">
        <v>5</v>
      </c>
      <c r="BM1154">
        <v>5</v>
      </c>
      <c r="BN1154">
        <v>5</v>
      </c>
      <c r="BO1154">
        <v>5</v>
      </c>
      <c r="BP1154">
        <v>5</v>
      </c>
      <c r="BQ1154" t="str">
        <f>"7:00 AM"</f>
        <v>7:00 AM</v>
      </c>
      <c r="BR1154" t="str">
        <f>"11:00 PM"</f>
        <v>11:00 PM</v>
      </c>
      <c r="BS1154" t="s">
        <v>131</v>
      </c>
      <c r="BT1154">
        <v>0</v>
      </c>
      <c r="BU1154">
        <v>0</v>
      </c>
      <c r="BV1154" t="s">
        <v>114</v>
      </c>
      <c r="BX1154" s="2" t="s">
        <v>521</v>
      </c>
      <c r="BY1154" t="s">
        <v>504</v>
      </c>
      <c r="CA1154" t="s">
        <v>505</v>
      </c>
      <c r="CB1154" t="s">
        <v>506</v>
      </c>
      <c r="CC1154" s="8" t="str">
        <f>"05356"</f>
        <v>05356</v>
      </c>
      <c r="CD1154" t="s">
        <v>522</v>
      </c>
      <c r="CE1154" t="s">
        <v>523</v>
      </c>
      <c r="CF1154" s="12">
        <v>20</v>
      </c>
      <c r="CH1154" s="12">
        <v>30</v>
      </c>
      <c r="CJ1154" t="s">
        <v>135</v>
      </c>
      <c r="CK1154" t="s">
        <v>524</v>
      </c>
      <c r="CL1154" t="s">
        <v>525</v>
      </c>
      <c r="CO1154" t="s">
        <v>132</v>
      </c>
      <c r="CP1154" t="s">
        <v>114</v>
      </c>
      <c r="CQ1154" t="s">
        <v>114</v>
      </c>
      <c r="CR1154" t="s">
        <v>136</v>
      </c>
      <c r="CS1154" t="s">
        <v>114</v>
      </c>
      <c r="CT1154" t="s">
        <v>136</v>
      </c>
      <c r="CU1154" t="s">
        <v>136</v>
      </c>
      <c r="CV1154" t="s">
        <v>526</v>
      </c>
      <c r="CW1154" s="10" t="str">
        <f>"+13034041800"</f>
        <v>+13034041800</v>
      </c>
      <c r="CX1154" t="s">
        <v>512</v>
      </c>
      <c r="CY1154" t="s">
        <v>132</v>
      </c>
      <c r="CZ1154" t="s">
        <v>137</v>
      </c>
      <c r="DA1154" t="s">
        <v>114</v>
      </c>
      <c r="DB1154" t="s">
        <v>114</v>
      </c>
      <c r="DC1154" t="s">
        <v>136</v>
      </c>
      <c r="DD1154" t="s">
        <v>114</v>
      </c>
      <c r="DE1154" t="s">
        <v>527</v>
      </c>
      <c r="DF1154" t="s">
        <v>528</v>
      </c>
      <c r="DG1154" t="s">
        <v>132</v>
      </c>
      <c r="DH1154" t="s">
        <v>520</v>
      </c>
      <c r="DI1154" t="s">
        <v>529</v>
      </c>
    </row>
    <row r="1155" spans="1:113" ht="15" customHeight="1" x14ac:dyDescent="0.25">
      <c r="A1155" t="s">
        <v>21573</v>
      </c>
      <c r="B1155" t="s">
        <v>152</v>
      </c>
      <c r="C1155" s="1">
        <v>45159.704055439812</v>
      </c>
      <c r="D1155" s="1">
        <v>45232</v>
      </c>
      <c r="E1155" t="s">
        <v>136</v>
      </c>
      <c r="F1155" t="s">
        <v>5534</v>
      </c>
      <c r="G1155" t="str">
        <f>"35-3011.00"</f>
        <v>35-3011.00</v>
      </c>
      <c r="H1155" t="s">
        <v>2902</v>
      </c>
      <c r="I1155">
        <v>2</v>
      </c>
      <c r="J1155">
        <v>2</v>
      </c>
      <c r="K1155" s="1">
        <v>45236</v>
      </c>
      <c r="L1155" s="1">
        <v>45401</v>
      </c>
      <c r="M1155" s="1">
        <v>45236</v>
      </c>
      <c r="N1155" s="1">
        <v>45401</v>
      </c>
      <c r="O1155" t="s">
        <v>116</v>
      </c>
      <c r="P1155" t="s">
        <v>14635</v>
      </c>
      <c r="Q1155" t="s">
        <v>14636</v>
      </c>
      <c r="R1155" t="s">
        <v>6040</v>
      </c>
      <c r="S1155" t="s">
        <v>6041</v>
      </c>
      <c r="T1155" t="s">
        <v>573</v>
      </c>
      <c r="U1155" t="s">
        <v>550</v>
      </c>
      <c r="V1155" s="8" t="str">
        <f>"30346"</f>
        <v>30346</v>
      </c>
      <c r="W1155" t="s">
        <v>118</v>
      </c>
      <c r="Y1155" s="10">
        <v>19709238234</v>
      </c>
      <c r="AA1155">
        <v>721110</v>
      </c>
      <c r="AB1155" t="s">
        <v>14637</v>
      </c>
      <c r="AC1155" t="s">
        <v>2309</v>
      </c>
      <c r="AE1155" t="s">
        <v>1104</v>
      </c>
      <c r="AF1155" t="s">
        <v>14638</v>
      </c>
      <c r="AG1155" t="s">
        <v>14639</v>
      </c>
      <c r="AH1155" t="s">
        <v>4788</v>
      </c>
      <c r="AI1155" t="s">
        <v>188</v>
      </c>
      <c r="AJ1155" s="8" t="str">
        <f>"81615"</f>
        <v>81615</v>
      </c>
      <c r="AK1155" t="s">
        <v>118</v>
      </c>
      <c r="AM1155" s="10">
        <v>19709238234</v>
      </c>
      <c r="AO1155" t="s">
        <v>14640</v>
      </c>
      <c r="AP1155" t="s">
        <v>121</v>
      </c>
      <c r="AQ1155" t="s">
        <v>276</v>
      </c>
      <c r="AR1155" t="s">
        <v>277</v>
      </c>
      <c r="AS1155" t="s">
        <v>278</v>
      </c>
      <c r="AT1155" t="s">
        <v>279</v>
      </c>
      <c r="AU1155" t="s">
        <v>280</v>
      </c>
      <c r="AV1155" t="s">
        <v>281</v>
      </c>
      <c r="AW1155" t="s">
        <v>222</v>
      </c>
      <c r="AX1155" s="8" t="str">
        <f>"01701"</f>
        <v>01701</v>
      </c>
      <c r="AY1155" t="s">
        <v>118</v>
      </c>
      <c r="BA1155" s="10">
        <v>16179399444</v>
      </c>
      <c r="BC1155" t="s">
        <v>282</v>
      </c>
      <c r="BD1155" t="s">
        <v>283</v>
      </c>
      <c r="BE1155" t="s">
        <v>222</v>
      </c>
      <c r="BF1155" t="s">
        <v>284</v>
      </c>
      <c r="BG1155" t="s">
        <v>188</v>
      </c>
      <c r="BH1155" s="1">
        <v>45158.833333333336</v>
      </c>
      <c r="BI1155">
        <v>35</v>
      </c>
      <c r="BJ1155">
        <v>0</v>
      </c>
      <c r="BK1155">
        <v>7</v>
      </c>
      <c r="BL1155">
        <v>7</v>
      </c>
      <c r="BM1155">
        <v>7</v>
      </c>
      <c r="BN1155">
        <v>7</v>
      </c>
      <c r="BO1155">
        <v>7</v>
      </c>
      <c r="BP1155">
        <v>0</v>
      </c>
      <c r="BQ1155" t="str">
        <f>"10:00 AM"</f>
        <v>10:00 AM</v>
      </c>
      <c r="BR1155" t="str">
        <f>"5:00 PM"</f>
        <v>5:00 PM</v>
      </c>
      <c r="BS1155" t="s">
        <v>131</v>
      </c>
      <c r="BT1155">
        <v>0</v>
      </c>
      <c r="BU1155">
        <v>3</v>
      </c>
      <c r="BV1155" t="s">
        <v>114</v>
      </c>
      <c r="BX1155" s="2" t="s">
        <v>21574</v>
      </c>
      <c r="BY1155" t="s">
        <v>14638</v>
      </c>
      <c r="CA1155" t="s">
        <v>4788</v>
      </c>
      <c r="CB1155" t="s">
        <v>188</v>
      </c>
      <c r="CC1155" s="8" t="str">
        <f>"81615"</f>
        <v>81615</v>
      </c>
      <c r="CD1155" t="s">
        <v>4789</v>
      </c>
      <c r="CE1155" t="s">
        <v>1038</v>
      </c>
      <c r="CF1155" s="12">
        <v>20.05</v>
      </c>
      <c r="CH1155" s="12">
        <v>30.08</v>
      </c>
      <c r="CJ1155" t="s">
        <v>135</v>
      </c>
      <c r="CK1155" t="s">
        <v>21575</v>
      </c>
      <c r="CL1155" t="s">
        <v>21576</v>
      </c>
      <c r="CO1155" t="s">
        <v>132</v>
      </c>
      <c r="CP1155" t="s">
        <v>114</v>
      </c>
      <c r="CQ1155" t="s">
        <v>114</v>
      </c>
      <c r="CR1155" t="s">
        <v>136</v>
      </c>
      <c r="CS1155" t="s">
        <v>136</v>
      </c>
      <c r="CT1155" t="s">
        <v>136</v>
      </c>
      <c r="CU1155" t="s">
        <v>136</v>
      </c>
      <c r="CV1155" s="2" t="s">
        <v>21577</v>
      </c>
      <c r="CW1155" s="10" t="str">
        <f>"+19709238234"</f>
        <v>+19709238234</v>
      </c>
      <c r="CX1155" t="s">
        <v>14640</v>
      </c>
      <c r="CY1155" t="s">
        <v>132</v>
      </c>
      <c r="CZ1155" t="s">
        <v>137</v>
      </c>
      <c r="DA1155" t="s">
        <v>114</v>
      </c>
      <c r="DB1155" t="s">
        <v>114</v>
      </c>
      <c r="DC1155" t="s">
        <v>136</v>
      </c>
      <c r="DD1155" t="s">
        <v>114</v>
      </c>
    </row>
    <row r="1156" spans="1:113" ht="15" customHeight="1" x14ac:dyDescent="0.25">
      <c r="A1156" t="s">
        <v>15716</v>
      </c>
      <c r="B1156" t="s">
        <v>152</v>
      </c>
      <c r="C1156" s="1">
        <v>45159.701598032407</v>
      </c>
      <c r="D1156" s="1">
        <v>45232</v>
      </c>
      <c r="E1156" t="s">
        <v>136</v>
      </c>
      <c r="F1156" t="s">
        <v>15717</v>
      </c>
      <c r="G1156" t="str">
        <f>"49-9071.00"</f>
        <v>49-9071.00</v>
      </c>
      <c r="H1156" t="s">
        <v>5714</v>
      </c>
      <c r="I1156">
        <v>3</v>
      </c>
      <c r="J1156">
        <v>3</v>
      </c>
      <c r="K1156" s="1">
        <v>45236</v>
      </c>
      <c r="L1156" s="1">
        <v>45412</v>
      </c>
      <c r="M1156" s="1">
        <v>45236</v>
      </c>
      <c r="N1156" s="1">
        <v>45412</v>
      </c>
      <c r="O1156" t="s">
        <v>116</v>
      </c>
      <c r="P1156" t="s">
        <v>14635</v>
      </c>
      <c r="Q1156" t="s">
        <v>14636</v>
      </c>
      <c r="R1156" t="s">
        <v>6040</v>
      </c>
      <c r="S1156" t="s">
        <v>6041</v>
      </c>
      <c r="T1156" t="s">
        <v>573</v>
      </c>
      <c r="U1156" t="s">
        <v>550</v>
      </c>
      <c r="V1156" s="8" t="str">
        <f>"30346"</f>
        <v>30346</v>
      </c>
      <c r="W1156" t="s">
        <v>118</v>
      </c>
      <c r="Y1156" s="10">
        <v>19709238234</v>
      </c>
      <c r="AA1156">
        <v>721110</v>
      </c>
      <c r="AB1156" t="s">
        <v>14637</v>
      </c>
      <c r="AC1156" t="s">
        <v>2309</v>
      </c>
      <c r="AE1156" t="s">
        <v>1104</v>
      </c>
      <c r="AF1156" t="s">
        <v>14638</v>
      </c>
      <c r="AG1156" t="s">
        <v>14639</v>
      </c>
      <c r="AH1156" t="s">
        <v>4788</v>
      </c>
      <c r="AI1156" t="s">
        <v>188</v>
      </c>
      <c r="AJ1156" s="8" t="str">
        <f>"81615"</f>
        <v>81615</v>
      </c>
      <c r="AK1156" t="s">
        <v>118</v>
      </c>
      <c r="AM1156" s="10">
        <v>19709238234</v>
      </c>
      <c r="AO1156" t="s">
        <v>14640</v>
      </c>
      <c r="AP1156" t="s">
        <v>121</v>
      </c>
      <c r="AQ1156" t="s">
        <v>276</v>
      </c>
      <c r="AR1156" t="s">
        <v>277</v>
      </c>
      <c r="AS1156" t="s">
        <v>278</v>
      </c>
      <c r="AT1156" t="s">
        <v>279</v>
      </c>
      <c r="AU1156" t="s">
        <v>280</v>
      </c>
      <c r="AV1156" t="s">
        <v>281</v>
      </c>
      <c r="AW1156" t="s">
        <v>222</v>
      </c>
      <c r="AX1156" s="8" t="str">
        <f>"01701"</f>
        <v>01701</v>
      </c>
      <c r="AY1156" t="s">
        <v>118</v>
      </c>
      <c r="BA1156" s="10">
        <v>16179399444</v>
      </c>
      <c r="BC1156" t="s">
        <v>282</v>
      </c>
      <c r="BD1156" t="s">
        <v>283</v>
      </c>
      <c r="BE1156" t="s">
        <v>222</v>
      </c>
      <c r="BF1156" t="s">
        <v>284</v>
      </c>
      <c r="BG1156" t="s">
        <v>188</v>
      </c>
      <c r="BH1156" s="1">
        <v>45158.833333333336</v>
      </c>
      <c r="BI1156">
        <v>40</v>
      </c>
      <c r="BJ1156">
        <v>0</v>
      </c>
      <c r="BK1156">
        <v>8</v>
      </c>
      <c r="BL1156">
        <v>8</v>
      </c>
      <c r="BM1156">
        <v>8</v>
      </c>
      <c r="BN1156">
        <v>8</v>
      </c>
      <c r="BO1156">
        <v>8</v>
      </c>
      <c r="BP1156">
        <v>0</v>
      </c>
      <c r="BQ1156" t="str">
        <f>"7:00 AM"</f>
        <v>7:00 AM</v>
      </c>
      <c r="BR1156" t="str">
        <f>"3:00 PM"</f>
        <v>3:00 PM</v>
      </c>
      <c r="BS1156" t="s">
        <v>131</v>
      </c>
      <c r="BT1156">
        <v>0</v>
      </c>
      <c r="BU1156">
        <v>6</v>
      </c>
      <c r="BV1156" t="s">
        <v>114</v>
      </c>
      <c r="BX1156" s="2" t="s">
        <v>15718</v>
      </c>
      <c r="BY1156" t="s">
        <v>14638</v>
      </c>
      <c r="CA1156" t="s">
        <v>4788</v>
      </c>
      <c r="CB1156" t="s">
        <v>188</v>
      </c>
      <c r="CC1156" s="8" t="str">
        <f>"81615"</f>
        <v>81615</v>
      </c>
      <c r="CD1156" t="s">
        <v>4789</v>
      </c>
      <c r="CE1156" t="s">
        <v>1038</v>
      </c>
      <c r="CF1156" s="12">
        <v>22</v>
      </c>
      <c r="CG1156" s="12">
        <v>24</v>
      </c>
      <c r="CH1156" s="12">
        <v>33</v>
      </c>
      <c r="CI1156" s="12">
        <v>36</v>
      </c>
      <c r="CJ1156" t="s">
        <v>135</v>
      </c>
      <c r="CK1156" t="s">
        <v>15719</v>
      </c>
      <c r="CL1156" t="s">
        <v>15720</v>
      </c>
      <c r="CO1156" t="s">
        <v>132</v>
      </c>
      <c r="CP1156" t="s">
        <v>136</v>
      </c>
      <c r="CQ1156" t="s">
        <v>114</v>
      </c>
      <c r="CR1156" t="s">
        <v>136</v>
      </c>
      <c r="CS1156" t="s">
        <v>136</v>
      </c>
      <c r="CT1156" t="s">
        <v>136</v>
      </c>
      <c r="CU1156" t="s">
        <v>136</v>
      </c>
      <c r="CV1156" s="2" t="s">
        <v>15721</v>
      </c>
      <c r="CW1156" s="10" t="str">
        <f>"+19709238234"</f>
        <v>+19709238234</v>
      </c>
      <c r="CX1156" t="s">
        <v>14640</v>
      </c>
      <c r="CY1156" t="s">
        <v>132</v>
      </c>
      <c r="CZ1156" t="s">
        <v>137</v>
      </c>
      <c r="DA1156" t="s">
        <v>114</v>
      </c>
      <c r="DB1156" t="s">
        <v>114</v>
      </c>
      <c r="DC1156" t="s">
        <v>136</v>
      </c>
      <c r="DD1156" t="s">
        <v>114</v>
      </c>
    </row>
    <row r="1157" spans="1:113" ht="15" customHeight="1" x14ac:dyDescent="0.25">
      <c r="A1157" t="s">
        <v>21406</v>
      </c>
      <c r="B1157" t="s">
        <v>152</v>
      </c>
      <c r="C1157" s="1">
        <v>45159.697981018522</v>
      </c>
      <c r="D1157" s="1">
        <v>45232</v>
      </c>
      <c r="E1157" t="s">
        <v>136</v>
      </c>
      <c r="F1157" t="s">
        <v>2512</v>
      </c>
      <c r="G1157" t="str">
        <f>"35-3031.00"</f>
        <v>35-3031.00</v>
      </c>
      <c r="H1157" t="s">
        <v>347</v>
      </c>
      <c r="I1157">
        <v>5</v>
      </c>
      <c r="J1157">
        <v>5</v>
      </c>
      <c r="K1157" s="1">
        <v>45236</v>
      </c>
      <c r="L1157" s="1">
        <v>45401</v>
      </c>
      <c r="M1157" s="1">
        <v>45236</v>
      </c>
      <c r="N1157" s="1">
        <v>45401</v>
      </c>
      <c r="O1157" t="s">
        <v>116</v>
      </c>
      <c r="P1157" t="s">
        <v>14635</v>
      </c>
      <c r="Q1157" t="s">
        <v>14636</v>
      </c>
      <c r="R1157" t="s">
        <v>6040</v>
      </c>
      <c r="S1157" t="s">
        <v>6041</v>
      </c>
      <c r="T1157" t="s">
        <v>573</v>
      </c>
      <c r="U1157" t="s">
        <v>550</v>
      </c>
      <c r="V1157" s="8" t="str">
        <f>"30346"</f>
        <v>30346</v>
      </c>
      <c r="W1157" t="s">
        <v>118</v>
      </c>
      <c r="Y1157" s="10">
        <v>19709238234</v>
      </c>
      <c r="AA1157">
        <v>721110</v>
      </c>
      <c r="AB1157" t="s">
        <v>14637</v>
      </c>
      <c r="AC1157" t="s">
        <v>2309</v>
      </c>
      <c r="AE1157" t="s">
        <v>1104</v>
      </c>
      <c r="AF1157" t="s">
        <v>14638</v>
      </c>
      <c r="AG1157" t="s">
        <v>14639</v>
      </c>
      <c r="AH1157" t="s">
        <v>4788</v>
      </c>
      <c r="AI1157" t="s">
        <v>188</v>
      </c>
      <c r="AJ1157" s="8" t="str">
        <f>"81615"</f>
        <v>81615</v>
      </c>
      <c r="AK1157" t="s">
        <v>118</v>
      </c>
      <c r="AM1157" s="10">
        <v>19709238234</v>
      </c>
      <c r="AO1157" t="s">
        <v>14640</v>
      </c>
      <c r="AP1157" t="s">
        <v>121</v>
      </c>
      <c r="AQ1157" t="s">
        <v>276</v>
      </c>
      <c r="AR1157" t="s">
        <v>277</v>
      </c>
      <c r="AS1157" t="s">
        <v>278</v>
      </c>
      <c r="AT1157" t="s">
        <v>279</v>
      </c>
      <c r="AU1157" t="s">
        <v>280</v>
      </c>
      <c r="AV1157" t="s">
        <v>281</v>
      </c>
      <c r="AW1157" t="s">
        <v>222</v>
      </c>
      <c r="AX1157" s="8" t="str">
        <f>"01701"</f>
        <v>01701</v>
      </c>
      <c r="AY1157" t="s">
        <v>118</v>
      </c>
      <c r="BA1157" s="10">
        <v>16179399444</v>
      </c>
      <c r="BC1157" t="s">
        <v>282</v>
      </c>
      <c r="BD1157" t="s">
        <v>283</v>
      </c>
      <c r="BE1157" t="s">
        <v>222</v>
      </c>
      <c r="BF1157" t="s">
        <v>284</v>
      </c>
      <c r="BG1157" t="s">
        <v>188</v>
      </c>
      <c r="BH1157" s="1">
        <v>45158.833333333336</v>
      </c>
      <c r="BI1157">
        <v>35</v>
      </c>
      <c r="BJ1157">
        <v>0</v>
      </c>
      <c r="BK1157">
        <v>7</v>
      </c>
      <c r="BL1157">
        <v>7</v>
      </c>
      <c r="BM1157">
        <v>7</v>
      </c>
      <c r="BN1157">
        <v>7</v>
      </c>
      <c r="BO1157">
        <v>7</v>
      </c>
      <c r="BP1157">
        <v>0</v>
      </c>
      <c r="BQ1157" t="str">
        <f>"6:00 AM"</f>
        <v>6:00 AM</v>
      </c>
      <c r="BR1157" t="str">
        <f>"1:00 PM"</f>
        <v>1:00 PM</v>
      </c>
      <c r="BS1157" t="s">
        <v>131</v>
      </c>
      <c r="BT1157">
        <v>0</v>
      </c>
      <c r="BU1157">
        <v>3</v>
      </c>
      <c r="BV1157" t="s">
        <v>114</v>
      </c>
      <c r="BX1157" s="2" t="s">
        <v>21407</v>
      </c>
      <c r="BY1157" t="s">
        <v>14638</v>
      </c>
      <c r="CA1157" t="s">
        <v>4788</v>
      </c>
      <c r="CB1157" t="s">
        <v>188</v>
      </c>
      <c r="CC1157" s="8" t="str">
        <f>"81615"</f>
        <v>81615</v>
      </c>
      <c r="CD1157" t="s">
        <v>4789</v>
      </c>
      <c r="CE1157" t="s">
        <v>1038</v>
      </c>
      <c r="CF1157" s="12">
        <v>19.760000000000002</v>
      </c>
      <c r="CH1157" s="12">
        <v>29.64</v>
      </c>
      <c r="CJ1157" t="s">
        <v>135</v>
      </c>
      <c r="CK1157" t="s">
        <v>21408</v>
      </c>
      <c r="CL1157" t="s">
        <v>21409</v>
      </c>
      <c r="CO1157" t="s">
        <v>132</v>
      </c>
      <c r="CP1157" t="s">
        <v>114</v>
      </c>
      <c r="CQ1157" t="s">
        <v>114</v>
      </c>
      <c r="CR1157" t="s">
        <v>136</v>
      </c>
      <c r="CS1157" t="s">
        <v>136</v>
      </c>
      <c r="CT1157" t="s">
        <v>136</v>
      </c>
      <c r="CU1157" t="s">
        <v>136</v>
      </c>
      <c r="CV1157" s="2" t="s">
        <v>14644</v>
      </c>
      <c r="CW1157" s="10" t="str">
        <f>"+19709238234"</f>
        <v>+19709238234</v>
      </c>
      <c r="CX1157" t="s">
        <v>14640</v>
      </c>
      <c r="CY1157" t="s">
        <v>132</v>
      </c>
      <c r="CZ1157" t="s">
        <v>137</v>
      </c>
      <c r="DA1157" t="s">
        <v>114</v>
      </c>
      <c r="DB1157" t="s">
        <v>114</v>
      </c>
      <c r="DC1157" t="s">
        <v>136</v>
      </c>
      <c r="DD1157" t="s">
        <v>114</v>
      </c>
    </row>
    <row r="1158" spans="1:113" ht="15" customHeight="1" x14ac:dyDescent="0.25">
      <c r="A1158" t="s">
        <v>1260</v>
      </c>
      <c r="B1158" t="s">
        <v>152</v>
      </c>
      <c r="C1158" s="1">
        <v>45146.941590740738</v>
      </c>
      <c r="D1158" s="1">
        <v>45232</v>
      </c>
      <c r="E1158" t="s">
        <v>114</v>
      </c>
      <c r="F1158" t="s">
        <v>1261</v>
      </c>
      <c r="G1158" t="str">
        <f>"47-3012.00"</f>
        <v>47-3012.00</v>
      </c>
      <c r="H1158" t="s">
        <v>979</v>
      </c>
      <c r="I1158">
        <v>18</v>
      </c>
      <c r="J1158">
        <v>18</v>
      </c>
      <c r="K1158" s="1">
        <v>45221</v>
      </c>
      <c r="L1158" s="1">
        <v>45291</v>
      </c>
      <c r="M1158" s="1">
        <v>45221</v>
      </c>
      <c r="N1158" s="1">
        <v>45291</v>
      </c>
      <c r="O1158" t="s">
        <v>238</v>
      </c>
      <c r="P1158" t="s">
        <v>1262</v>
      </c>
      <c r="R1158" t="s">
        <v>1263</v>
      </c>
      <c r="T1158" t="s">
        <v>1264</v>
      </c>
      <c r="U1158" t="s">
        <v>127</v>
      </c>
      <c r="V1158" s="8" t="str">
        <f>"75220"</f>
        <v>75220</v>
      </c>
      <c r="W1158" t="s">
        <v>118</v>
      </c>
      <c r="Y1158" s="10">
        <v>13612192261</v>
      </c>
      <c r="AA1158">
        <v>238130</v>
      </c>
      <c r="AB1158" t="s">
        <v>1265</v>
      </c>
      <c r="AC1158" t="s">
        <v>160</v>
      </c>
      <c r="AE1158" t="s">
        <v>629</v>
      </c>
      <c r="AF1158" t="s">
        <v>1266</v>
      </c>
      <c r="AH1158" t="s">
        <v>1264</v>
      </c>
      <c r="AI1158" t="s">
        <v>127</v>
      </c>
      <c r="AJ1158" s="8" t="str">
        <f>"75220"</f>
        <v>75220</v>
      </c>
      <c r="AK1158" t="s">
        <v>118</v>
      </c>
      <c r="AM1158" s="10">
        <v>13612192261</v>
      </c>
      <c r="AO1158" t="s">
        <v>1267</v>
      </c>
      <c r="AP1158" t="s">
        <v>121</v>
      </c>
      <c r="AQ1158" t="s">
        <v>929</v>
      </c>
      <c r="AR1158" t="s">
        <v>930</v>
      </c>
      <c r="AS1158" t="s">
        <v>931</v>
      </c>
      <c r="AT1158" t="s">
        <v>932</v>
      </c>
      <c r="AU1158" t="s">
        <v>132</v>
      </c>
      <c r="AV1158" t="s">
        <v>933</v>
      </c>
      <c r="AW1158" t="s">
        <v>740</v>
      </c>
      <c r="AX1158" s="8" t="str">
        <f>"50010"</f>
        <v>50010</v>
      </c>
      <c r="AY1158" t="s">
        <v>118</v>
      </c>
      <c r="BA1158" s="10">
        <v>15152324444</v>
      </c>
      <c r="BB1158">
        <v>0</v>
      </c>
      <c r="BC1158" t="s">
        <v>934</v>
      </c>
      <c r="BD1158" t="s">
        <v>935</v>
      </c>
      <c r="BE1158" t="s">
        <v>740</v>
      </c>
      <c r="BF1158" t="s">
        <v>172</v>
      </c>
      <c r="BG1158" t="s">
        <v>819</v>
      </c>
      <c r="BH1158" s="1">
        <v>45145.833333333336</v>
      </c>
      <c r="BI1158">
        <v>48</v>
      </c>
      <c r="BJ1158">
        <v>0</v>
      </c>
      <c r="BK1158">
        <v>8</v>
      </c>
      <c r="BL1158">
        <v>8</v>
      </c>
      <c r="BM1158">
        <v>8</v>
      </c>
      <c r="BN1158">
        <v>8</v>
      </c>
      <c r="BO1158">
        <v>8</v>
      </c>
      <c r="BP1158">
        <v>8</v>
      </c>
      <c r="BQ1158" t="str">
        <f>"8:00 AM"</f>
        <v>8:00 AM</v>
      </c>
      <c r="BR1158" t="str">
        <f>"5:00 PM"</f>
        <v>5:00 PM</v>
      </c>
      <c r="BS1158" t="s">
        <v>131</v>
      </c>
      <c r="BT1158">
        <v>0</v>
      </c>
      <c r="BU1158">
        <v>3</v>
      </c>
      <c r="BV1158" t="s">
        <v>114</v>
      </c>
      <c r="BX1158" s="2" t="s">
        <v>1268</v>
      </c>
      <c r="BY1158" t="s">
        <v>1269</v>
      </c>
      <c r="CA1158" t="s">
        <v>1270</v>
      </c>
      <c r="CB1158" t="s">
        <v>819</v>
      </c>
      <c r="CC1158" s="8" t="str">
        <f>"47858"</f>
        <v>47858</v>
      </c>
      <c r="CD1158" t="s">
        <v>1271</v>
      </c>
      <c r="CE1158" t="s">
        <v>1272</v>
      </c>
      <c r="CF1158" s="12">
        <v>15.83</v>
      </c>
      <c r="CH1158" s="12">
        <v>23.75</v>
      </c>
      <c r="CJ1158" t="s">
        <v>135</v>
      </c>
      <c r="CK1158" t="s">
        <v>1273</v>
      </c>
      <c r="CL1158" t="s">
        <v>1274</v>
      </c>
      <c r="CO1158" t="s">
        <v>132</v>
      </c>
      <c r="CP1158" t="s">
        <v>114</v>
      </c>
      <c r="CQ1158" t="s">
        <v>136</v>
      </c>
      <c r="CR1158" t="s">
        <v>136</v>
      </c>
      <c r="CS1158" t="s">
        <v>136</v>
      </c>
      <c r="CT1158" t="s">
        <v>136</v>
      </c>
      <c r="CU1158" t="s">
        <v>136</v>
      </c>
      <c r="CV1158" t="s">
        <v>1275</v>
      </c>
      <c r="CW1158" s="10" t="str">
        <f>"+13612192261"</f>
        <v>+13612192261</v>
      </c>
      <c r="CX1158" t="s">
        <v>1267</v>
      </c>
      <c r="CY1158" t="s">
        <v>132</v>
      </c>
      <c r="CZ1158" t="s">
        <v>137</v>
      </c>
      <c r="DA1158" t="s">
        <v>114</v>
      </c>
      <c r="DB1158" t="s">
        <v>114</v>
      </c>
      <c r="DC1158" t="s">
        <v>136</v>
      </c>
      <c r="DD1158" t="s">
        <v>114</v>
      </c>
    </row>
    <row r="1159" spans="1:113" ht="15" customHeight="1" x14ac:dyDescent="0.25">
      <c r="A1159" t="s">
        <v>23552</v>
      </c>
      <c r="B1159" t="s">
        <v>152</v>
      </c>
      <c r="C1159" s="1">
        <v>45118.405927430555</v>
      </c>
      <c r="D1159" s="1">
        <v>45232</v>
      </c>
      <c r="E1159" t="s">
        <v>114</v>
      </c>
      <c r="F1159" t="s">
        <v>13675</v>
      </c>
      <c r="G1159" t="str">
        <f>"41-2031.00"</f>
        <v>41-2031.00</v>
      </c>
      <c r="H1159" t="s">
        <v>2705</v>
      </c>
      <c r="I1159">
        <v>2</v>
      </c>
      <c r="J1159">
        <v>2</v>
      </c>
      <c r="K1159" s="1">
        <v>45200</v>
      </c>
      <c r="L1159" s="1">
        <v>45281</v>
      </c>
      <c r="M1159" s="1">
        <v>45200</v>
      </c>
      <c r="N1159" s="1">
        <v>45281</v>
      </c>
      <c r="O1159" t="s">
        <v>238</v>
      </c>
      <c r="P1159" t="s">
        <v>12251</v>
      </c>
      <c r="R1159" t="s">
        <v>12252</v>
      </c>
      <c r="T1159" t="s">
        <v>12253</v>
      </c>
      <c r="U1159" t="s">
        <v>2262</v>
      </c>
      <c r="V1159" s="8" t="str">
        <f>"06067"</f>
        <v>06067</v>
      </c>
      <c r="W1159" t="s">
        <v>118</v>
      </c>
      <c r="Y1159" s="10">
        <v>18605296755</v>
      </c>
      <c r="AA1159">
        <v>11121</v>
      </c>
      <c r="AB1159" t="s">
        <v>7798</v>
      </c>
      <c r="AC1159" t="s">
        <v>144</v>
      </c>
      <c r="AE1159" t="s">
        <v>561</v>
      </c>
      <c r="AF1159" t="s">
        <v>12252</v>
      </c>
      <c r="AH1159" t="s">
        <v>12253</v>
      </c>
      <c r="AI1159" t="s">
        <v>2262</v>
      </c>
      <c r="AJ1159" s="8" t="str">
        <f>"06067"</f>
        <v>06067</v>
      </c>
      <c r="AK1159" t="s">
        <v>118</v>
      </c>
      <c r="AM1159" s="10">
        <v>18605296755</v>
      </c>
      <c r="AO1159" t="s">
        <v>132</v>
      </c>
      <c r="AP1159" t="s">
        <v>248</v>
      </c>
      <c r="AQ1159" t="s">
        <v>577</v>
      </c>
      <c r="AR1159" t="s">
        <v>578</v>
      </c>
      <c r="AT1159" t="s">
        <v>579</v>
      </c>
      <c r="AV1159" t="s">
        <v>580</v>
      </c>
      <c r="AW1159" t="s">
        <v>581</v>
      </c>
      <c r="AX1159" s="8" t="str">
        <f>"22903"</f>
        <v>22903</v>
      </c>
      <c r="AY1159" t="s">
        <v>118</v>
      </c>
      <c r="BA1159" s="10">
        <v>14342634300</v>
      </c>
      <c r="BC1159" t="s">
        <v>1996</v>
      </c>
      <c r="BD1159" t="s">
        <v>583</v>
      </c>
      <c r="BG1159" t="s">
        <v>2262</v>
      </c>
      <c r="BH1159" s="1">
        <v>45117.833333333336</v>
      </c>
      <c r="BI1159">
        <v>50</v>
      </c>
      <c r="BJ1159">
        <v>9.5</v>
      </c>
      <c r="BK1159">
        <v>8.5</v>
      </c>
      <c r="BL1159">
        <v>6.5</v>
      </c>
      <c r="BM1159">
        <v>8.5</v>
      </c>
      <c r="BN1159">
        <v>0</v>
      </c>
      <c r="BO1159">
        <v>7.5</v>
      </c>
      <c r="BP1159">
        <v>9.5</v>
      </c>
      <c r="BQ1159" t="str">
        <f>"9:00 AM"</f>
        <v>9:00 AM</v>
      </c>
      <c r="BR1159" t="str">
        <f>"6:00 PM"</f>
        <v>6:00 PM</v>
      </c>
      <c r="BS1159" t="s">
        <v>131</v>
      </c>
      <c r="BT1159">
        <v>0</v>
      </c>
      <c r="BU1159">
        <v>3</v>
      </c>
      <c r="BV1159" t="s">
        <v>114</v>
      </c>
      <c r="BX1159" s="2" t="s">
        <v>23553</v>
      </c>
      <c r="BY1159" t="s">
        <v>12252</v>
      </c>
      <c r="CA1159" t="s">
        <v>12253</v>
      </c>
      <c r="CB1159" t="s">
        <v>2262</v>
      </c>
      <c r="CC1159" s="8" t="str">
        <f>"06067"</f>
        <v>06067</v>
      </c>
      <c r="CD1159" t="s">
        <v>12255</v>
      </c>
      <c r="CE1159" t="s">
        <v>2269</v>
      </c>
      <c r="CF1159" s="12">
        <v>17.91</v>
      </c>
      <c r="CH1159" s="12">
        <v>26.87</v>
      </c>
      <c r="CJ1159" t="s">
        <v>135</v>
      </c>
      <c r="CK1159" t="s">
        <v>590</v>
      </c>
      <c r="CL1159" t="s">
        <v>13676</v>
      </c>
      <c r="CO1159" t="s">
        <v>132</v>
      </c>
      <c r="CP1159" t="s">
        <v>114</v>
      </c>
      <c r="CQ1159" t="s">
        <v>114</v>
      </c>
      <c r="CR1159" t="s">
        <v>136</v>
      </c>
      <c r="CS1159" t="s">
        <v>114</v>
      </c>
      <c r="CT1159" t="s">
        <v>136</v>
      </c>
      <c r="CU1159" t="s">
        <v>114</v>
      </c>
      <c r="CV1159" t="s">
        <v>22811</v>
      </c>
      <c r="CW1159" s="10" t="str">
        <f>"N/A"</f>
        <v>N/A</v>
      </c>
      <c r="CX1159" t="s">
        <v>12257</v>
      </c>
      <c r="CY1159" t="s">
        <v>11161</v>
      </c>
      <c r="CZ1159" t="s">
        <v>137</v>
      </c>
      <c r="DA1159" t="s">
        <v>114</v>
      </c>
      <c r="DB1159" t="s">
        <v>136</v>
      </c>
      <c r="DC1159" t="s">
        <v>136</v>
      </c>
      <c r="DD1159" t="s">
        <v>114</v>
      </c>
      <c r="DE1159" t="s">
        <v>1998</v>
      </c>
      <c r="DF1159" t="s">
        <v>1999</v>
      </c>
      <c r="DH1159" t="s">
        <v>583</v>
      </c>
      <c r="DI1159" t="s">
        <v>1996</v>
      </c>
    </row>
    <row r="1160" spans="1:113" ht="15" customHeight="1" x14ac:dyDescent="0.25">
      <c r="A1160" t="s">
        <v>20280</v>
      </c>
      <c r="B1160" t="s">
        <v>152</v>
      </c>
      <c r="C1160" s="1">
        <v>45112.764558564813</v>
      </c>
      <c r="D1160" s="1">
        <v>45232</v>
      </c>
      <c r="E1160" t="s">
        <v>114</v>
      </c>
      <c r="F1160" t="s">
        <v>3852</v>
      </c>
      <c r="G1160" t="str">
        <f>"13-1151.00"</f>
        <v>13-1151.00</v>
      </c>
      <c r="H1160" t="s">
        <v>20281</v>
      </c>
      <c r="I1160">
        <v>1</v>
      </c>
      <c r="J1160">
        <v>1</v>
      </c>
      <c r="K1160" s="1">
        <v>45200</v>
      </c>
      <c r="L1160" s="1">
        <v>46295</v>
      </c>
      <c r="M1160" s="1">
        <v>45200</v>
      </c>
      <c r="N1160" s="1">
        <v>46295</v>
      </c>
      <c r="O1160" t="s">
        <v>184</v>
      </c>
      <c r="P1160" t="s">
        <v>20282</v>
      </c>
      <c r="R1160" t="s">
        <v>20283</v>
      </c>
      <c r="T1160" t="s">
        <v>761</v>
      </c>
      <c r="U1160" t="s">
        <v>140</v>
      </c>
      <c r="V1160" s="8" t="str">
        <f>"33483"</f>
        <v>33483</v>
      </c>
      <c r="W1160" t="s">
        <v>118</v>
      </c>
      <c r="Y1160" s="10">
        <v>18887022256</v>
      </c>
      <c r="AA1160">
        <v>532284</v>
      </c>
      <c r="AB1160" t="s">
        <v>4069</v>
      </c>
      <c r="AC1160" t="s">
        <v>2745</v>
      </c>
      <c r="AE1160" t="s">
        <v>120</v>
      </c>
      <c r="AF1160" t="s">
        <v>20283</v>
      </c>
      <c r="AH1160" t="s">
        <v>761</v>
      </c>
      <c r="AI1160" t="s">
        <v>140</v>
      </c>
      <c r="AJ1160" s="8" t="str">
        <f>"33483"</f>
        <v>33483</v>
      </c>
      <c r="AK1160" t="s">
        <v>118</v>
      </c>
      <c r="AM1160" s="10">
        <v>18887022256</v>
      </c>
      <c r="AO1160" t="s">
        <v>20284</v>
      </c>
      <c r="AP1160" t="s">
        <v>121</v>
      </c>
      <c r="AQ1160" t="s">
        <v>6808</v>
      </c>
      <c r="AR1160" t="s">
        <v>1212</v>
      </c>
      <c r="AS1160" t="s">
        <v>1738</v>
      </c>
      <c r="AT1160" t="s">
        <v>6809</v>
      </c>
      <c r="AU1160" t="s">
        <v>3487</v>
      </c>
      <c r="AV1160" t="s">
        <v>6667</v>
      </c>
      <c r="AW1160" t="s">
        <v>140</v>
      </c>
      <c r="AX1160" s="8" t="str">
        <f>"33410"</f>
        <v>33410</v>
      </c>
      <c r="AY1160" t="s">
        <v>118</v>
      </c>
      <c r="BA1160" s="10">
        <v>15614785353</v>
      </c>
      <c r="BB1160">
        <v>0</v>
      </c>
      <c r="BC1160" t="s">
        <v>6810</v>
      </c>
      <c r="BD1160" t="s">
        <v>6811</v>
      </c>
      <c r="BE1160" t="s">
        <v>140</v>
      </c>
      <c r="BF1160" t="s">
        <v>146</v>
      </c>
      <c r="BG1160" t="s">
        <v>140</v>
      </c>
      <c r="BH1160" s="1">
        <v>45111.833333333336</v>
      </c>
      <c r="BI1160">
        <v>40</v>
      </c>
      <c r="BJ1160">
        <v>8</v>
      </c>
      <c r="BK1160">
        <v>0</v>
      </c>
      <c r="BL1160">
        <v>0</v>
      </c>
      <c r="BM1160">
        <v>8</v>
      </c>
      <c r="BN1160">
        <v>8</v>
      </c>
      <c r="BO1160">
        <v>8</v>
      </c>
      <c r="BP1160">
        <v>8</v>
      </c>
      <c r="BQ1160" t="str">
        <f>"8:30 AM"</f>
        <v>8:30 AM</v>
      </c>
      <c r="BR1160" t="str">
        <f>"5:30 PM"</f>
        <v>5:30 PM</v>
      </c>
      <c r="BS1160" t="s">
        <v>131</v>
      </c>
      <c r="BT1160">
        <v>0</v>
      </c>
      <c r="BU1160">
        <v>0</v>
      </c>
      <c r="BV1160" t="s">
        <v>114</v>
      </c>
      <c r="BX1160" t="s">
        <v>131</v>
      </c>
      <c r="BY1160" t="s">
        <v>20283</v>
      </c>
      <c r="CA1160" t="s">
        <v>761</v>
      </c>
      <c r="CB1160" t="s">
        <v>140</v>
      </c>
      <c r="CC1160" s="8" t="str">
        <f>"33483"</f>
        <v>33483</v>
      </c>
      <c r="CD1160" t="s">
        <v>767</v>
      </c>
      <c r="CE1160" t="s">
        <v>149</v>
      </c>
      <c r="CF1160" s="12">
        <v>29.78</v>
      </c>
      <c r="CG1160" s="12">
        <v>29.78</v>
      </c>
      <c r="CH1160" s="12">
        <v>44.67</v>
      </c>
      <c r="CI1160" s="12">
        <v>44.67</v>
      </c>
      <c r="CJ1160" t="s">
        <v>135</v>
      </c>
      <c r="CL1160" t="s">
        <v>20285</v>
      </c>
      <c r="CO1160" t="s">
        <v>132</v>
      </c>
      <c r="CP1160" t="s">
        <v>114</v>
      </c>
      <c r="CQ1160" t="s">
        <v>114</v>
      </c>
      <c r="CR1160" t="s">
        <v>136</v>
      </c>
      <c r="CS1160" t="s">
        <v>136</v>
      </c>
      <c r="CT1160" t="s">
        <v>136</v>
      </c>
      <c r="CU1160" t="s">
        <v>114</v>
      </c>
      <c r="CV1160" t="s">
        <v>131</v>
      </c>
      <c r="CW1160" s="10" t="str">
        <f>"+15612761776"</f>
        <v>+15612761776</v>
      </c>
      <c r="CX1160" t="s">
        <v>20286</v>
      </c>
      <c r="CY1160" t="s">
        <v>132</v>
      </c>
      <c r="CZ1160" t="s">
        <v>137</v>
      </c>
      <c r="DA1160" t="s">
        <v>114</v>
      </c>
      <c r="DB1160" t="s">
        <v>114</v>
      </c>
      <c r="DC1160" t="s">
        <v>136</v>
      </c>
      <c r="DD1160" t="s">
        <v>114</v>
      </c>
    </row>
    <row r="1161" spans="1:113" ht="15" customHeight="1" x14ac:dyDescent="0.25">
      <c r="A1161" t="s">
        <v>19730</v>
      </c>
      <c r="B1161" t="s">
        <v>152</v>
      </c>
      <c r="C1161" s="1">
        <v>45178.374523148152</v>
      </c>
      <c r="D1161" s="1">
        <v>45231</v>
      </c>
      <c r="E1161" t="s">
        <v>132</v>
      </c>
      <c r="F1161" t="s">
        <v>154</v>
      </c>
      <c r="G1161" t="str">
        <f>"35-2014.00"</f>
        <v>35-2014.00</v>
      </c>
      <c r="H1161" t="s">
        <v>154</v>
      </c>
      <c r="I1161">
        <v>6</v>
      </c>
      <c r="J1161">
        <v>6</v>
      </c>
      <c r="K1161" s="1">
        <v>45268</v>
      </c>
      <c r="L1161" s="1">
        <v>45404</v>
      </c>
      <c r="M1161" s="1">
        <v>45268</v>
      </c>
      <c r="N1161" s="1">
        <v>45404</v>
      </c>
      <c r="O1161" t="s">
        <v>116</v>
      </c>
      <c r="P1161" t="s">
        <v>11803</v>
      </c>
      <c r="Q1161" t="s">
        <v>11804</v>
      </c>
      <c r="R1161" t="s">
        <v>11805</v>
      </c>
      <c r="S1161" t="s">
        <v>11806</v>
      </c>
      <c r="T1161" t="s">
        <v>11807</v>
      </c>
      <c r="U1161" t="s">
        <v>2194</v>
      </c>
      <c r="V1161" s="8" t="str">
        <f>"03860"</f>
        <v>03860</v>
      </c>
      <c r="W1161" t="s">
        <v>118</v>
      </c>
      <c r="Y1161" s="10">
        <v>14018450900</v>
      </c>
      <c r="AA1161">
        <v>72111</v>
      </c>
      <c r="AB1161" t="s">
        <v>6782</v>
      </c>
      <c r="AC1161" t="s">
        <v>2167</v>
      </c>
      <c r="AD1161" t="s">
        <v>1217</v>
      </c>
      <c r="AE1161" t="s">
        <v>6783</v>
      </c>
      <c r="AF1161" t="s">
        <v>11805</v>
      </c>
      <c r="AG1161" t="s">
        <v>11806</v>
      </c>
      <c r="AH1161" t="s">
        <v>11807</v>
      </c>
      <c r="AI1161" t="s">
        <v>2194</v>
      </c>
      <c r="AJ1161" s="8" t="str">
        <f>"03860"</f>
        <v>03860</v>
      </c>
      <c r="AK1161" t="s">
        <v>118</v>
      </c>
      <c r="AM1161" s="10">
        <v>14018450900</v>
      </c>
      <c r="AO1161" t="s">
        <v>6784</v>
      </c>
      <c r="AP1161" t="s">
        <v>248</v>
      </c>
      <c r="AQ1161" t="s">
        <v>2132</v>
      </c>
      <c r="AR1161" t="s">
        <v>12669</v>
      </c>
      <c r="AT1161" t="s">
        <v>579</v>
      </c>
      <c r="AV1161" t="s">
        <v>580</v>
      </c>
      <c r="AW1161" t="s">
        <v>581</v>
      </c>
      <c r="AX1161" s="8" t="str">
        <f>"22903"</f>
        <v>22903</v>
      </c>
      <c r="AY1161" t="s">
        <v>118</v>
      </c>
      <c r="BA1161" s="10">
        <v>14342634300</v>
      </c>
      <c r="BC1161" t="s">
        <v>2271</v>
      </c>
      <c r="BD1161" t="s">
        <v>583</v>
      </c>
      <c r="BG1161" t="s">
        <v>2194</v>
      </c>
      <c r="BH1161" s="1">
        <v>45177.833333333336</v>
      </c>
      <c r="BI1161">
        <v>35</v>
      </c>
      <c r="BJ1161">
        <v>0</v>
      </c>
      <c r="BK1161">
        <v>7</v>
      </c>
      <c r="BL1161">
        <v>7</v>
      </c>
      <c r="BM1161">
        <v>7</v>
      </c>
      <c r="BN1161">
        <v>7</v>
      </c>
      <c r="BO1161">
        <v>7</v>
      </c>
      <c r="BP1161">
        <v>0</v>
      </c>
      <c r="BQ1161" t="str">
        <f>"7:00 AM"</f>
        <v>7:00 AM</v>
      </c>
      <c r="BR1161" t="str">
        <f>"2:30 PM"</f>
        <v>2:30 PM</v>
      </c>
      <c r="BS1161" t="s">
        <v>131</v>
      </c>
      <c r="BT1161">
        <v>0</v>
      </c>
      <c r="BU1161">
        <v>3</v>
      </c>
      <c r="BV1161" t="s">
        <v>114</v>
      </c>
      <c r="BX1161" s="2" t="s">
        <v>19731</v>
      </c>
      <c r="BY1161" t="s">
        <v>11805</v>
      </c>
      <c r="CA1161" t="s">
        <v>11807</v>
      </c>
      <c r="CB1161" t="s">
        <v>2194</v>
      </c>
      <c r="CC1161" s="8" t="str">
        <f>"03860"</f>
        <v>03860</v>
      </c>
      <c r="CD1161" t="s">
        <v>2597</v>
      </c>
      <c r="CE1161" t="s">
        <v>3242</v>
      </c>
      <c r="CF1161" s="12">
        <v>23</v>
      </c>
      <c r="CG1161" s="12">
        <v>34.5</v>
      </c>
      <c r="CH1161" s="12">
        <v>34.5</v>
      </c>
      <c r="CI1161" s="12">
        <v>34.5</v>
      </c>
      <c r="CJ1161" t="s">
        <v>135</v>
      </c>
      <c r="CK1161" t="s">
        <v>11809</v>
      </c>
      <c r="CL1161" t="s">
        <v>19732</v>
      </c>
      <c r="CO1161" t="s">
        <v>132</v>
      </c>
      <c r="CP1161" t="s">
        <v>136</v>
      </c>
      <c r="CQ1161" t="s">
        <v>114</v>
      </c>
      <c r="CR1161" t="s">
        <v>136</v>
      </c>
      <c r="CS1161" t="s">
        <v>136</v>
      </c>
      <c r="CT1161" t="s">
        <v>114</v>
      </c>
      <c r="CU1161" t="s">
        <v>136</v>
      </c>
      <c r="CV1161" t="s">
        <v>19733</v>
      </c>
      <c r="CW1161" s="10" t="str">
        <f>"N/A"</f>
        <v>N/A</v>
      </c>
      <c r="CX1161" t="s">
        <v>6789</v>
      </c>
      <c r="CY1161" t="s">
        <v>9748</v>
      </c>
      <c r="CZ1161" t="s">
        <v>137</v>
      </c>
      <c r="DA1161" t="s">
        <v>114</v>
      </c>
      <c r="DB1161" t="s">
        <v>136</v>
      </c>
      <c r="DC1161" t="s">
        <v>136</v>
      </c>
      <c r="DD1161" t="s">
        <v>114</v>
      </c>
      <c r="DE1161" t="s">
        <v>2273</v>
      </c>
      <c r="DF1161" t="s">
        <v>1069</v>
      </c>
      <c r="DH1161" t="s">
        <v>583</v>
      </c>
      <c r="DI1161" t="s">
        <v>2271</v>
      </c>
    </row>
    <row r="1162" spans="1:113" ht="15" customHeight="1" x14ac:dyDescent="0.25">
      <c r="A1162" t="s">
        <v>11802</v>
      </c>
      <c r="B1162" t="s">
        <v>152</v>
      </c>
      <c r="C1162" s="1">
        <v>45178.374305439815</v>
      </c>
      <c r="D1162" s="1">
        <v>45231</v>
      </c>
      <c r="E1162" t="s">
        <v>132</v>
      </c>
      <c r="F1162" t="s">
        <v>6776</v>
      </c>
      <c r="G1162" t="str">
        <f>"35-3031.00"</f>
        <v>35-3031.00</v>
      </c>
      <c r="H1162" t="s">
        <v>347</v>
      </c>
      <c r="I1162">
        <v>8</v>
      </c>
      <c r="J1162">
        <v>8</v>
      </c>
      <c r="K1162" s="1">
        <v>45268</v>
      </c>
      <c r="L1162" s="1">
        <v>45404</v>
      </c>
      <c r="M1162" s="1">
        <v>45268</v>
      </c>
      <c r="N1162" s="1">
        <v>45404</v>
      </c>
      <c r="O1162" t="s">
        <v>116</v>
      </c>
      <c r="P1162" t="s">
        <v>11803</v>
      </c>
      <c r="Q1162" t="s">
        <v>11804</v>
      </c>
      <c r="R1162" t="s">
        <v>11805</v>
      </c>
      <c r="S1162" t="s">
        <v>11806</v>
      </c>
      <c r="T1162" t="s">
        <v>11807</v>
      </c>
      <c r="U1162" t="s">
        <v>2194</v>
      </c>
      <c r="V1162" s="8" t="str">
        <f>"03860"</f>
        <v>03860</v>
      </c>
      <c r="W1162" t="s">
        <v>118</v>
      </c>
      <c r="Y1162" s="10">
        <v>14018450900</v>
      </c>
      <c r="AA1162">
        <v>72111</v>
      </c>
      <c r="AB1162" t="s">
        <v>6782</v>
      </c>
      <c r="AC1162" t="s">
        <v>2167</v>
      </c>
      <c r="AD1162" t="s">
        <v>1217</v>
      </c>
      <c r="AE1162" t="s">
        <v>6783</v>
      </c>
      <c r="AF1162" t="s">
        <v>11805</v>
      </c>
      <c r="AG1162" t="s">
        <v>11806</v>
      </c>
      <c r="AH1162" t="s">
        <v>11807</v>
      </c>
      <c r="AI1162" t="s">
        <v>2194</v>
      </c>
      <c r="AJ1162" s="8" t="str">
        <f>"03860"</f>
        <v>03860</v>
      </c>
      <c r="AK1162" t="s">
        <v>118</v>
      </c>
      <c r="AM1162" s="10">
        <v>14018450900</v>
      </c>
      <c r="AO1162" t="s">
        <v>6784</v>
      </c>
      <c r="AP1162" t="s">
        <v>248</v>
      </c>
      <c r="AQ1162" t="s">
        <v>2132</v>
      </c>
      <c r="AR1162" t="s">
        <v>2133</v>
      </c>
      <c r="AT1162" t="s">
        <v>579</v>
      </c>
      <c r="AV1162" t="s">
        <v>580</v>
      </c>
      <c r="AW1162" t="s">
        <v>581</v>
      </c>
      <c r="AX1162" s="8" t="str">
        <f>"22903"</f>
        <v>22903</v>
      </c>
      <c r="AY1162" t="s">
        <v>118</v>
      </c>
      <c r="BA1162" s="10">
        <v>14342634300</v>
      </c>
      <c r="BC1162" t="s">
        <v>2271</v>
      </c>
      <c r="BD1162" t="s">
        <v>583</v>
      </c>
      <c r="BG1162" t="s">
        <v>2194</v>
      </c>
      <c r="BH1162" s="1">
        <v>45177.833333333336</v>
      </c>
      <c r="BI1162">
        <v>35</v>
      </c>
      <c r="BJ1162">
        <v>0</v>
      </c>
      <c r="BK1162">
        <v>7</v>
      </c>
      <c r="BL1162">
        <v>7</v>
      </c>
      <c r="BM1162">
        <v>7</v>
      </c>
      <c r="BN1162">
        <v>7</v>
      </c>
      <c r="BO1162">
        <v>7</v>
      </c>
      <c r="BP1162">
        <v>0</v>
      </c>
      <c r="BQ1162" t="str">
        <f>"7:00 AM"</f>
        <v>7:00 AM</v>
      </c>
      <c r="BR1162" t="str">
        <f>"2:30 PM"</f>
        <v>2:30 PM</v>
      </c>
      <c r="BS1162" t="s">
        <v>131</v>
      </c>
      <c r="BT1162">
        <v>0</v>
      </c>
      <c r="BU1162">
        <v>0</v>
      </c>
      <c r="BV1162" t="s">
        <v>114</v>
      </c>
      <c r="BX1162" s="2" t="s">
        <v>11808</v>
      </c>
      <c r="BY1162" t="s">
        <v>11805</v>
      </c>
      <c r="CA1162" t="s">
        <v>11807</v>
      </c>
      <c r="CB1162" t="s">
        <v>2194</v>
      </c>
      <c r="CC1162" s="8" t="str">
        <f>"03860"</f>
        <v>03860</v>
      </c>
      <c r="CD1162" t="s">
        <v>2597</v>
      </c>
      <c r="CE1162" t="s">
        <v>3242</v>
      </c>
      <c r="CF1162" s="12">
        <v>18</v>
      </c>
      <c r="CG1162" s="12">
        <v>27</v>
      </c>
      <c r="CH1162" s="12">
        <v>27</v>
      </c>
      <c r="CI1162" s="12">
        <v>27</v>
      </c>
      <c r="CJ1162" t="s">
        <v>135</v>
      </c>
      <c r="CK1162" t="s">
        <v>11809</v>
      </c>
      <c r="CL1162" t="s">
        <v>11810</v>
      </c>
      <c r="CO1162" t="s">
        <v>132</v>
      </c>
      <c r="CP1162" t="s">
        <v>136</v>
      </c>
      <c r="CQ1162" t="s">
        <v>114</v>
      </c>
      <c r="CR1162" t="s">
        <v>136</v>
      </c>
      <c r="CS1162" t="s">
        <v>136</v>
      </c>
      <c r="CT1162" t="s">
        <v>136</v>
      </c>
      <c r="CU1162" t="s">
        <v>136</v>
      </c>
      <c r="CV1162" t="s">
        <v>11811</v>
      </c>
      <c r="CW1162" s="10" t="str">
        <f>"N/A"</f>
        <v>N/A</v>
      </c>
      <c r="CX1162" t="s">
        <v>6789</v>
      </c>
      <c r="CY1162" t="s">
        <v>9748</v>
      </c>
      <c r="CZ1162" t="s">
        <v>137</v>
      </c>
      <c r="DA1162" t="s">
        <v>114</v>
      </c>
      <c r="DB1162" t="s">
        <v>136</v>
      </c>
      <c r="DC1162" t="s">
        <v>136</v>
      </c>
      <c r="DD1162" t="s">
        <v>114</v>
      </c>
      <c r="DE1162" t="s">
        <v>2273</v>
      </c>
      <c r="DF1162" t="s">
        <v>1069</v>
      </c>
      <c r="DH1162" t="s">
        <v>583</v>
      </c>
      <c r="DI1162" t="s">
        <v>2271</v>
      </c>
    </row>
    <row r="1163" spans="1:113" ht="15" customHeight="1" x14ac:dyDescent="0.25">
      <c r="A1163" t="s">
        <v>21503</v>
      </c>
      <c r="B1163" t="s">
        <v>152</v>
      </c>
      <c r="C1163" s="1">
        <v>45178.374045254626</v>
      </c>
      <c r="D1163" s="1">
        <v>45231</v>
      </c>
      <c r="E1163" t="s">
        <v>132</v>
      </c>
      <c r="F1163" t="s">
        <v>10543</v>
      </c>
      <c r="G1163" t="str">
        <f>"37-2012.00"</f>
        <v>37-2012.00</v>
      </c>
      <c r="H1163" t="s">
        <v>205</v>
      </c>
      <c r="I1163">
        <v>10</v>
      </c>
      <c r="J1163">
        <v>10</v>
      </c>
      <c r="K1163" s="1">
        <v>45268</v>
      </c>
      <c r="L1163" s="1">
        <v>45404</v>
      </c>
      <c r="M1163" s="1">
        <v>45268</v>
      </c>
      <c r="N1163" s="1">
        <v>45404</v>
      </c>
      <c r="O1163" t="s">
        <v>116</v>
      </c>
      <c r="P1163" t="s">
        <v>11803</v>
      </c>
      <c r="Q1163" t="s">
        <v>11804</v>
      </c>
      <c r="R1163" t="s">
        <v>11805</v>
      </c>
      <c r="S1163" t="s">
        <v>11806</v>
      </c>
      <c r="T1163" t="s">
        <v>11807</v>
      </c>
      <c r="U1163" t="s">
        <v>2194</v>
      </c>
      <c r="V1163" s="8" t="str">
        <f>"03860"</f>
        <v>03860</v>
      </c>
      <c r="W1163" t="s">
        <v>118</v>
      </c>
      <c r="Y1163" s="10">
        <v>14018450900</v>
      </c>
      <c r="AA1163">
        <v>72111</v>
      </c>
      <c r="AB1163" t="s">
        <v>6782</v>
      </c>
      <c r="AC1163" t="s">
        <v>2167</v>
      </c>
      <c r="AD1163" t="s">
        <v>1217</v>
      </c>
      <c r="AE1163" t="s">
        <v>6783</v>
      </c>
      <c r="AF1163" t="s">
        <v>11805</v>
      </c>
      <c r="AG1163" t="s">
        <v>11806</v>
      </c>
      <c r="AH1163" t="s">
        <v>11807</v>
      </c>
      <c r="AI1163" t="s">
        <v>2194</v>
      </c>
      <c r="AJ1163" s="8" t="str">
        <f>"03860"</f>
        <v>03860</v>
      </c>
      <c r="AK1163" t="s">
        <v>118</v>
      </c>
      <c r="AM1163" s="10">
        <v>14018450900</v>
      </c>
      <c r="AO1163" t="s">
        <v>6784</v>
      </c>
      <c r="AP1163" t="s">
        <v>248</v>
      </c>
      <c r="AQ1163" t="s">
        <v>2132</v>
      </c>
      <c r="AR1163" t="s">
        <v>2133</v>
      </c>
      <c r="AT1163" t="s">
        <v>579</v>
      </c>
      <c r="AV1163" t="s">
        <v>580</v>
      </c>
      <c r="AW1163" t="s">
        <v>581</v>
      </c>
      <c r="AX1163" s="8" t="str">
        <f>"22903"</f>
        <v>22903</v>
      </c>
      <c r="AY1163" t="s">
        <v>118</v>
      </c>
      <c r="BA1163" s="10">
        <v>14342634300</v>
      </c>
      <c r="BC1163" t="s">
        <v>2271</v>
      </c>
      <c r="BD1163" t="s">
        <v>583</v>
      </c>
      <c r="BG1163" t="s">
        <v>2194</v>
      </c>
      <c r="BH1163" s="1">
        <v>45177.833333333336</v>
      </c>
      <c r="BI1163">
        <v>35</v>
      </c>
      <c r="BJ1163">
        <v>0</v>
      </c>
      <c r="BK1163">
        <v>7</v>
      </c>
      <c r="BL1163">
        <v>7</v>
      </c>
      <c r="BM1163">
        <v>7</v>
      </c>
      <c r="BN1163">
        <v>7</v>
      </c>
      <c r="BO1163">
        <v>7</v>
      </c>
      <c r="BP1163">
        <v>0</v>
      </c>
      <c r="BQ1163" t="str">
        <f>"9:00 AM"</f>
        <v>9:00 AM</v>
      </c>
      <c r="BR1163" t="str">
        <f>"4:00 PM"</f>
        <v>4:00 PM</v>
      </c>
      <c r="BS1163" t="s">
        <v>131</v>
      </c>
      <c r="BT1163">
        <v>0</v>
      </c>
      <c r="BU1163">
        <v>0</v>
      </c>
      <c r="BV1163" t="s">
        <v>114</v>
      </c>
      <c r="BX1163" s="2" t="s">
        <v>21504</v>
      </c>
      <c r="BY1163" t="s">
        <v>11805</v>
      </c>
      <c r="CA1163" t="s">
        <v>11807</v>
      </c>
      <c r="CB1163" t="s">
        <v>2194</v>
      </c>
      <c r="CC1163" s="8" t="str">
        <f>"03860"</f>
        <v>03860</v>
      </c>
      <c r="CD1163" t="s">
        <v>2597</v>
      </c>
      <c r="CE1163" t="s">
        <v>3242</v>
      </c>
      <c r="CF1163" s="12">
        <v>20</v>
      </c>
      <c r="CG1163" s="12">
        <v>20</v>
      </c>
      <c r="CH1163" s="12">
        <v>30</v>
      </c>
      <c r="CI1163" s="12">
        <v>30</v>
      </c>
      <c r="CJ1163" t="s">
        <v>135</v>
      </c>
      <c r="CK1163" t="s">
        <v>11809</v>
      </c>
      <c r="CL1163" t="s">
        <v>21505</v>
      </c>
      <c r="CO1163" t="s">
        <v>132</v>
      </c>
      <c r="CP1163" t="s">
        <v>136</v>
      </c>
      <c r="CQ1163" t="s">
        <v>114</v>
      </c>
      <c r="CR1163" t="s">
        <v>136</v>
      </c>
      <c r="CS1163" t="s">
        <v>136</v>
      </c>
      <c r="CT1163" t="s">
        <v>136</v>
      </c>
      <c r="CU1163" t="s">
        <v>136</v>
      </c>
      <c r="CV1163" t="s">
        <v>21506</v>
      </c>
      <c r="CW1163" s="10" t="str">
        <f>"N/A"</f>
        <v>N/A</v>
      </c>
      <c r="CX1163" t="s">
        <v>6789</v>
      </c>
      <c r="CY1163" t="s">
        <v>9748</v>
      </c>
      <c r="CZ1163" t="s">
        <v>137</v>
      </c>
      <c r="DA1163" t="s">
        <v>114</v>
      </c>
      <c r="DB1163" t="s">
        <v>136</v>
      </c>
      <c r="DC1163" t="s">
        <v>136</v>
      </c>
      <c r="DD1163" t="s">
        <v>114</v>
      </c>
      <c r="DE1163" t="s">
        <v>2273</v>
      </c>
      <c r="DF1163" t="s">
        <v>1069</v>
      </c>
      <c r="DH1163" t="s">
        <v>583</v>
      </c>
      <c r="DI1163" t="s">
        <v>2271</v>
      </c>
    </row>
    <row r="1164" spans="1:113" ht="15" customHeight="1" x14ac:dyDescent="0.25">
      <c r="A1164" t="s">
        <v>20526</v>
      </c>
      <c r="B1164" t="s">
        <v>152</v>
      </c>
      <c r="C1164" s="1">
        <v>45174.599056944448</v>
      </c>
      <c r="D1164" s="1">
        <v>45231</v>
      </c>
      <c r="E1164" t="s">
        <v>132</v>
      </c>
      <c r="F1164" t="s">
        <v>5723</v>
      </c>
      <c r="G1164" t="str">
        <f>"37-3011.00"</f>
        <v>37-3011.00</v>
      </c>
      <c r="H1164" t="s">
        <v>429</v>
      </c>
      <c r="I1164">
        <v>6</v>
      </c>
      <c r="J1164">
        <v>6</v>
      </c>
      <c r="K1164" s="1">
        <v>45261</v>
      </c>
      <c r="L1164" s="1">
        <v>45565</v>
      </c>
      <c r="M1164" s="1">
        <v>45261</v>
      </c>
      <c r="N1164" s="1">
        <v>45565</v>
      </c>
      <c r="O1164" t="s">
        <v>116</v>
      </c>
      <c r="P1164" t="s">
        <v>20527</v>
      </c>
      <c r="Q1164" t="s">
        <v>132</v>
      </c>
      <c r="R1164" t="s">
        <v>20528</v>
      </c>
      <c r="S1164" t="s">
        <v>132</v>
      </c>
      <c r="T1164" t="s">
        <v>1614</v>
      </c>
      <c r="U1164" t="s">
        <v>140</v>
      </c>
      <c r="V1164" s="8" t="str">
        <f>"34110"</f>
        <v>34110</v>
      </c>
      <c r="W1164" t="s">
        <v>118</v>
      </c>
      <c r="X1164" t="s">
        <v>132</v>
      </c>
      <c r="Y1164" s="10">
        <v>12392543000</v>
      </c>
      <c r="AA1164">
        <v>713910</v>
      </c>
      <c r="AB1164" t="s">
        <v>20529</v>
      </c>
      <c r="AC1164" t="s">
        <v>8463</v>
      </c>
      <c r="AE1164" t="s">
        <v>5347</v>
      </c>
      <c r="AF1164" t="s">
        <v>20530</v>
      </c>
      <c r="AG1164" t="s">
        <v>132</v>
      </c>
      <c r="AH1164" t="s">
        <v>1614</v>
      </c>
      <c r="AI1164" t="s">
        <v>140</v>
      </c>
      <c r="AJ1164" s="8" t="str">
        <f>"34119"</f>
        <v>34119</v>
      </c>
      <c r="AK1164" t="s">
        <v>118</v>
      </c>
      <c r="AM1164" s="10">
        <v>12392543000</v>
      </c>
      <c r="AO1164" t="s">
        <v>20531</v>
      </c>
      <c r="AP1164" t="s">
        <v>121</v>
      </c>
      <c r="AQ1164" t="s">
        <v>276</v>
      </c>
      <c r="AR1164" t="s">
        <v>277</v>
      </c>
      <c r="AS1164" t="s">
        <v>278</v>
      </c>
      <c r="AT1164" t="s">
        <v>279</v>
      </c>
      <c r="AU1164" t="s">
        <v>280</v>
      </c>
      <c r="AV1164" t="s">
        <v>281</v>
      </c>
      <c r="AW1164" t="s">
        <v>222</v>
      </c>
      <c r="AX1164" s="8" t="str">
        <f>"01701"</f>
        <v>01701</v>
      </c>
      <c r="AY1164" t="s">
        <v>118</v>
      </c>
      <c r="BA1164" s="10">
        <v>16179399444</v>
      </c>
      <c r="BC1164" t="s">
        <v>282</v>
      </c>
      <c r="BD1164" t="s">
        <v>283</v>
      </c>
      <c r="BE1164" t="s">
        <v>222</v>
      </c>
      <c r="BF1164" t="s">
        <v>284</v>
      </c>
      <c r="BG1164" t="s">
        <v>140</v>
      </c>
      <c r="BH1164" s="1">
        <v>45173.833333333336</v>
      </c>
      <c r="BI1164">
        <v>35</v>
      </c>
      <c r="BJ1164">
        <v>0</v>
      </c>
      <c r="BK1164">
        <v>7</v>
      </c>
      <c r="BL1164">
        <v>7</v>
      </c>
      <c r="BM1164">
        <v>7</v>
      </c>
      <c r="BN1164">
        <v>7</v>
      </c>
      <c r="BO1164">
        <v>7</v>
      </c>
      <c r="BP1164">
        <v>0</v>
      </c>
      <c r="BQ1164" t="str">
        <f>"5:00 AM"</f>
        <v>5:00 AM</v>
      </c>
      <c r="BR1164" t="str">
        <f>"12:00 PM"</f>
        <v>12:00 PM</v>
      </c>
      <c r="BS1164" t="s">
        <v>131</v>
      </c>
      <c r="BT1164">
        <v>0</v>
      </c>
      <c r="BU1164">
        <v>3</v>
      </c>
      <c r="BV1164" t="s">
        <v>114</v>
      </c>
      <c r="BX1164" s="2" t="s">
        <v>20532</v>
      </c>
      <c r="BY1164" t="s">
        <v>20528</v>
      </c>
      <c r="BZ1164" t="s">
        <v>132</v>
      </c>
      <c r="CA1164" t="s">
        <v>1614</v>
      </c>
      <c r="CB1164" t="s">
        <v>140</v>
      </c>
      <c r="CC1164" s="8" t="str">
        <f>"34110"</f>
        <v>34110</v>
      </c>
      <c r="CD1164" t="s">
        <v>362</v>
      </c>
      <c r="CE1164" t="s">
        <v>363</v>
      </c>
      <c r="CF1164" s="12">
        <v>16.34</v>
      </c>
      <c r="CG1164" s="12">
        <v>19</v>
      </c>
      <c r="CH1164" s="12">
        <v>24.51</v>
      </c>
      <c r="CI1164" s="12">
        <v>28.5</v>
      </c>
      <c r="CJ1164" t="s">
        <v>135</v>
      </c>
      <c r="CK1164" t="s">
        <v>20533</v>
      </c>
      <c r="CL1164" t="s">
        <v>20534</v>
      </c>
      <c r="CO1164" t="s">
        <v>132</v>
      </c>
      <c r="CP1164" t="s">
        <v>114</v>
      </c>
      <c r="CQ1164" t="s">
        <v>114</v>
      </c>
      <c r="CR1164" t="s">
        <v>136</v>
      </c>
      <c r="CS1164" t="s">
        <v>136</v>
      </c>
      <c r="CT1164" t="s">
        <v>136</v>
      </c>
      <c r="CU1164" t="s">
        <v>136</v>
      </c>
      <c r="CV1164" t="s">
        <v>20535</v>
      </c>
      <c r="CW1164" s="10" t="str">
        <f>"+12392543002"</f>
        <v>+12392543002</v>
      </c>
      <c r="CX1164" t="s">
        <v>20536</v>
      </c>
      <c r="CY1164" t="s">
        <v>132</v>
      </c>
      <c r="CZ1164" t="s">
        <v>137</v>
      </c>
      <c r="DA1164" t="s">
        <v>114</v>
      </c>
      <c r="DB1164" t="s">
        <v>114</v>
      </c>
      <c r="DC1164" t="s">
        <v>136</v>
      </c>
      <c r="DD1164" t="s">
        <v>114</v>
      </c>
    </row>
    <row r="1165" spans="1:113" ht="15" customHeight="1" x14ac:dyDescent="0.25">
      <c r="A1165" t="s">
        <v>23370</v>
      </c>
      <c r="B1165" t="s">
        <v>152</v>
      </c>
      <c r="C1165" s="1">
        <v>45172.495446064815</v>
      </c>
      <c r="D1165" s="1">
        <v>45231</v>
      </c>
      <c r="E1165" t="s">
        <v>132</v>
      </c>
      <c r="F1165" t="s">
        <v>14475</v>
      </c>
      <c r="G1165" t="str">
        <f>"37-3011.00"</f>
        <v>37-3011.00</v>
      </c>
      <c r="H1165" t="s">
        <v>429</v>
      </c>
      <c r="I1165">
        <v>12</v>
      </c>
      <c r="J1165">
        <v>12</v>
      </c>
      <c r="K1165" s="1">
        <v>45261</v>
      </c>
      <c r="L1165" s="1">
        <v>45383</v>
      </c>
      <c r="M1165" s="1">
        <v>45261</v>
      </c>
      <c r="N1165" s="1">
        <v>45383</v>
      </c>
      <c r="O1165" t="s">
        <v>238</v>
      </c>
      <c r="P1165" t="s">
        <v>23371</v>
      </c>
      <c r="R1165" t="s">
        <v>23372</v>
      </c>
      <c r="T1165" t="s">
        <v>2719</v>
      </c>
      <c r="U1165" t="s">
        <v>903</v>
      </c>
      <c r="V1165" s="8" t="str">
        <f>"03902"</f>
        <v>03902</v>
      </c>
      <c r="W1165" t="s">
        <v>118</v>
      </c>
      <c r="Y1165" s="10">
        <v>12073611935</v>
      </c>
      <c r="AA1165">
        <v>53131</v>
      </c>
      <c r="AB1165" t="s">
        <v>16181</v>
      </c>
      <c r="AC1165" t="s">
        <v>23373</v>
      </c>
      <c r="AE1165" t="s">
        <v>9395</v>
      </c>
      <c r="AF1165" t="s">
        <v>23372</v>
      </c>
      <c r="AH1165" t="s">
        <v>2719</v>
      </c>
      <c r="AI1165" t="s">
        <v>903</v>
      </c>
      <c r="AJ1165" s="8" t="str">
        <f>"03902"</f>
        <v>03902</v>
      </c>
      <c r="AK1165" t="s">
        <v>118</v>
      </c>
      <c r="AM1165" s="10">
        <v>12073611935</v>
      </c>
      <c r="AO1165" t="s">
        <v>132</v>
      </c>
      <c r="AP1165" t="s">
        <v>248</v>
      </c>
      <c r="AQ1165" t="s">
        <v>354</v>
      </c>
      <c r="AR1165" t="s">
        <v>355</v>
      </c>
      <c r="AT1165" t="s">
        <v>356</v>
      </c>
      <c r="AV1165" t="s">
        <v>357</v>
      </c>
      <c r="AW1165" t="s">
        <v>358</v>
      </c>
      <c r="AX1165" s="8" t="str">
        <f>"11590"</f>
        <v>11590</v>
      </c>
      <c r="AY1165" t="s">
        <v>118</v>
      </c>
      <c r="BA1165" s="10">
        <v>15163307168</v>
      </c>
      <c r="BC1165" t="s">
        <v>359</v>
      </c>
      <c r="BD1165" t="s">
        <v>360</v>
      </c>
      <c r="BG1165" t="s">
        <v>903</v>
      </c>
      <c r="BH1165" s="1">
        <v>45171.833333333336</v>
      </c>
      <c r="BI1165">
        <v>40</v>
      </c>
      <c r="BJ1165">
        <v>0</v>
      </c>
      <c r="BK1165">
        <v>8</v>
      </c>
      <c r="BL1165">
        <v>8</v>
      </c>
      <c r="BM1165">
        <v>8</v>
      </c>
      <c r="BN1165">
        <v>8</v>
      </c>
      <c r="BO1165">
        <v>8</v>
      </c>
      <c r="BP1165">
        <v>0</v>
      </c>
      <c r="BQ1165" t="str">
        <f>"7:30 AM"</f>
        <v>7:30 AM</v>
      </c>
      <c r="BR1165" t="str">
        <f>"4:30 PM"</f>
        <v>4:30 PM</v>
      </c>
      <c r="BS1165" t="s">
        <v>131</v>
      </c>
      <c r="BT1165">
        <v>0</v>
      </c>
      <c r="BU1165">
        <v>0</v>
      </c>
      <c r="BV1165" t="s">
        <v>114</v>
      </c>
      <c r="BX1165" t="s">
        <v>1480</v>
      </c>
      <c r="BY1165" t="s">
        <v>23374</v>
      </c>
      <c r="CA1165" t="s">
        <v>2719</v>
      </c>
      <c r="CB1165" t="s">
        <v>903</v>
      </c>
      <c r="CC1165" s="8" t="str">
        <f>"03909"</f>
        <v>03909</v>
      </c>
      <c r="CD1165" t="s">
        <v>2222</v>
      </c>
      <c r="CE1165" t="s">
        <v>2196</v>
      </c>
      <c r="CF1165" s="12">
        <v>19.82</v>
      </c>
      <c r="CG1165" s="12">
        <v>19.82</v>
      </c>
      <c r="CH1165" s="12">
        <v>29.73</v>
      </c>
      <c r="CI1165" s="12">
        <v>29.73</v>
      </c>
      <c r="CJ1165" t="s">
        <v>135</v>
      </c>
      <c r="CL1165" t="s">
        <v>23375</v>
      </c>
      <c r="CO1165" t="s">
        <v>132</v>
      </c>
      <c r="CP1165" t="s">
        <v>136</v>
      </c>
      <c r="CQ1165" t="s">
        <v>136</v>
      </c>
      <c r="CR1165" t="s">
        <v>136</v>
      </c>
      <c r="CS1165" t="s">
        <v>114</v>
      </c>
      <c r="CT1165" t="s">
        <v>136</v>
      </c>
      <c r="CU1165" t="s">
        <v>114</v>
      </c>
      <c r="CV1165" t="s">
        <v>1480</v>
      </c>
      <c r="CW1165" s="10" t="str">
        <f>"+12073612335"</f>
        <v>+12073612335</v>
      </c>
      <c r="CX1165" t="s">
        <v>23376</v>
      </c>
      <c r="CY1165" t="s">
        <v>796</v>
      </c>
      <c r="CZ1165" t="s">
        <v>137</v>
      </c>
      <c r="DA1165" t="s">
        <v>114</v>
      </c>
      <c r="DB1165" t="s">
        <v>114</v>
      </c>
      <c r="DC1165" t="s">
        <v>136</v>
      </c>
      <c r="DD1165" t="s">
        <v>114</v>
      </c>
    </row>
    <row r="1166" spans="1:113" ht="15" customHeight="1" x14ac:dyDescent="0.25">
      <c r="A1166" t="s">
        <v>1137</v>
      </c>
      <c r="B1166" t="s">
        <v>152</v>
      </c>
      <c r="C1166" s="1">
        <v>45169.660072106482</v>
      </c>
      <c r="D1166" s="1">
        <v>45231</v>
      </c>
      <c r="E1166" t="s">
        <v>136</v>
      </c>
      <c r="F1166" t="s">
        <v>153</v>
      </c>
      <c r="G1166" t="str">
        <f>"35-2014.00"</f>
        <v>35-2014.00</v>
      </c>
      <c r="H1166" t="s">
        <v>154</v>
      </c>
      <c r="I1166">
        <v>10</v>
      </c>
      <c r="J1166">
        <v>10</v>
      </c>
      <c r="K1166" s="1">
        <v>45245</v>
      </c>
      <c r="L1166" s="1">
        <v>45424</v>
      </c>
      <c r="M1166" s="1">
        <v>45245</v>
      </c>
      <c r="N1166" s="1">
        <v>45424</v>
      </c>
      <c r="O1166" t="s">
        <v>116</v>
      </c>
      <c r="P1166" t="s">
        <v>1138</v>
      </c>
      <c r="R1166" t="s">
        <v>1139</v>
      </c>
      <c r="T1166" t="s">
        <v>142</v>
      </c>
      <c r="U1166" t="s">
        <v>140</v>
      </c>
      <c r="V1166" s="8" t="str">
        <f>"33131"</f>
        <v>33131</v>
      </c>
      <c r="W1166" t="s">
        <v>118</v>
      </c>
      <c r="Y1166" s="10">
        <v>13059677266</v>
      </c>
      <c r="AA1166">
        <v>72111</v>
      </c>
      <c r="AB1166" t="s">
        <v>1140</v>
      </c>
      <c r="AC1166" t="s">
        <v>1141</v>
      </c>
      <c r="AE1166" t="s">
        <v>1142</v>
      </c>
      <c r="AF1166" t="s">
        <v>1139</v>
      </c>
      <c r="AH1166" t="s">
        <v>142</v>
      </c>
      <c r="AI1166" t="s">
        <v>140</v>
      </c>
      <c r="AJ1166" s="8" t="str">
        <f>"33131"</f>
        <v>33131</v>
      </c>
      <c r="AK1166" t="s">
        <v>118</v>
      </c>
      <c r="AM1166" s="10">
        <v>13059677266</v>
      </c>
      <c r="AO1166" t="s">
        <v>1143</v>
      </c>
      <c r="AP1166" t="s">
        <v>121</v>
      </c>
      <c r="AQ1166" t="s">
        <v>276</v>
      </c>
      <c r="AR1166" t="s">
        <v>277</v>
      </c>
      <c r="AS1166" t="s">
        <v>278</v>
      </c>
      <c r="AT1166" t="s">
        <v>279</v>
      </c>
      <c r="AU1166" t="s">
        <v>280</v>
      </c>
      <c r="AV1166" t="s">
        <v>281</v>
      </c>
      <c r="AW1166" t="s">
        <v>222</v>
      </c>
      <c r="AX1166" s="8" t="str">
        <f>"01701"</f>
        <v>01701</v>
      </c>
      <c r="AY1166" t="s">
        <v>118</v>
      </c>
      <c r="BA1166" s="10">
        <v>16179399444</v>
      </c>
      <c r="BC1166" t="s">
        <v>282</v>
      </c>
      <c r="BD1166" t="s">
        <v>283</v>
      </c>
      <c r="BE1166" t="s">
        <v>222</v>
      </c>
      <c r="BF1166" t="s">
        <v>284</v>
      </c>
      <c r="BG1166" t="s">
        <v>140</v>
      </c>
      <c r="BH1166" s="1">
        <v>45168.833333333336</v>
      </c>
      <c r="BI1166">
        <v>40</v>
      </c>
      <c r="BJ1166">
        <v>0</v>
      </c>
      <c r="BK1166">
        <v>8</v>
      </c>
      <c r="BL1166">
        <v>8</v>
      </c>
      <c r="BM1166">
        <v>8</v>
      </c>
      <c r="BN1166">
        <v>8</v>
      </c>
      <c r="BO1166">
        <v>8</v>
      </c>
      <c r="BP1166">
        <v>0</v>
      </c>
      <c r="BQ1166" t="str">
        <f>"6:00 AM"</f>
        <v>6:00 AM</v>
      </c>
      <c r="BR1166" t="str">
        <f>"2:00 PM"</f>
        <v>2:00 PM</v>
      </c>
      <c r="BS1166" t="s">
        <v>131</v>
      </c>
      <c r="BT1166">
        <v>0</v>
      </c>
      <c r="BU1166">
        <v>12</v>
      </c>
      <c r="BV1166" t="s">
        <v>114</v>
      </c>
      <c r="BX1166" s="2" t="s">
        <v>1144</v>
      </c>
      <c r="BY1166" t="s">
        <v>1139</v>
      </c>
      <c r="CA1166" t="s">
        <v>142</v>
      </c>
      <c r="CB1166" t="s">
        <v>140</v>
      </c>
      <c r="CC1166" s="8" t="str">
        <f>"33131"</f>
        <v>33131</v>
      </c>
      <c r="CD1166" t="s">
        <v>148</v>
      </c>
      <c r="CE1166" t="s">
        <v>149</v>
      </c>
      <c r="CF1166" s="12">
        <v>17.5</v>
      </c>
      <c r="CG1166" s="12">
        <v>18.5</v>
      </c>
      <c r="CH1166" s="12">
        <v>26.25</v>
      </c>
      <c r="CI1166" s="12">
        <v>27.75</v>
      </c>
      <c r="CJ1166" t="s">
        <v>135</v>
      </c>
      <c r="CK1166" t="s">
        <v>1145</v>
      </c>
      <c r="CL1166" t="s">
        <v>1146</v>
      </c>
      <c r="CO1166" t="s">
        <v>132</v>
      </c>
      <c r="CP1166" t="s">
        <v>114</v>
      </c>
      <c r="CQ1166" t="s">
        <v>114</v>
      </c>
      <c r="CR1166" t="s">
        <v>136</v>
      </c>
      <c r="CS1166" t="s">
        <v>136</v>
      </c>
      <c r="CT1166" t="s">
        <v>136</v>
      </c>
      <c r="CU1166" t="s">
        <v>114</v>
      </c>
      <c r="CV1166" t="s">
        <v>1147</v>
      </c>
      <c r="CW1166" s="10" t="str">
        <f>"+13059677266"</f>
        <v>+13059677266</v>
      </c>
      <c r="CX1166" t="s">
        <v>1148</v>
      </c>
      <c r="CY1166" t="s">
        <v>132</v>
      </c>
      <c r="CZ1166" t="s">
        <v>137</v>
      </c>
      <c r="DA1166" t="s">
        <v>114</v>
      </c>
      <c r="DB1166" t="s">
        <v>114</v>
      </c>
      <c r="DC1166" t="s">
        <v>136</v>
      </c>
      <c r="DD1166" t="s">
        <v>114</v>
      </c>
    </row>
    <row r="1167" spans="1:113" ht="15" customHeight="1" x14ac:dyDescent="0.25">
      <c r="A1167" t="s">
        <v>22736</v>
      </c>
      <c r="B1167" t="s">
        <v>152</v>
      </c>
      <c r="C1167" s="1">
        <v>45166.518934027779</v>
      </c>
      <c r="D1167" s="1">
        <v>45231</v>
      </c>
      <c r="E1167" t="s">
        <v>136</v>
      </c>
      <c r="F1167" t="s">
        <v>22737</v>
      </c>
      <c r="G1167" t="str">
        <f>"35-3031.00"</f>
        <v>35-3031.00</v>
      </c>
      <c r="H1167" t="s">
        <v>347</v>
      </c>
      <c r="I1167">
        <v>5</v>
      </c>
      <c r="J1167">
        <v>5</v>
      </c>
      <c r="K1167" s="1">
        <v>45241</v>
      </c>
      <c r="L1167" s="1">
        <v>45427</v>
      </c>
      <c r="M1167" s="1">
        <v>45241</v>
      </c>
      <c r="N1167" s="1">
        <v>45427</v>
      </c>
      <c r="O1167" t="s">
        <v>116</v>
      </c>
      <c r="P1167" t="s">
        <v>22738</v>
      </c>
      <c r="R1167" t="s">
        <v>6883</v>
      </c>
      <c r="T1167" t="s">
        <v>6884</v>
      </c>
      <c r="U1167" t="s">
        <v>140</v>
      </c>
      <c r="V1167" s="8" t="str">
        <f>"33418"</f>
        <v>33418</v>
      </c>
      <c r="W1167" t="s">
        <v>118</v>
      </c>
      <c r="Y1167" s="10">
        <v>15616124769</v>
      </c>
      <c r="AA1167">
        <v>713910</v>
      </c>
      <c r="AB1167" t="s">
        <v>16240</v>
      </c>
      <c r="AC1167" t="s">
        <v>2172</v>
      </c>
      <c r="AE1167" t="s">
        <v>1119</v>
      </c>
      <c r="AF1167" t="s">
        <v>6883</v>
      </c>
      <c r="AH1167" t="s">
        <v>6884</v>
      </c>
      <c r="AI1167" t="s">
        <v>140</v>
      </c>
      <c r="AJ1167" s="8" t="str">
        <f>"33418"</f>
        <v>33418</v>
      </c>
      <c r="AK1167" t="s">
        <v>118</v>
      </c>
      <c r="AM1167" s="10">
        <v>15616124769</v>
      </c>
      <c r="AO1167" t="s">
        <v>22739</v>
      </c>
      <c r="AP1167" t="s">
        <v>121</v>
      </c>
      <c r="AQ1167" t="s">
        <v>6887</v>
      </c>
      <c r="AR1167" t="s">
        <v>6888</v>
      </c>
      <c r="AS1167" t="s">
        <v>6889</v>
      </c>
      <c r="AT1167" t="s">
        <v>22740</v>
      </c>
      <c r="AU1167" t="s">
        <v>22741</v>
      </c>
      <c r="AV1167" t="s">
        <v>16349</v>
      </c>
      <c r="AW1167" t="s">
        <v>140</v>
      </c>
      <c r="AX1167" s="8" t="str">
        <f>"33401"</f>
        <v>33401</v>
      </c>
      <c r="AY1167" t="s">
        <v>118</v>
      </c>
      <c r="BA1167" s="10">
        <v>15618416346</v>
      </c>
      <c r="BC1167" t="s">
        <v>6892</v>
      </c>
      <c r="BD1167" t="s">
        <v>6893</v>
      </c>
      <c r="BE1167" t="s">
        <v>140</v>
      </c>
      <c r="BF1167" t="s">
        <v>22742</v>
      </c>
      <c r="BG1167" t="s">
        <v>140</v>
      </c>
      <c r="BH1167" s="1">
        <v>45145.833333333336</v>
      </c>
      <c r="BI1167">
        <v>40</v>
      </c>
      <c r="BJ1167">
        <v>7</v>
      </c>
      <c r="BK1167">
        <v>3</v>
      </c>
      <c r="BL1167">
        <v>2</v>
      </c>
      <c r="BM1167">
        <v>7</v>
      </c>
      <c r="BN1167">
        <v>7</v>
      </c>
      <c r="BO1167">
        <v>7</v>
      </c>
      <c r="BP1167">
        <v>7</v>
      </c>
      <c r="BQ1167" t="str">
        <f>"9:00 AM"</f>
        <v>9:00 AM</v>
      </c>
      <c r="BR1167" t="str">
        <f>"10:00 PM"</f>
        <v>10:00 PM</v>
      </c>
      <c r="BS1167" t="s">
        <v>147</v>
      </c>
      <c r="BT1167">
        <v>1</v>
      </c>
      <c r="BU1167">
        <v>6</v>
      </c>
      <c r="BV1167" t="s">
        <v>114</v>
      </c>
      <c r="BX1167" s="2" t="s">
        <v>22743</v>
      </c>
      <c r="BY1167" t="s">
        <v>22744</v>
      </c>
      <c r="CA1167" t="s">
        <v>6884</v>
      </c>
      <c r="CB1167" t="s">
        <v>140</v>
      </c>
      <c r="CC1167" s="8" t="str">
        <f>"33418"</f>
        <v>33418</v>
      </c>
      <c r="CD1167" t="s">
        <v>767</v>
      </c>
      <c r="CE1167" t="s">
        <v>149</v>
      </c>
      <c r="CF1167" s="12">
        <v>16.13</v>
      </c>
      <c r="CG1167" s="12">
        <v>16.13</v>
      </c>
      <c r="CH1167" s="12">
        <v>24.2</v>
      </c>
      <c r="CI1167" s="12">
        <v>24.2</v>
      </c>
      <c r="CJ1167" t="s">
        <v>135</v>
      </c>
      <c r="CL1167" t="s">
        <v>22745</v>
      </c>
      <c r="CO1167" t="s">
        <v>132</v>
      </c>
      <c r="CP1167" t="s">
        <v>114</v>
      </c>
      <c r="CQ1167" t="s">
        <v>136</v>
      </c>
      <c r="CR1167" t="s">
        <v>136</v>
      </c>
      <c r="CS1167" t="s">
        <v>136</v>
      </c>
      <c r="CT1167" t="s">
        <v>136</v>
      </c>
      <c r="CU1167" t="s">
        <v>136</v>
      </c>
      <c r="CV1167" t="s">
        <v>6897</v>
      </c>
      <c r="CW1167" s="10" t="str">
        <f>"+15616124769"</f>
        <v>+15616124769</v>
      </c>
      <c r="CX1167" t="s">
        <v>22746</v>
      </c>
      <c r="CY1167" t="s">
        <v>6898</v>
      </c>
      <c r="CZ1167" t="s">
        <v>137</v>
      </c>
      <c r="DA1167" t="s">
        <v>114</v>
      </c>
      <c r="DB1167" t="s">
        <v>136</v>
      </c>
      <c r="DC1167" t="s">
        <v>136</v>
      </c>
      <c r="DD1167" t="s">
        <v>114</v>
      </c>
      <c r="DE1167" t="s">
        <v>22747</v>
      </c>
      <c r="DF1167" t="s">
        <v>22748</v>
      </c>
      <c r="DG1167" t="s">
        <v>3526</v>
      </c>
      <c r="DH1167" t="s">
        <v>6899</v>
      </c>
      <c r="DI1167" t="s">
        <v>22746</v>
      </c>
    </row>
    <row r="1168" spans="1:113" ht="15" customHeight="1" x14ac:dyDescent="0.25">
      <c r="A1168" t="s">
        <v>23723</v>
      </c>
      <c r="B1168" t="s">
        <v>152</v>
      </c>
      <c r="C1168" s="1">
        <v>45162.847826504629</v>
      </c>
      <c r="D1168" s="1">
        <v>45231</v>
      </c>
      <c r="E1168" t="s">
        <v>136</v>
      </c>
      <c r="F1168" t="s">
        <v>449</v>
      </c>
      <c r="G1168" t="str">
        <f>"37-2012.00"</f>
        <v>37-2012.00</v>
      </c>
      <c r="H1168" t="s">
        <v>205</v>
      </c>
      <c r="I1168">
        <v>40</v>
      </c>
      <c r="J1168">
        <v>40</v>
      </c>
      <c r="K1168" s="1">
        <v>45237</v>
      </c>
      <c r="L1168" s="1">
        <v>45401</v>
      </c>
      <c r="M1168" s="1">
        <v>45237</v>
      </c>
      <c r="N1168" s="1">
        <v>45401</v>
      </c>
      <c r="O1168" t="s">
        <v>116</v>
      </c>
      <c r="P1168" t="s">
        <v>19460</v>
      </c>
      <c r="Q1168" t="s">
        <v>19461</v>
      </c>
      <c r="R1168" t="s">
        <v>19462</v>
      </c>
      <c r="S1168" t="s">
        <v>7460</v>
      </c>
      <c r="T1168" t="s">
        <v>19463</v>
      </c>
      <c r="U1168" t="s">
        <v>188</v>
      </c>
      <c r="V1168" s="8" t="str">
        <f>"80487"</f>
        <v>80487</v>
      </c>
      <c r="W1168" t="s">
        <v>118</v>
      </c>
      <c r="Y1168" s="10">
        <v>19708752854</v>
      </c>
      <c r="AA1168">
        <v>53131</v>
      </c>
      <c r="AB1168" t="s">
        <v>3556</v>
      </c>
      <c r="AC1168" t="s">
        <v>12588</v>
      </c>
      <c r="AD1168" t="s">
        <v>10559</v>
      </c>
      <c r="AE1168" t="s">
        <v>19464</v>
      </c>
      <c r="AF1168" t="s">
        <v>19465</v>
      </c>
      <c r="AG1168" t="s">
        <v>5960</v>
      </c>
      <c r="AH1168" t="s">
        <v>11905</v>
      </c>
      <c r="AI1168" t="s">
        <v>188</v>
      </c>
      <c r="AJ1168" s="8" t="str">
        <f>"80487"</f>
        <v>80487</v>
      </c>
      <c r="AK1168" t="s">
        <v>118</v>
      </c>
      <c r="AM1168" s="10">
        <v>19708752854</v>
      </c>
      <c r="AO1168" t="s">
        <v>19466</v>
      </c>
      <c r="AX1168" s="8" t="str">
        <f>""</f>
        <v/>
      </c>
      <c r="BG1168" t="s">
        <v>188</v>
      </c>
      <c r="BH1168" s="1">
        <v>45161.833333333336</v>
      </c>
      <c r="BI1168">
        <v>36</v>
      </c>
      <c r="BJ1168">
        <v>6</v>
      </c>
      <c r="BK1168">
        <v>6</v>
      </c>
      <c r="BL1168">
        <v>6</v>
      </c>
      <c r="BM1168">
        <v>0</v>
      </c>
      <c r="BN1168">
        <v>6</v>
      </c>
      <c r="BO1168">
        <v>6</v>
      </c>
      <c r="BP1168">
        <v>6</v>
      </c>
      <c r="BQ1168" t="str">
        <f>"8:00 AM"</f>
        <v>8:00 AM</v>
      </c>
      <c r="BR1168" t="str">
        <f>"4:00 PM"</f>
        <v>4:00 PM</v>
      </c>
      <c r="BS1168" t="s">
        <v>131</v>
      </c>
      <c r="BT1168">
        <v>0</v>
      </c>
      <c r="BU1168">
        <v>0</v>
      </c>
      <c r="BV1168" t="s">
        <v>114</v>
      </c>
      <c r="BX1168" s="2" t="s">
        <v>19467</v>
      </c>
      <c r="BY1168" t="s">
        <v>19462</v>
      </c>
      <c r="BZ1168" t="s">
        <v>7460</v>
      </c>
      <c r="CA1168" t="s">
        <v>19463</v>
      </c>
      <c r="CB1168" t="s">
        <v>188</v>
      </c>
      <c r="CC1168" s="8" t="str">
        <f>"80487"</f>
        <v>80487</v>
      </c>
      <c r="CD1168" t="s">
        <v>11908</v>
      </c>
      <c r="CE1168" t="s">
        <v>1038</v>
      </c>
      <c r="CF1168" s="12">
        <v>18.3</v>
      </c>
      <c r="CG1168" s="12">
        <v>18.3</v>
      </c>
      <c r="CH1168" s="12">
        <v>27.45</v>
      </c>
      <c r="CI1168" s="12">
        <v>27.45</v>
      </c>
      <c r="CJ1168" t="s">
        <v>135</v>
      </c>
      <c r="CL1168" t="s">
        <v>19469</v>
      </c>
      <c r="CO1168" t="s">
        <v>132</v>
      </c>
      <c r="CP1168" t="s">
        <v>114</v>
      </c>
      <c r="CQ1168" t="s">
        <v>114</v>
      </c>
      <c r="CR1168" t="s">
        <v>136</v>
      </c>
      <c r="CS1168" t="s">
        <v>136</v>
      </c>
      <c r="CT1168" t="s">
        <v>136</v>
      </c>
      <c r="CU1168" t="s">
        <v>136</v>
      </c>
      <c r="CV1168" t="s">
        <v>23724</v>
      </c>
      <c r="CW1168" s="10" t="str">
        <f>"+19708793075"</f>
        <v>+19708793075</v>
      </c>
      <c r="CX1168" t="s">
        <v>19895</v>
      </c>
      <c r="CY1168" t="s">
        <v>19896</v>
      </c>
      <c r="CZ1168" t="s">
        <v>137</v>
      </c>
      <c r="DA1168" t="s">
        <v>114</v>
      </c>
      <c r="DB1168" t="s">
        <v>114</v>
      </c>
      <c r="DC1168" t="s">
        <v>136</v>
      </c>
      <c r="DD1168" t="s">
        <v>114</v>
      </c>
    </row>
    <row r="1169" spans="1:113" ht="15" customHeight="1" x14ac:dyDescent="0.25">
      <c r="A1169" t="s">
        <v>11530</v>
      </c>
      <c r="B1169" t="s">
        <v>152</v>
      </c>
      <c r="C1169" s="1">
        <v>45156.539042129632</v>
      </c>
      <c r="D1169" s="1">
        <v>45231</v>
      </c>
      <c r="E1169" t="s">
        <v>114</v>
      </c>
      <c r="F1169" t="s">
        <v>293</v>
      </c>
      <c r="G1169" t="str">
        <f>"37-2012.00"</f>
        <v>37-2012.00</v>
      </c>
      <c r="H1169" t="s">
        <v>205</v>
      </c>
      <c r="I1169">
        <v>1</v>
      </c>
      <c r="J1169">
        <v>1</v>
      </c>
      <c r="K1169" s="1">
        <v>45231</v>
      </c>
      <c r="L1169" s="1">
        <v>45412</v>
      </c>
      <c r="M1169" s="1">
        <v>45231</v>
      </c>
      <c r="N1169" s="1">
        <v>45412</v>
      </c>
      <c r="O1169" t="s">
        <v>116</v>
      </c>
      <c r="P1169" t="s">
        <v>6726</v>
      </c>
      <c r="Q1169" t="s">
        <v>6727</v>
      </c>
      <c r="R1169" t="s">
        <v>6728</v>
      </c>
      <c r="T1169" t="s">
        <v>6729</v>
      </c>
      <c r="U1169" t="s">
        <v>506</v>
      </c>
      <c r="V1169" s="8" t="str">
        <f>"05673"</f>
        <v>05673</v>
      </c>
      <c r="W1169" t="s">
        <v>118</v>
      </c>
      <c r="Y1169" s="10">
        <v>18024962322</v>
      </c>
      <c r="AA1169">
        <v>721110</v>
      </c>
      <c r="AB1169" t="s">
        <v>5570</v>
      </c>
      <c r="AC1169" t="s">
        <v>6662</v>
      </c>
      <c r="AE1169" t="s">
        <v>561</v>
      </c>
      <c r="AF1169" t="s">
        <v>6730</v>
      </c>
      <c r="AH1169" t="s">
        <v>6729</v>
      </c>
      <c r="AI1169" t="s">
        <v>506</v>
      </c>
      <c r="AJ1169" s="8" t="str">
        <f>"05673"</f>
        <v>05673</v>
      </c>
      <c r="AK1169" t="s">
        <v>118</v>
      </c>
      <c r="AM1169" s="10">
        <v>18024962322</v>
      </c>
      <c r="AO1169" t="s">
        <v>6731</v>
      </c>
      <c r="AP1169" t="s">
        <v>121</v>
      </c>
      <c r="AQ1169" t="s">
        <v>2603</v>
      </c>
      <c r="AR1169" t="s">
        <v>2604</v>
      </c>
      <c r="AS1169" t="s">
        <v>931</v>
      </c>
      <c r="AT1169" t="s">
        <v>2605</v>
      </c>
      <c r="AU1169" t="s">
        <v>2606</v>
      </c>
      <c r="AV1169" t="s">
        <v>2607</v>
      </c>
      <c r="AW1169" t="s">
        <v>2608</v>
      </c>
      <c r="AX1169" s="8" t="str">
        <f>"73069"</f>
        <v>73069</v>
      </c>
      <c r="AY1169" t="s">
        <v>118</v>
      </c>
      <c r="BA1169" s="10">
        <v>14053642525</v>
      </c>
      <c r="BC1169" t="s">
        <v>2609</v>
      </c>
      <c r="BD1169" t="s">
        <v>2610</v>
      </c>
      <c r="BE1169" t="s">
        <v>2608</v>
      </c>
      <c r="BF1169" t="s">
        <v>2611</v>
      </c>
      <c r="BG1169" t="s">
        <v>506</v>
      </c>
      <c r="BH1169" s="1">
        <v>45155.833333333336</v>
      </c>
      <c r="BI1169">
        <v>56</v>
      </c>
      <c r="BJ1169">
        <v>8</v>
      </c>
      <c r="BK1169">
        <v>8</v>
      </c>
      <c r="BL1169">
        <v>8</v>
      </c>
      <c r="BM1169">
        <v>8</v>
      </c>
      <c r="BN1169">
        <v>8</v>
      </c>
      <c r="BO1169">
        <v>8</v>
      </c>
      <c r="BP1169">
        <v>8</v>
      </c>
      <c r="BQ1169" t="str">
        <f>"8:00 AM"</f>
        <v>8:00 AM</v>
      </c>
      <c r="BR1169" t="str">
        <f>"10:00 PM"</f>
        <v>10:00 PM</v>
      </c>
      <c r="BS1169" t="s">
        <v>131</v>
      </c>
      <c r="BT1169">
        <v>0</v>
      </c>
      <c r="BU1169">
        <v>1</v>
      </c>
      <c r="BV1169" t="s">
        <v>114</v>
      </c>
      <c r="BX1169" s="2" t="s">
        <v>3116</v>
      </c>
      <c r="BY1169" t="s">
        <v>6730</v>
      </c>
      <c r="CA1169" t="s">
        <v>6729</v>
      </c>
      <c r="CB1169" t="s">
        <v>506</v>
      </c>
      <c r="CC1169" s="8" t="str">
        <f>"05673"</f>
        <v>05673</v>
      </c>
      <c r="CD1169" t="s">
        <v>806</v>
      </c>
      <c r="CE1169" t="s">
        <v>1108</v>
      </c>
      <c r="CF1169" s="12">
        <v>15.57</v>
      </c>
      <c r="CG1169" s="12">
        <v>15.57</v>
      </c>
      <c r="CH1169" s="12">
        <v>23.36</v>
      </c>
      <c r="CI1169" s="12">
        <v>23.36</v>
      </c>
      <c r="CJ1169" t="s">
        <v>135</v>
      </c>
      <c r="CL1169" t="s">
        <v>11531</v>
      </c>
      <c r="CO1169" t="s">
        <v>132</v>
      </c>
      <c r="CP1169" t="s">
        <v>114</v>
      </c>
      <c r="CQ1169" t="s">
        <v>114</v>
      </c>
      <c r="CR1169" t="s">
        <v>136</v>
      </c>
      <c r="CS1169" t="s">
        <v>114</v>
      </c>
      <c r="CT1169" t="s">
        <v>136</v>
      </c>
      <c r="CU1169" t="s">
        <v>136</v>
      </c>
      <c r="CV1169" t="s">
        <v>11532</v>
      </c>
      <c r="CW1169" s="10" t="str">
        <f>"+18024962322"</f>
        <v>+18024962322</v>
      </c>
      <c r="CX1169" t="s">
        <v>6731</v>
      </c>
      <c r="CY1169" t="s">
        <v>132</v>
      </c>
      <c r="CZ1169" t="s">
        <v>137</v>
      </c>
      <c r="DA1169" t="s">
        <v>114</v>
      </c>
      <c r="DB1169" t="s">
        <v>114</v>
      </c>
      <c r="DC1169" t="s">
        <v>136</v>
      </c>
      <c r="DD1169" t="s">
        <v>114</v>
      </c>
    </row>
    <row r="1170" spans="1:113" ht="15" customHeight="1" x14ac:dyDescent="0.25">
      <c r="A1170" t="s">
        <v>19551</v>
      </c>
      <c r="B1170" t="s">
        <v>152</v>
      </c>
      <c r="C1170" s="1">
        <v>45155.603912037041</v>
      </c>
      <c r="D1170" s="1">
        <v>45231</v>
      </c>
      <c r="E1170" t="s">
        <v>114</v>
      </c>
      <c r="F1170" t="s">
        <v>2014</v>
      </c>
      <c r="G1170" t="str">
        <f>"51-6011.00"</f>
        <v>51-6011.00</v>
      </c>
      <c r="H1170" t="s">
        <v>2015</v>
      </c>
      <c r="I1170">
        <v>25</v>
      </c>
      <c r="J1170">
        <v>25</v>
      </c>
      <c r="K1170" s="1">
        <v>45230</v>
      </c>
      <c r="L1170" s="1">
        <v>45504</v>
      </c>
      <c r="M1170" s="1">
        <v>45230</v>
      </c>
      <c r="N1170" s="1">
        <v>45504</v>
      </c>
      <c r="O1170" t="s">
        <v>116</v>
      </c>
      <c r="P1170" t="s">
        <v>19552</v>
      </c>
      <c r="R1170" t="s">
        <v>19553</v>
      </c>
      <c r="T1170" t="s">
        <v>14410</v>
      </c>
      <c r="U1170" t="s">
        <v>188</v>
      </c>
      <c r="V1170" s="8" t="str">
        <f>"80498"</f>
        <v>80498</v>
      </c>
      <c r="W1170" t="s">
        <v>118</v>
      </c>
      <c r="Y1170" s="10">
        <v>19702621182</v>
      </c>
      <c r="AA1170">
        <v>81232</v>
      </c>
      <c r="AB1170" t="s">
        <v>6974</v>
      </c>
      <c r="AC1170" t="s">
        <v>6975</v>
      </c>
      <c r="AE1170" t="s">
        <v>561</v>
      </c>
      <c r="AF1170" t="s">
        <v>19553</v>
      </c>
      <c r="AH1170" t="s">
        <v>14410</v>
      </c>
      <c r="AI1170" t="s">
        <v>188</v>
      </c>
      <c r="AJ1170" s="8" t="str">
        <f>"80498"</f>
        <v>80498</v>
      </c>
      <c r="AK1170" t="s">
        <v>118</v>
      </c>
      <c r="AM1170" s="10">
        <v>19702621182</v>
      </c>
      <c r="AO1170" t="s">
        <v>6976</v>
      </c>
      <c r="AP1170" t="s">
        <v>121</v>
      </c>
      <c r="AQ1170" t="s">
        <v>1771</v>
      </c>
      <c r="AR1170" t="s">
        <v>1772</v>
      </c>
      <c r="AS1170" t="s">
        <v>1410</v>
      </c>
      <c r="AT1170" t="s">
        <v>1773</v>
      </c>
      <c r="AU1170" t="s">
        <v>1774</v>
      </c>
      <c r="AV1170" t="s">
        <v>1775</v>
      </c>
      <c r="AW1170" t="s">
        <v>1776</v>
      </c>
      <c r="AX1170" s="8" t="str">
        <f>"08034"</f>
        <v>08034</v>
      </c>
      <c r="AY1170" t="s">
        <v>118</v>
      </c>
      <c r="AZ1170" t="s">
        <v>1777</v>
      </c>
      <c r="BA1170" s="10">
        <v>18562819750</v>
      </c>
      <c r="BC1170" t="s">
        <v>1778</v>
      </c>
      <c r="BD1170" t="s">
        <v>1779</v>
      </c>
      <c r="BE1170" t="s">
        <v>1776</v>
      </c>
      <c r="BF1170" t="s">
        <v>1780</v>
      </c>
      <c r="BG1170" t="s">
        <v>188</v>
      </c>
      <c r="BH1170" s="1">
        <v>45153.833333333336</v>
      </c>
      <c r="BI1170">
        <v>40</v>
      </c>
      <c r="BJ1170">
        <v>0</v>
      </c>
      <c r="BK1170">
        <v>8</v>
      </c>
      <c r="BL1170">
        <v>8</v>
      </c>
      <c r="BM1170">
        <v>8</v>
      </c>
      <c r="BN1170">
        <v>8</v>
      </c>
      <c r="BO1170">
        <v>8</v>
      </c>
      <c r="BP1170">
        <v>0</v>
      </c>
      <c r="BQ1170" t="str">
        <f>"9:00 AM"</f>
        <v>9:00 AM</v>
      </c>
      <c r="BR1170" t="str">
        <f>"5:00 PM"</f>
        <v>5:00 PM</v>
      </c>
      <c r="BS1170" t="s">
        <v>131</v>
      </c>
      <c r="BT1170">
        <v>0</v>
      </c>
      <c r="BU1170">
        <v>0</v>
      </c>
      <c r="BV1170" t="s">
        <v>114</v>
      </c>
      <c r="BX1170" s="2" t="s">
        <v>19554</v>
      </c>
      <c r="BY1170" t="s">
        <v>19553</v>
      </c>
      <c r="CA1170" t="s">
        <v>14410</v>
      </c>
      <c r="CB1170" t="s">
        <v>188</v>
      </c>
      <c r="CC1170" s="8" t="str">
        <f>"80498"</f>
        <v>80498</v>
      </c>
      <c r="CD1170" t="s">
        <v>228</v>
      </c>
      <c r="CE1170" t="s">
        <v>1038</v>
      </c>
      <c r="CF1170" s="12">
        <v>16.41</v>
      </c>
      <c r="CG1170" s="12">
        <v>16.41</v>
      </c>
      <c r="CH1170" s="12">
        <v>24.62</v>
      </c>
      <c r="CI1170" s="12">
        <v>24.62</v>
      </c>
      <c r="CJ1170" t="s">
        <v>135</v>
      </c>
      <c r="CK1170" t="s">
        <v>6978</v>
      </c>
      <c r="CL1170" t="s">
        <v>19555</v>
      </c>
      <c r="CO1170" t="s">
        <v>132</v>
      </c>
      <c r="CP1170" t="s">
        <v>114</v>
      </c>
      <c r="CQ1170" t="s">
        <v>114</v>
      </c>
      <c r="CR1170" t="s">
        <v>136</v>
      </c>
      <c r="CS1170" t="s">
        <v>136</v>
      </c>
      <c r="CT1170" t="s">
        <v>136</v>
      </c>
      <c r="CU1170" t="s">
        <v>136</v>
      </c>
      <c r="CV1170" t="s">
        <v>19556</v>
      </c>
      <c r="CW1170" s="10" t="str">
        <f>"+19702621182"</f>
        <v>+19702621182</v>
      </c>
      <c r="CX1170" t="s">
        <v>6976</v>
      </c>
      <c r="CY1170" t="s">
        <v>132</v>
      </c>
      <c r="CZ1170" t="s">
        <v>137</v>
      </c>
      <c r="DA1170" t="s">
        <v>114</v>
      </c>
      <c r="DB1170" t="s">
        <v>114</v>
      </c>
      <c r="DC1170" t="s">
        <v>136</v>
      </c>
      <c r="DD1170" t="s">
        <v>114</v>
      </c>
    </row>
    <row r="1171" spans="1:113" ht="15" customHeight="1" x14ac:dyDescent="0.25">
      <c r="A1171" t="s">
        <v>16659</v>
      </c>
      <c r="B1171" t="s">
        <v>152</v>
      </c>
      <c r="C1171" s="1">
        <v>45141.754780092589</v>
      </c>
      <c r="D1171" s="1">
        <v>45231</v>
      </c>
      <c r="E1171" t="s">
        <v>114</v>
      </c>
      <c r="F1171" t="s">
        <v>293</v>
      </c>
      <c r="G1171" t="str">
        <f>"37-2012.00"</f>
        <v>37-2012.00</v>
      </c>
      <c r="H1171" t="s">
        <v>205</v>
      </c>
      <c r="I1171">
        <v>20</v>
      </c>
      <c r="J1171">
        <v>20</v>
      </c>
      <c r="K1171" s="1">
        <v>45231</v>
      </c>
      <c r="L1171" s="1">
        <v>45535</v>
      </c>
      <c r="M1171" s="1">
        <v>45231</v>
      </c>
      <c r="N1171" s="1">
        <v>45535</v>
      </c>
      <c r="O1171" t="s">
        <v>116</v>
      </c>
      <c r="P1171" t="s">
        <v>16660</v>
      </c>
      <c r="R1171" t="s">
        <v>16661</v>
      </c>
      <c r="T1171" t="s">
        <v>4215</v>
      </c>
      <c r="U1171" t="s">
        <v>2608</v>
      </c>
      <c r="V1171" s="8" t="str">
        <f>"73107"</f>
        <v>73107</v>
      </c>
      <c r="W1171" t="s">
        <v>118</v>
      </c>
      <c r="Y1171" s="10">
        <v>14056278178</v>
      </c>
      <c r="AA1171">
        <v>721110</v>
      </c>
      <c r="AB1171" t="s">
        <v>2924</v>
      </c>
      <c r="AC1171" t="s">
        <v>16662</v>
      </c>
      <c r="AE1171" t="s">
        <v>120</v>
      </c>
      <c r="AF1171" t="s">
        <v>16663</v>
      </c>
      <c r="AH1171" t="s">
        <v>4215</v>
      </c>
      <c r="AI1171" t="s">
        <v>2608</v>
      </c>
      <c r="AJ1171" s="8" t="str">
        <f>"73107"</f>
        <v>73107</v>
      </c>
      <c r="AK1171" t="s">
        <v>118</v>
      </c>
      <c r="AM1171" s="10">
        <v>14056278178</v>
      </c>
      <c r="AO1171" t="s">
        <v>16664</v>
      </c>
      <c r="AP1171" t="s">
        <v>121</v>
      </c>
      <c r="AQ1171" t="s">
        <v>2603</v>
      </c>
      <c r="AR1171" t="s">
        <v>2604</v>
      </c>
      <c r="AS1171" t="s">
        <v>931</v>
      </c>
      <c r="AT1171" t="s">
        <v>2605</v>
      </c>
      <c r="AU1171" t="s">
        <v>2606</v>
      </c>
      <c r="AV1171" t="s">
        <v>2607</v>
      </c>
      <c r="AW1171" t="s">
        <v>2608</v>
      </c>
      <c r="AX1171" s="8" t="str">
        <f>"73069"</f>
        <v>73069</v>
      </c>
      <c r="AY1171" t="s">
        <v>118</v>
      </c>
      <c r="BA1171" s="10">
        <v>14053642525</v>
      </c>
      <c r="BC1171" t="s">
        <v>2609</v>
      </c>
      <c r="BD1171" t="s">
        <v>2610</v>
      </c>
      <c r="BE1171" t="s">
        <v>2608</v>
      </c>
      <c r="BF1171" t="s">
        <v>2611</v>
      </c>
      <c r="BG1171" t="s">
        <v>2608</v>
      </c>
      <c r="BH1171" s="1">
        <v>45140.833333333336</v>
      </c>
      <c r="BI1171">
        <v>56</v>
      </c>
      <c r="BJ1171">
        <v>8</v>
      </c>
      <c r="BK1171">
        <v>8</v>
      </c>
      <c r="BL1171">
        <v>8</v>
      </c>
      <c r="BM1171">
        <v>8</v>
      </c>
      <c r="BN1171">
        <v>8</v>
      </c>
      <c r="BO1171">
        <v>8</v>
      </c>
      <c r="BP1171">
        <v>8</v>
      </c>
      <c r="BQ1171" t="str">
        <f>"8:00 AM"</f>
        <v>8:00 AM</v>
      </c>
      <c r="BR1171" t="str">
        <f>"10:00 PM"</f>
        <v>10:00 PM</v>
      </c>
      <c r="BS1171" t="s">
        <v>131</v>
      </c>
      <c r="BT1171">
        <v>0</v>
      </c>
      <c r="BU1171">
        <v>1</v>
      </c>
      <c r="BV1171" t="s">
        <v>114</v>
      </c>
      <c r="BX1171" s="2" t="s">
        <v>6732</v>
      </c>
      <c r="BY1171" t="s">
        <v>16665</v>
      </c>
      <c r="CA1171" t="s">
        <v>4215</v>
      </c>
      <c r="CB1171" t="s">
        <v>2608</v>
      </c>
      <c r="CC1171" s="8" t="str">
        <f>"73128"</f>
        <v>73128</v>
      </c>
      <c r="CD1171" t="s">
        <v>3576</v>
      </c>
      <c r="CE1171" t="s">
        <v>3577</v>
      </c>
      <c r="CF1171" s="12">
        <v>11.55</v>
      </c>
      <c r="CG1171" s="12">
        <v>11.55</v>
      </c>
      <c r="CH1171" s="12">
        <v>17.329999999999998</v>
      </c>
      <c r="CI1171" s="12">
        <v>17.329999999999998</v>
      </c>
      <c r="CJ1171" t="s">
        <v>135</v>
      </c>
      <c r="CL1171" t="s">
        <v>16666</v>
      </c>
      <c r="CO1171" t="s">
        <v>132</v>
      </c>
      <c r="CP1171" t="s">
        <v>114</v>
      </c>
      <c r="CQ1171" t="s">
        <v>114</v>
      </c>
      <c r="CR1171" t="s">
        <v>136</v>
      </c>
      <c r="CS1171" t="s">
        <v>114</v>
      </c>
      <c r="CT1171" t="s">
        <v>136</v>
      </c>
      <c r="CU1171" t="s">
        <v>114</v>
      </c>
      <c r="CV1171" t="s">
        <v>2612</v>
      </c>
      <c r="CW1171" s="10" t="str">
        <f>"+14056278178"</f>
        <v>+14056278178</v>
      </c>
      <c r="CX1171" t="s">
        <v>16664</v>
      </c>
      <c r="CY1171" t="s">
        <v>132</v>
      </c>
      <c r="CZ1171" t="s">
        <v>137</v>
      </c>
      <c r="DA1171" t="s">
        <v>114</v>
      </c>
      <c r="DB1171" t="s">
        <v>114</v>
      </c>
      <c r="DC1171" t="s">
        <v>136</v>
      </c>
      <c r="DD1171" t="s">
        <v>114</v>
      </c>
    </row>
    <row r="1172" spans="1:113" ht="15" customHeight="1" x14ac:dyDescent="0.25">
      <c r="A1172" t="s">
        <v>1452</v>
      </c>
      <c r="B1172" t="s">
        <v>152</v>
      </c>
      <c r="C1172" s="1">
        <v>45141.660556828705</v>
      </c>
      <c r="D1172" s="1">
        <v>45231</v>
      </c>
      <c r="E1172" t="s">
        <v>114</v>
      </c>
      <c r="F1172" t="s">
        <v>1453</v>
      </c>
      <c r="G1172" t="str">
        <f>"37-2012.00"</f>
        <v>37-2012.00</v>
      </c>
      <c r="H1172" t="s">
        <v>205</v>
      </c>
      <c r="I1172">
        <v>7</v>
      </c>
      <c r="J1172">
        <v>7</v>
      </c>
      <c r="K1172" s="1">
        <v>45231</v>
      </c>
      <c r="L1172" s="1">
        <v>45397</v>
      </c>
      <c r="M1172" s="1">
        <v>45231</v>
      </c>
      <c r="N1172" s="1">
        <v>45397</v>
      </c>
      <c r="O1172" t="s">
        <v>116</v>
      </c>
      <c r="P1172" t="s">
        <v>1454</v>
      </c>
      <c r="Q1172" t="s">
        <v>1455</v>
      </c>
      <c r="R1172" t="s">
        <v>1456</v>
      </c>
      <c r="T1172" t="s">
        <v>1457</v>
      </c>
      <c r="U1172" t="s">
        <v>188</v>
      </c>
      <c r="V1172" s="8" t="str">
        <f>"81620"</f>
        <v>81620</v>
      </c>
      <c r="W1172" t="s">
        <v>118</v>
      </c>
      <c r="Y1172" s="10">
        <v>19708459800</v>
      </c>
      <c r="AA1172">
        <v>721110</v>
      </c>
      <c r="AB1172" t="s">
        <v>1458</v>
      </c>
      <c r="AC1172" t="s">
        <v>1459</v>
      </c>
      <c r="AE1172" t="s">
        <v>1104</v>
      </c>
      <c r="AF1172" t="s">
        <v>1456</v>
      </c>
      <c r="AH1172" t="s">
        <v>1457</v>
      </c>
      <c r="AI1172" t="s">
        <v>188</v>
      </c>
      <c r="AJ1172" s="8" t="str">
        <f>"81620"</f>
        <v>81620</v>
      </c>
      <c r="AK1172" t="s">
        <v>118</v>
      </c>
      <c r="AM1172" s="10">
        <v>19708451705</v>
      </c>
      <c r="AO1172" t="s">
        <v>1460</v>
      </c>
      <c r="AP1172" t="s">
        <v>121</v>
      </c>
      <c r="AQ1172" t="s">
        <v>513</v>
      </c>
      <c r="AR1172" t="s">
        <v>514</v>
      </c>
      <c r="AS1172" t="s">
        <v>515</v>
      </c>
      <c r="AT1172" t="s">
        <v>516</v>
      </c>
      <c r="AU1172" t="s">
        <v>517</v>
      </c>
      <c r="AV1172" t="s">
        <v>518</v>
      </c>
      <c r="AW1172" t="s">
        <v>402</v>
      </c>
      <c r="AX1172" s="8" t="str">
        <f>"90071"</f>
        <v>90071</v>
      </c>
      <c r="AY1172" t="s">
        <v>118</v>
      </c>
      <c r="BA1172" s="10">
        <v>13108203322</v>
      </c>
      <c r="BC1172" t="s">
        <v>519</v>
      </c>
      <c r="BD1172" t="s">
        <v>520</v>
      </c>
      <c r="BE1172" t="s">
        <v>188</v>
      </c>
      <c r="BF1172" t="s">
        <v>172</v>
      </c>
      <c r="BG1172" t="s">
        <v>188</v>
      </c>
      <c r="BH1172" s="1">
        <v>45139.833333333336</v>
      </c>
      <c r="BI1172">
        <v>35</v>
      </c>
      <c r="BJ1172">
        <v>5</v>
      </c>
      <c r="BK1172">
        <v>5</v>
      </c>
      <c r="BL1172">
        <v>5</v>
      </c>
      <c r="BM1172">
        <v>5</v>
      </c>
      <c r="BN1172">
        <v>5</v>
      </c>
      <c r="BO1172">
        <v>5</v>
      </c>
      <c r="BP1172">
        <v>5</v>
      </c>
      <c r="BQ1172" t="str">
        <f>"8:30 AM"</f>
        <v>8:30 AM</v>
      </c>
      <c r="BR1172" t="str">
        <f>"4:30 PM"</f>
        <v>4:30 PM</v>
      </c>
      <c r="BS1172" t="s">
        <v>131</v>
      </c>
      <c r="BT1172">
        <v>0</v>
      </c>
      <c r="BU1172">
        <v>12</v>
      </c>
      <c r="BV1172" t="s">
        <v>114</v>
      </c>
      <c r="BX1172" s="2" t="s">
        <v>1461</v>
      </c>
      <c r="BY1172" t="s">
        <v>1456</v>
      </c>
      <c r="CA1172" t="s">
        <v>1457</v>
      </c>
      <c r="CB1172" t="s">
        <v>188</v>
      </c>
      <c r="CC1172" s="8" t="str">
        <f>"81620"</f>
        <v>81620</v>
      </c>
      <c r="CD1172" t="s">
        <v>1037</v>
      </c>
      <c r="CE1172" t="s">
        <v>1038</v>
      </c>
      <c r="CF1172" s="12">
        <v>19</v>
      </c>
      <c r="CH1172" s="12">
        <v>28.5</v>
      </c>
      <c r="CJ1172" t="s">
        <v>135</v>
      </c>
      <c r="CK1172" t="s">
        <v>524</v>
      </c>
      <c r="CL1172" t="s">
        <v>1462</v>
      </c>
      <c r="CO1172" t="s">
        <v>132</v>
      </c>
      <c r="CP1172" t="s">
        <v>114</v>
      </c>
      <c r="CQ1172" t="s">
        <v>114</v>
      </c>
      <c r="CR1172" t="s">
        <v>136</v>
      </c>
      <c r="CS1172" t="s">
        <v>114</v>
      </c>
      <c r="CT1172" t="s">
        <v>136</v>
      </c>
      <c r="CU1172" t="s">
        <v>136</v>
      </c>
      <c r="CV1172" s="2" t="s">
        <v>1463</v>
      </c>
      <c r="CW1172" s="10" t="str">
        <f>"+19708459800"</f>
        <v>+19708459800</v>
      </c>
      <c r="CX1172" t="s">
        <v>1460</v>
      </c>
      <c r="CY1172" t="s">
        <v>132</v>
      </c>
      <c r="CZ1172" t="s">
        <v>137</v>
      </c>
      <c r="DA1172" t="s">
        <v>114</v>
      </c>
      <c r="DB1172" t="s">
        <v>114</v>
      </c>
      <c r="DC1172" t="s">
        <v>136</v>
      </c>
      <c r="DD1172" t="s">
        <v>114</v>
      </c>
      <c r="DE1172" t="s">
        <v>527</v>
      </c>
      <c r="DF1172" t="s">
        <v>528</v>
      </c>
      <c r="DG1172" t="s">
        <v>732</v>
      </c>
      <c r="DH1172" t="s">
        <v>1464</v>
      </c>
      <c r="DI1172" t="s">
        <v>529</v>
      </c>
    </row>
    <row r="1173" spans="1:113" ht="15" customHeight="1" x14ac:dyDescent="0.25">
      <c r="A1173" t="s">
        <v>4149</v>
      </c>
      <c r="B1173" t="s">
        <v>152</v>
      </c>
      <c r="C1173" s="1">
        <v>45135.806117708336</v>
      </c>
      <c r="D1173" s="1">
        <v>45231</v>
      </c>
      <c r="E1173" t="s">
        <v>114</v>
      </c>
      <c r="F1173" t="s">
        <v>1595</v>
      </c>
      <c r="G1173" t="str">
        <f>"37-3011.00"</f>
        <v>37-3011.00</v>
      </c>
      <c r="H1173" t="s">
        <v>429</v>
      </c>
      <c r="I1173">
        <v>7</v>
      </c>
      <c r="J1173">
        <v>7</v>
      </c>
      <c r="K1173" s="1">
        <v>45210</v>
      </c>
      <c r="L1173" s="1">
        <v>45261</v>
      </c>
      <c r="M1173" s="1">
        <v>45210</v>
      </c>
      <c r="N1173" s="1">
        <v>45261</v>
      </c>
      <c r="O1173" t="s">
        <v>116</v>
      </c>
      <c r="P1173" t="s">
        <v>4150</v>
      </c>
      <c r="R1173" t="s">
        <v>4151</v>
      </c>
      <c r="T1173" t="s">
        <v>2447</v>
      </c>
      <c r="U1173" t="s">
        <v>984</v>
      </c>
      <c r="V1173" s="8" t="str">
        <f>"65802"</f>
        <v>65802</v>
      </c>
      <c r="W1173" t="s">
        <v>118</v>
      </c>
      <c r="Y1173" s="10">
        <v>14177512348</v>
      </c>
      <c r="AA1173">
        <v>56173</v>
      </c>
      <c r="AB1173" t="s">
        <v>4152</v>
      </c>
      <c r="AC1173" t="s">
        <v>2032</v>
      </c>
      <c r="AE1173" t="s">
        <v>1283</v>
      </c>
      <c r="AF1173" t="s">
        <v>4151</v>
      </c>
      <c r="AH1173" t="s">
        <v>2447</v>
      </c>
      <c r="AI1173" t="s">
        <v>984</v>
      </c>
      <c r="AJ1173" s="8" t="str">
        <f>"65802"</f>
        <v>65802</v>
      </c>
      <c r="AK1173" t="s">
        <v>118</v>
      </c>
      <c r="AM1173" s="10">
        <v>14177512348</v>
      </c>
      <c r="AO1173" t="s">
        <v>4153</v>
      </c>
      <c r="AP1173" t="s">
        <v>248</v>
      </c>
      <c r="AQ1173" t="s">
        <v>1237</v>
      </c>
      <c r="AR1173" t="s">
        <v>763</v>
      </c>
      <c r="AT1173" t="s">
        <v>1032</v>
      </c>
      <c r="AU1173" t="s">
        <v>852</v>
      </c>
      <c r="AV1173" t="s">
        <v>1033</v>
      </c>
      <c r="AW1173" t="s">
        <v>854</v>
      </c>
      <c r="AX1173" s="8" t="str">
        <f>"83814"</f>
        <v>83814</v>
      </c>
      <c r="AY1173" t="s">
        <v>118</v>
      </c>
      <c r="BA1173" s="10">
        <v>12087772654</v>
      </c>
      <c r="BC1173" t="s">
        <v>1238</v>
      </c>
      <c r="BD1173" t="s">
        <v>856</v>
      </c>
      <c r="BG1173" t="s">
        <v>984</v>
      </c>
      <c r="BH1173" s="1">
        <v>45134.833333333336</v>
      </c>
      <c r="BI1173">
        <v>40</v>
      </c>
      <c r="BJ1173">
        <v>0</v>
      </c>
      <c r="BK1173">
        <v>8</v>
      </c>
      <c r="BL1173">
        <v>8</v>
      </c>
      <c r="BM1173">
        <v>8</v>
      </c>
      <c r="BN1173">
        <v>8</v>
      </c>
      <c r="BO1173">
        <v>8</v>
      </c>
      <c r="BP1173">
        <v>0</v>
      </c>
      <c r="BQ1173" t="str">
        <f>"7:00 AM"</f>
        <v>7:00 AM</v>
      </c>
      <c r="BR1173" t="str">
        <f>"5:00 PM"</f>
        <v>5:00 PM</v>
      </c>
      <c r="BS1173" t="s">
        <v>131</v>
      </c>
      <c r="BT1173">
        <v>0</v>
      </c>
      <c r="BU1173">
        <v>0</v>
      </c>
      <c r="BV1173" t="s">
        <v>114</v>
      </c>
      <c r="BX1173" s="2" t="s">
        <v>4154</v>
      </c>
      <c r="BY1173" t="s">
        <v>4155</v>
      </c>
      <c r="CA1173" t="s">
        <v>2447</v>
      </c>
      <c r="CB1173" t="s">
        <v>984</v>
      </c>
      <c r="CC1173" s="8" t="str">
        <f>"65802"</f>
        <v>65802</v>
      </c>
      <c r="CD1173" t="s">
        <v>4156</v>
      </c>
      <c r="CE1173" t="s">
        <v>2157</v>
      </c>
      <c r="CF1173" s="12">
        <v>15.83</v>
      </c>
      <c r="CG1173" s="12">
        <v>16.829999999999998</v>
      </c>
      <c r="CH1173" s="12">
        <v>23.75</v>
      </c>
      <c r="CI1173" s="12">
        <v>25.25</v>
      </c>
      <c r="CJ1173" t="s">
        <v>135</v>
      </c>
      <c r="CK1173" t="s">
        <v>1899</v>
      </c>
      <c r="CL1173" t="s">
        <v>4157</v>
      </c>
      <c r="CO1173" t="s">
        <v>132</v>
      </c>
      <c r="CP1173" t="s">
        <v>136</v>
      </c>
      <c r="CQ1173" t="s">
        <v>136</v>
      </c>
      <c r="CR1173" t="s">
        <v>136</v>
      </c>
      <c r="CS1173" t="s">
        <v>136</v>
      </c>
      <c r="CT1173" t="s">
        <v>136</v>
      </c>
      <c r="CU1173" t="s">
        <v>136</v>
      </c>
      <c r="CV1173" t="s">
        <v>4158</v>
      </c>
      <c r="CW1173" s="10" t="str">
        <f>"+14178729414"</f>
        <v>+14178729414</v>
      </c>
      <c r="CX1173" t="s">
        <v>4159</v>
      </c>
      <c r="CY1173" t="s">
        <v>132</v>
      </c>
      <c r="CZ1173" t="s">
        <v>137</v>
      </c>
      <c r="DA1173" t="s">
        <v>114</v>
      </c>
      <c r="DB1173" t="s">
        <v>136</v>
      </c>
      <c r="DC1173" t="s">
        <v>136</v>
      </c>
      <c r="DD1173" t="s">
        <v>114</v>
      </c>
    </row>
    <row r="1174" spans="1:113" ht="15" customHeight="1" x14ac:dyDescent="0.25">
      <c r="A1174" t="s">
        <v>6266</v>
      </c>
      <c r="B1174" t="s">
        <v>152</v>
      </c>
      <c r="C1174" s="1">
        <v>45131.979156250003</v>
      </c>
      <c r="D1174" s="1">
        <v>45231</v>
      </c>
      <c r="E1174" t="s">
        <v>114</v>
      </c>
      <c r="F1174" t="s">
        <v>6267</v>
      </c>
      <c r="G1174" t="str">
        <f>"39-9011.01"</f>
        <v>39-9011.01</v>
      </c>
      <c r="H1174" t="s">
        <v>183</v>
      </c>
      <c r="I1174">
        <v>1</v>
      </c>
      <c r="J1174">
        <v>1</v>
      </c>
      <c r="K1174" s="1">
        <v>45208</v>
      </c>
      <c r="L1174" s="1">
        <v>45457</v>
      </c>
      <c r="M1174" s="1">
        <v>45208</v>
      </c>
      <c r="N1174" s="1">
        <v>45457</v>
      </c>
      <c r="O1174" t="s">
        <v>238</v>
      </c>
      <c r="P1174" t="s">
        <v>6268</v>
      </c>
      <c r="R1174" t="s">
        <v>6269</v>
      </c>
      <c r="T1174" t="s">
        <v>6270</v>
      </c>
      <c r="U1174" t="s">
        <v>434</v>
      </c>
      <c r="V1174" s="8" t="str">
        <f>"15656"</f>
        <v>15656</v>
      </c>
      <c r="W1174" t="s">
        <v>118</v>
      </c>
      <c r="Y1174" s="10">
        <v>17244487788</v>
      </c>
      <c r="AA1174">
        <v>814110</v>
      </c>
      <c r="AB1174" t="s">
        <v>6271</v>
      </c>
      <c r="AC1174" t="s">
        <v>3369</v>
      </c>
      <c r="AE1174" t="s">
        <v>6272</v>
      </c>
      <c r="AF1174" t="s">
        <v>6269</v>
      </c>
      <c r="AH1174" t="s">
        <v>6270</v>
      </c>
      <c r="AI1174" t="s">
        <v>434</v>
      </c>
      <c r="AJ1174" s="8" t="str">
        <f>"15656"</f>
        <v>15656</v>
      </c>
      <c r="AK1174" t="s">
        <v>118</v>
      </c>
      <c r="AM1174" s="10">
        <v>17244487788</v>
      </c>
      <c r="AO1174" t="s">
        <v>6273</v>
      </c>
      <c r="AP1174" t="s">
        <v>121</v>
      </c>
      <c r="AQ1174" t="s">
        <v>380</v>
      </c>
      <c r="AR1174" t="s">
        <v>381</v>
      </c>
      <c r="AT1174" t="s">
        <v>383</v>
      </c>
      <c r="AU1174" t="s">
        <v>384</v>
      </c>
      <c r="AV1174" t="s">
        <v>385</v>
      </c>
      <c r="AW1174" t="s">
        <v>386</v>
      </c>
      <c r="AX1174" s="8" t="str">
        <f>"37122"</f>
        <v>37122</v>
      </c>
      <c r="AY1174" t="s">
        <v>118</v>
      </c>
      <c r="BA1174" s="10">
        <v>16154227130</v>
      </c>
      <c r="BC1174" t="s">
        <v>1012</v>
      </c>
      <c r="BD1174" t="s">
        <v>1013</v>
      </c>
      <c r="BE1174" t="s">
        <v>386</v>
      </c>
      <c r="BF1174" t="s">
        <v>389</v>
      </c>
      <c r="BG1174" t="s">
        <v>434</v>
      </c>
      <c r="BH1174" s="1">
        <v>45130.833333333336</v>
      </c>
      <c r="BI1174">
        <v>40</v>
      </c>
      <c r="BJ1174">
        <v>0</v>
      </c>
      <c r="BK1174">
        <v>8</v>
      </c>
      <c r="BL1174">
        <v>8</v>
      </c>
      <c r="BM1174">
        <v>8</v>
      </c>
      <c r="BN1174">
        <v>8</v>
      </c>
      <c r="BO1174">
        <v>8</v>
      </c>
      <c r="BP1174">
        <v>0</v>
      </c>
      <c r="BQ1174" t="str">
        <f>"7:00 AM"</f>
        <v>7:00 AM</v>
      </c>
      <c r="BR1174" t="str">
        <f>"3:00 PM"</f>
        <v>3:00 PM</v>
      </c>
      <c r="BS1174" t="s">
        <v>131</v>
      </c>
      <c r="BT1174">
        <v>0</v>
      </c>
      <c r="BU1174">
        <v>2</v>
      </c>
      <c r="BV1174" t="s">
        <v>114</v>
      </c>
      <c r="BX1174" t="s">
        <v>6274</v>
      </c>
      <c r="BY1174" t="s">
        <v>6269</v>
      </c>
      <c r="CA1174" t="s">
        <v>6270</v>
      </c>
      <c r="CB1174" t="s">
        <v>434</v>
      </c>
      <c r="CC1174" s="8" t="str">
        <f>"15656"</f>
        <v>15656</v>
      </c>
      <c r="CD1174" t="s">
        <v>6275</v>
      </c>
      <c r="CE1174" t="s">
        <v>1887</v>
      </c>
      <c r="CF1174" s="12">
        <v>13.27</v>
      </c>
      <c r="CG1174" s="12">
        <v>13.27</v>
      </c>
      <c r="CH1174" s="12">
        <v>19.91</v>
      </c>
      <c r="CI1174" s="12">
        <v>19.91</v>
      </c>
      <c r="CJ1174" t="s">
        <v>135</v>
      </c>
      <c r="CL1174" t="s">
        <v>6276</v>
      </c>
      <c r="CO1174" t="s">
        <v>132</v>
      </c>
      <c r="CP1174" t="s">
        <v>136</v>
      </c>
      <c r="CQ1174" t="s">
        <v>114</v>
      </c>
      <c r="CR1174" t="s">
        <v>136</v>
      </c>
      <c r="CS1174" t="s">
        <v>114</v>
      </c>
      <c r="CT1174" t="s">
        <v>136</v>
      </c>
      <c r="CU1174" t="s">
        <v>136</v>
      </c>
      <c r="CV1174" t="s">
        <v>6277</v>
      </c>
      <c r="CW1174" s="10" t="str">
        <f>"+17244487788"</f>
        <v>+17244487788</v>
      </c>
      <c r="CX1174" t="s">
        <v>6273</v>
      </c>
      <c r="CY1174" t="s">
        <v>132</v>
      </c>
      <c r="CZ1174" t="s">
        <v>137</v>
      </c>
      <c r="DA1174" t="s">
        <v>114</v>
      </c>
      <c r="DB1174" t="s">
        <v>114</v>
      </c>
      <c r="DC1174" t="s">
        <v>136</v>
      </c>
      <c r="DD1174" t="s">
        <v>114</v>
      </c>
    </row>
    <row r="1175" spans="1:113" ht="15" customHeight="1" x14ac:dyDescent="0.25">
      <c r="A1175" t="s">
        <v>13359</v>
      </c>
      <c r="B1175" t="s">
        <v>152</v>
      </c>
      <c r="C1175" s="1">
        <v>45119.633777083334</v>
      </c>
      <c r="D1175" s="1">
        <v>45231</v>
      </c>
      <c r="E1175" t="s">
        <v>114</v>
      </c>
      <c r="F1175" t="s">
        <v>13360</v>
      </c>
      <c r="G1175" t="str">
        <f>"35-1012.00"</f>
        <v>35-1012.00</v>
      </c>
      <c r="H1175" t="s">
        <v>2122</v>
      </c>
      <c r="I1175">
        <v>3</v>
      </c>
      <c r="J1175">
        <v>3</v>
      </c>
      <c r="K1175" s="1">
        <v>45200</v>
      </c>
      <c r="L1175" s="1">
        <v>45443</v>
      </c>
      <c r="M1175" s="1">
        <v>45200</v>
      </c>
      <c r="N1175" s="1">
        <v>45443</v>
      </c>
      <c r="O1175" t="s">
        <v>238</v>
      </c>
      <c r="P1175" t="s">
        <v>13361</v>
      </c>
      <c r="R1175" t="s">
        <v>13362</v>
      </c>
      <c r="T1175" t="s">
        <v>7160</v>
      </c>
      <c r="U1175" t="s">
        <v>140</v>
      </c>
      <c r="V1175" s="8" t="str">
        <f>"34997"</f>
        <v>34997</v>
      </c>
      <c r="W1175" t="s">
        <v>118</v>
      </c>
      <c r="Y1175" s="10">
        <v>17722831114</v>
      </c>
      <c r="AA1175">
        <v>713910</v>
      </c>
      <c r="AB1175" t="s">
        <v>13363</v>
      </c>
      <c r="AC1175" t="s">
        <v>13364</v>
      </c>
      <c r="AE1175" t="s">
        <v>7804</v>
      </c>
      <c r="AF1175" t="s">
        <v>13362</v>
      </c>
      <c r="AH1175" t="s">
        <v>7160</v>
      </c>
      <c r="AI1175" t="s">
        <v>140</v>
      </c>
      <c r="AJ1175" s="8" t="str">
        <f>"34997"</f>
        <v>34997</v>
      </c>
      <c r="AK1175" t="s">
        <v>118</v>
      </c>
      <c r="AM1175" s="10">
        <v>17722831114</v>
      </c>
      <c r="AO1175" t="s">
        <v>796</v>
      </c>
      <c r="AP1175" t="s">
        <v>248</v>
      </c>
      <c r="AQ1175" t="s">
        <v>354</v>
      </c>
      <c r="AR1175" t="s">
        <v>355</v>
      </c>
      <c r="AT1175" t="s">
        <v>356</v>
      </c>
      <c r="AV1175" t="s">
        <v>357</v>
      </c>
      <c r="AW1175" t="s">
        <v>358</v>
      </c>
      <c r="AX1175" s="8" t="str">
        <f>"11590"</f>
        <v>11590</v>
      </c>
      <c r="AY1175" t="s">
        <v>118</v>
      </c>
      <c r="BA1175" s="10">
        <v>15163307168</v>
      </c>
      <c r="BC1175" t="s">
        <v>359</v>
      </c>
      <c r="BD1175" t="s">
        <v>360</v>
      </c>
      <c r="BG1175" t="s">
        <v>140</v>
      </c>
      <c r="BH1175" s="1">
        <v>45118.833333333336</v>
      </c>
      <c r="BI1175">
        <v>40</v>
      </c>
      <c r="BJ1175">
        <v>8</v>
      </c>
      <c r="BK1175">
        <v>0</v>
      </c>
      <c r="BL1175">
        <v>8</v>
      </c>
      <c r="BM1175">
        <v>0</v>
      </c>
      <c r="BN1175">
        <v>8</v>
      </c>
      <c r="BO1175">
        <v>8</v>
      </c>
      <c r="BP1175">
        <v>8</v>
      </c>
      <c r="BQ1175" t="str">
        <f>"6:00 AM"</f>
        <v>6:00 AM</v>
      </c>
      <c r="BR1175" t="str">
        <f>"10:00 PM"</f>
        <v>10:00 PM</v>
      </c>
      <c r="BS1175" t="s">
        <v>131</v>
      </c>
      <c r="BT1175">
        <v>0</v>
      </c>
      <c r="BU1175">
        <v>3</v>
      </c>
      <c r="BV1175" t="s">
        <v>114</v>
      </c>
      <c r="BX1175" t="s">
        <v>132</v>
      </c>
      <c r="BY1175" t="s">
        <v>13362</v>
      </c>
      <c r="CA1175" t="s">
        <v>7160</v>
      </c>
      <c r="CB1175" t="s">
        <v>140</v>
      </c>
      <c r="CC1175" s="8" t="str">
        <f>"34997"</f>
        <v>34997</v>
      </c>
      <c r="CD1175" t="s">
        <v>695</v>
      </c>
      <c r="CE1175" t="s">
        <v>696</v>
      </c>
      <c r="CF1175" s="12">
        <v>21</v>
      </c>
      <c r="CG1175" s="12">
        <v>25</v>
      </c>
      <c r="CH1175" s="12">
        <v>31.5</v>
      </c>
      <c r="CI1175" s="12">
        <v>37.5</v>
      </c>
      <c r="CJ1175" t="s">
        <v>135</v>
      </c>
      <c r="CL1175" t="s">
        <v>13365</v>
      </c>
      <c r="CO1175" t="s">
        <v>132</v>
      </c>
      <c r="CP1175" t="s">
        <v>114</v>
      </c>
      <c r="CQ1175" t="s">
        <v>114</v>
      </c>
      <c r="CR1175" t="s">
        <v>136</v>
      </c>
      <c r="CS1175" t="s">
        <v>114</v>
      </c>
      <c r="CT1175" t="s">
        <v>136</v>
      </c>
      <c r="CU1175" t="s">
        <v>136</v>
      </c>
      <c r="CV1175" t="s">
        <v>13366</v>
      </c>
      <c r="CW1175" s="10" t="str">
        <f>"+17724195327"</f>
        <v>+17724195327</v>
      </c>
      <c r="CX1175" t="s">
        <v>13367</v>
      </c>
      <c r="CY1175" t="s">
        <v>132</v>
      </c>
      <c r="CZ1175" t="s">
        <v>137</v>
      </c>
      <c r="DA1175" t="s">
        <v>114</v>
      </c>
      <c r="DB1175" t="s">
        <v>114</v>
      </c>
      <c r="DC1175" t="s">
        <v>136</v>
      </c>
      <c r="DD1175" t="s">
        <v>114</v>
      </c>
    </row>
    <row r="1176" spans="1:113" ht="15" customHeight="1" x14ac:dyDescent="0.25">
      <c r="A1176" t="s">
        <v>15547</v>
      </c>
      <c r="B1176" t="s">
        <v>152</v>
      </c>
      <c r="C1176" s="1">
        <v>45189.716573379628</v>
      </c>
      <c r="D1176" s="1">
        <v>45230</v>
      </c>
      <c r="E1176" t="s">
        <v>132</v>
      </c>
      <c r="F1176" t="s">
        <v>15548</v>
      </c>
      <c r="G1176" t="str">
        <f>"35-2015.00"</f>
        <v>35-2015.00</v>
      </c>
      <c r="H1176" t="s">
        <v>2075</v>
      </c>
      <c r="I1176">
        <v>6</v>
      </c>
      <c r="J1176">
        <v>6</v>
      </c>
      <c r="K1176" s="1">
        <v>45264</v>
      </c>
      <c r="L1176" s="1">
        <v>45427</v>
      </c>
      <c r="M1176" s="1">
        <v>45264</v>
      </c>
      <c r="N1176" s="1">
        <v>45427</v>
      </c>
      <c r="O1176" t="s">
        <v>116</v>
      </c>
      <c r="P1176" t="s">
        <v>15549</v>
      </c>
      <c r="Q1176" t="s">
        <v>15550</v>
      </c>
      <c r="R1176" t="s">
        <v>15551</v>
      </c>
      <c r="T1176" t="s">
        <v>15552</v>
      </c>
      <c r="U1176" t="s">
        <v>140</v>
      </c>
      <c r="V1176" s="8" t="str">
        <f>"33460"</f>
        <v>33460</v>
      </c>
      <c r="W1176" t="s">
        <v>118</v>
      </c>
      <c r="Y1176" s="10">
        <v>19083476045</v>
      </c>
      <c r="AA1176">
        <v>722320</v>
      </c>
      <c r="AB1176" t="s">
        <v>15553</v>
      </c>
      <c r="AC1176" t="s">
        <v>15554</v>
      </c>
      <c r="AE1176" t="s">
        <v>654</v>
      </c>
      <c r="AF1176" t="s">
        <v>15551</v>
      </c>
      <c r="AH1176" t="s">
        <v>15552</v>
      </c>
      <c r="AI1176" t="s">
        <v>140</v>
      </c>
      <c r="AJ1176" s="8" t="str">
        <f>"33460"</f>
        <v>33460</v>
      </c>
      <c r="AK1176" t="s">
        <v>118</v>
      </c>
      <c r="AM1176" s="10">
        <v>19083476045</v>
      </c>
      <c r="AO1176" t="s">
        <v>15555</v>
      </c>
      <c r="AP1176" t="s">
        <v>248</v>
      </c>
      <c r="AQ1176" t="s">
        <v>5963</v>
      </c>
      <c r="AR1176" t="s">
        <v>2629</v>
      </c>
      <c r="AS1176" t="s">
        <v>2749</v>
      </c>
      <c r="AT1176" t="s">
        <v>5964</v>
      </c>
      <c r="AU1176" t="s">
        <v>5307</v>
      </c>
      <c r="AV1176" t="s">
        <v>5965</v>
      </c>
      <c r="AW1176" t="s">
        <v>222</v>
      </c>
      <c r="AX1176" s="8" t="str">
        <f>"02675"</f>
        <v>02675</v>
      </c>
      <c r="AY1176" t="s">
        <v>118</v>
      </c>
      <c r="BA1176" s="10">
        <v>15083759111</v>
      </c>
      <c r="BC1176" t="s">
        <v>5966</v>
      </c>
      <c r="BD1176" t="s">
        <v>15556</v>
      </c>
      <c r="BG1176" t="s">
        <v>140</v>
      </c>
      <c r="BH1176" s="1">
        <v>45188.833333333336</v>
      </c>
      <c r="BI1176">
        <v>40</v>
      </c>
      <c r="BJ1176">
        <v>8</v>
      </c>
      <c r="BK1176">
        <v>0</v>
      </c>
      <c r="BL1176">
        <v>0</v>
      </c>
      <c r="BM1176">
        <v>8</v>
      </c>
      <c r="BN1176">
        <v>8</v>
      </c>
      <c r="BO1176">
        <v>8</v>
      </c>
      <c r="BP1176">
        <v>8</v>
      </c>
      <c r="BQ1176" t="str">
        <f>"2:00 PM"</f>
        <v>2:00 PM</v>
      </c>
      <c r="BR1176" t="str">
        <f>"10:00 PM"</f>
        <v>10:00 PM</v>
      </c>
      <c r="BS1176" t="s">
        <v>131</v>
      </c>
      <c r="BT1176">
        <v>0</v>
      </c>
      <c r="BU1176">
        <v>0</v>
      </c>
      <c r="BV1176" t="s">
        <v>114</v>
      </c>
      <c r="BX1176" t="s">
        <v>1480</v>
      </c>
      <c r="BY1176" t="s">
        <v>15557</v>
      </c>
      <c r="CA1176" t="s">
        <v>15552</v>
      </c>
      <c r="CB1176" t="s">
        <v>140</v>
      </c>
      <c r="CC1176" s="8" t="str">
        <f>"33460"</f>
        <v>33460</v>
      </c>
      <c r="CD1176" t="s">
        <v>767</v>
      </c>
      <c r="CE1176" t="s">
        <v>149</v>
      </c>
      <c r="CF1176" s="12">
        <v>13.62</v>
      </c>
      <c r="CG1176" s="12">
        <v>13.62</v>
      </c>
      <c r="CH1176" s="12">
        <v>20.43</v>
      </c>
      <c r="CI1176" s="12">
        <v>20.43</v>
      </c>
      <c r="CJ1176" t="s">
        <v>135</v>
      </c>
      <c r="CL1176" t="s">
        <v>15558</v>
      </c>
      <c r="CO1176" t="s">
        <v>132</v>
      </c>
      <c r="CP1176" t="s">
        <v>136</v>
      </c>
      <c r="CQ1176" t="s">
        <v>136</v>
      </c>
      <c r="CR1176" t="s">
        <v>136</v>
      </c>
      <c r="CS1176" t="s">
        <v>136</v>
      </c>
      <c r="CT1176" t="s">
        <v>136</v>
      </c>
      <c r="CU1176" t="s">
        <v>136</v>
      </c>
      <c r="CV1176" t="s">
        <v>15559</v>
      </c>
      <c r="CW1176" s="10" t="str">
        <f>"+19083476045"</f>
        <v>+19083476045</v>
      </c>
      <c r="CX1176" t="s">
        <v>15560</v>
      </c>
      <c r="CY1176" t="s">
        <v>132</v>
      </c>
      <c r="CZ1176" t="s">
        <v>137</v>
      </c>
      <c r="DA1176" t="s">
        <v>114</v>
      </c>
      <c r="DB1176" t="s">
        <v>114</v>
      </c>
      <c r="DC1176" t="s">
        <v>136</v>
      </c>
      <c r="DD1176" t="s">
        <v>114</v>
      </c>
    </row>
    <row r="1177" spans="1:113" ht="15" customHeight="1" x14ac:dyDescent="0.25">
      <c r="A1177" t="s">
        <v>6237</v>
      </c>
      <c r="B1177" t="s">
        <v>152</v>
      </c>
      <c r="C1177" s="1">
        <v>45167.822355208336</v>
      </c>
      <c r="D1177" s="1">
        <v>45230</v>
      </c>
      <c r="E1177" t="s">
        <v>114</v>
      </c>
      <c r="F1177" t="s">
        <v>6238</v>
      </c>
      <c r="G1177" t="str">
        <f>"53-7062.00"</f>
        <v>53-7062.00</v>
      </c>
      <c r="H1177" t="s">
        <v>2078</v>
      </c>
      <c r="I1177">
        <v>12</v>
      </c>
      <c r="J1177">
        <v>12</v>
      </c>
      <c r="K1177" s="1">
        <v>45242</v>
      </c>
      <c r="L1177" s="1">
        <v>45397</v>
      </c>
      <c r="M1177" s="1">
        <v>45242</v>
      </c>
      <c r="N1177" s="1">
        <v>45397</v>
      </c>
      <c r="O1177" t="s">
        <v>116</v>
      </c>
      <c r="P1177" t="s">
        <v>6239</v>
      </c>
      <c r="R1177" t="s">
        <v>6240</v>
      </c>
      <c r="T1177" t="s">
        <v>6241</v>
      </c>
      <c r="U1177" t="s">
        <v>984</v>
      </c>
      <c r="V1177" s="8" t="str">
        <f>"65026"</f>
        <v>65026</v>
      </c>
      <c r="W1177" t="s">
        <v>118</v>
      </c>
      <c r="Y1177" s="10">
        <v>16362445651</v>
      </c>
      <c r="AA1177">
        <v>561790</v>
      </c>
      <c r="AB1177" t="s">
        <v>6242</v>
      </c>
      <c r="AC1177" t="s">
        <v>6243</v>
      </c>
      <c r="AE1177" t="s">
        <v>654</v>
      </c>
      <c r="AF1177" t="s">
        <v>6240</v>
      </c>
      <c r="AH1177" t="s">
        <v>6241</v>
      </c>
      <c r="AI1177" t="s">
        <v>984</v>
      </c>
      <c r="AJ1177" s="8" t="str">
        <f>"65026"</f>
        <v>65026</v>
      </c>
      <c r="AK1177" t="s">
        <v>118</v>
      </c>
      <c r="AM1177" s="10">
        <v>16362445651</v>
      </c>
      <c r="AO1177" t="s">
        <v>6244</v>
      </c>
      <c r="AP1177" t="s">
        <v>248</v>
      </c>
      <c r="AQ1177" t="s">
        <v>6245</v>
      </c>
      <c r="AR1177" t="s">
        <v>1555</v>
      </c>
      <c r="AT1177" t="s">
        <v>5132</v>
      </c>
      <c r="AV1177" t="s">
        <v>6246</v>
      </c>
      <c r="AW1177" t="s">
        <v>358</v>
      </c>
      <c r="AX1177" s="8" t="str">
        <f>"11590"</f>
        <v>11590</v>
      </c>
      <c r="AY1177" t="s">
        <v>118</v>
      </c>
      <c r="BA1177" s="10">
        <v>15163307168</v>
      </c>
      <c r="BC1177" t="s">
        <v>2774</v>
      </c>
      <c r="BD1177" t="s">
        <v>5133</v>
      </c>
      <c r="BG1177" t="s">
        <v>984</v>
      </c>
      <c r="BH1177" s="1">
        <v>45166.833333333336</v>
      </c>
      <c r="BI1177">
        <v>40</v>
      </c>
      <c r="BJ1177">
        <v>0</v>
      </c>
      <c r="BK1177">
        <v>8</v>
      </c>
      <c r="BL1177">
        <v>8</v>
      </c>
      <c r="BM1177">
        <v>8</v>
      </c>
      <c r="BN1177">
        <v>8</v>
      </c>
      <c r="BO1177">
        <v>8</v>
      </c>
      <c r="BP1177">
        <v>0</v>
      </c>
      <c r="BQ1177" t="str">
        <f>"7:00 AM"</f>
        <v>7:00 AM</v>
      </c>
      <c r="BR1177" t="str">
        <f>"4:30 PM"</f>
        <v>4:30 PM</v>
      </c>
      <c r="BS1177" t="s">
        <v>131</v>
      </c>
      <c r="BT1177">
        <v>0</v>
      </c>
      <c r="BU1177">
        <v>0</v>
      </c>
      <c r="BV1177" t="s">
        <v>114</v>
      </c>
      <c r="BX1177" t="s">
        <v>1480</v>
      </c>
      <c r="BY1177" t="s">
        <v>6240</v>
      </c>
      <c r="CA1177" t="s">
        <v>6241</v>
      </c>
      <c r="CB1177" t="s">
        <v>984</v>
      </c>
      <c r="CC1177" s="8" t="str">
        <f>"65026"</f>
        <v>65026</v>
      </c>
      <c r="CD1177" t="s">
        <v>480</v>
      </c>
      <c r="CE1177" t="s">
        <v>998</v>
      </c>
      <c r="CF1177" s="12">
        <v>16.18</v>
      </c>
      <c r="CG1177" s="12">
        <v>16.18</v>
      </c>
      <c r="CH1177" s="12">
        <v>24.27</v>
      </c>
      <c r="CI1177" s="12">
        <v>24.27</v>
      </c>
      <c r="CJ1177" t="s">
        <v>135</v>
      </c>
      <c r="CL1177" t="s">
        <v>6247</v>
      </c>
      <c r="CO1177" t="s">
        <v>132</v>
      </c>
      <c r="CP1177" t="s">
        <v>136</v>
      </c>
      <c r="CQ1177" t="s">
        <v>136</v>
      </c>
      <c r="CR1177" t="s">
        <v>136</v>
      </c>
      <c r="CS1177" t="s">
        <v>114</v>
      </c>
      <c r="CT1177" t="s">
        <v>136</v>
      </c>
      <c r="CU1177" t="s">
        <v>114</v>
      </c>
      <c r="CV1177" t="s">
        <v>1480</v>
      </c>
      <c r="CW1177" s="10" t="str">
        <f>"+16362445651"</f>
        <v>+16362445651</v>
      </c>
      <c r="CX1177" t="s">
        <v>6244</v>
      </c>
      <c r="CY1177" t="s">
        <v>132</v>
      </c>
      <c r="CZ1177" t="s">
        <v>137</v>
      </c>
      <c r="DA1177" t="s">
        <v>114</v>
      </c>
      <c r="DB1177" t="s">
        <v>114</v>
      </c>
      <c r="DC1177" t="s">
        <v>136</v>
      </c>
      <c r="DD1177" t="s">
        <v>114</v>
      </c>
    </row>
    <row r="1178" spans="1:113" ht="15" customHeight="1" x14ac:dyDescent="0.25">
      <c r="A1178" t="s">
        <v>4421</v>
      </c>
      <c r="B1178" t="s">
        <v>152</v>
      </c>
      <c r="C1178" s="1">
        <v>45166.586080555557</v>
      </c>
      <c r="D1178" s="1">
        <v>45230</v>
      </c>
      <c r="E1178" t="s">
        <v>114</v>
      </c>
      <c r="F1178" t="s">
        <v>3847</v>
      </c>
      <c r="G1178" t="str">
        <f>"39-2021.00"</f>
        <v>39-2021.00</v>
      </c>
      <c r="H1178" t="s">
        <v>2895</v>
      </c>
      <c r="I1178">
        <v>4</v>
      </c>
      <c r="J1178">
        <v>4</v>
      </c>
      <c r="K1178" s="1">
        <v>45250</v>
      </c>
      <c r="L1178" s="1">
        <v>45529</v>
      </c>
      <c r="M1178" s="1">
        <v>45250</v>
      </c>
      <c r="N1178" s="1">
        <v>45529</v>
      </c>
      <c r="O1178" t="s">
        <v>238</v>
      </c>
      <c r="P1178" t="s">
        <v>4422</v>
      </c>
      <c r="R1178" t="s">
        <v>4423</v>
      </c>
      <c r="T1178" t="s">
        <v>4424</v>
      </c>
      <c r="U1178" t="s">
        <v>581</v>
      </c>
      <c r="V1178" s="8" t="str">
        <f>"22737"</f>
        <v>22737</v>
      </c>
      <c r="W1178" t="s">
        <v>118</v>
      </c>
      <c r="Y1178" s="10">
        <v>15402227105</v>
      </c>
      <c r="AA1178">
        <v>711212</v>
      </c>
      <c r="AB1178" t="s">
        <v>4425</v>
      </c>
      <c r="AC1178" t="s">
        <v>4426</v>
      </c>
      <c r="AE1178" t="s">
        <v>3852</v>
      </c>
      <c r="AF1178" t="s">
        <v>4427</v>
      </c>
      <c r="AH1178" t="s">
        <v>4424</v>
      </c>
      <c r="AI1178" t="s">
        <v>581</v>
      </c>
      <c r="AJ1178" s="8" t="str">
        <f>"22737"</f>
        <v>22737</v>
      </c>
      <c r="AK1178" t="s">
        <v>118</v>
      </c>
      <c r="AM1178" s="10">
        <v>15402227105</v>
      </c>
      <c r="AO1178" t="s">
        <v>4428</v>
      </c>
      <c r="AP1178" t="s">
        <v>121</v>
      </c>
      <c r="AQ1178" t="s">
        <v>3854</v>
      </c>
      <c r="AR1178" t="s">
        <v>144</v>
      </c>
      <c r="AS1178" t="s">
        <v>3855</v>
      </c>
      <c r="AT1178" t="s">
        <v>2605</v>
      </c>
      <c r="AU1178" t="s">
        <v>2606</v>
      </c>
      <c r="AV1178" t="s">
        <v>2607</v>
      </c>
      <c r="AW1178" t="s">
        <v>2608</v>
      </c>
      <c r="AX1178" s="8" t="str">
        <f>"73069"</f>
        <v>73069</v>
      </c>
      <c r="AY1178" t="s">
        <v>118</v>
      </c>
      <c r="BA1178" s="10">
        <v>14053642525</v>
      </c>
      <c r="BC1178" t="s">
        <v>2609</v>
      </c>
      <c r="BD1178" t="s">
        <v>2610</v>
      </c>
      <c r="BE1178" t="s">
        <v>2608</v>
      </c>
      <c r="BF1178" t="s">
        <v>2611</v>
      </c>
      <c r="BG1178" t="s">
        <v>581</v>
      </c>
      <c r="BH1178" s="1">
        <v>45165.833333333336</v>
      </c>
      <c r="BI1178">
        <v>56</v>
      </c>
      <c r="BJ1178">
        <v>8</v>
      </c>
      <c r="BK1178">
        <v>8</v>
      </c>
      <c r="BL1178">
        <v>8</v>
      </c>
      <c r="BM1178">
        <v>8</v>
      </c>
      <c r="BN1178">
        <v>8</v>
      </c>
      <c r="BO1178">
        <v>8</v>
      </c>
      <c r="BP1178">
        <v>8</v>
      </c>
      <c r="BQ1178" t="str">
        <f>"5:00 AM"</f>
        <v>5:00 AM</v>
      </c>
      <c r="BR1178" t="str">
        <f>"5:00 PM"</f>
        <v>5:00 PM</v>
      </c>
      <c r="BS1178" t="s">
        <v>131</v>
      </c>
      <c r="BT1178">
        <v>0</v>
      </c>
      <c r="BU1178">
        <v>1</v>
      </c>
      <c r="BV1178" t="s">
        <v>114</v>
      </c>
      <c r="BX1178" s="2" t="s">
        <v>4212</v>
      </c>
      <c r="BY1178" t="s">
        <v>4427</v>
      </c>
      <c r="CA1178" t="s">
        <v>4424</v>
      </c>
      <c r="CB1178" t="s">
        <v>581</v>
      </c>
      <c r="CC1178" s="8" t="str">
        <f>"22737"</f>
        <v>22737</v>
      </c>
      <c r="CD1178" t="s">
        <v>4429</v>
      </c>
      <c r="CE1178" t="s">
        <v>1794</v>
      </c>
      <c r="CF1178" s="12">
        <v>15.56</v>
      </c>
      <c r="CG1178" s="12">
        <v>15.56</v>
      </c>
      <c r="CH1178" s="12">
        <v>23.34</v>
      </c>
      <c r="CI1178" s="12">
        <v>23.34</v>
      </c>
      <c r="CJ1178" t="s">
        <v>135</v>
      </c>
      <c r="CL1178" t="s">
        <v>4430</v>
      </c>
      <c r="CO1178" t="s">
        <v>132</v>
      </c>
      <c r="CP1178" t="s">
        <v>114</v>
      </c>
      <c r="CQ1178" t="s">
        <v>114</v>
      </c>
      <c r="CR1178" t="s">
        <v>136</v>
      </c>
      <c r="CS1178" t="s">
        <v>114</v>
      </c>
      <c r="CT1178" t="s">
        <v>136</v>
      </c>
      <c r="CU1178" t="s">
        <v>114</v>
      </c>
      <c r="CV1178" t="s">
        <v>2612</v>
      </c>
      <c r="CW1178" s="10" t="str">
        <f>"+15402227105"</f>
        <v>+15402227105</v>
      </c>
      <c r="CX1178" t="s">
        <v>4428</v>
      </c>
      <c r="CY1178" t="s">
        <v>132</v>
      </c>
      <c r="CZ1178" t="s">
        <v>137</v>
      </c>
      <c r="DA1178" t="s">
        <v>114</v>
      </c>
      <c r="DB1178" t="s">
        <v>114</v>
      </c>
      <c r="DC1178" t="s">
        <v>136</v>
      </c>
      <c r="DD1178" t="s">
        <v>114</v>
      </c>
    </row>
    <row r="1179" spans="1:113" ht="15" customHeight="1" x14ac:dyDescent="0.25">
      <c r="A1179" t="s">
        <v>19244</v>
      </c>
      <c r="B1179" t="s">
        <v>152</v>
      </c>
      <c r="C1179" s="1">
        <v>45163.479615856479</v>
      </c>
      <c r="D1179" s="1">
        <v>45230</v>
      </c>
      <c r="E1179" t="s">
        <v>136</v>
      </c>
      <c r="F1179" t="s">
        <v>1397</v>
      </c>
      <c r="G1179" t="str">
        <f>"39-9011.01"</f>
        <v>39-9011.01</v>
      </c>
      <c r="H1179" t="s">
        <v>183</v>
      </c>
      <c r="I1179">
        <v>1</v>
      </c>
      <c r="J1179">
        <v>1</v>
      </c>
      <c r="K1179" s="1">
        <v>45239</v>
      </c>
      <c r="L1179" s="1">
        <v>45579</v>
      </c>
      <c r="M1179" s="1">
        <v>45239</v>
      </c>
      <c r="N1179" s="1">
        <v>45579</v>
      </c>
      <c r="O1179" t="s">
        <v>184</v>
      </c>
      <c r="P1179" t="s">
        <v>19245</v>
      </c>
      <c r="R1179" t="s">
        <v>19246</v>
      </c>
      <c r="T1179" t="s">
        <v>19247</v>
      </c>
      <c r="V1179" s="8" t="str">
        <f>"30080"</f>
        <v>30080</v>
      </c>
      <c r="W1179" t="s">
        <v>8680</v>
      </c>
      <c r="X1179" t="s">
        <v>550</v>
      </c>
      <c r="Y1179" s="10">
        <v>17708966100</v>
      </c>
      <c r="AA1179">
        <v>8141</v>
      </c>
      <c r="AB1179" t="s">
        <v>19248</v>
      </c>
      <c r="AC1179" t="s">
        <v>19249</v>
      </c>
      <c r="AD1179" t="s">
        <v>19250</v>
      </c>
      <c r="AE1179" t="s">
        <v>6272</v>
      </c>
      <c r="AF1179" t="s">
        <v>19251</v>
      </c>
      <c r="AH1179" t="s">
        <v>19247</v>
      </c>
      <c r="AJ1179" s="8" t="str">
        <f>"30080"</f>
        <v>30080</v>
      </c>
      <c r="AK1179" t="s">
        <v>8680</v>
      </c>
      <c r="AL1179" t="s">
        <v>8680</v>
      </c>
      <c r="AM1179" s="10">
        <v>17708966100</v>
      </c>
      <c r="AO1179" t="s">
        <v>19252</v>
      </c>
      <c r="AX1179" s="8" t="str">
        <f>""</f>
        <v/>
      </c>
      <c r="BG1179" t="s">
        <v>550</v>
      </c>
      <c r="BH1179" s="1">
        <v>45162.833333333336</v>
      </c>
      <c r="BI1179">
        <v>40</v>
      </c>
      <c r="BJ1179">
        <v>0</v>
      </c>
      <c r="BK1179">
        <v>8</v>
      </c>
      <c r="BL1179">
        <v>8</v>
      </c>
      <c r="BM1179">
        <v>8</v>
      </c>
      <c r="BN1179">
        <v>8</v>
      </c>
      <c r="BO1179">
        <v>0</v>
      </c>
      <c r="BP1179">
        <v>8</v>
      </c>
      <c r="BQ1179" t="str">
        <f>"8:00 AM"</f>
        <v>8:00 AM</v>
      </c>
      <c r="BR1179" t="str">
        <f>"5:00 PM"</f>
        <v>5:00 PM</v>
      </c>
      <c r="BS1179" t="s">
        <v>131</v>
      </c>
      <c r="BT1179">
        <v>0</v>
      </c>
      <c r="BU1179">
        <v>0</v>
      </c>
      <c r="BV1179" t="s">
        <v>114</v>
      </c>
      <c r="BX1179" t="s">
        <v>132</v>
      </c>
      <c r="BY1179" t="s">
        <v>19251</v>
      </c>
      <c r="CA1179" t="s">
        <v>19247</v>
      </c>
      <c r="CB1179" t="s">
        <v>550</v>
      </c>
      <c r="CC1179" s="8" t="str">
        <f>"30080"</f>
        <v>30080</v>
      </c>
      <c r="CD1179" t="s">
        <v>7598</v>
      </c>
      <c r="CE1179" t="s">
        <v>552</v>
      </c>
      <c r="CF1179" s="12">
        <v>13.49</v>
      </c>
      <c r="CH1179" s="12">
        <v>20.239999999999998</v>
      </c>
      <c r="CJ1179" t="s">
        <v>135</v>
      </c>
      <c r="CL1179" t="s">
        <v>19253</v>
      </c>
      <c r="CO1179" t="s">
        <v>132</v>
      </c>
      <c r="CP1179" t="s">
        <v>114</v>
      </c>
      <c r="CQ1179" t="s">
        <v>114</v>
      </c>
      <c r="CR1179" t="s">
        <v>136</v>
      </c>
      <c r="CS1179" t="s">
        <v>114</v>
      </c>
      <c r="CT1179" t="s">
        <v>136</v>
      </c>
      <c r="CU1179" t="s">
        <v>136</v>
      </c>
      <c r="CV1179" t="s">
        <v>19254</v>
      </c>
      <c r="CW1179" s="10" t="str">
        <f>"+17708966100"</f>
        <v>+17708966100</v>
      </c>
      <c r="CX1179" t="s">
        <v>19252</v>
      </c>
      <c r="CY1179" t="s">
        <v>19255</v>
      </c>
      <c r="CZ1179" t="s">
        <v>137</v>
      </c>
      <c r="DA1179" t="s">
        <v>114</v>
      </c>
      <c r="DB1179" t="s">
        <v>114</v>
      </c>
      <c r="DC1179" t="s">
        <v>136</v>
      </c>
      <c r="DD1179" t="s">
        <v>114</v>
      </c>
    </row>
    <row r="1180" spans="1:113" ht="15" customHeight="1" x14ac:dyDescent="0.25">
      <c r="A1180" t="s">
        <v>10125</v>
      </c>
      <c r="B1180" t="s">
        <v>152</v>
      </c>
      <c r="C1180" s="1">
        <v>45162.684408680558</v>
      </c>
      <c r="D1180" s="1">
        <v>45230</v>
      </c>
      <c r="E1180" t="s">
        <v>136</v>
      </c>
      <c r="F1180" t="s">
        <v>4218</v>
      </c>
      <c r="G1180" t="str">
        <f>"49-9098.00"</f>
        <v>49-9098.00</v>
      </c>
      <c r="H1180" t="s">
        <v>945</v>
      </c>
      <c r="I1180">
        <v>4</v>
      </c>
      <c r="J1180">
        <v>4</v>
      </c>
      <c r="K1180" s="1">
        <v>45252</v>
      </c>
      <c r="L1180" s="1">
        <v>45382</v>
      </c>
      <c r="M1180" s="1">
        <v>45252</v>
      </c>
      <c r="N1180" s="1">
        <v>45382</v>
      </c>
      <c r="O1180" t="s">
        <v>116</v>
      </c>
      <c r="P1180" t="s">
        <v>10126</v>
      </c>
      <c r="R1180" t="s">
        <v>10127</v>
      </c>
      <c r="T1180" t="s">
        <v>10128</v>
      </c>
      <c r="U1180" t="s">
        <v>211</v>
      </c>
      <c r="V1180" s="8" t="str">
        <f>"84065"</f>
        <v>84065</v>
      </c>
      <c r="W1180" t="s">
        <v>118</v>
      </c>
      <c r="Y1180" s="10">
        <v>18015580604</v>
      </c>
      <c r="AA1180">
        <v>5617</v>
      </c>
      <c r="AB1180" t="s">
        <v>10129</v>
      </c>
      <c r="AC1180" t="s">
        <v>4009</v>
      </c>
      <c r="AD1180" t="s">
        <v>1852</v>
      </c>
      <c r="AE1180" t="s">
        <v>561</v>
      </c>
      <c r="AF1180" t="s">
        <v>10127</v>
      </c>
      <c r="AH1180" t="s">
        <v>10128</v>
      </c>
      <c r="AI1180" t="s">
        <v>211</v>
      </c>
      <c r="AJ1180" s="8" t="str">
        <f>"84065"</f>
        <v>84065</v>
      </c>
      <c r="AK1180" t="s">
        <v>118</v>
      </c>
      <c r="AM1180" s="10">
        <v>18015580604</v>
      </c>
      <c r="AO1180" t="s">
        <v>10130</v>
      </c>
      <c r="AP1180" t="s">
        <v>121</v>
      </c>
      <c r="AQ1180" t="s">
        <v>5168</v>
      </c>
      <c r="AR1180" t="s">
        <v>119</v>
      </c>
      <c r="AS1180" t="s">
        <v>2057</v>
      </c>
      <c r="AT1180" t="s">
        <v>6578</v>
      </c>
      <c r="AU1180" t="s">
        <v>6151</v>
      </c>
      <c r="AV1180" t="s">
        <v>518</v>
      </c>
      <c r="AW1180" t="s">
        <v>402</v>
      </c>
      <c r="AX1180" s="8" t="str">
        <f>"90067"</f>
        <v>90067</v>
      </c>
      <c r="AY1180" t="s">
        <v>118</v>
      </c>
      <c r="BA1180" s="10">
        <v>16465048472</v>
      </c>
      <c r="BC1180" t="s">
        <v>6579</v>
      </c>
      <c r="BD1180" t="s">
        <v>6580</v>
      </c>
      <c r="BE1180" t="s">
        <v>222</v>
      </c>
      <c r="BF1180" t="s">
        <v>6581</v>
      </c>
      <c r="BG1180" t="s">
        <v>211</v>
      </c>
      <c r="BH1180" s="1">
        <v>45161.833333333336</v>
      </c>
      <c r="BI1180">
        <v>35</v>
      </c>
      <c r="BJ1180">
        <v>0</v>
      </c>
      <c r="BK1180">
        <v>7</v>
      </c>
      <c r="BL1180">
        <v>7</v>
      </c>
      <c r="BM1180">
        <v>7</v>
      </c>
      <c r="BN1180">
        <v>7</v>
      </c>
      <c r="BO1180">
        <v>7</v>
      </c>
      <c r="BP1180">
        <v>0</v>
      </c>
      <c r="BQ1180" t="str">
        <f>"9:00 AM"</f>
        <v>9:00 AM</v>
      </c>
      <c r="BR1180" t="str">
        <f>"4:30 PM"</f>
        <v>4:30 PM</v>
      </c>
      <c r="BS1180" t="s">
        <v>131</v>
      </c>
      <c r="BT1180">
        <v>0</v>
      </c>
      <c r="BU1180">
        <v>0</v>
      </c>
      <c r="BV1180" t="s">
        <v>114</v>
      </c>
      <c r="BX1180" t="s">
        <v>132</v>
      </c>
      <c r="BY1180" t="s">
        <v>10131</v>
      </c>
      <c r="CA1180" t="s">
        <v>10132</v>
      </c>
      <c r="CB1180" t="s">
        <v>211</v>
      </c>
      <c r="CC1180" s="8" t="str">
        <f>"84093"</f>
        <v>84093</v>
      </c>
      <c r="CD1180" t="s">
        <v>1567</v>
      </c>
      <c r="CE1180" t="s">
        <v>1568</v>
      </c>
      <c r="CF1180" s="12">
        <v>18.440000000000001</v>
      </c>
      <c r="CG1180" s="12">
        <v>19</v>
      </c>
      <c r="CH1180" s="12">
        <v>27.66</v>
      </c>
      <c r="CI1180" s="12">
        <v>28.5</v>
      </c>
      <c r="CJ1180" t="s">
        <v>135</v>
      </c>
      <c r="CK1180" t="s">
        <v>10133</v>
      </c>
      <c r="CL1180" t="s">
        <v>10134</v>
      </c>
      <c r="CO1180" t="s">
        <v>132</v>
      </c>
      <c r="CP1180" t="s">
        <v>114</v>
      </c>
      <c r="CQ1180" t="s">
        <v>114</v>
      </c>
      <c r="CR1180" t="s">
        <v>136</v>
      </c>
      <c r="CS1180" t="s">
        <v>136</v>
      </c>
      <c r="CT1180" t="s">
        <v>136</v>
      </c>
      <c r="CU1180" t="s">
        <v>114</v>
      </c>
      <c r="CV1180" t="s">
        <v>10135</v>
      </c>
      <c r="CW1180" s="10" t="str">
        <f>"+18015580604"</f>
        <v>+18015580604</v>
      </c>
      <c r="CX1180" t="s">
        <v>10136</v>
      </c>
      <c r="CY1180" t="s">
        <v>132</v>
      </c>
      <c r="CZ1180" t="s">
        <v>137</v>
      </c>
      <c r="DA1180" t="s">
        <v>114</v>
      </c>
      <c r="DB1180" t="s">
        <v>114</v>
      </c>
      <c r="DC1180" t="s">
        <v>136</v>
      </c>
      <c r="DD1180" t="s">
        <v>114</v>
      </c>
    </row>
    <row r="1181" spans="1:113" ht="15" customHeight="1" x14ac:dyDescent="0.25">
      <c r="A1181" t="s">
        <v>21494</v>
      </c>
      <c r="B1181" t="s">
        <v>152</v>
      </c>
      <c r="C1181" s="1">
        <v>45156.55621412037</v>
      </c>
      <c r="D1181" s="1">
        <v>45230</v>
      </c>
      <c r="E1181" t="s">
        <v>136</v>
      </c>
      <c r="F1181" t="s">
        <v>7083</v>
      </c>
      <c r="G1181" t="str">
        <f>"35-2014.00"</f>
        <v>35-2014.00</v>
      </c>
      <c r="H1181" t="s">
        <v>154</v>
      </c>
      <c r="I1181">
        <v>4</v>
      </c>
      <c r="J1181">
        <v>4</v>
      </c>
      <c r="K1181" s="1">
        <v>45245</v>
      </c>
      <c r="L1181" s="1">
        <v>45397</v>
      </c>
      <c r="M1181" s="1">
        <v>45245</v>
      </c>
      <c r="N1181" s="1">
        <v>45397</v>
      </c>
      <c r="O1181" t="s">
        <v>116</v>
      </c>
      <c r="P1181" t="s">
        <v>13252</v>
      </c>
      <c r="Q1181" t="s">
        <v>13253</v>
      </c>
      <c r="R1181" t="s">
        <v>13254</v>
      </c>
      <c r="S1181" t="s">
        <v>13255</v>
      </c>
      <c r="T1181" t="s">
        <v>9863</v>
      </c>
      <c r="U1181" t="s">
        <v>506</v>
      </c>
      <c r="V1181" s="8" t="str">
        <f>"05751"</f>
        <v>05751</v>
      </c>
      <c r="W1181" t="s">
        <v>118</v>
      </c>
      <c r="Y1181" s="10">
        <v>18024225335</v>
      </c>
      <c r="AA1181">
        <v>722511</v>
      </c>
      <c r="AB1181" t="s">
        <v>13256</v>
      </c>
      <c r="AC1181" t="s">
        <v>596</v>
      </c>
      <c r="AE1181" t="s">
        <v>13257</v>
      </c>
      <c r="AF1181" t="s">
        <v>13254</v>
      </c>
      <c r="AG1181" t="s">
        <v>13255</v>
      </c>
      <c r="AH1181" t="s">
        <v>9863</v>
      </c>
      <c r="AI1181" t="s">
        <v>506</v>
      </c>
      <c r="AJ1181" s="8" t="str">
        <f>"05751"</f>
        <v>05751</v>
      </c>
      <c r="AK1181" t="s">
        <v>118</v>
      </c>
      <c r="AM1181" s="10">
        <v>18024225335</v>
      </c>
      <c r="AO1181" t="s">
        <v>13258</v>
      </c>
      <c r="AP1181" t="s">
        <v>121</v>
      </c>
      <c r="AQ1181" t="s">
        <v>276</v>
      </c>
      <c r="AR1181" t="s">
        <v>277</v>
      </c>
      <c r="AS1181" t="s">
        <v>278</v>
      </c>
      <c r="AT1181" t="s">
        <v>279</v>
      </c>
      <c r="AU1181" t="s">
        <v>280</v>
      </c>
      <c r="AV1181" t="s">
        <v>281</v>
      </c>
      <c r="AW1181" t="s">
        <v>222</v>
      </c>
      <c r="AX1181" s="8" t="str">
        <f>"01701"</f>
        <v>01701</v>
      </c>
      <c r="AY1181" t="s">
        <v>118</v>
      </c>
      <c r="BA1181" s="10">
        <v>16179399444</v>
      </c>
      <c r="BC1181" t="s">
        <v>282</v>
      </c>
      <c r="BD1181" t="s">
        <v>283</v>
      </c>
      <c r="BE1181" t="s">
        <v>222</v>
      </c>
      <c r="BF1181" t="s">
        <v>284</v>
      </c>
      <c r="BG1181" t="s">
        <v>506</v>
      </c>
      <c r="BH1181" s="1">
        <v>45155.833333333336</v>
      </c>
      <c r="BI1181">
        <v>40</v>
      </c>
      <c r="BJ1181">
        <v>0</v>
      </c>
      <c r="BK1181">
        <v>8</v>
      </c>
      <c r="BL1181">
        <v>8</v>
      </c>
      <c r="BM1181">
        <v>8</v>
      </c>
      <c r="BN1181">
        <v>8</v>
      </c>
      <c r="BO1181">
        <v>8</v>
      </c>
      <c r="BP1181">
        <v>0</v>
      </c>
      <c r="BQ1181" t="str">
        <f>"1:00 PM"</f>
        <v>1:00 PM</v>
      </c>
      <c r="BR1181" t="str">
        <f>"9:00 PM"</f>
        <v>9:00 PM</v>
      </c>
      <c r="BS1181" t="s">
        <v>131</v>
      </c>
      <c r="BT1181">
        <v>0</v>
      </c>
      <c r="BU1181">
        <v>24</v>
      </c>
      <c r="BV1181" t="s">
        <v>114</v>
      </c>
      <c r="BX1181" s="2" t="s">
        <v>21495</v>
      </c>
      <c r="BY1181" t="s">
        <v>13254</v>
      </c>
      <c r="CA1181" t="s">
        <v>9863</v>
      </c>
      <c r="CB1181" t="s">
        <v>506</v>
      </c>
      <c r="CC1181" s="8" t="str">
        <f>"05751"</f>
        <v>05751</v>
      </c>
      <c r="CD1181" t="s">
        <v>8124</v>
      </c>
      <c r="CE1181" t="s">
        <v>523</v>
      </c>
      <c r="CF1181" s="12">
        <v>18.77</v>
      </c>
      <c r="CG1181" s="12">
        <v>22</v>
      </c>
      <c r="CH1181" s="12">
        <v>28.16</v>
      </c>
      <c r="CI1181" s="12">
        <v>33</v>
      </c>
      <c r="CJ1181" t="s">
        <v>135</v>
      </c>
      <c r="CK1181" t="s">
        <v>21496</v>
      </c>
      <c r="CL1181" t="s">
        <v>21497</v>
      </c>
      <c r="CO1181" t="s">
        <v>132</v>
      </c>
      <c r="CP1181" t="s">
        <v>114</v>
      </c>
      <c r="CQ1181" t="s">
        <v>114</v>
      </c>
      <c r="CR1181" t="s">
        <v>136</v>
      </c>
      <c r="CS1181" t="s">
        <v>136</v>
      </c>
      <c r="CT1181" t="s">
        <v>136</v>
      </c>
      <c r="CU1181" t="s">
        <v>136</v>
      </c>
      <c r="CV1181" t="s">
        <v>13262</v>
      </c>
      <c r="CW1181" s="10" t="str">
        <f>"+18024225335"</f>
        <v>+18024225335</v>
      </c>
      <c r="CX1181" t="s">
        <v>13258</v>
      </c>
      <c r="CY1181" t="s">
        <v>132</v>
      </c>
      <c r="CZ1181" t="s">
        <v>137</v>
      </c>
      <c r="DA1181" t="s">
        <v>114</v>
      </c>
      <c r="DB1181" t="s">
        <v>114</v>
      </c>
      <c r="DC1181" t="s">
        <v>136</v>
      </c>
      <c r="DD1181" t="s">
        <v>114</v>
      </c>
    </row>
    <row r="1182" spans="1:113" ht="15" customHeight="1" x14ac:dyDescent="0.25">
      <c r="A1182" t="s">
        <v>6635</v>
      </c>
      <c r="B1182" t="s">
        <v>152</v>
      </c>
      <c r="C1182" s="1">
        <v>45155.615011226851</v>
      </c>
      <c r="D1182" s="1">
        <v>45230</v>
      </c>
      <c r="E1182" t="s">
        <v>136</v>
      </c>
      <c r="F1182" t="s">
        <v>6636</v>
      </c>
      <c r="G1182" t="str">
        <f>"35-2014.00"</f>
        <v>35-2014.00</v>
      </c>
      <c r="H1182" t="s">
        <v>154</v>
      </c>
      <c r="I1182">
        <v>4</v>
      </c>
      <c r="J1182">
        <v>4</v>
      </c>
      <c r="K1182" s="1">
        <v>45245</v>
      </c>
      <c r="L1182" s="1">
        <v>45398</v>
      </c>
      <c r="M1182" s="1">
        <v>45245</v>
      </c>
      <c r="N1182" s="1">
        <v>45398</v>
      </c>
      <c r="O1182" t="s">
        <v>116</v>
      </c>
      <c r="P1182" t="s">
        <v>6637</v>
      </c>
      <c r="Q1182" t="s">
        <v>6638</v>
      </c>
      <c r="R1182" t="s">
        <v>6639</v>
      </c>
      <c r="T1182" t="s">
        <v>4782</v>
      </c>
      <c r="U1182" t="s">
        <v>188</v>
      </c>
      <c r="V1182" s="8" t="str">
        <f>"81611"</f>
        <v>81611</v>
      </c>
      <c r="W1182" t="s">
        <v>118</v>
      </c>
      <c r="Y1182" s="10">
        <v>19704297640</v>
      </c>
      <c r="AA1182">
        <v>72111</v>
      </c>
      <c r="AB1182" t="s">
        <v>6640</v>
      </c>
      <c r="AC1182" t="s">
        <v>6641</v>
      </c>
      <c r="AE1182" t="s">
        <v>6642</v>
      </c>
      <c r="AF1182" t="s">
        <v>6639</v>
      </c>
      <c r="AH1182" t="s">
        <v>4782</v>
      </c>
      <c r="AI1182" t="s">
        <v>188</v>
      </c>
      <c r="AJ1182" s="8" t="str">
        <f>"81611"</f>
        <v>81611</v>
      </c>
      <c r="AK1182" t="s">
        <v>118</v>
      </c>
      <c r="AM1182" s="10">
        <v>19709201000</v>
      </c>
      <c r="AO1182" t="s">
        <v>6643</v>
      </c>
      <c r="AP1182" t="s">
        <v>121</v>
      </c>
      <c r="AQ1182" t="s">
        <v>276</v>
      </c>
      <c r="AR1182" t="s">
        <v>277</v>
      </c>
      <c r="AS1182" t="s">
        <v>278</v>
      </c>
      <c r="AT1182" t="s">
        <v>279</v>
      </c>
      <c r="AU1182" t="s">
        <v>280</v>
      </c>
      <c r="AV1182" t="s">
        <v>281</v>
      </c>
      <c r="AW1182" t="s">
        <v>222</v>
      </c>
      <c r="AX1182" s="8" t="str">
        <f>"01701"</f>
        <v>01701</v>
      </c>
      <c r="AY1182" t="s">
        <v>118</v>
      </c>
      <c r="BA1182" s="10">
        <v>16179399444</v>
      </c>
      <c r="BC1182" t="s">
        <v>282</v>
      </c>
      <c r="BD1182" t="s">
        <v>283</v>
      </c>
      <c r="BE1182" t="s">
        <v>222</v>
      </c>
      <c r="BF1182" t="s">
        <v>284</v>
      </c>
      <c r="BG1182" t="s">
        <v>188</v>
      </c>
      <c r="BH1182" s="1">
        <v>45154.833333333336</v>
      </c>
      <c r="BI1182">
        <v>35</v>
      </c>
      <c r="BJ1182">
        <v>0</v>
      </c>
      <c r="BK1182">
        <v>7</v>
      </c>
      <c r="BL1182">
        <v>7</v>
      </c>
      <c r="BM1182">
        <v>7</v>
      </c>
      <c r="BN1182">
        <v>7</v>
      </c>
      <c r="BO1182">
        <v>7</v>
      </c>
      <c r="BP1182">
        <v>0</v>
      </c>
      <c r="BQ1182" t="str">
        <f>"7:00 AM"</f>
        <v>7:00 AM</v>
      </c>
      <c r="BR1182" t="str">
        <f>"2:00 PM"</f>
        <v>2:00 PM</v>
      </c>
      <c r="BS1182" t="s">
        <v>131</v>
      </c>
      <c r="BT1182">
        <v>0</v>
      </c>
      <c r="BU1182">
        <v>12</v>
      </c>
      <c r="BV1182" t="s">
        <v>114</v>
      </c>
      <c r="BX1182" s="2" t="s">
        <v>6644</v>
      </c>
      <c r="BY1182" t="s">
        <v>6639</v>
      </c>
      <c r="CA1182" t="s">
        <v>4782</v>
      </c>
      <c r="CB1182" t="s">
        <v>188</v>
      </c>
      <c r="CC1182" s="8" t="str">
        <f>"81611"</f>
        <v>81611</v>
      </c>
      <c r="CD1182" t="s">
        <v>4789</v>
      </c>
      <c r="CE1182" t="s">
        <v>1038</v>
      </c>
      <c r="CF1182" s="12">
        <v>21</v>
      </c>
      <c r="CG1182" s="12">
        <v>25</v>
      </c>
      <c r="CH1182" s="12">
        <v>31.5</v>
      </c>
      <c r="CI1182" s="12">
        <v>37.5</v>
      </c>
      <c r="CJ1182" t="s">
        <v>135</v>
      </c>
      <c r="CK1182" t="s">
        <v>6645</v>
      </c>
      <c r="CL1182" t="s">
        <v>6646</v>
      </c>
      <c r="CO1182" t="s">
        <v>132</v>
      </c>
      <c r="CP1182" t="s">
        <v>114</v>
      </c>
      <c r="CQ1182" t="s">
        <v>114</v>
      </c>
      <c r="CR1182" t="s">
        <v>136</v>
      </c>
      <c r="CS1182" t="s">
        <v>136</v>
      </c>
      <c r="CT1182" t="s">
        <v>136</v>
      </c>
      <c r="CU1182" t="s">
        <v>136</v>
      </c>
      <c r="CV1182" t="s">
        <v>6647</v>
      </c>
      <c r="CW1182" s="10" t="str">
        <f>"+19709201000"</f>
        <v>+19709201000</v>
      </c>
      <c r="CX1182" t="s">
        <v>6643</v>
      </c>
      <c r="CY1182" t="s">
        <v>132</v>
      </c>
      <c r="CZ1182" t="s">
        <v>137</v>
      </c>
      <c r="DA1182" t="s">
        <v>114</v>
      </c>
      <c r="DB1182" t="s">
        <v>114</v>
      </c>
      <c r="DC1182" t="s">
        <v>136</v>
      </c>
      <c r="DD1182" t="s">
        <v>114</v>
      </c>
    </row>
    <row r="1183" spans="1:113" ht="15" customHeight="1" x14ac:dyDescent="0.25">
      <c r="A1183" t="s">
        <v>18177</v>
      </c>
      <c r="B1183" t="s">
        <v>152</v>
      </c>
      <c r="C1183" s="1">
        <v>45153.481883680557</v>
      </c>
      <c r="D1183" s="1">
        <v>45230</v>
      </c>
      <c r="E1183" t="s">
        <v>136</v>
      </c>
      <c r="F1183" t="s">
        <v>18178</v>
      </c>
      <c r="G1183" t="str">
        <f>"43-4081.00"</f>
        <v>43-4081.00</v>
      </c>
      <c r="H1183" t="s">
        <v>952</v>
      </c>
      <c r="I1183">
        <v>5</v>
      </c>
      <c r="J1183">
        <v>5</v>
      </c>
      <c r="K1183" s="1">
        <v>45231</v>
      </c>
      <c r="L1183" s="1">
        <v>45397</v>
      </c>
      <c r="M1183" s="1">
        <v>45231</v>
      </c>
      <c r="N1183" s="1">
        <v>45397</v>
      </c>
      <c r="O1183" t="s">
        <v>238</v>
      </c>
      <c r="P1183" t="s">
        <v>6375</v>
      </c>
      <c r="Q1183" t="s">
        <v>6376</v>
      </c>
      <c r="R1183" t="s">
        <v>6377</v>
      </c>
      <c r="S1183" t="s">
        <v>6378</v>
      </c>
      <c r="T1183" t="s">
        <v>6379</v>
      </c>
      <c r="U1183" t="s">
        <v>903</v>
      </c>
      <c r="V1183" s="8" t="str">
        <f>"04261"</f>
        <v>04261</v>
      </c>
      <c r="W1183" t="s">
        <v>118</v>
      </c>
      <c r="Y1183" s="10">
        <v>18005432754</v>
      </c>
      <c r="AA1183">
        <v>721110</v>
      </c>
      <c r="AB1183" t="s">
        <v>6380</v>
      </c>
      <c r="AC1183" t="s">
        <v>6381</v>
      </c>
      <c r="AE1183" t="s">
        <v>6382</v>
      </c>
      <c r="AF1183" t="s">
        <v>6383</v>
      </c>
      <c r="AH1183" t="s">
        <v>6384</v>
      </c>
      <c r="AI1183" t="s">
        <v>903</v>
      </c>
      <c r="AJ1183" s="8" t="str">
        <f>"04261"</f>
        <v>04261</v>
      </c>
      <c r="AK1183" t="s">
        <v>118</v>
      </c>
      <c r="AM1183" s="10">
        <v>18005432754</v>
      </c>
      <c r="AO1183" t="s">
        <v>6385</v>
      </c>
      <c r="AP1183" t="s">
        <v>121</v>
      </c>
      <c r="AQ1183" t="s">
        <v>1192</v>
      </c>
      <c r="AR1183" t="s">
        <v>1193</v>
      </c>
      <c r="AS1183" t="s">
        <v>1829</v>
      </c>
      <c r="AT1183" t="s">
        <v>1195</v>
      </c>
      <c r="AU1183" t="s">
        <v>6386</v>
      </c>
      <c r="AV1183" t="s">
        <v>6387</v>
      </c>
      <c r="AW1183" t="s">
        <v>140</v>
      </c>
      <c r="AX1183" s="8" t="str">
        <f>"33316"</f>
        <v>33316</v>
      </c>
      <c r="AY1183" t="s">
        <v>118</v>
      </c>
      <c r="BA1183" s="10">
        <v>15613228604</v>
      </c>
      <c r="BC1183" t="s">
        <v>1198</v>
      </c>
      <c r="BD1183" t="s">
        <v>1199</v>
      </c>
      <c r="BE1183" t="s">
        <v>402</v>
      </c>
      <c r="BF1183" t="s">
        <v>1200</v>
      </c>
      <c r="BG1183" t="s">
        <v>903</v>
      </c>
      <c r="BH1183" s="1">
        <v>45140.833333333336</v>
      </c>
      <c r="BI1183">
        <v>35</v>
      </c>
      <c r="BJ1183">
        <v>7</v>
      </c>
      <c r="BK1183">
        <v>7</v>
      </c>
      <c r="BL1183">
        <v>0</v>
      </c>
      <c r="BM1183">
        <v>0</v>
      </c>
      <c r="BN1183">
        <v>7</v>
      </c>
      <c r="BO1183">
        <v>7</v>
      </c>
      <c r="BP1183">
        <v>7</v>
      </c>
      <c r="BQ1183" t="str">
        <f>"6:00 AM"</f>
        <v>6:00 AM</v>
      </c>
      <c r="BR1183" t="str">
        <f>"11:00 PM"</f>
        <v>11:00 PM</v>
      </c>
      <c r="BS1183" t="s">
        <v>131</v>
      </c>
      <c r="BT1183">
        <v>0</v>
      </c>
      <c r="BU1183">
        <v>3</v>
      </c>
      <c r="BV1183" t="s">
        <v>114</v>
      </c>
      <c r="BX1183" s="2" t="s">
        <v>18179</v>
      </c>
      <c r="BY1183" t="s">
        <v>6390</v>
      </c>
      <c r="BZ1183" t="s">
        <v>6383</v>
      </c>
      <c r="CA1183" t="s">
        <v>6384</v>
      </c>
      <c r="CB1183" t="s">
        <v>903</v>
      </c>
      <c r="CC1183" s="8" t="str">
        <f>"04261"</f>
        <v>04261</v>
      </c>
      <c r="CD1183" t="s">
        <v>6262</v>
      </c>
      <c r="CE1183" t="s">
        <v>2185</v>
      </c>
      <c r="CF1183" s="12">
        <v>15.72</v>
      </c>
      <c r="CG1183" s="12">
        <v>15.72</v>
      </c>
      <c r="CH1183" s="12">
        <v>23.58</v>
      </c>
      <c r="CI1183" s="12">
        <v>23.58</v>
      </c>
      <c r="CJ1183" t="s">
        <v>135</v>
      </c>
      <c r="CK1183" s="2" t="s">
        <v>18180</v>
      </c>
      <c r="CL1183" t="s">
        <v>18181</v>
      </c>
      <c r="CO1183" t="s">
        <v>132</v>
      </c>
      <c r="CP1183" t="s">
        <v>136</v>
      </c>
      <c r="CQ1183" t="s">
        <v>136</v>
      </c>
      <c r="CR1183" t="s">
        <v>136</v>
      </c>
      <c r="CS1183" t="s">
        <v>136</v>
      </c>
      <c r="CT1183" t="s">
        <v>136</v>
      </c>
      <c r="CU1183" t="s">
        <v>136</v>
      </c>
      <c r="CV1183" s="2" t="s">
        <v>18182</v>
      </c>
      <c r="CW1183" s="10" t="str">
        <f>"+12078245166"</f>
        <v>+12078245166</v>
      </c>
      <c r="CX1183" t="s">
        <v>6394</v>
      </c>
      <c r="CY1183" t="s">
        <v>132</v>
      </c>
      <c r="CZ1183" t="s">
        <v>137</v>
      </c>
      <c r="DA1183" t="s">
        <v>114</v>
      </c>
      <c r="DB1183" t="s">
        <v>114</v>
      </c>
      <c r="DC1183" t="s">
        <v>136</v>
      </c>
      <c r="DD1183" t="s">
        <v>114</v>
      </c>
    </row>
    <row r="1184" spans="1:113" ht="15" customHeight="1" x14ac:dyDescent="0.25">
      <c r="A1184" t="s">
        <v>18706</v>
      </c>
      <c r="B1184" t="s">
        <v>152</v>
      </c>
      <c r="C1184" s="1">
        <v>45153.48096064815</v>
      </c>
      <c r="D1184" s="1">
        <v>45230</v>
      </c>
      <c r="E1184" t="s">
        <v>136</v>
      </c>
      <c r="F1184" t="s">
        <v>18707</v>
      </c>
      <c r="G1184" t="str">
        <f>"37-2012.00"</f>
        <v>37-2012.00</v>
      </c>
      <c r="H1184" t="s">
        <v>205</v>
      </c>
      <c r="I1184">
        <v>25</v>
      </c>
      <c r="J1184">
        <v>25</v>
      </c>
      <c r="K1184" s="1">
        <v>45231</v>
      </c>
      <c r="L1184" s="1">
        <v>45397</v>
      </c>
      <c r="M1184" s="1">
        <v>45231</v>
      </c>
      <c r="N1184" s="1">
        <v>45397</v>
      </c>
      <c r="O1184" t="s">
        <v>238</v>
      </c>
      <c r="P1184" t="s">
        <v>6375</v>
      </c>
      <c r="Q1184" t="s">
        <v>6376</v>
      </c>
      <c r="R1184" t="s">
        <v>6377</v>
      </c>
      <c r="S1184" t="s">
        <v>6378</v>
      </c>
      <c r="T1184" t="s">
        <v>6379</v>
      </c>
      <c r="U1184" t="s">
        <v>903</v>
      </c>
      <c r="V1184" s="8" t="str">
        <f>"04261"</f>
        <v>04261</v>
      </c>
      <c r="W1184" t="s">
        <v>118</v>
      </c>
      <c r="Y1184" s="10">
        <v>18005432754</v>
      </c>
      <c r="AA1184">
        <v>721110</v>
      </c>
      <c r="AB1184" t="s">
        <v>6380</v>
      </c>
      <c r="AC1184" t="s">
        <v>6381</v>
      </c>
      <c r="AE1184" t="s">
        <v>3172</v>
      </c>
      <c r="AF1184" t="s">
        <v>18708</v>
      </c>
      <c r="AH1184" t="s">
        <v>6384</v>
      </c>
      <c r="AI1184" t="s">
        <v>903</v>
      </c>
      <c r="AJ1184" s="8" t="str">
        <f>"04261"</f>
        <v>04261</v>
      </c>
      <c r="AK1184" t="s">
        <v>118</v>
      </c>
      <c r="AM1184" s="10">
        <v>18005432754</v>
      </c>
      <c r="AO1184" t="s">
        <v>6385</v>
      </c>
      <c r="AP1184" t="s">
        <v>121</v>
      </c>
      <c r="AQ1184" t="s">
        <v>2304</v>
      </c>
      <c r="AR1184" t="s">
        <v>2305</v>
      </c>
      <c r="AS1184" t="s">
        <v>1829</v>
      </c>
      <c r="AT1184" t="s">
        <v>16570</v>
      </c>
      <c r="AU1184" t="s">
        <v>6386</v>
      </c>
      <c r="AV1184" t="s">
        <v>6387</v>
      </c>
      <c r="AW1184" t="s">
        <v>140</v>
      </c>
      <c r="AX1184" s="8" t="str">
        <f>"33316"</f>
        <v>33316</v>
      </c>
      <c r="AY1184" t="s">
        <v>118</v>
      </c>
      <c r="BA1184" s="10">
        <v>15613228604</v>
      </c>
      <c r="BC1184" t="s">
        <v>1198</v>
      </c>
      <c r="BD1184" t="s">
        <v>1199</v>
      </c>
      <c r="BE1184" t="s">
        <v>402</v>
      </c>
      <c r="BF1184" t="s">
        <v>1200</v>
      </c>
      <c r="BG1184" t="s">
        <v>903</v>
      </c>
      <c r="BH1184" s="1">
        <v>45140.833333333336</v>
      </c>
      <c r="BI1184">
        <v>35</v>
      </c>
      <c r="BJ1184">
        <v>7</v>
      </c>
      <c r="BK1184">
        <v>7</v>
      </c>
      <c r="BL1184">
        <v>0</v>
      </c>
      <c r="BM1184">
        <v>0</v>
      </c>
      <c r="BN1184">
        <v>7</v>
      </c>
      <c r="BO1184">
        <v>7</v>
      </c>
      <c r="BP1184">
        <v>7</v>
      </c>
      <c r="BQ1184" t="str">
        <f>"6:00 AM"</f>
        <v>6:00 AM</v>
      </c>
      <c r="BR1184" t="str">
        <f>"11:00 PM"</f>
        <v>11:00 PM</v>
      </c>
      <c r="BS1184" t="s">
        <v>131</v>
      </c>
      <c r="BT1184">
        <v>0</v>
      </c>
      <c r="BU1184">
        <v>3</v>
      </c>
      <c r="BV1184" t="s">
        <v>114</v>
      </c>
      <c r="BX1184" s="2" t="s">
        <v>18709</v>
      </c>
      <c r="BY1184" t="s">
        <v>18710</v>
      </c>
      <c r="CA1184" t="s">
        <v>6384</v>
      </c>
      <c r="CB1184" t="s">
        <v>903</v>
      </c>
      <c r="CC1184" s="8" t="str">
        <f>"04261"</f>
        <v>04261</v>
      </c>
      <c r="CD1184" t="s">
        <v>6262</v>
      </c>
      <c r="CE1184" t="s">
        <v>2185</v>
      </c>
      <c r="CF1184" s="12">
        <v>14.42</v>
      </c>
      <c r="CG1184" s="12">
        <v>14.42</v>
      </c>
      <c r="CH1184" s="12">
        <v>21.63</v>
      </c>
      <c r="CI1184" s="12">
        <v>21.63</v>
      </c>
      <c r="CJ1184" t="s">
        <v>135</v>
      </c>
      <c r="CL1184" t="s">
        <v>18711</v>
      </c>
      <c r="CO1184" t="s">
        <v>132</v>
      </c>
      <c r="CP1184" t="s">
        <v>136</v>
      </c>
      <c r="CQ1184" t="s">
        <v>136</v>
      </c>
      <c r="CR1184" t="s">
        <v>136</v>
      </c>
      <c r="CS1184" t="s">
        <v>136</v>
      </c>
      <c r="CT1184" t="s">
        <v>136</v>
      </c>
      <c r="CU1184" t="s">
        <v>136</v>
      </c>
      <c r="CV1184" s="2" t="s">
        <v>18182</v>
      </c>
      <c r="CW1184" s="10" t="str">
        <f>"+12078245166"</f>
        <v>+12078245166</v>
      </c>
      <c r="CX1184" t="s">
        <v>6394</v>
      </c>
      <c r="CY1184" t="s">
        <v>132</v>
      </c>
      <c r="CZ1184" t="s">
        <v>137</v>
      </c>
      <c r="DA1184" t="s">
        <v>114</v>
      </c>
      <c r="DB1184" t="s">
        <v>114</v>
      </c>
      <c r="DC1184" t="s">
        <v>136</v>
      </c>
      <c r="DD1184" t="s">
        <v>114</v>
      </c>
    </row>
    <row r="1185" spans="1:108" ht="15" customHeight="1" x14ac:dyDescent="0.25">
      <c r="A1185" t="s">
        <v>20582</v>
      </c>
      <c r="B1185" t="s">
        <v>152</v>
      </c>
      <c r="C1185" s="1">
        <v>45141.516305902776</v>
      </c>
      <c r="D1185" s="1">
        <v>45230</v>
      </c>
      <c r="E1185" t="s">
        <v>114</v>
      </c>
      <c r="F1185" t="s">
        <v>293</v>
      </c>
      <c r="G1185" t="str">
        <f>"37-2012.00"</f>
        <v>37-2012.00</v>
      </c>
      <c r="H1185" t="s">
        <v>205</v>
      </c>
      <c r="I1185">
        <v>20</v>
      </c>
      <c r="J1185">
        <v>20</v>
      </c>
      <c r="K1185" s="1">
        <v>45231</v>
      </c>
      <c r="L1185" s="1">
        <v>45535</v>
      </c>
      <c r="M1185" s="1">
        <v>45231</v>
      </c>
      <c r="N1185" s="1">
        <v>45535</v>
      </c>
      <c r="O1185" t="s">
        <v>116</v>
      </c>
      <c r="P1185" t="s">
        <v>16660</v>
      </c>
      <c r="R1185" t="s">
        <v>16661</v>
      </c>
      <c r="T1185" t="s">
        <v>4215</v>
      </c>
      <c r="U1185" t="s">
        <v>2608</v>
      </c>
      <c r="V1185" s="8" t="str">
        <f>"73107"</f>
        <v>73107</v>
      </c>
      <c r="W1185" t="s">
        <v>118</v>
      </c>
      <c r="Y1185" s="10">
        <v>14056278178</v>
      </c>
      <c r="AA1185">
        <v>721110</v>
      </c>
      <c r="AB1185" t="s">
        <v>2924</v>
      </c>
      <c r="AC1185" t="s">
        <v>16662</v>
      </c>
      <c r="AE1185" t="s">
        <v>120</v>
      </c>
      <c r="AF1185" t="s">
        <v>16663</v>
      </c>
      <c r="AH1185" t="s">
        <v>4215</v>
      </c>
      <c r="AI1185" t="s">
        <v>2608</v>
      </c>
      <c r="AJ1185" s="8" t="str">
        <f>"73107"</f>
        <v>73107</v>
      </c>
      <c r="AK1185" t="s">
        <v>118</v>
      </c>
      <c r="AM1185" s="10">
        <v>14056278178</v>
      </c>
      <c r="AO1185" t="s">
        <v>16664</v>
      </c>
      <c r="AP1185" t="s">
        <v>121</v>
      </c>
      <c r="AQ1185" t="s">
        <v>2603</v>
      </c>
      <c r="AR1185" t="s">
        <v>2604</v>
      </c>
      <c r="AS1185" t="s">
        <v>931</v>
      </c>
      <c r="AT1185" t="s">
        <v>2605</v>
      </c>
      <c r="AU1185" t="s">
        <v>2606</v>
      </c>
      <c r="AV1185" t="s">
        <v>2607</v>
      </c>
      <c r="AW1185" t="s">
        <v>2608</v>
      </c>
      <c r="AX1185" s="8" t="str">
        <f>"73069"</f>
        <v>73069</v>
      </c>
      <c r="AY1185" t="s">
        <v>118</v>
      </c>
      <c r="BA1185" s="10">
        <v>14053642525</v>
      </c>
      <c r="BC1185" t="s">
        <v>2609</v>
      </c>
      <c r="BD1185" t="s">
        <v>2610</v>
      </c>
      <c r="BE1185" t="s">
        <v>2608</v>
      </c>
      <c r="BF1185" t="s">
        <v>2611</v>
      </c>
      <c r="BG1185" t="s">
        <v>2608</v>
      </c>
      <c r="BH1185" s="1">
        <v>45140.833333333336</v>
      </c>
      <c r="BI1185">
        <v>56</v>
      </c>
      <c r="BJ1185">
        <v>8</v>
      </c>
      <c r="BK1185">
        <v>8</v>
      </c>
      <c r="BL1185">
        <v>8</v>
      </c>
      <c r="BM1185">
        <v>8</v>
      </c>
      <c r="BN1185">
        <v>8</v>
      </c>
      <c r="BO1185">
        <v>8</v>
      </c>
      <c r="BP1185">
        <v>8</v>
      </c>
      <c r="BQ1185" t="str">
        <f>"8:00 AM"</f>
        <v>8:00 AM</v>
      </c>
      <c r="BR1185" t="str">
        <f>"10:00 PM"</f>
        <v>10:00 PM</v>
      </c>
      <c r="BS1185" t="s">
        <v>131</v>
      </c>
      <c r="BT1185">
        <v>0</v>
      </c>
      <c r="BU1185">
        <v>1</v>
      </c>
      <c r="BV1185" t="s">
        <v>114</v>
      </c>
      <c r="BX1185" s="2" t="s">
        <v>6732</v>
      </c>
      <c r="BY1185" t="s">
        <v>20583</v>
      </c>
      <c r="CA1185" t="s">
        <v>4215</v>
      </c>
      <c r="CB1185" t="s">
        <v>2608</v>
      </c>
      <c r="CC1185" s="8" t="str">
        <f>"73108"</f>
        <v>73108</v>
      </c>
      <c r="CD1185" t="s">
        <v>3576</v>
      </c>
      <c r="CE1185" t="s">
        <v>3577</v>
      </c>
      <c r="CF1185" s="12">
        <v>11.55</v>
      </c>
      <c r="CG1185" s="12">
        <v>11.55</v>
      </c>
      <c r="CH1185" s="12">
        <v>17.329999999999998</v>
      </c>
      <c r="CI1185" s="12">
        <v>17.329999999999998</v>
      </c>
      <c r="CJ1185" t="s">
        <v>135</v>
      </c>
      <c r="CL1185" t="s">
        <v>20584</v>
      </c>
      <c r="CO1185" t="s">
        <v>132</v>
      </c>
      <c r="CP1185" t="s">
        <v>114</v>
      </c>
      <c r="CQ1185" t="s">
        <v>114</v>
      </c>
      <c r="CR1185" t="s">
        <v>136</v>
      </c>
      <c r="CS1185" t="s">
        <v>114</v>
      </c>
      <c r="CT1185" t="s">
        <v>136</v>
      </c>
      <c r="CU1185" t="s">
        <v>114</v>
      </c>
      <c r="CV1185" t="s">
        <v>5547</v>
      </c>
      <c r="CW1185" s="10" t="str">
        <f>"+14053278178"</f>
        <v>+14053278178</v>
      </c>
      <c r="CX1185" t="s">
        <v>16664</v>
      </c>
      <c r="CY1185" t="s">
        <v>132</v>
      </c>
      <c r="CZ1185" t="s">
        <v>137</v>
      </c>
      <c r="DA1185" t="s">
        <v>114</v>
      </c>
      <c r="DB1185" t="s">
        <v>114</v>
      </c>
      <c r="DC1185" t="s">
        <v>136</v>
      </c>
      <c r="DD1185" t="s">
        <v>114</v>
      </c>
    </row>
    <row r="1186" spans="1:108" ht="15" customHeight="1" x14ac:dyDescent="0.25">
      <c r="A1186" t="s">
        <v>6694</v>
      </c>
      <c r="B1186" t="s">
        <v>152</v>
      </c>
      <c r="C1186" s="1">
        <v>45141.467109606485</v>
      </c>
      <c r="D1186" s="1">
        <v>45230</v>
      </c>
      <c r="E1186" t="s">
        <v>136</v>
      </c>
      <c r="F1186" t="s">
        <v>153</v>
      </c>
      <c r="G1186" t="str">
        <f>"35-2015.00"</f>
        <v>35-2015.00</v>
      </c>
      <c r="H1186" t="s">
        <v>2075</v>
      </c>
      <c r="I1186">
        <v>4</v>
      </c>
      <c r="J1186">
        <v>4</v>
      </c>
      <c r="K1186" s="1">
        <v>45231</v>
      </c>
      <c r="L1186" s="1">
        <v>45383</v>
      </c>
      <c r="M1186" s="1">
        <v>45231</v>
      </c>
      <c r="N1186" s="1">
        <v>45383</v>
      </c>
      <c r="O1186" t="s">
        <v>238</v>
      </c>
      <c r="P1186" t="s">
        <v>6695</v>
      </c>
      <c r="R1186" t="s">
        <v>6696</v>
      </c>
      <c r="S1186" t="s">
        <v>6697</v>
      </c>
      <c r="T1186" t="s">
        <v>6698</v>
      </c>
      <c r="U1186" t="s">
        <v>2194</v>
      </c>
      <c r="V1186" s="8" t="str">
        <f>"03242"</f>
        <v>03242</v>
      </c>
      <c r="W1186" t="s">
        <v>118</v>
      </c>
      <c r="Y1186" s="10">
        <v>16034283245</v>
      </c>
      <c r="AA1186">
        <v>713920</v>
      </c>
      <c r="AB1186" t="s">
        <v>6699</v>
      </c>
      <c r="AC1186" t="s">
        <v>2700</v>
      </c>
      <c r="AE1186" t="s">
        <v>6700</v>
      </c>
      <c r="AF1186" t="s">
        <v>6696</v>
      </c>
      <c r="AG1186" t="s">
        <v>6697</v>
      </c>
      <c r="AH1186" t="s">
        <v>6698</v>
      </c>
      <c r="AI1186" t="s">
        <v>2194</v>
      </c>
      <c r="AJ1186" s="8" t="str">
        <f>"03242"</f>
        <v>03242</v>
      </c>
      <c r="AK1186" t="s">
        <v>118</v>
      </c>
      <c r="AM1186" s="10">
        <v>16034283245</v>
      </c>
      <c r="AO1186" t="s">
        <v>6701</v>
      </c>
      <c r="AP1186" t="s">
        <v>121</v>
      </c>
      <c r="AQ1186" t="s">
        <v>276</v>
      </c>
      <c r="AR1186" t="s">
        <v>277</v>
      </c>
      <c r="AS1186" t="s">
        <v>278</v>
      </c>
      <c r="AT1186" t="s">
        <v>279</v>
      </c>
      <c r="AU1186" t="s">
        <v>280</v>
      </c>
      <c r="AV1186" t="s">
        <v>281</v>
      </c>
      <c r="AW1186" t="s">
        <v>222</v>
      </c>
      <c r="AX1186" s="8" t="str">
        <f>"01701"</f>
        <v>01701</v>
      </c>
      <c r="AY1186" t="s">
        <v>118</v>
      </c>
      <c r="BA1186" s="10">
        <v>16179399444</v>
      </c>
      <c r="BC1186" t="s">
        <v>282</v>
      </c>
      <c r="BD1186" t="s">
        <v>283</v>
      </c>
      <c r="BE1186" t="s">
        <v>222</v>
      </c>
      <c r="BF1186" t="s">
        <v>284</v>
      </c>
      <c r="BG1186" t="s">
        <v>2194</v>
      </c>
      <c r="BH1186" s="1">
        <v>45140.833333333336</v>
      </c>
      <c r="BI1186">
        <v>40</v>
      </c>
      <c r="BJ1186">
        <v>0</v>
      </c>
      <c r="BK1186">
        <v>8</v>
      </c>
      <c r="BL1186">
        <v>8</v>
      </c>
      <c r="BM1186">
        <v>8</v>
      </c>
      <c r="BN1186">
        <v>8</v>
      </c>
      <c r="BO1186">
        <v>8</v>
      </c>
      <c r="BP1186">
        <v>0</v>
      </c>
      <c r="BQ1186" t="str">
        <f>"9:00 AM"</f>
        <v>9:00 AM</v>
      </c>
      <c r="BR1186" t="str">
        <f>"5:00 PM"</f>
        <v>5:00 PM</v>
      </c>
      <c r="BS1186" t="s">
        <v>131</v>
      </c>
      <c r="BT1186">
        <v>0</v>
      </c>
      <c r="BU1186">
        <v>3</v>
      </c>
      <c r="BV1186" t="s">
        <v>114</v>
      </c>
      <c r="BX1186" s="2" t="s">
        <v>6702</v>
      </c>
      <c r="BY1186" t="s">
        <v>6696</v>
      </c>
      <c r="CA1186" t="s">
        <v>6698</v>
      </c>
      <c r="CB1186" t="s">
        <v>2194</v>
      </c>
      <c r="CC1186" s="8" t="str">
        <f>"03242"</f>
        <v>03242</v>
      </c>
      <c r="CD1186" t="s">
        <v>6530</v>
      </c>
      <c r="CE1186" t="s">
        <v>2399</v>
      </c>
      <c r="CF1186" s="12">
        <v>18.010000000000002</v>
      </c>
      <c r="CG1186" s="12">
        <v>22</v>
      </c>
      <c r="CH1186" s="12">
        <v>18.010000000000002</v>
      </c>
      <c r="CI1186" s="12">
        <v>22</v>
      </c>
      <c r="CJ1186" t="s">
        <v>135</v>
      </c>
      <c r="CK1186" t="s">
        <v>6703</v>
      </c>
      <c r="CL1186" t="s">
        <v>6704</v>
      </c>
      <c r="CO1186" t="s">
        <v>132</v>
      </c>
      <c r="CP1186" t="s">
        <v>114</v>
      </c>
      <c r="CQ1186" t="s">
        <v>114</v>
      </c>
      <c r="CR1186" t="s">
        <v>136</v>
      </c>
      <c r="CS1186" t="s">
        <v>136</v>
      </c>
      <c r="CT1186" t="s">
        <v>136</v>
      </c>
      <c r="CU1186" t="s">
        <v>136</v>
      </c>
      <c r="CV1186" t="s">
        <v>6705</v>
      </c>
      <c r="CW1186" s="10" t="str">
        <f>"+16034283245"</f>
        <v>+16034283245</v>
      </c>
      <c r="CX1186" t="s">
        <v>6701</v>
      </c>
      <c r="CY1186" t="s">
        <v>132</v>
      </c>
      <c r="CZ1186" t="s">
        <v>137</v>
      </c>
      <c r="DA1186" t="s">
        <v>114</v>
      </c>
      <c r="DB1186" t="s">
        <v>114</v>
      </c>
      <c r="DC1186" t="s">
        <v>136</v>
      </c>
      <c r="DD1186" t="s">
        <v>114</v>
      </c>
    </row>
    <row r="1187" spans="1:108" ht="15" customHeight="1" x14ac:dyDescent="0.25">
      <c r="A1187" t="s">
        <v>11533</v>
      </c>
      <c r="B1187" t="s">
        <v>152</v>
      </c>
      <c r="C1187" s="1">
        <v>45134.94661446759</v>
      </c>
      <c r="D1187" s="1">
        <v>45230</v>
      </c>
      <c r="E1187" t="s">
        <v>114</v>
      </c>
      <c r="F1187" t="s">
        <v>1961</v>
      </c>
      <c r="G1187" t="str">
        <f>"37-3011.00"</f>
        <v>37-3011.00</v>
      </c>
      <c r="H1187" t="s">
        <v>429</v>
      </c>
      <c r="I1187">
        <v>48</v>
      </c>
      <c r="J1187">
        <v>48</v>
      </c>
      <c r="K1187" s="1">
        <v>45209</v>
      </c>
      <c r="L1187" s="1">
        <v>45383</v>
      </c>
      <c r="M1187" s="1">
        <v>45209</v>
      </c>
      <c r="N1187" s="1">
        <v>45383</v>
      </c>
      <c r="O1187" t="s">
        <v>116</v>
      </c>
      <c r="P1187" t="s">
        <v>11534</v>
      </c>
      <c r="R1187" t="s">
        <v>11535</v>
      </c>
      <c r="T1187" t="s">
        <v>11536</v>
      </c>
      <c r="U1187" t="s">
        <v>140</v>
      </c>
      <c r="V1187" s="8" t="str">
        <f>"34208"</f>
        <v>34208</v>
      </c>
      <c r="W1187" t="s">
        <v>118</v>
      </c>
      <c r="Y1187" s="10">
        <v>12392254039</v>
      </c>
      <c r="AA1187">
        <v>56173</v>
      </c>
      <c r="AB1187" t="s">
        <v>11537</v>
      </c>
      <c r="AC1187" t="s">
        <v>11538</v>
      </c>
      <c r="AE1187" t="s">
        <v>438</v>
      </c>
      <c r="AF1187" t="s">
        <v>11539</v>
      </c>
      <c r="AH1187" t="s">
        <v>11536</v>
      </c>
      <c r="AI1187" t="s">
        <v>140</v>
      </c>
      <c r="AJ1187" s="8" t="str">
        <f>"34208"</f>
        <v>34208</v>
      </c>
      <c r="AK1187" t="s">
        <v>118</v>
      </c>
      <c r="AM1187" s="10">
        <v>12392254039</v>
      </c>
      <c r="AO1187" t="s">
        <v>132</v>
      </c>
      <c r="AP1187" t="s">
        <v>248</v>
      </c>
      <c r="AQ1187" t="s">
        <v>354</v>
      </c>
      <c r="AR1187" t="s">
        <v>355</v>
      </c>
      <c r="AT1187" t="s">
        <v>356</v>
      </c>
      <c r="AV1187" t="s">
        <v>357</v>
      </c>
      <c r="AW1187" t="s">
        <v>358</v>
      </c>
      <c r="AX1187" s="8" t="str">
        <f>"11590"</f>
        <v>11590</v>
      </c>
      <c r="AY1187" t="s">
        <v>118</v>
      </c>
      <c r="BA1187" s="10">
        <v>15163307168</v>
      </c>
      <c r="BC1187" t="s">
        <v>359</v>
      </c>
      <c r="BD1187" t="s">
        <v>360</v>
      </c>
      <c r="BG1187" t="s">
        <v>140</v>
      </c>
      <c r="BH1187" s="1">
        <v>45098.833333333336</v>
      </c>
      <c r="BI1187">
        <v>40</v>
      </c>
      <c r="BJ1187">
        <v>0</v>
      </c>
      <c r="BK1187">
        <v>8</v>
      </c>
      <c r="BL1187">
        <v>8</v>
      </c>
      <c r="BM1187">
        <v>8</v>
      </c>
      <c r="BN1187">
        <v>8</v>
      </c>
      <c r="BO1187">
        <v>8</v>
      </c>
      <c r="BP1187">
        <v>0</v>
      </c>
      <c r="BQ1187" t="str">
        <f>"7:30 AM"</f>
        <v>7:30 AM</v>
      </c>
      <c r="BR1187" t="str">
        <f>"4:30 PM"</f>
        <v>4:30 PM</v>
      </c>
      <c r="BS1187" t="s">
        <v>131</v>
      </c>
      <c r="BT1187">
        <v>0</v>
      </c>
      <c r="BU1187">
        <v>0</v>
      </c>
      <c r="BV1187" t="s">
        <v>114</v>
      </c>
      <c r="BX1187" t="s">
        <v>132</v>
      </c>
      <c r="BY1187" t="s">
        <v>11540</v>
      </c>
      <c r="CA1187" t="s">
        <v>11541</v>
      </c>
      <c r="CB1187" t="s">
        <v>140</v>
      </c>
      <c r="CC1187" s="8" t="str">
        <f>"33966"</f>
        <v>33966</v>
      </c>
      <c r="CD1187" t="s">
        <v>362</v>
      </c>
      <c r="CE1187" t="s">
        <v>363</v>
      </c>
      <c r="CF1187" s="12">
        <v>15.64</v>
      </c>
      <c r="CG1187" s="12">
        <v>15.64</v>
      </c>
      <c r="CH1187" s="12">
        <v>23.46</v>
      </c>
      <c r="CI1187" s="12">
        <v>23.46</v>
      </c>
      <c r="CJ1187" t="s">
        <v>135</v>
      </c>
      <c r="CK1187" t="s">
        <v>132</v>
      </c>
      <c r="CL1187" t="s">
        <v>11542</v>
      </c>
      <c r="CO1187" t="s">
        <v>132</v>
      </c>
      <c r="CP1187" t="s">
        <v>136</v>
      </c>
      <c r="CQ1187" t="s">
        <v>136</v>
      </c>
      <c r="CR1187" t="s">
        <v>136</v>
      </c>
      <c r="CS1187" t="s">
        <v>114</v>
      </c>
      <c r="CT1187" t="s">
        <v>136</v>
      </c>
      <c r="CU1187" t="s">
        <v>114</v>
      </c>
      <c r="CV1187" t="s">
        <v>1480</v>
      </c>
      <c r="CW1187" s="10" t="str">
        <f>"+12392254039"</f>
        <v>+12392254039</v>
      </c>
      <c r="CX1187" t="s">
        <v>11543</v>
      </c>
      <c r="CY1187" t="s">
        <v>132</v>
      </c>
      <c r="CZ1187" t="s">
        <v>137</v>
      </c>
      <c r="DA1187" t="s">
        <v>114</v>
      </c>
      <c r="DB1187" t="s">
        <v>114</v>
      </c>
      <c r="DC1187" t="s">
        <v>136</v>
      </c>
      <c r="DD1187" t="s">
        <v>114</v>
      </c>
    </row>
    <row r="1188" spans="1:108" ht="15" customHeight="1" x14ac:dyDescent="0.25">
      <c r="A1188" t="s">
        <v>10677</v>
      </c>
      <c r="B1188" t="s">
        <v>152</v>
      </c>
      <c r="C1188" s="1">
        <v>45131.754625000001</v>
      </c>
      <c r="D1188" s="1">
        <v>45230</v>
      </c>
      <c r="E1188" t="s">
        <v>114</v>
      </c>
      <c r="F1188" t="s">
        <v>10678</v>
      </c>
      <c r="G1188" t="str">
        <f>"47-2081.00"</f>
        <v>47-2081.00</v>
      </c>
      <c r="H1188" t="s">
        <v>7777</v>
      </c>
      <c r="I1188">
        <v>5</v>
      </c>
      <c r="J1188">
        <v>5</v>
      </c>
      <c r="K1188" s="1">
        <v>45209</v>
      </c>
      <c r="L1188" s="1">
        <v>45275</v>
      </c>
      <c r="M1188" s="1">
        <v>45209</v>
      </c>
      <c r="N1188" s="1">
        <v>45275</v>
      </c>
      <c r="O1188" t="s">
        <v>238</v>
      </c>
      <c r="P1188" t="s">
        <v>10679</v>
      </c>
      <c r="R1188" t="s">
        <v>10680</v>
      </c>
      <c r="T1188" t="s">
        <v>10681</v>
      </c>
      <c r="U1188" t="s">
        <v>2608</v>
      </c>
      <c r="V1188" s="8" t="str">
        <f>"73159"</f>
        <v>73159</v>
      </c>
      <c r="W1188" t="s">
        <v>118</v>
      </c>
      <c r="Y1188" s="10">
        <v>14059822555</v>
      </c>
      <c r="AA1188">
        <v>238310</v>
      </c>
      <c r="AB1188" t="s">
        <v>10682</v>
      </c>
      <c r="AC1188" t="s">
        <v>10683</v>
      </c>
      <c r="AE1188" t="s">
        <v>871</v>
      </c>
      <c r="AF1188" t="s">
        <v>10680</v>
      </c>
      <c r="AH1188" t="s">
        <v>10681</v>
      </c>
      <c r="AI1188" t="s">
        <v>2608</v>
      </c>
      <c r="AJ1188" s="8" t="str">
        <f>"73159"</f>
        <v>73159</v>
      </c>
      <c r="AK1188" t="s">
        <v>118</v>
      </c>
      <c r="AM1188" s="10">
        <v>14055349828</v>
      </c>
      <c r="AO1188" t="s">
        <v>10684</v>
      </c>
      <c r="AP1188" t="s">
        <v>248</v>
      </c>
      <c r="AQ1188" t="s">
        <v>2120</v>
      </c>
      <c r="AR1188" t="s">
        <v>119</v>
      </c>
      <c r="AS1188" t="s">
        <v>10685</v>
      </c>
      <c r="AT1188" t="s">
        <v>10686</v>
      </c>
      <c r="AV1188" t="s">
        <v>2607</v>
      </c>
      <c r="AW1188" t="s">
        <v>2608</v>
      </c>
      <c r="AX1188" s="8" t="str">
        <f>"73026"</f>
        <v>73026</v>
      </c>
      <c r="AY1188" t="s">
        <v>118</v>
      </c>
      <c r="BA1188" s="10">
        <v>14054140567</v>
      </c>
      <c r="BC1188" t="s">
        <v>10687</v>
      </c>
      <c r="BD1188" t="s">
        <v>10688</v>
      </c>
      <c r="BG1188" t="s">
        <v>2608</v>
      </c>
      <c r="BH1188" s="1">
        <v>45130.833333333336</v>
      </c>
      <c r="BI1188">
        <v>40</v>
      </c>
      <c r="BJ1188">
        <v>0</v>
      </c>
      <c r="BK1188">
        <v>8</v>
      </c>
      <c r="BL1188">
        <v>8</v>
      </c>
      <c r="BM1188">
        <v>8</v>
      </c>
      <c r="BN1188">
        <v>8</v>
      </c>
      <c r="BO1188">
        <v>8</v>
      </c>
      <c r="BP1188">
        <v>0</v>
      </c>
      <c r="BQ1188" t="str">
        <f>"7:00 AM"</f>
        <v>7:00 AM</v>
      </c>
      <c r="BR1188" t="str">
        <f>"5:00 PM"</f>
        <v>5:00 PM</v>
      </c>
      <c r="BS1188" t="s">
        <v>131</v>
      </c>
      <c r="BT1188">
        <v>0</v>
      </c>
      <c r="BU1188">
        <v>3</v>
      </c>
      <c r="BV1188" t="s">
        <v>114</v>
      </c>
      <c r="BX1188" s="2" t="s">
        <v>10689</v>
      </c>
      <c r="BY1188" t="s">
        <v>10690</v>
      </c>
      <c r="CA1188" t="s">
        <v>10681</v>
      </c>
      <c r="CB1188" t="s">
        <v>2608</v>
      </c>
      <c r="CC1188" s="8" t="str">
        <f>"73159"</f>
        <v>73159</v>
      </c>
      <c r="CD1188" t="s">
        <v>3576</v>
      </c>
      <c r="CE1188" t="s">
        <v>3577</v>
      </c>
      <c r="CF1188" s="12">
        <v>19.43</v>
      </c>
      <c r="CH1188" s="12">
        <v>29.15</v>
      </c>
      <c r="CJ1188" t="s">
        <v>135</v>
      </c>
      <c r="CL1188" t="s">
        <v>10691</v>
      </c>
      <c r="CO1188" t="s">
        <v>132</v>
      </c>
      <c r="CP1188" t="s">
        <v>136</v>
      </c>
      <c r="CQ1188" t="s">
        <v>136</v>
      </c>
      <c r="CR1188" t="s">
        <v>136</v>
      </c>
      <c r="CS1188" t="s">
        <v>114</v>
      </c>
      <c r="CT1188" t="s">
        <v>136</v>
      </c>
      <c r="CU1188" t="s">
        <v>114</v>
      </c>
      <c r="CV1188" t="s">
        <v>10692</v>
      </c>
      <c r="CW1188" s="10" t="str">
        <f>"+14055349828"</f>
        <v>+14055349828</v>
      </c>
      <c r="CX1188" t="s">
        <v>10684</v>
      </c>
      <c r="CY1188" t="s">
        <v>132</v>
      </c>
      <c r="CZ1188" t="s">
        <v>137</v>
      </c>
      <c r="DA1188" t="s">
        <v>114</v>
      </c>
      <c r="DB1188" t="s">
        <v>114</v>
      </c>
      <c r="DC1188" t="s">
        <v>136</v>
      </c>
      <c r="DD1188" t="s">
        <v>114</v>
      </c>
    </row>
    <row r="1189" spans="1:108" ht="15" customHeight="1" x14ac:dyDescent="0.25">
      <c r="A1189" t="s">
        <v>10576</v>
      </c>
      <c r="B1189" t="s">
        <v>152</v>
      </c>
      <c r="C1189" s="1">
        <v>45131.721277314813</v>
      </c>
      <c r="D1189" s="1">
        <v>45230</v>
      </c>
      <c r="E1189" t="s">
        <v>114</v>
      </c>
      <c r="F1189" t="s">
        <v>5950</v>
      </c>
      <c r="G1189" t="str">
        <f>"37-3011.00"</f>
        <v>37-3011.00</v>
      </c>
      <c r="H1189" t="s">
        <v>429</v>
      </c>
      <c r="I1189">
        <v>56</v>
      </c>
      <c r="J1189">
        <v>56</v>
      </c>
      <c r="K1189" s="1">
        <v>45214</v>
      </c>
      <c r="L1189" s="1">
        <v>45473</v>
      </c>
      <c r="M1189" s="1">
        <v>45214</v>
      </c>
      <c r="N1189" s="1">
        <v>45473</v>
      </c>
      <c r="O1189" t="s">
        <v>238</v>
      </c>
      <c r="P1189" t="s">
        <v>10577</v>
      </c>
      <c r="R1189" t="s">
        <v>10578</v>
      </c>
      <c r="T1189" t="s">
        <v>10579</v>
      </c>
      <c r="U1189" t="s">
        <v>854</v>
      </c>
      <c r="V1189" s="8" t="str">
        <f>"83854"</f>
        <v>83854</v>
      </c>
      <c r="W1189" t="s">
        <v>118</v>
      </c>
      <c r="Y1189" s="10">
        <v>12082776979</v>
      </c>
      <c r="AA1189">
        <v>11531</v>
      </c>
      <c r="AB1189" t="s">
        <v>10580</v>
      </c>
      <c r="AC1189" t="s">
        <v>10581</v>
      </c>
      <c r="AE1189" t="s">
        <v>654</v>
      </c>
      <c r="AF1189" t="s">
        <v>10582</v>
      </c>
      <c r="AH1189" t="s">
        <v>10579</v>
      </c>
      <c r="AI1189" t="s">
        <v>854</v>
      </c>
      <c r="AJ1189" s="8" t="str">
        <f>"83854"</f>
        <v>83854</v>
      </c>
      <c r="AK1189" t="s">
        <v>118</v>
      </c>
      <c r="AM1189" s="10">
        <v>12082776979</v>
      </c>
      <c r="AO1189" t="s">
        <v>10583</v>
      </c>
      <c r="AP1189" t="s">
        <v>248</v>
      </c>
      <c r="AQ1189" t="s">
        <v>2546</v>
      </c>
      <c r="AR1189" t="s">
        <v>2547</v>
      </c>
      <c r="AT1189" t="s">
        <v>2548</v>
      </c>
      <c r="AV1189" t="s">
        <v>2544</v>
      </c>
      <c r="AW1189" t="s">
        <v>854</v>
      </c>
      <c r="AX1189" s="8" t="str">
        <f>"83815"</f>
        <v>83815</v>
      </c>
      <c r="AY1189" t="s">
        <v>118</v>
      </c>
      <c r="BA1189" s="10">
        <v>12089303246</v>
      </c>
      <c r="BC1189" t="s">
        <v>2549</v>
      </c>
      <c r="BD1189" t="s">
        <v>2550</v>
      </c>
      <c r="BG1189" t="s">
        <v>854</v>
      </c>
      <c r="BH1189" s="1">
        <v>45130.833333333336</v>
      </c>
      <c r="BI1189">
        <v>35</v>
      </c>
      <c r="BJ1189">
        <v>0</v>
      </c>
      <c r="BK1189">
        <v>7</v>
      </c>
      <c r="BL1189">
        <v>7</v>
      </c>
      <c r="BM1189">
        <v>7</v>
      </c>
      <c r="BN1189">
        <v>7</v>
      </c>
      <c r="BO1189">
        <v>7</v>
      </c>
      <c r="BP1189">
        <v>0</v>
      </c>
      <c r="BQ1189" t="str">
        <f>"7:00 AM"</f>
        <v>7:00 AM</v>
      </c>
      <c r="BR1189" t="str">
        <f>"4:00 PM"</f>
        <v>4:00 PM</v>
      </c>
      <c r="BS1189" t="s">
        <v>131</v>
      </c>
      <c r="BT1189">
        <v>0</v>
      </c>
      <c r="BU1189">
        <v>0</v>
      </c>
      <c r="BV1189" t="s">
        <v>114</v>
      </c>
      <c r="BX1189" s="2" t="s">
        <v>10584</v>
      </c>
      <c r="BY1189" t="s">
        <v>10578</v>
      </c>
      <c r="CA1189" t="s">
        <v>10579</v>
      </c>
      <c r="CB1189" t="s">
        <v>854</v>
      </c>
      <c r="CC1189" s="8" t="str">
        <f>"83854"</f>
        <v>83854</v>
      </c>
      <c r="CD1189" t="s">
        <v>2552</v>
      </c>
      <c r="CE1189" t="s">
        <v>2553</v>
      </c>
      <c r="CF1189" s="12">
        <v>15.77</v>
      </c>
      <c r="CG1189" s="12">
        <v>20.96</v>
      </c>
      <c r="CH1189" s="12">
        <v>23.66</v>
      </c>
      <c r="CI1189" s="12">
        <v>31.44</v>
      </c>
      <c r="CJ1189" t="s">
        <v>135</v>
      </c>
      <c r="CK1189" t="s">
        <v>2554</v>
      </c>
      <c r="CL1189" t="s">
        <v>10585</v>
      </c>
      <c r="CO1189" t="s">
        <v>132</v>
      </c>
      <c r="CP1189" t="s">
        <v>136</v>
      </c>
      <c r="CQ1189" t="s">
        <v>136</v>
      </c>
      <c r="CR1189" t="s">
        <v>136</v>
      </c>
      <c r="CS1189" t="s">
        <v>136</v>
      </c>
      <c r="CT1189" t="s">
        <v>136</v>
      </c>
      <c r="CU1189" t="s">
        <v>136</v>
      </c>
      <c r="CV1189" t="s">
        <v>10586</v>
      </c>
      <c r="CW1189" s="10" t="str">
        <f>"+12082776979"</f>
        <v>+12082776979</v>
      </c>
      <c r="CX1189" t="s">
        <v>10587</v>
      </c>
      <c r="CY1189" t="s">
        <v>132</v>
      </c>
      <c r="CZ1189" t="s">
        <v>137</v>
      </c>
      <c r="DA1189" t="s">
        <v>114</v>
      </c>
      <c r="DB1189" t="s">
        <v>114</v>
      </c>
      <c r="DC1189" t="s">
        <v>136</v>
      </c>
      <c r="DD1189" t="s">
        <v>114</v>
      </c>
    </row>
    <row r="1190" spans="1:108" ht="15" customHeight="1" x14ac:dyDescent="0.25">
      <c r="A1190" t="s">
        <v>19298</v>
      </c>
      <c r="B1190" t="s">
        <v>152</v>
      </c>
      <c r="C1190" s="1">
        <v>45125.69717777778</v>
      </c>
      <c r="D1190" s="1">
        <v>45230</v>
      </c>
      <c r="E1190" t="s">
        <v>114</v>
      </c>
      <c r="F1190" t="s">
        <v>4709</v>
      </c>
      <c r="G1190" t="str">
        <f>"47-2081.00"</f>
        <v>47-2081.00</v>
      </c>
      <c r="H1190" t="s">
        <v>7777</v>
      </c>
      <c r="I1190">
        <v>22</v>
      </c>
      <c r="J1190">
        <v>22</v>
      </c>
      <c r="K1190" s="1">
        <v>45200</v>
      </c>
      <c r="L1190" s="1">
        <v>45473</v>
      </c>
      <c r="M1190" s="1">
        <v>45200</v>
      </c>
      <c r="N1190" s="1">
        <v>45473</v>
      </c>
      <c r="O1190" t="s">
        <v>116</v>
      </c>
      <c r="P1190" t="s">
        <v>19299</v>
      </c>
      <c r="R1190" t="s">
        <v>3617</v>
      </c>
      <c r="T1190" t="s">
        <v>3618</v>
      </c>
      <c r="U1190" t="s">
        <v>2608</v>
      </c>
      <c r="V1190" s="8" t="str">
        <f>"74019"</f>
        <v>74019</v>
      </c>
      <c r="W1190" t="s">
        <v>118</v>
      </c>
      <c r="Y1190" s="10">
        <v>18335228483</v>
      </c>
      <c r="AA1190">
        <v>236118</v>
      </c>
      <c r="AB1190" t="s">
        <v>3619</v>
      </c>
      <c r="AC1190" t="s">
        <v>2899</v>
      </c>
      <c r="AE1190" t="s">
        <v>561</v>
      </c>
      <c r="AF1190" t="s">
        <v>3617</v>
      </c>
      <c r="AH1190" t="s">
        <v>3618</v>
      </c>
      <c r="AI1190" t="s">
        <v>2608</v>
      </c>
      <c r="AJ1190" s="8" t="str">
        <f>"74019"</f>
        <v>74019</v>
      </c>
      <c r="AK1190" t="s">
        <v>118</v>
      </c>
      <c r="AM1190" s="10">
        <v>18335228483</v>
      </c>
      <c r="AO1190" t="s">
        <v>132</v>
      </c>
      <c r="AP1190" t="s">
        <v>121</v>
      </c>
      <c r="AQ1190" t="s">
        <v>1172</v>
      </c>
      <c r="AR1190" t="s">
        <v>1173</v>
      </c>
      <c r="AS1190" t="s">
        <v>708</v>
      </c>
      <c r="AT1190" t="s">
        <v>3620</v>
      </c>
      <c r="AV1190" t="s">
        <v>603</v>
      </c>
      <c r="AW1190" t="s">
        <v>127</v>
      </c>
      <c r="AX1190" s="8" t="str">
        <f>"78705"</f>
        <v>78705</v>
      </c>
      <c r="AY1190" t="s">
        <v>118</v>
      </c>
      <c r="BA1190" s="10">
        <v>15129173770</v>
      </c>
      <c r="BC1190" t="s">
        <v>3621</v>
      </c>
      <c r="BD1190" t="s">
        <v>3622</v>
      </c>
      <c r="BE1190" t="s">
        <v>127</v>
      </c>
      <c r="BF1190" t="s">
        <v>750</v>
      </c>
      <c r="BG1190" t="s">
        <v>2608</v>
      </c>
      <c r="BH1190" s="1">
        <v>45107.833333333336</v>
      </c>
      <c r="BI1190">
        <v>40</v>
      </c>
      <c r="BJ1190">
        <v>0</v>
      </c>
      <c r="BK1190">
        <v>8</v>
      </c>
      <c r="BL1190">
        <v>8</v>
      </c>
      <c r="BM1190">
        <v>8</v>
      </c>
      <c r="BN1190">
        <v>8</v>
      </c>
      <c r="BO1190">
        <v>8</v>
      </c>
      <c r="BP1190">
        <v>0</v>
      </c>
      <c r="BQ1190" t="str">
        <f>"8:00 AM"</f>
        <v>8:00 AM</v>
      </c>
      <c r="BR1190" t="str">
        <f>"5:00 PM"</f>
        <v>5:00 PM</v>
      </c>
      <c r="BS1190" t="s">
        <v>131</v>
      </c>
      <c r="BT1190">
        <v>0</v>
      </c>
      <c r="BU1190">
        <v>0</v>
      </c>
      <c r="BV1190" t="s">
        <v>114</v>
      </c>
      <c r="BX1190" t="s">
        <v>132</v>
      </c>
      <c r="BY1190" t="s">
        <v>19300</v>
      </c>
      <c r="CA1190" t="s">
        <v>19301</v>
      </c>
      <c r="CB1190" t="s">
        <v>2608</v>
      </c>
      <c r="CC1190" s="8" t="str">
        <f>"74019"</f>
        <v>74019</v>
      </c>
      <c r="CD1190" t="s">
        <v>2816</v>
      </c>
      <c r="CE1190" t="s">
        <v>2817</v>
      </c>
      <c r="CF1190" s="12">
        <v>21.21</v>
      </c>
      <c r="CG1190" s="12">
        <v>21.21</v>
      </c>
      <c r="CH1190" s="12">
        <v>31.82</v>
      </c>
      <c r="CI1190" s="12">
        <v>31.82</v>
      </c>
      <c r="CJ1190" t="s">
        <v>135</v>
      </c>
      <c r="CK1190" t="s">
        <v>19302</v>
      </c>
      <c r="CL1190" t="s">
        <v>19303</v>
      </c>
      <c r="CO1190" t="s">
        <v>132</v>
      </c>
      <c r="CP1190" t="s">
        <v>136</v>
      </c>
      <c r="CQ1190" t="s">
        <v>136</v>
      </c>
      <c r="CR1190" t="s">
        <v>136</v>
      </c>
      <c r="CS1190" t="s">
        <v>114</v>
      </c>
      <c r="CT1190" t="s">
        <v>136</v>
      </c>
      <c r="CU1190" t="s">
        <v>136</v>
      </c>
      <c r="CV1190" t="s">
        <v>19304</v>
      </c>
      <c r="CW1190" s="10" t="str">
        <f>"+18335228483"</f>
        <v>+18335228483</v>
      </c>
      <c r="CX1190" t="s">
        <v>3624</v>
      </c>
      <c r="CY1190" t="s">
        <v>132</v>
      </c>
      <c r="CZ1190" t="s">
        <v>137</v>
      </c>
      <c r="DA1190" t="s">
        <v>114</v>
      </c>
      <c r="DB1190" t="s">
        <v>114</v>
      </c>
      <c r="DC1190" t="s">
        <v>136</v>
      </c>
      <c r="DD1190" t="s">
        <v>114</v>
      </c>
    </row>
    <row r="1191" spans="1:108" ht="15" customHeight="1" x14ac:dyDescent="0.25">
      <c r="A1191" t="s">
        <v>3776</v>
      </c>
      <c r="B1191" t="s">
        <v>152</v>
      </c>
      <c r="C1191" s="1">
        <v>45125.385990972223</v>
      </c>
      <c r="D1191" s="1">
        <v>45230</v>
      </c>
      <c r="E1191" t="s">
        <v>114</v>
      </c>
      <c r="F1191" t="s">
        <v>3777</v>
      </c>
      <c r="G1191" t="str">
        <f>"53-7064.00"</f>
        <v>53-7064.00</v>
      </c>
      <c r="H1191" t="s">
        <v>3138</v>
      </c>
      <c r="I1191">
        <v>10</v>
      </c>
      <c r="J1191">
        <v>10</v>
      </c>
      <c r="K1191" s="1">
        <v>45215</v>
      </c>
      <c r="L1191" s="1">
        <v>45409</v>
      </c>
      <c r="M1191" s="1">
        <v>45215</v>
      </c>
      <c r="N1191" s="1">
        <v>45409</v>
      </c>
      <c r="O1191" t="s">
        <v>116</v>
      </c>
      <c r="P1191" t="s">
        <v>3778</v>
      </c>
      <c r="R1191" t="s">
        <v>3779</v>
      </c>
      <c r="T1191" t="s">
        <v>3051</v>
      </c>
      <c r="U1191" t="s">
        <v>584</v>
      </c>
      <c r="V1191" s="8" t="str">
        <f>"82414"</f>
        <v>82414</v>
      </c>
      <c r="W1191" t="s">
        <v>118</v>
      </c>
      <c r="Y1191" s="10">
        <v>13075875515</v>
      </c>
      <c r="AA1191">
        <v>32619</v>
      </c>
      <c r="AB1191" t="s">
        <v>3780</v>
      </c>
      <c r="AC1191" t="s">
        <v>3781</v>
      </c>
      <c r="AE1191" t="s">
        <v>405</v>
      </c>
      <c r="AF1191" t="s">
        <v>3782</v>
      </c>
      <c r="AH1191" t="s">
        <v>3051</v>
      </c>
      <c r="AI1191" t="s">
        <v>584</v>
      </c>
      <c r="AJ1191" s="8" t="str">
        <f>"82414"</f>
        <v>82414</v>
      </c>
      <c r="AK1191" t="s">
        <v>118</v>
      </c>
      <c r="AM1191" s="10">
        <v>13075875515</v>
      </c>
      <c r="AO1191" t="s">
        <v>3783</v>
      </c>
      <c r="AP1191" t="s">
        <v>248</v>
      </c>
      <c r="AQ1191" t="s">
        <v>1860</v>
      </c>
      <c r="AR1191" t="s">
        <v>1861</v>
      </c>
      <c r="AS1191" t="s">
        <v>1862</v>
      </c>
      <c r="AT1191" t="s">
        <v>1863</v>
      </c>
      <c r="AU1191" t="s">
        <v>1864</v>
      </c>
      <c r="AV1191" t="s">
        <v>1865</v>
      </c>
      <c r="AW1191" t="s">
        <v>581</v>
      </c>
      <c r="AX1191" s="8" t="str">
        <f>"24521"</f>
        <v>24521</v>
      </c>
      <c r="AY1191" t="s">
        <v>118</v>
      </c>
      <c r="AZ1191" s="3" t="s">
        <v>2321</v>
      </c>
      <c r="BA1191" s="10">
        <v>14349460035</v>
      </c>
      <c r="BB1191">
        <v>11</v>
      </c>
      <c r="BC1191" t="s">
        <v>1866</v>
      </c>
      <c r="BD1191" t="s">
        <v>1867</v>
      </c>
      <c r="BG1191" t="s">
        <v>584</v>
      </c>
      <c r="BH1191" s="1">
        <v>45124.833333333336</v>
      </c>
      <c r="BI1191">
        <v>37.5</v>
      </c>
      <c r="BJ1191">
        <v>0</v>
      </c>
      <c r="BK1191">
        <v>7.5</v>
      </c>
      <c r="BL1191">
        <v>7.5</v>
      </c>
      <c r="BM1191">
        <v>7.5</v>
      </c>
      <c r="BN1191">
        <v>7.5</v>
      </c>
      <c r="BO1191">
        <v>7.5</v>
      </c>
      <c r="BP1191">
        <v>0</v>
      </c>
      <c r="BQ1191" t="str">
        <f>"3:00 PM"</f>
        <v>3:00 PM</v>
      </c>
      <c r="BR1191" t="str">
        <f>"11:00 PM"</f>
        <v>11:00 PM</v>
      </c>
      <c r="BS1191" t="s">
        <v>131</v>
      </c>
      <c r="BT1191">
        <v>0</v>
      </c>
      <c r="BU1191">
        <v>0</v>
      </c>
      <c r="BV1191" t="s">
        <v>114</v>
      </c>
      <c r="BX1191" s="2" t="s">
        <v>3784</v>
      </c>
      <c r="BY1191" t="s">
        <v>3785</v>
      </c>
      <c r="CA1191" t="s">
        <v>3051</v>
      </c>
      <c r="CB1191" t="s">
        <v>584</v>
      </c>
      <c r="CC1191" s="8" t="str">
        <f>"82414"</f>
        <v>82414</v>
      </c>
      <c r="CD1191" t="s">
        <v>3786</v>
      </c>
      <c r="CE1191" t="s">
        <v>589</v>
      </c>
      <c r="CF1191" s="12">
        <v>15.5</v>
      </c>
      <c r="CG1191" s="12">
        <v>15.5</v>
      </c>
      <c r="CH1191" s="12">
        <v>23.25</v>
      </c>
      <c r="CI1191" s="12">
        <v>23.25</v>
      </c>
      <c r="CJ1191" t="s">
        <v>135</v>
      </c>
      <c r="CK1191" t="s">
        <v>3787</v>
      </c>
      <c r="CL1191" t="s">
        <v>3788</v>
      </c>
      <c r="CO1191" t="s">
        <v>132</v>
      </c>
      <c r="CP1191" t="s">
        <v>114</v>
      </c>
      <c r="CQ1191" t="s">
        <v>114</v>
      </c>
      <c r="CR1191" t="s">
        <v>136</v>
      </c>
      <c r="CS1191" t="s">
        <v>136</v>
      </c>
      <c r="CT1191" t="s">
        <v>136</v>
      </c>
      <c r="CU1191" t="s">
        <v>136</v>
      </c>
      <c r="CV1191" t="s">
        <v>3789</v>
      </c>
      <c r="CW1191" s="10" t="str">
        <f>"+13075875515"</f>
        <v>+13075875515</v>
      </c>
      <c r="CX1191" t="s">
        <v>132</v>
      </c>
      <c r="CY1191" t="s">
        <v>3790</v>
      </c>
      <c r="CZ1191" t="s">
        <v>137</v>
      </c>
      <c r="DA1191" t="s">
        <v>114</v>
      </c>
      <c r="DB1191" t="s">
        <v>136</v>
      </c>
      <c r="DC1191" t="s">
        <v>136</v>
      </c>
      <c r="DD1191" t="s">
        <v>114</v>
      </c>
    </row>
    <row r="1192" spans="1:108" ht="15" customHeight="1" x14ac:dyDescent="0.25">
      <c r="A1192" t="s">
        <v>15526</v>
      </c>
      <c r="B1192" t="s">
        <v>152</v>
      </c>
      <c r="C1192" s="1">
        <v>45124.608286342591</v>
      </c>
      <c r="D1192" s="1">
        <v>45230</v>
      </c>
      <c r="E1192" t="s">
        <v>114</v>
      </c>
      <c r="F1192" t="s">
        <v>2536</v>
      </c>
      <c r="G1192" t="str">
        <f>"45-4011.00"</f>
        <v>45-4011.00</v>
      </c>
      <c r="H1192" t="s">
        <v>842</v>
      </c>
      <c r="I1192">
        <v>40</v>
      </c>
      <c r="J1192">
        <v>40</v>
      </c>
      <c r="K1192" s="1">
        <v>45214</v>
      </c>
      <c r="L1192" s="1">
        <v>45488</v>
      </c>
      <c r="M1192" s="1">
        <v>45214</v>
      </c>
      <c r="N1192" s="1">
        <v>45488</v>
      </c>
      <c r="O1192" t="s">
        <v>238</v>
      </c>
      <c r="P1192" t="s">
        <v>15527</v>
      </c>
      <c r="R1192" t="s">
        <v>15528</v>
      </c>
      <c r="T1192" t="s">
        <v>2301</v>
      </c>
      <c r="U1192" t="s">
        <v>479</v>
      </c>
      <c r="V1192" s="8" t="str">
        <f>"97338"</f>
        <v>97338</v>
      </c>
      <c r="W1192" t="s">
        <v>118</v>
      </c>
      <c r="Y1192" s="10">
        <v>15039495755</v>
      </c>
      <c r="AA1192">
        <v>11531</v>
      </c>
      <c r="AB1192" t="s">
        <v>15529</v>
      </c>
      <c r="AC1192" t="s">
        <v>15530</v>
      </c>
      <c r="AE1192" t="s">
        <v>5288</v>
      </c>
      <c r="AF1192" t="s">
        <v>15528</v>
      </c>
      <c r="AH1192" t="s">
        <v>2301</v>
      </c>
      <c r="AI1192" t="s">
        <v>479</v>
      </c>
      <c r="AJ1192" s="8" t="str">
        <f>"97338"</f>
        <v>97338</v>
      </c>
      <c r="AK1192" t="s">
        <v>118</v>
      </c>
      <c r="AM1192" s="10">
        <v>15039495757</v>
      </c>
      <c r="AO1192" t="s">
        <v>15531</v>
      </c>
      <c r="AP1192" t="s">
        <v>248</v>
      </c>
      <c r="AQ1192" t="s">
        <v>5378</v>
      </c>
      <c r="AR1192" t="s">
        <v>2547</v>
      </c>
      <c r="AT1192" t="s">
        <v>2548</v>
      </c>
      <c r="AV1192" t="s">
        <v>2539</v>
      </c>
      <c r="AW1192" t="s">
        <v>854</v>
      </c>
      <c r="AX1192" s="8" t="str">
        <f>"83815"</f>
        <v>83815</v>
      </c>
      <c r="AY1192" t="s">
        <v>118</v>
      </c>
      <c r="BA1192" s="10">
        <v>12089303246</v>
      </c>
      <c r="BC1192" t="s">
        <v>2549</v>
      </c>
      <c r="BD1192" t="s">
        <v>2550</v>
      </c>
      <c r="BG1192" t="s">
        <v>479</v>
      </c>
      <c r="BH1192" s="1">
        <v>45119.833333333336</v>
      </c>
      <c r="BI1192">
        <v>35</v>
      </c>
      <c r="BJ1192">
        <v>0</v>
      </c>
      <c r="BK1192">
        <v>7</v>
      </c>
      <c r="BL1192">
        <v>7</v>
      </c>
      <c r="BM1192">
        <v>7</v>
      </c>
      <c r="BN1192">
        <v>7</v>
      </c>
      <c r="BO1192">
        <v>7</v>
      </c>
      <c r="BP1192">
        <v>0</v>
      </c>
      <c r="BQ1192" t="str">
        <f>"7:00 AM"</f>
        <v>7:00 AM</v>
      </c>
      <c r="BR1192" t="str">
        <f>"3:30 PM"</f>
        <v>3:30 PM</v>
      </c>
      <c r="BS1192" t="s">
        <v>131</v>
      </c>
      <c r="BT1192">
        <v>0</v>
      </c>
      <c r="BU1192">
        <v>0</v>
      </c>
      <c r="BV1192" t="s">
        <v>114</v>
      </c>
      <c r="BX1192" t="s">
        <v>15532</v>
      </c>
      <c r="BY1192" t="s">
        <v>15533</v>
      </c>
      <c r="CA1192" t="s">
        <v>2301</v>
      </c>
      <c r="CB1192" t="s">
        <v>479</v>
      </c>
      <c r="CC1192" s="8" t="str">
        <f>"97338"</f>
        <v>97338</v>
      </c>
      <c r="CD1192" t="s">
        <v>938</v>
      </c>
      <c r="CE1192" t="s">
        <v>1258</v>
      </c>
      <c r="CF1192" s="12">
        <v>16.2</v>
      </c>
      <c r="CG1192" s="12">
        <v>20.62</v>
      </c>
      <c r="CH1192" s="12">
        <v>24.3</v>
      </c>
      <c r="CI1192" s="12">
        <v>30.93</v>
      </c>
      <c r="CJ1192" t="s">
        <v>135</v>
      </c>
      <c r="CK1192" t="s">
        <v>2554</v>
      </c>
      <c r="CL1192" t="s">
        <v>15534</v>
      </c>
      <c r="CO1192" t="s">
        <v>132</v>
      </c>
      <c r="CP1192" t="s">
        <v>136</v>
      </c>
      <c r="CQ1192" t="s">
        <v>136</v>
      </c>
      <c r="CR1192" t="s">
        <v>136</v>
      </c>
      <c r="CS1192" t="s">
        <v>136</v>
      </c>
      <c r="CT1192" t="s">
        <v>136</v>
      </c>
      <c r="CU1192" t="s">
        <v>136</v>
      </c>
      <c r="CV1192" t="s">
        <v>15535</v>
      </c>
      <c r="CW1192" s="10" t="str">
        <f>"+15039495757"</f>
        <v>+15039495757</v>
      </c>
      <c r="CX1192" t="s">
        <v>15536</v>
      </c>
      <c r="CY1192" t="s">
        <v>132</v>
      </c>
      <c r="CZ1192" t="s">
        <v>137</v>
      </c>
      <c r="DA1192" t="s">
        <v>114</v>
      </c>
      <c r="DB1192" t="s">
        <v>114</v>
      </c>
      <c r="DC1192" t="s">
        <v>136</v>
      </c>
      <c r="DD1192" t="s">
        <v>114</v>
      </c>
    </row>
    <row r="1193" spans="1:108" ht="15" customHeight="1" x14ac:dyDescent="0.25">
      <c r="A1193" t="s">
        <v>19208</v>
      </c>
      <c r="B1193" t="s">
        <v>152</v>
      </c>
      <c r="C1193" s="1">
        <v>45119.739099305552</v>
      </c>
      <c r="D1193" s="1">
        <v>45230</v>
      </c>
      <c r="E1193" t="s">
        <v>114</v>
      </c>
      <c r="F1193" t="s">
        <v>1059</v>
      </c>
      <c r="G1193" t="str">
        <f>"35-2014.00"</f>
        <v>35-2014.00</v>
      </c>
      <c r="H1193" t="s">
        <v>154</v>
      </c>
      <c r="I1193">
        <v>15</v>
      </c>
      <c r="J1193">
        <v>15</v>
      </c>
      <c r="K1193" s="1">
        <v>45200</v>
      </c>
      <c r="L1193" s="1">
        <v>45473</v>
      </c>
      <c r="M1193" s="1">
        <v>45200</v>
      </c>
      <c r="N1193" s="1">
        <v>45473</v>
      </c>
      <c r="O1193" t="s">
        <v>116</v>
      </c>
      <c r="P1193" t="s">
        <v>19209</v>
      </c>
      <c r="Q1193" t="s">
        <v>19210</v>
      </c>
      <c r="R1193" t="s">
        <v>19211</v>
      </c>
      <c r="T1193" t="s">
        <v>6627</v>
      </c>
      <c r="U1193" t="s">
        <v>402</v>
      </c>
      <c r="V1193" s="8" t="str">
        <f>"96161"</f>
        <v>96161</v>
      </c>
      <c r="W1193" t="s">
        <v>118</v>
      </c>
      <c r="Y1193" s="10">
        <v>15305623091</v>
      </c>
      <c r="AA1193">
        <v>72111</v>
      </c>
      <c r="AB1193" t="s">
        <v>14257</v>
      </c>
      <c r="AC1193" t="s">
        <v>6840</v>
      </c>
      <c r="AE1193" t="s">
        <v>1104</v>
      </c>
      <c r="AF1193" t="s">
        <v>19211</v>
      </c>
      <c r="AH1193" t="s">
        <v>6627</v>
      </c>
      <c r="AI1193" t="s">
        <v>402</v>
      </c>
      <c r="AJ1193" s="8" t="str">
        <f>"96161"</f>
        <v>96161</v>
      </c>
      <c r="AK1193" t="s">
        <v>118</v>
      </c>
      <c r="AM1193" s="10">
        <v>15305623091</v>
      </c>
      <c r="AO1193" t="s">
        <v>19212</v>
      </c>
      <c r="AP1193" t="s">
        <v>121</v>
      </c>
      <c r="AQ1193" t="s">
        <v>1327</v>
      </c>
      <c r="AR1193" t="s">
        <v>1328</v>
      </c>
      <c r="AS1193" t="s">
        <v>1329</v>
      </c>
      <c r="AT1193" t="s">
        <v>1330</v>
      </c>
      <c r="AU1193" t="s">
        <v>1331</v>
      </c>
      <c r="AV1193" t="s">
        <v>142</v>
      </c>
      <c r="AW1193" t="s">
        <v>140</v>
      </c>
      <c r="AX1193" s="8" t="str">
        <f>"33126"</f>
        <v>33126</v>
      </c>
      <c r="AY1193" t="s">
        <v>118</v>
      </c>
      <c r="BA1193" s="10">
        <v>13057745800</v>
      </c>
      <c r="BC1193" t="s">
        <v>1332</v>
      </c>
      <c r="BD1193" t="s">
        <v>1333</v>
      </c>
      <c r="BE1193" t="s">
        <v>140</v>
      </c>
      <c r="BF1193" t="s">
        <v>172</v>
      </c>
      <c r="BG1193" t="s">
        <v>402</v>
      </c>
      <c r="BH1193" s="1">
        <v>45118.833333333336</v>
      </c>
      <c r="BI1193">
        <v>35</v>
      </c>
      <c r="BJ1193">
        <v>8</v>
      </c>
      <c r="BK1193">
        <v>8</v>
      </c>
      <c r="BL1193">
        <v>8</v>
      </c>
      <c r="BM1193">
        <v>8</v>
      </c>
      <c r="BN1193">
        <v>3</v>
      </c>
      <c r="BO1193">
        <v>0</v>
      </c>
      <c r="BP1193">
        <v>0</v>
      </c>
      <c r="BQ1193" t="str">
        <f>"6:00 AM"</f>
        <v>6:00 AM</v>
      </c>
      <c r="BR1193" t="str">
        <f>"2:30 PM"</f>
        <v>2:30 PM</v>
      </c>
      <c r="BS1193" t="s">
        <v>131</v>
      </c>
      <c r="BT1193">
        <v>0</v>
      </c>
      <c r="BU1193">
        <v>6</v>
      </c>
      <c r="BV1193" t="s">
        <v>114</v>
      </c>
      <c r="BX1193" s="2" t="s">
        <v>19213</v>
      </c>
      <c r="BY1193" t="s">
        <v>19211</v>
      </c>
      <c r="CA1193" t="s">
        <v>6627</v>
      </c>
      <c r="CB1193" t="s">
        <v>402</v>
      </c>
      <c r="CC1193" s="8" t="str">
        <f>"96161"</f>
        <v>96161</v>
      </c>
      <c r="CD1193" t="s">
        <v>4340</v>
      </c>
      <c r="CE1193" t="s">
        <v>7472</v>
      </c>
      <c r="CF1193" s="12">
        <v>17.760000000000002</v>
      </c>
      <c r="CH1193" s="12">
        <v>26.64</v>
      </c>
      <c r="CJ1193" t="s">
        <v>135</v>
      </c>
      <c r="CL1193" t="s">
        <v>19214</v>
      </c>
      <c r="CO1193" t="s">
        <v>132</v>
      </c>
      <c r="CP1193" t="s">
        <v>114</v>
      </c>
      <c r="CQ1193" t="s">
        <v>114</v>
      </c>
      <c r="CR1193" t="s">
        <v>136</v>
      </c>
      <c r="CS1193" t="s">
        <v>136</v>
      </c>
      <c r="CT1193" t="s">
        <v>136</v>
      </c>
      <c r="CU1193" t="s">
        <v>136</v>
      </c>
      <c r="CV1193" t="s">
        <v>19215</v>
      </c>
      <c r="CW1193" s="10" t="str">
        <f>"+15305503015"</f>
        <v>+15305503015</v>
      </c>
      <c r="CX1193" t="s">
        <v>19212</v>
      </c>
      <c r="CY1193" t="s">
        <v>132</v>
      </c>
      <c r="CZ1193" t="s">
        <v>137</v>
      </c>
      <c r="DA1193" t="s">
        <v>114</v>
      </c>
      <c r="DB1193" t="s">
        <v>136</v>
      </c>
      <c r="DC1193" t="s">
        <v>136</v>
      </c>
      <c r="DD1193" t="s">
        <v>114</v>
      </c>
    </row>
    <row r="1194" spans="1:108" ht="15" customHeight="1" x14ac:dyDescent="0.25">
      <c r="A1194" t="s">
        <v>15704</v>
      </c>
      <c r="B1194" t="s">
        <v>152</v>
      </c>
      <c r="C1194" s="1">
        <v>45119.685019097225</v>
      </c>
      <c r="D1194" s="1">
        <v>45230</v>
      </c>
      <c r="E1194" t="s">
        <v>114</v>
      </c>
      <c r="F1194" t="s">
        <v>1961</v>
      </c>
      <c r="G1194" t="str">
        <f>"37-3011.00"</f>
        <v>37-3011.00</v>
      </c>
      <c r="H1194" t="s">
        <v>429</v>
      </c>
      <c r="I1194">
        <v>6</v>
      </c>
      <c r="J1194">
        <v>6</v>
      </c>
      <c r="K1194" s="1">
        <v>45200</v>
      </c>
      <c r="L1194" s="1">
        <v>45443</v>
      </c>
      <c r="M1194" s="1">
        <v>45200</v>
      </c>
      <c r="N1194" s="1">
        <v>45443</v>
      </c>
      <c r="O1194" t="s">
        <v>238</v>
      </c>
      <c r="P1194" t="s">
        <v>13361</v>
      </c>
      <c r="R1194" t="s">
        <v>13362</v>
      </c>
      <c r="T1194" t="s">
        <v>7160</v>
      </c>
      <c r="U1194" t="s">
        <v>140</v>
      </c>
      <c r="V1194" s="8" t="str">
        <f>"34997"</f>
        <v>34997</v>
      </c>
      <c r="W1194" t="s">
        <v>118</v>
      </c>
      <c r="Y1194" s="10">
        <v>17722831114</v>
      </c>
      <c r="AA1194">
        <v>713910</v>
      </c>
      <c r="AB1194" t="s">
        <v>15705</v>
      </c>
      <c r="AC1194" t="s">
        <v>1758</v>
      </c>
      <c r="AE1194" t="s">
        <v>1119</v>
      </c>
      <c r="AF1194" t="s">
        <v>13362</v>
      </c>
      <c r="AH1194" t="s">
        <v>7160</v>
      </c>
      <c r="AI1194" t="s">
        <v>140</v>
      </c>
      <c r="AJ1194" s="8" t="str">
        <f>"34997"</f>
        <v>34997</v>
      </c>
      <c r="AK1194" t="s">
        <v>118</v>
      </c>
      <c r="AM1194" s="10">
        <v>17722831114</v>
      </c>
      <c r="AO1194" t="s">
        <v>796</v>
      </c>
      <c r="AP1194" t="s">
        <v>248</v>
      </c>
      <c r="AQ1194" t="s">
        <v>354</v>
      </c>
      <c r="AR1194" t="s">
        <v>355</v>
      </c>
      <c r="AT1194" t="s">
        <v>356</v>
      </c>
      <c r="AV1194" t="s">
        <v>357</v>
      </c>
      <c r="AW1194" t="s">
        <v>358</v>
      </c>
      <c r="AX1194" s="8" t="str">
        <f>"11590"</f>
        <v>11590</v>
      </c>
      <c r="AY1194" t="s">
        <v>118</v>
      </c>
      <c r="BA1194" s="10">
        <v>15163307168</v>
      </c>
      <c r="BC1194" t="s">
        <v>359</v>
      </c>
      <c r="BD1194" t="s">
        <v>360</v>
      </c>
      <c r="BG1194" t="s">
        <v>140</v>
      </c>
      <c r="BH1194" s="1">
        <v>45118.833333333336</v>
      </c>
      <c r="BI1194">
        <v>40</v>
      </c>
      <c r="BJ1194">
        <v>8</v>
      </c>
      <c r="BK1194">
        <v>0</v>
      </c>
      <c r="BL1194">
        <v>8</v>
      </c>
      <c r="BM1194">
        <v>0</v>
      </c>
      <c r="BN1194">
        <v>8</v>
      </c>
      <c r="BO1194">
        <v>8</v>
      </c>
      <c r="BP1194">
        <v>8</v>
      </c>
      <c r="BQ1194" t="str">
        <f>"8:00 AM"</f>
        <v>8:00 AM</v>
      </c>
      <c r="BR1194" t="str">
        <f>"4:00 PM"</f>
        <v>4:00 PM</v>
      </c>
      <c r="BS1194" t="s">
        <v>131</v>
      </c>
      <c r="BT1194">
        <v>0</v>
      </c>
      <c r="BU1194">
        <v>3</v>
      </c>
      <c r="BV1194" t="s">
        <v>114</v>
      </c>
      <c r="BX1194" t="s">
        <v>796</v>
      </c>
      <c r="BY1194" t="s">
        <v>13362</v>
      </c>
      <c r="CA1194" t="s">
        <v>7160</v>
      </c>
      <c r="CB1194" t="s">
        <v>140</v>
      </c>
      <c r="CC1194" s="8" t="str">
        <f>"34997"</f>
        <v>34997</v>
      </c>
      <c r="CD1194" t="s">
        <v>695</v>
      </c>
      <c r="CE1194" t="s">
        <v>696</v>
      </c>
      <c r="CF1194" s="12">
        <v>15.96</v>
      </c>
      <c r="CG1194" s="12">
        <v>19</v>
      </c>
      <c r="CH1194" s="12">
        <v>23.94</v>
      </c>
      <c r="CI1194" s="12">
        <v>28.5</v>
      </c>
      <c r="CJ1194" t="s">
        <v>135</v>
      </c>
      <c r="CL1194" t="s">
        <v>15706</v>
      </c>
      <c r="CO1194" t="s">
        <v>132</v>
      </c>
      <c r="CP1194" t="s">
        <v>114</v>
      </c>
      <c r="CQ1194" t="s">
        <v>114</v>
      </c>
      <c r="CR1194" t="s">
        <v>136</v>
      </c>
      <c r="CS1194" t="s">
        <v>114</v>
      </c>
      <c r="CT1194" t="s">
        <v>136</v>
      </c>
      <c r="CU1194" t="s">
        <v>136</v>
      </c>
      <c r="CV1194" t="s">
        <v>15707</v>
      </c>
      <c r="CW1194" s="10" t="str">
        <f>"+17724195327"</f>
        <v>+17724195327</v>
      </c>
      <c r="CX1194" t="s">
        <v>13367</v>
      </c>
      <c r="CY1194" t="s">
        <v>132</v>
      </c>
      <c r="CZ1194" t="s">
        <v>137</v>
      </c>
      <c r="DA1194" t="s">
        <v>114</v>
      </c>
      <c r="DB1194" t="s">
        <v>114</v>
      </c>
      <c r="DC1194" t="s">
        <v>136</v>
      </c>
      <c r="DD1194" t="s">
        <v>114</v>
      </c>
    </row>
    <row r="1195" spans="1:108" ht="15" customHeight="1" x14ac:dyDescent="0.25">
      <c r="A1195" t="s">
        <v>17329</v>
      </c>
      <c r="B1195" t="s">
        <v>152</v>
      </c>
      <c r="C1195" s="1">
        <v>45110.486763541667</v>
      </c>
      <c r="D1195" s="1">
        <v>45230</v>
      </c>
      <c r="E1195" t="s">
        <v>114</v>
      </c>
      <c r="F1195" t="s">
        <v>3847</v>
      </c>
      <c r="G1195" t="str">
        <f>"39-2021.00"</f>
        <v>39-2021.00</v>
      </c>
      <c r="H1195" t="s">
        <v>2895</v>
      </c>
      <c r="I1195">
        <v>16</v>
      </c>
      <c r="J1195">
        <v>16</v>
      </c>
      <c r="K1195" s="1">
        <v>45200</v>
      </c>
      <c r="L1195" s="1">
        <v>45504</v>
      </c>
      <c r="M1195" s="1">
        <v>45200</v>
      </c>
      <c r="N1195" s="1">
        <v>45504</v>
      </c>
      <c r="O1195" t="s">
        <v>238</v>
      </c>
      <c r="P1195" t="s">
        <v>17330</v>
      </c>
      <c r="R1195" t="s">
        <v>17331</v>
      </c>
      <c r="T1195" t="s">
        <v>5142</v>
      </c>
      <c r="U1195" t="s">
        <v>140</v>
      </c>
      <c r="V1195" s="8" t="str">
        <f>"32696"</f>
        <v>32696</v>
      </c>
      <c r="W1195" t="s">
        <v>118</v>
      </c>
      <c r="Y1195" s="10">
        <v>13522224567</v>
      </c>
      <c r="AA1195">
        <v>711212</v>
      </c>
      <c r="AB1195" t="s">
        <v>17332</v>
      </c>
      <c r="AC1195" t="s">
        <v>1428</v>
      </c>
      <c r="AE1195" t="s">
        <v>120</v>
      </c>
      <c r="AF1195" t="s">
        <v>17331</v>
      </c>
      <c r="AH1195" t="s">
        <v>5142</v>
      </c>
      <c r="AI1195" t="s">
        <v>140</v>
      </c>
      <c r="AJ1195" s="8" t="str">
        <f>"32696"</f>
        <v>32696</v>
      </c>
      <c r="AK1195" t="s">
        <v>118</v>
      </c>
      <c r="AM1195" s="10">
        <v>13522224567</v>
      </c>
      <c r="AO1195" t="s">
        <v>17333</v>
      </c>
      <c r="AP1195" t="s">
        <v>121</v>
      </c>
      <c r="AQ1195" t="s">
        <v>3854</v>
      </c>
      <c r="AR1195" t="s">
        <v>144</v>
      </c>
      <c r="AS1195" t="s">
        <v>3855</v>
      </c>
      <c r="AT1195" t="s">
        <v>2605</v>
      </c>
      <c r="AU1195" t="s">
        <v>2606</v>
      </c>
      <c r="AV1195" t="s">
        <v>2607</v>
      </c>
      <c r="AW1195" t="s">
        <v>2608</v>
      </c>
      <c r="AX1195" s="8" t="str">
        <f>"73069"</f>
        <v>73069</v>
      </c>
      <c r="AY1195" t="s">
        <v>118</v>
      </c>
      <c r="BA1195" s="10">
        <v>14053642525</v>
      </c>
      <c r="BC1195" t="s">
        <v>2609</v>
      </c>
      <c r="BD1195" t="s">
        <v>2610</v>
      </c>
      <c r="BE1195" t="s">
        <v>2608</v>
      </c>
      <c r="BF1195" t="s">
        <v>2611</v>
      </c>
      <c r="BG1195" t="s">
        <v>140</v>
      </c>
      <c r="BH1195" s="1">
        <v>45109.833333333336</v>
      </c>
      <c r="BI1195">
        <v>56</v>
      </c>
      <c r="BJ1195">
        <v>8</v>
      </c>
      <c r="BK1195">
        <v>8</v>
      </c>
      <c r="BL1195">
        <v>8</v>
      </c>
      <c r="BM1195">
        <v>8</v>
      </c>
      <c r="BN1195">
        <v>8</v>
      </c>
      <c r="BO1195">
        <v>8</v>
      </c>
      <c r="BP1195">
        <v>8</v>
      </c>
      <c r="BQ1195" t="str">
        <f>"5:00 AM"</f>
        <v>5:00 AM</v>
      </c>
      <c r="BR1195" t="str">
        <f>"5:00 PM"</f>
        <v>5:00 PM</v>
      </c>
      <c r="BS1195" t="s">
        <v>131</v>
      </c>
      <c r="BT1195">
        <v>0</v>
      </c>
      <c r="BU1195">
        <v>1</v>
      </c>
      <c r="BV1195" t="s">
        <v>114</v>
      </c>
      <c r="BX1195" s="2" t="s">
        <v>3116</v>
      </c>
      <c r="BY1195" t="s">
        <v>17334</v>
      </c>
      <c r="CA1195" t="s">
        <v>2752</v>
      </c>
      <c r="CB1195" t="s">
        <v>140</v>
      </c>
      <c r="CC1195" s="8" t="str">
        <f>"34475"</f>
        <v>34475</v>
      </c>
      <c r="CD1195" t="s">
        <v>1257</v>
      </c>
      <c r="CE1195" t="s">
        <v>2342</v>
      </c>
      <c r="CF1195" s="12">
        <v>12.81</v>
      </c>
      <c r="CG1195" s="12">
        <v>12.81</v>
      </c>
      <c r="CH1195" s="12">
        <v>19.22</v>
      </c>
      <c r="CI1195" s="12">
        <v>19.22</v>
      </c>
      <c r="CJ1195" t="s">
        <v>135</v>
      </c>
      <c r="CL1195" t="s">
        <v>17335</v>
      </c>
      <c r="CO1195" t="s">
        <v>132</v>
      </c>
      <c r="CP1195" t="s">
        <v>114</v>
      </c>
      <c r="CQ1195" t="s">
        <v>114</v>
      </c>
      <c r="CR1195" t="s">
        <v>136</v>
      </c>
      <c r="CS1195" t="s">
        <v>114</v>
      </c>
      <c r="CT1195" t="s">
        <v>136</v>
      </c>
      <c r="CU1195" t="s">
        <v>136</v>
      </c>
      <c r="CV1195" t="s">
        <v>3861</v>
      </c>
      <c r="CW1195" s="10" t="str">
        <f>"+13522224567"</f>
        <v>+13522224567</v>
      </c>
      <c r="CX1195" t="s">
        <v>17333</v>
      </c>
      <c r="CY1195" t="s">
        <v>132</v>
      </c>
      <c r="CZ1195" t="s">
        <v>137</v>
      </c>
      <c r="DA1195" t="s">
        <v>114</v>
      </c>
      <c r="DB1195" t="s">
        <v>114</v>
      </c>
      <c r="DC1195" t="s">
        <v>136</v>
      </c>
      <c r="DD1195" t="s">
        <v>114</v>
      </c>
    </row>
    <row r="1196" spans="1:108" ht="15" customHeight="1" x14ac:dyDescent="0.25">
      <c r="A1196" t="s">
        <v>20468</v>
      </c>
      <c r="B1196" t="s">
        <v>152</v>
      </c>
      <c r="C1196" s="1">
        <v>45110.418401388888</v>
      </c>
      <c r="D1196" s="1">
        <v>45230</v>
      </c>
      <c r="E1196" t="s">
        <v>114</v>
      </c>
      <c r="F1196" t="s">
        <v>369</v>
      </c>
      <c r="G1196" t="str">
        <f>"47-2181.00"</f>
        <v>47-2181.00</v>
      </c>
      <c r="H1196" t="s">
        <v>398</v>
      </c>
      <c r="I1196">
        <v>20</v>
      </c>
      <c r="J1196">
        <v>20</v>
      </c>
      <c r="K1196" s="1">
        <v>45200</v>
      </c>
      <c r="L1196" s="1">
        <v>45504</v>
      </c>
      <c r="M1196" s="1">
        <v>45200</v>
      </c>
      <c r="N1196" s="1">
        <v>45504</v>
      </c>
      <c r="O1196" t="s">
        <v>116</v>
      </c>
      <c r="P1196" t="s">
        <v>371</v>
      </c>
      <c r="Q1196" t="s">
        <v>372</v>
      </c>
      <c r="R1196" t="s">
        <v>373</v>
      </c>
      <c r="T1196" t="s">
        <v>374</v>
      </c>
      <c r="U1196" t="s">
        <v>375</v>
      </c>
      <c r="V1196" s="8" t="str">
        <f>"27529"</f>
        <v>27529</v>
      </c>
      <c r="W1196" t="s">
        <v>118</v>
      </c>
      <c r="Y1196" s="10">
        <v>19197728780</v>
      </c>
      <c r="AA1196">
        <v>238160</v>
      </c>
      <c r="AB1196" t="s">
        <v>376</v>
      </c>
      <c r="AC1196" t="s">
        <v>377</v>
      </c>
      <c r="AE1196" t="s">
        <v>378</v>
      </c>
      <c r="AF1196" t="s">
        <v>373</v>
      </c>
      <c r="AH1196" t="s">
        <v>374</v>
      </c>
      <c r="AI1196" t="s">
        <v>375</v>
      </c>
      <c r="AJ1196" s="8" t="str">
        <f>"27529"</f>
        <v>27529</v>
      </c>
      <c r="AK1196" t="s">
        <v>118</v>
      </c>
      <c r="AM1196" s="10">
        <v>19197728780</v>
      </c>
      <c r="AO1196" t="s">
        <v>379</v>
      </c>
      <c r="AP1196" t="s">
        <v>121</v>
      </c>
      <c r="AQ1196" t="s">
        <v>380</v>
      </c>
      <c r="AR1196" t="s">
        <v>381</v>
      </c>
      <c r="AS1196" t="s">
        <v>382</v>
      </c>
      <c r="AT1196" t="s">
        <v>383</v>
      </c>
      <c r="AU1196" t="s">
        <v>384</v>
      </c>
      <c r="AV1196" t="s">
        <v>385</v>
      </c>
      <c r="AW1196" t="s">
        <v>386</v>
      </c>
      <c r="AX1196" s="8" t="str">
        <f>"37122"</f>
        <v>37122</v>
      </c>
      <c r="AY1196" t="s">
        <v>118</v>
      </c>
      <c r="BA1196" s="10">
        <v>16154227130</v>
      </c>
      <c r="BC1196" t="s">
        <v>387</v>
      </c>
      <c r="BD1196" t="s">
        <v>388</v>
      </c>
      <c r="BE1196" t="s">
        <v>386</v>
      </c>
      <c r="BF1196" t="s">
        <v>389</v>
      </c>
      <c r="BG1196" t="s">
        <v>375</v>
      </c>
      <c r="BH1196" s="1">
        <v>45109.833333333336</v>
      </c>
      <c r="BI1196">
        <v>40</v>
      </c>
      <c r="BJ1196">
        <v>0</v>
      </c>
      <c r="BK1196">
        <v>8</v>
      </c>
      <c r="BL1196">
        <v>8</v>
      </c>
      <c r="BM1196">
        <v>8</v>
      </c>
      <c r="BN1196">
        <v>8</v>
      </c>
      <c r="BO1196">
        <v>8</v>
      </c>
      <c r="BP1196">
        <v>0</v>
      </c>
      <c r="BQ1196" t="str">
        <f>"9:00 AM"</f>
        <v>9:00 AM</v>
      </c>
      <c r="BR1196" t="str">
        <f>"5:00 PM"</f>
        <v>5:00 PM</v>
      </c>
      <c r="BS1196" t="s">
        <v>131</v>
      </c>
      <c r="BT1196">
        <v>1</v>
      </c>
      <c r="BU1196">
        <v>0</v>
      </c>
      <c r="BV1196" t="s">
        <v>114</v>
      </c>
      <c r="BX1196" s="2" t="s">
        <v>20469</v>
      </c>
      <c r="BY1196" t="s">
        <v>373</v>
      </c>
      <c r="CA1196" t="s">
        <v>374</v>
      </c>
      <c r="CB1196" t="s">
        <v>375</v>
      </c>
      <c r="CC1196" s="8" t="str">
        <f>"27529"</f>
        <v>27529</v>
      </c>
      <c r="CD1196" t="s">
        <v>391</v>
      </c>
      <c r="CE1196" t="s">
        <v>392</v>
      </c>
      <c r="CF1196" s="12">
        <v>20.11</v>
      </c>
      <c r="CG1196" s="12">
        <v>20.11</v>
      </c>
      <c r="CH1196" s="12">
        <v>30.17</v>
      </c>
      <c r="CI1196" s="12">
        <v>30.17</v>
      </c>
      <c r="CJ1196" t="s">
        <v>135</v>
      </c>
      <c r="CL1196" t="s">
        <v>20470</v>
      </c>
      <c r="CO1196" t="s">
        <v>132</v>
      </c>
      <c r="CP1196" t="s">
        <v>136</v>
      </c>
      <c r="CQ1196" t="s">
        <v>114</v>
      </c>
      <c r="CR1196" t="s">
        <v>136</v>
      </c>
      <c r="CS1196" t="s">
        <v>136</v>
      </c>
      <c r="CT1196" t="s">
        <v>136</v>
      </c>
      <c r="CU1196" t="s">
        <v>114</v>
      </c>
      <c r="CV1196" t="s">
        <v>20471</v>
      </c>
      <c r="CW1196" s="10" t="str">
        <f>"+19197728780"</f>
        <v>+19197728780</v>
      </c>
      <c r="CX1196" t="s">
        <v>132</v>
      </c>
      <c r="CY1196" t="s">
        <v>20472</v>
      </c>
      <c r="CZ1196" t="s">
        <v>137</v>
      </c>
      <c r="DA1196" t="s">
        <v>114</v>
      </c>
      <c r="DB1196" t="s">
        <v>136</v>
      </c>
      <c r="DC1196" t="s">
        <v>136</v>
      </c>
      <c r="DD1196" t="s">
        <v>114</v>
      </c>
    </row>
    <row r="1197" spans="1:108" ht="15" customHeight="1" x14ac:dyDescent="0.25">
      <c r="A1197" t="s">
        <v>22536</v>
      </c>
      <c r="B1197" t="s">
        <v>152</v>
      </c>
      <c r="C1197" s="1">
        <v>45110.001518287034</v>
      </c>
      <c r="D1197" s="1">
        <v>45230</v>
      </c>
      <c r="E1197" t="s">
        <v>136</v>
      </c>
      <c r="F1197" t="s">
        <v>4558</v>
      </c>
      <c r="G1197" t="str">
        <f>"47-2152.00"</f>
        <v>47-2152.00</v>
      </c>
      <c r="H1197" t="s">
        <v>532</v>
      </c>
      <c r="I1197">
        <v>65</v>
      </c>
      <c r="J1197">
        <v>65</v>
      </c>
      <c r="K1197" s="1">
        <v>45200</v>
      </c>
      <c r="L1197" s="1">
        <v>45657</v>
      </c>
      <c r="M1197" s="1">
        <v>45200</v>
      </c>
      <c r="N1197" s="1">
        <v>45657</v>
      </c>
      <c r="O1197" t="s">
        <v>184</v>
      </c>
      <c r="P1197" t="s">
        <v>14218</v>
      </c>
      <c r="R1197" t="s">
        <v>14219</v>
      </c>
      <c r="T1197" t="s">
        <v>14220</v>
      </c>
      <c r="U1197" t="s">
        <v>127</v>
      </c>
      <c r="V1197" s="8" t="str">
        <f>"77479"</f>
        <v>77479</v>
      </c>
      <c r="W1197" t="s">
        <v>118</v>
      </c>
      <c r="Y1197" s="10">
        <v>12816126412</v>
      </c>
      <c r="AA1197">
        <v>561320</v>
      </c>
      <c r="AB1197" t="s">
        <v>2186</v>
      </c>
      <c r="AC1197" t="s">
        <v>14221</v>
      </c>
      <c r="AE1197" t="s">
        <v>1836</v>
      </c>
      <c r="AF1197" t="s">
        <v>14219</v>
      </c>
      <c r="AH1197" t="s">
        <v>14220</v>
      </c>
      <c r="AI1197" t="s">
        <v>127</v>
      </c>
      <c r="AJ1197" s="8" t="str">
        <f>"77479"</f>
        <v>77479</v>
      </c>
      <c r="AK1197" t="s">
        <v>118</v>
      </c>
      <c r="AM1197" s="10">
        <v>17135691636</v>
      </c>
      <c r="AO1197" t="s">
        <v>14222</v>
      </c>
      <c r="AP1197" t="s">
        <v>121</v>
      </c>
      <c r="AQ1197" t="s">
        <v>4559</v>
      </c>
      <c r="AR1197" t="s">
        <v>4560</v>
      </c>
      <c r="AS1197" t="s">
        <v>2739</v>
      </c>
      <c r="AT1197" t="s">
        <v>4667</v>
      </c>
      <c r="AV1197" t="s">
        <v>4561</v>
      </c>
      <c r="AW1197" t="s">
        <v>127</v>
      </c>
      <c r="AX1197" s="8" t="str">
        <f>"77656"</f>
        <v>77656</v>
      </c>
      <c r="AY1197" t="s">
        <v>118</v>
      </c>
      <c r="BA1197" s="10">
        <v>14093860386</v>
      </c>
      <c r="BC1197" t="s">
        <v>4562</v>
      </c>
      <c r="BD1197" t="s">
        <v>4563</v>
      </c>
      <c r="BE1197" t="s">
        <v>127</v>
      </c>
      <c r="BF1197" t="s">
        <v>713</v>
      </c>
      <c r="BG1197" t="s">
        <v>127</v>
      </c>
      <c r="BH1197" s="1">
        <v>45104.833333333336</v>
      </c>
      <c r="BI1197">
        <v>40</v>
      </c>
      <c r="BJ1197">
        <v>0</v>
      </c>
      <c r="BK1197">
        <v>8</v>
      </c>
      <c r="BL1197">
        <v>8</v>
      </c>
      <c r="BM1197">
        <v>8</v>
      </c>
      <c r="BN1197">
        <v>8</v>
      </c>
      <c r="BO1197">
        <v>8</v>
      </c>
      <c r="BP1197">
        <v>0</v>
      </c>
      <c r="BQ1197" t="str">
        <f>"7:00 AM"</f>
        <v>7:00 AM</v>
      </c>
      <c r="BR1197" t="str">
        <f>"3:30 PM"</f>
        <v>3:30 PM</v>
      </c>
      <c r="BS1197" t="s">
        <v>131</v>
      </c>
      <c r="BT1197">
        <v>0</v>
      </c>
      <c r="BU1197">
        <v>24</v>
      </c>
      <c r="BV1197" t="s">
        <v>114</v>
      </c>
      <c r="BX1197" s="2" t="s">
        <v>22537</v>
      </c>
      <c r="BY1197" t="s">
        <v>14223</v>
      </c>
      <c r="CA1197" t="s">
        <v>14224</v>
      </c>
      <c r="CB1197" t="s">
        <v>127</v>
      </c>
      <c r="CC1197" s="8" t="str">
        <f>"78409"</f>
        <v>78409</v>
      </c>
      <c r="CD1197" t="s">
        <v>2162</v>
      </c>
      <c r="CE1197" t="s">
        <v>2163</v>
      </c>
      <c r="CF1197" s="12">
        <v>26.34</v>
      </c>
      <c r="CH1197" s="12">
        <v>39.51</v>
      </c>
      <c r="CJ1197" t="s">
        <v>135</v>
      </c>
      <c r="CK1197" t="s">
        <v>13977</v>
      </c>
      <c r="CL1197" t="s">
        <v>22538</v>
      </c>
      <c r="CO1197" t="s">
        <v>132</v>
      </c>
      <c r="CP1197" t="s">
        <v>136</v>
      </c>
      <c r="CQ1197" t="s">
        <v>114</v>
      </c>
      <c r="CR1197" t="s">
        <v>136</v>
      </c>
      <c r="CS1197" t="s">
        <v>114</v>
      </c>
      <c r="CT1197" t="s">
        <v>136</v>
      </c>
      <c r="CU1197" t="s">
        <v>114</v>
      </c>
      <c r="CV1197" t="s">
        <v>4565</v>
      </c>
      <c r="CW1197" s="10" t="str">
        <f>"+12816126412"</f>
        <v>+12816126412</v>
      </c>
      <c r="CX1197" t="s">
        <v>14226</v>
      </c>
      <c r="CY1197" t="s">
        <v>132</v>
      </c>
      <c r="CZ1197" t="s">
        <v>137</v>
      </c>
      <c r="DA1197" t="s">
        <v>114</v>
      </c>
      <c r="DB1197" t="s">
        <v>114</v>
      </c>
      <c r="DC1197" t="s">
        <v>136</v>
      </c>
      <c r="DD1197" t="s">
        <v>114</v>
      </c>
    </row>
    <row r="1198" spans="1:108" ht="15" customHeight="1" x14ac:dyDescent="0.25">
      <c r="A1198" t="s">
        <v>14217</v>
      </c>
      <c r="B1198" t="s">
        <v>152</v>
      </c>
      <c r="C1198" s="1">
        <v>45110.00125115741</v>
      </c>
      <c r="D1198" s="1">
        <v>45230</v>
      </c>
      <c r="E1198" t="s">
        <v>136</v>
      </c>
      <c r="F1198" t="s">
        <v>1550</v>
      </c>
      <c r="G1198" t="str">
        <f>"51-4121.00"</f>
        <v>51-4121.00</v>
      </c>
      <c r="H1198" t="s">
        <v>815</v>
      </c>
      <c r="I1198">
        <v>55</v>
      </c>
      <c r="J1198">
        <v>55</v>
      </c>
      <c r="K1198" s="1">
        <v>45200</v>
      </c>
      <c r="L1198" s="1">
        <v>45657</v>
      </c>
      <c r="M1198" s="1">
        <v>45200</v>
      </c>
      <c r="N1198" s="1">
        <v>45657</v>
      </c>
      <c r="O1198" t="s">
        <v>184</v>
      </c>
      <c r="P1198" t="s">
        <v>14218</v>
      </c>
      <c r="R1198" t="s">
        <v>14219</v>
      </c>
      <c r="T1198" t="s">
        <v>14220</v>
      </c>
      <c r="U1198" t="s">
        <v>127</v>
      </c>
      <c r="V1198" s="8" t="str">
        <f>"77479"</f>
        <v>77479</v>
      </c>
      <c r="W1198" t="s">
        <v>118</v>
      </c>
      <c r="Y1198" s="10">
        <v>12816126412</v>
      </c>
      <c r="AA1198">
        <v>561320</v>
      </c>
      <c r="AB1198" t="s">
        <v>2186</v>
      </c>
      <c r="AC1198" t="s">
        <v>14221</v>
      </c>
      <c r="AE1198" t="s">
        <v>1836</v>
      </c>
      <c r="AF1198" t="s">
        <v>14219</v>
      </c>
      <c r="AH1198" t="s">
        <v>14220</v>
      </c>
      <c r="AI1198" t="s">
        <v>127</v>
      </c>
      <c r="AJ1198" s="8" t="str">
        <f>"77479"</f>
        <v>77479</v>
      </c>
      <c r="AK1198" t="s">
        <v>118</v>
      </c>
      <c r="AM1198" s="10">
        <v>17135691636</v>
      </c>
      <c r="AO1198" t="s">
        <v>14222</v>
      </c>
      <c r="AP1198" t="s">
        <v>121</v>
      </c>
      <c r="AQ1198" t="s">
        <v>4559</v>
      </c>
      <c r="AR1198" t="s">
        <v>4560</v>
      </c>
      <c r="AS1198" t="s">
        <v>2739</v>
      </c>
      <c r="AT1198" t="s">
        <v>4667</v>
      </c>
      <c r="AV1198" t="s">
        <v>4561</v>
      </c>
      <c r="AW1198" t="s">
        <v>127</v>
      </c>
      <c r="AX1198" s="8" t="str">
        <f>"77656"</f>
        <v>77656</v>
      </c>
      <c r="AY1198" t="s">
        <v>118</v>
      </c>
      <c r="BA1198" s="10">
        <v>14093860386</v>
      </c>
      <c r="BC1198" t="s">
        <v>4562</v>
      </c>
      <c r="BD1198" t="s">
        <v>4563</v>
      </c>
      <c r="BE1198" t="s">
        <v>127</v>
      </c>
      <c r="BF1198" t="s">
        <v>713</v>
      </c>
      <c r="BG1198" t="s">
        <v>127</v>
      </c>
      <c r="BH1198" s="1">
        <v>45104.833333333336</v>
      </c>
      <c r="BI1198">
        <v>40</v>
      </c>
      <c r="BJ1198">
        <v>0</v>
      </c>
      <c r="BK1198">
        <v>8</v>
      </c>
      <c r="BL1198">
        <v>8</v>
      </c>
      <c r="BM1198">
        <v>8</v>
      </c>
      <c r="BN1198">
        <v>8</v>
      </c>
      <c r="BO1198">
        <v>8</v>
      </c>
      <c r="BP1198">
        <v>0</v>
      </c>
      <c r="BQ1198" t="str">
        <f>"7:00 AM"</f>
        <v>7:00 AM</v>
      </c>
      <c r="BR1198" t="str">
        <f>"3:30 PM"</f>
        <v>3:30 PM</v>
      </c>
      <c r="BS1198" t="s">
        <v>131</v>
      </c>
      <c r="BT1198">
        <v>0</v>
      </c>
      <c r="BU1198">
        <v>12</v>
      </c>
      <c r="BV1198" t="s">
        <v>114</v>
      </c>
      <c r="BX1198" s="2" t="s">
        <v>4668</v>
      </c>
      <c r="BY1198" t="s">
        <v>14223</v>
      </c>
      <c r="CA1198" t="s">
        <v>14224</v>
      </c>
      <c r="CB1198" t="s">
        <v>127</v>
      </c>
      <c r="CC1198" s="8" t="str">
        <f>"78409"</f>
        <v>78409</v>
      </c>
      <c r="CD1198" t="s">
        <v>2162</v>
      </c>
      <c r="CE1198" t="s">
        <v>2163</v>
      </c>
      <c r="CF1198" s="12">
        <v>26.43</v>
      </c>
      <c r="CH1198" s="12">
        <v>39.65</v>
      </c>
      <c r="CJ1198" t="s">
        <v>135</v>
      </c>
      <c r="CK1198" t="s">
        <v>13977</v>
      </c>
      <c r="CL1198" t="s">
        <v>14225</v>
      </c>
      <c r="CO1198" t="s">
        <v>132</v>
      </c>
      <c r="CP1198" t="s">
        <v>136</v>
      </c>
      <c r="CQ1198" t="s">
        <v>114</v>
      </c>
      <c r="CR1198" t="s">
        <v>136</v>
      </c>
      <c r="CS1198" t="s">
        <v>114</v>
      </c>
      <c r="CT1198" t="s">
        <v>136</v>
      </c>
      <c r="CU1198" t="s">
        <v>114</v>
      </c>
      <c r="CV1198" s="2" t="s">
        <v>13979</v>
      </c>
      <c r="CW1198" s="10" t="str">
        <f>"+12816126412"</f>
        <v>+12816126412</v>
      </c>
      <c r="CX1198" t="s">
        <v>14226</v>
      </c>
      <c r="CY1198" t="s">
        <v>132</v>
      </c>
      <c r="CZ1198" t="s">
        <v>137</v>
      </c>
      <c r="DA1198" t="s">
        <v>114</v>
      </c>
      <c r="DB1198" t="s">
        <v>114</v>
      </c>
      <c r="DC1198" t="s">
        <v>136</v>
      </c>
      <c r="DD1198" t="s">
        <v>114</v>
      </c>
    </row>
    <row r="1199" spans="1:108" ht="15" customHeight="1" x14ac:dyDescent="0.25">
      <c r="A1199" t="s">
        <v>20647</v>
      </c>
      <c r="B1199" t="s">
        <v>152</v>
      </c>
      <c r="C1199" s="1">
        <v>45110.001193750002</v>
      </c>
      <c r="D1199" s="1">
        <v>45230</v>
      </c>
      <c r="E1199" t="s">
        <v>114</v>
      </c>
      <c r="F1199" t="s">
        <v>20648</v>
      </c>
      <c r="G1199" t="str">
        <f>"37-3011.00"</f>
        <v>37-3011.00</v>
      </c>
      <c r="H1199" t="s">
        <v>429</v>
      </c>
      <c r="I1199">
        <v>9</v>
      </c>
      <c r="J1199">
        <v>9</v>
      </c>
      <c r="K1199" s="1">
        <v>45200</v>
      </c>
      <c r="L1199" s="1">
        <v>45260</v>
      </c>
      <c r="M1199" s="1">
        <v>45200</v>
      </c>
      <c r="N1199" s="1">
        <v>45260</v>
      </c>
      <c r="O1199" t="s">
        <v>238</v>
      </c>
      <c r="P1199" t="s">
        <v>20649</v>
      </c>
      <c r="R1199" t="s">
        <v>20650</v>
      </c>
      <c r="T1199" t="s">
        <v>859</v>
      </c>
      <c r="U1199" t="s">
        <v>386</v>
      </c>
      <c r="V1199" s="8" t="str">
        <f>"38305"</f>
        <v>38305</v>
      </c>
      <c r="W1199" t="s">
        <v>118</v>
      </c>
      <c r="Y1199" s="10">
        <v>17316644455</v>
      </c>
      <c r="AA1199">
        <v>56173</v>
      </c>
      <c r="AB1199" t="s">
        <v>5932</v>
      </c>
      <c r="AC1199" t="s">
        <v>2629</v>
      </c>
      <c r="AE1199" t="s">
        <v>12398</v>
      </c>
      <c r="AF1199" t="s">
        <v>20650</v>
      </c>
      <c r="AH1199" t="s">
        <v>859</v>
      </c>
      <c r="AI1199" t="s">
        <v>386</v>
      </c>
      <c r="AJ1199" s="8" t="str">
        <f>"38305"</f>
        <v>38305</v>
      </c>
      <c r="AK1199" t="s">
        <v>118</v>
      </c>
      <c r="AM1199" s="10">
        <v>17316644455</v>
      </c>
      <c r="AO1199" t="s">
        <v>20651</v>
      </c>
      <c r="AP1199" t="s">
        <v>121</v>
      </c>
      <c r="AQ1199" t="s">
        <v>2173</v>
      </c>
      <c r="AR1199" t="s">
        <v>2174</v>
      </c>
      <c r="AS1199" t="s">
        <v>1829</v>
      </c>
      <c r="AT1199" t="s">
        <v>2175</v>
      </c>
      <c r="AV1199" t="s">
        <v>2176</v>
      </c>
      <c r="AW1199" t="s">
        <v>386</v>
      </c>
      <c r="AX1199" s="8" t="str">
        <f>"37110"</f>
        <v>37110</v>
      </c>
      <c r="AY1199" t="s">
        <v>118</v>
      </c>
      <c r="BA1199" s="10">
        <v>19312747811</v>
      </c>
      <c r="BC1199" t="s">
        <v>2177</v>
      </c>
      <c r="BD1199" t="s">
        <v>2178</v>
      </c>
      <c r="BE1199" t="s">
        <v>386</v>
      </c>
      <c r="BF1199" t="s">
        <v>2179</v>
      </c>
      <c r="BG1199" t="s">
        <v>386</v>
      </c>
      <c r="BH1199" s="1">
        <v>45109.833333333336</v>
      </c>
      <c r="BI1199">
        <v>40</v>
      </c>
      <c r="BJ1199">
        <v>0</v>
      </c>
      <c r="BK1199">
        <v>8</v>
      </c>
      <c r="BL1199">
        <v>8</v>
      </c>
      <c r="BM1199">
        <v>8</v>
      </c>
      <c r="BN1199">
        <v>8</v>
      </c>
      <c r="BO1199">
        <v>8</v>
      </c>
      <c r="BP1199">
        <v>0</v>
      </c>
      <c r="BQ1199" t="str">
        <f>"7:00 AM"</f>
        <v>7:00 AM</v>
      </c>
      <c r="BR1199" t="str">
        <f>"4:00 PM"</f>
        <v>4:00 PM</v>
      </c>
      <c r="BS1199" t="s">
        <v>131</v>
      </c>
      <c r="BT1199">
        <v>0</v>
      </c>
      <c r="BU1199">
        <v>0</v>
      </c>
      <c r="BV1199" t="s">
        <v>114</v>
      </c>
      <c r="BX1199" s="2" t="s">
        <v>20652</v>
      </c>
      <c r="BY1199" t="s">
        <v>20650</v>
      </c>
      <c r="CA1199" t="s">
        <v>859</v>
      </c>
      <c r="CB1199" t="s">
        <v>386</v>
      </c>
      <c r="CC1199" s="8" t="str">
        <f>"38305"</f>
        <v>38305</v>
      </c>
      <c r="CD1199" t="s">
        <v>908</v>
      </c>
      <c r="CE1199" t="s">
        <v>2180</v>
      </c>
      <c r="CF1199" s="12">
        <v>14.33</v>
      </c>
      <c r="CH1199" s="12">
        <v>21.5</v>
      </c>
      <c r="CJ1199" t="s">
        <v>135</v>
      </c>
      <c r="CK1199" t="s">
        <v>2181</v>
      </c>
      <c r="CL1199" t="s">
        <v>20653</v>
      </c>
      <c r="CO1199" t="s">
        <v>132</v>
      </c>
      <c r="CP1199" t="s">
        <v>136</v>
      </c>
      <c r="CQ1199" t="s">
        <v>136</v>
      </c>
      <c r="CR1199" t="s">
        <v>136</v>
      </c>
      <c r="CS1199" t="s">
        <v>114</v>
      </c>
      <c r="CT1199" t="s">
        <v>136</v>
      </c>
      <c r="CU1199" t="s">
        <v>114</v>
      </c>
      <c r="CV1199" t="s">
        <v>132</v>
      </c>
      <c r="CW1199" s="10" t="str">
        <f>"+17312401174"</f>
        <v>+17312401174</v>
      </c>
      <c r="CX1199" t="s">
        <v>20654</v>
      </c>
      <c r="CY1199" t="s">
        <v>132</v>
      </c>
      <c r="CZ1199" t="s">
        <v>137</v>
      </c>
      <c r="DA1199" t="s">
        <v>114</v>
      </c>
      <c r="DB1199" t="s">
        <v>114</v>
      </c>
      <c r="DC1199" t="s">
        <v>136</v>
      </c>
      <c r="DD1199" t="s">
        <v>114</v>
      </c>
    </row>
    <row r="1200" spans="1:108" ht="15" customHeight="1" x14ac:dyDescent="0.25">
      <c r="A1200" t="s">
        <v>8762</v>
      </c>
      <c r="B1200" t="s">
        <v>152</v>
      </c>
      <c r="C1200" s="1">
        <v>45174.567780671299</v>
      </c>
      <c r="D1200" s="1">
        <v>45229</v>
      </c>
      <c r="E1200" t="s">
        <v>132</v>
      </c>
      <c r="F1200" t="s">
        <v>4510</v>
      </c>
      <c r="G1200" t="str">
        <f>"39-2021.00"</f>
        <v>39-2021.00</v>
      </c>
      <c r="H1200" t="s">
        <v>2895</v>
      </c>
      <c r="I1200">
        <v>12</v>
      </c>
      <c r="J1200">
        <v>12</v>
      </c>
      <c r="K1200" s="1">
        <v>45260</v>
      </c>
      <c r="L1200" s="1">
        <v>45383</v>
      </c>
      <c r="M1200" s="1">
        <v>45260</v>
      </c>
      <c r="N1200" s="1">
        <v>45383</v>
      </c>
      <c r="O1200" t="s">
        <v>238</v>
      </c>
      <c r="P1200" t="s">
        <v>8763</v>
      </c>
      <c r="R1200" t="s">
        <v>8764</v>
      </c>
      <c r="T1200" t="s">
        <v>8765</v>
      </c>
      <c r="U1200" t="s">
        <v>358</v>
      </c>
      <c r="V1200" s="8" t="str">
        <f>"11003"</f>
        <v>11003</v>
      </c>
      <c r="W1200" t="s">
        <v>118</v>
      </c>
      <c r="Y1200" s="10">
        <v>15162369545</v>
      </c>
      <c r="AA1200">
        <v>711219</v>
      </c>
      <c r="AB1200" t="s">
        <v>8766</v>
      </c>
      <c r="AC1200" t="s">
        <v>1783</v>
      </c>
      <c r="AE1200" t="s">
        <v>629</v>
      </c>
      <c r="AF1200" t="s">
        <v>8764</v>
      </c>
      <c r="AH1200" t="s">
        <v>8765</v>
      </c>
      <c r="AI1200" t="s">
        <v>358</v>
      </c>
      <c r="AJ1200" s="8" t="str">
        <f>"11003"</f>
        <v>11003</v>
      </c>
      <c r="AK1200" t="s">
        <v>118</v>
      </c>
      <c r="AM1200" s="10">
        <v>15162369545</v>
      </c>
      <c r="AO1200" t="s">
        <v>8767</v>
      </c>
      <c r="AP1200" t="s">
        <v>121</v>
      </c>
      <c r="AQ1200" t="s">
        <v>4516</v>
      </c>
      <c r="AR1200" t="s">
        <v>1235</v>
      </c>
      <c r="AT1200" t="s">
        <v>4517</v>
      </c>
      <c r="AU1200" t="s">
        <v>4518</v>
      </c>
      <c r="AV1200" t="s">
        <v>1220</v>
      </c>
      <c r="AW1200" t="s">
        <v>358</v>
      </c>
      <c r="AX1200" s="8" t="str">
        <f>"10165"</f>
        <v>10165</v>
      </c>
      <c r="AY1200" t="s">
        <v>118</v>
      </c>
      <c r="BA1200" s="10">
        <v>12127604400</v>
      </c>
      <c r="BC1200" t="s">
        <v>4519</v>
      </c>
      <c r="BD1200" t="s">
        <v>4520</v>
      </c>
      <c r="BE1200" t="s">
        <v>358</v>
      </c>
      <c r="BF1200" t="s">
        <v>4521</v>
      </c>
      <c r="BG1200" t="s">
        <v>140</v>
      </c>
      <c r="BH1200" s="1">
        <v>45167.833333333336</v>
      </c>
      <c r="BI1200">
        <v>40</v>
      </c>
      <c r="BJ1200">
        <v>8</v>
      </c>
      <c r="BK1200">
        <v>0</v>
      </c>
      <c r="BL1200">
        <v>0</v>
      </c>
      <c r="BM1200">
        <v>8</v>
      </c>
      <c r="BN1200">
        <v>8</v>
      </c>
      <c r="BO1200">
        <v>8</v>
      </c>
      <c r="BP1200">
        <v>8</v>
      </c>
      <c r="BQ1200" t="str">
        <f>"5:00 AM"</f>
        <v>5:00 AM</v>
      </c>
      <c r="BR1200" t="str">
        <f>"11:00 AM"</f>
        <v>11:00 AM</v>
      </c>
      <c r="BS1200" t="s">
        <v>131</v>
      </c>
      <c r="BT1200">
        <v>0</v>
      </c>
      <c r="BU1200">
        <v>0</v>
      </c>
      <c r="BV1200" t="s">
        <v>114</v>
      </c>
      <c r="BX1200" t="s">
        <v>1570</v>
      </c>
      <c r="BY1200" t="s">
        <v>8768</v>
      </c>
      <c r="BZ1200" t="s">
        <v>8769</v>
      </c>
      <c r="CA1200" t="s">
        <v>8770</v>
      </c>
      <c r="CB1200" t="s">
        <v>140</v>
      </c>
      <c r="CC1200" s="8" t="str">
        <f>"33009"</f>
        <v>33009</v>
      </c>
      <c r="CD1200" t="s">
        <v>287</v>
      </c>
      <c r="CE1200" t="s">
        <v>149</v>
      </c>
      <c r="CF1200" s="12">
        <v>16.510000000000002</v>
      </c>
      <c r="CG1200" s="12">
        <v>16.510000000000002</v>
      </c>
      <c r="CH1200" s="12">
        <v>24.77</v>
      </c>
      <c r="CI1200" s="12">
        <v>24.77</v>
      </c>
      <c r="CJ1200" t="s">
        <v>135</v>
      </c>
      <c r="CL1200" t="s">
        <v>8771</v>
      </c>
      <c r="CO1200" t="s">
        <v>132</v>
      </c>
      <c r="CP1200" t="s">
        <v>114</v>
      </c>
      <c r="CQ1200" t="s">
        <v>114</v>
      </c>
      <c r="CR1200" t="s">
        <v>136</v>
      </c>
      <c r="CS1200" t="s">
        <v>114</v>
      </c>
      <c r="CT1200" t="s">
        <v>136</v>
      </c>
      <c r="CU1200" t="s">
        <v>136</v>
      </c>
      <c r="CV1200" t="s">
        <v>4526</v>
      </c>
      <c r="CW1200" s="10" t="str">
        <f>"+15162369545"</f>
        <v>+15162369545</v>
      </c>
      <c r="CX1200" t="s">
        <v>8767</v>
      </c>
      <c r="CY1200" t="s">
        <v>132</v>
      </c>
      <c r="CZ1200" t="s">
        <v>137</v>
      </c>
      <c r="DA1200" t="s">
        <v>114</v>
      </c>
      <c r="DB1200" t="s">
        <v>114</v>
      </c>
      <c r="DC1200" t="s">
        <v>136</v>
      </c>
      <c r="DD1200" t="s">
        <v>114</v>
      </c>
    </row>
    <row r="1201" spans="1:108" ht="15" customHeight="1" x14ac:dyDescent="0.25">
      <c r="A1201" t="s">
        <v>23437</v>
      </c>
      <c r="B1201" t="s">
        <v>152</v>
      </c>
      <c r="C1201" s="1">
        <v>45168.625783564814</v>
      </c>
      <c r="D1201" s="1">
        <v>45229</v>
      </c>
      <c r="E1201" t="s">
        <v>114</v>
      </c>
      <c r="F1201" t="s">
        <v>3992</v>
      </c>
      <c r="G1201" t="str">
        <f>"37-2011.00"</f>
        <v>37-2011.00</v>
      </c>
      <c r="H1201" t="s">
        <v>1089</v>
      </c>
      <c r="I1201">
        <v>6</v>
      </c>
      <c r="J1201">
        <v>6</v>
      </c>
      <c r="K1201" s="1">
        <v>45243</v>
      </c>
      <c r="L1201" s="1">
        <v>45397</v>
      </c>
      <c r="M1201" s="1">
        <v>45243</v>
      </c>
      <c r="N1201" s="1">
        <v>45397</v>
      </c>
      <c r="O1201" t="s">
        <v>238</v>
      </c>
      <c r="P1201" t="s">
        <v>23438</v>
      </c>
      <c r="R1201" t="s">
        <v>23439</v>
      </c>
      <c r="T1201" t="s">
        <v>23440</v>
      </c>
      <c r="U1201" t="s">
        <v>740</v>
      </c>
      <c r="V1201" s="8" t="str">
        <f>"50226"</f>
        <v>50226</v>
      </c>
      <c r="W1201" t="s">
        <v>118</v>
      </c>
      <c r="Y1201" s="10">
        <v>15155181555</v>
      </c>
      <c r="AA1201">
        <v>56173</v>
      </c>
      <c r="AB1201" t="s">
        <v>17910</v>
      </c>
      <c r="AC1201" t="s">
        <v>603</v>
      </c>
      <c r="AE1201" t="s">
        <v>378</v>
      </c>
      <c r="AF1201" t="s">
        <v>23439</v>
      </c>
      <c r="AH1201" t="s">
        <v>23440</v>
      </c>
      <c r="AI1201" t="s">
        <v>740</v>
      </c>
      <c r="AJ1201" s="8" t="str">
        <f>"50226"</f>
        <v>50226</v>
      </c>
      <c r="AK1201" t="s">
        <v>118</v>
      </c>
      <c r="AM1201" s="10">
        <v>15155181555</v>
      </c>
      <c r="AO1201" t="s">
        <v>23441</v>
      </c>
      <c r="AP1201" t="s">
        <v>121</v>
      </c>
      <c r="AQ1201" t="s">
        <v>1408</v>
      </c>
      <c r="AR1201" t="s">
        <v>1409</v>
      </c>
      <c r="AS1201" t="s">
        <v>1410</v>
      </c>
      <c r="AT1201" t="s">
        <v>14863</v>
      </c>
      <c r="AU1201" t="s">
        <v>14864</v>
      </c>
      <c r="AV1201" t="s">
        <v>14865</v>
      </c>
      <c r="AW1201" t="s">
        <v>740</v>
      </c>
      <c r="AX1201" s="8" t="str">
        <f>"50322"</f>
        <v>50322</v>
      </c>
      <c r="AY1201" t="s">
        <v>118</v>
      </c>
      <c r="BA1201" s="10">
        <v>15154124961</v>
      </c>
      <c r="BC1201" t="s">
        <v>9882</v>
      </c>
      <c r="BD1201" t="s">
        <v>9883</v>
      </c>
      <c r="BE1201" t="s">
        <v>740</v>
      </c>
      <c r="BF1201" t="s">
        <v>172</v>
      </c>
      <c r="BG1201" t="s">
        <v>740</v>
      </c>
      <c r="BH1201" s="1">
        <v>45167.833333333336</v>
      </c>
      <c r="BI1201">
        <v>35</v>
      </c>
      <c r="BJ1201">
        <v>0</v>
      </c>
      <c r="BK1201">
        <v>8</v>
      </c>
      <c r="BL1201">
        <v>8</v>
      </c>
      <c r="BM1201">
        <v>8</v>
      </c>
      <c r="BN1201">
        <v>8</v>
      </c>
      <c r="BO1201">
        <v>3</v>
      </c>
      <c r="BP1201">
        <v>0</v>
      </c>
      <c r="BQ1201" t="str">
        <f>"7:30 AM"</f>
        <v>7:30 AM</v>
      </c>
      <c r="BR1201" t="str">
        <f>"3:30 AM"</f>
        <v>3:30 AM</v>
      </c>
      <c r="BS1201" t="s">
        <v>131</v>
      </c>
      <c r="BT1201">
        <v>0</v>
      </c>
      <c r="BU1201">
        <v>0</v>
      </c>
      <c r="BV1201" t="s">
        <v>114</v>
      </c>
      <c r="BX1201" s="2" t="s">
        <v>23442</v>
      </c>
      <c r="BY1201" t="s">
        <v>23439</v>
      </c>
      <c r="CA1201" t="s">
        <v>23440</v>
      </c>
      <c r="CB1201" t="s">
        <v>740</v>
      </c>
      <c r="CC1201" s="8" t="str">
        <f>"50226"</f>
        <v>50226</v>
      </c>
      <c r="CD1201" t="s">
        <v>938</v>
      </c>
      <c r="CE1201" t="s">
        <v>2302</v>
      </c>
      <c r="CF1201" s="12">
        <v>16.43</v>
      </c>
      <c r="CH1201" s="12">
        <v>24.65</v>
      </c>
      <c r="CJ1201" t="s">
        <v>135</v>
      </c>
      <c r="CK1201" t="s">
        <v>23443</v>
      </c>
      <c r="CL1201" t="s">
        <v>23444</v>
      </c>
      <c r="CO1201" t="s">
        <v>132</v>
      </c>
      <c r="CP1201" t="s">
        <v>136</v>
      </c>
      <c r="CQ1201" t="s">
        <v>136</v>
      </c>
      <c r="CR1201" t="s">
        <v>136</v>
      </c>
      <c r="CS1201" t="s">
        <v>136</v>
      </c>
      <c r="CT1201" t="s">
        <v>136</v>
      </c>
      <c r="CU1201" t="s">
        <v>136</v>
      </c>
      <c r="CV1201" s="2" t="s">
        <v>23445</v>
      </c>
      <c r="CW1201" s="10" t="str">
        <f>"+15155181555"</f>
        <v>+15155181555</v>
      </c>
      <c r="CX1201" t="s">
        <v>23441</v>
      </c>
      <c r="CY1201" t="s">
        <v>132</v>
      </c>
      <c r="CZ1201" t="s">
        <v>137</v>
      </c>
      <c r="DA1201" t="s">
        <v>114</v>
      </c>
      <c r="DB1201" t="s">
        <v>136</v>
      </c>
      <c r="DC1201" t="s">
        <v>136</v>
      </c>
      <c r="DD1201" t="s">
        <v>114</v>
      </c>
    </row>
    <row r="1202" spans="1:108" ht="15" customHeight="1" x14ac:dyDescent="0.25">
      <c r="A1202" t="s">
        <v>6572</v>
      </c>
      <c r="B1202" t="s">
        <v>152</v>
      </c>
      <c r="C1202" s="1">
        <v>45163.792426157408</v>
      </c>
      <c r="D1202" s="1">
        <v>45229</v>
      </c>
      <c r="E1202" t="s">
        <v>136</v>
      </c>
      <c r="F1202" t="s">
        <v>6573</v>
      </c>
      <c r="G1202" t="str">
        <f>"49-9098.00"</f>
        <v>49-9098.00</v>
      </c>
      <c r="H1202" t="s">
        <v>945</v>
      </c>
      <c r="I1202">
        <v>6</v>
      </c>
      <c r="J1202">
        <v>6</v>
      </c>
      <c r="K1202" s="1">
        <v>45253</v>
      </c>
      <c r="L1202" s="1">
        <v>45382</v>
      </c>
      <c r="M1202" s="1">
        <v>45253</v>
      </c>
      <c r="N1202" s="1">
        <v>45382</v>
      </c>
      <c r="O1202" t="s">
        <v>116</v>
      </c>
      <c r="P1202" t="s">
        <v>6574</v>
      </c>
      <c r="R1202" t="s">
        <v>6575</v>
      </c>
      <c r="T1202" t="s">
        <v>4867</v>
      </c>
      <c r="U1202" t="s">
        <v>211</v>
      </c>
      <c r="V1202" s="8" t="str">
        <f>"84032"</f>
        <v>84032</v>
      </c>
      <c r="W1202" t="s">
        <v>118</v>
      </c>
      <c r="Y1202" s="10">
        <v>18019532332</v>
      </c>
      <c r="AA1202">
        <v>5617</v>
      </c>
      <c r="AB1202" t="s">
        <v>6576</v>
      </c>
      <c r="AC1202" t="s">
        <v>4410</v>
      </c>
      <c r="AE1202" t="s">
        <v>1799</v>
      </c>
      <c r="AF1202" t="s">
        <v>6575</v>
      </c>
      <c r="AH1202" t="s">
        <v>4867</v>
      </c>
      <c r="AI1202" t="s">
        <v>211</v>
      </c>
      <c r="AJ1202" s="8" t="str">
        <f>"84032"</f>
        <v>84032</v>
      </c>
      <c r="AK1202" t="s">
        <v>118</v>
      </c>
      <c r="AM1202" s="10">
        <v>18019532332</v>
      </c>
      <c r="AO1202" t="s">
        <v>6577</v>
      </c>
      <c r="AP1202" t="s">
        <v>121</v>
      </c>
      <c r="AQ1202" t="s">
        <v>5168</v>
      </c>
      <c r="AR1202" t="s">
        <v>119</v>
      </c>
      <c r="AS1202" t="s">
        <v>2057</v>
      </c>
      <c r="AT1202" t="s">
        <v>6578</v>
      </c>
      <c r="AU1202" t="s">
        <v>6151</v>
      </c>
      <c r="AV1202" t="s">
        <v>518</v>
      </c>
      <c r="AW1202" t="s">
        <v>402</v>
      </c>
      <c r="AX1202" s="8" t="str">
        <f>"90067"</f>
        <v>90067</v>
      </c>
      <c r="AY1202" t="s">
        <v>118</v>
      </c>
      <c r="BA1202" s="10">
        <v>16465048472</v>
      </c>
      <c r="BC1202" t="s">
        <v>6579</v>
      </c>
      <c r="BD1202" t="s">
        <v>6580</v>
      </c>
      <c r="BE1202" t="s">
        <v>222</v>
      </c>
      <c r="BF1202" t="s">
        <v>6581</v>
      </c>
      <c r="BG1202" t="s">
        <v>211</v>
      </c>
      <c r="BH1202" s="1">
        <v>45162.833333333336</v>
      </c>
      <c r="BI1202">
        <v>35</v>
      </c>
      <c r="BJ1202">
        <v>0</v>
      </c>
      <c r="BK1202">
        <v>7</v>
      </c>
      <c r="BL1202">
        <v>7</v>
      </c>
      <c r="BM1202">
        <v>7</v>
      </c>
      <c r="BN1202">
        <v>7</v>
      </c>
      <c r="BO1202">
        <v>7</v>
      </c>
      <c r="BP1202">
        <v>0</v>
      </c>
      <c r="BQ1202" t="str">
        <f>"8:30 AM"</f>
        <v>8:30 AM</v>
      </c>
      <c r="BR1202" t="str">
        <f>"4:00 PM"</f>
        <v>4:00 PM</v>
      </c>
      <c r="BS1202" t="s">
        <v>131</v>
      </c>
      <c r="BT1202">
        <v>0</v>
      </c>
      <c r="BU1202">
        <v>0</v>
      </c>
      <c r="BV1202" t="s">
        <v>114</v>
      </c>
      <c r="BX1202" s="2" t="s">
        <v>6582</v>
      </c>
      <c r="BY1202" t="s">
        <v>6583</v>
      </c>
      <c r="CA1202" t="s">
        <v>4842</v>
      </c>
      <c r="CB1202" t="s">
        <v>211</v>
      </c>
      <c r="CC1202" s="8" t="str">
        <f>"84070"</f>
        <v>84070</v>
      </c>
      <c r="CD1202" t="s">
        <v>1567</v>
      </c>
      <c r="CE1202" t="s">
        <v>1568</v>
      </c>
      <c r="CF1202" s="12">
        <v>18.440000000000001</v>
      </c>
      <c r="CG1202" s="12">
        <v>18.5</v>
      </c>
      <c r="CH1202" s="12">
        <v>27.66</v>
      </c>
      <c r="CI1202" s="12">
        <v>27.75</v>
      </c>
      <c r="CJ1202" t="s">
        <v>135</v>
      </c>
      <c r="CK1202" t="s">
        <v>6584</v>
      </c>
      <c r="CL1202" t="s">
        <v>6585</v>
      </c>
      <c r="CO1202" t="s">
        <v>132</v>
      </c>
      <c r="CP1202" t="s">
        <v>114</v>
      </c>
      <c r="CQ1202" t="s">
        <v>114</v>
      </c>
      <c r="CR1202" t="s">
        <v>136</v>
      </c>
      <c r="CS1202" t="s">
        <v>136</v>
      </c>
      <c r="CT1202" t="s">
        <v>136</v>
      </c>
      <c r="CU1202" t="s">
        <v>114</v>
      </c>
      <c r="CV1202" s="2" t="s">
        <v>6586</v>
      </c>
      <c r="CW1202" s="10" t="str">
        <f>"+18019532332"</f>
        <v>+18019532332</v>
      </c>
      <c r="CX1202" t="s">
        <v>6577</v>
      </c>
      <c r="CY1202" t="s">
        <v>132</v>
      </c>
      <c r="CZ1202" t="s">
        <v>137</v>
      </c>
      <c r="DA1202" t="s">
        <v>114</v>
      </c>
      <c r="DB1202" t="s">
        <v>114</v>
      </c>
      <c r="DC1202" t="s">
        <v>136</v>
      </c>
      <c r="DD1202" t="s">
        <v>114</v>
      </c>
    </row>
    <row r="1203" spans="1:108" ht="15" customHeight="1" x14ac:dyDescent="0.25">
      <c r="A1203" t="s">
        <v>23826</v>
      </c>
      <c r="B1203" t="s">
        <v>152</v>
      </c>
      <c r="C1203" s="1">
        <v>45141.137891550927</v>
      </c>
      <c r="D1203" s="1">
        <v>45229</v>
      </c>
      <c r="E1203" t="s">
        <v>136</v>
      </c>
      <c r="F1203" t="s">
        <v>951</v>
      </c>
      <c r="G1203" t="str">
        <f>"43-4081.00"</f>
        <v>43-4081.00</v>
      </c>
      <c r="H1203" t="s">
        <v>952</v>
      </c>
      <c r="I1203">
        <v>5</v>
      </c>
      <c r="J1203">
        <v>5</v>
      </c>
      <c r="K1203" s="1">
        <v>45231</v>
      </c>
      <c r="L1203" s="1">
        <v>45505</v>
      </c>
      <c r="M1203" s="1">
        <v>45231</v>
      </c>
      <c r="N1203" s="1">
        <v>45505</v>
      </c>
      <c r="O1203" t="s">
        <v>116</v>
      </c>
      <c r="P1203" t="s">
        <v>10380</v>
      </c>
      <c r="Q1203" t="s">
        <v>10381</v>
      </c>
      <c r="R1203" t="s">
        <v>10382</v>
      </c>
      <c r="T1203" t="s">
        <v>10383</v>
      </c>
      <c r="U1203" t="s">
        <v>140</v>
      </c>
      <c r="V1203" s="8" t="str">
        <f>"34228"</f>
        <v>34228</v>
      </c>
      <c r="W1203" t="s">
        <v>118</v>
      </c>
      <c r="Y1203" s="10">
        <v>16035592297</v>
      </c>
      <c r="AA1203">
        <v>72111</v>
      </c>
      <c r="AB1203" t="s">
        <v>10384</v>
      </c>
      <c r="AC1203" t="s">
        <v>10385</v>
      </c>
      <c r="AE1203" t="s">
        <v>764</v>
      </c>
      <c r="AF1203" t="s">
        <v>10382</v>
      </c>
      <c r="AH1203" t="s">
        <v>10383</v>
      </c>
      <c r="AI1203" t="s">
        <v>140</v>
      </c>
      <c r="AJ1203" s="8" t="str">
        <f>"34228"</f>
        <v>34228</v>
      </c>
      <c r="AK1203" t="s">
        <v>118</v>
      </c>
      <c r="AM1203" s="10">
        <v>19413832451</v>
      </c>
      <c r="AO1203" t="s">
        <v>10386</v>
      </c>
      <c r="AP1203" t="s">
        <v>248</v>
      </c>
      <c r="AQ1203" t="s">
        <v>458</v>
      </c>
      <c r="AR1203" t="s">
        <v>459</v>
      </c>
      <c r="AT1203" t="s">
        <v>460</v>
      </c>
      <c r="AU1203" t="s">
        <v>461</v>
      </c>
      <c r="AV1203" t="s">
        <v>766</v>
      </c>
      <c r="AW1203" t="s">
        <v>140</v>
      </c>
      <c r="AX1203" s="8" t="str">
        <f>"33141"</f>
        <v>33141</v>
      </c>
      <c r="AY1203" t="s">
        <v>118</v>
      </c>
      <c r="BA1203" s="10">
        <v>17863480376</v>
      </c>
      <c r="BC1203" t="s">
        <v>463</v>
      </c>
      <c r="BD1203" t="s">
        <v>464</v>
      </c>
      <c r="BG1203" t="s">
        <v>140</v>
      </c>
      <c r="BH1203" s="1">
        <v>45140.833333333336</v>
      </c>
      <c r="BI1203">
        <v>35</v>
      </c>
      <c r="BJ1203">
        <v>7</v>
      </c>
      <c r="BK1203">
        <v>7</v>
      </c>
      <c r="BL1203">
        <v>0</v>
      </c>
      <c r="BM1203">
        <v>0</v>
      </c>
      <c r="BN1203">
        <v>7</v>
      </c>
      <c r="BO1203">
        <v>7</v>
      </c>
      <c r="BP1203">
        <v>7</v>
      </c>
      <c r="BQ1203" t="str">
        <f>"10:00 AM"</f>
        <v>10:00 AM</v>
      </c>
      <c r="BR1203" t="str">
        <f>"5:00 PM"</f>
        <v>5:00 PM</v>
      </c>
      <c r="BS1203" t="s">
        <v>131</v>
      </c>
      <c r="BT1203">
        <v>0</v>
      </c>
      <c r="BU1203">
        <v>1</v>
      </c>
      <c r="BV1203" t="s">
        <v>114</v>
      </c>
      <c r="BX1203" t="s">
        <v>465</v>
      </c>
      <c r="BY1203" t="s">
        <v>10382</v>
      </c>
      <c r="CA1203" t="s">
        <v>10383</v>
      </c>
      <c r="CB1203" t="s">
        <v>140</v>
      </c>
      <c r="CC1203" s="8" t="str">
        <f>"34228"</f>
        <v>34228</v>
      </c>
      <c r="CD1203" t="s">
        <v>6059</v>
      </c>
      <c r="CE1203" t="s">
        <v>1730</v>
      </c>
      <c r="CF1203" s="12">
        <v>16</v>
      </c>
      <c r="CG1203" s="12">
        <v>16</v>
      </c>
      <c r="CH1203" s="12">
        <v>24</v>
      </c>
      <c r="CI1203" s="12">
        <v>24</v>
      </c>
      <c r="CJ1203" t="s">
        <v>135</v>
      </c>
      <c r="CL1203" t="s">
        <v>23827</v>
      </c>
      <c r="CO1203" t="s">
        <v>132</v>
      </c>
      <c r="CP1203" t="s">
        <v>114</v>
      </c>
      <c r="CQ1203" t="s">
        <v>114</v>
      </c>
      <c r="CR1203" t="s">
        <v>136</v>
      </c>
      <c r="CS1203" t="s">
        <v>114</v>
      </c>
      <c r="CT1203" t="s">
        <v>136</v>
      </c>
      <c r="CU1203" t="s">
        <v>136</v>
      </c>
      <c r="CV1203" s="2" t="s">
        <v>4703</v>
      </c>
      <c r="CW1203" s="10" t="str">
        <f>"N/A"</f>
        <v>N/A</v>
      </c>
      <c r="CX1203" t="s">
        <v>10386</v>
      </c>
      <c r="CY1203" t="s">
        <v>470</v>
      </c>
      <c r="CZ1203" t="s">
        <v>137</v>
      </c>
      <c r="DA1203" t="s">
        <v>114</v>
      </c>
      <c r="DB1203" t="s">
        <v>114</v>
      </c>
      <c r="DC1203" t="s">
        <v>136</v>
      </c>
      <c r="DD1203" t="s">
        <v>114</v>
      </c>
    </row>
    <row r="1204" spans="1:108" ht="15" customHeight="1" x14ac:dyDescent="0.25">
      <c r="A1204" t="s">
        <v>1653</v>
      </c>
      <c r="B1204" t="s">
        <v>152</v>
      </c>
      <c r="C1204" s="1">
        <v>45126.463569791667</v>
      </c>
      <c r="D1204" s="1">
        <v>45229</v>
      </c>
      <c r="E1204" t="s">
        <v>136</v>
      </c>
      <c r="F1204" t="s">
        <v>1654</v>
      </c>
      <c r="G1204" t="str">
        <f>"37-2011.00"</f>
        <v>37-2011.00</v>
      </c>
      <c r="H1204" t="s">
        <v>1089</v>
      </c>
      <c r="I1204">
        <v>6</v>
      </c>
      <c r="J1204">
        <v>6</v>
      </c>
      <c r="K1204" s="1">
        <v>45216</v>
      </c>
      <c r="L1204" s="1">
        <v>45425</v>
      </c>
      <c r="M1204" s="1">
        <v>45216</v>
      </c>
      <c r="N1204" s="1">
        <v>45425</v>
      </c>
      <c r="O1204" t="s">
        <v>116</v>
      </c>
      <c r="P1204" t="s">
        <v>1655</v>
      </c>
      <c r="Q1204" t="s">
        <v>1656</v>
      </c>
      <c r="R1204" t="s">
        <v>1657</v>
      </c>
      <c r="T1204" t="s">
        <v>1658</v>
      </c>
      <c r="U1204" t="s">
        <v>558</v>
      </c>
      <c r="V1204" s="8" t="str">
        <f>"85255"</f>
        <v>85255</v>
      </c>
      <c r="W1204" t="s">
        <v>118</v>
      </c>
      <c r="Y1204" s="10">
        <v>14805854310</v>
      </c>
      <c r="AA1204">
        <v>713910</v>
      </c>
      <c r="AB1204" t="s">
        <v>1659</v>
      </c>
      <c r="AC1204" t="s">
        <v>1517</v>
      </c>
      <c r="AE1204" t="s">
        <v>1660</v>
      </c>
      <c r="AF1204" t="s">
        <v>1657</v>
      </c>
      <c r="AH1204" t="s">
        <v>1658</v>
      </c>
      <c r="AI1204" t="s">
        <v>558</v>
      </c>
      <c r="AJ1204" s="8" t="str">
        <f>"85255"</f>
        <v>85255</v>
      </c>
      <c r="AK1204" t="s">
        <v>118</v>
      </c>
      <c r="AM1204" s="10">
        <v>14805854310</v>
      </c>
      <c r="AO1204" t="s">
        <v>1661</v>
      </c>
      <c r="AP1204" t="s">
        <v>121</v>
      </c>
      <c r="AQ1204" t="s">
        <v>276</v>
      </c>
      <c r="AR1204" t="s">
        <v>277</v>
      </c>
      <c r="AS1204" t="s">
        <v>278</v>
      </c>
      <c r="AT1204" t="s">
        <v>279</v>
      </c>
      <c r="AU1204" t="s">
        <v>280</v>
      </c>
      <c r="AV1204" t="s">
        <v>281</v>
      </c>
      <c r="AW1204" t="s">
        <v>222</v>
      </c>
      <c r="AX1204" s="8" t="str">
        <f>"01701"</f>
        <v>01701</v>
      </c>
      <c r="AY1204" t="s">
        <v>118</v>
      </c>
      <c r="BA1204" s="10">
        <v>16179399444</v>
      </c>
      <c r="BC1204" t="s">
        <v>282</v>
      </c>
      <c r="BD1204" t="s">
        <v>283</v>
      </c>
      <c r="BE1204" t="s">
        <v>222</v>
      </c>
      <c r="BF1204" t="s">
        <v>284</v>
      </c>
      <c r="BG1204" t="s">
        <v>558</v>
      </c>
      <c r="BH1204" s="1">
        <v>45125.833333333336</v>
      </c>
      <c r="BI1204">
        <v>40</v>
      </c>
      <c r="BJ1204">
        <v>0</v>
      </c>
      <c r="BK1204">
        <v>8</v>
      </c>
      <c r="BL1204">
        <v>8</v>
      </c>
      <c r="BM1204">
        <v>8</v>
      </c>
      <c r="BN1204">
        <v>8</v>
      </c>
      <c r="BO1204">
        <v>8</v>
      </c>
      <c r="BP1204">
        <v>0</v>
      </c>
      <c r="BQ1204" t="str">
        <f>"9:00 AM"</f>
        <v>9:00 AM</v>
      </c>
      <c r="BR1204" t="str">
        <f>"5:00 PM"</f>
        <v>5:00 PM</v>
      </c>
      <c r="BS1204" t="s">
        <v>131</v>
      </c>
      <c r="BT1204">
        <v>0</v>
      </c>
      <c r="BU1204">
        <v>3</v>
      </c>
      <c r="BV1204" t="s">
        <v>114</v>
      </c>
      <c r="BX1204" s="2" t="s">
        <v>1662</v>
      </c>
      <c r="BY1204" t="s">
        <v>1657</v>
      </c>
      <c r="CA1204" t="s">
        <v>1658</v>
      </c>
      <c r="CB1204" t="s">
        <v>558</v>
      </c>
      <c r="CC1204" s="8" t="str">
        <f>"85255"</f>
        <v>85255</v>
      </c>
      <c r="CD1204" t="s">
        <v>1391</v>
      </c>
      <c r="CE1204" t="s">
        <v>565</v>
      </c>
      <c r="CF1204" s="12">
        <v>15.02</v>
      </c>
      <c r="CG1204" s="12">
        <v>17.02</v>
      </c>
      <c r="CH1204" s="12">
        <v>22.53</v>
      </c>
      <c r="CI1204" s="12">
        <v>25.53</v>
      </c>
      <c r="CJ1204" t="s">
        <v>135</v>
      </c>
      <c r="CK1204" t="s">
        <v>1663</v>
      </c>
      <c r="CL1204" t="s">
        <v>1664</v>
      </c>
      <c r="CO1204" t="s">
        <v>132</v>
      </c>
      <c r="CP1204" t="s">
        <v>114</v>
      </c>
      <c r="CQ1204" t="s">
        <v>136</v>
      </c>
      <c r="CR1204" t="s">
        <v>136</v>
      </c>
      <c r="CS1204" t="s">
        <v>136</v>
      </c>
      <c r="CT1204" t="s">
        <v>136</v>
      </c>
      <c r="CU1204" t="s">
        <v>136</v>
      </c>
      <c r="CV1204" t="s">
        <v>1665</v>
      </c>
      <c r="CW1204" s="10" t="str">
        <f>"+14805854310"</f>
        <v>+14805854310</v>
      </c>
      <c r="CX1204" t="s">
        <v>1666</v>
      </c>
      <c r="CY1204" t="s">
        <v>132</v>
      </c>
      <c r="CZ1204" t="s">
        <v>137</v>
      </c>
      <c r="DA1204" t="s">
        <v>114</v>
      </c>
      <c r="DB1204" t="s">
        <v>114</v>
      </c>
      <c r="DC1204" t="s">
        <v>136</v>
      </c>
      <c r="DD1204" t="s">
        <v>114</v>
      </c>
    </row>
    <row r="1205" spans="1:108" ht="15" customHeight="1" x14ac:dyDescent="0.25">
      <c r="A1205" t="s">
        <v>6800</v>
      </c>
      <c r="B1205" t="s">
        <v>152</v>
      </c>
      <c r="C1205" s="1">
        <v>45112.855557291667</v>
      </c>
      <c r="D1205" s="1">
        <v>45229</v>
      </c>
      <c r="E1205" t="s">
        <v>114</v>
      </c>
      <c r="F1205" t="s">
        <v>1397</v>
      </c>
      <c r="G1205" t="str">
        <f>"39-9011.01"</f>
        <v>39-9011.01</v>
      </c>
      <c r="H1205" t="s">
        <v>183</v>
      </c>
      <c r="I1205">
        <v>1</v>
      </c>
      <c r="J1205">
        <v>1</v>
      </c>
      <c r="K1205" s="1">
        <v>45200</v>
      </c>
      <c r="L1205" s="1">
        <v>46295</v>
      </c>
      <c r="M1205" s="1">
        <v>45200</v>
      </c>
      <c r="N1205" s="1">
        <v>46295</v>
      </c>
      <c r="O1205" t="s">
        <v>184</v>
      </c>
      <c r="P1205" t="s">
        <v>6801</v>
      </c>
      <c r="R1205" t="s">
        <v>6802</v>
      </c>
      <c r="T1205" t="s">
        <v>6803</v>
      </c>
      <c r="U1205" t="s">
        <v>140</v>
      </c>
      <c r="V1205" s="8" t="str">
        <f>"33487"</f>
        <v>33487</v>
      </c>
      <c r="W1205" t="s">
        <v>118</v>
      </c>
      <c r="Y1205" s="10">
        <v>13128631144</v>
      </c>
      <c r="AA1205">
        <v>814110</v>
      </c>
      <c r="AB1205" t="s">
        <v>6804</v>
      </c>
      <c r="AC1205" t="s">
        <v>6805</v>
      </c>
      <c r="AD1205" t="s">
        <v>1772</v>
      </c>
      <c r="AE1205" t="s">
        <v>6806</v>
      </c>
      <c r="AF1205" t="s">
        <v>6802</v>
      </c>
      <c r="AH1205" t="s">
        <v>6803</v>
      </c>
      <c r="AI1205" t="s">
        <v>140</v>
      </c>
      <c r="AJ1205" s="8" t="str">
        <f>"33487"</f>
        <v>33487</v>
      </c>
      <c r="AK1205" t="s">
        <v>118</v>
      </c>
      <c r="AM1205" s="10">
        <v>13128631144</v>
      </c>
      <c r="AO1205" t="s">
        <v>6807</v>
      </c>
      <c r="AP1205" t="s">
        <v>121</v>
      </c>
      <c r="AQ1205" t="s">
        <v>6808</v>
      </c>
      <c r="AR1205" t="s">
        <v>1212</v>
      </c>
      <c r="AS1205" t="s">
        <v>1738</v>
      </c>
      <c r="AT1205" t="s">
        <v>6809</v>
      </c>
      <c r="AU1205" t="s">
        <v>3487</v>
      </c>
      <c r="AV1205" t="s">
        <v>6667</v>
      </c>
      <c r="AW1205" t="s">
        <v>140</v>
      </c>
      <c r="AX1205" s="8" t="str">
        <f>"33410"</f>
        <v>33410</v>
      </c>
      <c r="AY1205" t="s">
        <v>118</v>
      </c>
      <c r="BA1205" s="10">
        <v>15614785353</v>
      </c>
      <c r="BB1205">
        <v>0</v>
      </c>
      <c r="BC1205" t="s">
        <v>6810</v>
      </c>
      <c r="BD1205" t="s">
        <v>6811</v>
      </c>
      <c r="BE1205" t="s">
        <v>140</v>
      </c>
      <c r="BF1205" t="s">
        <v>146</v>
      </c>
      <c r="BG1205" t="s">
        <v>140</v>
      </c>
      <c r="BH1205" s="1">
        <v>45093.833333333336</v>
      </c>
      <c r="BI1205">
        <v>40</v>
      </c>
      <c r="BJ1205">
        <v>0</v>
      </c>
      <c r="BK1205">
        <v>8</v>
      </c>
      <c r="BL1205">
        <v>8</v>
      </c>
      <c r="BM1205">
        <v>8</v>
      </c>
      <c r="BN1205">
        <v>8</v>
      </c>
      <c r="BO1205">
        <v>8</v>
      </c>
      <c r="BP1205">
        <v>0</v>
      </c>
      <c r="BQ1205" t="str">
        <f>"7:00 AM"</f>
        <v>7:00 AM</v>
      </c>
      <c r="BR1205" t="str">
        <f>"3:00 PM"</f>
        <v>3:00 PM</v>
      </c>
      <c r="BS1205" t="s">
        <v>147</v>
      </c>
      <c r="BT1205">
        <v>0</v>
      </c>
      <c r="BU1205">
        <v>12</v>
      </c>
      <c r="BV1205" t="s">
        <v>114</v>
      </c>
      <c r="BX1205" t="s">
        <v>131</v>
      </c>
      <c r="BY1205" t="s">
        <v>6802</v>
      </c>
      <c r="CA1205" t="s">
        <v>6803</v>
      </c>
      <c r="CB1205" t="s">
        <v>140</v>
      </c>
      <c r="CC1205" s="8" t="str">
        <f>"33487"</f>
        <v>33487</v>
      </c>
      <c r="CD1205" t="s">
        <v>767</v>
      </c>
      <c r="CE1205" t="s">
        <v>149</v>
      </c>
      <c r="CF1205" s="12">
        <v>13.33</v>
      </c>
      <c r="CG1205" s="12">
        <v>13.33</v>
      </c>
      <c r="CH1205" s="12">
        <v>20</v>
      </c>
      <c r="CI1205" s="12">
        <v>20</v>
      </c>
      <c r="CJ1205" t="s">
        <v>135</v>
      </c>
      <c r="CL1205" t="s">
        <v>6812</v>
      </c>
      <c r="CO1205" t="s">
        <v>132</v>
      </c>
      <c r="CP1205" t="s">
        <v>114</v>
      </c>
      <c r="CQ1205" t="s">
        <v>114</v>
      </c>
      <c r="CR1205" t="s">
        <v>136</v>
      </c>
      <c r="CS1205" t="s">
        <v>114</v>
      </c>
      <c r="CT1205" t="s">
        <v>136</v>
      </c>
      <c r="CU1205" t="s">
        <v>114</v>
      </c>
      <c r="CV1205" t="s">
        <v>5906</v>
      </c>
      <c r="CW1205" s="10" t="str">
        <f>"+15616343632"</f>
        <v>+15616343632</v>
      </c>
      <c r="CX1205" t="s">
        <v>6807</v>
      </c>
      <c r="CY1205" t="s">
        <v>132</v>
      </c>
      <c r="CZ1205" t="s">
        <v>137</v>
      </c>
      <c r="DA1205" t="s">
        <v>114</v>
      </c>
      <c r="DB1205" t="s">
        <v>114</v>
      </c>
      <c r="DC1205" t="s">
        <v>136</v>
      </c>
      <c r="DD1205" t="s">
        <v>114</v>
      </c>
    </row>
    <row r="1206" spans="1:108" ht="15" customHeight="1" x14ac:dyDescent="0.25">
      <c r="A1206" t="s">
        <v>13456</v>
      </c>
      <c r="B1206" t="s">
        <v>152</v>
      </c>
      <c r="C1206" s="1">
        <v>45112.749622106479</v>
      </c>
      <c r="D1206" s="1">
        <v>45229</v>
      </c>
      <c r="E1206" t="s">
        <v>114</v>
      </c>
      <c r="F1206" t="s">
        <v>13457</v>
      </c>
      <c r="G1206" t="str">
        <f>"53-7051.00"</f>
        <v>53-7051.00</v>
      </c>
      <c r="H1206" t="s">
        <v>2209</v>
      </c>
      <c r="I1206">
        <v>1</v>
      </c>
      <c r="J1206">
        <v>1</v>
      </c>
      <c r="K1206" s="1">
        <v>45200</v>
      </c>
      <c r="L1206" s="1">
        <v>45565</v>
      </c>
      <c r="M1206" s="1">
        <v>45200</v>
      </c>
      <c r="N1206" s="1">
        <v>45565</v>
      </c>
      <c r="O1206" t="s">
        <v>184</v>
      </c>
      <c r="P1206" t="s">
        <v>13033</v>
      </c>
      <c r="R1206" t="s">
        <v>13034</v>
      </c>
      <c r="T1206" t="s">
        <v>902</v>
      </c>
      <c r="U1206" t="s">
        <v>479</v>
      </c>
      <c r="V1206" s="8" t="str">
        <f>"97266"</f>
        <v>97266</v>
      </c>
      <c r="W1206" t="s">
        <v>118</v>
      </c>
      <c r="Y1206" s="10">
        <v>15032811637</v>
      </c>
      <c r="AA1206">
        <v>484220</v>
      </c>
      <c r="AB1206" t="s">
        <v>13035</v>
      </c>
      <c r="AC1206" t="s">
        <v>1295</v>
      </c>
      <c r="AE1206" t="s">
        <v>1010</v>
      </c>
      <c r="AF1206" t="s">
        <v>13034</v>
      </c>
      <c r="AH1206" t="s">
        <v>902</v>
      </c>
      <c r="AI1206" t="s">
        <v>479</v>
      </c>
      <c r="AJ1206" s="8" t="str">
        <f>"97266"</f>
        <v>97266</v>
      </c>
      <c r="AK1206" t="s">
        <v>118</v>
      </c>
      <c r="AM1206" s="10">
        <v>15032811637</v>
      </c>
      <c r="AO1206" t="s">
        <v>13036</v>
      </c>
      <c r="AP1206" t="s">
        <v>121</v>
      </c>
      <c r="AQ1206" t="s">
        <v>8716</v>
      </c>
      <c r="AR1206" t="s">
        <v>1963</v>
      </c>
      <c r="AS1206" t="s">
        <v>8717</v>
      </c>
      <c r="AT1206" t="s">
        <v>13037</v>
      </c>
      <c r="AV1206" t="s">
        <v>8719</v>
      </c>
      <c r="AW1206" t="s">
        <v>479</v>
      </c>
      <c r="AX1206" s="8" t="str">
        <f>"97035"</f>
        <v>97035</v>
      </c>
      <c r="AY1206" t="s">
        <v>118</v>
      </c>
      <c r="BA1206" s="10">
        <v>15032102249</v>
      </c>
      <c r="BC1206" t="s">
        <v>8720</v>
      </c>
      <c r="BD1206" t="s">
        <v>8721</v>
      </c>
      <c r="BE1206" t="s">
        <v>479</v>
      </c>
      <c r="BF1206" t="s">
        <v>8722</v>
      </c>
      <c r="BG1206" t="s">
        <v>479</v>
      </c>
      <c r="BH1206" s="1">
        <v>45111.833333333336</v>
      </c>
      <c r="BI1206">
        <v>40</v>
      </c>
      <c r="BJ1206">
        <v>0</v>
      </c>
      <c r="BK1206">
        <v>0</v>
      </c>
      <c r="BL1206">
        <v>8</v>
      </c>
      <c r="BM1206">
        <v>8</v>
      </c>
      <c r="BN1206">
        <v>8</v>
      </c>
      <c r="BO1206">
        <v>8</v>
      </c>
      <c r="BP1206">
        <v>8</v>
      </c>
      <c r="BQ1206" t="str">
        <f>"8:00 AM"</f>
        <v>8:00 AM</v>
      </c>
      <c r="BR1206" t="str">
        <f>"5:00 PM"</f>
        <v>5:00 PM</v>
      </c>
      <c r="BS1206" t="s">
        <v>131</v>
      </c>
      <c r="BT1206">
        <v>0</v>
      </c>
      <c r="BU1206">
        <v>0</v>
      </c>
      <c r="BV1206" t="s">
        <v>114</v>
      </c>
      <c r="BX1206" s="2" t="s">
        <v>13458</v>
      </c>
      <c r="BY1206" t="s">
        <v>13459</v>
      </c>
      <c r="CA1206" t="s">
        <v>902</v>
      </c>
      <c r="CB1206" t="s">
        <v>479</v>
      </c>
      <c r="CC1206" s="8" t="str">
        <f>"97266"</f>
        <v>97266</v>
      </c>
      <c r="CD1206" t="s">
        <v>2717</v>
      </c>
      <c r="CE1206" t="s">
        <v>807</v>
      </c>
      <c r="CF1206" s="12">
        <v>21.79</v>
      </c>
      <c r="CJ1206" t="s">
        <v>135</v>
      </c>
      <c r="CL1206" t="s">
        <v>13460</v>
      </c>
      <c r="CO1206" t="s">
        <v>132</v>
      </c>
      <c r="CP1206" t="s">
        <v>136</v>
      </c>
      <c r="CQ1206" t="s">
        <v>114</v>
      </c>
      <c r="CR1206" t="s">
        <v>114</v>
      </c>
      <c r="CS1206" t="s">
        <v>114</v>
      </c>
      <c r="CT1206" t="s">
        <v>136</v>
      </c>
      <c r="CU1206" t="s">
        <v>114</v>
      </c>
      <c r="CV1206" t="s">
        <v>1570</v>
      </c>
      <c r="CW1206" s="10" t="str">
        <f>"+15032811637"</f>
        <v>+15032811637</v>
      </c>
      <c r="CX1206" t="s">
        <v>13036</v>
      </c>
      <c r="CY1206" t="s">
        <v>132</v>
      </c>
      <c r="CZ1206" t="s">
        <v>137</v>
      </c>
      <c r="DA1206" t="s">
        <v>114</v>
      </c>
      <c r="DB1206" t="s">
        <v>114</v>
      </c>
      <c r="DC1206" t="s">
        <v>136</v>
      </c>
      <c r="DD1206" t="s">
        <v>114</v>
      </c>
    </row>
    <row r="1207" spans="1:108" ht="15" customHeight="1" x14ac:dyDescent="0.25">
      <c r="A1207" t="s">
        <v>21766</v>
      </c>
      <c r="B1207" t="s">
        <v>152</v>
      </c>
      <c r="C1207" s="1">
        <v>45110.800192129631</v>
      </c>
      <c r="D1207" s="1">
        <v>45229</v>
      </c>
      <c r="E1207" t="s">
        <v>114</v>
      </c>
      <c r="F1207" t="s">
        <v>21767</v>
      </c>
      <c r="G1207" t="str">
        <f>"39-9032.00"</f>
        <v>39-9032.00</v>
      </c>
      <c r="H1207" t="s">
        <v>5300</v>
      </c>
      <c r="I1207">
        <v>30</v>
      </c>
      <c r="J1207">
        <v>30</v>
      </c>
      <c r="K1207" s="1">
        <v>45200</v>
      </c>
      <c r="L1207" s="1">
        <v>45473</v>
      </c>
      <c r="M1207" s="1">
        <v>45200</v>
      </c>
      <c r="N1207" s="1">
        <v>45473</v>
      </c>
      <c r="O1207" t="s">
        <v>238</v>
      </c>
      <c r="P1207" t="s">
        <v>21768</v>
      </c>
      <c r="Q1207" t="s">
        <v>21768</v>
      </c>
      <c r="R1207" t="s">
        <v>21769</v>
      </c>
      <c r="T1207" t="s">
        <v>5541</v>
      </c>
      <c r="U1207" t="s">
        <v>140</v>
      </c>
      <c r="V1207" s="8" t="str">
        <f>"32308"</f>
        <v>32308</v>
      </c>
      <c r="W1207" t="s">
        <v>118</v>
      </c>
      <c r="Y1207" s="10">
        <v>18505970249</v>
      </c>
      <c r="AA1207">
        <v>713990</v>
      </c>
      <c r="AB1207" t="s">
        <v>3822</v>
      </c>
      <c r="AC1207" t="s">
        <v>3823</v>
      </c>
      <c r="AD1207" t="s">
        <v>3587</v>
      </c>
      <c r="AE1207" t="s">
        <v>3519</v>
      </c>
      <c r="AF1207" t="s">
        <v>21769</v>
      </c>
      <c r="AH1207" t="s">
        <v>8558</v>
      </c>
      <c r="AI1207" t="s">
        <v>140</v>
      </c>
      <c r="AJ1207" s="8" t="str">
        <f>"32308"</f>
        <v>32308</v>
      </c>
      <c r="AK1207" t="s">
        <v>118</v>
      </c>
      <c r="AM1207" s="10">
        <v>18505970249</v>
      </c>
      <c r="AO1207" t="s">
        <v>21770</v>
      </c>
      <c r="AX1207" s="8" t="str">
        <f>""</f>
        <v/>
      </c>
      <c r="BG1207" t="s">
        <v>140</v>
      </c>
      <c r="BH1207" s="1">
        <v>45113.833333333336</v>
      </c>
      <c r="BI1207">
        <v>35</v>
      </c>
      <c r="BJ1207">
        <v>6</v>
      </c>
      <c r="BK1207">
        <v>6</v>
      </c>
      <c r="BL1207">
        <v>6</v>
      </c>
      <c r="BM1207">
        <v>5</v>
      </c>
      <c r="BN1207">
        <v>6</v>
      </c>
      <c r="BO1207">
        <v>0</v>
      </c>
      <c r="BP1207">
        <v>6</v>
      </c>
      <c r="BQ1207" t="str">
        <f>"9:00 AM"</f>
        <v>9:00 AM</v>
      </c>
      <c r="BR1207" t="str">
        <f>"5:00 PM"</f>
        <v>5:00 PM</v>
      </c>
      <c r="BS1207" t="s">
        <v>147</v>
      </c>
      <c r="BT1207">
        <v>0</v>
      </c>
      <c r="BU1207">
        <v>2</v>
      </c>
      <c r="BV1207" t="s">
        <v>114</v>
      </c>
      <c r="BX1207" s="2" t="s">
        <v>21771</v>
      </c>
      <c r="BY1207" t="s">
        <v>21772</v>
      </c>
      <c r="CA1207" t="s">
        <v>1920</v>
      </c>
      <c r="CB1207" t="s">
        <v>140</v>
      </c>
      <c r="CC1207" s="8" t="str">
        <f>"33815"</f>
        <v>33815</v>
      </c>
      <c r="CD1207" t="s">
        <v>938</v>
      </c>
      <c r="CE1207" t="s">
        <v>1921</v>
      </c>
      <c r="CF1207" s="12">
        <v>13.27</v>
      </c>
      <c r="CG1207" s="12">
        <v>13.27</v>
      </c>
      <c r="CH1207" s="12">
        <v>0</v>
      </c>
      <c r="CI1207" s="12">
        <v>0</v>
      </c>
      <c r="CJ1207" t="s">
        <v>135</v>
      </c>
      <c r="CL1207" t="s">
        <v>21773</v>
      </c>
      <c r="CO1207" t="s">
        <v>132</v>
      </c>
      <c r="CP1207" t="s">
        <v>114</v>
      </c>
      <c r="CQ1207" t="s">
        <v>136</v>
      </c>
      <c r="CR1207" t="s">
        <v>114</v>
      </c>
      <c r="CS1207" t="s">
        <v>114</v>
      </c>
      <c r="CT1207" t="s">
        <v>136</v>
      </c>
      <c r="CU1207" t="s">
        <v>136</v>
      </c>
      <c r="CV1207" t="s">
        <v>21774</v>
      </c>
      <c r="CW1207" s="10" t="str">
        <f>"N/A"</f>
        <v>N/A</v>
      </c>
      <c r="CX1207" t="s">
        <v>21770</v>
      </c>
      <c r="CY1207" t="s">
        <v>21775</v>
      </c>
      <c r="CZ1207" t="s">
        <v>137</v>
      </c>
      <c r="DA1207" t="s">
        <v>114</v>
      </c>
      <c r="DB1207" t="s">
        <v>114</v>
      </c>
      <c r="DC1207" t="s">
        <v>136</v>
      </c>
      <c r="DD1207" t="s">
        <v>114</v>
      </c>
    </row>
    <row r="1208" spans="1:108" ht="15" customHeight="1" x14ac:dyDescent="0.25">
      <c r="A1208" t="s">
        <v>23210</v>
      </c>
      <c r="B1208" t="s">
        <v>152</v>
      </c>
      <c r="C1208" s="1">
        <v>45110.511925462961</v>
      </c>
      <c r="D1208" s="1">
        <v>45229</v>
      </c>
      <c r="E1208" t="s">
        <v>114</v>
      </c>
      <c r="F1208" t="s">
        <v>1743</v>
      </c>
      <c r="G1208" t="str">
        <f>"37-3011.00"</f>
        <v>37-3011.00</v>
      </c>
      <c r="H1208" t="s">
        <v>429</v>
      </c>
      <c r="I1208">
        <v>5</v>
      </c>
      <c r="J1208">
        <v>5</v>
      </c>
      <c r="K1208" s="1">
        <v>45200</v>
      </c>
      <c r="L1208" s="1">
        <v>45323</v>
      </c>
      <c r="M1208" s="1">
        <v>45200</v>
      </c>
      <c r="N1208" s="1">
        <v>45323</v>
      </c>
      <c r="O1208" t="s">
        <v>116</v>
      </c>
      <c r="P1208" t="s">
        <v>23211</v>
      </c>
      <c r="Q1208" t="s">
        <v>23212</v>
      </c>
      <c r="R1208" t="s">
        <v>23213</v>
      </c>
      <c r="T1208" t="s">
        <v>15276</v>
      </c>
      <c r="U1208" t="s">
        <v>854</v>
      </c>
      <c r="V1208" s="8" t="str">
        <f>"83642"</f>
        <v>83642</v>
      </c>
      <c r="W1208" t="s">
        <v>118</v>
      </c>
      <c r="Y1208" s="10">
        <v>12085730340</v>
      </c>
      <c r="AA1208">
        <v>56173</v>
      </c>
      <c r="AB1208" t="s">
        <v>23214</v>
      </c>
      <c r="AC1208" t="s">
        <v>274</v>
      </c>
      <c r="AE1208" t="s">
        <v>23215</v>
      </c>
      <c r="AF1208" t="s">
        <v>23216</v>
      </c>
      <c r="AH1208" t="s">
        <v>15276</v>
      </c>
      <c r="AI1208" t="s">
        <v>854</v>
      </c>
      <c r="AJ1208" s="8" t="str">
        <f>"83642"</f>
        <v>83642</v>
      </c>
      <c r="AK1208" t="s">
        <v>118</v>
      </c>
      <c r="AM1208" s="10">
        <v>12085730340</v>
      </c>
      <c r="AO1208" t="s">
        <v>23217</v>
      </c>
      <c r="AP1208" t="s">
        <v>121</v>
      </c>
      <c r="AQ1208" t="s">
        <v>4169</v>
      </c>
      <c r="AR1208" t="s">
        <v>4170</v>
      </c>
      <c r="AS1208" t="s">
        <v>1738</v>
      </c>
      <c r="AT1208" t="s">
        <v>4171</v>
      </c>
      <c r="AU1208" t="s">
        <v>4172</v>
      </c>
      <c r="AV1208" t="s">
        <v>4173</v>
      </c>
      <c r="AW1208" t="s">
        <v>854</v>
      </c>
      <c r="AX1208" s="8" t="str">
        <f>"83670"</f>
        <v>83670</v>
      </c>
      <c r="AY1208" t="s">
        <v>118</v>
      </c>
      <c r="BA1208" s="10">
        <v>12083984969</v>
      </c>
      <c r="BC1208" t="s">
        <v>4174</v>
      </c>
      <c r="BD1208" t="s">
        <v>4175</v>
      </c>
      <c r="BE1208" t="s">
        <v>127</v>
      </c>
      <c r="BF1208" t="s">
        <v>750</v>
      </c>
      <c r="BG1208" t="s">
        <v>854</v>
      </c>
      <c r="BH1208" s="1">
        <v>45099.833333333336</v>
      </c>
      <c r="BI1208">
        <v>40</v>
      </c>
      <c r="BJ1208">
        <v>0</v>
      </c>
      <c r="BK1208">
        <v>8</v>
      </c>
      <c r="BL1208">
        <v>8</v>
      </c>
      <c r="BM1208">
        <v>8</v>
      </c>
      <c r="BN1208">
        <v>8</v>
      </c>
      <c r="BO1208">
        <v>8</v>
      </c>
      <c r="BP1208">
        <v>0</v>
      </c>
      <c r="BQ1208" t="str">
        <f>"7:00 AM"</f>
        <v>7:00 AM</v>
      </c>
      <c r="BR1208" t="str">
        <f>"4:30 PM"</f>
        <v>4:30 PM</v>
      </c>
      <c r="BS1208" t="s">
        <v>131</v>
      </c>
      <c r="BT1208">
        <v>0</v>
      </c>
      <c r="BU1208">
        <v>0</v>
      </c>
      <c r="BV1208" t="s">
        <v>114</v>
      </c>
      <c r="BX1208" s="2" t="s">
        <v>4176</v>
      </c>
      <c r="BY1208" t="s">
        <v>23216</v>
      </c>
      <c r="CA1208" t="s">
        <v>15276</v>
      </c>
      <c r="CB1208" t="s">
        <v>854</v>
      </c>
      <c r="CC1208" s="8" t="str">
        <f>"83642"</f>
        <v>83642</v>
      </c>
      <c r="CD1208" t="s">
        <v>8051</v>
      </c>
      <c r="CE1208" t="s">
        <v>1450</v>
      </c>
      <c r="CF1208" s="12">
        <v>16.809999999999999</v>
      </c>
      <c r="CG1208" s="12">
        <v>16.809999999999999</v>
      </c>
      <c r="CH1208" s="12">
        <v>25.22</v>
      </c>
      <c r="CI1208" s="12">
        <v>25.22</v>
      </c>
      <c r="CJ1208" t="s">
        <v>135</v>
      </c>
      <c r="CL1208" t="s">
        <v>23218</v>
      </c>
      <c r="CO1208" t="s">
        <v>132</v>
      </c>
      <c r="CP1208" t="s">
        <v>114</v>
      </c>
      <c r="CQ1208" t="s">
        <v>136</v>
      </c>
      <c r="CR1208" t="s">
        <v>136</v>
      </c>
      <c r="CS1208" t="s">
        <v>114</v>
      </c>
      <c r="CT1208" t="s">
        <v>136</v>
      </c>
      <c r="CU1208" t="s">
        <v>136</v>
      </c>
      <c r="CV1208" t="s">
        <v>11767</v>
      </c>
      <c r="CW1208" s="10" t="str">
        <f>"+12085730340"</f>
        <v>+12085730340</v>
      </c>
      <c r="CX1208" t="s">
        <v>23217</v>
      </c>
      <c r="CY1208" t="s">
        <v>132</v>
      </c>
      <c r="CZ1208" t="s">
        <v>137</v>
      </c>
      <c r="DA1208" t="s">
        <v>114</v>
      </c>
      <c r="DB1208" t="s">
        <v>136</v>
      </c>
      <c r="DC1208" t="s">
        <v>136</v>
      </c>
      <c r="DD1208" t="s">
        <v>114</v>
      </c>
    </row>
    <row r="1209" spans="1:108" ht="15" customHeight="1" x14ac:dyDescent="0.25">
      <c r="A1209" t="s">
        <v>471</v>
      </c>
      <c r="B1209" t="s">
        <v>152</v>
      </c>
      <c r="C1209" s="1">
        <v>45110.025753125003</v>
      </c>
      <c r="D1209" s="1">
        <v>45229</v>
      </c>
      <c r="E1209" t="s">
        <v>114</v>
      </c>
      <c r="F1209" t="s">
        <v>472</v>
      </c>
      <c r="G1209" t="str">
        <f>"45-4022.00"</f>
        <v>45-4022.00</v>
      </c>
      <c r="H1209" t="s">
        <v>473</v>
      </c>
      <c r="I1209">
        <v>8</v>
      </c>
      <c r="J1209">
        <v>8</v>
      </c>
      <c r="K1209" s="1">
        <v>45200</v>
      </c>
      <c r="L1209" s="1">
        <v>45504</v>
      </c>
      <c r="M1209" s="1">
        <v>45200</v>
      </c>
      <c r="N1209" s="1">
        <v>45504</v>
      </c>
      <c r="O1209" t="s">
        <v>238</v>
      </c>
      <c r="P1209" t="s">
        <v>474</v>
      </c>
      <c r="Q1209" t="s">
        <v>475</v>
      </c>
      <c r="R1209" t="s">
        <v>476</v>
      </c>
      <c r="S1209" t="s">
        <v>477</v>
      </c>
      <c r="T1209" t="s">
        <v>478</v>
      </c>
      <c r="U1209" t="s">
        <v>479</v>
      </c>
      <c r="V1209" s="8" t="str">
        <f>"97370"</f>
        <v>97370</v>
      </c>
      <c r="W1209" t="s">
        <v>118</v>
      </c>
      <c r="Y1209" s="10">
        <v>15419292840</v>
      </c>
      <c r="AA1209">
        <v>113310</v>
      </c>
      <c r="AB1209" t="s">
        <v>480</v>
      </c>
      <c r="AC1209" t="s">
        <v>362</v>
      </c>
      <c r="AD1209" t="s">
        <v>481</v>
      </c>
      <c r="AE1209" t="s">
        <v>482</v>
      </c>
      <c r="AF1209" t="s">
        <v>476</v>
      </c>
      <c r="AG1209" t="s">
        <v>483</v>
      </c>
      <c r="AH1209" t="s">
        <v>478</v>
      </c>
      <c r="AI1209" t="s">
        <v>479</v>
      </c>
      <c r="AJ1209" s="8" t="str">
        <f>"97370"</f>
        <v>97370</v>
      </c>
      <c r="AK1209" t="s">
        <v>118</v>
      </c>
      <c r="AM1209" s="10">
        <v>15419292840</v>
      </c>
      <c r="AO1209" t="s">
        <v>484</v>
      </c>
      <c r="AP1209" t="s">
        <v>121</v>
      </c>
      <c r="AQ1209" t="s">
        <v>485</v>
      </c>
      <c r="AR1209" t="s">
        <v>486</v>
      </c>
      <c r="AS1209" t="s">
        <v>487</v>
      </c>
      <c r="AT1209" t="s">
        <v>488</v>
      </c>
      <c r="AV1209" t="s">
        <v>489</v>
      </c>
      <c r="AW1209" t="s">
        <v>169</v>
      </c>
      <c r="AX1209" s="8" t="str">
        <f>"55126"</f>
        <v>55126</v>
      </c>
      <c r="AY1209" t="s">
        <v>118</v>
      </c>
      <c r="BA1209" s="10">
        <v>16126705068</v>
      </c>
      <c r="BC1209" t="s">
        <v>490</v>
      </c>
      <c r="BD1209" t="s">
        <v>491</v>
      </c>
      <c r="BE1209" t="s">
        <v>169</v>
      </c>
      <c r="BF1209" t="s">
        <v>172</v>
      </c>
      <c r="BG1209" t="s">
        <v>479</v>
      </c>
      <c r="BH1209" s="1">
        <v>45109.833333333336</v>
      </c>
      <c r="BI1209">
        <v>40</v>
      </c>
      <c r="BJ1209">
        <v>0</v>
      </c>
      <c r="BK1209">
        <v>8</v>
      </c>
      <c r="BL1209">
        <v>8</v>
      </c>
      <c r="BM1209">
        <v>8</v>
      </c>
      <c r="BN1209">
        <v>8</v>
      </c>
      <c r="BO1209">
        <v>8</v>
      </c>
      <c r="BP1209">
        <v>0</v>
      </c>
      <c r="BQ1209" t="str">
        <f>"7:00 AM"</f>
        <v>7:00 AM</v>
      </c>
      <c r="BR1209" t="str">
        <f>"3:30 PM"</f>
        <v>3:30 PM</v>
      </c>
      <c r="BS1209" t="s">
        <v>131</v>
      </c>
      <c r="BT1209">
        <v>0</v>
      </c>
      <c r="BU1209">
        <v>12</v>
      </c>
      <c r="BV1209" t="s">
        <v>114</v>
      </c>
      <c r="BX1209" s="2" t="s">
        <v>492</v>
      </c>
      <c r="BY1209" t="s">
        <v>476</v>
      </c>
      <c r="CA1209" t="s">
        <v>478</v>
      </c>
      <c r="CB1209" t="s">
        <v>479</v>
      </c>
      <c r="CC1209" s="8" t="str">
        <f>"97370"</f>
        <v>97370</v>
      </c>
      <c r="CD1209" t="s">
        <v>493</v>
      </c>
      <c r="CE1209" t="s">
        <v>494</v>
      </c>
      <c r="CF1209" s="12">
        <v>21.96</v>
      </c>
      <c r="CG1209" s="12">
        <v>28.69</v>
      </c>
      <c r="CJ1209" t="s">
        <v>135</v>
      </c>
      <c r="CK1209" t="s">
        <v>495</v>
      </c>
      <c r="CL1209" t="s">
        <v>496</v>
      </c>
      <c r="CO1209" t="s">
        <v>132</v>
      </c>
      <c r="CP1209" t="s">
        <v>136</v>
      </c>
      <c r="CQ1209" t="s">
        <v>136</v>
      </c>
      <c r="CR1209" t="s">
        <v>114</v>
      </c>
      <c r="CS1209" t="s">
        <v>136</v>
      </c>
      <c r="CT1209" t="s">
        <v>136</v>
      </c>
      <c r="CU1209" t="s">
        <v>136</v>
      </c>
      <c r="CV1209" t="s">
        <v>497</v>
      </c>
      <c r="CW1209" s="10" t="str">
        <f>"+15419292840"</f>
        <v>+15419292840</v>
      </c>
      <c r="CX1209" t="s">
        <v>498</v>
      </c>
      <c r="CY1209" t="s">
        <v>132</v>
      </c>
      <c r="CZ1209" t="s">
        <v>137</v>
      </c>
      <c r="DA1209" t="s">
        <v>114</v>
      </c>
      <c r="DB1209" t="s">
        <v>114</v>
      </c>
      <c r="DC1209" t="s">
        <v>136</v>
      </c>
      <c r="DD1209" t="s">
        <v>114</v>
      </c>
    </row>
    <row r="1210" spans="1:108" ht="15" customHeight="1" x14ac:dyDescent="0.25">
      <c r="A1210" t="s">
        <v>18196</v>
      </c>
      <c r="B1210" t="s">
        <v>152</v>
      </c>
      <c r="C1210" s="1">
        <v>45110.024816550926</v>
      </c>
      <c r="D1210" s="1">
        <v>45229</v>
      </c>
      <c r="E1210" t="s">
        <v>114</v>
      </c>
      <c r="F1210" t="s">
        <v>18197</v>
      </c>
      <c r="G1210" t="str">
        <f>"47-3011.00"</f>
        <v>47-3011.00</v>
      </c>
      <c r="H1210" t="s">
        <v>5893</v>
      </c>
      <c r="I1210">
        <v>9</v>
      </c>
      <c r="J1210">
        <v>9</v>
      </c>
      <c r="K1210" s="1">
        <v>45200</v>
      </c>
      <c r="L1210" s="1">
        <v>45930</v>
      </c>
      <c r="M1210" s="1">
        <v>45200</v>
      </c>
      <c r="N1210" s="1">
        <v>45930</v>
      </c>
      <c r="O1210" t="s">
        <v>184</v>
      </c>
      <c r="P1210" t="s">
        <v>11487</v>
      </c>
      <c r="Q1210" t="s">
        <v>18198</v>
      </c>
      <c r="R1210" t="s">
        <v>11489</v>
      </c>
      <c r="T1210" t="s">
        <v>11490</v>
      </c>
      <c r="U1210" t="s">
        <v>211</v>
      </c>
      <c r="V1210" s="8" t="str">
        <f>"84032"</f>
        <v>84032</v>
      </c>
      <c r="W1210" t="s">
        <v>118</v>
      </c>
      <c r="Y1210" s="10">
        <v>14356543334</v>
      </c>
      <c r="AA1210">
        <v>561330</v>
      </c>
      <c r="AB1210" t="s">
        <v>11491</v>
      </c>
      <c r="AC1210" t="s">
        <v>3625</v>
      </c>
      <c r="AD1210" t="s">
        <v>355</v>
      </c>
      <c r="AE1210" t="s">
        <v>438</v>
      </c>
      <c r="AF1210" t="s">
        <v>11489</v>
      </c>
      <c r="AH1210" t="s">
        <v>11492</v>
      </c>
      <c r="AI1210" t="s">
        <v>211</v>
      </c>
      <c r="AJ1210" s="8" t="str">
        <f>"84032"</f>
        <v>84032</v>
      </c>
      <c r="AK1210" t="s">
        <v>118</v>
      </c>
      <c r="AM1210" s="10">
        <v>14356405872</v>
      </c>
      <c r="AO1210" t="s">
        <v>11493</v>
      </c>
      <c r="AX1210" s="8" t="str">
        <f>""</f>
        <v/>
      </c>
      <c r="BG1210" t="s">
        <v>211</v>
      </c>
      <c r="BH1210" s="1">
        <v>45102.833333333336</v>
      </c>
      <c r="BI1210">
        <v>40</v>
      </c>
      <c r="BJ1210">
        <v>0</v>
      </c>
      <c r="BK1210">
        <v>8</v>
      </c>
      <c r="BL1210">
        <v>8</v>
      </c>
      <c r="BM1210">
        <v>8</v>
      </c>
      <c r="BN1210">
        <v>8</v>
      </c>
      <c r="BO1210">
        <v>8</v>
      </c>
      <c r="BP1210">
        <v>0</v>
      </c>
      <c r="BQ1210" t="str">
        <f>"7:00 AM"</f>
        <v>7:00 AM</v>
      </c>
      <c r="BR1210" t="str">
        <f>"6:00 PM"</f>
        <v>6:00 PM</v>
      </c>
      <c r="BS1210" t="s">
        <v>131</v>
      </c>
      <c r="BT1210">
        <v>0</v>
      </c>
      <c r="BU1210">
        <v>0</v>
      </c>
      <c r="BV1210" t="s">
        <v>114</v>
      </c>
      <c r="BX1210" t="s">
        <v>18199</v>
      </c>
      <c r="BY1210" t="s">
        <v>11495</v>
      </c>
      <c r="CA1210" t="s">
        <v>11490</v>
      </c>
      <c r="CB1210" t="s">
        <v>211</v>
      </c>
      <c r="CC1210" s="8" t="str">
        <f>"84032"</f>
        <v>84032</v>
      </c>
      <c r="CD1210" t="s">
        <v>11496</v>
      </c>
      <c r="CE1210" t="s">
        <v>229</v>
      </c>
      <c r="CF1210" s="12">
        <v>21.52</v>
      </c>
      <c r="CG1210" s="12">
        <v>21.52</v>
      </c>
      <c r="CH1210" s="12">
        <v>32.28</v>
      </c>
      <c r="CI1210" s="12">
        <v>32.28</v>
      </c>
      <c r="CJ1210" t="s">
        <v>135</v>
      </c>
      <c r="CL1210" t="s">
        <v>18200</v>
      </c>
      <c r="CO1210" t="s">
        <v>132</v>
      </c>
      <c r="CP1210" t="s">
        <v>136</v>
      </c>
      <c r="CQ1210" t="s">
        <v>114</v>
      </c>
      <c r="CR1210" t="s">
        <v>136</v>
      </c>
      <c r="CS1210" t="s">
        <v>136</v>
      </c>
      <c r="CT1210" t="s">
        <v>136</v>
      </c>
      <c r="CU1210" t="s">
        <v>114</v>
      </c>
      <c r="CV1210" t="s">
        <v>17143</v>
      </c>
      <c r="CW1210" s="10" t="str">
        <f>"+14356405872"</f>
        <v>+14356405872</v>
      </c>
      <c r="CX1210" t="s">
        <v>11493</v>
      </c>
      <c r="CY1210" t="s">
        <v>132</v>
      </c>
      <c r="CZ1210" t="s">
        <v>137</v>
      </c>
      <c r="DA1210" t="s">
        <v>114</v>
      </c>
      <c r="DB1210" t="s">
        <v>114</v>
      </c>
      <c r="DC1210" t="s">
        <v>136</v>
      </c>
      <c r="DD1210" t="s">
        <v>114</v>
      </c>
    </row>
    <row r="1211" spans="1:108" ht="15" customHeight="1" x14ac:dyDescent="0.25">
      <c r="A1211" t="s">
        <v>15580</v>
      </c>
      <c r="B1211" t="s">
        <v>152</v>
      </c>
      <c r="C1211" s="1">
        <v>45162.695464699071</v>
      </c>
      <c r="D1211" s="1">
        <v>45226</v>
      </c>
      <c r="E1211" t="s">
        <v>136</v>
      </c>
      <c r="F1211" t="s">
        <v>6051</v>
      </c>
      <c r="G1211" t="str">
        <f>"35-3031.00"</f>
        <v>35-3031.00</v>
      </c>
      <c r="H1211" t="s">
        <v>347</v>
      </c>
      <c r="I1211">
        <v>12</v>
      </c>
      <c r="J1211">
        <v>12</v>
      </c>
      <c r="K1211" s="1">
        <v>45252</v>
      </c>
      <c r="L1211" s="1">
        <v>45526</v>
      </c>
      <c r="M1211" s="1">
        <v>45252</v>
      </c>
      <c r="N1211" s="1">
        <v>45526</v>
      </c>
      <c r="O1211" t="s">
        <v>116</v>
      </c>
      <c r="P1211" t="s">
        <v>11666</v>
      </c>
      <c r="Q1211" t="s">
        <v>11667</v>
      </c>
      <c r="R1211" t="s">
        <v>11668</v>
      </c>
      <c r="T1211" t="s">
        <v>11669</v>
      </c>
      <c r="U1211" t="s">
        <v>140</v>
      </c>
      <c r="V1211" s="8" t="str">
        <f>"33050"</f>
        <v>33050</v>
      </c>
      <c r="W1211" t="s">
        <v>118</v>
      </c>
      <c r="Y1211" s="10">
        <v>13052895158</v>
      </c>
      <c r="AA1211">
        <v>72111</v>
      </c>
      <c r="AB1211" t="s">
        <v>11670</v>
      </c>
      <c r="AC1211" t="s">
        <v>11671</v>
      </c>
      <c r="AE1211" t="s">
        <v>1189</v>
      </c>
      <c r="AF1211" t="s">
        <v>11668</v>
      </c>
      <c r="AH1211" t="s">
        <v>11669</v>
      </c>
      <c r="AI1211" t="s">
        <v>140</v>
      </c>
      <c r="AJ1211" s="8" t="str">
        <f>"33050"</f>
        <v>33050</v>
      </c>
      <c r="AK1211" t="s">
        <v>118</v>
      </c>
      <c r="AM1211" s="10">
        <v>13052895158</v>
      </c>
      <c r="AO1211" t="s">
        <v>15581</v>
      </c>
      <c r="AP1211" t="s">
        <v>248</v>
      </c>
      <c r="AQ1211" t="s">
        <v>458</v>
      </c>
      <c r="AR1211" t="s">
        <v>459</v>
      </c>
      <c r="AT1211" t="s">
        <v>460</v>
      </c>
      <c r="AU1211" t="s">
        <v>1374</v>
      </c>
      <c r="AV1211" t="s">
        <v>1375</v>
      </c>
      <c r="AW1211" t="s">
        <v>140</v>
      </c>
      <c r="AX1211" s="8" t="str">
        <f>"33141"</f>
        <v>33141</v>
      </c>
      <c r="AY1211" t="s">
        <v>118</v>
      </c>
      <c r="BA1211" s="10">
        <v>17863480376</v>
      </c>
      <c r="BC1211" t="s">
        <v>463</v>
      </c>
      <c r="BD1211" t="s">
        <v>464</v>
      </c>
      <c r="BG1211" t="s">
        <v>140</v>
      </c>
      <c r="BH1211" s="1">
        <v>45161.833333333336</v>
      </c>
      <c r="BI1211">
        <v>35</v>
      </c>
      <c r="BJ1211">
        <v>7</v>
      </c>
      <c r="BK1211">
        <v>7</v>
      </c>
      <c r="BL1211">
        <v>0</v>
      </c>
      <c r="BM1211">
        <v>0</v>
      </c>
      <c r="BN1211">
        <v>7</v>
      </c>
      <c r="BO1211">
        <v>7</v>
      </c>
      <c r="BP1211">
        <v>7</v>
      </c>
      <c r="BQ1211" t="str">
        <f>"7:00 AM"</f>
        <v>7:00 AM</v>
      </c>
      <c r="BR1211" t="str">
        <f>"2:00 PM"</f>
        <v>2:00 PM</v>
      </c>
      <c r="BS1211" t="s">
        <v>131</v>
      </c>
      <c r="BT1211">
        <v>0</v>
      </c>
      <c r="BU1211">
        <v>1</v>
      </c>
      <c r="BV1211" t="s">
        <v>114</v>
      </c>
      <c r="BX1211" t="s">
        <v>11673</v>
      </c>
      <c r="BY1211" t="s">
        <v>11668</v>
      </c>
      <c r="CA1211" t="s">
        <v>11669</v>
      </c>
      <c r="CB1211" t="s">
        <v>140</v>
      </c>
      <c r="CC1211" s="8" t="str">
        <f>"33050"</f>
        <v>33050</v>
      </c>
      <c r="CD1211" t="s">
        <v>303</v>
      </c>
      <c r="CE1211" t="s">
        <v>304</v>
      </c>
      <c r="CF1211" s="12">
        <v>15</v>
      </c>
      <c r="CG1211" s="12">
        <v>15</v>
      </c>
      <c r="CH1211" s="12">
        <v>22.5</v>
      </c>
      <c r="CI1211" s="12">
        <v>22.5</v>
      </c>
      <c r="CJ1211" t="s">
        <v>135</v>
      </c>
      <c r="CL1211" t="s">
        <v>15582</v>
      </c>
      <c r="CO1211" t="s">
        <v>132</v>
      </c>
      <c r="CP1211" t="s">
        <v>114</v>
      </c>
      <c r="CQ1211" t="s">
        <v>114</v>
      </c>
      <c r="CR1211" t="s">
        <v>136</v>
      </c>
      <c r="CS1211" t="s">
        <v>114</v>
      </c>
      <c r="CT1211" t="s">
        <v>136</v>
      </c>
      <c r="CU1211" t="s">
        <v>136</v>
      </c>
      <c r="CV1211" t="s">
        <v>11675</v>
      </c>
      <c r="CW1211" s="10" t="str">
        <f>"+13052892978"</f>
        <v>+13052892978</v>
      </c>
      <c r="CX1211" t="s">
        <v>132</v>
      </c>
      <c r="CY1211" t="s">
        <v>11676</v>
      </c>
      <c r="CZ1211" t="s">
        <v>137</v>
      </c>
      <c r="DA1211" t="s">
        <v>114</v>
      </c>
      <c r="DB1211" t="s">
        <v>114</v>
      </c>
      <c r="DC1211" t="s">
        <v>136</v>
      </c>
      <c r="DD1211" t="s">
        <v>114</v>
      </c>
    </row>
    <row r="1212" spans="1:108" ht="15" customHeight="1" x14ac:dyDescent="0.25">
      <c r="A1212" t="s">
        <v>16814</v>
      </c>
      <c r="B1212" t="s">
        <v>152</v>
      </c>
      <c r="C1212" s="1">
        <v>45162.682872337966</v>
      </c>
      <c r="D1212" s="1">
        <v>45226</v>
      </c>
      <c r="E1212" t="s">
        <v>136</v>
      </c>
      <c r="F1212" t="s">
        <v>449</v>
      </c>
      <c r="G1212" t="str">
        <f>"37-2012.00"</f>
        <v>37-2012.00</v>
      </c>
      <c r="H1212" t="s">
        <v>205</v>
      </c>
      <c r="I1212">
        <v>20</v>
      </c>
      <c r="J1212">
        <v>20</v>
      </c>
      <c r="K1212" s="1">
        <v>45252</v>
      </c>
      <c r="L1212" s="1">
        <v>45526</v>
      </c>
      <c r="M1212" s="1">
        <v>45252</v>
      </c>
      <c r="N1212" s="1">
        <v>45526</v>
      </c>
      <c r="O1212" t="s">
        <v>116</v>
      </c>
      <c r="P1212" t="s">
        <v>11666</v>
      </c>
      <c r="Q1212" t="s">
        <v>11667</v>
      </c>
      <c r="R1212" t="s">
        <v>11668</v>
      </c>
      <c r="T1212" t="s">
        <v>11669</v>
      </c>
      <c r="U1212" t="s">
        <v>140</v>
      </c>
      <c r="V1212" s="8" t="str">
        <f>"33050"</f>
        <v>33050</v>
      </c>
      <c r="W1212" t="s">
        <v>118</v>
      </c>
      <c r="Y1212" s="10">
        <v>13052895155</v>
      </c>
      <c r="AA1212">
        <v>72111</v>
      </c>
      <c r="AB1212" t="s">
        <v>11670</v>
      </c>
      <c r="AC1212" t="s">
        <v>11671</v>
      </c>
      <c r="AE1212" t="s">
        <v>1189</v>
      </c>
      <c r="AF1212" t="s">
        <v>11668</v>
      </c>
      <c r="AH1212" t="s">
        <v>11669</v>
      </c>
      <c r="AI1212" t="s">
        <v>140</v>
      </c>
      <c r="AJ1212" s="8" t="str">
        <f>"33050"</f>
        <v>33050</v>
      </c>
      <c r="AK1212" t="s">
        <v>118</v>
      </c>
      <c r="AM1212" s="10">
        <v>13052895158</v>
      </c>
      <c r="AO1212" t="s">
        <v>16815</v>
      </c>
      <c r="AP1212" t="s">
        <v>248</v>
      </c>
      <c r="AQ1212" t="s">
        <v>458</v>
      </c>
      <c r="AR1212" t="s">
        <v>459</v>
      </c>
      <c r="AT1212" t="s">
        <v>460</v>
      </c>
      <c r="AU1212" t="s">
        <v>1374</v>
      </c>
      <c r="AV1212" t="s">
        <v>1375</v>
      </c>
      <c r="AW1212" t="s">
        <v>140</v>
      </c>
      <c r="AX1212" s="8" t="str">
        <f>"33141"</f>
        <v>33141</v>
      </c>
      <c r="AY1212" t="s">
        <v>118</v>
      </c>
      <c r="BA1212" s="10">
        <v>17863480376</v>
      </c>
      <c r="BC1212" t="s">
        <v>463</v>
      </c>
      <c r="BD1212" t="s">
        <v>464</v>
      </c>
      <c r="BG1212" t="s">
        <v>140</v>
      </c>
      <c r="BH1212" s="1">
        <v>45161.833333333336</v>
      </c>
      <c r="BI1212">
        <v>35</v>
      </c>
      <c r="BJ1212">
        <v>7</v>
      </c>
      <c r="BK1212">
        <v>7</v>
      </c>
      <c r="BL1212">
        <v>0</v>
      </c>
      <c r="BM1212">
        <v>0</v>
      </c>
      <c r="BN1212">
        <v>7</v>
      </c>
      <c r="BO1212">
        <v>7</v>
      </c>
      <c r="BP1212">
        <v>7</v>
      </c>
      <c r="BQ1212" t="str">
        <f>"7:00 AM"</f>
        <v>7:00 AM</v>
      </c>
      <c r="BR1212" t="str">
        <f>"2:00 PM"</f>
        <v>2:00 PM</v>
      </c>
      <c r="BS1212" t="s">
        <v>131</v>
      </c>
      <c r="BT1212">
        <v>0</v>
      </c>
      <c r="BU1212">
        <v>1</v>
      </c>
      <c r="BV1212" t="s">
        <v>114</v>
      </c>
      <c r="BX1212" t="s">
        <v>11673</v>
      </c>
      <c r="BY1212" t="s">
        <v>11668</v>
      </c>
      <c r="CA1212" t="s">
        <v>11669</v>
      </c>
      <c r="CB1212" t="s">
        <v>140</v>
      </c>
      <c r="CC1212" s="8" t="str">
        <f>"33050"</f>
        <v>33050</v>
      </c>
      <c r="CD1212" t="s">
        <v>303</v>
      </c>
      <c r="CE1212" t="s">
        <v>304</v>
      </c>
      <c r="CF1212" s="12">
        <v>13.17</v>
      </c>
      <c r="CG1212" s="12">
        <v>13.17</v>
      </c>
      <c r="CH1212" s="12">
        <v>19.760000000000002</v>
      </c>
      <c r="CI1212" s="12">
        <v>19.760000000000002</v>
      </c>
      <c r="CJ1212" t="s">
        <v>135</v>
      </c>
      <c r="CL1212" t="s">
        <v>16816</v>
      </c>
      <c r="CO1212" t="s">
        <v>132</v>
      </c>
      <c r="CP1212" t="s">
        <v>114</v>
      </c>
      <c r="CQ1212" t="s">
        <v>114</v>
      </c>
      <c r="CR1212" t="s">
        <v>136</v>
      </c>
      <c r="CS1212" t="s">
        <v>114</v>
      </c>
      <c r="CT1212" t="s">
        <v>136</v>
      </c>
      <c r="CU1212" t="s">
        <v>136</v>
      </c>
      <c r="CV1212" t="s">
        <v>16817</v>
      </c>
      <c r="CW1212" s="10" t="str">
        <f>"+13052892978"</f>
        <v>+13052892978</v>
      </c>
      <c r="CX1212" t="s">
        <v>132</v>
      </c>
      <c r="CY1212" t="s">
        <v>11676</v>
      </c>
      <c r="CZ1212" t="s">
        <v>137</v>
      </c>
      <c r="DA1212" t="s">
        <v>114</v>
      </c>
      <c r="DB1212" t="s">
        <v>114</v>
      </c>
      <c r="DC1212" t="s">
        <v>136</v>
      </c>
      <c r="DD1212" t="s">
        <v>114</v>
      </c>
    </row>
    <row r="1213" spans="1:108" ht="15" customHeight="1" x14ac:dyDescent="0.25">
      <c r="A1213" t="s">
        <v>11664</v>
      </c>
      <c r="B1213" t="s">
        <v>152</v>
      </c>
      <c r="C1213" s="1">
        <v>45162.679000694443</v>
      </c>
      <c r="D1213" s="1">
        <v>45226</v>
      </c>
      <c r="E1213" t="s">
        <v>136</v>
      </c>
      <c r="F1213" t="s">
        <v>11665</v>
      </c>
      <c r="G1213" t="str">
        <f>"43-4081.00"</f>
        <v>43-4081.00</v>
      </c>
      <c r="H1213" t="s">
        <v>952</v>
      </c>
      <c r="I1213">
        <v>6</v>
      </c>
      <c r="J1213">
        <v>6</v>
      </c>
      <c r="K1213" s="1">
        <v>45252</v>
      </c>
      <c r="L1213" s="1">
        <v>45526</v>
      </c>
      <c r="M1213" s="1">
        <v>45252</v>
      </c>
      <c r="N1213" s="1">
        <v>45526</v>
      </c>
      <c r="O1213" t="s">
        <v>116</v>
      </c>
      <c r="P1213" t="s">
        <v>11666</v>
      </c>
      <c r="Q1213" t="s">
        <v>11667</v>
      </c>
      <c r="R1213" t="s">
        <v>11668</v>
      </c>
      <c r="T1213" t="s">
        <v>11669</v>
      </c>
      <c r="U1213" t="s">
        <v>140</v>
      </c>
      <c r="V1213" s="8" t="str">
        <f>"33050"</f>
        <v>33050</v>
      </c>
      <c r="W1213" t="s">
        <v>118</v>
      </c>
      <c r="Y1213" s="10">
        <v>13052895158</v>
      </c>
      <c r="AA1213">
        <v>72111</v>
      </c>
      <c r="AB1213" t="s">
        <v>11670</v>
      </c>
      <c r="AC1213" t="s">
        <v>11671</v>
      </c>
      <c r="AE1213" t="s">
        <v>1189</v>
      </c>
      <c r="AF1213" t="s">
        <v>11668</v>
      </c>
      <c r="AH1213" t="s">
        <v>11669</v>
      </c>
      <c r="AI1213" t="s">
        <v>140</v>
      </c>
      <c r="AJ1213" s="8" t="str">
        <f>"33050"</f>
        <v>33050</v>
      </c>
      <c r="AK1213" t="s">
        <v>118</v>
      </c>
      <c r="AM1213" s="10">
        <v>13052895158</v>
      </c>
      <c r="AO1213" t="s">
        <v>11672</v>
      </c>
      <c r="AP1213" t="s">
        <v>248</v>
      </c>
      <c r="AQ1213" t="s">
        <v>458</v>
      </c>
      <c r="AR1213" t="s">
        <v>459</v>
      </c>
      <c r="AT1213" t="s">
        <v>460</v>
      </c>
      <c r="AU1213" t="s">
        <v>1374</v>
      </c>
      <c r="AV1213" t="s">
        <v>1375</v>
      </c>
      <c r="AW1213" t="s">
        <v>140</v>
      </c>
      <c r="AX1213" s="8" t="str">
        <f>"33141"</f>
        <v>33141</v>
      </c>
      <c r="AY1213" t="s">
        <v>118</v>
      </c>
      <c r="BA1213" s="10">
        <v>17863480376</v>
      </c>
      <c r="BC1213" t="s">
        <v>463</v>
      </c>
      <c r="BD1213" t="s">
        <v>464</v>
      </c>
      <c r="BG1213" t="s">
        <v>140</v>
      </c>
      <c r="BH1213" s="1">
        <v>45161.833333333336</v>
      </c>
      <c r="BI1213">
        <v>35</v>
      </c>
      <c r="BJ1213">
        <v>7</v>
      </c>
      <c r="BK1213">
        <v>7</v>
      </c>
      <c r="BL1213">
        <v>0</v>
      </c>
      <c r="BM1213">
        <v>0</v>
      </c>
      <c r="BN1213">
        <v>7</v>
      </c>
      <c r="BO1213">
        <v>7</v>
      </c>
      <c r="BP1213">
        <v>7</v>
      </c>
      <c r="BQ1213" t="str">
        <f>"7:00 AM"</f>
        <v>7:00 AM</v>
      </c>
      <c r="BR1213" t="str">
        <f>"2:00 PM"</f>
        <v>2:00 PM</v>
      </c>
      <c r="BS1213" t="s">
        <v>131</v>
      </c>
      <c r="BT1213">
        <v>0</v>
      </c>
      <c r="BU1213">
        <v>1</v>
      </c>
      <c r="BV1213" t="s">
        <v>114</v>
      </c>
      <c r="BX1213" t="s">
        <v>11673</v>
      </c>
      <c r="BY1213" t="s">
        <v>11668</v>
      </c>
      <c r="CA1213" t="s">
        <v>11669</v>
      </c>
      <c r="CB1213" t="s">
        <v>140</v>
      </c>
      <c r="CC1213" s="8" t="str">
        <f>"33050"</f>
        <v>33050</v>
      </c>
      <c r="CD1213" t="s">
        <v>303</v>
      </c>
      <c r="CE1213" t="s">
        <v>304</v>
      </c>
      <c r="CF1213" s="12">
        <v>13.19</v>
      </c>
      <c r="CG1213" s="12">
        <v>13.19</v>
      </c>
      <c r="CH1213" s="12">
        <v>19.79</v>
      </c>
      <c r="CI1213" s="12">
        <v>19.79</v>
      </c>
      <c r="CJ1213" t="s">
        <v>135</v>
      </c>
      <c r="CL1213" t="s">
        <v>11674</v>
      </c>
      <c r="CO1213" t="s">
        <v>132</v>
      </c>
      <c r="CP1213" t="s">
        <v>114</v>
      </c>
      <c r="CQ1213" t="s">
        <v>114</v>
      </c>
      <c r="CR1213" t="s">
        <v>136</v>
      </c>
      <c r="CS1213" t="s">
        <v>114</v>
      </c>
      <c r="CT1213" t="s">
        <v>136</v>
      </c>
      <c r="CU1213" t="s">
        <v>136</v>
      </c>
      <c r="CV1213" t="s">
        <v>11675</v>
      </c>
      <c r="CW1213" s="10" t="str">
        <f>"+13052892978"</f>
        <v>+13052892978</v>
      </c>
      <c r="CX1213" t="s">
        <v>132</v>
      </c>
      <c r="CY1213" t="s">
        <v>11676</v>
      </c>
      <c r="CZ1213" t="s">
        <v>137</v>
      </c>
      <c r="DA1213" t="s">
        <v>114</v>
      </c>
      <c r="DB1213" t="s">
        <v>114</v>
      </c>
      <c r="DC1213" t="s">
        <v>136</v>
      </c>
      <c r="DD1213" t="s">
        <v>114</v>
      </c>
    </row>
    <row r="1214" spans="1:108" ht="15" customHeight="1" x14ac:dyDescent="0.25">
      <c r="A1214" t="s">
        <v>20460</v>
      </c>
      <c r="B1214" t="s">
        <v>152</v>
      </c>
      <c r="C1214" s="1">
        <v>45162.675695833335</v>
      </c>
      <c r="D1214" s="1">
        <v>45226</v>
      </c>
      <c r="E1214" t="s">
        <v>114</v>
      </c>
      <c r="F1214" t="s">
        <v>5756</v>
      </c>
      <c r="G1214" t="str">
        <f>"35-2014.00"</f>
        <v>35-2014.00</v>
      </c>
      <c r="H1214" t="s">
        <v>154</v>
      </c>
      <c r="I1214">
        <v>8</v>
      </c>
      <c r="J1214">
        <v>8</v>
      </c>
      <c r="K1214" s="1">
        <v>45252</v>
      </c>
      <c r="L1214" s="1">
        <v>45526</v>
      </c>
      <c r="M1214" s="1">
        <v>45252</v>
      </c>
      <c r="N1214" s="1">
        <v>45526</v>
      </c>
      <c r="O1214" t="s">
        <v>116</v>
      </c>
      <c r="P1214" t="s">
        <v>11666</v>
      </c>
      <c r="Q1214" t="s">
        <v>11667</v>
      </c>
      <c r="R1214" t="s">
        <v>11668</v>
      </c>
      <c r="T1214" t="s">
        <v>11669</v>
      </c>
      <c r="U1214" t="s">
        <v>140</v>
      </c>
      <c r="V1214" s="8" t="str">
        <f>"33050"</f>
        <v>33050</v>
      </c>
      <c r="W1214" t="s">
        <v>118</v>
      </c>
      <c r="Y1214" s="10">
        <v>13052895158</v>
      </c>
      <c r="AA1214">
        <v>72111</v>
      </c>
      <c r="AB1214" t="s">
        <v>11670</v>
      </c>
      <c r="AC1214" t="s">
        <v>11671</v>
      </c>
      <c r="AE1214" t="s">
        <v>1189</v>
      </c>
      <c r="AF1214" t="s">
        <v>11668</v>
      </c>
      <c r="AH1214" t="s">
        <v>11669</v>
      </c>
      <c r="AI1214" t="s">
        <v>140</v>
      </c>
      <c r="AJ1214" s="8" t="str">
        <f>"33050"</f>
        <v>33050</v>
      </c>
      <c r="AK1214" t="s">
        <v>118</v>
      </c>
      <c r="AM1214" s="10">
        <v>13052895158</v>
      </c>
      <c r="AO1214" t="s">
        <v>16815</v>
      </c>
      <c r="AP1214" t="s">
        <v>248</v>
      </c>
      <c r="AQ1214" t="s">
        <v>458</v>
      </c>
      <c r="AR1214" t="s">
        <v>459</v>
      </c>
      <c r="AT1214" t="s">
        <v>460</v>
      </c>
      <c r="AU1214" t="s">
        <v>1374</v>
      </c>
      <c r="AV1214" t="s">
        <v>1375</v>
      </c>
      <c r="AW1214" t="s">
        <v>140</v>
      </c>
      <c r="AX1214" s="8" t="str">
        <f>"33141"</f>
        <v>33141</v>
      </c>
      <c r="AY1214" t="s">
        <v>118</v>
      </c>
      <c r="BA1214" s="10">
        <v>17863480376</v>
      </c>
      <c r="BC1214" t="s">
        <v>463</v>
      </c>
      <c r="BD1214" t="s">
        <v>464</v>
      </c>
      <c r="BG1214" t="s">
        <v>140</v>
      </c>
      <c r="BH1214" s="1">
        <v>45161.833333333336</v>
      </c>
      <c r="BI1214">
        <v>35</v>
      </c>
      <c r="BJ1214">
        <v>7</v>
      </c>
      <c r="BK1214">
        <v>7</v>
      </c>
      <c r="BL1214">
        <v>0</v>
      </c>
      <c r="BM1214">
        <v>0</v>
      </c>
      <c r="BN1214">
        <v>7</v>
      </c>
      <c r="BO1214">
        <v>7</v>
      </c>
      <c r="BP1214">
        <v>7</v>
      </c>
      <c r="BQ1214" t="str">
        <f>"8:00 AM"</f>
        <v>8:00 AM</v>
      </c>
      <c r="BR1214" t="str">
        <f>"3:00 PM"</f>
        <v>3:00 PM</v>
      </c>
      <c r="BS1214" t="s">
        <v>131</v>
      </c>
      <c r="BT1214">
        <v>0</v>
      </c>
      <c r="BU1214">
        <v>1</v>
      </c>
      <c r="BV1214" t="s">
        <v>114</v>
      </c>
      <c r="BX1214" t="s">
        <v>11673</v>
      </c>
      <c r="BY1214" t="s">
        <v>11668</v>
      </c>
      <c r="CA1214" t="s">
        <v>11669</v>
      </c>
      <c r="CB1214" t="s">
        <v>140</v>
      </c>
      <c r="CC1214" s="8" t="str">
        <f>"33050"</f>
        <v>33050</v>
      </c>
      <c r="CD1214" t="s">
        <v>303</v>
      </c>
      <c r="CE1214" t="s">
        <v>304</v>
      </c>
      <c r="CF1214" s="12">
        <v>15.44</v>
      </c>
      <c r="CG1214" s="12">
        <v>15.44</v>
      </c>
      <c r="CH1214" s="12">
        <v>23.16</v>
      </c>
      <c r="CI1214" s="12">
        <v>23.16</v>
      </c>
      <c r="CJ1214" t="s">
        <v>135</v>
      </c>
      <c r="CL1214" t="s">
        <v>20461</v>
      </c>
      <c r="CO1214" t="s">
        <v>132</v>
      </c>
      <c r="CP1214" t="s">
        <v>114</v>
      </c>
      <c r="CQ1214" t="s">
        <v>114</v>
      </c>
      <c r="CR1214" t="s">
        <v>136</v>
      </c>
      <c r="CS1214" t="s">
        <v>114</v>
      </c>
      <c r="CT1214" t="s">
        <v>136</v>
      </c>
      <c r="CU1214" t="s">
        <v>136</v>
      </c>
      <c r="CV1214" t="s">
        <v>11675</v>
      </c>
      <c r="CW1214" s="10" t="str">
        <f>"+13052892978"</f>
        <v>+13052892978</v>
      </c>
      <c r="CX1214" t="s">
        <v>132</v>
      </c>
      <c r="CY1214" t="s">
        <v>11676</v>
      </c>
      <c r="CZ1214" t="s">
        <v>137</v>
      </c>
      <c r="DA1214" t="s">
        <v>114</v>
      </c>
      <c r="DB1214" t="s">
        <v>114</v>
      </c>
      <c r="DC1214" t="s">
        <v>136</v>
      </c>
      <c r="DD1214" t="s">
        <v>114</v>
      </c>
    </row>
    <row r="1215" spans="1:108" ht="15" customHeight="1" x14ac:dyDescent="0.25">
      <c r="A1215" t="s">
        <v>9023</v>
      </c>
      <c r="B1215" t="s">
        <v>152</v>
      </c>
      <c r="C1215" s="1">
        <v>45121.723001388891</v>
      </c>
      <c r="D1215" s="1">
        <v>45226</v>
      </c>
      <c r="E1215" t="s">
        <v>114</v>
      </c>
      <c r="F1215" t="s">
        <v>9024</v>
      </c>
      <c r="G1215" t="str">
        <f>"49-9098.00"</f>
        <v>49-9098.00</v>
      </c>
      <c r="H1215" t="s">
        <v>945</v>
      </c>
      <c r="I1215">
        <v>4</v>
      </c>
      <c r="J1215">
        <v>4</v>
      </c>
      <c r="K1215" s="1">
        <v>45200</v>
      </c>
      <c r="L1215" s="1">
        <v>45413</v>
      </c>
      <c r="M1215" s="1">
        <v>45200</v>
      </c>
      <c r="N1215" s="1">
        <v>45413</v>
      </c>
      <c r="O1215" t="s">
        <v>116</v>
      </c>
      <c r="P1215" t="s">
        <v>9025</v>
      </c>
      <c r="R1215" t="s">
        <v>9026</v>
      </c>
      <c r="T1215" t="s">
        <v>9027</v>
      </c>
      <c r="U1215" t="s">
        <v>892</v>
      </c>
      <c r="V1215" s="8" t="str">
        <f>"59405"</f>
        <v>59405</v>
      </c>
      <c r="W1215" t="s">
        <v>118</v>
      </c>
      <c r="Y1215" s="10">
        <v>14067277500</v>
      </c>
      <c r="AA1215">
        <v>48411</v>
      </c>
      <c r="AB1215" t="s">
        <v>9028</v>
      </c>
      <c r="AC1215" t="s">
        <v>9029</v>
      </c>
      <c r="AE1215" t="s">
        <v>438</v>
      </c>
      <c r="AF1215" t="s">
        <v>9026</v>
      </c>
      <c r="AH1215" t="s">
        <v>9027</v>
      </c>
      <c r="AI1215" t="s">
        <v>892</v>
      </c>
      <c r="AJ1215" s="8" t="str">
        <f>"59405"</f>
        <v>59405</v>
      </c>
      <c r="AK1215" t="s">
        <v>118</v>
      </c>
      <c r="AM1215" s="10">
        <v>14064547656</v>
      </c>
      <c r="AO1215" t="s">
        <v>9030</v>
      </c>
      <c r="AP1215" t="s">
        <v>248</v>
      </c>
      <c r="AQ1215" t="s">
        <v>9031</v>
      </c>
      <c r="AR1215" t="s">
        <v>145</v>
      </c>
      <c r="AT1215" t="s">
        <v>9032</v>
      </c>
      <c r="AU1215" t="s">
        <v>9033</v>
      </c>
      <c r="AV1215" t="s">
        <v>9034</v>
      </c>
      <c r="AW1215" t="s">
        <v>127</v>
      </c>
      <c r="AX1215" s="8" t="str">
        <f>"77380"</f>
        <v>77380</v>
      </c>
      <c r="AY1215" t="s">
        <v>118</v>
      </c>
      <c r="BA1215" s="10">
        <v>18773384727</v>
      </c>
      <c r="BC1215" t="s">
        <v>9035</v>
      </c>
      <c r="BD1215" t="s">
        <v>9036</v>
      </c>
      <c r="BG1215" t="s">
        <v>169</v>
      </c>
      <c r="BH1215" s="1">
        <v>45119.833333333336</v>
      </c>
      <c r="BI1215">
        <v>45</v>
      </c>
      <c r="BJ1215">
        <v>9</v>
      </c>
      <c r="BK1215">
        <v>0</v>
      </c>
      <c r="BL1215">
        <v>0</v>
      </c>
      <c r="BM1215">
        <v>9</v>
      </c>
      <c r="BN1215">
        <v>9</v>
      </c>
      <c r="BO1215">
        <v>9</v>
      </c>
      <c r="BP1215">
        <v>9</v>
      </c>
      <c r="BQ1215" t="str">
        <f>"4:00 PM"</f>
        <v>4:00 PM</v>
      </c>
      <c r="BR1215" t="str">
        <f>"4:00 AM"</f>
        <v>4:00 AM</v>
      </c>
      <c r="BS1215" t="s">
        <v>131</v>
      </c>
      <c r="BT1215">
        <v>0</v>
      </c>
      <c r="BU1215">
        <v>6</v>
      </c>
      <c r="BV1215" t="s">
        <v>114</v>
      </c>
      <c r="BX1215" s="2" t="s">
        <v>9037</v>
      </c>
      <c r="BY1215" t="s">
        <v>9038</v>
      </c>
      <c r="CA1215" t="s">
        <v>9039</v>
      </c>
      <c r="CB1215" t="s">
        <v>169</v>
      </c>
      <c r="CC1215" s="8" t="str">
        <f>"56560-1451"</f>
        <v>56560-1451</v>
      </c>
      <c r="CD1215" t="s">
        <v>1271</v>
      </c>
      <c r="CE1215" t="s">
        <v>2777</v>
      </c>
      <c r="CF1215" s="12">
        <v>18</v>
      </c>
      <c r="CH1215" s="12">
        <v>27</v>
      </c>
      <c r="CJ1215" t="s">
        <v>135</v>
      </c>
      <c r="CK1215" t="s">
        <v>132</v>
      </c>
      <c r="CL1215" t="s">
        <v>9040</v>
      </c>
      <c r="CO1215" t="s">
        <v>132</v>
      </c>
      <c r="CP1215" t="s">
        <v>114</v>
      </c>
      <c r="CQ1215" t="s">
        <v>114</v>
      </c>
      <c r="CR1215" t="s">
        <v>136</v>
      </c>
      <c r="CS1215" t="s">
        <v>114</v>
      </c>
      <c r="CT1215" t="s">
        <v>136</v>
      </c>
      <c r="CU1215" t="s">
        <v>136</v>
      </c>
      <c r="CV1215" t="s">
        <v>9041</v>
      </c>
      <c r="CW1215" s="10" t="str">
        <f>"+17017392800"</f>
        <v>+17017392800</v>
      </c>
      <c r="CX1215" t="s">
        <v>9042</v>
      </c>
      <c r="CY1215" t="s">
        <v>132</v>
      </c>
      <c r="CZ1215" t="s">
        <v>137</v>
      </c>
      <c r="DA1215" t="s">
        <v>114</v>
      </c>
      <c r="DB1215" t="s">
        <v>136</v>
      </c>
      <c r="DC1215" t="s">
        <v>136</v>
      </c>
      <c r="DD1215" t="s">
        <v>114</v>
      </c>
    </row>
    <row r="1216" spans="1:108" ht="15" customHeight="1" x14ac:dyDescent="0.25">
      <c r="A1216" t="s">
        <v>23259</v>
      </c>
      <c r="B1216" t="s">
        <v>152</v>
      </c>
      <c r="C1216" s="1">
        <v>45119.755305555555</v>
      </c>
      <c r="D1216" s="1">
        <v>45226</v>
      </c>
      <c r="E1216" t="s">
        <v>114</v>
      </c>
      <c r="F1216" t="s">
        <v>154</v>
      </c>
      <c r="G1216" t="str">
        <f>"35-2014.00"</f>
        <v>35-2014.00</v>
      </c>
      <c r="H1216" t="s">
        <v>154</v>
      </c>
      <c r="I1216">
        <v>6</v>
      </c>
      <c r="J1216">
        <v>6</v>
      </c>
      <c r="K1216" s="1">
        <v>45200</v>
      </c>
      <c r="L1216" s="1">
        <v>45473</v>
      </c>
      <c r="M1216" s="1">
        <v>45200</v>
      </c>
      <c r="N1216" s="1">
        <v>45473</v>
      </c>
      <c r="O1216" t="s">
        <v>238</v>
      </c>
      <c r="P1216" t="s">
        <v>23260</v>
      </c>
      <c r="R1216" t="s">
        <v>23261</v>
      </c>
      <c r="T1216" t="s">
        <v>2059</v>
      </c>
      <c r="U1216" t="s">
        <v>854</v>
      </c>
      <c r="V1216" s="8" t="str">
        <f>"83422"</f>
        <v>83422</v>
      </c>
      <c r="W1216" t="s">
        <v>118</v>
      </c>
      <c r="Y1216" s="10">
        <v>12083133464</v>
      </c>
      <c r="AA1216">
        <v>72251</v>
      </c>
      <c r="AB1216" t="s">
        <v>634</v>
      </c>
      <c r="AC1216" t="s">
        <v>22023</v>
      </c>
      <c r="AE1216" t="s">
        <v>17951</v>
      </c>
      <c r="AF1216" t="s">
        <v>12306</v>
      </c>
      <c r="AH1216" t="s">
        <v>2059</v>
      </c>
      <c r="AI1216" t="s">
        <v>854</v>
      </c>
      <c r="AJ1216" s="8" t="str">
        <f>"83422"</f>
        <v>83422</v>
      </c>
      <c r="AK1216" t="s">
        <v>118</v>
      </c>
      <c r="AM1216" s="10">
        <v>12083133464</v>
      </c>
      <c r="AO1216" t="s">
        <v>22024</v>
      </c>
      <c r="AP1216" t="s">
        <v>248</v>
      </c>
      <c r="AQ1216" t="s">
        <v>1800</v>
      </c>
      <c r="AR1216" t="s">
        <v>1801</v>
      </c>
      <c r="AS1216" t="s">
        <v>1802</v>
      </c>
      <c r="AT1216" t="s">
        <v>1803</v>
      </c>
      <c r="AU1216" t="s">
        <v>852</v>
      </c>
      <c r="AV1216" t="s">
        <v>1804</v>
      </c>
      <c r="AW1216" t="s">
        <v>188</v>
      </c>
      <c r="AX1216" s="8" t="str">
        <f>"80550"</f>
        <v>80550</v>
      </c>
      <c r="AY1216" t="s">
        <v>118</v>
      </c>
      <c r="BA1216" s="10">
        <v>19706866068</v>
      </c>
      <c r="BC1216" t="s">
        <v>1805</v>
      </c>
      <c r="BD1216" t="s">
        <v>1806</v>
      </c>
      <c r="BG1216" t="s">
        <v>854</v>
      </c>
      <c r="BH1216" s="1">
        <v>45118.833333333336</v>
      </c>
      <c r="BI1216">
        <v>35</v>
      </c>
      <c r="BJ1216">
        <v>0</v>
      </c>
      <c r="BK1216">
        <v>7</v>
      </c>
      <c r="BL1216">
        <v>7</v>
      </c>
      <c r="BM1216">
        <v>7</v>
      </c>
      <c r="BN1216">
        <v>7</v>
      </c>
      <c r="BO1216">
        <v>7</v>
      </c>
      <c r="BP1216">
        <v>0</v>
      </c>
      <c r="BQ1216" t="str">
        <f>"9:00 AM"</f>
        <v>9:00 AM</v>
      </c>
      <c r="BR1216" t="str">
        <f>"5:00 PM"</f>
        <v>5:00 PM</v>
      </c>
      <c r="BS1216" t="s">
        <v>131</v>
      </c>
      <c r="BT1216">
        <v>0</v>
      </c>
      <c r="BU1216">
        <v>0</v>
      </c>
      <c r="BV1216" t="s">
        <v>114</v>
      </c>
      <c r="BX1216" t="s">
        <v>23262</v>
      </c>
      <c r="BY1216" t="s">
        <v>22022</v>
      </c>
      <c r="CA1216" t="s">
        <v>5069</v>
      </c>
      <c r="CB1216" t="s">
        <v>854</v>
      </c>
      <c r="CC1216" s="8" t="str">
        <f>"83422"</f>
        <v>83422</v>
      </c>
      <c r="CD1216" t="s">
        <v>588</v>
      </c>
      <c r="CE1216" t="s">
        <v>2060</v>
      </c>
      <c r="CF1216" s="12">
        <v>13.46</v>
      </c>
      <c r="CG1216" s="12">
        <v>15</v>
      </c>
      <c r="CH1216" s="12">
        <v>20.190000000000001</v>
      </c>
      <c r="CI1216" s="12">
        <v>22.5</v>
      </c>
      <c r="CJ1216" t="s">
        <v>135</v>
      </c>
      <c r="CK1216" t="s">
        <v>21792</v>
      </c>
      <c r="CL1216" t="s">
        <v>23263</v>
      </c>
      <c r="CO1216" t="s">
        <v>132</v>
      </c>
      <c r="CP1216" t="s">
        <v>114</v>
      </c>
      <c r="CQ1216" t="s">
        <v>114</v>
      </c>
      <c r="CR1216" t="s">
        <v>136</v>
      </c>
      <c r="CS1216" t="s">
        <v>136</v>
      </c>
      <c r="CT1216" t="s">
        <v>136</v>
      </c>
      <c r="CU1216" t="s">
        <v>114</v>
      </c>
      <c r="CV1216" t="s">
        <v>23264</v>
      </c>
      <c r="CW1216" s="10" t="str">
        <f>"+12087875000"</f>
        <v>+12087875000</v>
      </c>
      <c r="CX1216" t="s">
        <v>22025</v>
      </c>
      <c r="CY1216" t="s">
        <v>132</v>
      </c>
      <c r="CZ1216" t="s">
        <v>137</v>
      </c>
      <c r="DA1216" t="s">
        <v>114</v>
      </c>
      <c r="DB1216" t="s">
        <v>136</v>
      </c>
      <c r="DC1216" t="s">
        <v>136</v>
      </c>
      <c r="DD1216" t="s">
        <v>114</v>
      </c>
    </row>
    <row r="1217" spans="1:113" ht="15" customHeight="1" x14ac:dyDescent="0.25">
      <c r="A1217" t="s">
        <v>13032</v>
      </c>
      <c r="B1217" t="s">
        <v>152</v>
      </c>
      <c r="C1217" s="1">
        <v>45112.730968402779</v>
      </c>
      <c r="D1217" s="1">
        <v>45226</v>
      </c>
      <c r="E1217" t="s">
        <v>114</v>
      </c>
      <c r="F1217" t="s">
        <v>12880</v>
      </c>
      <c r="G1217" t="str">
        <f>"53-3032.00"</f>
        <v>53-3032.00</v>
      </c>
      <c r="H1217" t="s">
        <v>736</v>
      </c>
      <c r="I1217">
        <v>2</v>
      </c>
      <c r="J1217">
        <v>2</v>
      </c>
      <c r="K1217" s="1">
        <v>45200</v>
      </c>
      <c r="L1217" s="1">
        <v>45565</v>
      </c>
      <c r="M1217" s="1">
        <v>45200</v>
      </c>
      <c r="N1217" s="1">
        <v>45565</v>
      </c>
      <c r="O1217" t="s">
        <v>184</v>
      </c>
      <c r="P1217" t="s">
        <v>13033</v>
      </c>
      <c r="R1217" t="s">
        <v>13034</v>
      </c>
      <c r="T1217" t="s">
        <v>902</v>
      </c>
      <c r="U1217" t="s">
        <v>479</v>
      </c>
      <c r="V1217" s="8" t="str">
        <f>"97266"</f>
        <v>97266</v>
      </c>
      <c r="W1217" t="s">
        <v>118</v>
      </c>
      <c r="Y1217" s="10">
        <v>15032811637</v>
      </c>
      <c r="AA1217">
        <v>484220</v>
      </c>
      <c r="AB1217" t="s">
        <v>13035</v>
      </c>
      <c r="AC1217" t="s">
        <v>1295</v>
      </c>
      <c r="AE1217" t="s">
        <v>1010</v>
      </c>
      <c r="AF1217" t="s">
        <v>13034</v>
      </c>
      <c r="AH1217" t="s">
        <v>902</v>
      </c>
      <c r="AI1217" t="s">
        <v>479</v>
      </c>
      <c r="AJ1217" s="8" t="str">
        <f>"97266"</f>
        <v>97266</v>
      </c>
      <c r="AK1217" t="s">
        <v>118</v>
      </c>
      <c r="AM1217" s="10">
        <v>15032811637</v>
      </c>
      <c r="AO1217" t="s">
        <v>13036</v>
      </c>
      <c r="AP1217" t="s">
        <v>121</v>
      </c>
      <c r="AQ1217" t="s">
        <v>8716</v>
      </c>
      <c r="AR1217" t="s">
        <v>1963</v>
      </c>
      <c r="AS1217" t="s">
        <v>8717</v>
      </c>
      <c r="AT1217" t="s">
        <v>13037</v>
      </c>
      <c r="AV1217" t="s">
        <v>8719</v>
      </c>
      <c r="AW1217" t="s">
        <v>479</v>
      </c>
      <c r="AX1217" s="8" t="str">
        <f>"97035"</f>
        <v>97035</v>
      </c>
      <c r="AY1217" t="s">
        <v>118</v>
      </c>
      <c r="BA1217" s="10">
        <v>15032102249</v>
      </c>
      <c r="BC1217" t="s">
        <v>8720</v>
      </c>
      <c r="BD1217" t="s">
        <v>8721</v>
      </c>
      <c r="BE1217" t="s">
        <v>479</v>
      </c>
      <c r="BF1217" t="s">
        <v>8722</v>
      </c>
      <c r="BG1217" t="s">
        <v>479</v>
      </c>
      <c r="BH1217" s="1">
        <v>45111.833333333336</v>
      </c>
      <c r="BI1217">
        <v>40</v>
      </c>
      <c r="BJ1217">
        <v>0</v>
      </c>
      <c r="BK1217">
        <v>0</v>
      </c>
      <c r="BL1217">
        <v>8</v>
      </c>
      <c r="BM1217">
        <v>8</v>
      </c>
      <c r="BN1217">
        <v>8</v>
      </c>
      <c r="BO1217">
        <v>8</v>
      </c>
      <c r="BP1217">
        <v>8</v>
      </c>
      <c r="BQ1217" t="str">
        <f>"8:00 AM"</f>
        <v>8:00 AM</v>
      </c>
      <c r="BR1217" t="str">
        <f>"5:00 PM"</f>
        <v>5:00 PM</v>
      </c>
      <c r="BS1217" t="s">
        <v>131</v>
      </c>
      <c r="BT1217">
        <v>0</v>
      </c>
      <c r="BU1217">
        <v>12</v>
      </c>
      <c r="BV1217" t="s">
        <v>114</v>
      </c>
      <c r="BX1217" s="2" t="s">
        <v>13038</v>
      </c>
      <c r="BY1217" t="s">
        <v>13034</v>
      </c>
      <c r="CA1217" t="s">
        <v>902</v>
      </c>
      <c r="CB1217" t="s">
        <v>479</v>
      </c>
      <c r="CC1217" s="8" t="str">
        <f>"97266"</f>
        <v>97266</v>
      </c>
      <c r="CD1217" t="s">
        <v>2717</v>
      </c>
      <c r="CE1217" t="s">
        <v>807</v>
      </c>
      <c r="CF1217" s="12">
        <v>29.96</v>
      </c>
      <c r="CJ1217" t="s">
        <v>135</v>
      </c>
      <c r="CL1217" t="s">
        <v>13039</v>
      </c>
      <c r="CO1217" t="s">
        <v>132</v>
      </c>
      <c r="CP1217" t="s">
        <v>136</v>
      </c>
      <c r="CQ1217" t="s">
        <v>114</v>
      </c>
      <c r="CR1217" t="s">
        <v>114</v>
      </c>
      <c r="CS1217" t="s">
        <v>114</v>
      </c>
      <c r="CT1217" t="s">
        <v>136</v>
      </c>
      <c r="CU1217" t="s">
        <v>114</v>
      </c>
      <c r="CV1217" t="s">
        <v>13040</v>
      </c>
      <c r="CW1217" s="10" t="str">
        <f>"+15032811637"</f>
        <v>+15032811637</v>
      </c>
      <c r="CX1217" t="s">
        <v>13036</v>
      </c>
      <c r="CY1217" t="s">
        <v>132</v>
      </c>
      <c r="CZ1217" t="s">
        <v>137</v>
      </c>
      <c r="DA1217" t="s">
        <v>114</v>
      </c>
      <c r="DB1217" t="s">
        <v>114</v>
      </c>
      <c r="DC1217" t="s">
        <v>136</v>
      </c>
      <c r="DD1217" t="s">
        <v>114</v>
      </c>
    </row>
    <row r="1218" spans="1:113" ht="15" customHeight="1" x14ac:dyDescent="0.25">
      <c r="A1218" t="s">
        <v>18277</v>
      </c>
      <c r="B1218" t="s">
        <v>152</v>
      </c>
      <c r="C1218" s="1">
        <v>45171.531308796293</v>
      </c>
      <c r="D1218" s="1">
        <v>45225</v>
      </c>
      <c r="E1218" t="s">
        <v>132</v>
      </c>
      <c r="F1218" t="s">
        <v>2319</v>
      </c>
      <c r="G1218" t="str">
        <f>"37-3011.00"</f>
        <v>37-3011.00</v>
      </c>
      <c r="H1218" t="s">
        <v>429</v>
      </c>
      <c r="I1218">
        <v>18</v>
      </c>
      <c r="J1218">
        <v>18</v>
      </c>
      <c r="K1218" s="1">
        <v>45261</v>
      </c>
      <c r="L1218" s="1">
        <v>45396</v>
      </c>
      <c r="M1218" s="1">
        <v>45261</v>
      </c>
      <c r="N1218" s="1">
        <v>45396</v>
      </c>
      <c r="O1218" t="s">
        <v>238</v>
      </c>
      <c r="P1218" t="s">
        <v>18278</v>
      </c>
      <c r="Q1218" t="s">
        <v>18279</v>
      </c>
      <c r="R1218" t="s">
        <v>18280</v>
      </c>
      <c r="T1218" t="s">
        <v>3559</v>
      </c>
      <c r="U1218" t="s">
        <v>543</v>
      </c>
      <c r="V1218" s="8" t="str">
        <f>"44236"</f>
        <v>44236</v>
      </c>
      <c r="W1218" t="s">
        <v>118</v>
      </c>
      <c r="Y1218" s="10">
        <v>13307149570</v>
      </c>
      <c r="AA1218">
        <v>56173</v>
      </c>
      <c r="AB1218" t="s">
        <v>18281</v>
      </c>
      <c r="AC1218" t="s">
        <v>5103</v>
      </c>
      <c r="AD1218" t="s">
        <v>3526</v>
      </c>
      <c r="AE1218" t="s">
        <v>2907</v>
      </c>
      <c r="AF1218" t="s">
        <v>18280</v>
      </c>
      <c r="AH1218" t="s">
        <v>3559</v>
      </c>
      <c r="AI1218" t="s">
        <v>543</v>
      </c>
      <c r="AJ1218" s="8" t="str">
        <f>"44236"</f>
        <v>44236</v>
      </c>
      <c r="AK1218" t="s">
        <v>118</v>
      </c>
      <c r="AM1218" s="10">
        <v>13307149570</v>
      </c>
      <c r="AO1218" t="s">
        <v>132</v>
      </c>
      <c r="AP1218" t="s">
        <v>248</v>
      </c>
      <c r="AQ1218" t="s">
        <v>1265</v>
      </c>
      <c r="AR1218" t="s">
        <v>1873</v>
      </c>
      <c r="AT1218" t="s">
        <v>579</v>
      </c>
      <c r="AV1218" t="s">
        <v>580</v>
      </c>
      <c r="AW1218" t="s">
        <v>581</v>
      </c>
      <c r="AX1218" s="8" t="str">
        <f>"22903"</f>
        <v>22903</v>
      </c>
      <c r="AY1218" t="s">
        <v>118</v>
      </c>
      <c r="BA1218" s="10">
        <v>14342634300</v>
      </c>
      <c r="BC1218" t="s">
        <v>2160</v>
      </c>
      <c r="BD1218" t="s">
        <v>583</v>
      </c>
      <c r="BG1218" t="s">
        <v>543</v>
      </c>
      <c r="BH1218" s="1">
        <v>45170.833333333336</v>
      </c>
      <c r="BI1218">
        <v>40</v>
      </c>
      <c r="BJ1218">
        <v>0</v>
      </c>
      <c r="BK1218">
        <v>8</v>
      </c>
      <c r="BL1218">
        <v>8</v>
      </c>
      <c r="BM1218">
        <v>8</v>
      </c>
      <c r="BN1218">
        <v>8</v>
      </c>
      <c r="BO1218">
        <v>8</v>
      </c>
      <c r="BP1218">
        <v>0</v>
      </c>
      <c r="BQ1218" t="str">
        <f>"8:00 AM"</f>
        <v>8:00 AM</v>
      </c>
      <c r="BR1218" t="str">
        <f>"4:30 PM"</f>
        <v>4:30 PM</v>
      </c>
      <c r="BS1218" t="s">
        <v>131</v>
      </c>
      <c r="BT1218">
        <v>0</v>
      </c>
      <c r="BU1218">
        <v>0</v>
      </c>
      <c r="BV1218" t="s">
        <v>114</v>
      </c>
      <c r="BX1218" s="2" t="s">
        <v>18282</v>
      </c>
      <c r="BY1218" t="s">
        <v>18280</v>
      </c>
      <c r="CA1218" t="s">
        <v>3559</v>
      </c>
      <c r="CB1218" t="s">
        <v>543</v>
      </c>
      <c r="CC1218" s="8" t="str">
        <f>"44236"</f>
        <v>44236</v>
      </c>
      <c r="CD1218" t="s">
        <v>228</v>
      </c>
      <c r="CE1218" t="s">
        <v>4849</v>
      </c>
      <c r="CF1218" s="12">
        <v>16.489999999999998</v>
      </c>
      <c r="CG1218" s="12">
        <v>16.489999999999998</v>
      </c>
      <c r="CH1218" s="12">
        <v>24.74</v>
      </c>
      <c r="CI1218" s="12">
        <v>24.74</v>
      </c>
      <c r="CJ1218" t="s">
        <v>135</v>
      </c>
      <c r="CL1218" t="s">
        <v>18283</v>
      </c>
      <c r="CO1218" t="s">
        <v>132</v>
      </c>
      <c r="CP1218" t="s">
        <v>136</v>
      </c>
      <c r="CQ1218" t="s">
        <v>114</v>
      </c>
      <c r="CR1218" t="s">
        <v>136</v>
      </c>
      <c r="CS1218" t="s">
        <v>136</v>
      </c>
      <c r="CT1218" t="s">
        <v>136</v>
      </c>
      <c r="CU1218" t="s">
        <v>136</v>
      </c>
      <c r="CV1218" t="s">
        <v>18284</v>
      </c>
      <c r="CW1218" s="10" t="str">
        <f>"N/A"</f>
        <v>N/A</v>
      </c>
      <c r="CX1218" t="s">
        <v>18285</v>
      </c>
      <c r="CY1218" t="s">
        <v>2025</v>
      </c>
      <c r="CZ1218" t="s">
        <v>137</v>
      </c>
      <c r="DA1218" t="s">
        <v>114</v>
      </c>
      <c r="DB1218" t="s">
        <v>136</v>
      </c>
      <c r="DC1218" t="s">
        <v>136</v>
      </c>
      <c r="DD1218" t="s">
        <v>114</v>
      </c>
      <c r="DE1218" t="s">
        <v>2164</v>
      </c>
      <c r="DF1218" t="s">
        <v>2165</v>
      </c>
      <c r="DH1218" t="s">
        <v>583</v>
      </c>
      <c r="DI1218" t="s">
        <v>2160</v>
      </c>
    </row>
    <row r="1219" spans="1:113" ht="15" customHeight="1" x14ac:dyDescent="0.25">
      <c r="A1219" t="s">
        <v>13044</v>
      </c>
      <c r="B1219" t="s">
        <v>152</v>
      </c>
      <c r="C1219" s="1">
        <v>45171.511777083331</v>
      </c>
      <c r="D1219" s="1">
        <v>45225</v>
      </c>
      <c r="E1219" t="s">
        <v>132</v>
      </c>
      <c r="F1219" t="s">
        <v>293</v>
      </c>
      <c r="G1219" t="str">
        <f>"37-2012.00"</f>
        <v>37-2012.00</v>
      </c>
      <c r="H1219" t="s">
        <v>205</v>
      </c>
      <c r="I1219">
        <v>78</v>
      </c>
      <c r="J1219">
        <v>78</v>
      </c>
      <c r="K1219" s="1">
        <v>45261</v>
      </c>
      <c r="L1219" s="1">
        <v>45404</v>
      </c>
      <c r="M1219" s="1">
        <v>45261</v>
      </c>
      <c r="N1219" s="1">
        <v>45404</v>
      </c>
      <c r="O1219" t="s">
        <v>116</v>
      </c>
      <c r="P1219" t="s">
        <v>13045</v>
      </c>
      <c r="Q1219" t="s">
        <v>13046</v>
      </c>
      <c r="R1219" t="s">
        <v>13047</v>
      </c>
      <c r="S1219" t="s">
        <v>13048</v>
      </c>
      <c r="T1219" t="s">
        <v>1457</v>
      </c>
      <c r="U1219" t="s">
        <v>188</v>
      </c>
      <c r="V1219" s="8" t="str">
        <f>"81620"</f>
        <v>81620</v>
      </c>
      <c r="W1219" t="s">
        <v>118</v>
      </c>
      <c r="Y1219" s="10">
        <v>19707903145</v>
      </c>
      <c r="AA1219">
        <v>531311</v>
      </c>
      <c r="AB1219" t="s">
        <v>13049</v>
      </c>
      <c r="AC1219" t="s">
        <v>3369</v>
      </c>
      <c r="AE1219" t="s">
        <v>11120</v>
      </c>
      <c r="AF1219" t="s">
        <v>13047</v>
      </c>
      <c r="AG1219" t="s">
        <v>13048</v>
      </c>
      <c r="AH1219" t="s">
        <v>1457</v>
      </c>
      <c r="AI1219" t="s">
        <v>188</v>
      </c>
      <c r="AJ1219" s="8" t="str">
        <f>"81620"</f>
        <v>81620</v>
      </c>
      <c r="AK1219" t="s">
        <v>118</v>
      </c>
      <c r="AM1219" s="10">
        <v>19707903147</v>
      </c>
      <c r="AO1219" t="s">
        <v>13050</v>
      </c>
      <c r="AP1219" t="s">
        <v>121</v>
      </c>
      <c r="AQ1219" t="s">
        <v>513</v>
      </c>
      <c r="AR1219" t="s">
        <v>514</v>
      </c>
      <c r="AS1219" t="s">
        <v>515</v>
      </c>
      <c r="AT1219" t="s">
        <v>516</v>
      </c>
      <c r="AU1219" t="s">
        <v>517</v>
      </c>
      <c r="AV1219" t="s">
        <v>518</v>
      </c>
      <c r="AW1219" t="s">
        <v>402</v>
      </c>
      <c r="AX1219" s="8" t="str">
        <f>"90071"</f>
        <v>90071</v>
      </c>
      <c r="AY1219" t="s">
        <v>118</v>
      </c>
      <c r="BA1219" s="10">
        <v>13108203322</v>
      </c>
      <c r="BC1219" t="s">
        <v>519</v>
      </c>
      <c r="BD1219" t="s">
        <v>520</v>
      </c>
      <c r="BE1219" t="s">
        <v>188</v>
      </c>
      <c r="BF1219" t="s">
        <v>172</v>
      </c>
      <c r="BG1219" t="s">
        <v>188</v>
      </c>
      <c r="BH1219" s="1">
        <v>45169.833333333336</v>
      </c>
      <c r="BI1219">
        <v>35</v>
      </c>
      <c r="BJ1219">
        <v>5</v>
      </c>
      <c r="BK1219">
        <v>5</v>
      </c>
      <c r="BL1219">
        <v>5</v>
      </c>
      <c r="BM1219">
        <v>5</v>
      </c>
      <c r="BN1219">
        <v>5</v>
      </c>
      <c r="BO1219">
        <v>5</v>
      </c>
      <c r="BP1219">
        <v>5</v>
      </c>
      <c r="BQ1219" t="str">
        <f>"8:00 AM"</f>
        <v>8:00 AM</v>
      </c>
      <c r="BR1219" t="str">
        <f>"5:00 PM"</f>
        <v>5:00 PM</v>
      </c>
      <c r="BS1219" t="s">
        <v>131</v>
      </c>
      <c r="BT1219">
        <v>0</v>
      </c>
      <c r="BU1219">
        <v>0</v>
      </c>
      <c r="BV1219" t="s">
        <v>114</v>
      </c>
      <c r="BX1219" s="2" t="s">
        <v>13051</v>
      </c>
      <c r="BY1219" t="s">
        <v>13052</v>
      </c>
      <c r="BZ1219" t="s">
        <v>13053</v>
      </c>
      <c r="CA1219" t="s">
        <v>1457</v>
      </c>
      <c r="CB1219" t="s">
        <v>188</v>
      </c>
      <c r="CC1219" s="8" t="str">
        <f>"81620"</f>
        <v>81620</v>
      </c>
      <c r="CD1219" t="s">
        <v>1037</v>
      </c>
      <c r="CE1219" t="s">
        <v>1038</v>
      </c>
      <c r="CF1219" s="12">
        <v>20</v>
      </c>
      <c r="CH1219" s="12">
        <v>30</v>
      </c>
      <c r="CJ1219" t="s">
        <v>135</v>
      </c>
      <c r="CK1219" t="s">
        <v>729</v>
      </c>
      <c r="CL1219" t="s">
        <v>13054</v>
      </c>
      <c r="CO1219" t="s">
        <v>132</v>
      </c>
      <c r="CP1219" t="s">
        <v>136</v>
      </c>
      <c r="CQ1219" t="s">
        <v>114</v>
      </c>
      <c r="CR1219" t="s">
        <v>136</v>
      </c>
      <c r="CS1219" t="s">
        <v>136</v>
      </c>
      <c r="CT1219" t="s">
        <v>136</v>
      </c>
      <c r="CU1219" t="s">
        <v>136</v>
      </c>
      <c r="CV1219" t="s">
        <v>131</v>
      </c>
      <c r="CW1219" s="10" t="str">
        <f>"+19707903147"</f>
        <v>+19707903147</v>
      </c>
      <c r="CX1219" t="s">
        <v>13050</v>
      </c>
      <c r="CY1219" t="s">
        <v>132</v>
      </c>
      <c r="CZ1219" t="s">
        <v>137</v>
      </c>
      <c r="DA1219" t="s">
        <v>114</v>
      </c>
      <c r="DB1219" t="s">
        <v>114</v>
      </c>
      <c r="DC1219" t="s">
        <v>136</v>
      </c>
      <c r="DD1219" t="s">
        <v>114</v>
      </c>
      <c r="DE1219" t="s">
        <v>527</v>
      </c>
      <c r="DF1219" t="s">
        <v>528</v>
      </c>
      <c r="DG1219" t="s">
        <v>732</v>
      </c>
      <c r="DH1219" t="s">
        <v>520</v>
      </c>
      <c r="DI1219" t="s">
        <v>529</v>
      </c>
    </row>
    <row r="1220" spans="1:113" ht="15" customHeight="1" x14ac:dyDescent="0.25">
      <c r="A1220" t="s">
        <v>14675</v>
      </c>
      <c r="B1220" t="s">
        <v>152</v>
      </c>
      <c r="C1220" s="1">
        <v>45171.002863194444</v>
      </c>
      <c r="D1220" s="1">
        <v>45225</v>
      </c>
      <c r="E1220" t="s">
        <v>132</v>
      </c>
      <c r="F1220" t="s">
        <v>2512</v>
      </c>
      <c r="G1220" t="str">
        <f>"35-3031.00"</f>
        <v>35-3031.00</v>
      </c>
      <c r="H1220" t="s">
        <v>347</v>
      </c>
      <c r="I1220">
        <v>15</v>
      </c>
      <c r="J1220">
        <v>15</v>
      </c>
      <c r="K1220" s="1">
        <v>45261</v>
      </c>
      <c r="L1220" s="1">
        <v>45542</v>
      </c>
      <c r="M1220" s="1">
        <v>45261</v>
      </c>
      <c r="N1220" s="1">
        <v>45542</v>
      </c>
      <c r="O1220" t="s">
        <v>116</v>
      </c>
      <c r="P1220" t="s">
        <v>6927</v>
      </c>
      <c r="Q1220" t="s">
        <v>6928</v>
      </c>
      <c r="R1220" t="s">
        <v>6929</v>
      </c>
      <c r="T1220" t="s">
        <v>6930</v>
      </c>
      <c r="U1220" t="s">
        <v>140</v>
      </c>
      <c r="V1220" s="8" t="str">
        <f>"33160"</f>
        <v>33160</v>
      </c>
      <c r="W1220" t="s">
        <v>118</v>
      </c>
      <c r="Y1220" s="10">
        <v>13056925702</v>
      </c>
      <c r="AA1220">
        <v>72111</v>
      </c>
      <c r="AB1220" t="s">
        <v>6931</v>
      </c>
      <c r="AC1220" t="s">
        <v>6141</v>
      </c>
      <c r="AE1220" t="s">
        <v>1104</v>
      </c>
      <c r="AF1220" t="s">
        <v>6929</v>
      </c>
      <c r="AH1220" t="s">
        <v>6930</v>
      </c>
      <c r="AI1220" t="s">
        <v>140</v>
      </c>
      <c r="AJ1220" s="8" t="str">
        <f>"33160"</f>
        <v>33160</v>
      </c>
      <c r="AK1220" t="s">
        <v>118</v>
      </c>
      <c r="AM1220" s="10">
        <v>13056925702</v>
      </c>
      <c r="AO1220" t="s">
        <v>6932</v>
      </c>
      <c r="AP1220" t="s">
        <v>248</v>
      </c>
      <c r="AQ1220" t="s">
        <v>960</v>
      </c>
      <c r="AR1220" t="s">
        <v>961</v>
      </c>
      <c r="AS1220" t="s">
        <v>962</v>
      </c>
      <c r="AT1220" t="s">
        <v>963</v>
      </c>
      <c r="AU1220" t="s">
        <v>296</v>
      </c>
      <c r="AV1220" t="s">
        <v>964</v>
      </c>
      <c r="AW1220" t="s">
        <v>127</v>
      </c>
      <c r="AX1220" s="8" t="str">
        <f>"75033"</f>
        <v>75033</v>
      </c>
      <c r="AY1220" t="s">
        <v>118</v>
      </c>
      <c r="BA1220" s="10">
        <v>19727789690</v>
      </c>
      <c r="BC1220" t="s">
        <v>1837</v>
      </c>
      <c r="BD1220" t="s">
        <v>966</v>
      </c>
      <c r="BG1220" t="s">
        <v>140</v>
      </c>
      <c r="BH1220" s="1">
        <v>45170.833333333336</v>
      </c>
      <c r="BI1220">
        <v>35</v>
      </c>
      <c r="BJ1220">
        <v>7</v>
      </c>
      <c r="BK1220">
        <v>7</v>
      </c>
      <c r="BL1220">
        <v>0</v>
      </c>
      <c r="BM1220">
        <v>7</v>
      </c>
      <c r="BN1220">
        <v>0</v>
      </c>
      <c r="BO1220">
        <v>7</v>
      </c>
      <c r="BP1220">
        <v>7</v>
      </c>
      <c r="BQ1220" t="str">
        <f>"8:00 AM"</f>
        <v>8:00 AM</v>
      </c>
      <c r="BR1220" t="str">
        <f>"3:30 PM"</f>
        <v>3:30 PM</v>
      </c>
      <c r="BS1220" t="s">
        <v>131</v>
      </c>
      <c r="BT1220">
        <v>0</v>
      </c>
      <c r="BU1220">
        <v>2</v>
      </c>
      <c r="BV1220" t="s">
        <v>114</v>
      </c>
      <c r="BX1220" s="2" t="s">
        <v>14676</v>
      </c>
      <c r="BY1220" t="s">
        <v>6929</v>
      </c>
      <c r="CA1220" t="s">
        <v>6930</v>
      </c>
      <c r="CB1220" t="s">
        <v>140</v>
      </c>
      <c r="CC1220" s="8" t="str">
        <f>"33160"</f>
        <v>33160</v>
      </c>
      <c r="CD1220" t="s">
        <v>148</v>
      </c>
      <c r="CE1220" t="s">
        <v>149</v>
      </c>
      <c r="CF1220" s="12">
        <v>14</v>
      </c>
      <c r="CG1220" s="12">
        <v>14</v>
      </c>
      <c r="CH1220" s="12">
        <v>21</v>
      </c>
      <c r="CI1220" s="12">
        <v>21</v>
      </c>
      <c r="CJ1220" t="s">
        <v>135</v>
      </c>
      <c r="CK1220" t="s">
        <v>973</v>
      </c>
      <c r="CL1220" t="s">
        <v>14677</v>
      </c>
      <c r="CO1220" t="s">
        <v>132</v>
      </c>
      <c r="CP1220" t="s">
        <v>114</v>
      </c>
      <c r="CQ1220" t="s">
        <v>114</v>
      </c>
      <c r="CR1220" t="s">
        <v>136</v>
      </c>
      <c r="CS1220" t="s">
        <v>136</v>
      </c>
      <c r="CT1220" t="s">
        <v>136</v>
      </c>
      <c r="CU1220" t="s">
        <v>136</v>
      </c>
      <c r="CV1220" s="2" t="s">
        <v>6935</v>
      </c>
      <c r="CW1220" s="10" t="str">
        <f>"+13056925702"</f>
        <v>+13056925702</v>
      </c>
      <c r="CX1220" t="s">
        <v>132</v>
      </c>
      <c r="CY1220" t="s">
        <v>6175</v>
      </c>
      <c r="CZ1220" t="s">
        <v>137</v>
      </c>
      <c r="DA1220" t="s">
        <v>114</v>
      </c>
      <c r="DB1220" t="s">
        <v>136</v>
      </c>
      <c r="DC1220" t="s">
        <v>136</v>
      </c>
      <c r="DD1220" t="s">
        <v>114</v>
      </c>
    </row>
    <row r="1221" spans="1:113" ht="15" customHeight="1" x14ac:dyDescent="0.25">
      <c r="A1221" t="s">
        <v>18241</v>
      </c>
      <c r="B1221" t="s">
        <v>152</v>
      </c>
      <c r="C1221" s="1">
        <v>45169.546067129631</v>
      </c>
      <c r="D1221" s="1">
        <v>45225</v>
      </c>
      <c r="E1221" t="s">
        <v>114</v>
      </c>
      <c r="F1221" t="s">
        <v>8937</v>
      </c>
      <c r="G1221" t="str">
        <f>"37-3011.00"</f>
        <v>37-3011.00</v>
      </c>
      <c r="H1221" t="s">
        <v>429</v>
      </c>
      <c r="I1221">
        <v>14</v>
      </c>
      <c r="J1221">
        <v>14</v>
      </c>
      <c r="K1221" s="1">
        <v>45245</v>
      </c>
      <c r="L1221" s="1">
        <v>45397</v>
      </c>
      <c r="M1221" s="1">
        <v>45245</v>
      </c>
      <c r="N1221" s="1">
        <v>45397</v>
      </c>
      <c r="O1221" t="s">
        <v>116</v>
      </c>
      <c r="P1221" t="s">
        <v>18242</v>
      </c>
      <c r="R1221" t="s">
        <v>18243</v>
      </c>
      <c r="T1221" t="s">
        <v>18244</v>
      </c>
      <c r="U1221" t="s">
        <v>169</v>
      </c>
      <c r="V1221" s="8" t="str">
        <f>"55379"</f>
        <v>55379</v>
      </c>
      <c r="W1221" t="s">
        <v>118</v>
      </c>
      <c r="Y1221" s="10">
        <v>17634982804</v>
      </c>
      <c r="AA1221">
        <v>488490</v>
      </c>
      <c r="AB1221" t="s">
        <v>18245</v>
      </c>
      <c r="AC1221" t="s">
        <v>2429</v>
      </c>
      <c r="AD1221" t="s">
        <v>3731</v>
      </c>
      <c r="AE1221" t="s">
        <v>629</v>
      </c>
      <c r="AF1221" t="s">
        <v>18246</v>
      </c>
      <c r="AH1221" t="s">
        <v>18244</v>
      </c>
      <c r="AI1221" t="s">
        <v>169</v>
      </c>
      <c r="AJ1221" s="8" t="str">
        <f>"55379"</f>
        <v>55379</v>
      </c>
      <c r="AK1221" t="s">
        <v>118</v>
      </c>
      <c r="AM1221" s="10">
        <v>17634982804</v>
      </c>
      <c r="AO1221" t="s">
        <v>18247</v>
      </c>
      <c r="AP1221" t="s">
        <v>121</v>
      </c>
      <c r="AQ1221" t="s">
        <v>989</v>
      </c>
      <c r="AR1221" t="s">
        <v>244</v>
      </c>
      <c r="AS1221" t="s">
        <v>990</v>
      </c>
      <c r="AT1221" t="s">
        <v>991</v>
      </c>
      <c r="AV1221" t="s">
        <v>992</v>
      </c>
      <c r="AW1221" t="s">
        <v>993</v>
      </c>
      <c r="AX1221" s="8" t="str">
        <f>"54301"</f>
        <v>54301</v>
      </c>
      <c r="AY1221" t="s">
        <v>118</v>
      </c>
      <c r="BA1221" s="10">
        <v>18004140978</v>
      </c>
      <c r="BC1221" t="s">
        <v>994</v>
      </c>
      <c r="BD1221" t="s">
        <v>995</v>
      </c>
      <c r="BE1221" t="s">
        <v>581</v>
      </c>
      <c r="BF1221" t="s">
        <v>996</v>
      </c>
      <c r="BG1221" t="s">
        <v>169</v>
      </c>
      <c r="BH1221" s="1">
        <v>45168.833333333336</v>
      </c>
      <c r="BI1221">
        <v>35</v>
      </c>
      <c r="BJ1221">
        <v>0</v>
      </c>
      <c r="BK1221">
        <v>7</v>
      </c>
      <c r="BL1221">
        <v>7</v>
      </c>
      <c r="BM1221">
        <v>7</v>
      </c>
      <c r="BN1221">
        <v>7</v>
      </c>
      <c r="BO1221">
        <v>7</v>
      </c>
      <c r="BP1221">
        <v>0</v>
      </c>
      <c r="BQ1221" t="str">
        <f>"1:00 AM"</f>
        <v>1:00 AM</v>
      </c>
      <c r="BR1221" t="str">
        <f>"9:00 AM"</f>
        <v>9:00 AM</v>
      </c>
      <c r="BS1221" t="s">
        <v>131</v>
      </c>
      <c r="BT1221">
        <v>0</v>
      </c>
      <c r="BU1221">
        <v>0</v>
      </c>
      <c r="BV1221" t="s">
        <v>114</v>
      </c>
      <c r="BX1221" s="2" t="s">
        <v>18248</v>
      </c>
      <c r="BY1221" t="s">
        <v>18243</v>
      </c>
      <c r="CA1221" t="s">
        <v>18244</v>
      </c>
      <c r="CB1221" t="s">
        <v>169</v>
      </c>
      <c r="CC1221" s="8" t="str">
        <f>"55379"</f>
        <v>55379</v>
      </c>
      <c r="CD1221" t="s">
        <v>2754</v>
      </c>
      <c r="CE1221" t="s">
        <v>1910</v>
      </c>
      <c r="CF1221" s="12">
        <v>19.96</v>
      </c>
      <c r="CH1221" s="12">
        <v>29.94</v>
      </c>
      <c r="CJ1221" t="s">
        <v>135</v>
      </c>
      <c r="CK1221" t="s">
        <v>13965</v>
      </c>
      <c r="CL1221" t="s">
        <v>18249</v>
      </c>
      <c r="CO1221" t="s">
        <v>132</v>
      </c>
      <c r="CP1221" t="s">
        <v>136</v>
      </c>
      <c r="CQ1221" t="s">
        <v>136</v>
      </c>
      <c r="CR1221" t="s">
        <v>136</v>
      </c>
      <c r="CS1221" t="s">
        <v>136</v>
      </c>
      <c r="CT1221" t="s">
        <v>136</v>
      </c>
      <c r="CU1221" t="s">
        <v>114</v>
      </c>
      <c r="CV1221" t="s">
        <v>18250</v>
      </c>
      <c r="CW1221" s="10" t="str">
        <f>"+17634982804"</f>
        <v>+17634982804</v>
      </c>
      <c r="CX1221" t="s">
        <v>18247</v>
      </c>
      <c r="CY1221" t="s">
        <v>132</v>
      </c>
      <c r="CZ1221" t="s">
        <v>137</v>
      </c>
      <c r="DA1221" t="s">
        <v>114</v>
      </c>
      <c r="DB1221" t="s">
        <v>114</v>
      </c>
      <c r="DC1221" t="s">
        <v>136</v>
      </c>
      <c r="DD1221" t="s">
        <v>114</v>
      </c>
    </row>
    <row r="1222" spans="1:113" ht="15" customHeight="1" x14ac:dyDescent="0.25">
      <c r="A1222" t="s">
        <v>23665</v>
      </c>
      <c r="B1222" t="s">
        <v>152</v>
      </c>
      <c r="C1222" s="1">
        <v>45168.548121643522</v>
      </c>
      <c r="D1222" s="1">
        <v>45225</v>
      </c>
      <c r="E1222" t="s">
        <v>114</v>
      </c>
      <c r="F1222" t="s">
        <v>23666</v>
      </c>
      <c r="G1222" t="str">
        <f>"47-4031.00"</f>
        <v>47-4031.00</v>
      </c>
      <c r="H1222" t="s">
        <v>5788</v>
      </c>
      <c r="I1222">
        <v>5</v>
      </c>
      <c r="J1222">
        <v>5</v>
      </c>
      <c r="K1222" s="1">
        <v>45243</v>
      </c>
      <c r="L1222" s="1">
        <v>45514</v>
      </c>
      <c r="M1222" s="1">
        <v>45243</v>
      </c>
      <c r="N1222" s="1">
        <v>45514</v>
      </c>
      <c r="O1222" t="s">
        <v>116</v>
      </c>
      <c r="P1222" t="s">
        <v>23667</v>
      </c>
      <c r="Q1222" t="s">
        <v>23668</v>
      </c>
      <c r="R1222" t="s">
        <v>23669</v>
      </c>
      <c r="S1222" t="s">
        <v>5471</v>
      </c>
      <c r="T1222" t="s">
        <v>19931</v>
      </c>
      <c r="U1222" t="s">
        <v>127</v>
      </c>
      <c r="V1222" s="8" t="str">
        <f>"75240"</f>
        <v>75240</v>
      </c>
      <c r="W1222" t="s">
        <v>118</v>
      </c>
      <c r="X1222" t="s">
        <v>132</v>
      </c>
      <c r="Y1222" s="10">
        <v>12149141128</v>
      </c>
      <c r="AA1222">
        <v>238990</v>
      </c>
      <c r="AB1222" t="s">
        <v>23670</v>
      </c>
      <c r="AC1222" t="s">
        <v>1555</v>
      </c>
      <c r="AE1222" t="s">
        <v>629</v>
      </c>
      <c r="AF1222" t="s">
        <v>23669</v>
      </c>
      <c r="AG1222" t="s">
        <v>5471</v>
      </c>
      <c r="AH1222" t="s">
        <v>19931</v>
      </c>
      <c r="AI1222" t="s">
        <v>127</v>
      </c>
      <c r="AJ1222" s="8" t="str">
        <f>"75240"</f>
        <v>75240</v>
      </c>
      <c r="AK1222" t="s">
        <v>118</v>
      </c>
      <c r="AM1222" s="10">
        <v>12149141128</v>
      </c>
      <c r="AO1222" t="s">
        <v>23671</v>
      </c>
      <c r="AP1222" t="s">
        <v>248</v>
      </c>
      <c r="AQ1222" t="s">
        <v>1473</v>
      </c>
      <c r="AR1222" t="s">
        <v>23672</v>
      </c>
      <c r="AS1222" t="s">
        <v>1714</v>
      </c>
      <c r="AT1222" t="s">
        <v>23673</v>
      </c>
      <c r="AU1222" t="s">
        <v>23674</v>
      </c>
      <c r="AV1222" t="s">
        <v>320</v>
      </c>
      <c r="AW1222" t="s">
        <v>127</v>
      </c>
      <c r="AX1222" s="8" t="str">
        <f>"78738"</f>
        <v>78738</v>
      </c>
      <c r="AY1222" t="s">
        <v>118</v>
      </c>
      <c r="BA1222" s="10">
        <v>15128101612</v>
      </c>
      <c r="BC1222" t="s">
        <v>23675</v>
      </c>
      <c r="BD1222" t="s">
        <v>23676</v>
      </c>
      <c r="BG1222" t="s">
        <v>127</v>
      </c>
      <c r="BH1222" s="1">
        <v>45166.833333333336</v>
      </c>
      <c r="BI1222">
        <v>40</v>
      </c>
      <c r="BJ1222">
        <v>0</v>
      </c>
      <c r="BK1222">
        <v>8</v>
      </c>
      <c r="BL1222">
        <v>8</v>
      </c>
      <c r="BM1222">
        <v>8</v>
      </c>
      <c r="BN1222">
        <v>8</v>
      </c>
      <c r="BO1222">
        <v>8</v>
      </c>
      <c r="BP1222">
        <v>0</v>
      </c>
      <c r="BQ1222" t="str">
        <f>"8:00 AM"</f>
        <v>8:00 AM</v>
      </c>
      <c r="BR1222" t="str">
        <f>"5:00 PM"</f>
        <v>5:00 PM</v>
      </c>
      <c r="BS1222" t="s">
        <v>131</v>
      </c>
      <c r="BT1222">
        <v>0</v>
      </c>
      <c r="BU1222">
        <v>0</v>
      </c>
      <c r="BV1222" t="s">
        <v>114</v>
      </c>
      <c r="BX1222" s="2" t="s">
        <v>23677</v>
      </c>
      <c r="BY1222" t="s">
        <v>23678</v>
      </c>
      <c r="BZ1222" t="s">
        <v>5471</v>
      </c>
      <c r="CA1222" t="s">
        <v>23679</v>
      </c>
      <c r="CB1222" t="s">
        <v>127</v>
      </c>
      <c r="CC1222" s="8" t="str">
        <f>"78003"</f>
        <v>78003</v>
      </c>
      <c r="CD1222" t="s">
        <v>23680</v>
      </c>
      <c r="CE1222" t="s">
        <v>1287</v>
      </c>
      <c r="CF1222" s="12">
        <v>18.190000000000001</v>
      </c>
      <c r="CG1222" s="12">
        <v>18.190000000000001</v>
      </c>
      <c r="CJ1222" t="s">
        <v>135</v>
      </c>
      <c r="CL1222" t="s">
        <v>23681</v>
      </c>
      <c r="CO1222" t="s">
        <v>132</v>
      </c>
      <c r="CP1222" t="s">
        <v>136</v>
      </c>
      <c r="CQ1222" t="s">
        <v>136</v>
      </c>
      <c r="CR1222" t="s">
        <v>114</v>
      </c>
      <c r="CS1222" t="s">
        <v>114</v>
      </c>
      <c r="CT1222" t="s">
        <v>136</v>
      </c>
      <c r="CU1222" t="s">
        <v>114</v>
      </c>
      <c r="CV1222" t="s">
        <v>23682</v>
      </c>
      <c r="CW1222" s="10" t="str">
        <f>"+12149141128"</f>
        <v>+12149141128</v>
      </c>
      <c r="CX1222" t="s">
        <v>23671</v>
      </c>
      <c r="CY1222" t="s">
        <v>132</v>
      </c>
      <c r="CZ1222" t="s">
        <v>137</v>
      </c>
      <c r="DA1222" t="s">
        <v>114</v>
      </c>
      <c r="DB1222" t="s">
        <v>114</v>
      </c>
      <c r="DC1222" t="s">
        <v>136</v>
      </c>
      <c r="DD1222" t="s">
        <v>114</v>
      </c>
    </row>
    <row r="1223" spans="1:113" ht="15" customHeight="1" x14ac:dyDescent="0.25">
      <c r="A1223" t="s">
        <v>14137</v>
      </c>
      <c r="B1223" t="s">
        <v>152</v>
      </c>
      <c r="C1223" s="1">
        <v>45166.70140416667</v>
      </c>
      <c r="D1223" s="1">
        <v>45225</v>
      </c>
      <c r="E1223" t="s">
        <v>136</v>
      </c>
      <c r="F1223" t="s">
        <v>10111</v>
      </c>
      <c r="G1223" t="str">
        <f>"47-2044.00"</f>
        <v>47-2044.00</v>
      </c>
      <c r="H1223" t="s">
        <v>4794</v>
      </c>
      <c r="I1223">
        <v>43</v>
      </c>
      <c r="J1223">
        <v>43</v>
      </c>
      <c r="K1223" s="1">
        <v>45241</v>
      </c>
      <c r="L1223" s="1">
        <v>45412</v>
      </c>
      <c r="M1223" s="1">
        <v>45241</v>
      </c>
      <c r="N1223" s="1">
        <v>45412</v>
      </c>
      <c r="O1223" t="s">
        <v>238</v>
      </c>
      <c r="P1223" t="s">
        <v>5390</v>
      </c>
      <c r="Q1223" t="s">
        <v>5391</v>
      </c>
      <c r="R1223" t="s">
        <v>5392</v>
      </c>
      <c r="T1223" t="s">
        <v>2724</v>
      </c>
      <c r="U1223" t="s">
        <v>140</v>
      </c>
      <c r="V1223" s="8" t="str">
        <f>"32407"</f>
        <v>32407</v>
      </c>
      <c r="W1223" t="s">
        <v>118</v>
      </c>
      <c r="Y1223" s="10">
        <v>18502523759</v>
      </c>
      <c r="AA1223">
        <v>721110</v>
      </c>
      <c r="AB1223" t="s">
        <v>5393</v>
      </c>
      <c r="AC1223" t="s">
        <v>5394</v>
      </c>
      <c r="AE1223" t="s">
        <v>629</v>
      </c>
      <c r="AF1223" t="s">
        <v>5392</v>
      </c>
      <c r="AH1223" t="s">
        <v>2724</v>
      </c>
      <c r="AI1223" t="s">
        <v>140</v>
      </c>
      <c r="AJ1223" s="8" t="str">
        <f>"32407"</f>
        <v>32407</v>
      </c>
      <c r="AK1223" t="s">
        <v>118</v>
      </c>
      <c r="AM1223" s="10">
        <v>18502523759</v>
      </c>
      <c r="AO1223" t="s">
        <v>5395</v>
      </c>
      <c r="AP1223" t="s">
        <v>121</v>
      </c>
      <c r="AQ1223" t="s">
        <v>3798</v>
      </c>
      <c r="AR1223" t="s">
        <v>487</v>
      </c>
      <c r="AT1223" t="s">
        <v>3799</v>
      </c>
      <c r="AU1223" t="s">
        <v>3800</v>
      </c>
      <c r="AV1223" t="s">
        <v>573</v>
      </c>
      <c r="AW1223" t="s">
        <v>550</v>
      </c>
      <c r="AX1223" s="8" t="str">
        <f>"30363"</f>
        <v>30363</v>
      </c>
      <c r="AY1223" t="s">
        <v>118</v>
      </c>
      <c r="BA1223" s="10">
        <v>14043226065</v>
      </c>
      <c r="BC1223" t="s">
        <v>3801</v>
      </c>
      <c r="BD1223" t="s">
        <v>3802</v>
      </c>
      <c r="BE1223" t="s">
        <v>550</v>
      </c>
      <c r="BF1223" t="s">
        <v>5728</v>
      </c>
      <c r="BG1223" t="s">
        <v>140</v>
      </c>
      <c r="BH1223" s="1">
        <v>45165.833333333336</v>
      </c>
      <c r="BI1223">
        <v>35</v>
      </c>
      <c r="BJ1223">
        <v>0</v>
      </c>
      <c r="BK1223">
        <v>7</v>
      </c>
      <c r="BL1223">
        <v>7</v>
      </c>
      <c r="BM1223">
        <v>7</v>
      </c>
      <c r="BN1223">
        <v>7</v>
      </c>
      <c r="BO1223">
        <v>7</v>
      </c>
      <c r="BP1223">
        <v>0</v>
      </c>
      <c r="BQ1223" t="str">
        <f>"7:00 AM"</f>
        <v>7:00 AM</v>
      </c>
      <c r="BR1223" t="str">
        <f>"3:00 PM"</f>
        <v>3:00 PM</v>
      </c>
      <c r="BS1223" t="s">
        <v>131</v>
      </c>
      <c r="BT1223">
        <v>0</v>
      </c>
      <c r="BU1223">
        <v>0</v>
      </c>
      <c r="BV1223" t="s">
        <v>114</v>
      </c>
      <c r="BX1223" s="2" t="s">
        <v>10112</v>
      </c>
      <c r="BY1223" t="s">
        <v>5392</v>
      </c>
      <c r="CA1223" t="s">
        <v>2724</v>
      </c>
      <c r="CB1223" t="s">
        <v>140</v>
      </c>
      <c r="CC1223" s="8" t="str">
        <f>"32407"</f>
        <v>32407</v>
      </c>
      <c r="CD1223" t="s">
        <v>2727</v>
      </c>
      <c r="CE1223" t="s">
        <v>2728</v>
      </c>
      <c r="CF1223" s="12">
        <v>20.18</v>
      </c>
      <c r="CH1223" s="12">
        <v>30.27</v>
      </c>
      <c r="CJ1223" t="s">
        <v>135</v>
      </c>
      <c r="CL1223" t="s">
        <v>14138</v>
      </c>
      <c r="CO1223" t="s">
        <v>132</v>
      </c>
      <c r="CP1223" t="s">
        <v>114</v>
      </c>
      <c r="CQ1223" t="s">
        <v>114</v>
      </c>
      <c r="CR1223" t="s">
        <v>136</v>
      </c>
      <c r="CS1223" t="s">
        <v>136</v>
      </c>
      <c r="CT1223" t="s">
        <v>136</v>
      </c>
      <c r="CU1223" t="s">
        <v>136</v>
      </c>
      <c r="CV1223" s="2" t="s">
        <v>14139</v>
      </c>
      <c r="CW1223" s="10" t="str">
        <f>"+18502304067"</f>
        <v>+18502304067</v>
      </c>
      <c r="CX1223" t="s">
        <v>14140</v>
      </c>
      <c r="CY1223" t="s">
        <v>132</v>
      </c>
      <c r="CZ1223" t="s">
        <v>137</v>
      </c>
      <c r="DA1223" t="s">
        <v>114</v>
      </c>
      <c r="DB1223" t="s">
        <v>114</v>
      </c>
      <c r="DC1223" t="s">
        <v>136</v>
      </c>
      <c r="DD1223" t="s">
        <v>114</v>
      </c>
    </row>
    <row r="1224" spans="1:113" ht="15" customHeight="1" x14ac:dyDescent="0.25">
      <c r="A1224" t="s">
        <v>20344</v>
      </c>
      <c r="B1224" t="s">
        <v>152</v>
      </c>
      <c r="C1224" s="1">
        <v>45162.506471180553</v>
      </c>
      <c r="D1224" s="1">
        <v>45225</v>
      </c>
      <c r="E1224" t="s">
        <v>136</v>
      </c>
      <c r="F1224" t="s">
        <v>293</v>
      </c>
      <c r="G1224" t="str">
        <f>"37-2012.00"</f>
        <v>37-2012.00</v>
      </c>
      <c r="H1224" t="s">
        <v>205</v>
      </c>
      <c r="I1224">
        <v>14</v>
      </c>
      <c r="J1224">
        <v>14</v>
      </c>
      <c r="K1224" s="1">
        <v>45240</v>
      </c>
      <c r="L1224" s="1">
        <v>45377</v>
      </c>
      <c r="M1224" s="1">
        <v>45240</v>
      </c>
      <c r="N1224" s="1">
        <v>45377</v>
      </c>
      <c r="O1224" t="s">
        <v>116</v>
      </c>
      <c r="P1224" t="s">
        <v>20345</v>
      </c>
      <c r="Q1224" t="s">
        <v>20346</v>
      </c>
      <c r="R1224" t="s">
        <v>20347</v>
      </c>
      <c r="S1224" t="s">
        <v>20348</v>
      </c>
      <c r="T1224" t="s">
        <v>587</v>
      </c>
      <c r="U1224" t="s">
        <v>584</v>
      </c>
      <c r="V1224" s="8" t="str">
        <f>"83001"</f>
        <v>83001</v>
      </c>
      <c r="W1224" t="s">
        <v>118</v>
      </c>
      <c r="Y1224" s="10">
        <v>13077333121</v>
      </c>
      <c r="AA1224">
        <v>72111</v>
      </c>
      <c r="AB1224" t="s">
        <v>20349</v>
      </c>
      <c r="AC1224" t="s">
        <v>2700</v>
      </c>
      <c r="AE1224" t="s">
        <v>764</v>
      </c>
      <c r="AF1224" t="s">
        <v>20347</v>
      </c>
      <c r="AG1224" t="s">
        <v>20348</v>
      </c>
      <c r="AH1224" t="s">
        <v>587</v>
      </c>
      <c r="AI1224" t="s">
        <v>584</v>
      </c>
      <c r="AJ1224" s="8" t="str">
        <f>"83001"</f>
        <v>83001</v>
      </c>
      <c r="AK1224" t="s">
        <v>118</v>
      </c>
      <c r="AM1224" s="10">
        <v>13077333121</v>
      </c>
      <c r="AO1224" t="s">
        <v>132</v>
      </c>
      <c r="AP1224" t="s">
        <v>248</v>
      </c>
      <c r="AQ1224" t="s">
        <v>577</v>
      </c>
      <c r="AR1224" t="s">
        <v>578</v>
      </c>
      <c r="AT1224" t="s">
        <v>579</v>
      </c>
      <c r="AV1224" t="s">
        <v>580</v>
      </c>
      <c r="AW1224" t="s">
        <v>581</v>
      </c>
      <c r="AX1224" s="8" t="str">
        <f>"22903"</f>
        <v>22903</v>
      </c>
      <c r="AY1224" t="s">
        <v>118</v>
      </c>
      <c r="BA1224" s="10">
        <v>14342634300</v>
      </c>
      <c r="BC1224" t="s">
        <v>2909</v>
      </c>
      <c r="BD1224" t="s">
        <v>583</v>
      </c>
      <c r="BG1224" t="s">
        <v>584</v>
      </c>
      <c r="BH1224" s="1">
        <v>45161.833333333336</v>
      </c>
      <c r="BI1224">
        <v>35</v>
      </c>
      <c r="BJ1224">
        <v>0</v>
      </c>
      <c r="BK1224">
        <v>7</v>
      </c>
      <c r="BL1224">
        <v>7</v>
      </c>
      <c r="BM1224">
        <v>7</v>
      </c>
      <c r="BN1224">
        <v>7</v>
      </c>
      <c r="BO1224">
        <v>7</v>
      </c>
      <c r="BP1224">
        <v>0</v>
      </c>
      <c r="BQ1224" t="str">
        <f>"8:30 AM"</f>
        <v>8:30 AM</v>
      </c>
      <c r="BR1224" t="str">
        <f>"4:00 PM"</f>
        <v>4:00 PM</v>
      </c>
      <c r="BS1224" t="s">
        <v>131</v>
      </c>
      <c r="BT1224">
        <v>0</v>
      </c>
      <c r="BU1224">
        <v>3</v>
      </c>
      <c r="BV1224" t="s">
        <v>114</v>
      </c>
      <c r="BX1224" s="2" t="s">
        <v>20350</v>
      </c>
      <c r="BY1224" t="s">
        <v>20351</v>
      </c>
      <c r="CA1224" t="s">
        <v>587</v>
      </c>
      <c r="CB1224" t="s">
        <v>584</v>
      </c>
      <c r="CC1224" s="8" t="str">
        <f>"83001"</f>
        <v>83001</v>
      </c>
      <c r="CD1224" t="s">
        <v>588</v>
      </c>
      <c r="CE1224" t="s">
        <v>589</v>
      </c>
      <c r="CF1224" s="12">
        <v>14.28</v>
      </c>
      <c r="CH1224" s="12">
        <v>21.42</v>
      </c>
      <c r="CJ1224" t="s">
        <v>135</v>
      </c>
      <c r="CK1224" t="s">
        <v>590</v>
      </c>
      <c r="CL1224" t="s">
        <v>20352</v>
      </c>
      <c r="CO1224" t="s">
        <v>132</v>
      </c>
      <c r="CP1224" t="s">
        <v>136</v>
      </c>
      <c r="CQ1224" t="s">
        <v>114</v>
      </c>
      <c r="CR1224" t="s">
        <v>136</v>
      </c>
      <c r="CS1224" t="s">
        <v>114</v>
      </c>
      <c r="CT1224" t="s">
        <v>136</v>
      </c>
      <c r="CU1224" t="s">
        <v>136</v>
      </c>
      <c r="CV1224" t="s">
        <v>681</v>
      </c>
      <c r="CW1224" s="10" t="str">
        <f>"N/A"</f>
        <v>N/A</v>
      </c>
      <c r="CX1224" t="s">
        <v>20353</v>
      </c>
      <c r="CY1224" t="s">
        <v>594</v>
      </c>
      <c r="CZ1224" t="s">
        <v>137</v>
      </c>
      <c r="DA1224" t="s">
        <v>114</v>
      </c>
      <c r="DB1224" t="s">
        <v>136</v>
      </c>
      <c r="DC1224" t="s">
        <v>136</v>
      </c>
      <c r="DD1224" t="s">
        <v>114</v>
      </c>
      <c r="DE1224" t="s">
        <v>2912</v>
      </c>
      <c r="DF1224" t="s">
        <v>2913</v>
      </c>
      <c r="DH1224" t="s">
        <v>583</v>
      </c>
      <c r="DI1224" t="s">
        <v>2909</v>
      </c>
    </row>
    <row r="1225" spans="1:113" ht="15" customHeight="1" x14ac:dyDescent="0.25">
      <c r="A1225" t="s">
        <v>11844</v>
      </c>
      <c r="B1225" t="s">
        <v>152</v>
      </c>
      <c r="C1225" s="1">
        <v>45155.604818865744</v>
      </c>
      <c r="D1225" s="1">
        <v>45225</v>
      </c>
      <c r="E1225" t="s">
        <v>114</v>
      </c>
      <c r="F1225" t="s">
        <v>11845</v>
      </c>
      <c r="G1225" t="str">
        <f>"35-9021.00"</f>
        <v>35-9021.00</v>
      </c>
      <c r="H1225" t="s">
        <v>501</v>
      </c>
      <c r="I1225">
        <v>2</v>
      </c>
      <c r="J1225">
        <v>2</v>
      </c>
      <c r="K1225" s="1">
        <v>45231</v>
      </c>
      <c r="L1225" s="1">
        <v>45413</v>
      </c>
      <c r="M1225" s="1">
        <v>45231</v>
      </c>
      <c r="N1225" s="1">
        <v>45413</v>
      </c>
      <c r="O1225" t="s">
        <v>116</v>
      </c>
      <c r="P1225" t="s">
        <v>11846</v>
      </c>
      <c r="R1225" t="s">
        <v>11847</v>
      </c>
      <c r="T1225" t="s">
        <v>8434</v>
      </c>
      <c r="U1225" t="s">
        <v>140</v>
      </c>
      <c r="V1225" s="8" t="str">
        <f>"34972"</f>
        <v>34972</v>
      </c>
      <c r="W1225" t="s">
        <v>118</v>
      </c>
      <c r="Y1225" s="10">
        <v>18633571619</v>
      </c>
      <c r="AA1225">
        <v>722511</v>
      </c>
      <c r="AB1225" t="s">
        <v>11848</v>
      </c>
      <c r="AC1225" t="s">
        <v>11849</v>
      </c>
      <c r="AE1225" t="s">
        <v>561</v>
      </c>
      <c r="AF1225" t="s">
        <v>11850</v>
      </c>
      <c r="AH1225" t="s">
        <v>11851</v>
      </c>
      <c r="AI1225" t="s">
        <v>140</v>
      </c>
      <c r="AJ1225" s="8" t="str">
        <f>"34972"</f>
        <v>34972</v>
      </c>
      <c r="AK1225" t="s">
        <v>118</v>
      </c>
      <c r="AM1225" s="10">
        <v>18633571619</v>
      </c>
      <c r="AO1225" t="s">
        <v>11852</v>
      </c>
      <c r="AP1225" t="s">
        <v>121</v>
      </c>
      <c r="AQ1225" t="s">
        <v>5567</v>
      </c>
      <c r="AR1225" t="s">
        <v>11853</v>
      </c>
      <c r="AS1225" t="s">
        <v>2356</v>
      </c>
      <c r="AT1225" t="s">
        <v>11854</v>
      </c>
      <c r="AU1225" t="s">
        <v>11855</v>
      </c>
      <c r="AV1225" t="s">
        <v>11856</v>
      </c>
      <c r="AW1225" t="s">
        <v>222</v>
      </c>
      <c r="AX1225" s="8" t="str">
        <f>"02108"</f>
        <v>02108</v>
      </c>
      <c r="AY1225" t="s">
        <v>118</v>
      </c>
      <c r="BA1225" s="10">
        <v>16172272915</v>
      </c>
      <c r="BC1225" t="s">
        <v>11857</v>
      </c>
      <c r="BD1225" t="s">
        <v>11858</v>
      </c>
      <c r="BE1225" t="s">
        <v>222</v>
      </c>
      <c r="BF1225" t="s">
        <v>11859</v>
      </c>
      <c r="BG1225" t="s">
        <v>140</v>
      </c>
      <c r="BH1225" s="1">
        <v>45154.833333333336</v>
      </c>
      <c r="BI1225">
        <v>40</v>
      </c>
      <c r="BJ1225">
        <v>0</v>
      </c>
      <c r="BK1225">
        <v>8</v>
      </c>
      <c r="BL1225">
        <v>0</v>
      </c>
      <c r="BM1225">
        <v>8</v>
      </c>
      <c r="BN1225">
        <v>8</v>
      </c>
      <c r="BO1225">
        <v>8</v>
      </c>
      <c r="BP1225">
        <v>8</v>
      </c>
      <c r="BQ1225" t="str">
        <f>"10:00 AM"</f>
        <v>10:00 AM</v>
      </c>
      <c r="BR1225" t="str">
        <f>"6:00 PM"</f>
        <v>6:00 PM</v>
      </c>
      <c r="BS1225" t="s">
        <v>131</v>
      </c>
      <c r="BT1225">
        <v>0</v>
      </c>
      <c r="BU1225">
        <v>0</v>
      </c>
      <c r="BV1225" t="s">
        <v>114</v>
      </c>
      <c r="BX1225" t="s">
        <v>1789</v>
      </c>
      <c r="BY1225" t="s">
        <v>11847</v>
      </c>
      <c r="CA1225" t="s">
        <v>8434</v>
      </c>
      <c r="CB1225" t="s">
        <v>140</v>
      </c>
      <c r="CC1225" s="8" t="str">
        <f>"34972"</f>
        <v>34972</v>
      </c>
      <c r="CD1225" t="s">
        <v>8435</v>
      </c>
      <c r="CE1225" t="s">
        <v>304</v>
      </c>
      <c r="CF1225" s="12">
        <v>13</v>
      </c>
      <c r="CH1225" s="12">
        <v>19.5</v>
      </c>
      <c r="CJ1225" t="s">
        <v>135</v>
      </c>
      <c r="CK1225" t="s">
        <v>11860</v>
      </c>
      <c r="CL1225" t="s">
        <v>11861</v>
      </c>
      <c r="CO1225" t="s">
        <v>132</v>
      </c>
      <c r="CP1225" t="s">
        <v>114</v>
      </c>
      <c r="CQ1225" t="s">
        <v>114</v>
      </c>
      <c r="CR1225" t="s">
        <v>136</v>
      </c>
      <c r="CS1225" t="s">
        <v>136</v>
      </c>
      <c r="CT1225" t="s">
        <v>136</v>
      </c>
      <c r="CU1225" t="s">
        <v>136</v>
      </c>
      <c r="CV1225" t="s">
        <v>4093</v>
      </c>
      <c r="CW1225" s="10" t="str">
        <f>"+18638012757"</f>
        <v>+18638012757</v>
      </c>
      <c r="CX1225" t="s">
        <v>11862</v>
      </c>
      <c r="CY1225" t="s">
        <v>132</v>
      </c>
      <c r="CZ1225" t="s">
        <v>137</v>
      </c>
      <c r="DA1225" t="s">
        <v>114</v>
      </c>
      <c r="DB1225" t="s">
        <v>114</v>
      </c>
      <c r="DC1225" t="s">
        <v>136</v>
      </c>
      <c r="DD1225" t="s">
        <v>114</v>
      </c>
    </row>
    <row r="1226" spans="1:113" ht="15" customHeight="1" x14ac:dyDescent="0.25">
      <c r="A1226" t="s">
        <v>22383</v>
      </c>
      <c r="B1226" t="s">
        <v>152</v>
      </c>
      <c r="C1226" s="1">
        <v>45155.553416666669</v>
      </c>
      <c r="D1226" s="1">
        <v>45225</v>
      </c>
      <c r="E1226" t="s">
        <v>114</v>
      </c>
      <c r="F1226" t="s">
        <v>4528</v>
      </c>
      <c r="G1226" t="str">
        <f>"37-2011.00"</f>
        <v>37-2011.00</v>
      </c>
      <c r="H1226" t="s">
        <v>1089</v>
      </c>
      <c r="I1226">
        <v>3</v>
      </c>
      <c r="J1226">
        <v>3</v>
      </c>
      <c r="K1226" s="1">
        <v>45245</v>
      </c>
      <c r="L1226" s="1">
        <v>45382</v>
      </c>
      <c r="M1226" s="1">
        <v>45245</v>
      </c>
      <c r="N1226" s="1">
        <v>45382</v>
      </c>
      <c r="O1226" t="s">
        <v>238</v>
      </c>
      <c r="P1226" t="s">
        <v>22384</v>
      </c>
      <c r="R1226" t="s">
        <v>22385</v>
      </c>
      <c r="T1226" t="s">
        <v>10722</v>
      </c>
      <c r="U1226" t="s">
        <v>819</v>
      </c>
      <c r="V1226" s="8" t="str">
        <f>"46319"</f>
        <v>46319</v>
      </c>
      <c r="W1226" t="s">
        <v>118</v>
      </c>
      <c r="Y1226" s="10">
        <v>12193020753</v>
      </c>
      <c r="AA1226">
        <v>561730</v>
      </c>
      <c r="AB1226" t="s">
        <v>22386</v>
      </c>
      <c r="AC1226" t="s">
        <v>22387</v>
      </c>
      <c r="AE1226" t="s">
        <v>12687</v>
      </c>
      <c r="AF1226" t="s">
        <v>22388</v>
      </c>
      <c r="AH1226" t="s">
        <v>10722</v>
      </c>
      <c r="AI1226" t="s">
        <v>819</v>
      </c>
      <c r="AJ1226" s="8" t="str">
        <f>"46319"</f>
        <v>46319</v>
      </c>
      <c r="AK1226" t="s">
        <v>118</v>
      </c>
      <c r="AM1226" s="10">
        <v>12193020753</v>
      </c>
      <c r="AO1226" t="s">
        <v>22389</v>
      </c>
      <c r="AP1226" t="s">
        <v>121</v>
      </c>
      <c r="AQ1226" t="s">
        <v>22390</v>
      </c>
      <c r="AR1226" t="s">
        <v>3538</v>
      </c>
      <c r="AT1226" t="s">
        <v>22391</v>
      </c>
      <c r="AV1226" t="s">
        <v>22392</v>
      </c>
      <c r="AW1226" t="s">
        <v>819</v>
      </c>
      <c r="AX1226" s="8" t="str">
        <f>"46410"</f>
        <v>46410</v>
      </c>
      <c r="AY1226" t="s">
        <v>118</v>
      </c>
      <c r="BA1226" s="10">
        <v>12197691313</v>
      </c>
      <c r="BC1226" t="s">
        <v>22393</v>
      </c>
      <c r="BD1226" t="s">
        <v>22394</v>
      </c>
      <c r="BE1226" t="s">
        <v>819</v>
      </c>
      <c r="BF1226" t="s">
        <v>22395</v>
      </c>
      <c r="BG1226" t="s">
        <v>819</v>
      </c>
      <c r="BH1226" s="1">
        <v>45154.833333333336</v>
      </c>
      <c r="BI1226">
        <v>40</v>
      </c>
      <c r="BJ1226">
        <v>0</v>
      </c>
      <c r="BK1226">
        <v>8</v>
      </c>
      <c r="BL1226">
        <v>8</v>
      </c>
      <c r="BM1226">
        <v>8</v>
      </c>
      <c r="BN1226">
        <v>8</v>
      </c>
      <c r="BO1226">
        <v>8</v>
      </c>
      <c r="BP1226">
        <v>0</v>
      </c>
      <c r="BQ1226" t="str">
        <f>"8:00 AM"</f>
        <v>8:00 AM</v>
      </c>
      <c r="BR1226" t="str">
        <f>"4:00 PM"</f>
        <v>4:00 PM</v>
      </c>
      <c r="BS1226" t="s">
        <v>131</v>
      </c>
      <c r="BT1226">
        <v>0</v>
      </c>
      <c r="BU1226">
        <v>0</v>
      </c>
      <c r="BV1226" t="s">
        <v>114</v>
      </c>
      <c r="BX1226" s="2" t="s">
        <v>22396</v>
      </c>
      <c r="BY1226" t="s">
        <v>22388</v>
      </c>
      <c r="CA1226" t="s">
        <v>10722</v>
      </c>
      <c r="CB1226" t="s">
        <v>819</v>
      </c>
      <c r="CC1226" s="8" t="str">
        <f>"46319"</f>
        <v>46319</v>
      </c>
      <c r="CD1226" t="s">
        <v>1960</v>
      </c>
      <c r="CE1226" t="s">
        <v>134</v>
      </c>
      <c r="CF1226" s="12">
        <v>16.329999999999998</v>
      </c>
      <c r="CH1226" s="12">
        <v>24.5</v>
      </c>
      <c r="CJ1226" t="s">
        <v>135</v>
      </c>
      <c r="CL1226" t="s">
        <v>22397</v>
      </c>
      <c r="CO1226" t="s">
        <v>132</v>
      </c>
      <c r="CP1226" t="s">
        <v>136</v>
      </c>
      <c r="CQ1226" t="s">
        <v>136</v>
      </c>
      <c r="CR1226" t="s">
        <v>136</v>
      </c>
      <c r="CS1226" t="s">
        <v>114</v>
      </c>
      <c r="CT1226" t="s">
        <v>136</v>
      </c>
      <c r="CU1226" t="s">
        <v>114</v>
      </c>
      <c r="CV1226" t="s">
        <v>131</v>
      </c>
      <c r="CW1226" s="10" t="str">
        <f>"+12193020753"</f>
        <v>+12193020753</v>
      </c>
      <c r="CX1226" t="s">
        <v>22389</v>
      </c>
      <c r="CY1226" t="s">
        <v>132</v>
      </c>
      <c r="CZ1226" t="s">
        <v>137</v>
      </c>
      <c r="DA1226" t="s">
        <v>114</v>
      </c>
      <c r="DB1226" t="s">
        <v>114</v>
      </c>
      <c r="DC1226" t="s">
        <v>136</v>
      </c>
      <c r="DD1226" t="s">
        <v>114</v>
      </c>
      <c r="DE1226" t="s">
        <v>22390</v>
      </c>
      <c r="DF1226" t="s">
        <v>3538</v>
      </c>
      <c r="DG1226" t="s">
        <v>141</v>
      </c>
      <c r="DH1226" t="s">
        <v>22394</v>
      </c>
      <c r="DI1226" t="s">
        <v>22393</v>
      </c>
    </row>
    <row r="1227" spans="1:113" ht="15" customHeight="1" x14ac:dyDescent="0.25">
      <c r="A1227" t="s">
        <v>6623</v>
      </c>
      <c r="B1227" t="s">
        <v>152</v>
      </c>
      <c r="C1227" s="1">
        <v>45153.623314236109</v>
      </c>
      <c r="D1227" s="1">
        <v>45225</v>
      </c>
      <c r="E1227" t="s">
        <v>114</v>
      </c>
      <c r="F1227" t="s">
        <v>500</v>
      </c>
      <c r="G1227" t="str">
        <f>"35-9021.00"</f>
        <v>35-9021.00</v>
      </c>
      <c r="H1227" t="s">
        <v>501</v>
      </c>
      <c r="I1227">
        <v>12</v>
      </c>
      <c r="J1227">
        <v>12</v>
      </c>
      <c r="K1227" s="1">
        <v>45243</v>
      </c>
      <c r="L1227" s="1">
        <v>45397</v>
      </c>
      <c r="M1227" s="1">
        <v>45243</v>
      </c>
      <c r="N1227" s="1">
        <v>45397</v>
      </c>
      <c r="O1227" t="s">
        <v>116</v>
      </c>
      <c r="P1227" t="s">
        <v>6624</v>
      </c>
      <c r="Q1227" t="s">
        <v>6625</v>
      </c>
      <c r="R1227" t="s">
        <v>6626</v>
      </c>
      <c r="T1227" t="s">
        <v>6627</v>
      </c>
      <c r="U1227" t="s">
        <v>402</v>
      </c>
      <c r="V1227" s="8" t="str">
        <f>"96161"</f>
        <v>96161</v>
      </c>
      <c r="W1227" t="s">
        <v>118</v>
      </c>
      <c r="Y1227" s="10">
        <v>15305621010</v>
      </c>
      <c r="AA1227">
        <v>713920</v>
      </c>
      <c r="AB1227" t="s">
        <v>507</v>
      </c>
      <c r="AC1227" t="s">
        <v>508</v>
      </c>
      <c r="AE1227" t="s">
        <v>725</v>
      </c>
      <c r="AF1227" t="s">
        <v>510</v>
      </c>
      <c r="AH1227" t="s">
        <v>511</v>
      </c>
      <c r="AI1227" t="s">
        <v>188</v>
      </c>
      <c r="AJ1227" s="8" t="str">
        <f>"80021"</f>
        <v>80021</v>
      </c>
      <c r="AK1227" t="s">
        <v>118</v>
      </c>
      <c r="AM1227" s="10">
        <v>13034041800</v>
      </c>
      <c r="AO1227" t="s">
        <v>512</v>
      </c>
      <c r="AP1227" t="s">
        <v>121</v>
      </c>
      <c r="AQ1227" t="s">
        <v>513</v>
      </c>
      <c r="AR1227" t="s">
        <v>514</v>
      </c>
      <c r="AS1227" t="s">
        <v>515</v>
      </c>
      <c r="AT1227" t="s">
        <v>516</v>
      </c>
      <c r="AU1227" t="s">
        <v>517</v>
      </c>
      <c r="AV1227" t="s">
        <v>518</v>
      </c>
      <c r="AW1227" t="s">
        <v>402</v>
      </c>
      <c r="AX1227" s="8" t="str">
        <f>"90071"</f>
        <v>90071</v>
      </c>
      <c r="AY1227" t="s">
        <v>118</v>
      </c>
      <c r="BA1227" s="10">
        <v>13108203322</v>
      </c>
      <c r="BC1227" t="s">
        <v>519</v>
      </c>
      <c r="BD1227" t="s">
        <v>520</v>
      </c>
      <c r="BE1227" t="s">
        <v>188</v>
      </c>
      <c r="BF1227" t="s">
        <v>172</v>
      </c>
      <c r="BG1227" t="s">
        <v>402</v>
      </c>
      <c r="BH1227" s="1">
        <v>45133.833333333336</v>
      </c>
      <c r="BI1227">
        <v>35</v>
      </c>
      <c r="BJ1227">
        <v>5</v>
      </c>
      <c r="BK1227">
        <v>5</v>
      </c>
      <c r="BL1227">
        <v>5</v>
      </c>
      <c r="BM1227">
        <v>5</v>
      </c>
      <c r="BN1227">
        <v>5</v>
      </c>
      <c r="BO1227">
        <v>5</v>
      </c>
      <c r="BP1227">
        <v>5</v>
      </c>
      <c r="BQ1227" t="str">
        <f>"8:00 AM"</f>
        <v>8:00 AM</v>
      </c>
      <c r="BR1227" t="str">
        <f>"11:00 PM"</f>
        <v>11:00 PM</v>
      </c>
      <c r="BS1227" t="s">
        <v>131</v>
      </c>
      <c r="BT1227">
        <v>0</v>
      </c>
      <c r="BU1227">
        <v>0</v>
      </c>
      <c r="BV1227" t="s">
        <v>114</v>
      </c>
      <c r="BX1227" s="2" t="s">
        <v>521</v>
      </c>
      <c r="BY1227" t="s">
        <v>6628</v>
      </c>
      <c r="CA1227" t="s">
        <v>6627</v>
      </c>
      <c r="CB1227" t="s">
        <v>402</v>
      </c>
      <c r="CC1227" s="8" t="str">
        <f>"96161"</f>
        <v>96161</v>
      </c>
      <c r="CD1227" t="s">
        <v>4745</v>
      </c>
      <c r="CE1227" t="s">
        <v>728</v>
      </c>
      <c r="CF1227" s="12">
        <v>20</v>
      </c>
      <c r="CG1227" s="12">
        <v>21.35</v>
      </c>
      <c r="CH1227" s="12">
        <v>30</v>
      </c>
      <c r="CI1227" s="12">
        <v>32.03</v>
      </c>
      <c r="CJ1227" t="s">
        <v>135</v>
      </c>
      <c r="CK1227" t="s">
        <v>524</v>
      </c>
      <c r="CL1227" t="s">
        <v>6629</v>
      </c>
      <c r="CO1227" t="s">
        <v>132</v>
      </c>
      <c r="CP1227" t="s">
        <v>114</v>
      </c>
      <c r="CQ1227" t="s">
        <v>114</v>
      </c>
      <c r="CR1227" t="s">
        <v>136</v>
      </c>
      <c r="CS1227" t="s">
        <v>114</v>
      </c>
      <c r="CT1227" t="s">
        <v>136</v>
      </c>
      <c r="CU1227" t="s">
        <v>136</v>
      </c>
      <c r="CV1227" t="s">
        <v>6630</v>
      </c>
      <c r="CW1227" s="10" t="str">
        <f>"+13034041800"</f>
        <v>+13034041800</v>
      </c>
      <c r="CX1227" t="s">
        <v>512</v>
      </c>
      <c r="CY1227" t="s">
        <v>132</v>
      </c>
      <c r="CZ1227" t="s">
        <v>137</v>
      </c>
      <c r="DA1227" t="s">
        <v>114</v>
      </c>
      <c r="DB1227" t="s">
        <v>114</v>
      </c>
      <c r="DC1227" t="s">
        <v>136</v>
      </c>
      <c r="DD1227" t="s">
        <v>114</v>
      </c>
      <c r="DE1227" t="s">
        <v>527</v>
      </c>
      <c r="DF1227" t="s">
        <v>528</v>
      </c>
      <c r="DG1227" t="s">
        <v>732</v>
      </c>
      <c r="DH1227" t="s">
        <v>520</v>
      </c>
      <c r="DI1227" t="s">
        <v>529</v>
      </c>
    </row>
    <row r="1228" spans="1:113" ht="15" customHeight="1" x14ac:dyDescent="0.25">
      <c r="A1228" t="s">
        <v>11617</v>
      </c>
      <c r="B1228" t="s">
        <v>152</v>
      </c>
      <c r="C1228" s="1">
        <v>45146.710847569448</v>
      </c>
      <c r="D1228" s="1">
        <v>45225</v>
      </c>
      <c r="E1228" t="s">
        <v>114</v>
      </c>
      <c r="F1228" t="s">
        <v>1088</v>
      </c>
      <c r="G1228" t="str">
        <f>"37-2011.00"</f>
        <v>37-2011.00</v>
      </c>
      <c r="H1228" t="s">
        <v>1089</v>
      </c>
      <c r="I1228">
        <v>14</v>
      </c>
      <c r="J1228">
        <v>14</v>
      </c>
      <c r="K1228" s="1">
        <v>45236</v>
      </c>
      <c r="L1228" s="1">
        <v>45403</v>
      </c>
      <c r="M1228" s="1">
        <v>45236</v>
      </c>
      <c r="N1228" s="1">
        <v>45403</v>
      </c>
      <c r="O1228" t="s">
        <v>116</v>
      </c>
      <c r="P1228" t="s">
        <v>6624</v>
      </c>
      <c r="Q1228" t="s">
        <v>6625</v>
      </c>
      <c r="R1228" t="s">
        <v>6626</v>
      </c>
      <c r="T1228" t="s">
        <v>6627</v>
      </c>
      <c r="U1228" t="s">
        <v>402</v>
      </c>
      <c r="V1228" s="8" t="str">
        <f>"96161"</f>
        <v>96161</v>
      </c>
      <c r="W1228" t="s">
        <v>118</v>
      </c>
      <c r="Y1228" s="10">
        <v>15305621010</v>
      </c>
      <c r="AA1228">
        <v>713920</v>
      </c>
      <c r="AB1228" t="s">
        <v>507</v>
      </c>
      <c r="AC1228" t="s">
        <v>508</v>
      </c>
      <c r="AE1228" t="s">
        <v>509</v>
      </c>
      <c r="AF1228" t="s">
        <v>510</v>
      </c>
      <c r="AH1228" t="s">
        <v>511</v>
      </c>
      <c r="AI1228" t="s">
        <v>188</v>
      </c>
      <c r="AJ1228" s="8" t="str">
        <f>"80021"</f>
        <v>80021</v>
      </c>
      <c r="AK1228" t="s">
        <v>118</v>
      </c>
      <c r="AM1228" s="10">
        <v>13034041800</v>
      </c>
      <c r="AO1228" t="s">
        <v>512</v>
      </c>
      <c r="AP1228" t="s">
        <v>121</v>
      </c>
      <c r="AQ1228" t="s">
        <v>513</v>
      </c>
      <c r="AR1228" t="s">
        <v>514</v>
      </c>
      <c r="AS1228" t="s">
        <v>515</v>
      </c>
      <c r="AT1228" t="s">
        <v>516</v>
      </c>
      <c r="AU1228" t="s">
        <v>517</v>
      </c>
      <c r="AV1228" t="s">
        <v>518</v>
      </c>
      <c r="AW1228" t="s">
        <v>402</v>
      </c>
      <c r="AX1228" s="8" t="str">
        <f>"90071"</f>
        <v>90071</v>
      </c>
      <c r="AY1228" t="s">
        <v>118</v>
      </c>
      <c r="BA1228" s="10">
        <v>13108203322</v>
      </c>
      <c r="BC1228" t="s">
        <v>519</v>
      </c>
      <c r="BD1228" t="s">
        <v>520</v>
      </c>
      <c r="BE1228" t="s">
        <v>188</v>
      </c>
      <c r="BF1228" t="s">
        <v>172</v>
      </c>
      <c r="BG1228" t="s">
        <v>402</v>
      </c>
      <c r="BH1228" s="1">
        <v>45133.833333333336</v>
      </c>
      <c r="BI1228">
        <v>35</v>
      </c>
      <c r="BJ1228">
        <v>5</v>
      </c>
      <c r="BK1228">
        <v>5</v>
      </c>
      <c r="BL1228">
        <v>5</v>
      </c>
      <c r="BM1228">
        <v>5</v>
      </c>
      <c r="BN1228">
        <v>5</v>
      </c>
      <c r="BO1228">
        <v>5</v>
      </c>
      <c r="BP1228">
        <v>5</v>
      </c>
      <c r="BQ1228" t="str">
        <f>"8:00 AM"</f>
        <v>8:00 AM</v>
      </c>
      <c r="BR1228" t="str">
        <f>"5:00 PM"</f>
        <v>5:00 PM</v>
      </c>
      <c r="BS1228" t="s">
        <v>131</v>
      </c>
      <c r="BT1228">
        <v>0</v>
      </c>
      <c r="BU1228">
        <v>0</v>
      </c>
      <c r="BV1228" t="s">
        <v>114</v>
      </c>
      <c r="BX1228" s="2" t="s">
        <v>1091</v>
      </c>
      <c r="BY1228" t="s">
        <v>6628</v>
      </c>
      <c r="CA1228" t="s">
        <v>6627</v>
      </c>
      <c r="CB1228" t="s">
        <v>402</v>
      </c>
      <c r="CC1228" s="8" t="str">
        <f>"96161"</f>
        <v>96161</v>
      </c>
      <c r="CD1228" t="s">
        <v>4745</v>
      </c>
      <c r="CE1228" t="s">
        <v>728</v>
      </c>
      <c r="CF1228" s="12">
        <v>20</v>
      </c>
      <c r="CG1228" s="12">
        <v>21.35</v>
      </c>
      <c r="CH1228" s="12">
        <v>30</v>
      </c>
      <c r="CI1228" s="12">
        <v>32.03</v>
      </c>
      <c r="CJ1228" t="s">
        <v>135</v>
      </c>
      <c r="CK1228" t="s">
        <v>524</v>
      </c>
      <c r="CL1228" t="s">
        <v>11618</v>
      </c>
      <c r="CO1228" t="s">
        <v>132</v>
      </c>
      <c r="CP1228" t="s">
        <v>114</v>
      </c>
      <c r="CQ1228" t="s">
        <v>114</v>
      </c>
      <c r="CR1228" t="s">
        <v>136</v>
      </c>
      <c r="CS1228" t="s">
        <v>114</v>
      </c>
      <c r="CT1228" t="s">
        <v>136</v>
      </c>
      <c r="CU1228" t="s">
        <v>114</v>
      </c>
      <c r="CV1228" t="s">
        <v>131</v>
      </c>
      <c r="CW1228" s="10" t="str">
        <f>"+13034041800"</f>
        <v>+13034041800</v>
      </c>
      <c r="CX1228" t="s">
        <v>512</v>
      </c>
      <c r="CY1228" t="s">
        <v>132</v>
      </c>
      <c r="CZ1228" t="s">
        <v>137</v>
      </c>
      <c r="DA1228" t="s">
        <v>114</v>
      </c>
      <c r="DB1228" t="s">
        <v>114</v>
      </c>
      <c r="DC1228" t="s">
        <v>136</v>
      </c>
      <c r="DD1228" t="s">
        <v>114</v>
      </c>
      <c r="DE1228" t="s">
        <v>527</v>
      </c>
      <c r="DF1228" t="s">
        <v>528</v>
      </c>
      <c r="DG1228" t="s">
        <v>732</v>
      </c>
      <c r="DH1228" t="s">
        <v>520</v>
      </c>
      <c r="DI1228" t="s">
        <v>529</v>
      </c>
    </row>
    <row r="1229" spans="1:113" ht="15" customHeight="1" x14ac:dyDescent="0.25">
      <c r="A1229" t="s">
        <v>20761</v>
      </c>
      <c r="B1229" t="s">
        <v>152</v>
      </c>
      <c r="C1229" s="1">
        <v>45120.801152777778</v>
      </c>
      <c r="D1229" s="1">
        <v>45225</v>
      </c>
      <c r="E1229" t="s">
        <v>114</v>
      </c>
      <c r="F1229" t="s">
        <v>4327</v>
      </c>
      <c r="G1229" t="str">
        <f>"45-2092.00"</f>
        <v>45-2092.00</v>
      </c>
      <c r="H1229" t="s">
        <v>2007</v>
      </c>
      <c r="I1229">
        <v>25</v>
      </c>
      <c r="J1229">
        <v>25</v>
      </c>
      <c r="K1229" s="1">
        <v>45200</v>
      </c>
      <c r="L1229" s="1">
        <v>45427</v>
      </c>
      <c r="M1229" s="1">
        <v>45200</v>
      </c>
      <c r="N1229" s="1">
        <v>45427</v>
      </c>
      <c r="O1229" t="s">
        <v>238</v>
      </c>
      <c r="P1229" t="s">
        <v>4328</v>
      </c>
      <c r="R1229" t="s">
        <v>4329</v>
      </c>
      <c r="T1229" t="s">
        <v>4330</v>
      </c>
      <c r="U1229" t="s">
        <v>1154</v>
      </c>
      <c r="V1229" s="8" t="str">
        <f>"38834"</f>
        <v>38834</v>
      </c>
      <c r="W1229" t="s">
        <v>118</v>
      </c>
      <c r="Y1229" s="10">
        <v>16626434216</v>
      </c>
      <c r="AA1229">
        <v>11321</v>
      </c>
      <c r="AB1229" t="s">
        <v>4331</v>
      </c>
      <c r="AC1229" t="s">
        <v>4332</v>
      </c>
      <c r="AD1229" t="s">
        <v>132</v>
      </c>
      <c r="AE1229" t="s">
        <v>1836</v>
      </c>
      <c r="AF1229" t="s">
        <v>4333</v>
      </c>
      <c r="AH1229" t="s">
        <v>4330</v>
      </c>
      <c r="AI1229" t="s">
        <v>1154</v>
      </c>
      <c r="AJ1229" s="8" t="str">
        <f>"38834"</f>
        <v>38834</v>
      </c>
      <c r="AK1229" t="s">
        <v>118</v>
      </c>
      <c r="AM1229" s="10">
        <v>16626434216</v>
      </c>
      <c r="AO1229" t="s">
        <v>4334</v>
      </c>
      <c r="AP1229" t="s">
        <v>248</v>
      </c>
      <c r="AQ1229" t="s">
        <v>4335</v>
      </c>
      <c r="AR1229" t="s">
        <v>4336</v>
      </c>
      <c r="AS1229" t="s">
        <v>1798</v>
      </c>
      <c r="AT1229" t="s">
        <v>3080</v>
      </c>
      <c r="AU1229" t="s">
        <v>3081</v>
      </c>
      <c r="AV1229" t="s">
        <v>3082</v>
      </c>
      <c r="AW1229" t="s">
        <v>854</v>
      </c>
      <c r="AX1229" s="8" t="str">
        <f>"83814"</f>
        <v>83814</v>
      </c>
      <c r="AY1229" t="s">
        <v>118</v>
      </c>
      <c r="BA1229" s="10">
        <v>12087772654</v>
      </c>
      <c r="BC1229" t="s">
        <v>2154</v>
      </c>
      <c r="BD1229" t="s">
        <v>856</v>
      </c>
      <c r="BG1229" t="s">
        <v>127</v>
      </c>
      <c r="BH1229" s="1">
        <v>45119.833333333336</v>
      </c>
      <c r="BI1229">
        <v>35</v>
      </c>
      <c r="BJ1229">
        <v>0</v>
      </c>
      <c r="BK1229">
        <v>7</v>
      </c>
      <c r="BL1229">
        <v>7</v>
      </c>
      <c r="BM1229">
        <v>7</v>
      </c>
      <c r="BN1229">
        <v>7</v>
      </c>
      <c r="BO1229">
        <v>7</v>
      </c>
      <c r="BP1229">
        <v>0</v>
      </c>
      <c r="BQ1229" t="str">
        <f>"8:00 AM"</f>
        <v>8:00 AM</v>
      </c>
      <c r="BR1229" t="str">
        <f>"4:00 PM"</f>
        <v>4:00 PM</v>
      </c>
      <c r="BS1229" t="s">
        <v>131</v>
      </c>
      <c r="BT1229">
        <v>0</v>
      </c>
      <c r="BU1229">
        <v>0</v>
      </c>
      <c r="BV1229" t="s">
        <v>114</v>
      </c>
      <c r="BX1229" t="s">
        <v>4337</v>
      </c>
      <c r="BY1229" t="s">
        <v>20762</v>
      </c>
      <c r="CA1229" t="s">
        <v>20763</v>
      </c>
      <c r="CB1229" t="s">
        <v>127</v>
      </c>
      <c r="CC1229" s="8" t="str">
        <f>"75757"</f>
        <v>75757</v>
      </c>
      <c r="CD1229" t="s">
        <v>4936</v>
      </c>
      <c r="CE1229" t="s">
        <v>2876</v>
      </c>
      <c r="CF1229" s="12">
        <v>13.63</v>
      </c>
      <c r="CH1229" s="12">
        <v>20.45</v>
      </c>
      <c r="CJ1229" t="s">
        <v>135</v>
      </c>
      <c r="CK1229" t="s">
        <v>20764</v>
      </c>
      <c r="CL1229" t="s">
        <v>20765</v>
      </c>
      <c r="CO1229" t="s">
        <v>132</v>
      </c>
      <c r="CP1229" t="s">
        <v>114</v>
      </c>
      <c r="CQ1229" t="s">
        <v>114</v>
      </c>
      <c r="CR1229" t="s">
        <v>136</v>
      </c>
      <c r="CS1229" t="s">
        <v>136</v>
      </c>
      <c r="CT1229" t="s">
        <v>136</v>
      </c>
      <c r="CU1229" t="s">
        <v>114</v>
      </c>
      <c r="CV1229" t="s">
        <v>1040</v>
      </c>
      <c r="CW1229" s="10" t="str">
        <f>"+16626434216"</f>
        <v>+16626434216</v>
      </c>
      <c r="CX1229" t="s">
        <v>4343</v>
      </c>
      <c r="CY1229" t="s">
        <v>132</v>
      </c>
      <c r="CZ1229" t="s">
        <v>137</v>
      </c>
      <c r="DA1229" t="s">
        <v>114</v>
      </c>
      <c r="DB1229" t="s">
        <v>136</v>
      </c>
      <c r="DC1229" t="s">
        <v>136</v>
      </c>
      <c r="DD1229" t="s">
        <v>114</v>
      </c>
    </row>
    <row r="1230" spans="1:113" ht="15" customHeight="1" x14ac:dyDescent="0.25">
      <c r="A1230" t="s">
        <v>20733</v>
      </c>
      <c r="B1230" t="s">
        <v>152</v>
      </c>
      <c r="C1230" s="1">
        <v>45110.652175115742</v>
      </c>
      <c r="D1230" s="1">
        <v>45225</v>
      </c>
      <c r="E1230" t="s">
        <v>114</v>
      </c>
      <c r="F1230" t="s">
        <v>20734</v>
      </c>
      <c r="G1230" t="str">
        <f>"31-1122.00"</f>
        <v>31-1122.00</v>
      </c>
      <c r="H1230" t="s">
        <v>8076</v>
      </c>
      <c r="I1230">
        <v>3</v>
      </c>
      <c r="J1230">
        <v>3</v>
      </c>
      <c r="K1230" s="1">
        <v>45200</v>
      </c>
      <c r="L1230" s="1">
        <v>45596</v>
      </c>
      <c r="M1230" s="1">
        <v>45200</v>
      </c>
      <c r="N1230" s="1">
        <v>45596</v>
      </c>
      <c r="O1230" t="s">
        <v>184</v>
      </c>
      <c r="P1230" t="s">
        <v>20735</v>
      </c>
      <c r="Q1230" t="s">
        <v>20736</v>
      </c>
      <c r="R1230" t="s">
        <v>20737</v>
      </c>
      <c r="T1230" t="s">
        <v>20738</v>
      </c>
      <c r="U1230" t="s">
        <v>854</v>
      </c>
      <c r="V1230" s="8" t="str">
        <f>"83522"</f>
        <v>83522</v>
      </c>
      <c r="W1230" t="s">
        <v>118</v>
      </c>
      <c r="Y1230" s="10">
        <v>12088169006</v>
      </c>
      <c r="AA1230">
        <v>624120</v>
      </c>
      <c r="AB1230" t="s">
        <v>3600</v>
      </c>
      <c r="AC1230" t="s">
        <v>2580</v>
      </c>
      <c r="AE1230" t="s">
        <v>561</v>
      </c>
      <c r="AF1230" t="s">
        <v>20739</v>
      </c>
      <c r="AH1230" t="s">
        <v>20738</v>
      </c>
      <c r="AI1230" t="s">
        <v>854</v>
      </c>
      <c r="AJ1230" s="8" t="str">
        <f>"83522"</f>
        <v>83522</v>
      </c>
      <c r="AK1230" t="s">
        <v>118</v>
      </c>
      <c r="AM1230" s="10">
        <v>12088169006</v>
      </c>
      <c r="AO1230" t="s">
        <v>20740</v>
      </c>
      <c r="AP1230" t="s">
        <v>121</v>
      </c>
      <c r="AQ1230" t="s">
        <v>122</v>
      </c>
      <c r="AR1230" t="s">
        <v>123</v>
      </c>
      <c r="AS1230" t="s">
        <v>124</v>
      </c>
      <c r="AT1230" t="s">
        <v>20741</v>
      </c>
      <c r="AU1230" t="s">
        <v>20742</v>
      </c>
      <c r="AV1230" t="s">
        <v>126</v>
      </c>
      <c r="AW1230" t="s">
        <v>127</v>
      </c>
      <c r="AX1230" s="8" t="str">
        <f>"78216"</f>
        <v>78216</v>
      </c>
      <c r="AY1230" t="s">
        <v>118</v>
      </c>
      <c r="BA1230" s="10">
        <v>12102513972</v>
      </c>
      <c r="BC1230" t="s">
        <v>128</v>
      </c>
      <c r="BD1230" t="s">
        <v>129</v>
      </c>
      <c r="BE1230" t="s">
        <v>127</v>
      </c>
      <c r="BF1230" t="s">
        <v>12658</v>
      </c>
      <c r="BG1230" t="s">
        <v>854</v>
      </c>
      <c r="BH1230" s="1">
        <v>45109.833333333336</v>
      </c>
      <c r="BI1230">
        <v>40</v>
      </c>
      <c r="BJ1230">
        <v>8</v>
      </c>
      <c r="BK1230">
        <v>0</v>
      </c>
      <c r="BL1230">
        <v>8</v>
      </c>
      <c r="BM1230">
        <v>0</v>
      </c>
      <c r="BN1230">
        <v>8</v>
      </c>
      <c r="BO1230">
        <v>8</v>
      </c>
      <c r="BP1230">
        <v>8</v>
      </c>
      <c r="BQ1230" t="str">
        <f>"6:00 AM"</f>
        <v>6:00 AM</v>
      </c>
      <c r="BR1230" t="str">
        <f>"2:00 PM"</f>
        <v>2:00 PM</v>
      </c>
      <c r="BS1230" t="s">
        <v>131</v>
      </c>
      <c r="BT1230">
        <v>0</v>
      </c>
      <c r="BU1230">
        <v>0</v>
      </c>
      <c r="BV1230" t="s">
        <v>114</v>
      </c>
      <c r="BX1230" s="2" t="s">
        <v>20743</v>
      </c>
      <c r="BY1230" t="s">
        <v>20737</v>
      </c>
      <c r="CA1230" t="s">
        <v>20738</v>
      </c>
      <c r="CB1230" t="s">
        <v>854</v>
      </c>
      <c r="CC1230" s="8" t="str">
        <f>"83522"</f>
        <v>83522</v>
      </c>
      <c r="CD1230" t="s">
        <v>17590</v>
      </c>
      <c r="CE1230" t="s">
        <v>7289</v>
      </c>
      <c r="CF1230" s="12">
        <v>12.98</v>
      </c>
      <c r="CJ1230" t="s">
        <v>135</v>
      </c>
      <c r="CL1230" t="s">
        <v>20744</v>
      </c>
      <c r="CO1230" t="s">
        <v>132</v>
      </c>
      <c r="CP1230" t="s">
        <v>114</v>
      </c>
      <c r="CQ1230" t="s">
        <v>114</v>
      </c>
      <c r="CR1230" t="s">
        <v>114</v>
      </c>
      <c r="CS1230" t="s">
        <v>136</v>
      </c>
      <c r="CT1230" t="s">
        <v>136</v>
      </c>
      <c r="CU1230" t="s">
        <v>114</v>
      </c>
      <c r="CV1230" t="s">
        <v>1480</v>
      </c>
      <c r="CW1230" s="10" t="str">
        <f>"+12088169006"</f>
        <v>+12088169006</v>
      </c>
      <c r="CX1230" t="s">
        <v>20740</v>
      </c>
      <c r="CY1230" t="s">
        <v>132</v>
      </c>
      <c r="CZ1230" t="s">
        <v>137</v>
      </c>
      <c r="DA1230" t="s">
        <v>114</v>
      </c>
      <c r="DB1230" t="s">
        <v>114</v>
      </c>
      <c r="DC1230" t="s">
        <v>136</v>
      </c>
      <c r="DD1230" t="s">
        <v>114</v>
      </c>
    </row>
    <row r="1231" spans="1:113" ht="15" customHeight="1" x14ac:dyDescent="0.25">
      <c r="A1231" t="s">
        <v>18251</v>
      </c>
      <c r="B1231" t="s">
        <v>152</v>
      </c>
      <c r="C1231" s="1">
        <v>45110.58255428241</v>
      </c>
      <c r="D1231" s="1">
        <v>45225</v>
      </c>
      <c r="E1231" t="s">
        <v>114</v>
      </c>
      <c r="F1231" t="s">
        <v>7231</v>
      </c>
      <c r="G1231" t="str">
        <f>"47-2071.00"</f>
        <v>47-2071.00</v>
      </c>
      <c r="H1231" t="s">
        <v>2475</v>
      </c>
      <c r="I1231">
        <v>2</v>
      </c>
      <c r="J1231">
        <v>2</v>
      </c>
      <c r="K1231" s="1">
        <v>45200</v>
      </c>
      <c r="L1231" s="1">
        <v>45260</v>
      </c>
      <c r="M1231" s="1">
        <v>45200</v>
      </c>
      <c r="N1231" s="1">
        <v>45260</v>
      </c>
      <c r="O1231" t="s">
        <v>116</v>
      </c>
      <c r="P1231" t="s">
        <v>18252</v>
      </c>
      <c r="R1231" t="s">
        <v>18253</v>
      </c>
      <c r="T1231" t="s">
        <v>5846</v>
      </c>
      <c r="U1231" t="s">
        <v>792</v>
      </c>
      <c r="V1231" s="8" t="str">
        <f>"99163"</f>
        <v>99163</v>
      </c>
      <c r="W1231" t="s">
        <v>118</v>
      </c>
      <c r="Y1231" s="10">
        <v>15094326533</v>
      </c>
      <c r="AA1231">
        <v>237310</v>
      </c>
      <c r="AB1231" t="s">
        <v>5847</v>
      </c>
      <c r="AC1231" t="s">
        <v>560</v>
      </c>
      <c r="AD1231" t="s">
        <v>2057</v>
      </c>
      <c r="AE1231" t="s">
        <v>629</v>
      </c>
      <c r="AF1231" t="s">
        <v>18253</v>
      </c>
      <c r="AH1231" t="s">
        <v>5846</v>
      </c>
      <c r="AI1231" t="s">
        <v>792</v>
      </c>
      <c r="AJ1231" s="8" t="str">
        <f>"99163"</f>
        <v>99163</v>
      </c>
      <c r="AK1231" t="s">
        <v>118</v>
      </c>
      <c r="AM1231" s="10">
        <v>15094326533</v>
      </c>
      <c r="AO1231" t="s">
        <v>5848</v>
      </c>
      <c r="AP1231" t="s">
        <v>121</v>
      </c>
      <c r="AQ1231" t="s">
        <v>745</v>
      </c>
      <c r="AR1231" t="s">
        <v>746</v>
      </c>
      <c r="AT1231" t="s">
        <v>747</v>
      </c>
      <c r="AV1231" t="s">
        <v>603</v>
      </c>
      <c r="AW1231" t="s">
        <v>127</v>
      </c>
      <c r="AX1231" s="8" t="str">
        <f>"78737"</f>
        <v>78737</v>
      </c>
      <c r="AY1231" t="s">
        <v>118</v>
      </c>
      <c r="BA1231" s="10">
        <v>15128942128</v>
      </c>
      <c r="BC1231" t="s">
        <v>748</v>
      </c>
      <c r="BD1231" t="s">
        <v>749</v>
      </c>
      <c r="BE1231" t="s">
        <v>127</v>
      </c>
      <c r="BF1231" t="s">
        <v>750</v>
      </c>
      <c r="BG1231" t="s">
        <v>792</v>
      </c>
      <c r="BH1231" s="1">
        <v>45112.833333333336</v>
      </c>
      <c r="BI1231">
        <v>40</v>
      </c>
      <c r="BJ1231">
        <v>0</v>
      </c>
      <c r="BK1231">
        <v>8</v>
      </c>
      <c r="BL1231">
        <v>8</v>
      </c>
      <c r="BM1231">
        <v>8</v>
      </c>
      <c r="BN1231">
        <v>8</v>
      </c>
      <c r="BO1231">
        <v>8</v>
      </c>
      <c r="BP1231">
        <v>0</v>
      </c>
      <c r="BQ1231" t="str">
        <f>"8:00 AM"</f>
        <v>8:00 AM</v>
      </c>
      <c r="BR1231" t="str">
        <f>"5:00 PM"</f>
        <v>5:00 PM</v>
      </c>
      <c r="BS1231" t="s">
        <v>131</v>
      </c>
      <c r="BT1231">
        <v>0</v>
      </c>
      <c r="BU1231">
        <v>3</v>
      </c>
      <c r="BV1231" t="s">
        <v>114</v>
      </c>
      <c r="BX1231" s="2" t="s">
        <v>18254</v>
      </c>
      <c r="BY1231" t="s">
        <v>18253</v>
      </c>
      <c r="CA1231" t="s">
        <v>5846</v>
      </c>
      <c r="CB1231" t="s">
        <v>792</v>
      </c>
      <c r="CC1231" s="8" t="str">
        <f>"99163"</f>
        <v>99163</v>
      </c>
      <c r="CD1231" t="s">
        <v>5849</v>
      </c>
      <c r="CE1231" t="s">
        <v>5850</v>
      </c>
      <c r="CF1231" s="12">
        <v>33.369999999999997</v>
      </c>
      <c r="CG1231" s="12">
        <v>33.369999999999997</v>
      </c>
      <c r="CH1231" s="12">
        <v>50.06</v>
      </c>
      <c r="CI1231" s="12">
        <v>50.06</v>
      </c>
      <c r="CJ1231" t="s">
        <v>135</v>
      </c>
      <c r="CL1231" t="s">
        <v>18255</v>
      </c>
      <c r="CO1231" t="s">
        <v>132</v>
      </c>
      <c r="CP1231" t="s">
        <v>136</v>
      </c>
      <c r="CQ1231" t="s">
        <v>136</v>
      </c>
      <c r="CR1231" t="s">
        <v>136</v>
      </c>
      <c r="CS1231" t="s">
        <v>136</v>
      </c>
      <c r="CT1231" t="s">
        <v>136</v>
      </c>
      <c r="CU1231" t="s">
        <v>136</v>
      </c>
      <c r="CV1231" s="2" t="s">
        <v>18256</v>
      </c>
      <c r="CW1231" s="10" t="str">
        <f>"+15094326533"</f>
        <v>+15094326533</v>
      </c>
      <c r="CX1231" t="s">
        <v>5848</v>
      </c>
      <c r="CY1231" t="s">
        <v>132</v>
      </c>
      <c r="CZ1231" t="s">
        <v>137</v>
      </c>
      <c r="DA1231" t="s">
        <v>114</v>
      </c>
      <c r="DB1231" t="s">
        <v>114</v>
      </c>
      <c r="DC1231" t="s">
        <v>136</v>
      </c>
      <c r="DD1231" t="s">
        <v>114</v>
      </c>
    </row>
    <row r="1232" spans="1:113" ht="15" customHeight="1" x14ac:dyDescent="0.25">
      <c r="A1232" t="s">
        <v>8299</v>
      </c>
      <c r="B1232" t="s">
        <v>152</v>
      </c>
      <c r="C1232" s="1">
        <v>45171.018574768517</v>
      </c>
      <c r="D1232" s="1">
        <v>45224</v>
      </c>
      <c r="E1232" t="s">
        <v>132</v>
      </c>
      <c r="F1232" t="s">
        <v>1247</v>
      </c>
      <c r="G1232" t="str">
        <f>"45-4011.00"</f>
        <v>45-4011.00</v>
      </c>
      <c r="H1232" t="s">
        <v>842</v>
      </c>
      <c r="I1232">
        <v>12</v>
      </c>
      <c r="J1232">
        <v>12</v>
      </c>
      <c r="K1232" s="1">
        <v>45261</v>
      </c>
      <c r="L1232" s="1">
        <v>45382</v>
      </c>
      <c r="M1232" s="1">
        <v>45261</v>
      </c>
      <c r="N1232" s="1">
        <v>45382</v>
      </c>
      <c r="O1232" t="s">
        <v>238</v>
      </c>
      <c r="P1232" t="s">
        <v>8300</v>
      </c>
      <c r="R1232" t="s">
        <v>8301</v>
      </c>
      <c r="T1232" t="s">
        <v>1690</v>
      </c>
      <c r="U1232" t="s">
        <v>1691</v>
      </c>
      <c r="V1232" s="8" t="str">
        <f>"29579"</f>
        <v>29579</v>
      </c>
      <c r="W1232" t="s">
        <v>118</v>
      </c>
      <c r="Y1232" s="10">
        <v>18435033289</v>
      </c>
      <c r="AA1232">
        <v>11531</v>
      </c>
      <c r="AB1232" t="s">
        <v>8302</v>
      </c>
      <c r="AC1232" t="s">
        <v>218</v>
      </c>
      <c r="AE1232" t="s">
        <v>561</v>
      </c>
      <c r="AF1232" t="s">
        <v>8301</v>
      </c>
      <c r="AH1232" t="s">
        <v>1690</v>
      </c>
      <c r="AI1232" t="s">
        <v>1691</v>
      </c>
      <c r="AJ1232" s="8" t="str">
        <f>"29579"</f>
        <v>29579</v>
      </c>
      <c r="AK1232" t="s">
        <v>118</v>
      </c>
      <c r="AM1232" s="10">
        <v>18435033289</v>
      </c>
      <c r="AO1232" t="s">
        <v>8303</v>
      </c>
      <c r="AP1232" t="s">
        <v>248</v>
      </c>
      <c r="AQ1232" t="s">
        <v>4335</v>
      </c>
      <c r="AR1232" t="s">
        <v>4336</v>
      </c>
      <c r="AS1232" t="s">
        <v>1798</v>
      </c>
      <c r="AT1232" t="s">
        <v>3080</v>
      </c>
      <c r="AU1232" t="s">
        <v>3081</v>
      </c>
      <c r="AV1232" t="s">
        <v>3082</v>
      </c>
      <c r="AW1232" t="s">
        <v>854</v>
      </c>
      <c r="AX1232" s="8" t="str">
        <f>"83814"</f>
        <v>83814</v>
      </c>
      <c r="AY1232" t="s">
        <v>118</v>
      </c>
      <c r="BA1232" s="10">
        <v>12087772654</v>
      </c>
      <c r="BC1232" t="s">
        <v>2154</v>
      </c>
      <c r="BD1232" t="s">
        <v>856</v>
      </c>
      <c r="BG1232" t="s">
        <v>375</v>
      </c>
      <c r="BH1232" s="1">
        <v>45169.833333333336</v>
      </c>
      <c r="BI1232">
        <v>35</v>
      </c>
      <c r="BJ1232">
        <v>0</v>
      </c>
      <c r="BK1232">
        <v>7</v>
      </c>
      <c r="BL1232">
        <v>7</v>
      </c>
      <c r="BM1232">
        <v>7</v>
      </c>
      <c r="BN1232">
        <v>7</v>
      </c>
      <c r="BO1232">
        <v>7</v>
      </c>
      <c r="BP1232">
        <v>0</v>
      </c>
      <c r="BQ1232" t="str">
        <f>"7:00 AM"</f>
        <v>7:00 AM</v>
      </c>
      <c r="BR1232" t="str">
        <f>"6:30 PM"</f>
        <v>6:30 PM</v>
      </c>
      <c r="BS1232" t="s">
        <v>131</v>
      </c>
      <c r="BT1232">
        <v>0</v>
      </c>
      <c r="BU1232">
        <v>0</v>
      </c>
      <c r="BV1232" t="s">
        <v>114</v>
      </c>
      <c r="BX1232" t="s">
        <v>4841</v>
      </c>
      <c r="BY1232" t="s">
        <v>8304</v>
      </c>
      <c r="CA1232" t="s">
        <v>2393</v>
      </c>
      <c r="CB1232" t="s">
        <v>375</v>
      </c>
      <c r="CC1232" s="8" t="str">
        <f>"28752"</f>
        <v>28752</v>
      </c>
      <c r="CD1232" t="s">
        <v>8305</v>
      </c>
      <c r="CE1232" t="s">
        <v>641</v>
      </c>
      <c r="CF1232" s="12">
        <v>14.03</v>
      </c>
      <c r="CG1232" s="12">
        <v>30</v>
      </c>
      <c r="CH1232" s="12">
        <v>21.05</v>
      </c>
      <c r="CI1232" s="12">
        <v>45</v>
      </c>
      <c r="CJ1232" t="s">
        <v>135</v>
      </c>
      <c r="CK1232" t="s">
        <v>8306</v>
      </c>
      <c r="CL1232" t="s">
        <v>8307</v>
      </c>
      <c r="CO1232" t="s">
        <v>132</v>
      </c>
      <c r="CP1232" t="s">
        <v>136</v>
      </c>
      <c r="CQ1232" t="s">
        <v>136</v>
      </c>
      <c r="CR1232" t="s">
        <v>136</v>
      </c>
      <c r="CS1232" t="s">
        <v>136</v>
      </c>
      <c r="CT1232" t="s">
        <v>136</v>
      </c>
      <c r="CU1232" t="s">
        <v>136</v>
      </c>
      <c r="CV1232" t="s">
        <v>1040</v>
      </c>
      <c r="CW1232" s="10" t="str">
        <f>"+18283032654"</f>
        <v>+18283032654</v>
      </c>
      <c r="CX1232" t="s">
        <v>8308</v>
      </c>
      <c r="CY1232" t="s">
        <v>132</v>
      </c>
      <c r="CZ1232" t="s">
        <v>137</v>
      </c>
      <c r="DA1232" t="s">
        <v>114</v>
      </c>
      <c r="DB1232" t="s">
        <v>114</v>
      </c>
      <c r="DC1232" t="s">
        <v>136</v>
      </c>
      <c r="DD1232" t="s">
        <v>114</v>
      </c>
    </row>
    <row r="1233" spans="1:108" ht="15" customHeight="1" x14ac:dyDescent="0.25">
      <c r="A1233" t="s">
        <v>11901</v>
      </c>
      <c r="B1233" t="s">
        <v>152</v>
      </c>
      <c r="C1233" s="1">
        <v>45165.615629976855</v>
      </c>
      <c r="D1233" s="1">
        <v>45224</v>
      </c>
      <c r="E1233" t="s">
        <v>114</v>
      </c>
      <c r="F1233" t="s">
        <v>2310</v>
      </c>
      <c r="G1233" t="str">
        <f>"35-2014.00"</f>
        <v>35-2014.00</v>
      </c>
      <c r="H1233" t="s">
        <v>154</v>
      </c>
      <c r="I1233">
        <v>25</v>
      </c>
      <c r="J1233">
        <v>25</v>
      </c>
      <c r="K1233" s="1">
        <v>45254</v>
      </c>
      <c r="L1233" s="1">
        <v>45396</v>
      </c>
      <c r="M1233" s="1">
        <v>45254</v>
      </c>
      <c r="N1233" s="1">
        <v>45396</v>
      </c>
      <c r="O1233" t="s">
        <v>116</v>
      </c>
      <c r="P1233" t="s">
        <v>11902</v>
      </c>
      <c r="Q1233" t="s">
        <v>11903</v>
      </c>
      <c r="R1233" t="s">
        <v>11904</v>
      </c>
      <c r="T1233" t="s">
        <v>11905</v>
      </c>
      <c r="U1233" t="s">
        <v>188</v>
      </c>
      <c r="V1233" s="8" t="str">
        <f>"80487"</f>
        <v>80487</v>
      </c>
      <c r="W1233" t="s">
        <v>118</v>
      </c>
      <c r="Y1233" s="10">
        <v>19708715138</v>
      </c>
      <c r="AA1233">
        <v>72111</v>
      </c>
      <c r="AB1233" t="s">
        <v>2008</v>
      </c>
      <c r="AC1233" t="s">
        <v>957</v>
      </c>
      <c r="AE1233" t="s">
        <v>9003</v>
      </c>
      <c r="AF1233" t="s">
        <v>11904</v>
      </c>
      <c r="AH1233" t="s">
        <v>11905</v>
      </c>
      <c r="AI1233" t="s">
        <v>188</v>
      </c>
      <c r="AJ1233" s="8" t="str">
        <f>"80487"</f>
        <v>80487</v>
      </c>
      <c r="AK1233" t="s">
        <v>118</v>
      </c>
      <c r="AM1233" s="10">
        <v>19708715138</v>
      </c>
      <c r="AO1233" t="s">
        <v>11906</v>
      </c>
      <c r="AP1233" t="s">
        <v>121</v>
      </c>
      <c r="AQ1233" t="s">
        <v>1675</v>
      </c>
      <c r="AR1233" t="s">
        <v>1676</v>
      </c>
      <c r="AS1233" t="s">
        <v>1677</v>
      </c>
      <c r="AT1233" t="s">
        <v>1678</v>
      </c>
      <c r="AU1233" t="s">
        <v>296</v>
      </c>
      <c r="AV1233" t="s">
        <v>1679</v>
      </c>
      <c r="AW1233" t="s">
        <v>402</v>
      </c>
      <c r="AX1233" s="8" t="str">
        <f>"91361"</f>
        <v>91361</v>
      </c>
      <c r="AY1233" t="s">
        <v>118</v>
      </c>
      <c r="BA1233" s="10">
        <v>18052611393</v>
      </c>
      <c r="BC1233" t="s">
        <v>1680</v>
      </c>
      <c r="BD1233" t="s">
        <v>1681</v>
      </c>
      <c r="BE1233" t="s">
        <v>140</v>
      </c>
      <c r="BF1233" t="s">
        <v>146</v>
      </c>
      <c r="BG1233" t="s">
        <v>188</v>
      </c>
      <c r="BH1233" s="1">
        <v>45164.833333333336</v>
      </c>
      <c r="BI1233">
        <v>35</v>
      </c>
      <c r="BJ1233">
        <v>5</v>
      </c>
      <c r="BK1233">
        <v>5</v>
      </c>
      <c r="BL1233">
        <v>5</v>
      </c>
      <c r="BM1233">
        <v>5</v>
      </c>
      <c r="BN1233">
        <v>5</v>
      </c>
      <c r="BO1233">
        <v>5</v>
      </c>
      <c r="BP1233">
        <v>5</v>
      </c>
      <c r="BQ1233" t="str">
        <f>"7:00 AM"</f>
        <v>7:00 AM</v>
      </c>
      <c r="BR1233" t="str">
        <f>"11:00 PM"</f>
        <v>11:00 PM</v>
      </c>
      <c r="BS1233" t="s">
        <v>131</v>
      </c>
      <c r="BT1233">
        <v>0</v>
      </c>
      <c r="BU1233">
        <v>12</v>
      </c>
      <c r="BV1233" t="s">
        <v>114</v>
      </c>
      <c r="BX1233" s="2" t="s">
        <v>11907</v>
      </c>
      <c r="BY1233" t="s">
        <v>11904</v>
      </c>
      <c r="CA1233" t="s">
        <v>11905</v>
      </c>
      <c r="CB1233" t="s">
        <v>188</v>
      </c>
      <c r="CC1233" s="8" t="str">
        <f>"80487"</f>
        <v>80487</v>
      </c>
      <c r="CD1233" t="s">
        <v>11908</v>
      </c>
      <c r="CE1233" t="s">
        <v>1038</v>
      </c>
      <c r="CF1233" s="12">
        <v>17.510000000000002</v>
      </c>
      <c r="CG1233" s="12">
        <v>23</v>
      </c>
      <c r="CH1233" s="12">
        <v>26.27</v>
      </c>
      <c r="CI1233" s="12">
        <v>34.5</v>
      </c>
      <c r="CJ1233" t="s">
        <v>135</v>
      </c>
      <c r="CK1233" t="s">
        <v>11909</v>
      </c>
      <c r="CL1233" t="s">
        <v>11910</v>
      </c>
      <c r="CO1233" t="s">
        <v>132</v>
      </c>
      <c r="CP1233" t="s">
        <v>114</v>
      </c>
      <c r="CQ1233" t="s">
        <v>136</v>
      </c>
      <c r="CR1233" t="s">
        <v>136</v>
      </c>
      <c r="CS1233" t="s">
        <v>136</v>
      </c>
      <c r="CT1233" t="s">
        <v>136</v>
      </c>
      <c r="CU1233" t="s">
        <v>136</v>
      </c>
      <c r="CV1233" s="2" t="s">
        <v>11911</v>
      </c>
      <c r="CW1233" s="10" t="str">
        <f>"+19708715138"</f>
        <v>+19708715138</v>
      </c>
      <c r="CX1233" t="s">
        <v>11906</v>
      </c>
      <c r="CY1233" t="s">
        <v>132</v>
      </c>
      <c r="CZ1233" t="s">
        <v>137</v>
      </c>
      <c r="DA1233" t="s">
        <v>114</v>
      </c>
      <c r="DB1233" t="s">
        <v>114</v>
      </c>
      <c r="DC1233" t="s">
        <v>136</v>
      </c>
      <c r="DD1233" t="s">
        <v>114</v>
      </c>
    </row>
    <row r="1234" spans="1:108" ht="15" customHeight="1" x14ac:dyDescent="0.25">
      <c r="A1234" t="s">
        <v>16903</v>
      </c>
      <c r="B1234" t="s">
        <v>152</v>
      </c>
      <c r="C1234" s="1">
        <v>45162.72377326389</v>
      </c>
      <c r="D1234" s="1">
        <v>45224</v>
      </c>
      <c r="E1234" t="s">
        <v>114</v>
      </c>
      <c r="F1234" t="s">
        <v>3847</v>
      </c>
      <c r="G1234" t="str">
        <f>"39-2021.00"</f>
        <v>39-2021.00</v>
      </c>
      <c r="H1234" t="s">
        <v>2895</v>
      </c>
      <c r="I1234">
        <v>4</v>
      </c>
      <c r="J1234">
        <v>4</v>
      </c>
      <c r="K1234" s="1">
        <v>45237</v>
      </c>
      <c r="L1234" s="1">
        <v>45412</v>
      </c>
      <c r="M1234" s="1">
        <v>45237</v>
      </c>
      <c r="N1234" s="1">
        <v>45412</v>
      </c>
      <c r="O1234" t="s">
        <v>238</v>
      </c>
      <c r="P1234" t="s">
        <v>16904</v>
      </c>
      <c r="R1234" t="s">
        <v>16905</v>
      </c>
      <c r="T1234" t="s">
        <v>714</v>
      </c>
      <c r="U1234" t="s">
        <v>127</v>
      </c>
      <c r="V1234" s="8" t="str">
        <f>"79922"</f>
        <v>79922</v>
      </c>
      <c r="W1234" t="s">
        <v>118</v>
      </c>
      <c r="Y1234" s="10">
        <v>19155495077</v>
      </c>
      <c r="AA1234">
        <v>711212</v>
      </c>
      <c r="AB1234" t="s">
        <v>16906</v>
      </c>
      <c r="AC1234" t="s">
        <v>9431</v>
      </c>
      <c r="AE1234" t="s">
        <v>3852</v>
      </c>
      <c r="AF1234" t="s">
        <v>16905</v>
      </c>
      <c r="AH1234" t="s">
        <v>714</v>
      </c>
      <c r="AI1234" t="s">
        <v>127</v>
      </c>
      <c r="AJ1234" s="8" t="str">
        <f>"79922"</f>
        <v>79922</v>
      </c>
      <c r="AK1234" t="s">
        <v>118</v>
      </c>
      <c r="AM1234" s="10">
        <v>19155495077</v>
      </c>
      <c r="AO1234" t="s">
        <v>16907</v>
      </c>
      <c r="AP1234" t="s">
        <v>121</v>
      </c>
      <c r="AQ1234" t="s">
        <v>3854</v>
      </c>
      <c r="AR1234" t="s">
        <v>144</v>
      </c>
      <c r="AS1234" t="s">
        <v>3855</v>
      </c>
      <c r="AT1234" t="s">
        <v>2605</v>
      </c>
      <c r="AU1234" t="s">
        <v>2606</v>
      </c>
      <c r="AV1234" t="s">
        <v>2607</v>
      </c>
      <c r="AW1234" t="s">
        <v>2608</v>
      </c>
      <c r="AX1234" s="8" t="str">
        <f>"73069"</f>
        <v>73069</v>
      </c>
      <c r="AY1234" t="s">
        <v>118</v>
      </c>
      <c r="BA1234" s="10">
        <v>14053642525</v>
      </c>
      <c r="BC1234" t="s">
        <v>2609</v>
      </c>
      <c r="BD1234" t="s">
        <v>2610</v>
      </c>
      <c r="BE1234" t="s">
        <v>2608</v>
      </c>
      <c r="BF1234" t="s">
        <v>2611</v>
      </c>
      <c r="BG1234" t="s">
        <v>140</v>
      </c>
      <c r="BH1234" s="1">
        <v>45161.833333333336</v>
      </c>
      <c r="BI1234">
        <v>56</v>
      </c>
      <c r="BJ1234">
        <v>8</v>
      </c>
      <c r="BK1234">
        <v>8</v>
      </c>
      <c r="BL1234">
        <v>8</v>
      </c>
      <c r="BM1234">
        <v>8</v>
      </c>
      <c r="BN1234">
        <v>8</v>
      </c>
      <c r="BO1234">
        <v>8</v>
      </c>
      <c r="BP1234">
        <v>8</v>
      </c>
      <c r="BQ1234" t="str">
        <f>"5:00 AM"</f>
        <v>5:00 AM</v>
      </c>
      <c r="BR1234" t="str">
        <f>"5:00 PM"</f>
        <v>5:00 PM</v>
      </c>
      <c r="BS1234" t="s">
        <v>131</v>
      </c>
      <c r="BT1234">
        <v>0</v>
      </c>
      <c r="BU1234">
        <v>1</v>
      </c>
      <c r="BV1234" t="s">
        <v>114</v>
      </c>
      <c r="BX1234" s="2" t="s">
        <v>3116</v>
      </c>
      <c r="BY1234" t="s">
        <v>16908</v>
      </c>
      <c r="BZ1234" t="s">
        <v>16909</v>
      </c>
      <c r="CA1234" t="s">
        <v>16910</v>
      </c>
      <c r="CB1234" t="s">
        <v>140</v>
      </c>
      <c r="CC1234" s="8" t="str">
        <f>"33626"</f>
        <v>33626</v>
      </c>
      <c r="CD1234" t="s">
        <v>781</v>
      </c>
      <c r="CE1234" t="s">
        <v>467</v>
      </c>
      <c r="CF1234" s="12">
        <v>12.83</v>
      </c>
      <c r="CG1234" s="12">
        <v>12.83</v>
      </c>
      <c r="CH1234" s="12">
        <v>19.25</v>
      </c>
      <c r="CI1234" s="12">
        <v>19.25</v>
      </c>
      <c r="CJ1234" t="s">
        <v>135</v>
      </c>
      <c r="CL1234" t="s">
        <v>16911</v>
      </c>
      <c r="CO1234" t="s">
        <v>132</v>
      </c>
      <c r="CP1234" t="s">
        <v>114</v>
      </c>
      <c r="CQ1234" t="s">
        <v>114</v>
      </c>
      <c r="CR1234" t="s">
        <v>136</v>
      </c>
      <c r="CS1234" t="s">
        <v>114</v>
      </c>
      <c r="CT1234" t="s">
        <v>136</v>
      </c>
      <c r="CU1234" t="s">
        <v>136</v>
      </c>
      <c r="CV1234" t="s">
        <v>3861</v>
      </c>
      <c r="CW1234" s="10" t="str">
        <f>"+19155495077"</f>
        <v>+19155495077</v>
      </c>
      <c r="CX1234" t="s">
        <v>16907</v>
      </c>
      <c r="CY1234" t="s">
        <v>132</v>
      </c>
      <c r="CZ1234" t="s">
        <v>137</v>
      </c>
      <c r="DA1234" t="s">
        <v>114</v>
      </c>
      <c r="DB1234" t="s">
        <v>114</v>
      </c>
      <c r="DC1234" t="s">
        <v>136</v>
      </c>
      <c r="DD1234" t="s">
        <v>114</v>
      </c>
    </row>
    <row r="1235" spans="1:108" ht="15" customHeight="1" x14ac:dyDescent="0.25">
      <c r="A1235" t="s">
        <v>21563</v>
      </c>
      <c r="B1235" t="s">
        <v>152</v>
      </c>
      <c r="C1235" s="1">
        <v>45162.4197255787</v>
      </c>
      <c r="D1235" s="1">
        <v>45224</v>
      </c>
      <c r="E1235" t="s">
        <v>136</v>
      </c>
      <c r="F1235" t="s">
        <v>21564</v>
      </c>
      <c r="G1235" t="str">
        <f>"35-2014.00"</f>
        <v>35-2014.00</v>
      </c>
      <c r="H1235" t="s">
        <v>154</v>
      </c>
      <c r="I1235">
        <v>12</v>
      </c>
      <c r="J1235">
        <v>12</v>
      </c>
      <c r="K1235" s="1">
        <v>45245</v>
      </c>
      <c r="L1235" s="1">
        <v>45412</v>
      </c>
      <c r="M1235" s="1">
        <v>45245</v>
      </c>
      <c r="N1235" s="1">
        <v>45412</v>
      </c>
      <c r="O1235" t="s">
        <v>238</v>
      </c>
      <c r="P1235" t="s">
        <v>9360</v>
      </c>
      <c r="Q1235" t="s">
        <v>9361</v>
      </c>
      <c r="R1235" t="s">
        <v>9362</v>
      </c>
      <c r="S1235" t="s">
        <v>9363</v>
      </c>
      <c r="T1235" t="s">
        <v>9364</v>
      </c>
      <c r="U1235" t="s">
        <v>402</v>
      </c>
      <c r="V1235" s="8" t="str">
        <f>"95724"</f>
        <v>95724</v>
      </c>
      <c r="W1235" t="s">
        <v>118</v>
      </c>
      <c r="Y1235" s="10">
        <v>15304269000</v>
      </c>
      <c r="AA1235">
        <v>721110</v>
      </c>
      <c r="AB1235" t="s">
        <v>9365</v>
      </c>
      <c r="AC1235" t="s">
        <v>6509</v>
      </c>
      <c r="AE1235" t="s">
        <v>9366</v>
      </c>
      <c r="AF1235" t="s">
        <v>9362</v>
      </c>
      <c r="AG1235" t="s">
        <v>9363</v>
      </c>
      <c r="AH1235" t="s">
        <v>9364</v>
      </c>
      <c r="AI1235" t="s">
        <v>402</v>
      </c>
      <c r="AJ1235" s="8" t="str">
        <f>"95724"</f>
        <v>95724</v>
      </c>
      <c r="AK1235" t="s">
        <v>118</v>
      </c>
      <c r="AM1235" s="10">
        <v>15304269000</v>
      </c>
      <c r="AO1235" t="s">
        <v>9367</v>
      </c>
      <c r="AP1235" t="s">
        <v>121</v>
      </c>
      <c r="AQ1235" t="s">
        <v>276</v>
      </c>
      <c r="AR1235" t="s">
        <v>277</v>
      </c>
      <c r="AS1235" t="s">
        <v>278</v>
      </c>
      <c r="AT1235" t="s">
        <v>279</v>
      </c>
      <c r="AU1235" t="s">
        <v>280</v>
      </c>
      <c r="AV1235" t="s">
        <v>281</v>
      </c>
      <c r="AW1235" t="s">
        <v>222</v>
      </c>
      <c r="AX1235" s="8" t="str">
        <f>"01701"</f>
        <v>01701</v>
      </c>
      <c r="AY1235" t="s">
        <v>118</v>
      </c>
      <c r="BA1235" s="10">
        <v>16179399444</v>
      </c>
      <c r="BC1235" t="s">
        <v>282</v>
      </c>
      <c r="BD1235" t="s">
        <v>283</v>
      </c>
      <c r="BE1235" t="s">
        <v>222</v>
      </c>
      <c r="BF1235" t="s">
        <v>284</v>
      </c>
      <c r="BG1235" t="s">
        <v>402</v>
      </c>
      <c r="BH1235" s="1">
        <v>45161.833333333336</v>
      </c>
      <c r="BI1235">
        <v>40</v>
      </c>
      <c r="BJ1235">
        <v>0</v>
      </c>
      <c r="BK1235">
        <v>8</v>
      </c>
      <c r="BL1235">
        <v>8</v>
      </c>
      <c r="BM1235">
        <v>8</v>
      </c>
      <c r="BN1235">
        <v>8</v>
      </c>
      <c r="BO1235">
        <v>8</v>
      </c>
      <c r="BP1235">
        <v>0</v>
      </c>
      <c r="BQ1235" t="str">
        <f>"6:00 AM"</f>
        <v>6:00 AM</v>
      </c>
      <c r="BR1235" t="str">
        <f>"2:00 PM"</f>
        <v>2:00 PM</v>
      </c>
      <c r="BS1235" t="s">
        <v>131</v>
      </c>
      <c r="BT1235">
        <v>0</v>
      </c>
      <c r="BU1235">
        <v>6</v>
      </c>
      <c r="BV1235" t="s">
        <v>114</v>
      </c>
      <c r="BX1235" s="2" t="s">
        <v>21565</v>
      </c>
      <c r="BY1235" t="s">
        <v>9362</v>
      </c>
      <c r="CA1235" t="s">
        <v>9364</v>
      </c>
      <c r="CB1235" t="s">
        <v>402</v>
      </c>
      <c r="CC1235" s="8" t="str">
        <f>"95724"</f>
        <v>95724</v>
      </c>
      <c r="CD1235" t="s">
        <v>4340</v>
      </c>
      <c r="CE1235" t="s">
        <v>7472</v>
      </c>
      <c r="CF1235" s="12">
        <v>22</v>
      </c>
      <c r="CG1235" s="12">
        <v>40</v>
      </c>
      <c r="CH1235" s="12">
        <v>33</v>
      </c>
      <c r="CI1235" s="12">
        <v>60</v>
      </c>
      <c r="CJ1235" t="s">
        <v>135</v>
      </c>
      <c r="CK1235" t="s">
        <v>21566</v>
      </c>
      <c r="CL1235" t="s">
        <v>21567</v>
      </c>
      <c r="CO1235" t="s">
        <v>132</v>
      </c>
      <c r="CP1235" t="s">
        <v>114</v>
      </c>
      <c r="CQ1235" t="s">
        <v>114</v>
      </c>
      <c r="CR1235" t="s">
        <v>136</v>
      </c>
      <c r="CS1235" t="s">
        <v>136</v>
      </c>
      <c r="CT1235" t="s">
        <v>136</v>
      </c>
      <c r="CU1235" t="s">
        <v>136</v>
      </c>
      <c r="CV1235" t="s">
        <v>21568</v>
      </c>
      <c r="CW1235" s="10" t="str">
        <f>"+15304269000"</f>
        <v>+15304269000</v>
      </c>
      <c r="CX1235" t="s">
        <v>9372</v>
      </c>
      <c r="CY1235" t="s">
        <v>132</v>
      </c>
      <c r="CZ1235" t="s">
        <v>137</v>
      </c>
      <c r="DA1235" t="s">
        <v>114</v>
      </c>
      <c r="DB1235" t="s">
        <v>114</v>
      </c>
      <c r="DC1235" t="s">
        <v>136</v>
      </c>
      <c r="DD1235" t="s">
        <v>114</v>
      </c>
    </row>
    <row r="1236" spans="1:108" ht="15" customHeight="1" x14ac:dyDescent="0.25">
      <c r="A1236" t="s">
        <v>8481</v>
      </c>
      <c r="B1236" t="s">
        <v>152</v>
      </c>
      <c r="C1236" s="1">
        <v>45160.492316203701</v>
      </c>
      <c r="D1236" s="1">
        <v>45224</v>
      </c>
      <c r="E1236" t="s">
        <v>136</v>
      </c>
      <c r="F1236" t="s">
        <v>2512</v>
      </c>
      <c r="G1236" t="str">
        <f>"35-3031.00"</f>
        <v>35-3031.00</v>
      </c>
      <c r="H1236" t="s">
        <v>347</v>
      </c>
      <c r="I1236">
        <v>3</v>
      </c>
      <c r="J1236">
        <v>3</v>
      </c>
      <c r="K1236" s="1">
        <v>45250</v>
      </c>
      <c r="L1236" s="1">
        <v>45382</v>
      </c>
      <c r="M1236" s="1">
        <v>45250</v>
      </c>
      <c r="N1236" s="1">
        <v>45382</v>
      </c>
      <c r="O1236" t="s">
        <v>116</v>
      </c>
      <c r="P1236" t="s">
        <v>8482</v>
      </c>
      <c r="Q1236" t="s">
        <v>8483</v>
      </c>
      <c r="R1236" t="s">
        <v>8484</v>
      </c>
      <c r="T1236" t="s">
        <v>5738</v>
      </c>
      <c r="U1236" t="s">
        <v>506</v>
      </c>
      <c r="V1236" s="8" t="str">
        <f>"05674"</f>
        <v>05674</v>
      </c>
      <c r="W1236" t="s">
        <v>118</v>
      </c>
      <c r="Y1236" s="10">
        <v>18024963864</v>
      </c>
      <c r="AA1236">
        <v>721110</v>
      </c>
      <c r="AB1236" t="s">
        <v>8485</v>
      </c>
      <c r="AC1236" t="s">
        <v>2238</v>
      </c>
      <c r="AE1236" t="s">
        <v>561</v>
      </c>
      <c r="AF1236" t="s">
        <v>8486</v>
      </c>
      <c r="AG1236" t="s">
        <v>8487</v>
      </c>
      <c r="AH1236" t="s">
        <v>8488</v>
      </c>
      <c r="AI1236" t="s">
        <v>140</v>
      </c>
      <c r="AJ1236" s="8" t="str">
        <f>"32963"</f>
        <v>32963</v>
      </c>
      <c r="AK1236" t="s">
        <v>118</v>
      </c>
      <c r="AM1236" s="10">
        <v>18024963864</v>
      </c>
      <c r="AO1236" t="s">
        <v>8489</v>
      </c>
      <c r="AP1236" t="s">
        <v>121</v>
      </c>
      <c r="AQ1236" t="s">
        <v>276</v>
      </c>
      <c r="AR1236" t="s">
        <v>277</v>
      </c>
      <c r="AS1236" t="s">
        <v>278</v>
      </c>
      <c r="AT1236" t="s">
        <v>279</v>
      </c>
      <c r="AU1236" t="s">
        <v>280</v>
      </c>
      <c r="AV1236" t="s">
        <v>281</v>
      </c>
      <c r="AW1236" t="s">
        <v>222</v>
      </c>
      <c r="AX1236" s="8" t="str">
        <f>"01701"</f>
        <v>01701</v>
      </c>
      <c r="AY1236" t="s">
        <v>118</v>
      </c>
      <c r="BA1236" s="10">
        <v>16179399444</v>
      </c>
      <c r="BC1236" t="s">
        <v>282</v>
      </c>
      <c r="BD1236" t="s">
        <v>283</v>
      </c>
      <c r="BE1236" t="s">
        <v>222</v>
      </c>
      <c r="BF1236" t="s">
        <v>284</v>
      </c>
      <c r="BG1236" t="s">
        <v>506</v>
      </c>
      <c r="BH1236" s="1">
        <v>45159.833333333336</v>
      </c>
      <c r="BI1236">
        <v>40</v>
      </c>
      <c r="BJ1236">
        <v>0</v>
      </c>
      <c r="BK1236">
        <v>8</v>
      </c>
      <c r="BL1236">
        <v>8</v>
      </c>
      <c r="BM1236">
        <v>8</v>
      </c>
      <c r="BN1236">
        <v>8</v>
      </c>
      <c r="BO1236">
        <v>8</v>
      </c>
      <c r="BP1236">
        <v>0</v>
      </c>
      <c r="BQ1236" t="str">
        <f>"6:00 AM"</f>
        <v>6:00 AM</v>
      </c>
      <c r="BR1236" t="str">
        <f>"2:00 PM"</f>
        <v>2:00 PM</v>
      </c>
      <c r="BS1236" t="s">
        <v>131</v>
      </c>
      <c r="BT1236">
        <v>0</v>
      </c>
      <c r="BU1236">
        <v>3</v>
      </c>
      <c r="BV1236" t="s">
        <v>114</v>
      </c>
      <c r="BX1236" s="2" t="s">
        <v>8490</v>
      </c>
      <c r="BY1236" t="s">
        <v>8484</v>
      </c>
      <c r="CA1236" t="s">
        <v>5738</v>
      </c>
      <c r="CB1236" t="s">
        <v>506</v>
      </c>
      <c r="CC1236" s="8" t="str">
        <f>"05674"</f>
        <v>05674</v>
      </c>
      <c r="CD1236" t="s">
        <v>1017</v>
      </c>
      <c r="CE1236" t="s">
        <v>1108</v>
      </c>
      <c r="CF1236" s="12">
        <v>21.6</v>
      </c>
      <c r="CH1236" s="12">
        <v>32.4</v>
      </c>
      <c r="CJ1236" t="s">
        <v>135</v>
      </c>
      <c r="CK1236" t="s">
        <v>8491</v>
      </c>
      <c r="CL1236" t="s">
        <v>8492</v>
      </c>
      <c r="CO1236" t="s">
        <v>132</v>
      </c>
      <c r="CP1236" t="s">
        <v>136</v>
      </c>
      <c r="CQ1236" t="s">
        <v>114</v>
      </c>
      <c r="CR1236" t="s">
        <v>136</v>
      </c>
      <c r="CS1236" t="s">
        <v>114</v>
      </c>
      <c r="CT1236" t="s">
        <v>136</v>
      </c>
      <c r="CU1236" t="s">
        <v>136</v>
      </c>
      <c r="CV1236" t="s">
        <v>8493</v>
      </c>
      <c r="CW1236" s="10" t="str">
        <f>"+18024966350"</f>
        <v>+18024966350</v>
      </c>
      <c r="CX1236" t="s">
        <v>8489</v>
      </c>
      <c r="CY1236" t="s">
        <v>132</v>
      </c>
      <c r="CZ1236" t="s">
        <v>137</v>
      </c>
      <c r="DA1236" t="s">
        <v>114</v>
      </c>
      <c r="DB1236" t="s">
        <v>114</v>
      </c>
      <c r="DC1236" t="s">
        <v>136</v>
      </c>
      <c r="DD1236" t="s">
        <v>114</v>
      </c>
    </row>
    <row r="1237" spans="1:108" ht="15" customHeight="1" x14ac:dyDescent="0.25">
      <c r="A1237" t="s">
        <v>6948</v>
      </c>
      <c r="B1237" t="s">
        <v>152</v>
      </c>
      <c r="C1237" s="1">
        <v>45156.658616203706</v>
      </c>
      <c r="D1237" s="1">
        <v>45224</v>
      </c>
      <c r="E1237" t="s">
        <v>136</v>
      </c>
      <c r="F1237" t="s">
        <v>6949</v>
      </c>
      <c r="G1237" t="str">
        <f>"37-3011.00"</f>
        <v>37-3011.00</v>
      </c>
      <c r="H1237" t="s">
        <v>429</v>
      </c>
      <c r="I1237">
        <v>15</v>
      </c>
      <c r="J1237">
        <v>15</v>
      </c>
      <c r="K1237" s="1">
        <v>45245</v>
      </c>
      <c r="L1237" s="1">
        <v>45383</v>
      </c>
      <c r="M1237" s="1">
        <v>45245</v>
      </c>
      <c r="N1237" s="1">
        <v>45383</v>
      </c>
      <c r="O1237" t="s">
        <v>238</v>
      </c>
      <c r="P1237" t="s">
        <v>6950</v>
      </c>
      <c r="R1237" t="s">
        <v>6951</v>
      </c>
      <c r="T1237" t="s">
        <v>6952</v>
      </c>
      <c r="U1237" t="s">
        <v>2262</v>
      </c>
      <c r="V1237" s="8" t="str">
        <f>"06052"</f>
        <v>06052</v>
      </c>
      <c r="W1237" t="s">
        <v>118</v>
      </c>
      <c r="Y1237" s="10">
        <v>18609837429</v>
      </c>
      <c r="AA1237">
        <v>561730</v>
      </c>
      <c r="AB1237" t="s">
        <v>6953</v>
      </c>
      <c r="AC1237" t="s">
        <v>6954</v>
      </c>
      <c r="AE1237" t="s">
        <v>5288</v>
      </c>
      <c r="AF1237" t="s">
        <v>6955</v>
      </c>
      <c r="AH1237" t="s">
        <v>6956</v>
      </c>
      <c r="AI1237" t="s">
        <v>2262</v>
      </c>
      <c r="AJ1237" s="8" t="str">
        <f>"06052"</f>
        <v>06052</v>
      </c>
      <c r="AK1237" t="s">
        <v>118</v>
      </c>
      <c r="AM1237" s="10">
        <v>18609837429</v>
      </c>
      <c r="AO1237" t="s">
        <v>6957</v>
      </c>
      <c r="AX1237" s="8" t="str">
        <f>""</f>
        <v/>
      </c>
      <c r="BG1237" t="s">
        <v>2262</v>
      </c>
      <c r="BH1237" s="1">
        <v>45151.833333333336</v>
      </c>
      <c r="BI1237">
        <v>48</v>
      </c>
      <c r="BJ1237">
        <v>0</v>
      </c>
      <c r="BK1237">
        <v>8</v>
      </c>
      <c r="BL1237">
        <v>8</v>
      </c>
      <c r="BM1237">
        <v>8</v>
      </c>
      <c r="BN1237">
        <v>8</v>
      </c>
      <c r="BO1237">
        <v>8</v>
      </c>
      <c r="BP1237">
        <v>8</v>
      </c>
      <c r="BQ1237" t="str">
        <f>"7:00 AM"</f>
        <v>7:00 AM</v>
      </c>
      <c r="BR1237" t="str">
        <f>"3:30 PM"</f>
        <v>3:30 PM</v>
      </c>
      <c r="BS1237" t="s">
        <v>131</v>
      </c>
      <c r="BT1237">
        <v>0</v>
      </c>
      <c r="BU1237">
        <v>0</v>
      </c>
      <c r="BV1237" t="s">
        <v>114</v>
      </c>
      <c r="BX1237" s="2" t="s">
        <v>6958</v>
      </c>
      <c r="BY1237" t="s">
        <v>6959</v>
      </c>
      <c r="CA1237" t="s">
        <v>6960</v>
      </c>
      <c r="CB1237" t="s">
        <v>2262</v>
      </c>
      <c r="CC1237" s="8" t="str">
        <f>"06052"</f>
        <v>06052</v>
      </c>
      <c r="CD1237" t="s">
        <v>2268</v>
      </c>
      <c r="CE1237" t="s">
        <v>2269</v>
      </c>
      <c r="CF1237" s="12">
        <v>19.7</v>
      </c>
      <c r="CG1237" s="12">
        <v>19.7</v>
      </c>
      <c r="CH1237" s="12">
        <v>29.55</v>
      </c>
      <c r="CI1237" s="12">
        <v>29.55</v>
      </c>
      <c r="CJ1237" t="s">
        <v>135</v>
      </c>
      <c r="CK1237" t="s">
        <v>6961</v>
      </c>
      <c r="CL1237" t="s">
        <v>6962</v>
      </c>
      <c r="CO1237" t="s">
        <v>132</v>
      </c>
      <c r="CP1237" t="s">
        <v>136</v>
      </c>
      <c r="CQ1237" t="s">
        <v>136</v>
      </c>
      <c r="CR1237" t="s">
        <v>136</v>
      </c>
      <c r="CS1237" t="s">
        <v>136</v>
      </c>
      <c r="CT1237" t="s">
        <v>136</v>
      </c>
      <c r="CU1237" t="s">
        <v>136</v>
      </c>
      <c r="CV1237" s="2" t="s">
        <v>6963</v>
      </c>
      <c r="CW1237" s="10" t="str">
        <f>"+18605058447"</f>
        <v>+18605058447</v>
      </c>
      <c r="CX1237" t="s">
        <v>6964</v>
      </c>
      <c r="CY1237" t="s">
        <v>132</v>
      </c>
      <c r="CZ1237" t="s">
        <v>137</v>
      </c>
      <c r="DA1237" t="s">
        <v>114</v>
      </c>
      <c r="DB1237" t="s">
        <v>114</v>
      </c>
      <c r="DC1237" t="s">
        <v>136</v>
      </c>
      <c r="DD1237" t="s">
        <v>114</v>
      </c>
    </row>
    <row r="1238" spans="1:108" ht="15" customHeight="1" x14ac:dyDescent="0.25">
      <c r="A1238" t="s">
        <v>17078</v>
      </c>
      <c r="B1238" t="s">
        <v>152</v>
      </c>
      <c r="C1238" s="1">
        <v>45146.837371296293</v>
      </c>
      <c r="D1238" s="1">
        <v>45224</v>
      </c>
      <c r="E1238" t="s">
        <v>114</v>
      </c>
      <c r="F1238" t="s">
        <v>17079</v>
      </c>
      <c r="G1238" t="str">
        <f>"51-6052.00"</f>
        <v>51-6052.00</v>
      </c>
      <c r="H1238" t="s">
        <v>13611</v>
      </c>
      <c r="I1238">
        <v>10</v>
      </c>
      <c r="J1238">
        <v>10</v>
      </c>
      <c r="K1238" s="1">
        <v>45222</v>
      </c>
      <c r="L1238" s="1">
        <v>45460</v>
      </c>
      <c r="M1238" s="1">
        <v>45222</v>
      </c>
      <c r="N1238" s="1">
        <v>45460</v>
      </c>
      <c r="O1238" t="s">
        <v>116</v>
      </c>
      <c r="P1238" t="s">
        <v>17080</v>
      </c>
      <c r="Q1238" t="s">
        <v>17081</v>
      </c>
      <c r="R1238" t="s">
        <v>17082</v>
      </c>
      <c r="S1238" t="s">
        <v>5434</v>
      </c>
      <c r="T1238" t="s">
        <v>603</v>
      </c>
      <c r="U1238" t="s">
        <v>127</v>
      </c>
      <c r="V1238" s="8" t="str">
        <f>"78704"</f>
        <v>78704</v>
      </c>
      <c r="W1238" t="s">
        <v>118</v>
      </c>
      <c r="Y1238" s="10">
        <v>15124161234</v>
      </c>
      <c r="AA1238">
        <v>3152</v>
      </c>
      <c r="AB1238" t="s">
        <v>17083</v>
      </c>
      <c r="AC1238" t="s">
        <v>17084</v>
      </c>
      <c r="AD1238" t="s">
        <v>1828</v>
      </c>
      <c r="AE1238" t="s">
        <v>4277</v>
      </c>
      <c r="AF1238" t="s">
        <v>17085</v>
      </c>
      <c r="AG1238" t="s">
        <v>5434</v>
      </c>
      <c r="AH1238" t="s">
        <v>603</v>
      </c>
      <c r="AI1238" t="s">
        <v>127</v>
      </c>
      <c r="AJ1238" s="8" t="str">
        <f>"78704"</f>
        <v>78704</v>
      </c>
      <c r="AK1238" t="s">
        <v>118</v>
      </c>
      <c r="AM1238" s="10">
        <v>15124161234</v>
      </c>
      <c r="AO1238" t="s">
        <v>796</v>
      </c>
      <c r="AP1238" t="s">
        <v>121</v>
      </c>
      <c r="AQ1238" t="s">
        <v>1871</v>
      </c>
      <c r="AR1238" t="s">
        <v>11310</v>
      </c>
      <c r="AT1238" t="s">
        <v>17086</v>
      </c>
      <c r="AU1238" t="s">
        <v>5960</v>
      </c>
      <c r="AV1238" t="s">
        <v>603</v>
      </c>
      <c r="AW1238" t="s">
        <v>127</v>
      </c>
      <c r="AX1238" s="8" t="str">
        <f>"78731"</f>
        <v>78731</v>
      </c>
      <c r="AY1238" t="s">
        <v>118</v>
      </c>
      <c r="BA1238" s="10">
        <v>15124780100</v>
      </c>
      <c r="BC1238" t="s">
        <v>17087</v>
      </c>
      <c r="BD1238" t="s">
        <v>17088</v>
      </c>
      <c r="BE1238" t="s">
        <v>127</v>
      </c>
      <c r="BF1238" t="s">
        <v>713</v>
      </c>
      <c r="BG1238" t="s">
        <v>127</v>
      </c>
      <c r="BH1238" s="1">
        <v>45145.833333333336</v>
      </c>
      <c r="BI1238">
        <v>40</v>
      </c>
      <c r="BJ1238">
        <v>0</v>
      </c>
      <c r="BK1238">
        <v>7</v>
      </c>
      <c r="BL1238">
        <v>7</v>
      </c>
      <c r="BM1238">
        <v>7</v>
      </c>
      <c r="BN1238">
        <v>7</v>
      </c>
      <c r="BO1238">
        <v>7</v>
      </c>
      <c r="BP1238">
        <v>5</v>
      </c>
      <c r="BQ1238" t="str">
        <f>"9:00 AM"</f>
        <v>9:00 AM</v>
      </c>
      <c r="BR1238" t="str">
        <f>"5:00 PM"</f>
        <v>5:00 PM</v>
      </c>
      <c r="BS1238" t="s">
        <v>131</v>
      </c>
      <c r="BT1238">
        <v>0</v>
      </c>
      <c r="BU1238">
        <v>3</v>
      </c>
      <c r="BV1238" t="s">
        <v>114</v>
      </c>
      <c r="BX1238" t="s">
        <v>17089</v>
      </c>
      <c r="BY1238" t="s">
        <v>17090</v>
      </c>
      <c r="BZ1238" t="s">
        <v>5434</v>
      </c>
      <c r="CA1238" t="s">
        <v>603</v>
      </c>
      <c r="CB1238" t="s">
        <v>127</v>
      </c>
      <c r="CC1238" s="8" t="str">
        <f>"78704"</f>
        <v>78704</v>
      </c>
      <c r="CD1238" t="s">
        <v>323</v>
      </c>
      <c r="CE1238" t="s">
        <v>324</v>
      </c>
      <c r="CF1238" s="12">
        <v>18.2</v>
      </c>
      <c r="CG1238" s="12">
        <v>18.2</v>
      </c>
      <c r="CH1238" s="12">
        <v>27.3</v>
      </c>
      <c r="CI1238" s="12">
        <v>27.3</v>
      </c>
      <c r="CJ1238" t="s">
        <v>135</v>
      </c>
      <c r="CK1238" t="s">
        <v>796</v>
      </c>
      <c r="CL1238" t="s">
        <v>17091</v>
      </c>
      <c r="CO1238" t="s">
        <v>132</v>
      </c>
      <c r="CP1238" t="s">
        <v>136</v>
      </c>
      <c r="CQ1238" t="s">
        <v>114</v>
      </c>
      <c r="CR1238" t="s">
        <v>136</v>
      </c>
      <c r="CS1238" t="s">
        <v>114</v>
      </c>
      <c r="CT1238" t="s">
        <v>136</v>
      </c>
      <c r="CU1238" t="s">
        <v>114</v>
      </c>
      <c r="CV1238" t="s">
        <v>2270</v>
      </c>
      <c r="CW1238" s="10" t="str">
        <f>"+15124161234"</f>
        <v>+15124161234</v>
      </c>
      <c r="CX1238" t="s">
        <v>17092</v>
      </c>
      <c r="CY1238" t="s">
        <v>796</v>
      </c>
      <c r="CZ1238" t="s">
        <v>137</v>
      </c>
      <c r="DA1238" t="s">
        <v>114</v>
      </c>
      <c r="DB1238" t="s">
        <v>114</v>
      </c>
      <c r="DC1238" t="s">
        <v>136</v>
      </c>
      <c r="DD1238" t="s">
        <v>114</v>
      </c>
    </row>
    <row r="1239" spans="1:108" ht="15" customHeight="1" x14ac:dyDescent="0.25">
      <c r="A1239" t="s">
        <v>10613</v>
      </c>
      <c r="B1239" t="s">
        <v>152</v>
      </c>
      <c r="C1239" s="1">
        <v>45140.529707407404</v>
      </c>
      <c r="D1239" s="1">
        <v>45224</v>
      </c>
      <c r="E1239" t="s">
        <v>114</v>
      </c>
      <c r="F1239" t="s">
        <v>700</v>
      </c>
      <c r="G1239" t="str">
        <f>"37-3011.00"</f>
        <v>37-3011.00</v>
      </c>
      <c r="H1239" t="s">
        <v>429</v>
      </c>
      <c r="I1239">
        <v>5</v>
      </c>
      <c r="J1239">
        <v>5</v>
      </c>
      <c r="K1239" s="1">
        <v>45215</v>
      </c>
      <c r="L1239" s="1">
        <v>45292</v>
      </c>
      <c r="M1239" s="1">
        <v>45215</v>
      </c>
      <c r="N1239" s="1">
        <v>45292</v>
      </c>
      <c r="O1239" t="s">
        <v>238</v>
      </c>
      <c r="P1239" t="s">
        <v>10614</v>
      </c>
      <c r="R1239" t="s">
        <v>10615</v>
      </c>
      <c r="T1239" t="s">
        <v>9282</v>
      </c>
      <c r="U1239" t="s">
        <v>127</v>
      </c>
      <c r="V1239" s="8" t="str">
        <f>"75766"</f>
        <v>75766</v>
      </c>
      <c r="W1239" t="s">
        <v>118</v>
      </c>
      <c r="Y1239" s="10">
        <v>19033938138</v>
      </c>
      <c r="AA1239">
        <v>56173</v>
      </c>
      <c r="AB1239" t="s">
        <v>1820</v>
      </c>
      <c r="AC1239" t="s">
        <v>10616</v>
      </c>
      <c r="AE1239" t="s">
        <v>561</v>
      </c>
      <c r="AF1239" t="s">
        <v>10615</v>
      </c>
      <c r="AH1239" t="s">
        <v>10617</v>
      </c>
      <c r="AI1239" t="s">
        <v>127</v>
      </c>
      <c r="AJ1239" s="8" t="str">
        <f>"75766"</f>
        <v>75766</v>
      </c>
      <c r="AK1239" t="s">
        <v>118</v>
      </c>
      <c r="AM1239" s="10">
        <v>19033938138</v>
      </c>
      <c r="AO1239" t="s">
        <v>132</v>
      </c>
      <c r="AP1239" t="s">
        <v>121</v>
      </c>
      <c r="AQ1239" t="s">
        <v>4293</v>
      </c>
      <c r="AR1239" t="s">
        <v>4294</v>
      </c>
      <c r="AS1239" t="s">
        <v>3625</v>
      </c>
      <c r="AT1239" t="s">
        <v>9626</v>
      </c>
      <c r="AV1239" t="s">
        <v>320</v>
      </c>
      <c r="AW1239" t="s">
        <v>127</v>
      </c>
      <c r="AX1239" s="8" t="str">
        <f>"78705"</f>
        <v>78705</v>
      </c>
      <c r="AY1239" t="s">
        <v>118</v>
      </c>
      <c r="BA1239" s="10">
        <v>15123470007</v>
      </c>
      <c r="BC1239" t="s">
        <v>4296</v>
      </c>
      <c r="BD1239" t="s">
        <v>4297</v>
      </c>
      <c r="BE1239" t="s">
        <v>127</v>
      </c>
      <c r="BF1239" t="s">
        <v>4298</v>
      </c>
      <c r="BG1239" t="s">
        <v>127</v>
      </c>
      <c r="BH1239" s="1">
        <v>45139.833333333336</v>
      </c>
      <c r="BI1239">
        <v>40</v>
      </c>
      <c r="BJ1239">
        <v>0</v>
      </c>
      <c r="BK1239">
        <v>8</v>
      </c>
      <c r="BL1239">
        <v>8</v>
      </c>
      <c r="BM1239">
        <v>8</v>
      </c>
      <c r="BN1239">
        <v>8</v>
      </c>
      <c r="BO1239">
        <v>8</v>
      </c>
      <c r="BP1239">
        <v>0</v>
      </c>
      <c r="BQ1239" t="str">
        <f>"8:00 AM"</f>
        <v>8:00 AM</v>
      </c>
      <c r="BR1239" t="str">
        <f>"5:00 PM"</f>
        <v>5:00 PM</v>
      </c>
      <c r="BS1239" t="s">
        <v>131</v>
      </c>
      <c r="BT1239">
        <v>0</v>
      </c>
      <c r="BU1239">
        <v>3</v>
      </c>
      <c r="BV1239" t="s">
        <v>114</v>
      </c>
      <c r="BX1239" t="s">
        <v>4299</v>
      </c>
      <c r="BY1239" t="s">
        <v>10615</v>
      </c>
      <c r="CA1239" t="s">
        <v>603</v>
      </c>
      <c r="CB1239" t="s">
        <v>127</v>
      </c>
      <c r="CC1239" s="8" t="str">
        <f>"75766"</f>
        <v>75766</v>
      </c>
      <c r="CD1239" t="s">
        <v>4936</v>
      </c>
      <c r="CE1239" t="s">
        <v>2876</v>
      </c>
      <c r="CF1239" s="12">
        <v>14.8</v>
      </c>
      <c r="CH1239" s="12">
        <v>22.2</v>
      </c>
      <c r="CJ1239" t="s">
        <v>135</v>
      </c>
      <c r="CL1239" t="s">
        <v>10618</v>
      </c>
      <c r="CO1239" t="s">
        <v>132</v>
      </c>
      <c r="CP1239" t="s">
        <v>136</v>
      </c>
      <c r="CQ1239" t="s">
        <v>136</v>
      </c>
      <c r="CR1239" t="s">
        <v>136</v>
      </c>
      <c r="CS1239" t="s">
        <v>136</v>
      </c>
      <c r="CT1239" t="s">
        <v>136</v>
      </c>
      <c r="CU1239" t="s">
        <v>136</v>
      </c>
      <c r="CV1239" t="s">
        <v>4797</v>
      </c>
      <c r="CW1239" s="10" t="str">
        <f>"+19033938138"</f>
        <v>+19033938138</v>
      </c>
      <c r="CX1239" t="s">
        <v>10619</v>
      </c>
      <c r="CY1239" t="s">
        <v>132</v>
      </c>
      <c r="CZ1239" t="s">
        <v>137</v>
      </c>
      <c r="DA1239" t="s">
        <v>114</v>
      </c>
      <c r="DB1239" t="s">
        <v>114</v>
      </c>
      <c r="DC1239" t="s">
        <v>136</v>
      </c>
      <c r="DD1239" t="s">
        <v>114</v>
      </c>
    </row>
    <row r="1240" spans="1:108" ht="15" customHeight="1" x14ac:dyDescent="0.25">
      <c r="A1240" t="s">
        <v>18186</v>
      </c>
      <c r="B1240" t="s">
        <v>152</v>
      </c>
      <c r="C1240" s="1">
        <v>45139.660520254627</v>
      </c>
      <c r="D1240" s="1">
        <v>45224</v>
      </c>
      <c r="E1240" t="s">
        <v>114</v>
      </c>
      <c r="F1240" t="s">
        <v>700</v>
      </c>
      <c r="G1240" t="str">
        <f>"37-3011.00"</f>
        <v>37-3011.00</v>
      </c>
      <c r="H1240" t="s">
        <v>429</v>
      </c>
      <c r="I1240">
        <v>16</v>
      </c>
      <c r="J1240">
        <v>16</v>
      </c>
      <c r="K1240" s="1">
        <v>45214</v>
      </c>
      <c r="L1240" s="1">
        <v>45382</v>
      </c>
      <c r="M1240" s="1">
        <v>45214</v>
      </c>
      <c r="N1240" s="1">
        <v>45382</v>
      </c>
      <c r="O1240" t="s">
        <v>238</v>
      </c>
      <c r="P1240" t="s">
        <v>18187</v>
      </c>
      <c r="R1240" t="s">
        <v>18188</v>
      </c>
      <c r="T1240" t="s">
        <v>985</v>
      </c>
      <c r="U1240" t="s">
        <v>127</v>
      </c>
      <c r="V1240" s="8" t="str">
        <f>"75002"</f>
        <v>75002</v>
      </c>
      <c r="W1240" t="s">
        <v>118</v>
      </c>
      <c r="Y1240" s="10">
        <v>12146737750</v>
      </c>
      <c r="AA1240">
        <v>561730</v>
      </c>
      <c r="AB1240" t="s">
        <v>18189</v>
      </c>
      <c r="AC1240" t="s">
        <v>12155</v>
      </c>
      <c r="AE1240" t="s">
        <v>1799</v>
      </c>
      <c r="AF1240" t="s">
        <v>18188</v>
      </c>
      <c r="AH1240" t="s">
        <v>985</v>
      </c>
      <c r="AI1240" t="s">
        <v>127</v>
      </c>
      <c r="AJ1240" s="8" t="str">
        <f>"75002"</f>
        <v>75002</v>
      </c>
      <c r="AK1240" t="s">
        <v>118</v>
      </c>
      <c r="AM1240" s="10">
        <v>12146737750</v>
      </c>
      <c r="AO1240" t="s">
        <v>132</v>
      </c>
      <c r="AP1240" t="s">
        <v>121</v>
      </c>
      <c r="AQ1240" t="s">
        <v>1172</v>
      </c>
      <c r="AR1240" t="s">
        <v>1173</v>
      </c>
      <c r="AS1240" t="s">
        <v>708</v>
      </c>
      <c r="AT1240" t="s">
        <v>4084</v>
      </c>
      <c r="AU1240" t="s">
        <v>4085</v>
      </c>
      <c r="AV1240" t="s">
        <v>603</v>
      </c>
      <c r="AW1240" t="s">
        <v>127</v>
      </c>
      <c r="AX1240" s="8" t="str">
        <f>"78758"</f>
        <v>78758</v>
      </c>
      <c r="AY1240" t="s">
        <v>118</v>
      </c>
      <c r="BA1240" s="10">
        <v>15128722894</v>
      </c>
      <c r="BC1240" t="s">
        <v>1175</v>
      </c>
      <c r="BD1240" t="s">
        <v>4086</v>
      </c>
      <c r="BE1240" t="s">
        <v>127</v>
      </c>
      <c r="BF1240" t="s">
        <v>750</v>
      </c>
      <c r="BG1240" t="s">
        <v>127</v>
      </c>
      <c r="BH1240" s="1">
        <v>45138.833333333336</v>
      </c>
      <c r="BI1240">
        <v>40</v>
      </c>
      <c r="BJ1240">
        <v>0</v>
      </c>
      <c r="BK1240">
        <v>8</v>
      </c>
      <c r="BL1240">
        <v>8</v>
      </c>
      <c r="BM1240">
        <v>8</v>
      </c>
      <c r="BN1240">
        <v>8</v>
      </c>
      <c r="BO1240">
        <v>8</v>
      </c>
      <c r="BP1240">
        <v>0</v>
      </c>
      <c r="BQ1240" t="str">
        <f>"8:00 AM"</f>
        <v>8:00 AM</v>
      </c>
      <c r="BR1240" t="str">
        <f>"5:00 PM"</f>
        <v>5:00 PM</v>
      </c>
      <c r="BS1240" t="s">
        <v>131</v>
      </c>
      <c r="BT1240">
        <v>0</v>
      </c>
      <c r="BU1240">
        <v>0</v>
      </c>
      <c r="BV1240" t="s">
        <v>114</v>
      </c>
      <c r="BX1240" t="s">
        <v>132</v>
      </c>
      <c r="BY1240" t="s">
        <v>18188</v>
      </c>
      <c r="CA1240" t="s">
        <v>985</v>
      </c>
      <c r="CB1240" t="s">
        <v>127</v>
      </c>
      <c r="CC1240" s="8" t="str">
        <f>"75002"</f>
        <v>75002</v>
      </c>
      <c r="CD1240" t="s">
        <v>1177</v>
      </c>
      <c r="CE1240" t="s">
        <v>263</v>
      </c>
      <c r="CF1240" s="12">
        <v>16.3</v>
      </c>
      <c r="CG1240" s="12">
        <v>16.3</v>
      </c>
      <c r="CH1240" s="12">
        <v>24.45</v>
      </c>
      <c r="CI1240" s="12">
        <v>24.45</v>
      </c>
      <c r="CJ1240" t="s">
        <v>135</v>
      </c>
      <c r="CL1240" t="s">
        <v>18190</v>
      </c>
      <c r="CO1240" t="s">
        <v>132</v>
      </c>
      <c r="CP1240" t="s">
        <v>136</v>
      </c>
      <c r="CQ1240" t="s">
        <v>136</v>
      </c>
      <c r="CR1240" t="s">
        <v>136</v>
      </c>
      <c r="CS1240" t="s">
        <v>114</v>
      </c>
      <c r="CT1240" t="s">
        <v>136</v>
      </c>
      <c r="CU1240" t="s">
        <v>136</v>
      </c>
      <c r="CV1240" t="s">
        <v>18191</v>
      </c>
      <c r="CW1240" s="10" t="str">
        <f>"+19724421997"</f>
        <v>+19724421997</v>
      </c>
      <c r="CX1240" t="s">
        <v>18192</v>
      </c>
      <c r="CY1240" t="s">
        <v>132</v>
      </c>
      <c r="CZ1240" t="s">
        <v>137</v>
      </c>
      <c r="DA1240" t="s">
        <v>114</v>
      </c>
      <c r="DB1240" t="s">
        <v>114</v>
      </c>
      <c r="DC1240" t="s">
        <v>136</v>
      </c>
      <c r="DD1240" t="s">
        <v>114</v>
      </c>
    </row>
    <row r="1241" spans="1:108" ht="15" customHeight="1" x14ac:dyDescent="0.25">
      <c r="A1241" t="s">
        <v>8347</v>
      </c>
      <c r="B1241" t="s">
        <v>152</v>
      </c>
      <c r="C1241" s="1">
        <v>45137.860354745368</v>
      </c>
      <c r="D1241" s="1">
        <v>45224</v>
      </c>
      <c r="E1241" t="s">
        <v>114</v>
      </c>
      <c r="F1241" t="s">
        <v>8348</v>
      </c>
      <c r="G1241" t="str">
        <f>"39-2021.00"</f>
        <v>39-2021.00</v>
      </c>
      <c r="H1241" t="s">
        <v>2895</v>
      </c>
      <c r="I1241">
        <v>7</v>
      </c>
      <c r="J1241">
        <v>7</v>
      </c>
      <c r="K1241" s="1">
        <v>45227</v>
      </c>
      <c r="L1241" s="1">
        <v>45530</v>
      </c>
      <c r="M1241" s="1">
        <v>45227</v>
      </c>
      <c r="N1241" s="1">
        <v>45530</v>
      </c>
      <c r="O1241" t="s">
        <v>116</v>
      </c>
      <c r="P1241" t="s">
        <v>8349</v>
      </c>
      <c r="R1241" t="s">
        <v>8350</v>
      </c>
      <c r="T1241" t="s">
        <v>8351</v>
      </c>
      <c r="U1241" t="s">
        <v>402</v>
      </c>
      <c r="V1241" s="8" t="str">
        <f>"90274"</f>
        <v>90274</v>
      </c>
      <c r="W1241" t="s">
        <v>118</v>
      </c>
      <c r="Y1241" s="10">
        <v>13102547609</v>
      </c>
      <c r="AA1241">
        <v>71121</v>
      </c>
      <c r="AB1241" t="s">
        <v>8352</v>
      </c>
      <c r="AC1241" t="s">
        <v>1843</v>
      </c>
      <c r="AE1241" t="s">
        <v>629</v>
      </c>
      <c r="AF1241" t="s">
        <v>8350</v>
      </c>
      <c r="AH1241" t="s">
        <v>8351</v>
      </c>
      <c r="AI1241" t="s">
        <v>402</v>
      </c>
      <c r="AJ1241" s="8" t="str">
        <f>"90274"</f>
        <v>90274</v>
      </c>
      <c r="AK1241" t="s">
        <v>118</v>
      </c>
      <c r="AM1241" s="10">
        <v>13102547609</v>
      </c>
      <c r="AO1241" t="s">
        <v>8353</v>
      </c>
      <c r="AP1241" t="s">
        <v>121</v>
      </c>
      <c r="AQ1241" t="s">
        <v>8354</v>
      </c>
      <c r="AR1241" t="s">
        <v>1872</v>
      </c>
      <c r="AS1241" t="s">
        <v>8355</v>
      </c>
      <c r="AT1241" t="s">
        <v>8356</v>
      </c>
      <c r="AU1241" t="s">
        <v>296</v>
      </c>
      <c r="AV1241" t="s">
        <v>401</v>
      </c>
      <c r="AW1241" t="s">
        <v>402</v>
      </c>
      <c r="AX1241" s="8" t="str">
        <f>"92008"</f>
        <v>92008</v>
      </c>
      <c r="AY1241" t="s">
        <v>118</v>
      </c>
      <c r="BA1241" s="10">
        <v>17609185584</v>
      </c>
      <c r="BC1241" t="s">
        <v>8357</v>
      </c>
      <c r="BD1241" t="s">
        <v>8358</v>
      </c>
      <c r="BE1241" t="s">
        <v>402</v>
      </c>
      <c r="BF1241" t="s">
        <v>8359</v>
      </c>
      <c r="BG1241" t="s">
        <v>402</v>
      </c>
      <c r="BH1241" s="1">
        <v>45135.833333333336</v>
      </c>
      <c r="BI1241">
        <v>42</v>
      </c>
      <c r="BJ1241">
        <v>7</v>
      </c>
      <c r="BK1241">
        <v>0</v>
      </c>
      <c r="BL1241">
        <v>7</v>
      </c>
      <c r="BM1241">
        <v>7</v>
      </c>
      <c r="BN1241">
        <v>7</v>
      </c>
      <c r="BO1241">
        <v>7</v>
      </c>
      <c r="BP1241">
        <v>7</v>
      </c>
      <c r="BQ1241" t="str">
        <f>"9:00 AM"</f>
        <v>9:00 AM</v>
      </c>
      <c r="BR1241" t="str">
        <f>"5:00 PM"</f>
        <v>5:00 PM</v>
      </c>
      <c r="BS1241" t="s">
        <v>131</v>
      </c>
      <c r="BT1241">
        <v>0</v>
      </c>
      <c r="BU1241">
        <v>3</v>
      </c>
      <c r="BV1241" t="s">
        <v>114</v>
      </c>
      <c r="BX1241" s="2" t="s">
        <v>8360</v>
      </c>
      <c r="BY1241" t="s">
        <v>8361</v>
      </c>
      <c r="BZ1241" t="s">
        <v>8362</v>
      </c>
      <c r="CA1241" t="s">
        <v>8363</v>
      </c>
      <c r="CB1241" t="s">
        <v>402</v>
      </c>
      <c r="CC1241" s="8" t="str">
        <f>"92274"</f>
        <v>92274</v>
      </c>
      <c r="CD1241" t="s">
        <v>5876</v>
      </c>
      <c r="CE1241" t="s">
        <v>4484</v>
      </c>
      <c r="CF1241" s="12">
        <v>19.12</v>
      </c>
      <c r="CG1241" s="12">
        <v>19.12</v>
      </c>
      <c r="CH1241" s="12">
        <v>28.68</v>
      </c>
      <c r="CI1241" s="12">
        <v>28.68</v>
      </c>
      <c r="CJ1241" t="s">
        <v>135</v>
      </c>
      <c r="CK1241" t="s">
        <v>132</v>
      </c>
      <c r="CL1241" t="s">
        <v>8364</v>
      </c>
      <c r="CO1241" t="s">
        <v>132</v>
      </c>
      <c r="CP1241" t="s">
        <v>136</v>
      </c>
      <c r="CQ1241" t="s">
        <v>136</v>
      </c>
      <c r="CR1241" t="s">
        <v>136</v>
      </c>
      <c r="CS1241" t="s">
        <v>114</v>
      </c>
      <c r="CT1241" t="s">
        <v>136</v>
      </c>
      <c r="CU1241" t="s">
        <v>136</v>
      </c>
      <c r="CV1241" s="2" t="s">
        <v>8365</v>
      </c>
      <c r="CW1241" s="10" t="str">
        <f>"+13102547609"</f>
        <v>+13102547609</v>
      </c>
      <c r="CX1241" t="s">
        <v>8353</v>
      </c>
      <c r="CY1241" t="s">
        <v>132</v>
      </c>
      <c r="CZ1241" t="s">
        <v>137</v>
      </c>
      <c r="DA1241" t="s">
        <v>114</v>
      </c>
      <c r="DB1241" t="s">
        <v>114</v>
      </c>
      <c r="DC1241" t="s">
        <v>136</v>
      </c>
      <c r="DD1241" t="s">
        <v>114</v>
      </c>
    </row>
    <row r="1242" spans="1:108" ht="15" customHeight="1" x14ac:dyDescent="0.25">
      <c r="A1242" t="s">
        <v>18429</v>
      </c>
      <c r="B1242" t="s">
        <v>152</v>
      </c>
      <c r="C1242" s="1">
        <v>45127.647464699075</v>
      </c>
      <c r="D1242" s="1">
        <v>45224</v>
      </c>
      <c r="E1242" t="s">
        <v>114</v>
      </c>
      <c r="F1242" t="s">
        <v>700</v>
      </c>
      <c r="G1242" t="str">
        <f>"49-9099.00"</f>
        <v>49-9099.00</v>
      </c>
      <c r="H1242" t="s">
        <v>3863</v>
      </c>
      <c r="I1242">
        <v>23</v>
      </c>
      <c r="J1242">
        <v>23</v>
      </c>
      <c r="K1242" s="1">
        <v>45202</v>
      </c>
      <c r="L1242" s="1">
        <v>45382</v>
      </c>
      <c r="M1242" s="1">
        <v>45202</v>
      </c>
      <c r="N1242" s="1">
        <v>45382</v>
      </c>
      <c r="O1242" t="s">
        <v>238</v>
      </c>
      <c r="P1242" t="s">
        <v>18430</v>
      </c>
      <c r="R1242" t="s">
        <v>18431</v>
      </c>
      <c r="T1242" t="s">
        <v>11691</v>
      </c>
      <c r="U1242" t="s">
        <v>127</v>
      </c>
      <c r="V1242" s="8" t="str">
        <f>"78602"</f>
        <v>78602</v>
      </c>
      <c r="W1242" t="s">
        <v>118</v>
      </c>
      <c r="Y1242" s="10">
        <v>15127857207</v>
      </c>
      <c r="AA1242">
        <v>56173</v>
      </c>
      <c r="AB1242" t="s">
        <v>3600</v>
      </c>
      <c r="AC1242" t="s">
        <v>18432</v>
      </c>
      <c r="AE1242" t="s">
        <v>561</v>
      </c>
      <c r="AF1242" t="s">
        <v>18431</v>
      </c>
      <c r="AH1242" t="s">
        <v>11691</v>
      </c>
      <c r="AI1242" t="s">
        <v>127</v>
      </c>
      <c r="AJ1242" s="8" t="str">
        <f>"78602"</f>
        <v>78602</v>
      </c>
      <c r="AK1242" t="s">
        <v>118</v>
      </c>
      <c r="AM1242" s="10">
        <v>15127857207</v>
      </c>
      <c r="AO1242" t="s">
        <v>132</v>
      </c>
      <c r="AP1242" t="s">
        <v>121</v>
      </c>
      <c r="AQ1242" t="s">
        <v>1172</v>
      </c>
      <c r="AR1242" t="s">
        <v>1173</v>
      </c>
      <c r="AS1242" t="s">
        <v>708</v>
      </c>
      <c r="AT1242" t="s">
        <v>18433</v>
      </c>
      <c r="AU1242" t="s">
        <v>4085</v>
      </c>
      <c r="AV1242" t="s">
        <v>320</v>
      </c>
      <c r="AW1242" t="s">
        <v>127</v>
      </c>
      <c r="AX1242" s="8" t="str">
        <f>"78758"</f>
        <v>78758</v>
      </c>
      <c r="AY1242" t="s">
        <v>118</v>
      </c>
      <c r="BA1242" s="10">
        <v>15123470007</v>
      </c>
      <c r="BC1242" t="s">
        <v>1175</v>
      </c>
      <c r="BD1242" t="s">
        <v>4086</v>
      </c>
      <c r="BE1242" t="s">
        <v>127</v>
      </c>
      <c r="BF1242" t="s">
        <v>18434</v>
      </c>
      <c r="BG1242" t="s">
        <v>127</v>
      </c>
      <c r="BH1242" s="1">
        <v>45126.833333333336</v>
      </c>
      <c r="BI1242">
        <v>40</v>
      </c>
      <c r="BJ1242">
        <v>0</v>
      </c>
      <c r="BK1242">
        <v>8</v>
      </c>
      <c r="BL1242">
        <v>8</v>
      </c>
      <c r="BM1242">
        <v>8</v>
      </c>
      <c r="BN1242">
        <v>8</v>
      </c>
      <c r="BO1242">
        <v>8</v>
      </c>
      <c r="BP1242">
        <v>0</v>
      </c>
      <c r="BQ1242" t="str">
        <f>"8:00 AM"</f>
        <v>8:00 AM</v>
      </c>
      <c r="BR1242" t="str">
        <f>"5:00 PM"</f>
        <v>5:00 PM</v>
      </c>
      <c r="BS1242" t="s">
        <v>131</v>
      </c>
      <c r="BT1242">
        <v>0</v>
      </c>
      <c r="BU1242">
        <v>3</v>
      </c>
      <c r="BV1242" t="s">
        <v>114</v>
      </c>
      <c r="BX1242" t="s">
        <v>132</v>
      </c>
      <c r="BY1242" t="s">
        <v>18431</v>
      </c>
      <c r="CA1242" t="s">
        <v>11691</v>
      </c>
      <c r="CB1242" t="s">
        <v>127</v>
      </c>
      <c r="CC1242" s="8" t="str">
        <f>"78602"</f>
        <v>78602</v>
      </c>
      <c r="CD1242" t="s">
        <v>9188</v>
      </c>
      <c r="CE1242" t="s">
        <v>324</v>
      </c>
      <c r="CF1242" s="12">
        <v>21.95</v>
      </c>
      <c r="CG1242" s="12">
        <v>21.95</v>
      </c>
      <c r="CH1242" s="12">
        <v>32.93</v>
      </c>
      <c r="CI1242" s="12">
        <v>32.93</v>
      </c>
      <c r="CJ1242" t="s">
        <v>135</v>
      </c>
      <c r="CL1242" t="s">
        <v>18435</v>
      </c>
      <c r="CO1242" t="s">
        <v>132</v>
      </c>
      <c r="CP1242" t="s">
        <v>136</v>
      </c>
      <c r="CQ1242" t="s">
        <v>136</v>
      </c>
      <c r="CR1242" t="s">
        <v>136</v>
      </c>
      <c r="CS1242" t="s">
        <v>136</v>
      </c>
      <c r="CT1242" t="s">
        <v>136</v>
      </c>
      <c r="CU1242" t="s">
        <v>136</v>
      </c>
      <c r="CV1242" t="s">
        <v>18436</v>
      </c>
      <c r="CW1242" s="10" t="str">
        <f>"+15127857207"</f>
        <v>+15127857207</v>
      </c>
      <c r="CX1242" t="s">
        <v>18437</v>
      </c>
      <c r="CY1242" t="s">
        <v>132</v>
      </c>
      <c r="CZ1242" t="s">
        <v>137</v>
      </c>
      <c r="DA1242" t="s">
        <v>114</v>
      </c>
      <c r="DB1242" t="s">
        <v>114</v>
      </c>
      <c r="DC1242" t="s">
        <v>136</v>
      </c>
      <c r="DD1242" t="s">
        <v>114</v>
      </c>
    </row>
    <row r="1243" spans="1:108" ht="15" customHeight="1" x14ac:dyDescent="0.25">
      <c r="A1243" t="s">
        <v>20683</v>
      </c>
      <c r="B1243" t="s">
        <v>152</v>
      </c>
      <c r="C1243" s="1">
        <v>45110.62283310185</v>
      </c>
      <c r="D1243" s="1">
        <v>45224</v>
      </c>
      <c r="E1243" t="s">
        <v>114</v>
      </c>
      <c r="F1243" t="s">
        <v>20684</v>
      </c>
      <c r="G1243" t="str">
        <f>"31-1131.00"</f>
        <v>31-1131.00</v>
      </c>
      <c r="H1243" t="s">
        <v>14847</v>
      </c>
      <c r="I1243">
        <v>12</v>
      </c>
      <c r="J1243">
        <v>12</v>
      </c>
      <c r="K1243" s="1">
        <v>45200</v>
      </c>
      <c r="L1243" s="1">
        <v>45412</v>
      </c>
      <c r="M1243" s="1">
        <v>45200</v>
      </c>
      <c r="N1243" s="1">
        <v>45412</v>
      </c>
      <c r="O1243" t="s">
        <v>116</v>
      </c>
      <c r="P1243" t="s">
        <v>20685</v>
      </c>
      <c r="R1243" t="s">
        <v>20686</v>
      </c>
      <c r="T1243" t="s">
        <v>7323</v>
      </c>
      <c r="U1243" t="s">
        <v>854</v>
      </c>
      <c r="V1243" s="8" t="str">
        <f>"83404"</f>
        <v>83404</v>
      </c>
      <c r="W1243" t="s">
        <v>118</v>
      </c>
      <c r="Y1243" s="10">
        <v>12085572711</v>
      </c>
      <c r="AA1243">
        <v>622110</v>
      </c>
      <c r="AB1243" t="s">
        <v>12841</v>
      </c>
      <c r="AC1243" t="s">
        <v>12842</v>
      </c>
      <c r="AE1243" t="s">
        <v>12843</v>
      </c>
      <c r="AF1243" t="s">
        <v>20686</v>
      </c>
      <c r="AH1243" t="s">
        <v>7323</v>
      </c>
      <c r="AI1243" t="s">
        <v>854</v>
      </c>
      <c r="AJ1243" s="8" t="str">
        <f>"83404"</f>
        <v>83404</v>
      </c>
      <c r="AK1243" t="s">
        <v>118</v>
      </c>
      <c r="AM1243" s="10">
        <v>12085572711</v>
      </c>
      <c r="AO1243" t="s">
        <v>12844</v>
      </c>
      <c r="AP1243" t="s">
        <v>121</v>
      </c>
      <c r="AQ1243" t="s">
        <v>8716</v>
      </c>
      <c r="AR1243" t="s">
        <v>1963</v>
      </c>
      <c r="AS1243" t="s">
        <v>8717</v>
      </c>
      <c r="AT1243" t="s">
        <v>8718</v>
      </c>
      <c r="AV1243" t="s">
        <v>8719</v>
      </c>
      <c r="AW1243" t="s">
        <v>479</v>
      </c>
      <c r="AX1243" s="8" t="str">
        <f>"97035"</f>
        <v>97035</v>
      </c>
      <c r="AY1243" t="s">
        <v>118</v>
      </c>
      <c r="BA1243" s="10">
        <v>15032102249</v>
      </c>
      <c r="BC1243" t="s">
        <v>8720</v>
      </c>
      <c r="BD1243" t="s">
        <v>8721</v>
      </c>
      <c r="BE1243" t="s">
        <v>479</v>
      </c>
      <c r="BF1243" t="s">
        <v>8722</v>
      </c>
      <c r="BG1243" t="s">
        <v>854</v>
      </c>
      <c r="BH1243" s="1">
        <v>45109.833333333336</v>
      </c>
      <c r="BI1243">
        <v>36</v>
      </c>
      <c r="BJ1243">
        <v>0</v>
      </c>
      <c r="BK1243">
        <v>12</v>
      </c>
      <c r="BL1243">
        <v>12</v>
      </c>
      <c r="BM1243">
        <v>12</v>
      </c>
      <c r="BN1243">
        <v>0</v>
      </c>
      <c r="BO1243">
        <v>0</v>
      </c>
      <c r="BP1243">
        <v>0</v>
      </c>
      <c r="BQ1243" t="str">
        <f>"7:00 PM"</f>
        <v>7:00 PM</v>
      </c>
      <c r="BR1243" t="str">
        <f>"7:00 AM"</f>
        <v>7:00 AM</v>
      </c>
      <c r="BS1243" t="s">
        <v>147</v>
      </c>
      <c r="BT1243">
        <v>0</v>
      </c>
      <c r="BU1243">
        <v>12</v>
      </c>
      <c r="BV1243" t="s">
        <v>114</v>
      </c>
      <c r="BX1243" s="2" t="s">
        <v>20687</v>
      </c>
      <c r="BY1243" t="s">
        <v>20686</v>
      </c>
      <c r="CA1243" t="s">
        <v>7323</v>
      </c>
      <c r="CB1243" t="s">
        <v>854</v>
      </c>
      <c r="CC1243" s="8" t="str">
        <f>"83404"</f>
        <v>83404</v>
      </c>
      <c r="CD1243" t="s">
        <v>5558</v>
      </c>
      <c r="CE1243" t="s">
        <v>5559</v>
      </c>
      <c r="CF1243" s="12">
        <v>13.65</v>
      </c>
      <c r="CG1243" s="12">
        <v>20.48</v>
      </c>
      <c r="CH1243" s="12">
        <v>20.48</v>
      </c>
      <c r="CJ1243" t="s">
        <v>135</v>
      </c>
      <c r="CL1243" t="s">
        <v>20688</v>
      </c>
      <c r="CO1243" t="s">
        <v>132</v>
      </c>
      <c r="CP1243" t="s">
        <v>114</v>
      </c>
      <c r="CQ1243" t="s">
        <v>114</v>
      </c>
      <c r="CR1243" t="s">
        <v>136</v>
      </c>
      <c r="CS1243" t="s">
        <v>114</v>
      </c>
      <c r="CT1243" t="s">
        <v>136</v>
      </c>
      <c r="CU1243" t="s">
        <v>136</v>
      </c>
      <c r="CV1243" t="s">
        <v>20689</v>
      </c>
      <c r="CW1243" s="10" t="str">
        <f>"+12085572811"</f>
        <v>+12085572811</v>
      </c>
      <c r="CX1243" t="s">
        <v>132</v>
      </c>
      <c r="CY1243" t="s">
        <v>20690</v>
      </c>
      <c r="CZ1243" t="s">
        <v>137</v>
      </c>
      <c r="DA1243" t="s">
        <v>114</v>
      </c>
      <c r="DB1243" t="s">
        <v>136</v>
      </c>
      <c r="DC1243" t="s">
        <v>136</v>
      </c>
      <c r="DD1243" t="s">
        <v>114</v>
      </c>
    </row>
    <row r="1244" spans="1:108" ht="15" customHeight="1" x14ac:dyDescent="0.25">
      <c r="A1244" t="s">
        <v>20408</v>
      </c>
      <c r="B1244" t="s">
        <v>152</v>
      </c>
      <c r="C1244" s="1">
        <v>45171.001705208335</v>
      </c>
      <c r="D1244" s="1">
        <v>45223</v>
      </c>
      <c r="E1244" t="s">
        <v>132</v>
      </c>
      <c r="F1244" t="s">
        <v>2715</v>
      </c>
      <c r="G1244" t="str">
        <f>"39-3091.00"</f>
        <v>39-3091.00</v>
      </c>
      <c r="H1244" t="s">
        <v>237</v>
      </c>
      <c r="I1244">
        <v>5</v>
      </c>
      <c r="J1244">
        <v>5</v>
      </c>
      <c r="K1244" s="1">
        <v>45261</v>
      </c>
      <c r="L1244" s="1">
        <v>45565</v>
      </c>
      <c r="M1244" s="1">
        <v>45261</v>
      </c>
      <c r="N1244" s="1">
        <v>45565</v>
      </c>
      <c r="O1244" t="s">
        <v>238</v>
      </c>
      <c r="P1244" t="s">
        <v>20409</v>
      </c>
      <c r="Q1244" t="s">
        <v>20410</v>
      </c>
      <c r="R1244" t="s">
        <v>20411</v>
      </c>
      <c r="T1244" t="s">
        <v>18779</v>
      </c>
      <c r="U1244" t="s">
        <v>558</v>
      </c>
      <c r="V1244" s="8" t="str">
        <f>"85831"</f>
        <v>85831</v>
      </c>
      <c r="W1244" t="s">
        <v>118</v>
      </c>
      <c r="Y1244" s="10">
        <v>16233269622</v>
      </c>
      <c r="AA1244">
        <v>7139</v>
      </c>
      <c r="AB1244" t="s">
        <v>627</v>
      </c>
      <c r="AC1244" t="s">
        <v>19493</v>
      </c>
      <c r="AE1244" t="s">
        <v>561</v>
      </c>
      <c r="AF1244" t="s">
        <v>20411</v>
      </c>
      <c r="AH1244" t="s">
        <v>20412</v>
      </c>
      <c r="AI1244" t="s">
        <v>558</v>
      </c>
      <c r="AJ1244" s="8" t="str">
        <f>"85381"</f>
        <v>85381</v>
      </c>
      <c r="AK1244" t="s">
        <v>118</v>
      </c>
      <c r="AM1244" s="10">
        <v>16233269622</v>
      </c>
      <c r="AO1244" t="s">
        <v>20413</v>
      </c>
      <c r="AP1244" t="s">
        <v>248</v>
      </c>
      <c r="AQ1244" t="s">
        <v>960</v>
      </c>
      <c r="AR1244" t="s">
        <v>961</v>
      </c>
      <c r="AS1244" t="s">
        <v>962</v>
      </c>
      <c r="AT1244" t="s">
        <v>963</v>
      </c>
      <c r="AU1244" t="s">
        <v>296</v>
      </c>
      <c r="AV1244" t="s">
        <v>964</v>
      </c>
      <c r="AW1244" t="s">
        <v>127</v>
      </c>
      <c r="AX1244" s="8" t="str">
        <f>"75033"</f>
        <v>75033</v>
      </c>
      <c r="AY1244" t="s">
        <v>118</v>
      </c>
      <c r="BA1244" s="10">
        <v>19727789690</v>
      </c>
      <c r="BC1244" t="s">
        <v>1388</v>
      </c>
      <c r="BD1244" t="s">
        <v>966</v>
      </c>
      <c r="BG1244" t="s">
        <v>558</v>
      </c>
      <c r="BH1244" s="1">
        <v>45170.833333333336</v>
      </c>
      <c r="BI1244">
        <v>40</v>
      </c>
      <c r="BJ1244">
        <v>8</v>
      </c>
      <c r="BK1244">
        <v>8</v>
      </c>
      <c r="BL1244">
        <v>0</v>
      </c>
      <c r="BM1244">
        <v>0</v>
      </c>
      <c r="BN1244">
        <v>8</v>
      </c>
      <c r="BO1244">
        <v>8</v>
      </c>
      <c r="BP1244">
        <v>8</v>
      </c>
      <c r="BQ1244" t="str">
        <f>"2:00 AM"</f>
        <v>2:00 AM</v>
      </c>
      <c r="BR1244" t="str">
        <f>"11:00 PM"</f>
        <v>11:00 PM</v>
      </c>
      <c r="BS1244" t="s">
        <v>131</v>
      </c>
      <c r="BT1244">
        <v>0</v>
      </c>
      <c r="BU1244">
        <v>0</v>
      </c>
      <c r="BV1244" t="s">
        <v>114</v>
      </c>
      <c r="BX1244" s="2" t="s">
        <v>20414</v>
      </c>
      <c r="BY1244" t="s">
        <v>20415</v>
      </c>
      <c r="CA1244" t="s">
        <v>20416</v>
      </c>
      <c r="CB1244" t="s">
        <v>558</v>
      </c>
      <c r="CC1244" s="8" t="str">
        <f>"85355"</f>
        <v>85355</v>
      </c>
      <c r="CD1244" t="s">
        <v>1391</v>
      </c>
      <c r="CE1244" t="s">
        <v>565</v>
      </c>
      <c r="CF1244" s="12">
        <v>12.44</v>
      </c>
      <c r="CG1244" s="12">
        <v>16.71</v>
      </c>
      <c r="CH1244" s="12">
        <v>24.06</v>
      </c>
      <c r="CI1244" s="12">
        <v>33.42</v>
      </c>
      <c r="CJ1244" t="s">
        <v>135</v>
      </c>
      <c r="CK1244" t="s">
        <v>6405</v>
      </c>
      <c r="CL1244" t="s">
        <v>20417</v>
      </c>
      <c r="CO1244" t="s">
        <v>132</v>
      </c>
      <c r="CP1244" t="s">
        <v>136</v>
      </c>
      <c r="CQ1244" t="s">
        <v>136</v>
      </c>
      <c r="CR1244" t="s">
        <v>136</v>
      </c>
      <c r="CS1244" t="s">
        <v>136</v>
      </c>
      <c r="CT1244" t="s">
        <v>136</v>
      </c>
      <c r="CU1244" t="s">
        <v>136</v>
      </c>
      <c r="CV1244" t="s">
        <v>20418</v>
      </c>
      <c r="CW1244" s="10" t="str">
        <f>"+16233269622"</f>
        <v>+16233269622</v>
      </c>
      <c r="CX1244" t="s">
        <v>132</v>
      </c>
      <c r="CY1244" t="s">
        <v>20419</v>
      </c>
      <c r="CZ1244" t="s">
        <v>137</v>
      </c>
      <c r="DA1244" t="s">
        <v>114</v>
      </c>
      <c r="DB1244" t="s">
        <v>136</v>
      </c>
      <c r="DC1244" t="s">
        <v>136</v>
      </c>
      <c r="DD1244" t="s">
        <v>114</v>
      </c>
    </row>
    <row r="1245" spans="1:108" ht="15" customHeight="1" x14ac:dyDescent="0.25">
      <c r="A1245" t="s">
        <v>13116</v>
      </c>
      <c r="B1245" t="s">
        <v>152</v>
      </c>
      <c r="C1245" s="1">
        <v>45170.646416898147</v>
      </c>
      <c r="D1245" s="1">
        <v>45223</v>
      </c>
      <c r="E1245" t="s">
        <v>132</v>
      </c>
      <c r="F1245" t="s">
        <v>10795</v>
      </c>
      <c r="G1245" t="str">
        <f>"37-2012.00"</f>
        <v>37-2012.00</v>
      </c>
      <c r="H1245" t="s">
        <v>205</v>
      </c>
      <c r="I1245">
        <v>25</v>
      </c>
      <c r="J1245">
        <v>25</v>
      </c>
      <c r="K1245" s="1">
        <v>45246</v>
      </c>
      <c r="L1245" s="1">
        <v>45520</v>
      </c>
      <c r="M1245" s="1">
        <v>45246</v>
      </c>
      <c r="N1245" s="1">
        <v>45520</v>
      </c>
      <c r="O1245" t="s">
        <v>238</v>
      </c>
      <c r="P1245" t="s">
        <v>10246</v>
      </c>
      <c r="Q1245" t="s">
        <v>10246</v>
      </c>
      <c r="R1245" t="s">
        <v>10247</v>
      </c>
      <c r="S1245" t="s">
        <v>10796</v>
      </c>
      <c r="T1245" t="s">
        <v>2773</v>
      </c>
      <c r="U1245" t="s">
        <v>140</v>
      </c>
      <c r="V1245" s="8" t="str">
        <f>"32408"</f>
        <v>32408</v>
      </c>
      <c r="W1245" t="s">
        <v>118</v>
      </c>
      <c r="Y1245" s="10">
        <v>17864929774</v>
      </c>
      <c r="AA1245">
        <v>561720</v>
      </c>
      <c r="AB1245" t="s">
        <v>10248</v>
      </c>
      <c r="AC1245" t="s">
        <v>10249</v>
      </c>
      <c r="AE1245" t="s">
        <v>629</v>
      </c>
      <c r="AF1245" t="s">
        <v>10247</v>
      </c>
      <c r="AH1245" t="s">
        <v>2773</v>
      </c>
      <c r="AI1245" t="s">
        <v>140</v>
      </c>
      <c r="AJ1245" s="8" t="str">
        <f>"32408"</f>
        <v>32408</v>
      </c>
      <c r="AK1245" t="s">
        <v>118</v>
      </c>
      <c r="AM1245" s="10">
        <v>17864929774</v>
      </c>
      <c r="AO1245" t="s">
        <v>10250</v>
      </c>
      <c r="AX1245" s="8" t="str">
        <f>""</f>
        <v/>
      </c>
      <c r="BG1245" t="s">
        <v>140</v>
      </c>
      <c r="BH1245" s="1">
        <v>45245.791666666664</v>
      </c>
      <c r="BI1245">
        <v>35</v>
      </c>
      <c r="BJ1245">
        <v>5</v>
      </c>
      <c r="BK1245">
        <v>5</v>
      </c>
      <c r="BL1245">
        <v>5</v>
      </c>
      <c r="BM1245">
        <v>5</v>
      </c>
      <c r="BN1245">
        <v>5</v>
      </c>
      <c r="BO1245">
        <v>5</v>
      </c>
      <c r="BP1245">
        <v>5</v>
      </c>
      <c r="BQ1245" t="str">
        <f>"8:00 AM"</f>
        <v>8:00 AM</v>
      </c>
      <c r="BR1245" t="str">
        <f>"4:00 PM"</f>
        <v>4:00 PM</v>
      </c>
      <c r="BS1245" t="s">
        <v>131</v>
      </c>
      <c r="BT1245">
        <v>0</v>
      </c>
      <c r="BU1245">
        <v>1</v>
      </c>
      <c r="BV1245" t="s">
        <v>114</v>
      </c>
      <c r="BX1245" s="2" t="s">
        <v>13117</v>
      </c>
      <c r="BY1245" t="s">
        <v>13118</v>
      </c>
      <c r="CA1245" t="s">
        <v>13119</v>
      </c>
      <c r="CB1245" t="s">
        <v>140</v>
      </c>
      <c r="CC1245" s="8" t="str">
        <f>"33050"</f>
        <v>33050</v>
      </c>
      <c r="CD1245" t="s">
        <v>303</v>
      </c>
      <c r="CE1245" t="s">
        <v>304</v>
      </c>
      <c r="CF1245" s="12">
        <v>14.4</v>
      </c>
      <c r="CG1245" s="12">
        <v>16</v>
      </c>
      <c r="CH1245" s="12">
        <v>21.6</v>
      </c>
      <c r="CI1245" s="12">
        <v>24</v>
      </c>
      <c r="CJ1245" t="s">
        <v>135</v>
      </c>
      <c r="CK1245" t="s">
        <v>10253</v>
      </c>
      <c r="CL1245" t="s">
        <v>13120</v>
      </c>
      <c r="CO1245" t="s">
        <v>132</v>
      </c>
      <c r="CP1245" t="s">
        <v>114</v>
      </c>
      <c r="CQ1245" t="s">
        <v>114</v>
      </c>
      <c r="CR1245" t="s">
        <v>136</v>
      </c>
      <c r="CS1245" t="s">
        <v>114</v>
      </c>
      <c r="CT1245" t="s">
        <v>136</v>
      </c>
      <c r="CU1245" t="s">
        <v>136</v>
      </c>
      <c r="CV1245" s="2" t="s">
        <v>13121</v>
      </c>
      <c r="CW1245" s="10" t="str">
        <f>"+17869429774"</f>
        <v>+17869429774</v>
      </c>
      <c r="CX1245" t="s">
        <v>10256</v>
      </c>
      <c r="CY1245" t="s">
        <v>132</v>
      </c>
      <c r="CZ1245" t="s">
        <v>137</v>
      </c>
      <c r="DA1245" t="s">
        <v>114</v>
      </c>
      <c r="DB1245" t="s">
        <v>114</v>
      </c>
      <c r="DC1245" t="s">
        <v>136</v>
      </c>
      <c r="DD1245" t="s">
        <v>114</v>
      </c>
    </row>
    <row r="1246" spans="1:108" ht="15" customHeight="1" x14ac:dyDescent="0.25">
      <c r="A1246" t="s">
        <v>13106</v>
      </c>
      <c r="B1246" t="s">
        <v>152</v>
      </c>
      <c r="C1246" s="1">
        <v>45170.579670023151</v>
      </c>
      <c r="D1246" s="1">
        <v>45223</v>
      </c>
      <c r="E1246" t="s">
        <v>132</v>
      </c>
      <c r="F1246" t="s">
        <v>4971</v>
      </c>
      <c r="G1246" t="str">
        <f>"43-4081.00"</f>
        <v>43-4081.00</v>
      </c>
      <c r="H1246" t="s">
        <v>952</v>
      </c>
      <c r="I1246">
        <v>1</v>
      </c>
      <c r="J1246">
        <v>1</v>
      </c>
      <c r="K1246" s="1">
        <v>45245</v>
      </c>
      <c r="L1246" s="1">
        <v>45536</v>
      </c>
      <c r="M1246" s="1">
        <v>45245</v>
      </c>
      <c r="N1246" s="1">
        <v>45536</v>
      </c>
      <c r="O1246" t="s">
        <v>116</v>
      </c>
      <c r="P1246" t="s">
        <v>13107</v>
      </c>
      <c r="Q1246" t="s">
        <v>13108</v>
      </c>
      <c r="R1246" t="s">
        <v>13109</v>
      </c>
      <c r="T1246" t="s">
        <v>1084</v>
      </c>
      <c r="U1246" t="s">
        <v>188</v>
      </c>
      <c r="V1246" s="8" t="str">
        <f>"81657"</f>
        <v>81657</v>
      </c>
      <c r="W1246" t="s">
        <v>118</v>
      </c>
      <c r="Y1246" s="10">
        <v>19704767810</v>
      </c>
      <c r="AA1246">
        <v>721110</v>
      </c>
      <c r="AB1246" t="s">
        <v>13110</v>
      </c>
      <c r="AC1246" t="s">
        <v>5037</v>
      </c>
      <c r="AE1246" t="s">
        <v>13111</v>
      </c>
      <c r="AF1246" t="s">
        <v>13109</v>
      </c>
      <c r="AH1246" t="s">
        <v>1084</v>
      </c>
      <c r="AI1246" t="s">
        <v>188</v>
      </c>
      <c r="AJ1246" s="8" t="str">
        <f>"81657"</f>
        <v>81657</v>
      </c>
      <c r="AK1246" t="s">
        <v>118</v>
      </c>
      <c r="AM1246" s="10">
        <v>19704767810</v>
      </c>
      <c r="AO1246" t="s">
        <v>13112</v>
      </c>
      <c r="AP1246" t="s">
        <v>121</v>
      </c>
      <c r="AQ1246" t="s">
        <v>1523</v>
      </c>
      <c r="AR1246" t="s">
        <v>1524</v>
      </c>
      <c r="AS1246" t="s">
        <v>1525</v>
      </c>
      <c r="AT1246" t="s">
        <v>1526</v>
      </c>
      <c r="AU1246" t="s">
        <v>1527</v>
      </c>
      <c r="AV1246" t="s">
        <v>1084</v>
      </c>
      <c r="AW1246" t="s">
        <v>188</v>
      </c>
      <c r="AX1246" s="8" t="str">
        <f>"81657"</f>
        <v>81657</v>
      </c>
      <c r="AY1246" t="s">
        <v>118</v>
      </c>
      <c r="BA1246" s="10">
        <v>19703066476</v>
      </c>
      <c r="BC1246" t="s">
        <v>1528</v>
      </c>
      <c r="BD1246" t="s">
        <v>1529</v>
      </c>
      <c r="BE1246" t="s">
        <v>188</v>
      </c>
      <c r="BF1246" t="s">
        <v>1530</v>
      </c>
      <c r="BG1246" t="s">
        <v>188</v>
      </c>
      <c r="BH1246" s="1">
        <v>45154.833333333336</v>
      </c>
      <c r="BI1246">
        <v>40</v>
      </c>
      <c r="BJ1246">
        <v>0</v>
      </c>
      <c r="BK1246">
        <v>8</v>
      </c>
      <c r="BL1246">
        <v>8</v>
      </c>
      <c r="BM1246">
        <v>8</v>
      </c>
      <c r="BN1246">
        <v>8</v>
      </c>
      <c r="BO1246">
        <v>8</v>
      </c>
      <c r="BP1246">
        <v>0</v>
      </c>
      <c r="BQ1246" t="str">
        <f>"7:00 AM"</f>
        <v>7:00 AM</v>
      </c>
      <c r="BR1246" t="str">
        <f>"3:00 PM"</f>
        <v>3:00 PM</v>
      </c>
      <c r="BS1246" t="s">
        <v>147</v>
      </c>
      <c r="BT1246">
        <v>0</v>
      </c>
      <c r="BU1246">
        <v>6</v>
      </c>
      <c r="BV1246" t="s">
        <v>114</v>
      </c>
      <c r="BX1246" s="2" t="s">
        <v>13113</v>
      </c>
      <c r="BY1246" t="s">
        <v>13109</v>
      </c>
      <c r="CA1246" t="s">
        <v>1084</v>
      </c>
      <c r="CB1246" t="s">
        <v>188</v>
      </c>
      <c r="CC1246" s="8" t="str">
        <f>"81657"</f>
        <v>81657</v>
      </c>
      <c r="CD1246" t="s">
        <v>1037</v>
      </c>
      <c r="CE1246" t="s">
        <v>1038</v>
      </c>
      <c r="CF1246" s="12">
        <v>20</v>
      </c>
      <c r="CH1246" s="12">
        <v>30</v>
      </c>
      <c r="CJ1246" t="s">
        <v>135</v>
      </c>
      <c r="CK1246" t="e">
        <f>+DOE.</f>
        <v>#NAME?</v>
      </c>
      <c r="CL1246" t="s">
        <v>13114</v>
      </c>
      <c r="CO1246" t="s">
        <v>132</v>
      </c>
      <c r="CP1246" t="s">
        <v>114</v>
      </c>
      <c r="CQ1246" t="s">
        <v>114</v>
      </c>
      <c r="CR1246" t="s">
        <v>136</v>
      </c>
      <c r="CS1246" t="s">
        <v>136</v>
      </c>
      <c r="CT1246" t="s">
        <v>136</v>
      </c>
      <c r="CU1246" t="s">
        <v>114</v>
      </c>
      <c r="CV1246" t="s">
        <v>13115</v>
      </c>
      <c r="CW1246" s="10" t="str">
        <f>"+19704767810"</f>
        <v>+19704767810</v>
      </c>
      <c r="CX1246" t="s">
        <v>13112</v>
      </c>
      <c r="CY1246" t="s">
        <v>132</v>
      </c>
      <c r="CZ1246" t="s">
        <v>137</v>
      </c>
      <c r="DA1246" t="s">
        <v>114</v>
      </c>
      <c r="DB1246" t="s">
        <v>114</v>
      </c>
      <c r="DC1246" t="s">
        <v>136</v>
      </c>
      <c r="DD1246" t="s">
        <v>114</v>
      </c>
    </row>
    <row r="1247" spans="1:108" ht="15" customHeight="1" x14ac:dyDescent="0.25">
      <c r="A1247" t="s">
        <v>16818</v>
      </c>
      <c r="B1247" t="s">
        <v>152</v>
      </c>
      <c r="C1247" s="1">
        <v>45170.449807291669</v>
      </c>
      <c r="D1247" s="1">
        <v>45223</v>
      </c>
      <c r="E1247" t="s">
        <v>132</v>
      </c>
      <c r="F1247" t="s">
        <v>685</v>
      </c>
      <c r="G1247" t="str">
        <f>"39-3091.00"</f>
        <v>39-3091.00</v>
      </c>
      <c r="H1247" t="s">
        <v>237</v>
      </c>
      <c r="I1247">
        <v>25</v>
      </c>
      <c r="J1247">
        <v>25</v>
      </c>
      <c r="K1247" s="1">
        <v>45245</v>
      </c>
      <c r="L1247" s="1">
        <v>45508</v>
      </c>
      <c r="M1247" s="1">
        <v>45245</v>
      </c>
      <c r="N1247" s="1">
        <v>45508</v>
      </c>
      <c r="O1247" t="s">
        <v>238</v>
      </c>
      <c r="P1247" t="s">
        <v>16819</v>
      </c>
      <c r="Q1247" t="s">
        <v>132</v>
      </c>
      <c r="R1247" t="s">
        <v>16820</v>
      </c>
      <c r="S1247" t="s">
        <v>16821</v>
      </c>
      <c r="T1247" t="s">
        <v>5514</v>
      </c>
      <c r="U1247" t="s">
        <v>333</v>
      </c>
      <c r="V1247" s="8" t="str">
        <f>"70458"</f>
        <v>70458</v>
      </c>
      <c r="W1247" t="s">
        <v>118</v>
      </c>
      <c r="X1247" t="s">
        <v>132</v>
      </c>
      <c r="Y1247" s="10">
        <v>19859603015</v>
      </c>
      <c r="Z1247" s="3" t="s">
        <v>256</v>
      </c>
      <c r="AA1247">
        <v>7139</v>
      </c>
      <c r="AB1247" t="s">
        <v>334</v>
      </c>
      <c r="AC1247" t="s">
        <v>1772</v>
      </c>
      <c r="AD1247" t="s">
        <v>132</v>
      </c>
      <c r="AE1247" t="s">
        <v>120</v>
      </c>
      <c r="AF1247" t="s">
        <v>16822</v>
      </c>
      <c r="AG1247" t="s">
        <v>16823</v>
      </c>
      <c r="AH1247" t="s">
        <v>5514</v>
      </c>
      <c r="AI1247" t="s">
        <v>333</v>
      </c>
      <c r="AJ1247" s="8" t="str">
        <f>"70458"</f>
        <v>70458</v>
      </c>
      <c r="AK1247" t="s">
        <v>118</v>
      </c>
      <c r="AM1247" s="10">
        <v>19859603015</v>
      </c>
      <c r="AN1247" s="3" t="s">
        <v>256</v>
      </c>
      <c r="AO1247" t="s">
        <v>16824</v>
      </c>
      <c r="AP1247" t="s">
        <v>248</v>
      </c>
      <c r="AQ1247" t="s">
        <v>249</v>
      </c>
      <c r="AR1247" t="s">
        <v>250</v>
      </c>
      <c r="AS1247" t="s">
        <v>251</v>
      </c>
      <c r="AT1247" t="s">
        <v>252</v>
      </c>
      <c r="AU1247" t="s">
        <v>253</v>
      </c>
      <c r="AV1247" t="s">
        <v>254</v>
      </c>
      <c r="AW1247" t="s">
        <v>127</v>
      </c>
      <c r="AX1247" s="8" t="str">
        <f>"78550"</f>
        <v>78550</v>
      </c>
      <c r="AY1247" t="s">
        <v>118</v>
      </c>
      <c r="AZ1247" t="s">
        <v>255</v>
      </c>
      <c r="BA1247" s="10">
        <v>19564408720</v>
      </c>
      <c r="BB1247" s="3" t="s">
        <v>256</v>
      </c>
      <c r="BC1247" t="s">
        <v>338</v>
      </c>
      <c r="BD1247" t="s">
        <v>258</v>
      </c>
      <c r="BG1247" t="s">
        <v>333</v>
      </c>
      <c r="BH1247" s="1">
        <v>45169.833333333336</v>
      </c>
      <c r="BI1247">
        <v>40</v>
      </c>
      <c r="BJ1247">
        <v>8</v>
      </c>
      <c r="BK1247">
        <v>0</v>
      </c>
      <c r="BL1247">
        <v>0</v>
      </c>
      <c r="BM1247">
        <v>8</v>
      </c>
      <c r="BN1247">
        <v>8</v>
      </c>
      <c r="BO1247">
        <v>8</v>
      </c>
      <c r="BP1247">
        <v>8</v>
      </c>
      <c r="BQ1247" t="str">
        <f>"1:00 PM"</f>
        <v>1:00 PM</v>
      </c>
      <c r="BR1247" t="str">
        <f>"10:00 PM"</f>
        <v>10:00 PM</v>
      </c>
      <c r="BS1247" t="s">
        <v>131</v>
      </c>
      <c r="BT1247">
        <v>0</v>
      </c>
      <c r="BU1247">
        <v>0</v>
      </c>
      <c r="BV1247" t="s">
        <v>114</v>
      </c>
      <c r="BX1247" s="2" t="s">
        <v>2396</v>
      </c>
      <c r="BY1247" t="s">
        <v>16822</v>
      </c>
      <c r="CA1247" t="s">
        <v>5514</v>
      </c>
      <c r="CB1247" t="s">
        <v>333</v>
      </c>
      <c r="CC1247" s="8" t="str">
        <f>"70458"</f>
        <v>70458</v>
      </c>
      <c r="CD1247" t="s">
        <v>340</v>
      </c>
      <c r="CE1247" t="s">
        <v>341</v>
      </c>
      <c r="CF1247" s="12">
        <v>9.86</v>
      </c>
      <c r="CG1247" s="12">
        <v>14.79</v>
      </c>
      <c r="CJ1247" t="s">
        <v>135</v>
      </c>
      <c r="CK1247" t="s">
        <v>342</v>
      </c>
      <c r="CL1247" t="s">
        <v>16825</v>
      </c>
      <c r="CO1247" t="s">
        <v>132</v>
      </c>
      <c r="CP1247" t="s">
        <v>136</v>
      </c>
      <c r="CQ1247" t="s">
        <v>136</v>
      </c>
      <c r="CR1247" t="s">
        <v>114</v>
      </c>
      <c r="CS1247" t="s">
        <v>136</v>
      </c>
      <c r="CT1247" t="s">
        <v>136</v>
      </c>
      <c r="CU1247" t="s">
        <v>136</v>
      </c>
      <c r="CV1247" s="2" t="s">
        <v>16826</v>
      </c>
      <c r="CW1247" s="10" t="str">
        <f>"+19859603015"</f>
        <v>+19859603015</v>
      </c>
      <c r="CX1247" t="s">
        <v>16824</v>
      </c>
      <c r="CY1247" t="s">
        <v>132</v>
      </c>
      <c r="CZ1247" t="s">
        <v>137</v>
      </c>
      <c r="DA1247" t="s">
        <v>114</v>
      </c>
      <c r="DB1247" t="s">
        <v>136</v>
      </c>
      <c r="DC1247" t="s">
        <v>136</v>
      </c>
      <c r="DD1247" t="s">
        <v>114</v>
      </c>
    </row>
    <row r="1248" spans="1:108" ht="15" customHeight="1" x14ac:dyDescent="0.25">
      <c r="A1248" t="s">
        <v>13316</v>
      </c>
      <c r="B1248" t="s">
        <v>152</v>
      </c>
      <c r="C1248" s="1">
        <v>45169.778991435189</v>
      </c>
      <c r="D1248" s="1">
        <v>45223</v>
      </c>
      <c r="E1248" t="s">
        <v>114</v>
      </c>
      <c r="F1248" t="s">
        <v>8551</v>
      </c>
      <c r="G1248" t="str">
        <f>"49-9098.00"</f>
        <v>49-9098.00</v>
      </c>
      <c r="H1248" t="s">
        <v>945</v>
      </c>
      <c r="I1248">
        <v>15</v>
      </c>
      <c r="J1248">
        <v>15</v>
      </c>
      <c r="K1248" s="1">
        <v>45244</v>
      </c>
      <c r="L1248" s="1">
        <v>45473</v>
      </c>
      <c r="M1248" s="1">
        <v>45244</v>
      </c>
      <c r="N1248" s="1">
        <v>45473</v>
      </c>
      <c r="O1248" t="s">
        <v>116</v>
      </c>
      <c r="P1248" t="s">
        <v>8552</v>
      </c>
      <c r="R1248" t="s">
        <v>8553</v>
      </c>
      <c r="T1248" t="s">
        <v>2126</v>
      </c>
      <c r="U1248" t="s">
        <v>375</v>
      </c>
      <c r="V1248" s="8" t="str">
        <f>"27371"</f>
        <v>27371</v>
      </c>
      <c r="W1248" t="s">
        <v>118</v>
      </c>
      <c r="Y1248" s="10">
        <v>14703474898</v>
      </c>
      <c r="AA1248">
        <v>238130</v>
      </c>
      <c r="AB1248" t="s">
        <v>8554</v>
      </c>
      <c r="AC1248" t="s">
        <v>957</v>
      </c>
      <c r="AE1248" t="s">
        <v>561</v>
      </c>
      <c r="AF1248" t="s">
        <v>8553</v>
      </c>
      <c r="AH1248" t="s">
        <v>2126</v>
      </c>
      <c r="AI1248" t="s">
        <v>375</v>
      </c>
      <c r="AJ1248" s="8" t="str">
        <f>"27371"</f>
        <v>27371</v>
      </c>
      <c r="AK1248" t="s">
        <v>118</v>
      </c>
      <c r="AM1248" s="10">
        <v>14703474898</v>
      </c>
      <c r="AO1248" t="s">
        <v>8555</v>
      </c>
      <c r="AP1248" t="s">
        <v>248</v>
      </c>
      <c r="AQ1248" t="s">
        <v>2949</v>
      </c>
      <c r="AR1248" t="s">
        <v>2950</v>
      </c>
      <c r="AS1248" t="s">
        <v>132</v>
      </c>
      <c r="AT1248" t="s">
        <v>1032</v>
      </c>
      <c r="AV1248" t="s">
        <v>853</v>
      </c>
      <c r="AW1248" t="s">
        <v>854</v>
      </c>
      <c r="AX1248" s="8" t="str">
        <f>"83814"</f>
        <v>83814</v>
      </c>
      <c r="AY1248" t="s">
        <v>118</v>
      </c>
      <c r="BA1248" s="10">
        <v>12087772654</v>
      </c>
      <c r="BC1248" t="s">
        <v>2951</v>
      </c>
      <c r="BD1248" t="s">
        <v>856</v>
      </c>
      <c r="BG1248" t="s">
        <v>1691</v>
      </c>
      <c r="BH1248" s="1">
        <v>45168.833333333336</v>
      </c>
      <c r="BI1248">
        <v>40</v>
      </c>
      <c r="BJ1248">
        <v>0</v>
      </c>
      <c r="BK1248">
        <v>8</v>
      </c>
      <c r="BL1248">
        <v>8</v>
      </c>
      <c r="BM1248">
        <v>8</v>
      </c>
      <c r="BN1248">
        <v>8</v>
      </c>
      <c r="BO1248">
        <v>8</v>
      </c>
      <c r="BP1248">
        <v>0</v>
      </c>
      <c r="BQ1248" t="str">
        <f>"8:00 AM"</f>
        <v>8:00 AM</v>
      </c>
      <c r="BR1248" t="str">
        <f>"5:00 PM"</f>
        <v>5:00 PM</v>
      </c>
      <c r="BS1248" t="s">
        <v>131</v>
      </c>
      <c r="BT1248">
        <v>0</v>
      </c>
      <c r="BU1248">
        <v>3</v>
      </c>
      <c r="BV1248" t="s">
        <v>114</v>
      </c>
      <c r="BX1248" t="s">
        <v>7742</v>
      </c>
      <c r="BY1248" t="s">
        <v>13317</v>
      </c>
      <c r="CA1248" t="s">
        <v>7740</v>
      </c>
      <c r="CB1248" t="s">
        <v>1691</v>
      </c>
      <c r="CC1248" s="8" t="str">
        <f>"29720"</f>
        <v>29720</v>
      </c>
      <c r="CD1248" t="s">
        <v>2655</v>
      </c>
      <c r="CE1248" t="s">
        <v>2940</v>
      </c>
      <c r="CF1248" s="12">
        <v>17.86</v>
      </c>
      <c r="CH1248" s="12">
        <v>26.79</v>
      </c>
      <c r="CJ1248" t="s">
        <v>135</v>
      </c>
      <c r="CK1248" t="s">
        <v>1608</v>
      </c>
      <c r="CL1248" t="s">
        <v>13318</v>
      </c>
      <c r="CO1248" t="s">
        <v>132</v>
      </c>
      <c r="CP1248" t="s">
        <v>136</v>
      </c>
      <c r="CQ1248" t="s">
        <v>136</v>
      </c>
      <c r="CR1248" t="s">
        <v>136</v>
      </c>
      <c r="CS1248" t="s">
        <v>114</v>
      </c>
      <c r="CT1248" t="s">
        <v>136</v>
      </c>
      <c r="CU1248" t="s">
        <v>114</v>
      </c>
      <c r="CV1248" t="s">
        <v>1040</v>
      </c>
      <c r="CW1248" s="10" t="str">
        <f>"+14703474898"</f>
        <v>+14703474898</v>
      </c>
      <c r="CX1248" t="s">
        <v>8555</v>
      </c>
      <c r="CY1248" t="s">
        <v>132</v>
      </c>
      <c r="CZ1248" t="s">
        <v>137</v>
      </c>
      <c r="DA1248" t="s">
        <v>114</v>
      </c>
      <c r="DB1248" t="s">
        <v>136</v>
      </c>
      <c r="DC1248" t="s">
        <v>136</v>
      </c>
      <c r="DD1248" t="s">
        <v>114</v>
      </c>
    </row>
    <row r="1249" spans="1:113" ht="15" customHeight="1" x14ac:dyDescent="0.25">
      <c r="A1249" t="s">
        <v>8550</v>
      </c>
      <c r="B1249" t="s">
        <v>152</v>
      </c>
      <c r="C1249" s="1">
        <v>45169.77532789352</v>
      </c>
      <c r="D1249" s="1">
        <v>45223</v>
      </c>
      <c r="E1249" t="s">
        <v>114</v>
      </c>
      <c r="F1249" t="s">
        <v>8551</v>
      </c>
      <c r="G1249" t="str">
        <f>"49-9098.00"</f>
        <v>49-9098.00</v>
      </c>
      <c r="H1249" t="s">
        <v>945</v>
      </c>
      <c r="I1249">
        <v>15</v>
      </c>
      <c r="J1249">
        <v>15</v>
      </c>
      <c r="K1249" s="1">
        <v>45244</v>
      </c>
      <c r="L1249" s="1">
        <v>45473</v>
      </c>
      <c r="M1249" s="1">
        <v>45244</v>
      </c>
      <c r="N1249" s="1">
        <v>45473</v>
      </c>
      <c r="O1249" t="s">
        <v>116</v>
      </c>
      <c r="P1249" t="s">
        <v>8552</v>
      </c>
      <c r="R1249" t="s">
        <v>8553</v>
      </c>
      <c r="T1249" t="s">
        <v>2126</v>
      </c>
      <c r="U1249" t="s">
        <v>375</v>
      </c>
      <c r="V1249" s="8" t="str">
        <f>"27371"</f>
        <v>27371</v>
      </c>
      <c r="W1249" t="s">
        <v>118</v>
      </c>
      <c r="Y1249" s="10">
        <v>14703474898</v>
      </c>
      <c r="AA1249">
        <v>238130</v>
      </c>
      <c r="AB1249" t="s">
        <v>8554</v>
      </c>
      <c r="AC1249" t="s">
        <v>957</v>
      </c>
      <c r="AE1249" t="s">
        <v>561</v>
      </c>
      <c r="AF1249" t="s">
        <v>8553</v>
      </c>
      <c r="AH1249" t="s">
        <v>2126</v>
      </c>
      <c r="AI1249" t="s">
        <v>375</v>
      </c>
      <c r="AJ1249" s="8" t="str">
        <f>"27371"</f>
        <v>27371</v>
      </c>
      <c r="AK1249" t="s">
        <v>118</v>
      </c>
      <c r="AM1249" s="10">
        <v>14703474898</v>
      </c>
      <c r="AO1249" t="s">
        <v>8555</v>
      </c>
      <c r="AP1249" t="s">
        <v>248</v>
      </c>
      <c r="AQ1249" t="s">
        <v>2949</v>
      </c>
      <c r="AR1249" t="s">
        <v>2950</v>
      </c>
      <c r="AS1249" t="s">
        <v>132</v>
      </c>
      <c r="AT1249" t="s">
        <v>1032</v>
      </c>
      <c r="AV1249" t="s">
        <v>853</v>
      </c>
      <c r="AW1249" t="s">
        <v>854</v>
      </c>
      <c r="AX1249" s="8" t="str">
        <f>"83814"</f>
        <v>83814</v>
      </c>
      <c r="AY1249" t="s">
        <v>118</v>
      </c>
      <c r="BA1249" s="10">
        <v>12087772654</v>
      </c>
      <c r="BC1249" t="s">
        <v>2951</v>
      </c>
      <c r="BD1249" t="s">
        <v>856</v>
      </c>
      <c r="BG1249" t="s">
        <v>140</v>
      </c>
      <c r="BH1249" s="1">
        <v>45168.833333333336</v>
      </c>
      <c r="BI1249">
        <v>40</v>
      </c>
      <c r="BJ1249">
        <v>0</v>
      </c>
      <c r="BK1249">
        <v>8</v>
      </c>
      <c r="BL1249">
        <v>8</v>
      </c>
      <c r="BM1249">
        <v>8</v>
      </c>
      <c r="BN1249">
        <v>8</v>
      </c>
      <c r="BO1249">
        <v>8</v>
      </c>
      <c r="BP1249">
        <v>0</v>
      </c>
      <c r="BQ1249" t="str">
        <f>"8:00 AM"</f>
        <v>8:00 AM</v>
      </c>
      <c r="BR1249" t="str">
        <f>"5:00 PM"</f>
        <v>5:00 PM</v>
      </c>
      <c r="BS1249" t="s">
        <v>131</v>
      </c>
      <c r="BT1249">
        <v>0</v>
      </c>
      <c r="BU1249">
        <v>3</v>
      </c>
      <c r="BV1249" t="s">
        <v>114</v>
      </c>
      <c r="BX1249" s="2" t="s">
        <v>8556</v>
      </c>
      <c r="BY1249" t="s">
        <v>8557</v>
      </c>
      <c r="CA1249" t="s">
        <v>8558</v>
      </c>
      <c r="CB1249" t="s">
        <v>140</v>
      </c>
      <c r="CC1249" s="8" t="str">
        <f>"32303"</f>
        <v>32303</v>
      </c>
      <c r="CD1249" t="s">
        <v>5543</v>
      </c>
      <c r="CE1249" t="s">
        <v>5544</v>
      </c>
      <c r="CF1249" s="12">
        <v>15.57</v>
      </c>
      <c r="CH1249" s="12">
        <v>23.36</v>
      </c>
      <c r="CJ1249" t="s">
        <v>135</v>
      </c>
      <c r="CK1249" t="s">
        <v>1608</v>
      </c>
      <c r="CL1249" t="s">
        <v>8559</v>
      </c>
      <c r="CO1249" t="s">
        <v>132</v>
      </c>
      <c r="CP1249" t="s">
        <v>136</v>
      </c>
      <c r="CQ1249" t="s">
        <v>136</v>
      </c>
      <c r="CR1249" t="s">
        <v>136</v>
      </c>
      <c r="CS1249" t="s">
        <v>114</v>
      </c>
      <c r="CT1249" t="s">
        <v>136</v>
      </c>
      <c r="CU1249" t="s">
        <v>114</v>
      </c>
      <c r="CV1249" t="s">
        <v>1040</v>
      </c>
      <c r="CW1249" s="10" t="str">
        <f>"+14703474898"</f>
        <v>+14703474898</v>
      </c>
      <c r="CX1249" t="s">
        <v>8555</v>
      </c>
      <c r="CY1249" t="s">
        <v>132</v>
      </c>
      <c r="CZ1249" t="s">
        <v>137</v>
      </c>
      <c r="DA1249" t="s">
        <v>114</v>
      </c>
      <c r="DB1249" t="s">
        <v>136</v>
      </c>
      <c r="DC1249" t="s">
        <v>136</v>
      </c>
      <c r="DD1249" t="s">
        <v>114</v>
      </c>
    </row>
    <row r="1250" spans="1:113" ht="15" customHeight="1" x14ac:dyDescent="0.25">
      <c r="A1250" t="s">
        <v>13451</v>
      </c>
      <c r="B1250" t="s">
        <v>152</v>
      </c>
      <c r="C1250" s="1">
        <v>45169.770362499999</v>
      </c>
      <c r="D1250" s="1">
        <v>45223</v>
      </c>
      <c r="E1250" t="s">
        <v>114</v>
      </c>
      <c r="F1250" t="s">
        <v>13452</v>
      </c>
      <c r="G1250" t="str">
        <f>"49-9098.00"</f>
        <v>49-9098.00</v>
      </c>
      <c r="H1250" t="s">
        <v>945</v>
      </c>
      <c r="I1250">
        <v>15</v>
      </c>
      <c r="J1250">
        <v>15</v>
      </c>
      <c r="K1250" s="1">
        <v>45244</v>
      </c>
      <c r="L1250" s="1">
        <v>45473</v>
      </c>
      <c r="M1250" s="1">
        <v>45244</v>
      </c>
      <c r="N1250" s="1">
        <v>45473</v>
      </c>
      <c r="O1250" t="s">
        <v>116</v>
      </c>
      <c r="P1250" t="s">
        <v>8552</v>
      </c>
      <c r="R1250" t="s">
        <v>8553</v>
      </c>
      <c r="T1250" t="s">
        <v>2126</v>
      </c>
      <c r="U1250" t="s">
        <v>375</v>
      </c>
      <c r="V1250" s="8" t="str">
        <f>"27371"</f>
        <v>27371</v>
      </c>
      <c r="W1250" t="s">
        <v>118</v>
      </c>
      <c r="Y1250" s="10">
        <v>14703474898</v>
      </c>
      <c r="AA1250">
        <v>238130</v>
      </c>
      <c r="AB1250" t="s">
        <v>8554</v>
      </c>
      <c r="AC1250" t="s">
        <v>1064</v>
      </c>
      <c r="AE1250" t="s">
        <v>561</v>
      </c>
      <c r="AF1250" t="s">
        <v>8553</v>
      </c>
      <c r="AH1250" t="s">
        <v>2126</v>
      </c>
      <c r="AI1250" t="s">
        <v>375</v>
      </c>
      <c r="AJ1250" s="8" t="str">
        <f>"27371"</f>
        <v>27371</v>
      </c>
      <c r="AK1250" t="s">
        <v>118</v>
      </c>
      <c r="AM1250" s="10">
        <v>14703474898</v>
      </c>
      <c r="AO1250" t="s">
        <v>8555</v>
      </c>
      <c r="AP1250" t="s">
        <v>248</v>
      </c>
      <c r="AQ1250" t="s">
        <v>2949</v>
      </c>
      <c r="AR1250" t="s">
        <v>2950</v>
      </c>
      <c r="AS1250" t="s">
        <v>132</v>
      </c>
      <c r="AT1250" t="s">
        <v>1032</v>
      </c>
      <c r="AV1250" t="s">
        <v>853</v>
      </c>
      <c r="AW1250" t="s">
        <v>854</v>
      </c>
      <c r="AX1250" s="8" t="str">
        <f>"83814"</f>
        <v>83814</v>
      </c>
      <c r="AY1250" t="s">
        <v>118</v>
      </c>
      <c r="BA1250" s="10">
        <v>12087772654</v>
      </c>
      <c r="BC1250" t="s">
        <v>2951</v>
      </c>
      <c r="BD1250" t="s">
        <v>856</v>
      </c>
      <c r="BG1250" t="s">
        <v>375</v>
      </c>
      <c r="BH1250" s="1">
        <v>45168.833333333336</v>
      </c>
      <c r="BI1250">
        <v>40</v>
      </c>
      <c r="BJ1250">
        <v>0</v>
      </c>
      <c r="BK1250">
        <v>8</v>
      </c>
      <c r="BL1250">
        <v>8</v>
      </c>
      <c r="BM1250">
        <v>8</v>
      </c>
      <c r="BN1250">
        <v>8</v>
      </c>
      <c r="BO1250">
        <v>8</v>
      </c>
      <c r="BP1250">
        <v>0</v>
      </c>
      <c r="BQ1250" t="str">
        <f>"8:00 AM"</f>
        <v>8:00 AM</v>
      </c>
      <c r="BR1250" t="str">
        <f>"5:00 PM"</f>
        <v>5:00 PM</v>
      </c>
      <c r="BS1250" t="s">
        <v>131</v>
      </c>
      <c r="BT1250">
        <v>0</v>
      </c>
      <c r="BU1250">
        <v>3</v>
      </c>
      <c r="BV1250" t="s">
        <v>114</v>
      </c>
      <c r="BX1250" s="2" t="s">
        <v>8556</v>
      </c>
      <c r="BY1250" t="s">
        <v>13453</v>
      </c>
      <c r="CA1250" t="s">
        <v>2126</v>
      </c>
      <c r="CB1250" t="s">
        <v>375</v>
      </c>
      <c r="CC1250" s="8" t="str">
        <f>"27371"</f>
        <v>27371</v>
      </c>
      <c r="CD1250" t="s">
        <v>13454</v>
      </c>
      <c r="CE1250" t="s">
        <v>1823</v>
      </c>
      <c r="CF1250" s="12">
        <v>17.3</v>
      </c>
      <c r="CH1250" s="12">
        <v>25.95</v>
      </c>
      <c r="CJ1250" t="s">
        <v>135</v>
      </c>
      <c r="CK1250" t="s">
        <v>1608</v>
      </c>
      <c r="CL1250" t="s">
        <v>13455</v>
      </c>
      <c r="CO1250" t="s">
        <v>132</v>
      </c>
      <c r="CP1250" t="s">
        <v>136</v>
      </c>
      <c r="CQ1250" t="s">
        <v>136</v>
      </c>
      <c r="CR1250" t="s">
        <v>136</v>
      </c>
      <c r="CS1250" t="s">
        <v>114</v>
      </c>
      <c r="CT1250" t="s">
        <v>136</v>
      </c>
      <c r="CU1250" t="s">
        <v>114</v>
      </c>
      <c r="CV1250" t="s">
        <v>1040</v>
      </c>
      <c r="CW1250" s="10" t="str">
        <f>"+14703474898"</f>
        <v>+14703474898</v>
      </c>
      <c r="CX1250" t="s">
        <v>8555</v>
      </c>
      <c r="CY1250" t="s">
        <v>132</v>
      </c>
      <c r="CZ1250" t="s">
        <v>137</v>
      </c>
      <c r="DA1250" t="s">
        <v>114</v>
      </c>
      <c r="DB1250" t="s">
        <v>136</v>
      </c>
      <c r="DC1250" t="s">
        <v>136</v>
      </c>
      <c r="DD1250" t="s">
        <v>114</v>
      </c>
    </row>
    <row r="1251" spans="1:113" ht="15" customHeight="1" x14ac:dyDescent="0.25">
      <c r="A1251" t="s">
        <v>1535</v>
      </c>
      <c r="B1251" t="s">
        <v>152</v>
      </c>
      <c r="C1251" s="1">
        <v>45169.582545138888</v>
      </c>
      <c r="D1251" s="1">
        <v>45223</v>
      </c>
      <c r="E1251" t="s">
        <v>136</v>
      </c>
      <c r="F1251" t="s">
        <v>1536</v>
      </c>
      <c r="G1251" t="str">
        <f>"37-2012.00"</f>
        <v>37-2012.00</v>
      </c>
      <c r="H1251" t="s">
        <v>205</v>
      </c>
      <c r="I1251">
        <v>6</v>
      </c>
      <c r="J1251">
        <v>6</v>
      </c>
      <c r="K1251" s="1">
        <v>45245</v>
      </c>
      <c r="L1251" s="1">
        <v>45443</v>
      </c>
      <c r="M1251" s="1">
        <v>45245</v>
      </c>
      <c r="N1251" s="1">
        <v>45443</v>
      </c>
      <c r="O1251" t="s">
        <v>116</v>
      </c>
      <c r="P1251" t="s">
        <v>1537</v>
      </c>
      <c r="Q1251" t="s">
        <v>1538</v>
      </c>
      <c r="R1251" t="s">
        <v>1539</v>
      </c>
      <c r="T1251" t="s">
        <v>1309</v>
      </c>
      <c r="U1251" t="s">
        <v>140</v>
      </c>
      <c r="V1251" s="8" t="str">
        <f>"33139"</f>
        <v>33139</v>
      </c>
      <c r="W1251" t="s">
        <v>118</v>
      </c>
      <c r="Y1251" s="10">
        <v>13052000373</v>
      </c>
      <c r="AA1251">
        <v>721110</v>
      </c>
      <c r="AB1251" t="s">
        <v>1540</v>
      </c>
      <c r="AC1251" t="s">
        <v>1541</v>
      </c>
      <c r="AE1251" t="s">
        <v>1542</v>
      </c>
      <c r="AF1251" t="s">
        <v>1539</v>
      </c>
      <c r="AH1251" t="s">
        <v>1309</v>
      </c>
      <c r="AI1251" t="s">
        <v>140</v>
      </c>
      <c r="AJ1251" s="8" t="str">
        <f>"33139"</f>
        <v>33139</v>
      </c>
      <c r="AK1251" t="s">
        <v>118</v>
      </c>
      <c r="AM1251" s="10">
        <v>13052000373</v>
      </c>
      <c r="AO1251" t="s">
        <v>1543</v>
      </c>
      <c r="AP1251" t="s">
        <v>121</v>
      </c>
      <c r="AQ1251" t="s">
        <v>276</v>
      </c>
      <c r="AR1251" t="s">
        <v>277</v>
      </c>
      <c r="AS1251" t="s">
        <v>278</v>
      </c>
      <c r="AT1251" t="s">
        <v>279</v>
      </c>
      <c r="AU1251" t="s">
        <v>280</v>
      </c>
      <c r="AV1251" t="s">
        <v>281</v>
      </c>
      <c r="AW1251" t="s">
        <v>222</v>
      </c>
      <c r="AX1251" s="8" t="str">
        <f>"01701"</f>
        <v>01701</v>
      </c>
      <c r="AY1251" t="s">
        <v>118</v>
      </c>
      <c r="BA1251" s="10">
        <v>16179399444</v>
      </c>
      <c r="BC1251" t="s">
        <v>282</v>
      </c>
      <c r="BD1251" t="s">
        <v>283</v>
      </c>
      <c r="BE1251" t="s">
        <v>222</v>
      </c>
      <c r="BF1251" t="s">
        <v>284</v>
      </c>
      <c r="BG1251" t="s">
        <v>140</v>
      </c>
      <c r="BH1251" s="1">
        <v>45168.833333333336</v>
      </c>
      <c r="BI1251">
        <v>40</v>
      </c>
      <c r="BJ1251">
        <v>0</v>
      </c>
      <c r="BK1251">
        <v>8</v>
      </c>
      <c r="BL1251">
        <v>8</v>
      </c>
      <c r="BM1251">
        <v>8</v>
      </c>
      <c r="BN1251">
        <v>8</v>
      </c>
      <c r="BO1251">
        <v>8</v>
      </c>
      <c r="BP1251">
        <v>0</v>
      </c>
      <c r="BQ1251" t="str">
        <f>"9:00 AM"</f>
        <v>9:00 AM</v>
      </c>
      <c r="BR1251" t="str">
        <f>"5:00 PM"</f>
        <v>5:00 PM</v>
      </c>
      <c r="BS1251" t="s">
        <v>131</v>
      </c>
      <c r="BT1251">
        <v>0</v>
      </c>
      <c r="BU1251">
        <v>3</v>
      </c>
      <c r="BV1251" t="s">
        <v>114</v>
      </c>
      <c r="BX1251" s="2" t="s">
        <v>1544</v>
      </c>
      <c r="BY1251" t="s">
        <v>1539</v>
      </c>
      <c r="CA1251" t="s">
        <v>1309</v>
      </c>
      <c r="CB1251" t="s">
        <v>140</v>
      </c>
      <c r="CC1251" s="8" t="str">
        <f>"33139"</f>
        <v>33139</v>
      </c>
      <c r="CD1251" t="s">
        <v>148</v>
      </c>
      <c r="CE1251" t="s">
        <v>149</v>
      </c>
      <c r="CF1251" s="12">
        <v>14.5</v>
      </c>
      <c r="CH1251" s="12">
        <v>21.75</v>
      </c>
      <c r="CJ1251" t="s">
        <v>135</v>
      </c>
      <c r="CK1251" t="s">
        <v>1545</v>
      </c>
      <c r="CL1251" t="s">
        <v>1546</v>
      </c>
      <c r="CO1251" t="s">
        <v>132</v>
      </c>
      <c r="CP1251" t="s">
        <v>114</v>
      </c>
      <c r="CQ1251" t="s">
        <v>114</v>
      </c>
      <c r="CR1251" t="s">
        <v>136</v>
      </c>
      <c r="CS1251" t="s">
        <v>136</v>
      </c>
      <c r="CT1251" t="s">
        <v>136</v>
      </c>
      <c r="CU1251" t="s">
        <v>114</v>
      </c>
      <c r="CV1251" s="2" t="s">
        <v>1547</v>
      </c>
      <c r="CW1251" s="10" t="str">
        <f>"+13052000373"</f>
        <v>+13052000373</v>
      </c>
      <c r="CX1251" t="s">
        <v>1548</v>
      </c>
      <c r="CY1251" t="s">
        <v>132</v>
      </c>
      <c r="CZ1251" t="s">
        <v>137</v>
      </c>
      <c r="DA1251" t="s">
        <v>114</v>
      </c>
      <c r="DB1251" t="s">
        <v>114</v>
      </c>
      <c r="DC1251" t="s">
        <v>136</v>
      </c>
      <c r="DD1251" t="s">
        <v>114</v>
      </c>
    </row>
    <row r="1252" spans="1:113" ht="15" customHeight="1" x14ac:dyDescent="0.25">
      <c r="A1252" t="s">
        <v>10661</v>
      </c>
      <c r="B1252" t="s">
        <v>152</v>
      </c>
      <c r="C1252" s="1">
        <v>45169.582375810183</v>
      </c>
      <c r="D1252" s="1">
        <v>45223</v>
      </c>
      <c r="E1252" t="s">
        <v>136</v>
      </c>
      <c r="F1252" t="s">
        <v>7083</v>
      </c>
      <c r="G1252" t="str">
        <f>"35-2014.00"</f>
        <v>35-2014.00</v>
      </c>
      <c r="H1252" t="s">
        <v>154</v>
      </c>
      <c r="I1252">
        <v>10</v>
      </c>
      <c r="J1252">
        <v>10</v>
      </c>
      <c r="K1252" s="1">
        <v>45245</v>
      </c>
      <c r="L1252" s="1">
        <v>45443</v>
      </c>
      <c r="M1252" s="1">
        <v>45245</v>
      </c>
      <c r="N1252" s="1">
        <v>45443</v>
      </c>
      <c r="O1252" t="s">
        <v>116</v>
      </c>
      <c r="P1252" t="s">
        <v>1537</v>
      </c>
      <c r="Q1252" t="s">
        <v>1538</v>
      </c>
      <c r="R1252" t="s">
        <v>1539</v>
      </c>
      <c r="T1252" t="s">
        <v>1309</v>
      </c>
      <c r="U1252" t="s">
        <v>140</v>
      </c>
      <c r="V1252" s="8" t="str">
        <f>"33139"</f>
        <v>33139</v>
      </c>
      <c r="W1252" t="s">
        <v>118</v>
      </c>
      <c r="Y1252" s="10">
        <v>13052000373</v>
      </c>
      <c r="AA1252">
        <v>721110</v>
      </c>
      <c r="AB1252" t="s">
        <v>1540</v>
      </c>
      <c r="AC1252" t="s">
        <v>1541</v>
      </c>
      <c r="AE1252" t="s">
        <v>1142</v>
      </c>
      <c r="AF1252" t="s">
        <v>10662</v>
      </c>
      <c r="AH1252" t="s">
        <v>1309</v>
      </c>
      <c r="AI1252" t="s">
        <v>140</v>
      </c>
      <c r="AJ1252" s="8" t="str">
        <f>"33139"</f>
        <v>33139</v>
      </c>
      <c r="AK1252" t="s">
        <v>118</v>
      </c>
      <c r="AM1252" s="10">
        <v>13052000373</v>
      </c>
      <c r="AO1252" t="s">
        <v>1543</v>
      </c>
      <c r="AP1252" t="s">
        <v>121</v>
      </c>
      <c r="AQ1252" t="s">
        <v>276</v>
      </c>
      <c r="AR1252" t="s">
        <v>277</v>
      </c>
      <c r="AS1252" t="s">
        <v>278</v>
      </c>
      <c r="AT1252" t="s">
        <v>279</v>
      </c>
      <c r="AU1252" t="s">
        <v>280</v>
      </c>
      <c r="AV1252" t="s">
        <v>281</v>
      </c>
      <c r="AW1252" t="s">
        <v>222</v>
      </c>
      <c r="AX1252" s="8" t="str">
        <f>"01701"</f>
        <v>01701</v>
      </c>
      <c r="AY1252" t="s">
        <v>118</v>
      </c>
      <c r="BA1252" s="10">
        <v>16179399444</v>
      </c>
      <c r="BC1252" t="s">
        <v>282</v>
      </c>
      <c r="BD1252" t="s">
        <v>283</v>
      </c>
      <c r="BE1252" t="s">
        <v>222</v>
      </c>
      <c r="BF1252" t="s">
        <v>284</v>
      </c>
      <c r="BG1252" t="s">
        <v>140</v>
      </c>
      <c r="BH1252" s="1">
        <v>45168.833333333336</v>
      </c>
      <c r="BI1252">
        <v>40</v>
      </c>
      <c r="BJ1252">
        <v>0</v>
      </c>
      <c r="BK1252">
        <v>8</v>
      </c>
      <c r="BL1252">
        <v>8</v>
      </c>
      <c r="BM1252">
        <v>8</v>
      </c>
      <c r="BN1252">
        <v>8</v>
      </c>
      <c r="BO1252">
        <v>8</v>
      </c>
      <c r="BP1252">
        <v>0</v>
      </c>
      <c r="BQ1252" t="str">
        <f>"7:00 AM"</f>
        <v>7:00 AM</v>
      </c>
      <c r="BR1252" t="str">
        <f>"3:00 PM"</f>
        <v>3:00 PM</v>
      </c>
      <c r="BS1252" t="s">
        <v>131</v>
      </c>
      <c r="BT1252">
        <v>0</v>
      </c>
      <c r="BU1252">
        <v>6</v>
      </c>
      <c r="BV1252" t="s">
        <v>114</v>
      </c>
      <c r="BX1252" s="2" t="s">
        <v>10663</v>
      </c>
      <c r="BY1252" t="s">
        <v>1539</v>
      </c>
      <c r="CA1252" t="s">
        <v>1309</v>
      </c>
      <c r="CB1252" t="s">
        <v>140</v>
      </c>
      <c r="CC1252" s="8" t="str">
        <f>"33139"</f>
        <v>33139</v>
      </c>
      <c r="CD1252" t="s">
        <v>148</v>
      </c>
      <c r="CE1252" t="s">
        <v>149</v>
      </c>
      <c r="CF1252" s="12">
        <v>17</v>
      </c>
      <c r="CH1252" s="12">
        <v>25.5</v>
      </c>
      <c r="CJ1252" t="s">
        <v>135</v>
      </c>
      <c r="CK1252" t="s">
        <v>10664</v>
      </c>
      <c r="CL1252" t="s">
        <v>10665</v>
      </c>
      <c r="CO1252" t="s">
        <v>132</v>
      </c>
      <c r="CP1252" t="s">
        <v>114</v>
      </c>
      <c r="CQ1252" t="s">
        <v>114</v>
      </c>
      <c r="CR1252" t="s">
        <v>136</v>
      </c>
      <c r="CS1252" t="s">
        <v>136</v>
      </c>
      <c r="CT1252" t="s">
        <v>136</v>
      </c>
      <c r="CU1252" t="s">
        <v>114</v>
      </c>
      <c r="CV1252" s="2" t="s">
        <v>1547</v>
      </c>
      <c r="CW1252" s="10" t="str">
        <f>"+13052000373"</f>
        <v>+13052000373</v>
      </c>
      <c r="CX1252" t="s">
        <v>1548</v>
      </c>
      <c r="CY1252" t="s">
        <v>132</v>
      </c>
      <c r="CZ1252" t="s">
        <v>137</v>
      </c>
      <c r="DA1252" t="s">
        <v>114</v>
      </c>
      <c r="DB1252" t="s">
        <v>114</v>
      </c>
      <c r="DC1252" t="s">
        <v>136</v>
      </c>
      <c r="DD1252" t="s">
        <v>114</v>
      </c>
    </row>
    <row r="1253" spans="1:113" ht="15" customHeight="1" x14ac:dyDescent="0.25">
      <c r="A1253" t="s">
        <v>14546</v>
      </c>
      <c r="B1253" t="s">
        <v>152</v>
      </c>
      <c r="C1253" s="1">
        <v>45169.54261759259</v>
      </c>
      <c r="D1253" s="1">
        <v>45223</v>
      </c>
      <c r="E1253" t="s">
        <v>114</v>
      </c>
      <c r="F1253" t="s">
        <v>14547</v>
      </c>
      <c r="G1253" t="str">
        <f>"49-9098.00"</f>
        <v>49-9098.00</v>
      </c>
      <c r="H1253" t="s">
        <v>945</v>
      </c>
      <c r="I1253">
        <v>3</v>
      </c>
      <c r="J1253">
        <v>3</v>
      </c>
      <c r="K1253" s="1">
        <v>45259</v>
      </c>
      <c r="L1253" s="1">
        <v>45563</v>
      </c>
      <c r="M1253" s="1">
        <v>45259</v>
      </c>
      <c r="N1253" s="1">
        <v>45563</v>
      </c>
      <c r="O1253" t="s">
        <v>116</v>
      </c>
      <c r="P1253" t="s">
        <v>14548</v>
      </c>
      <c r="Q1253" t="s">
        <v>475</v>
      </c>
      <c r="R1253" t="s">
        <v>14549</v>
      </c>
      <c r="S1253" t="s">
        <v>14550</v>
      </c>
      <c r="T1253" t="s">
        <v>6152</v>
      </c>
      <c r="U1253" t="s">
        <v>333</v>
      </c>
      <c r="V1253" s="8" t="str">
        <f>"70527"</f>
        <v>70527</v>
      </c>
      <c r="W1253" t="s">
        <v>118</v>
      </c>
      <c r="Y1253" s="10">
        <v>13377880595</v>
      </c>
      <c r="AA1253">
        <v>238120</v>
      </c>
      <c r="AB1253" t="s">
        <v>9945</v>
      </c>
      <c r="AC1253" t="s">
        <v>14551</v>
      </c>
      <c r="AE1253" t="s">
        <v>629</v>
      </c>
      <c r="AF1253" t="s">
        <v>14549</v>
      </c>
      <c r="AG1253" t="s">
        <v>14550</v>
      </c>
      <c r="AH1253" t="s">
        <v>6152</v>
      </c>
      <c r="AI1253" t="s">
        <v>333</v>
      </c>
      <c r="AJ1253" s="8" t="str">
        <f>"70527"</f>
        <v>70527</v>
      </c>
      <c r="AK1253" t="s">
        <v>118</v>
      </c>
      <c r="AM1253" s="10">
        <v>13377880595</v>
      </c>
      <c r="AO1253" t="s">
        <v>14552</v>
      </c>
      <c r="AP1253" t="s">
        <v>248</v>
      </c>
      <c r="AQ1253" t="s">
        <v>5476</v>
      </c>
      <c r="AR1253" t="s">
        <v>5477</v>
      </c>
      <c r="AS1253" t="s">
        <v>3559</v>
      </c>
      <c r="AT1253" t="s">
        <v>5478</v>
      </c>
      <c r="AU1253" t="s">
        <v>5479</v>
      </c>
      <c r="AV1253" t="s">
        <v>3759</v>
      </c>
      <c r="AW1253" t="s">
        <v>375</v>
      </c>
      <c r="AX1253" s="8" t="str">
        <f>"27536"</f>
        <v>27536</v>
      </c>
      <c r="AY1253" t="s">
        <v>118</v>
      </c>
      <c r="BA1253" s="10">
        <v>14349173294</v>
      </c>
      <c r="BC1253" t="s">
        <v>5480</v>
      </c>
      <c r="BD1253" t="s">
        <v>5481</v>
      </c>
      <c r="BG1253" t="s">
        <v>333</v>
      </c>
      <c r="BH1253" s="1">
        <v>45168.833333333336</v>
      </c>
      <c r="BI1253">
        <v>40</v>
      </c>
      <c r="BJ1253">
        <v>0</v>
      </c>
      <c r="BK1253">
        <v>7</v>
      </c>
      <c r="BL1253">
        <v>7</v>
      </c>
      <c r="BM1253">
        <v>7</v>
      </c>
      <c r="BN1253">
        <v>7</v>
      </c>
      <c r="BO1253">
        <v>7</v>
      </c>
      <c r="BP1253">
        <v>5</v>
      </c>
      <c r="BQ1253" t="str">
        <f>"7:00 AM"</f>
        <v>7:00 AM</v>
      </c>
      <c r="BR1253" t="str">
        <f>"4:00 PM"</f>
        <v>4:00 PM</v>
      </c>
      <c r="BS1253" t="s">
        <v>131</v>
      </c>
      <c r="BT1253">
        <v>0</v>
      </c>
      <c r="BU1253">
        <v>3</v>
      </c>
      <c r="BV1253" t="s">
        <v>114</v>
      </c>
      <c r="BX1253" s="2" t="s">
        <v>14553</v>
      </c>
      <c r="BY1253" t="s">
        <v>14550</v>
      </c>
      <c r="BZ1253" t="s">
        <v>475</v>
      </c>
      <c r="CA1253" t="s">
        <v>6152</v>
      </c>
      <c r="CB1253" t="s">
        <v>333</v>
      </c>
      <c r="CC1253" s="8" t="str">
        <f>"70526"</f>
        <v>70526</v>
      </c>
      <c r="CD1253" t="s">
        <v>6328</v>
      </c>
      <c r="CE1253" t="s">
        <v>1818</v>
      </c>
      <c r="CF1253" s="12">
        <v>14.75</v>
      </c>
      <c r="CG1253" s="12">
        <v>14.75</v>
      </c>
      <c r="CH1253" s="12">
        <v>22.13</v>
      </c>
      <c r="CI1253" s="12">
        <v>22.13</v>
      </c>
      <c r="CJ1253" t="s">
        <v>135</v>
      </c>
      <c r="CL1253" t="s">
        <v>14554</v>
      </c>
      <c r="CO1253" t="s">
        <v>132</v>
      </c>
      <c r="CP1253" t="s">
        <v>136</v>
      </c>
      <c r="CQ1253" t="s">
        <v>136</v>
      </c>
      <c r="CR1253" t="s">
        <v>136</v>
      </c>
      <c r="CS1253" t="s">
        <v>114</v>
      </c>
      <c r="CT1253" t="s">
        <v>136</v>
      </c>
      <c r="CU1253" t="s">
        <v>114</v>
      </c>
      <c r="CV1253" t="s">
        <v>5540</v>
      </c>
      <c r="CW1253" s="10" t="str">
        <f>"+13377880595"</f>
        <v>+13377880595</v>
      </c>
      <c r="CX1253" t="s">
        <v>132</v>
      </c>
      <c r="CY1253" t="s">
        <v>7257</v>
      </c>
      <c r="CZ1253" t="s">
        <v>137</v>
      </c>
      <c r="DA1253" t="s">
        <v>114</v>
      </c>
      <c r="DB1253" t="s">
        <v>114</v>
      </c>
      <c r="DC1253" t="s">
        <v>136</v>
      </c>
      <c r="DD1253" t="s">
        <v>114</v>
      </c>
    </row>
    <row r="1254" spans="1:113" ht="15" customHeight="1" x14ac:dyDescent="0.25">
      <c r="A1254" t="s">
        <v>22778</v>
      </c>
      <c r="B1254" t="s">
        <v>152</v>
      </c>
      <c r="C1254" s="1">
        <v>45167.670233101853</v>
      </c>
      <c r="D1254" s="1">
        <v>45223</v>
      </c>
      <c r="E1254" t="s">
        <v>136</v>
      </c>
      <c r="F1254" t="s">
        <v>22779</v>
      </c>
      <c r="G1254" t="str">
        <f>"35-2021.00"</f>
        <v>35-2021.00</v>
      </c>
      <c r="H1254" t="s">
        <v>2303</v>
      </c>
      <c r="I1254">
        <v>9</v>
      </c>
      <c r="J1254">
        <v>9</v>
      </c>
      <c r="K1254" s="1">
        <v>45255</v>
      </c>
      <c r="L1254" s="1">
        <v>45504</v>
      </c>
      <c r="M1254" s="1">
        <v>45255</v>
      </c>
      <c r="N1254" s="1">
        <v>45504</v>
      </c>
      <c r="O1254" t="s">
        <v>116</v>
      </c>
      <c r="P1254" t="s">
        <v>6208</v>
      </c>
      <c r="Q1254" t="s">
        <v>6209</v>
      </c>
      <c r="R1254" t="s">
        <v>6210</v>
      </c>
      <c r="T1254" t="s">
        <v>1371</v>
      </c>
      <c r="U1254" t="s">
        <v>550</v>
      </c>
      <c r="V1254" s="8" t="str">
        <f>"30066"</f>
        <v>30066</v>
      </c>
      <c r="W1254" t="s">
        <v>118</v>
      </c>
      <c r="Y1254" s="10">
        <v>16783542700</v>
      </c>
      <c r="AA1254">
        <v>72251</v>
      </c>
      <c r="AB1254" t="s">
        <v>6211</v>
      </c>
      <c r="AC1254" t="s">
        <v>6212</v>
      </c>
      <c r="AE1254" t="s">
        <v>6213</v>
      </c>
      <c r="AF1254" t="s">
        <v>6210</v>
      </c>
      <c r="AH1254" t="s">
        <v>1371</v>
      </c>
      <c r="AI1254" t="s">
        <v>550</v>
      </c>
      <c r="AJ1254" s="8" t="str">
        <f>"30066"</f>
        <v>30066</v>
      </c>
      <c r="AK1254" t="s">
        <v>118</v>
      </c>
      <c r="AM1254" s="10">
        <v>16783542700</v>
      </c>
      <c r="AO1254" t="s">
        <v>6214</v>
      </c>
      <c r="AP1254" t="s">
        <v>121</v>
      </c>
      <c r="AQ1254" t="s">
        <v>6215</v>
      </c>
      <c r="AR1254" t="s">
        <v>6216</v>
      </c>
      <c r="AT1254" t="s">
        <v>6217</v>
      </c>
      <c r="AU1254" t="s">
        <v>6218</v>
      </c>
      <c r="AV1254" t="s">
        <v>6219</v>
      </c>
      <c r="AW1254" t="s">
        <v>550</v>
      </c>
      <c r="AX1254" s="8" t="str">
        <f>"30024"</f>
        <v>30024</v>
      </c>
      <c r="AY1254" t="s">
        <v>118</v>
      </c>
      <c r="BA1254" s="10">
        <v>16786917905</v>
      </c>
      <c r="BC1254" t="s">
        <v>6220</v>
      </c>
      <c r="BD1254" t="s">
        <v>6221</v>
      </c>
      <c r="BE1254" t="s">
        <v>550</v>
      </c>
      <c r="BF1254" t="s">
        <v>6222</v>
      </c>
      <c r="BG1254" t="s">
        <v>550</v>
      </c>
      <c r="BH1254" s="1">
        <v>45166.833333333336</v>
      </c>
      <c r="BI1254">
        <v>40</v>
      </c>
      <c r="BJ1254">
        <v>0</v>
      </c>
      <c r="BK1254">
        <v>0</v>
      </c>
      <c r="BL1254">
        <v>8</v>
      </c>
      <c r="BM1254">
        <v>8</v>
      </c>
      <c r="BN1254">
        <v>8</v>
      </c>
      <c r="BO1254">
        <v>8</v>
      </c>
      <c r="BP1254">
        <v>8</v>
      </c>
      <c r="BQ1254" t="str">
        <f>"10:00 AM"</f>
        <v>10:00 AM</v>
      </c>
      <c r="BR1254" t="str">
        <f>"7:00 PM"</f>
        <v>7:00 PM</v>
      </c>
      <c r="BS1254" t="s">
        <v>131</v>
      </c>
      <c r="BT1254">
        <v>0</v>
      </c>
      <c r="BU1254">
        <v>0</v>
      </c>
      <c r="BV1254" t="s">
        <v>114</v>
      </c>
      <c r="BX1254" s="2" t="s">
        <v>22780</v>
      </c>
      <c r="BY1254" t="s">
        <v>22781</v>
      </c>
      <c r="BZ1254" t="s">
        <v>6225</v>
      </c>
      <c r="CA1254" t="s">
        <v>4570</v>
      </c>
      <c r="CB1254" t="s">
        <v>550</v>
      </c>
      <c r="CC1254" s="8" t="str">
        <f>"30329"</f>
        <v>30329</v>
      </c>
      <c r="CD1254" t="s">
        <v>4906</v>
      </c>
      <c r="CE1254" t="s">
        <v>552</v>
      </c>
      <c r="CF1254" s="12">
        <v>14.14</v>
      </c>
      <c r="CH1254" s="12">
        <v>21.21</v>
      </c>
      <c r="CJ1254" t="s">
        <v>135</v>
      </c>
      <c r="CL1254" t="s">
        <v>22782</v>
      </c>
      <c r="CO1254" t="s">
        <v>132</v>
      </c>
      <c r="CP1254" t="s">
        <v>114</v>
      </c>
      <c r="CQ1254" t="s">
        <v>114</v>
      </c>
      <c r="CR1254" t="s">
        <v>136</v>
      </c>
      <c r="CS1254" t="s">
        <v>114</v>
      </c>
      <c r="CT1254" t="s">
        <v>136</v>
      </c>
      <c r="CU1254" t="s">
        <v>114</v>
      </c>
      <c r="CV1254" t="s">
        <v>4299</v>
      </c>
      <c r="CW1254" s="10" t="str">
        <f>"+16783542700"</f>
        <v>+16783542700</v>
      </c>
      <c r="CX1254" t="s">
        <v>22783</v>
      </c>
      <c r="CY1254" t="s">
        <v>6227</v>
      </c>
      <c r="CZ1254" t="s">
        <v>137</v>
      </c>
      <c r="DA1254" t="s">
        <v>114</v>
      </c>
      <c r="DB1254" t="s">
        <v>114</v>
      </c>
      <c r="DC1254" t="s">
        <v>136</v>
      </c>
      <c r="DD1254" t="s">
        <v>114</v>
      </c>
    </row>
    <row r="1255" spans="1:113" ht="15" customHeight="1" x14ac:dyDescent="0.25">
      <c r="A1255" t="s">
        <v>9141</v>
      </c>
      <c r="B1255" t="s">
        <v>152</v>
      </c>
      <c r="C1255" s="1">
        <v>45165.532586689813</v>
      </c>
      <c r="D1255" s="1">
        <v>45223</v>
      </c>
      <c r="E1255" t="s">
        <v>114</v>
      </c>
      <c r="F1255" t="s">
        <v>1247</v>
      </c>
      <c r="G1255" t="str">
        <f>"45-4011.00"</f>
        <v>45-4011.00</v>
      </c>
      <c r="H1255" t="s">
        <v>842</v>
      </c>
      <c r="I1255">
        <v>50</v>
      </c>
      <c r="J1255">
        <v>50</v>
      </c>
      <c r="K1255" s="1">
        <v>45255</v>
      </c>
      <c r="L1255" s="1">
        <v>45528</v>
      </c>
      <c r="M1255" s="1">
        <v>45255</v>
      </c>
      <c r="N1255" s="1">
        <v>45528</v>
      </c>
      <c r="O1255" t="s">
        <v>238</v>
      </c>
      <c r="P1255" t="s">
        <v>9142</v>
      </c>
      <c r="R1255" t="s">
        <v>9143</v>
      </c>
      <c r="T1255" t="s">
        <v>2906</v>
      </c>
      <c r="U1255" t="s">
        <v>479</v>
      </c>
      <c r="V1255" s="8" t="str">
        <f>"97501"</f>
        <v>97501</v>
      </c>
      <c r="W1255" t="s">
        <v>118</v>
      </c>
      <c r="Y1255" s="10">
        <v>15416011977</v>
      </c>
      <c r="AA1255">
        <v>115310</v>
      </c>
      <c r="AB1255" t="s">
        <v>8147</v>
      </c>
      <c r="AC1255" t="s">
        <v>123</v>
      </c>
      <c r="AD1255" t="s">
        <v>132</v>
      </c>
      <c r="AE1255" t="s">
        <v>629</v>
      </c>
      <c r="AF1255" t="s">
        <v>9143</v>
      </c>
      <c r="AH1255" t="s">
        <v>2906</v>
      </c>
      <c r="AI1255" t="s">
        <v>479</v>
      </c>
      <c r="AJ1255" s="8" t="str">
        <f>"97501"</f>
        <v>97501</v>
      </c>
      <c r="AK1255" t="s">
        <v>118</v>
      </c>
      <c r="AM1255" s="10">
        <v>15416011977</v>
      </c>
      <c r="AO1255" t="s">
        <v>9144</v>
      </c>
      <c r="AP1255" t="s">
        <v>248</v>
      </c>
      <c r="AQ1255" t="s">
        <v>1030</v>
      </c>
      <c r="AR1255" t="s">
        <v>1031</v>
      </c>
      <c r="AS1255" t="s">
        <v>132</v>
      </c>
      <c r="AT1255" t="s">
        <v>1032</v>
      </c>
      <c r="AU1255" t="s">
        <v>852</v>
      </c>
      <c r="AV1255" t="s">
        <v>1033</v>
      </c>
      <c r="AW1255" t="s">
        <v>854</v>
      </c>
      <c r="AX1255" s="8" t="str">
        <f>"83814"</f>
        <v>83814</v>
      </c>
      <c r="AY1255" t="s">
        <v>118</v>
      </c>
      <c r="BA1255" s="10">
        <v>12087772654</v>
      </c>
      <c r="BC1255" t="s">
        <v>1034</v>
      </c>
      <c r="BD1255" t="s">
        <v>856</v>
      </c>
      <c r="BG1255" t="s">
        <v>479</v>
      </c>
      <c r="BH1255" s="1">
        <v>45154.833333333336</v>
      </c>
      <c r="BI1255">
        <v>35</v>
      </c>
      <c r="BJ1255">
        <v>0</v>
      </c>
      <c r="BK1255">
        <v>7</v>
      </c>
      <c r="BL1255">
        <v>7</v>
      </c>
      <c r="BM1255">
        <v>7</v>
      </c>
      <c r="BN1255">
        <v>7</v>
      </c>
      <c r="BO1255">
        <v>7</v>
      </c>
      <c r="BP1255">
        <v>0</v>
      </c>
      <c r="BQ1255" t="str">
        <f>"7:00 AM"</f>
        <v>7:00 AM</v>
      </c>
      <c r="BR1255" t="str">
        <f>"2:30 PM"</f>
        <v>2:30 PM</v>
      </c>
      <c r="BS1255" t="s">
        <v>131</v>
      </c>
      <c r="BT1255">
        <v>0</v>
      </c>
      <c r="BU1255">
        <v>3</v>
      </c>
      <c r="BV1255" t="s">
        <v>114</v>
      </c>
      <c r="BX1255" t="s">
        <v>4841</v>
      </c>
      <c r="BY1255" t="s">
        <v>9145</v>
      </c>
      <c r="CA1255" t="s">
        <v>2906</v>
      </c>
      <c r="CB1255" t="s">
        <v>479</v>
      </c>
      <c r="CC1255" s="8" t="str">
        <f>"97501"</f>
        <v>97501</v>
      </c>
      <c r="CD1255" t="s">
        <v>859</v>
      </c>
      <c r="CE1255" t="s">
        <v>860</v>
      </c>
      <c r="CF1255" s="12">
        <v>15.69</v>
      </c>
      <c r="CG1255" s="12">
        <v>24</v>
      </c>
      <c r="CH1255" s="12">
        <v>23.54</v>
      </c>
      <c r="CI1255" s="12">
        <v>36</v>
      </c>
      <c r="CJ1255" t="s">
        <v>135</v>
      </c>
      <c r="CK1255" t="s">
        <v>861</v>
      </c>
      <c r="CL1255" t="s">
        <v>9146</v>
      </c>
      <c r="CO1255" t="s">
        <v>132</v>
      </c>
      <c r="CP1255" t="s">
        <v>136</v>
      </c>
      <c r="CQ1255" t="s">
        <v>136</v>
      </c>
      <c r="CR1255" t="s">
        <v>136</v>
      </c>
      <c r="CS1255" t="s">
        <v>114</v>
      </c>
      <c r="CT1255" t="s">
        <v>136</v>
      </c>
      <c r="CU1255" t="s">
        <v>136</v>
      </c>
      <c r="CV1255" t="s">
        <v>1040</v>
      </c>
      <c r="CW1255" s="10" t="str">
        <f>"+15416011977"</f>
        <v>+15416011977</v>
      </c>
      <c r="CX1255" t="s">
        <v>9144</v>
      </c>
      <c r="CY1255" t="s">
        <v>132</v>
      </c>
      <c r="CZ1255" t="s">
        <v>137</v>
      </c>
      <c r="DA1255" t="s">
        <v>114</v>
      </c>
      <c r="DB1255" t="s">
        <v>136</v>
      </c>
      <c r="DC1255" t="s">
        <v>136</v>
      </c>
      <c r="DD1255" t="s">
        <v>114</v>
      </c>
    </row>
    <row r="1256" spans="1:113" ht="15" customHeight="1" x14ac:dyDescent="0.25">
      <c r="A1256" t="s">
        <v>13355</v>
      </c>
      <c r="B1256" t="s">
        <v>152</v>
      </c>
      <c r="C1256" s="1">
        <v>45161.442132638891</v>
      </c>
      <c r="D1256" s="1">
        <v>45223</v>
      </c>
      <c r="E1256" t="s">
        <v>136</v>
      </c>
      <c r="F1256" t="s">
        <v>2512</v>
      </c>
      <c r="G1256" t="str">
        <f>"35-3031.00"</f>
        <v>35-3031.00</v>
      </c>
      <c r="H1256" t="s">
        <v>347</v>
      </c>
      <c r="I1256">
        <v>18</v>
      </c>
      <c r="J1256">
        <v>18</v>
      </c>
      <c r="K1256" s="1">
        <v>45250</v>
      </c>
      <c r="L1256" s="1">
        <v>45402</v>
      </c>
      <c r="M1256" s="1">
        <v>45250</v>
      </c>
      <c r="N1256" s="1">
        <v>45402</v>
      </c>
      <c r="O1256" t="s">
        <v>238</v>
      </c>
      <c r="P1256" t="s">
        <v>8666</v>
      </c>
      <c r="Q1256" t="s">
        <v>8667</v>
      </c>
      <c r="R1256" t="s">
        <v>8668</v>
      </c>
      <c r="S1256" t="s">
        <v>8669</v>
      </c>
      <c r="T1256" t="s">
        <v>891</v>
      </c>
      <c r="U1256" t="s">
        <v>892</v>
      </c>
      <c r="V1256" s="8" t="str">
        <f>"59716"</f>
        <v>59716</v>
      </c>
      <c r="W1256" t="s">
        <v>118</v>
      </c>
      <c r="Y1256" s="10">
        <v>14069557618</v>
      </c>
      <c r="AA1256">
        <v>721110</v>
      </c>
      <c r="AB1256" t="s">
        <v>8670</v>
      </c>
      <c r="AC1256" t="s">
        <v>1826</v>
      </c>
      <c r="AE1256" t="s">
        <v>1349</v>
      </c>
      <c r="AF1256" t="s">
        <v>8668</v>
      </c>
      <c r="AG1256" t="s">
        <v>8669</v>
      </c>
      <c r="AH1256" t="s">
        <v>891</v>
      </c>
      <c r="AI1256" t="s">
        <v>892</v>
      </c>
      <c r="AJ1256" s="8" t="str">
        <f>"59716"</f>
        <v>59716</v>
      </c>
      <c r="AK1256" t="s">
        <v>118</v>
      </c>
      <c r="AM1256" s="10">
        <v>14069557618</v>
      </c>
      <c r="AO1256" t="s">
        <v>8671</v>
      </c>
      <c r="AP1256" t="s">
        <v>121</v>
      </c>
      <c r="AQ1256" t="s">
        <v>276</v>
      </c>
      <c r="AR1256" t="s">
        <v>277</v>
      </c>
      <c r="AS1256" t="s">
        <v>278</v>
      </c>
      <c r="AT1256" t="s">
        <v>279</v>
      </c>
      <c r="AU1256" t="s">
        <v>280</v>
      </c>
      <c r="AV1256" t="s">
        <v>281</v>
      </c>
      <c r="AW1256" t="s">
        <v>222</v>
      </c>
      <c r="AX1256" s="8" t="str">
        <f>"01701"</f>
        <v>01701</v>
      </c>
      <c r="AY1256" t="s">
        <v>118</v>
      </c>
      <c r="BA1256" s="10">
        <v>16179399444</v>
      </c>
      <c r="BC1256" t="s">
        <v>282</v>
      </c>
      <c r="BD1256" t="s">
        <v>283</v>
      </c>
      <c r="BE1256" t="s">
        <v>222</v>
      </c>
      <c r="BF1256" t="s">
        <v>284</v>
      </c>
      <c r="BG1256" t="s">
        <v>892</v>
      </c>
      <c r="BH1256" s="1">
        <v>45159.833333333336</v>
      </c>
      <c r="BI1256">
        <v>40</v>
      </c>
      <c r="BJ1256">
        <v>0</v>
      </c>
      <c r="BK1256">
        <v>8</v>
      </c>
      <c r="BL1256">
        <v>8</v>
      </c>
      <c r="BM1256">
        <v>8</v>
      </c>
      <c r="BN1256">
        <v>8</v>
      </c>
      <c r="BO1256">
        <v>8</v>
      </c>
      <c r="BP1256">
        <v>0</v>
      </c>
      <c r="BQ1256" t="str">
        <f>"9:00 AM"</f>
        <v>9:00 AM</v>
      </c>
      <c r="BR1256" t="str">
        <f>"5:00 PM"</f>
        <v>5:00 PM</v>
      </c>
      <c r="BS1256" t="s">
        <v>131</v>
      </c>
      <c r="BT1256">
        <v>0</v>
      </c>
      <c r="BU1256">
        <v>3</v>
      </c>
      <c r="BV1256" t="s">
        <v>114</v>
      </c>
      <c r="BX1256" s="2" t="s">
        <v>13356</v>
      </c>
      <c r="BY1256" t="s">
        <v>8668</v>
      </c>
      <c r="CA1256" t="s">
        <v>891</v>
      </c>
      <c r="CB1256" t="s">
        <v>892</v>
      </c>
      <c r="CC1256" s="8" t="str">
        <f>"59716"</f>
        <v>59716</v>
      </c>
      <c r="CD1256" t="s">
        <v>908</v>
      </c>
      <c r="CE1256" t="s">
        <v>909</v>
      </c>
      <c r="CF1256" s="12">
        <v>15</v>
      </c>
      <c r="CG1256" s="12">
        <v>17</v>
      </c>
      <c r="CH1256" s="12">
        <v>22.5</v>
      </c>
      <c r="CI1256" s="12">
        <v>25.5</v>
      </c>
      <c r="CJ1256" t="s">
        <v>135</v>
      </c>
      <c r="CK1256" t="s">
        <v>13357</v>
      </c>
      <c r="CL1256" t="s">
        <v>13358</v>
      </c>
      <c r="CO1256" t="s">
        <v>132</v>
      </c>
      <c r="CP1256" t="s">
        <v>114</v>
      </c>
      <c r="CQ1256" t="s">
        <v>136</v>
      </c>
      <c r="CR1256" t="s">
        <v>136</v>
      </c>
      <c r="CS1256" t="s">
        <v>136</v>
      </c>
      <c r="CT1256" t="s">
        <v>136</v>
      </c>
      <c r="CU1256" t="s">
        <v>136</v>
      </c>
      <c r="CV1256" t="s">
        <v>8675</v>
      </c>
      <c r="CW1256" s="10" t="str">
        <f>"+14069938191"</f>
        <v>+14069938191</v>
      </c>
      <c r="CX1256" t="s">
        <v>8671</v>
      </c>
      <c r="CY1256" t="s">
        <v>132</v>
      </c>
      <c r="CZ1256" t="s">
        <v>137</v>
      </c>
      <c r="DA1256" t="s">
        <v>114</v>
      </c>
      <c r="DB1256" t="s">
        <v>114</v>
      </c>
      <c r="DC1256" t="s">
        <v>136</v>
      </c>
      <c r="DD1256" t="s">
        <v>114</v>
      </c>
    </row>
    <row r="1257" spans="1:113" ht="15" customHeight="1" x14ac:dyDescent="0.25">
      <c r="A1257" t="s">
        <v>8665</v>
      </c>
      <c r="B1257" t="s">
        <v>152</v>
      </c>
      <c r="C1257" s="1">
        <v>45161.440096412036</v>
      </c>
      <c r="D1257" s="1">
        <v>45223</v>
      </c>
      <c r="E1257" t="s">
        <v>136</v>
      </c>
      <c r="F1257" t="s">
        <v>153</v>
      </c>
      <c r="G1257" t="str">
        <f>"35-2014.00"</f>
        <v>35-2014.00</v>
      </c>
      <c r="H1257" t="s">
        <v>154</v>
      </c>
      <c r="I1257">
        <v>20</v>
      </c>
      <c r="J1257">
        <v>20</v>
      </c>
      <c r="K1257" s="1">
        <v>45250</v>
      </c>
      <c r="L1257" s="1">
        <v>45402</v>
      </c>
      <c r="M1257" s="1">
        <v>45250</v>
      </c>
      <c r="N1257" s="1">
        <v>45402</v>
      </c>
      <c r="O1257" t="s">
        <v>238</v>
      </c>
      <c r="P1257" t="s">
        <v>8666</v>
      </c>
      <c r="Q1257" t="s">
        <v>8667</v>
      </c>
      <c r="R1257" t="s">
        <v>8668</v>
      </c>
      <c r="S1257" t="s">
        <v>8669</v>
      </c>
      <c r="T1257" t="s">
        <v>891</v>
      </c>
      <c r="U1257" t="s">
        <v>892</v>
      </c>
      <c r="V1257" s="8" t="str">
        <f>"59716"</f>
        <v>59716</v>
      </c>
      <c r="W1257" t="s">
        <v>118</v>
      </c>
      <c r="Y1257" s="10">
        <v>14069557618</v>
      </c>
      <c r="AA1257">
        <v>721110</v>
      </c>
      <c r="AB1257" t="s">
        <v>8670</v>
      </c>
      <c r="AC1257" t="s">
        <v>1826</v>
      </c>
      <c r="AE1257" t="s">
        <v>1349</v>
      </c>
      <c r="AF1257" t="s">
        <v>8668</v>
      </c>
      <c r="AG1257" t="s">
        <v>8669</v>
      </c>
      <c r="AH1257" t="s">
        <v>891</v>
      </c>
      <c r="AI1257" t="s">
        <v>892</v>
      </c>
      <c r="AJ1257" s="8" t="str">
        <f>"59716"</f>
        <v>59716</v>
      </c>
      <c r="AK1257" t="s">
        <v>118</v>
      </c>
      <c r="AM1257" s="10">
        <v>14069557618</v>
      </c>
      <c r="AO1257" t="s">
        <v>8671</v>
      </c>
      <c r="AP1257" t="s">
        <v>121</v>
      </c>
      <c r="AQ1257" t="s">
        <v>276</v>
      </c>
      <c r="AR1257" t="s">
        <v>277</v>
      </c>
      <c r="AS1257" t="s">
        <v>278</v>
      </c>
      <c r="AT1257" t="s">
        <v>279</v>
      </c>
      <c r="AU1257" t="s">
        <v>280</v>
      </c>
      <c r="AV1257" t="s">
        <v>281</v>
      </c>
      <c r="AW1257" t="s">
        <v>222</v>
      </c>
      <c r="AX1257" s="8" t="str">
        <f>"01701"</f>
        <v>01701</v>
      </c>
      <c r="AY1257" t="s">
        <v>118</v>
      </c>
      <c r="BA1257" s="10">
        <v>16179399444</v>
      </c>
      <c r="BC1257" t="s">
        <v>282</v>
      </c>
      <c r="BD1257" t="s">
        <v>283</v>
      </c>
      <c r="BE1257" t="s">
        <v>222</v>
      </c>
      <c r="BF1257" t="s">
        <v>284</v>
      </c>
      <c r="BG1257" t="s">
        <v>892</v>
      </c>
      <c r="BH1257" s="1">
        <v>45159.833333333336</v>
      </c>
      <c r="BI1257">
        <v>40</v>
      </c>
      <c r="BJ1257">
        <v>0</v>
      </c>
      <c r="BK1257">
        <v>8</v>
      </c>
      <c r="BL1257">
        <v>8</v>
      </c>
      <c r="BM1257">
        <v>8</v>
      </c>
      <c r="BN1257">
        <v>8</v>
      </c>
      <c r="BO1257">
        <v>8</v>
      </c>
      <c r="BP1257">
        <v>0</v>
      </c>
      <c r="BQ1257" t="str">
        <f>"6:00 AM"</f>
        <v>6:00 AM</v>
      </c>
      <c r="BR1257" t="str">
        <f>"2:00 PM"</f>
        <v>2:00 PM</v>
      </c>
      <c r="BS1257" t="s">
        <v>131</v>
      </c>
      <c r="BT1257">
        <v>0</v>
      </c>
      <c r="BU1257">
        <v>6</v>
      </c>
      <c r="BV1257" t="s">
        <v>114</v>
      </c>
      <c r="BX1257" s="2" t="s">
        <v>8672</v>
      </c>
      <c r="BY1257" t="s">
        <v>8668</v>
      </c>
      <c r="CA1257" t="s">
        <v>891</v>
      </c>
      <c r="CB1257" t="s">
        <v>892</v>
      </c>
      <c r="CC1257" s="8" t="str">
        <f>"59716"</f>
        <v>59716</v>
      </c>
      <c r="CD1257" t="s">
        <v>908</v>
      </c>
      <c r="CE1257" t="s">
        <v>909</v>
      </c>
      <c r="CF1257" s="12">
        <v>18</v>
      </c>
      <c r="CG1257" s="12">
        <v>26</v>
      </c>
      <c r="CH1257" s="12">
        <v>27</v>
      </c>
      <c r="CI1257" s="12">
        <v>39</v>
      </c>
      <c r="CJ1257" t="s">
        <v>135</v>
      </c>
      <c r="CK1257" t="s">
        <v>8673</v>
      </c>
      <c r="CL1257" t="s">
        <v>8674</v>
      </c>
      <c r="CO1257" t="s">
        <v>132</v>
      </c>
      <c r="CP1257" t="s">
        <v>114</v>
      </c>
      <c r="CQ1257" t="s">
        <v>136</v>
      </c>
      <c r="CR1257" t="s">
        <v>136</v>
      </c>
      <c r="CS1257" t="s">
        <v>136</v>
      </c>
      <c r="CT1257" t="s">
        <v>136</v>
      </c>
      <c r="CU1257" t="s">
        <v>136</v>
      </c>
      <c r="CV1257" t="s">
        <v>8675</v>
      </c>
      <c r="CW1257" s="10" t="str">
        <f>"+14069938191"</f>
        <v>+14069938191</v>
      </c>
      <c r="CX1257" t="s">
        <v>8671</v>
      </c>
      <c r="CY1257" t="s">
        <v>132</v>
      </c>
      <c r="CZ1257" t="s">
        <v>137</v>
      </c>
      <c r="DA1257" t="s">
        <v>114</v>
      </c>
      <c r="DB1257" t="s">
        <v>114</v>
      </c>
      <c r="DC1257" t="s">
        <v>136</v>
      </c>
      <c r="DD1257" t="s">
        <v>114</v>
      </c>
    </row>
    <row r="1258" spans="1:113" ht="15" customHeight="1" x14ac:dyDescent="0.25">
      <c r="A1258" t="s">
        <v>21776</v>
      </c>
      <c r="B1258" t="s">
        <v>152</v>
      </c>
      <c r="C1258" s="1">
        <v>45155.716977314813</v>
      </c>
      <c r="D1258" s="1">
        <v>45223</v>
      </c>
      <c r="E1258" t="s">
        <v>114</v>
      </c>
      <c r="F1258" t="s">
        <v>14051</v>
      </c>
      <c r="G1258" t="str">
        <f>"37-2012.00"</f>
        <v>37-2012.00</v>
      </c>
      <c r="H1258" t="s">
        <v>205</v>
      </c>
      <c r="I1258">
        <v>10</v>
      </c>
      <c r="J1258">
        <v>10</v>
      </c>
      <c r="K1258" s="1">
        <v>45245</v>
      </c>
      <c r="L1258" s="1">
        <v>45549</v>
      </c>
      <c r="M1258" s="1">
        <v>45245</v>
      </c>
      <c r="N1258" s="1">
        <v>45549</v>
      </c>
      <c r="O1258" t="s">
        <v>116</v>
      </c>
      <c r="P1258" t="s">
        <v>21777</v>
      </c>
      <c r="R1258" t="s">
        <v>21778</v>
      </c>
      <c r="S1258" t="s">
        <v>14057</v>
      </c>
      <c r="T1258" t="s">
        <v>1026</v>
      </c>
      <c r="U1258" t="s">
        <v>188</v>
      </c>
      <c r="V1258" s="8" t="str">
        <f>"81632"</f>
        <v>81632</v>
      </c>
      <c r="W1258" t="s">
        <v>118</v>
      </c>
      <c r="Y1258" s="10">
        <v>19703907531</v>
      </c>
      <c r="AA1258">
        <v>561720</v>
      </c>
      <c r="AB1258" t="s">
        <v>21779</v>
      </c>
      <c r="AC1258" t="s">
        <v>14055</v>
      </c>
      <c r="AE1258" t="s">
        <v>561</v>
      </c>
      <c r="AF1258" t="s">
        <v>21778</v>
      </c>
      <c r="AG1258" t="s">
        <v>14057</v>
      </c>
      <c r="AH1258" t="s">
        <v>1026</v>
      </c>
      <c r="AI1258" t="s">
        <v>188</v>
      </c>
      <c r="AJ1258" s="8" t="str">
        <f>"81632"</f>
        <v>81632</v>
      </c>
      <c r="AK1258" t="s">
        <v>118</v>
      </c>
      <c r="AM1258" s="10">
        <v>19703907531</v>
      </c>
      <c r="AO1258" t="s">
        <v>21780</v>
      </c>
      <c r="AP1258" t="s">
        <v>121</v>
      </c>
      <c r="AQ1258" t="s">
        <v>1523</v>
      </c>
      <c r="AR1258" t="s">
        <v>1524</v>
      </c>
      <c r="AS1258" t="s">
        <v>1525</v>
      </c>
      <c r="AT1258" t="s">
        <v>1526</v>
      </c>
      <c r="AU1258" t="s">
        <v>1527</v>
      </c>
      <c r="AV1258" t="s">
        <v>1084</v>
      </c>
      <c r="AW1258" t="s">
        <v>188</v>
      </c>
      <c r="AX1258" s="8" t="str">
        <f>"81657"</f>
        <v>81657</v>
      </c>
      <c r="AY1258" t="s">
        <v>118</v>
      </c>
      <c r="BA1258" s="10">
        <v>19703066476</v>
      </c>
      <c r="BC1258" t="s">
        <v>1528</v>
      </c>
      <c r="BD1258" t="s">
        <v>1529</v>
      </c>
      <c r="BE1258" t="s">
        <v>188</v>
      </c>
      <c r="BF1258" t="s">
        <v>1530</v>
      </c>
      <c r="BG1258" t="s">
        <v>188</v>
      </c>
      <c r="BH1258" s="1">
        <v>45154.833333333336</v>
      </c>
      <c r="BI1258">
        <v>35</v>
      </c>
      <c r="BJ1258">
        <v>0</v>
      </c>
      <c r="BK1258">
        <v>7</v>
      </c>
      <c r="BL1258">
        <v>7</v>
      </c>
      <c r="BM1258">
        <v>7</v>
      </c>
      <c r="BN1258">
        <v>7</v>
      </c>
      <c r="BO1258">
        <v>7</v>
      </c>
      <c r="BP1258">
        <v>0</v>
      </c>
      <c r="BQ1258" t="str">
        <f>"9:00 AM"</f>
        <v>9:00 AM</v>
      </c>
      <c r="BR1258" t="str">
        <f>"5:00 PM"</f>
        <v>5:00 PM</v>
      </c>
      <c r="BS1258" t="s">
        <v>131</v>
      </c>
      <c r="BT1258">
        <v>0</v>
      </c>
      <c r="BU1258">
        <v>0</v>
      </c>
      <c r="BV1258" t="s">
        <v>114</v>
      </c>
      <c r="BX1258" s="2" t="s">
        <v>21781</v>
      </c>
      <c r="BY1258" t="s">
        <v>21782</v>
      </c>
      <c r="CA1258" t="s">
        <v>1457</v>
      </c>
      <c r="CB1258" t="s">
        <v>188</v>
      </c>
      <c r="CC1258" s="8" t="str">
        <f>"81620"</f>
        <v>81620</v>
      </c>
      <c r="CD1258" t="s">
        <v>1037</v>
      </c>
      <c r="CE1258" t="s">
        <v>1038</v>
      </c>
      <c r="CF1258" s="12">
        <v>18.29</v>
      </c>
      <c r="CH1258" s="12">
        <v>27.44</v>
      </c>
      <c r="CJ1258" t="s">
        <v>135</v>
      </c>
      <c r="CK1258" t="s">
        <v>21783</v>
      </c>
      <c r="CL1258" t="s">
        <v>21784</v>
      </c>
      <c r="CO1258" t="s">
        <v>132</v>
      </c>
      <c r="CP1258" t="s">
        <v>136</v>
      </c>
      <c r="CQ1258" t="s">
        <v>136</v>
      </c>
      <c r="CR1258" t="s">
        <v>136</v>
      </c>
      <c r="CS1258" t="s">
        <v>136</v>
      </c>
      <c r="CT1258" t="s">
        <v>136</v>
      </c>
      <c r="CU1258" t="s">
        <v>114</v>
      </c>
      <c r="CV1258" t="s">
        <v>1534</v>
      </c>
      <c r="CW1258" s="10" t="str">
        <f>"+19703907531"</f>
        <v>+19703907531</v>
      </c>
      <c r="CX1258" t="s">
        <v>21780</v>
      </c>
      <c r="CY1258" t="s">
        <v>132</v>
      </c>
      <c r="CZ1258" t="s">
        <v>137</v>
      </c>
      <c r="DA1258" t="s">
        <v>114</v>
      </c>
      <c r="DB1258" t="s">
        <v>114</v>
      </c>
      <c r="DC1258" t="s">
        <v>136</v>
      </c>
      <c r="DD1258" t="s">
        <v>114</v>
      </c>
    </row>
    <row r="1259" spans="1:113" ht="15" customHeight="1" x14ac:dyDescent="0.25">
      <c r="A1259" t="s">
        <v>19328</v>
      </c>
      <c r="B1259" t="s">
        <v>152</v>
      </c>
      <c r="C1259" s="1">
        <v>45150.050685879629</v>
      </c>
      <c r="D1259" s="1">
        <v>45223</v>
      </c>
      <c r="E1259" t="s">
        <v>136</v>
      </c>
      <c r="F1259" t="s">
        <v>4462</v>
      </c>
      <c r="G1259" t="str">
        <f>"37-2011.00"</f>
        <v>37-2011.00</v>
      </c>
      <c r="H1259" t="s">
        <v>1089</v>
      </c>
      <c r="I1259">
        <v>110</v>
      </c>
      <c r="J1259">
        <v>110</v>
      </c>
      <c r="K1259" s="1">
        <v>45240</v>
      </c>
      <c r="L1259" s="1">
        <v>45397</v>
      </c>
      <c r="M1259" s="1">
        <v>45240</v>
      </c>
      <c r="N1259" s="1">
        <v>45397</v>
      </c>
      <c r="O1259" t="s">
        <v>238</v>
      </c>
      <c r="P1259" t="s">
        <v>19329</v>
      </c>
      <c r="R1259" t="s">
        <v>19330</v>
      </c>
      <c r="T1259" t="s">
        <v>19331</v>
      </c>
      <c r="U1259" t="s">
        <v>117</v>
      </c>
      <c r="V1259" s="8" t="str">
        <f>"60118"</f>
        <v>60118</v>
      </c>
      <c r="W1259" t="s">
        <v>118</v>
      </c>
      <c r="Y1259" s="10">
        <v>18476950080</v>
      </c>
      <c r="AA1259">
        <v>561730</v>
      </c>
      <c r="AB1259" t="s">
        <v>1760</v>
      </c>
      <c r="AC1259" t="s">
        <v>119</v>
      </c>
      <c r="AE1259" t="s">
        <v>1770</v>
      </c>
      <c r="AF1259" t="s">
        <v>19330</v>
      </c>
      <c r="AH1259" t="s">
        <v>19331</v>
      </c>
      <c r="AI1259" t="s">
        <v>117</v>
      </c>
      <c r="AJ1259" s="8" t="str">
        <f>"60118"</f>
        <v>60118</v>
      </c>
      <c r="AK1259" t="s">
        <v>118</v>
      </c>
      <c r="AM1259" s="10">
        <v>18476950080</v>
      </c>
      <c r="AN1259">
        <v>7689</v>
      </c>
      <c r="AO1259" t="s">
        <v>19332</v>
      </c>
      <c r="AP1259" t="s">
        <v>121</v>
      </c>
      <c r="AQ1259" t="s">
        <v>19333</v>
      </c>
      <c r="AR1259" t="s">
        <v>3249</v>
      </c>
      <c r="AS1259" t="s">
        <v>8122</v>
      </c>
      <c r="AT1259" t="s">
        <v>19334</v>
      </c>
      <c r="AU1259" t="s">
        <v>6480</v>
      </c>
      <c r="AV1259" t="s">
        <v>1563</v>
      </c>
      <c r="AW1259" t="s">
        <v>211</v>
      </c>
      <c r="AX1259" s="8" t="str">
        <f>"84111"</f>
        <v>84111</v>
      </c>
      <c r="AY1259" t="s">
        <v>118</v>
      </c>
      <c r="BA1259" s="10">
        <v>18012971290</v>
      </c>
      <c r="BC1259" t="s">
        <v>19335</v>
      </c>
      <c r="BD1259" t="s">
        <v>19336</v>
      </c>
      <c r="BE1259" t="s">
        <v>211</v>
      </c>
      <c r="BF1259" t="s">
        <v>19337</v>
      </c>
      <c r="BG1259" t="s">
        <v>211</v>
      </c>
      <c r="BH1259" s="1">
        <v>45149.833333333336</v>
      </c>
      <c r="BI1259">
        <v>35</v>
      </c>
      <c r="BJ1259">
        <v>0</v>
      </c>
      <c r="BK1259">
        <v>7</v>
      </c>
      <c r="BL1259">
        <v>7</v>
      </c>
      <c r="BM1259">
        <v>7</v>
      </c>
      <c r="BN1259">
        <v>7</v>
      </c>
      <c r="BO1259">
        <v>7</v>
      </c>
      <c r="BP1259">
        <v>0</v>
      </c>
      <c r="BQ1259" t="str">
        <f>"10:00 AM"</f>
        <v>10:00 AM</v>
      </c>
      <c r="BR1259" t="str">
        <f>"5:00 PM"</f>
        <v>5:00 PM</v>
      </c>
      <c r="BS1259" t="s">
        <v>131</v>
      </c>
      <c r="BT1259">
        <v>0</v>
      </c>
      <c r="BU1259">
        <v>0</v>
      </c>
      <c r="BV1259" t="s">
        <v>114</v>
      </c>
      <c r="BX1259" s="2" t="s">
        <v>19338</v>
      </c>
      <c r="BY1259" t="s">
        <v>19339</v>
      </c>
      <c r="CA1259" t="s">
        <v>19340</v>
      </c>
      <c r="CB1259" t="s">
        <v>211</v>
      </c>
      <c r="CC1259" s="8" t="str">
        <f>"84119"</f>
        <v>84119</v>
      </c>
      <c r="CD1259" t="s">
        <v>1567</v>
      </c>
      <c r="CE1259" t="s">
        <v>1568</v>
      </c>
      <c r="CF1259" s="12">
        <v>15.17</v>
      </c>
      <c r="CH1259" s="12">
        <v>22.76</v>
      </c>
      <c r="CJ1259" t="s">
        <v>135</v>
      </c>
      <c r="CL1259" t="s">
        <v>19341</v>
      </c>
      <c r="CO1259" t="s">
        <v>132</v>
      </c>
      <c r="CP1259" t="s">
        <v>136</v>
      </c>
      <c r="CQ1259" t="s">
        <v>136</v>
      </c>
      <c r="CR1259" t="s">
        <v>136</v>
      </c>
      <c r="CS1259" t="s">
        <v>136</v>
      </c>
      <c r="CT1259" t="s">
        <v>136</v>
      </c>
      <c r="CU1259" t="s">
        <v>136</v>
      </c>
      <c r="CV1259" t="s">
        <v>19342</v>
      </c>
      <c r="CW1259" s="10" t="str">
        <f>"+18484769500"</f>
        <v>+18484769500</v>
      </c>
      <c r="CX1259" t="s">
        <v>19332</v>
      </c>
      <c r="CY1259" t="s">
        <v>132</v>
      </c>
      <c r="CZ1259" t="s">
        <v>137</v>
      </c>
      <c r="DA1259" t="s">
        <v>114</v>
      </c>
      <c r="DB1259" t="s">
        <v>114</v>
      </c>
      <c r="DC1259" t="s">
        <v>136</v>
      </c>
      <c r="DD1259" t="s">
        <v>114</v>
      </c>
    </row>
    <row r="1260" spans="1:113" ht="15" customHeight="1" x14ac:dyDescent="0.25">
      <c r="A1260" t="s">
        <v>4283</v>
      </c>
      <c r="B1260" t="s">
        <v>152</v>
      </c>
      <c r="C1260" s="1">
        <v>45144.863069675928</v>
      </c>
      <c r="D1260" s="1">
        <v>45223</v>
      </c>
      <c r="E1260" t="s">
        <v>114</v>
      </c>
      <c r="F1260" t="s">
        <v>4284</v>
      </c>
      <c r="G1260" t="str">
        <f>"37-2011.00"</f>
        <v>37-2011.00</v>
      </c>
      <c r="H1260" t="s">
        <v>1089</v>
      </c>
      <c r="I1260">
        <v>75</v>
      </c>
      <c r="J1260">
        <v>75</v>
      </c>
      <c r="K1260" s="1">
        <v>45231</v>
      </c>
      <c r="L1260" s="1">
        <v>45382</v>
      </c>
      <c r="M1260" s="1">
        <v>45231</v>
      </c>
      <c r="N1260" s="1">
        <v>45382</v>
      </c>
      <c r="O1260" t="s">
        <v>238</v>
      </c>
      <c r="P1260" t="s">
        <v>4285</v>
      </c>
      <c r="R1260" t="s">
        <v>4286</v>
      </c>
      <c r="S1260" t="s">
        <v>4287</v>
      </c>
      <c r="T1260" t="s">
        <v>4288</v>
      </c>
      <c r="U1260" t="s">
        <v>211</v>
      </c>
      <c r="V1260" s="8" t="str">
        <f>"84041"</f>
        <v>84041</v>
      </c>
      <c r="W1260" t="s">
        <v>118</v>
      </c>
      <c r="Y1260" s="10">
        <v>18016805552</v>
      </c>
      <c r="AA1260">
        <v>56173</v>
      </c>
      <c r="AB1260" t="s">
        <v>4289</v>
      </c>
      <c r="AC1260" t="s">
        <v>4290</v>
      </c>
      <c r="AE1260" t="s">
        <v>4291</v>
      </c>
      <c r="AF1260" t="s">
        <v>4286</v>
      </c>
      <c r="AG1260" t="s">
        <v>4287</v>
      </c>
      <c r="AH1260" t="s">
        <v>4288</v>
      </c>
      <c r="AI1260" t="s">
        <v>211</v>
      </c>
      <c r="AJ1260" s="8" t="str">
        <f>"84041"</f>
        <v>84041</v>
      </c>
      <c r="AK1260" t="s">
        <v>118</v>
      </c>
      <c r="AM1260" s="10">
        <v>18016805552</v>
      </c>
      <c r="AO1260" t="s">
        <v>4292</v>
      </c>
      <c r="AP1260" t="s">
        <v>121</v>
      </c>
      <c r="AQ1260" t="s">
        <v>4293</v>
      </c>
      <c r="AR1260" t="s">
        <v>4294</v>
      </c>
      <c r="AS1260" t="s">
        <v>3625</v>
      </c>
      <c r="AT1260" t="s">
        <v>4295</v>
      </c>
      <c r="AV1260" t="s">
        <v>320</v>
      </c>
      <c r="AW1260" t="s">
        <v>127</v>
      </c>
      <c r="AX1260" s="8" t="str">
        <f>"78705"</f>
        <v>78705</v>
      </c>
      <c r="AY1260" t="s">
        <v>118</v>
      </c>
      <c r="BA1260" s="10">
        <v>15123470007</v>
      </c>
      <c r="BC1260" t="s">
        <v>4296</v>
      </c>
      <c r="BD1260" t="s">
        <v>4297</v>
      </c>
      <c r="BE1260" t="s">
        <v>127</v>
      </c>
      <c r="BF1260" t="s">
        <v>4298</v>
      </c>
      <c r="BG1260" t="s">
        <v>211</v>
      </c>
      <c r="BH1260" s="1">
        <v>45143.833333333336</v>
      </c>
      <c r="BI1260">
        <v>40</v>
      </c>
      <c r="BJ1260">
        <v>0</v>
      </c>
      <c r="BK1260">
        <v>8</v>
      </c>
      <c r="BL1260">
        <v>8</v>
      </c>
      <c r="BM1260">
        <v>8</v>
      </c>
      <c r="BN1260">
        <v>8</v>
      </c>
      <c r="BO1260">
        <v>8</v>
      </c>
      <c r="BP1260">
        <v>0</v>
      </c>
      <c r="BQ1260" t="str">
        <f>"8:00 AM"</f>
        <v>8:00 AM</v>
      </c>
      <c r="BR1260" t="str">
        <f>"5:00 PM"</f>
        <v>5:00 PM</v>
      </c>
      <c r="BS1260" t="s">
        <v>131</v>
      </c>
      <c r="BT1260">
        <v>0</v>
      </c>
      <c r="BU1260">
        <v>0</v>
      </c>
      <c r="BV1260" t="s">
        <v>114</v>
      </c>
      <c r="BX1260" t="s">
        <v>4299</v>
      </c>
      <c r="BY1260" t="s">
        <v>4286</v>
      </c>
      <c r="BZ1260" t="s">
        <v>4287</v>
      </c>
      <c r="CA1260" t="s">
        <v>4288</v>
      </c>
      <c r="CB1260" t="s">
        <v>211</v>
      </c>
      <c r="CC1260" s="8" t="str">
        <f>"84041"</f>
        <v>84041</v>
      </c>
      <c r="CD1260" t="s">
        <v>4300</v>
      </c>
      <c r="CE1260" t="s">
        <v>1482</v>
      </c>
      <c r="CF1260" s="12">
        <v>13.84</v>
      </c>
      <c r="CH1260" s="12">
        <v>20.76</v>
      </c>
      <c r="CJ1260" t="s">
        <v>135</v>
      </c>
      <c r="CL1260" t="s">
        <v>4301</v>
      </c>
      <c r="CO1260" t="s">
        <v>132</v>
      </c>
      <c r="CP1260" t="s">
        <v>114</v>
      </c>
      <c r="CQ1260" t="s">
        <v>136</v>
      </c>
      <c r="CR1260" t="s">
        <v>136</v>
      </c>
      <c r="CS1260" t="s">
        <v>136</v>
      </c>
      <c r="CT1260" t="s">
        <v>136</v>
      </c>
      <c r="CU1260" t="s">
        <v>136</v>
      </c>
      <c r="CV1260" s="2" t="s">
        <v>4302</v>
      </c>
      <c r="CW1260" s="10" t="str">
        <f>"+18016805552"</f>
        <v>+18016805552</v>
      </c>
      <c r="CX1260" t="s">
        <v>4292</v>
      </c>
      <c r="CY1260" t="s">
        <v>132</v>
      </c>
      <c r="CZ1260" t="s">
        <v>137</v>
      </c>
      <c r="DA1260" t="s">
        <v>114</v>
      </c>
      <c r="DB1260" t="s">
        <v>114</v>
      </c>
      <c r="DC1260" t="s">
        <v>136</v>
      </c>
      <c r="DD1260" t="s">
        <v>114</v>
      </c>
    </row>
    <row r="1261" spans="1:113" ht="15" customHeight="1" x14ac:dyDescent="0.25">
      <c r="A1261" t="s">
        <v>21433</v>
      </c>
      <c r="B1261" t="s">
        <v>152</v>
      </c>
      <c r="C1261" s="1">
        <v>45141.504424074075</v>
      </c>
      <c r="D1261" s="1">
        <v>45223</v>
      </c>
      <c r="E1261" t="s">
        <v>114</v>
      </c>
      <c r="F1261" t="s">
        <v>500</v>
      </c>
      <c r="G1261" t="str">
        <f>"35-9021.00"</f>
        <v>35-9021.00</v>
      </c>
      <c r="H1261" t="s">
        <v>501</v>
      </c>
      <c r="I1261">
        <v>40</v>
      </c>
      <c r="J1261">
        <v>40</v>
      </c>
      <c r="K1261" s="1">
        <v>45231</v>
      </c>
      <c r="L1261" s="1">
        <v>45398</v>
      </c>
      <c r="M1261" s="1">
        <v>45231</v>
      </c>
      <c r="N1261" s="1">
        <v>45398</v>
      </c>
      <c r="O1261" t="s">
        <v>116</v>
      </c>
      <c r="P1261" t="s">
        <v>1081</v>
      </c>
      <c r="R1261" t="s">
        <v>510</v>
      </c>
      <c r="S1261" t="s">
        <v>132</v>
      </c>
      <c r="T1261" t="s">
        <v>511</v>
      </c>
      <c r="U1261" t="s">
        <v>188</v>
      </c>
      <c r="V1261" s="8" t="str">
        <f>"80021"</f>
        <v>80021</v>
      </c>
      <c r="W1261" t="s">
        <v>118</v>
      </c>
      <c r="X1261" t="s">
        <v>132</v>
      </c>
      <c r="Y1261" s="10">
        <v>13034041800</v>
      </c>
      <c r="AA1261">
        <v>713920</v>
      </c>
      <c r="AB1261" t="s">
        <v>507</v>
      </c>
      <c r="AC1261" t="s">
        <v>508</v>
      </c>
      <c r="AD1261" t="s">
        <v>132</v>
      </c>
      <c r="AE1261" t="s">
        <v>21434</v>
      </c>
      <c r="AF1261" t="s">
        <v>510</v>
      </c>
      <c r="AG1261" t="s">
        <v>132</v>
      </c>
      <c r="AH1261" t="s">
        <v>511</v>
      </c>
      <c r="AI1261" t="s">
        <v>188</v>
      </c>
      <c r="AJ1261" s="8" t="str">
        <f>"80021"</f>
        <v>80021</v>
      </c>
      <c r="AK1261" t="s">
        <v>118</v>
      </c>
      <c r="AM1261" s="10">
        <v>13034041800</v>
      </c>
      <c r="AO1261" t="s">
        <v>512</v>
      </c>
      <c r="AP1261" t="s">
        <v>121</v>
      </c>
      <c r="AQ1261" t="s">
        <v>513</v>
      </c>
      <c r="AR1261" t="s">
        <v>514</v>
      </c>
      <c r="AS1261" t="s">
        <v>515</v>
      </c>
      <c r="AT1261" t="s">
        <v>516</v>
      </c>
      <c r="AU1261" t="s">
        <v>517</v>
      </c>
      <c r="AV1261" t="s">
        <v>518</v>
      </c>
      <c r="AW1261" t="s">
        <v>402</v>
      </c>
      <c r="AX1261" s="8" t="str">
        <f>"90071"</f>
        <v>90071</v>
      </c>
      <c r="AY1261" t="s">
        <v>118</v>
      </c>
      <c r="BA1261" s="10">
        <v>13108203322</v>
      </c>
      <c r="BC1261" t="s">
        <v>519</v>
      </c>
      <c r="BD1261" t="s">
        <v>520</v>
      </c>
      <c r="BE1261" t="s">
        <v>188</v>
      </c>
      <c r="BF1261" t="s">
        <v>172</v>
      </c>
      <c r="BG1261" t="s">
        <v>188</v>
      </c>
      <c r="BH1261" s="1">
        <v>45137.833333333336</v>
      </c>
      <c r="BI1261">
        <v>35</v>
      </c>
      <c r="BJ1261">
        <v>5</v>
      </c>
      <c r="BK1261">
        <v>5</v>
      </c>
      <c r="BL1261">
        <v>5</v>
      </c>
      <c r="BM1261">
        <v>5</v>
      </c>
      <c r="BN1261">
        <v>5</v>
      </c>
      <c r="BO1261">
        <v>5</v>
      </c>
      <c r="BP1261">
        <v>5</v>
      </c>
      <c r="BQ1261" t="str">
        <f>"8:00 AM"</f>
        <v>8:00 AM</v>
      </c>
      <c r="BR1261" t="str">
        <f>"11:00 PM"</f>
        <v>11:00 PM</v>
      </c>
      <c r="BS1261" t="s">
        <v>131</v>
      </c>
      <c r="BT1261">
        <v>0</v>
      </c>
      <c r="BU1261">
        <v>0</v>
      </c>
      <c r="BV1261" t="s">
        <v>114</v>
      </c>
      <c r="BX1261" s="2" t="s">
        <v>18355</v>
      </c>
      <c r="BY1261" t="s">
        <v>21435</v>
      </c>
      <c r="CA1261" t="s">
        <v>1084</v>
      </c>
      <c r="CB1261" t="s">
        <v>188</v>
      </c>
      <c r="CC1261" s="8" t="str">
        <f>"81657"</f>
        <v>81657</v>
      </c>
      <c r="CD1261" t="s">
        <v>1037</v>
      </c>
      <c r="CE1261" t="s">
        <v>1038</v>
      </c>
      <c r="CF1261" s="12">
        <v>20</v>
      </c>
      <c r="CH1261" s="12">
        <v>30</v>
      </c>
      <c r="CJ1261" t="s">
        <v>135</v>
      </c>
      <c r="CK1261" t="s">
        <v>524</v>
      </c>
      <c r="CL1261" t="s">
        <v>21436</v>
      </c>
      <c r="CO1261" t="s">
        <v>132</v>
      </c>
      <c r="CP1261" t="s">
        <v>136</v>
      </c>
      <c r="CQ1261" t="s">
        <v>114</v>
      </c>
      <c r="CR1261" t="s">
        <v>136</v>
      </c>
      <c r="CS1261" t="s">
        <v>114</v>
      </c>
      <c r="CT1261" t="s">
        <v>136</v>
      </c>
      <c r="CU1261" t="s">
        <v>136</v>
      </c>
      <c r="CV1261" t="s">
        <v>21437</v>
      </c>
      <c r="CW1261" s="10" t="str">
        <f>"+13034041800"</f>
        <v>+13034041800</v>
      </c>
      <c r="CX1261" t="s">
        <v>512</v>
      </c>
      <c r="CY1261" t="s">
        <v>132</v>
      </c>
      <c r="CZ1261" t="s">
        <v>137</v>
      </c>
      <c r="DA1261" t="s">
        <v>114</v>
      </c>
      <c r="DB1261" t="s">
        <v>114</v>
      </c>
      <c r="DC1261" t="s">
        <v>136</v>
      </c>
      <c r="DD1261" t="s">
        <v>114</v>
      </c>
      <c r="DE1261" t="s">
        <v>527</v>
      </c>
      <c r="DF1261" t="s">
        <v>528</v>
      </c>
      <c r="DG1261" t="s">
        <v>732</v>
      </c>
      <c r="DH1261" t="s">
        <v>520</v>
      </c>
      <c r="DI1261" t="s">
        <v>529</v>
      </c>
    </row>
    <row r="1262" spans="1:113" ht="15" customHeight="1" x14ac:dyDescent="0.25">
      <c r="A1262" t="s">
        <v>15838</v>
      </c>
      <c r="B1262" t="s">
        <v>152</v>
      </c>
      <c r="C1262" s="1">
        <v>45141.502005902781</v>
      </c>
      <c r="D1262" s="1">
        <v>45223</v>
      </c>
      <c r="E1262" t="s">
        <v>114</v>
      </c>
      <c r="F1262" t="s">
        <v>10955</v>
      </c>
      <c r="G1262" t="str">
        <f>"45-4011.00"</f>
        <v>45-4011.00</v>
      </c>
      <c r="H1262" t="s">
        <v>842</v>
      </c>
      <c r="I1262">
        <v>22</v>
      </c>
      <c r="J1262">
        <v>22</v>
      </c>
      <c r="K1262" s="1">
        <v>45231</v>
      </c>
      <c r="L1262" s="1">
        <v>45535</v>
      </c>
      <c r="M1262" s="1">
        <v>45231</v>
      </c>
      <c r="N1262" s="1">
        <v>45535</v>
      </c>
      <c r="O1262" t="s">
        <v>116</v>
      </c>
      <c r="P1262" t="s">
        <v>15839</v>
      </c>
      <c r="R1262" t="s">
        <v>15840</v>
      </c>
      <c r="T1262" t="s">
        <v>5568</v>
      </c>
      <c r="U1262" t="s">
        <v>1154</v>
      </c>
      <c r="V1262" s="8" t="str">
        <f>"38655"</f>
        <v>38655</v>
      </c>
      <c r="W1262" t="s">
        <v>118</v>
      </c>
      <c r="Y1262" s="10">
        <v>16622344348</v>
      </c>
      <c r="AA1262">
        <v>11531</v>
      </c>
      <c r="AB1262" t="s">
        <v>15841</v>
      </c>
      <c r="AC1262" t="s">
        <v>250</v>
      </c>
      <c r="AE1262" t="s">
        <v>15842</v>
      </c>
      <c r="AF1262" t="s">
        <v>15843</v>
      </c>
      <c r="AH1262" t="s">
        <v>5568</v>
      </c>
      <c r="AI1262" t="s">
        <v>1154</v>
      </c>
      <c r="AJ1262" s="8" t="str">
        <f>"38655"</f>
        <v>38655</v>
      </c>
      <c r="AK1262" t="s">
        <v>118</v>
      </c>
      <c r="AM1262" s="10">
        <v>16622344348</v>
      </c>
      <c r="AO1262" t="s">
        <v>132</v>
      </c>
      <c r="AP1262" t="s">
        <v>248</v>
      </c>
      <c r="AQ1262" t="s">
        <v>8046</v>
      </c>
      <c r="AR1262" t="s">
        <v>1802</v>
      </c>
      <c r="AT1262" t="s">
        <v>8047</v>
      </c>
      <c r="AV1262" t="s">
        <v>8048</v>
      </c>
      <c r="AW1262" t="s">
        <v>550</v>
      </c>
      <c r="AX1262" s="8" t="str">
        <f>"31606"</f>
        <v>31606</v>
      </c>
      <c r="AY1262" t="s">
        <v>118</v>
      </c>
      <c r="BA1262" s="10">
        <v>12295590241</v>
      </c>
      <c r="BC1262" t="s">
        <v>8049</v>
      </c>
      <c r="BD1262" t="s">
        <v>8050</v>
      </c>
      <c r="BG1262" t="s">
        <v>1154</v>
      </c>
      <c r="BH1262" s="1">
        <v>45140.833333333336</v>
      </c>
      <c r="BI1262">
        <v>35</v>
      </c>
      <c r="BJ1262">
        <v>0</v>
      </c>
      <c r="BK1262">
        <v>7</v>
      </c>
      <c r="BL1262">
        <v>7</v>
      </c>
      <c r="BM1262">
        <v>7</v>
      </c>
      <c r="BN1262">
        <v>7</v>
      </c>
      <c r="BO1262">
        <v>7</v>
      </c>
      <c r="BP1262">
        <v>0</v>
      </c>
      <c r="BQ1262" t="str">
        <f>"6:00 AM"</f>
        <v>6:00 AM</v>
      </c>
      <c r="BR1262" t="str">
        <f>"2:00 PM"</f>
        <v>2:00 PM</v>
      </c>
      <c r="BS1262" t="s">
        <v>131</v>
      </c>
      <c r="BT1262">
        <v>0</v>
      </c>
      <c r="BU1262">
        <v>0</v>
      </c>
      <c r="BV1262" t="s">
        <v>114</v>
      </c>
      <c r="BX1262" s="2" t="s">
        <v>15844</v>
      </c>
      <c r="BY1262" t="s">
        <v>15840</v>
      </c>
      <c r="CA1262" t="s">
        <v>5568</v>
      </c>
      <c r="CB1262" t="s">
        <v>1154</v>
      </c>
      <c r="CC1262" s="8" t="str">
        <f>"38655"</f>
        <v>38655</v>
      </c>
      <c r="CD1262" t="s">
        <v>2900</v>
      </c>
      <c r="CE1262" t="s">
        <v>4865</v>
      </c>
      <c r="CF1262" s="12">
        <v>16.2</v>
      </c>
      <c r="CJ1262" t="s">
        <v>135</v>
      </c>
      <c r="CL1262" t="s">
        <v>15845</v>
      </c>
      <c r="CO1262" t="s">
        <v>132</v>
      </c>
      <c r="CP1262" t="s">
        <v>136</v>
      </c>
      <c r="CQ1262" t="s">
        <v>136</v>
      </c>
      <c r="CR1262" t="s">
        <v>114</v>
      </c>
      <c r="CS1262" t="s">
        <v>114</v>
      </c>
      <c r="CT1262" t="s">
        <v>136</v>
      </c>
      <c r="CU1262" t="s">
        <v>114</v>
      </c>
      <c r="CV1262" t="s">
        <v>8052</v>
      </c>
      <c r="CW1262" s="10" t="str">
        <f>"+16622344348"</f>
        <v>+16622344348</v>
      </c>
      <c r="CX1262" t="s">
        <v>15846</v>
      </c>
      <c r="CY1262" t="s">
        <v>132</v>
      </c>
      <c r="CZ1262" t="s">
        <v>137</v>
      </c>
      <c r="DA1262" t="s">
        <v>114</v>
      </c>
      <c r="DB1262" t="s">
        <v>114</v>
      </c>
      <c r="DC1262" t="s">
        <v>136</v>
      </c>
      <c r="DD1262" t="s">
        <v>114</v>
      </c>
    </row>
    <row r="1263" spans="1:113" ht="15" customHeight="1" x14ac:dyDescent="0.25">
      <c r="A1263" t="s">
        <v>18354</v>
      </c>
      <c r="B1263" t="s">
        <v>152</v>
      </c>
      <c r="C1263" s="1">
        <v>45141.499242129627</v>
      </c>
      <c r="D1263" s="1">
        <v>45223</v>
      </c>
      <c r="E1263" t="s">
        <v>114</v>
      </c>
      <c r="F1263" t="s">
        <v>500</v>
      </c>
      <c r="G1263" t="str">
        <f>"35-9021.00"</f>
        <v>35-9021.00</v>
      </c>
      <c r="H1263" t="s">
        <v>501</v>
      </c>
      <c r="I1263">
        <v>23</v>
      </c>
      <c r="J1263">
        <v>23</v>
      </c>
      <c r="K1263" s="1">
        <v>45231</v>
      </c>
      <c r="L1263" s="1">
        <v>45396</v>
      </c>
      <c r="M1263" s="1">
        <v>45231</v>
      </c>
      <c r="N1263" s="1">
        <v>45396</v>
      </c>
      <c r="O1263" t="s">
        <v>116</v>
      </c>
      <c r="P1263" t="s">
        <v>1081</v>
      </c>
      <c r="R1263" t="s">
        <v>510</v>
      </c>
      <c r="T1263" t="s">
        <v>511</v>
      </c>
      <c r="U1263" t="s">
        <v>188</v>
      </c>
      <c r="V1263" s="8" t="str">
        <f>"80021"</f>
        <v>80021</v>
      </c>
      <c r="W1263" t="s">
        <v>118</v>
      </c>
      <c r="Y1263" s="10">
        <v>13034041800</v>
      </c>
      <c r="AA1263">
        <v>713920</v>
      </c>
      <c r="AB1263" t="s">
        <v>507</v>
      </c>
      <c r="AC1263" t="s">
        <v>508</v>
      </c>
      <c r="AE1263" t="s">
        <v>725</v>
      </c>
      <c r="AF1263" t="s">
        <v>510</v>
      </c>
      <c r="AH1263" t="s">
        <v>511</v>
      </c>
      <c r="AI1263" t="s">
        <v>188</v>
      </c>
      <c r="AJ1263" s="8" t="str">
        <f>"80021"</f>
        <v>80021</v>
      </c>
      <c r="AK1263" t="s">
        <v>118</v>
      </c>
      <c r="AM1263" s="10">
        <v>13034041800</v>
      </c>
      <c r="AO1263" t="s">
        <v>512</v>
      </c>
      <c r="AP1263" t="s">
        <v>121</v>
      </c>
      <c r="AQ1263" t="s">
        <v>513</v>
      </c>
      <c r="AR1263" t="s">
        <v>514</v>
      </c>
      <c r="AS1263" t="s">
        <v>515</v>
      </c>
      <c r="AT1263" t="s">
        <v>516</v>
      </c>
      <c r="AU1263" t="s">
        <v>517</v>
      </c>
      <c r="AV1263" t="s">
        <v>518</v>
      </c>
      <c r="AW1263" t="s">
        <v>402</v>
      </c>
      <c r="AX1263" s="8" t="str">
        <f>"90071"</f>
        <v>90071</v>
      </c>
      <c r="AY1263" t="s">
        <v>118</v>
      </c>
      <c r="BA1263" s="10">
        <v>13108203322</v>
      </c>
      <c r="BC1263" t="s">
        <v>519</v>
      </c>
      <c r="BD1263" t="s">
        <v>520</v>
      </c>
      <c r="BE1263" t="s">
        <v>188</v>
      </c>
      <c r="BF1263" t="s">
        <v>172</v>
      </c>
      <c r="BG1263" t="s">
        <v>188</v>
      </c>
      <c r="BH1263" s="1">
        <v>45137.833333333336</v>
      </c>
      <c r="BI1263">
        <v>35</v>
      </c>
      <c r="BJ1263">
        <v>5</v>
      </c>
      <c r="BK1263">
        <v>5</v>
      </c>
      <c r="BL1263">
        <v>5</v>
      </c>
      <c r="BM1263">
        <v>5</v>
      </c>
      <c r="BN1263">
        <v>5</v>
      </c>
      <c r="BO1263">
        <v>5</v>
      </c>
      <c r="BP1263">
        <v>5</v>
      </c>
      <c r="BQ1263" t="str">
        <f>"8:00 AM"</f>
        <v>8:00 AM</v>
      </c>
      <c r="BR1263" t="str">
        <f>"11:00 PM"</f>
        <v>11:00 PM</v>
      </c>
      <c r="BS1263" t="s">
        <v>131</v>
      </c>
      <c r="BT1263">
        <v>0</v>
      </c>
      <c r="BU1263">
        <v>0</v>
      </c>
      <c r="BV1263" t="s">
        <v>114</v>
      </c>
      <c r="BX1263" s="2" t="s">
        <v>18355</v>
      </c>
      <c r="BY1263" t="s">
        <v>18108</v>
      </c>
      <c r="CA1263" t="s">
        <v>14421</v>
      </c>
      <c r="CB1263" t="s">
        <v>188</v>
      </c>
      <c r="CC1263" s="8" t="str">
        <f>"80424"</f>
        <v>80424</v>
      </c>
      <c r="CD1263" t="s">
        <v>228</v>
      </c>
      <c r="CE1263" t="s">
        <v>1038</v>
      </c>
      <c r="CF1263" s="12">
        <v>20</v>
      </c>
      <c r="CH1263" s="12">
        <v>30</v>
      </c>
      <c r="CJ1263" t="s">
        <v>135</v>
      </c>
      <c r="CK1263" t="s">
        <v>524</v>
      </c>
      <c r="CL1263" t="s">
        <v>18356</v>
      </c>
      <c r="CO1263" t="s">
        <v>132</v>
      </c>
      <c r="CP1263" t="s">
        <v>136</v>
      </c>
      <c r="CQ1263" t="s">
        <v>114</v>
      </c>
      <c r="CR1263" t="s">
        <v>136</v>
      </c>
      <c r="CS1263" t="s">
        <v>114</v>
      </c>
      <c r="CT1263" t="s">
        <v>136</v>
      </c>
      <c r="CU1263" t="s">
        <v>136</v>
      </c>
      <c r="CV1263" t="s">
        <v>1096</v>
      </c>
      <c r="CW1263" s="10" t="str">
        <f>"+13034041800"</f>
        <v>+13034041800</v>
      </c>
      <c r="CX1263" t="s">
        <v>512</v>
      </c>
      <c r="CY1263" t="s">
        <v>132</v>
      </c>
      <c r="CZ1263" t="s">
        <v>137</v>
      </c>
      <c r="DA1263" t="s">
        <v>114</v>
      </c>
      <c r="DB1263" t="s">
        <v>114</v>
      </c>
      <c r="DC1263" t="s">
        <v>136</v>
      </c>
      <c r="DD1263" t="s">
        <v>114</v>
      </c>
      <c r="DE1263" t="s">
        <v>527</v>
      </c>
      <c r="DF1263" t="s">
        <v>528</v>
      </c>
      <c r="DG1263" t="s">
        <v>132</v>
      </c>
      <c r="DH1263" t="s">
        <v>733</v>
      </c>
      <c r="DI1263" t="s">
        <v>529</v>
      </c>
    </row>
    <row r="1264" spans="1:113" ht="15" customHeight="1" x14ac:dyDescent="0.25">
      <c r="A1264" t="s">
        <v>1087</v>
      </c>
      <c r="B1264" t="s">
        <v>152</v>
      </c>
      <c r="C1264" s="1">
        <v>45141.49215972222</v>
      </c>
      <c r="D1264" s="1">
        <v>45223</v>
      </c>
      <c r="E1264" t="s">
        <v>114</v>
      </c>
      <c r="F1264" t="s">
        <v>1088</v>
      </c>
      <c r="G1264" t="str">
        <f>"37-2011.00"</f>
        <v>37-2011.00</v>
      </c>
      <c r="H1264" t="s">
        <v>1089</v>
      </c>
      <c r="I1264">
        <v>16</v>
      </c>
      <c r="J1264">
        <v>16</v>
      </c>
      <c r="K1264" s="1">
        <v>45231</v>
      </c>
      <c r="L1264" s="1">
        <v>45396</v>
      </c>
      <c r="M1264" s="1">
        <v>45231</v>
      </c>
      <c r="N1264" s="1">
        <v>45396</v>
      </c>
      <c r="O1264" t="s">
        <v>116</v>
      </c>
      <c r="P1264" t="s">
        <v>1081</v>
      </c>
      <c r="R1264" t="s">
        <v>510</v>
      </c>
      <c r="T1264" t="s">
        <v>511</v>
      </c>
      <c r="U1264" t="s">
        <v>188</v>
      </c>
      <c r="V1264" s="8" t="str">
        <f>"80021"</f>
        <v>80021</v>
      </c>
      <c r="W1264" t="s">
        <v>118</v>
      </c>
      <c r="Y1264" s="10">
        <v>13034041800</v>
      </c>
      <c r="AA1264">
        <v>713920</v>
      </c>
      <c r="AB1264" t="s">
        <v>507</v>
      </c>
      <c r="AC1264" t="s">
        <v>508</v>
      </c>
      <c r="AE1264" t="s">
        <v>725</v>
      </c>
      <c r="AF1264" t="s">
        <v>510</v>
      </c>
      <c r="AH1264" t="s">
        <v>511</v>
      </c>
      <c r="AI1264" t="s">
        <v>188</v>
      </c>
      <c r="AJ1264" s="8" t="str">
        <f>"80021"</f>
        <v>80021</v>
      </c>
      <c r="AK1264" t="s">
        <v>118</v>
      </c>
      <c r="AM1264" s="10">
        <v>13034041800</v>
      </c>
      <c r="AO1264" t="s">
        <v>512</v>
      </c>
      <c r="AP1264" t="s">
        <v>121</v>
      </c>
      <c r="AQ1264" t="s">
        <v>513</v>
      </c>
      <c r="AR1264" t="s">
        <v>514</v>
      </c>
      <c r="AS1264" t="s">
        <v>515</v>
      </c>
      <c r="AT1264" t="s">
        <v>516</v>
      </c>
      <c r="AU1264" t="s">
        <v>517</v>
      </c>
      <c r="AV1264" t="s">
        <v>518</v>
      </c>
      <c r="AW1264" t="s">
        <v>402</v>
      </c>
      <c r="AX1264" s="8" t="str">
        <f>"90071"</f>
        <v>90071</v>
      </c>
      <c r="AY1264" t="s">
        <v>118</v>
      </c>
      <c r="BA1264" s="10">
        <v>13108203322</v>
      </c>
      <c r="BC1264" t="s">
        <v>519</v>
      </c>
      <c r="BD1264" t="s">
        <v>1090</v>
      </c>
      <c r="BE1264" t="s">
        <v>188</v>
      </c>
      <c r="BF1264" t="s">
        <v>172</v>
      </c>
      <c r="BG1264" t="s">
        <v>188</v>
      </c>
      <c r="BH1264" s="1">
        <v>45132.833333333336</v>
      </c>
      <c r="BI1264">
        <v>35</v>
      </c>
      <c r="BJ1264">
        <v>5</v>
      </c>
      <c r="BK1264">
        <v>5</v>
      </c>
      <c r="BL1264">
        <v>5</v>
      </c>
      <c r="BM1264">
        <v>5</v>
      </c>
      <c r="BN1264">
        <v>5</v>
      </c>
      <c r="BO1264">
        <v>5</v>
      </c>
      <c r="BP1264">
        <v>5</v>
      </c>
      <c r="BQ1264" t="str">
        <f>"8:00 AM"</f>
        <v>8:00 AM</v>
      </c>
      <c r="BR1264" t="str">
        <f>"5:00 PM"</f>
        <v>5:00 PM</v>
      </c>
      <c r="BS1264" t="s">
        <v>131</v>
      </c>
      <c r="BT1264">
        <v>0</v>
      </c>
      <c r="BU1264">
        <v>0</v>
      </c>
      <c r="BV1264" t="s">
        <v>114</v>
      </c>
      <c r="BX1264" s="2" t="s">
        <v>1091</v>
      </c>
      <c r="BY1264" t="s">
        <v>1092</v>
      </c>
      <c r="CA1264" t="s">
        <v>1093</v>
      </c>
      <c r="CB1264" t="s">
        <v>188</v>
      </c>
      <c r="CC1264" s="8" t="str">
        <f>"80435"</f>
        <v>80435</v>
      </c>
      <c r="CD1264" t="s">
        <v>228</v>
      </c>
      <c r="CE1264" t="s">
        <v>1038</v>
      </c>
      <c r="CF1264" s="12">
        <v>20</v>
      </c>
      <c r="CH1264" s="12">
        <v>30</v>
      </c>
      <c r="CJ1264" t="s">
        <v>135</v>
      </c>
      <c r="CK1264" t="s">
        <v>1094</v>
      </c>
      <c r="CL1264" t="s">
        <v>1095</v>
      </c>
      <c r="CO1264" t="s">
        <v>132</v>
      </c>
      <c r="CP1264" t="s">
        <v>136</v>
      </c>
      <c r="CQ1264" t="s">
        <v>114</v>
      </c>
      <c r="CR1264" t="s">
        <v>136</v>
      </c>
      <c r="CS1264" t="s">
        <v>114</v>
      </c>
      <c r="CT1264" t="s">
        <v>136</v>
      </c>
      <c r="CU1264" t="s">
        <v>136</v>
      </c>
      <c r="CV1264" t="s">
        <v>1096</v>
      </c>
      <c r="CW1264" s="10" t="str">
        <f>"+13034041800"</f>
        <v>+13034041800</v>
      </c>
      <c r="CX1264" t="s">
        <v>512</v>
      </c>
      <c r="CY1264" t="s">
        <v>132</v>
      </c>
      <c r="CZ1264" t="s">
        <v>137</v>
      </c>
      <c r="DA1264" t="s">
        <v>114</v>
      </c>
      <c r="DB1264" t="s">
        <v>114</v>
      </c>
      <c r="DC1264" t="s">
        <v>136</v>
      </c>
      <c r="DD1264" t="s">
        <v>114</v>
      </c>
      <c r="DE1264" t="s">
        <v>527</v>
      </c>
      <c r="DF1264" t="s">
        <v>528</v>
      </c>
      <c r="DG1264" t="s">
        <v>732</v>
      </c>
      <c r="DH1264" t="s">
        <v>733</v>
      </c>
      <c r="DI1264" t="s">
        <v>529</v>
      </c>
    </row>
    <row r="1265" spans="1:113" ht="15" customHeight="1" x14ac:dyDescent="0.25">
      <c r="A1265" t="s">
        <v>21754</v>
      </c>
      <c r="B1265" t="s">
        <v>152</v>
      </c>
      <c r="C1265" s="1">
        <v>45140.792169791668</v>
      </c>
      <c r="D1265" s="1">
        <v>45223</v>
      </c>
      <c r="E1265" t="s">
        <v>114</v>
      </c>
      <c r="F1265" t="s">
        <v>21755</v>
      </c>
      <c r="G1265" t="str">
        <f>"37-2011.00"</f>
        <v>37-2011.00</v>
      </c>
      <c r="H1265" t="s">
        <v>1089</v>
      </c>
      <c r="I1265">
        <v>6</v>
      </c>
      <c r="J1265">
        <v>6</v>
      </c>
      <c r="K1265" s="1">
        <v>45215</v>
      </c>
      <c r="L1265" s="1">
        <v>45412</v>
      </c>
      <c r="M1265" s="1">
        <v>45215</v>
      </c>
      <c r="N1265" s="1">
        <v>45412</v>
      </c>
      <c r="O1265" t="s">
        <v>238</v>
      </c>
      <c r="P1265" t="s">
        <v>10931</v>
      </c>
      <c r="R1265" t="s">
        <v>10932</v>
      </c>
      <c r="T1265" t="s">
        <v>10933</v>
      </c>
      <c r="U1265" t="s">
        <v>2775</v>
      </c>
      <c r="V1265" s="8" t="str">
        <f>"58220"</f>
        <v>58220</v>
      </c>
      <c r="W1265" t="s">
        <v>118</v>
      </c>
      <c r="Y1265" s="10">
        <v>17012654577</v>
      </c>
      <c r="AA1265">
        <v>115115</v>
      </c>
      <c r="AB1265" t="s">
        <v>10934</v>
      </c>
      <c r="AC1265" t="s">
        <v>1212</v>
      </c>
      <c r="AE1265" t="s">
        <v>10935</v>
      </c>
      <c r="AF1265" t="s">
        <v>10936</v>
      </c>
      <c r="AH1265" t="s">
        <v>10933</v>
      </c>
      <c r="AI1265" t="s">
        <v>2775</v>
      </c>
      <c r="AJ1265" s="8" t="str">
        <f>"58220"</f>
        <v>58220</v>
      </c>
      <c r="AK1265" t="s">
        <v>118</v>
      </c>
      <c r="AM1265" s="10">
        <v>17012654577</v>
      </c>
      <c r="AO1265" t="s">
        <v>10937</v>
      </c>
      <c r="AP1265" t="s">
        <v>121</v>
      </c>
      <c r="AQ1265" t="s">
        <v>929</v>
      </c>
      <c r="AR1265" t="s">
        <v>930</v>
      </c>
      <c r="AS1265" t="s">
        <v>931</v>
      </c>
      <c r="AT1265" t="s">
        <v>932</v>
      </c>
      <c r="AU1265" t="s">
        <v>132</v>
      </c>
      <c r="AV1265" t="s">
        <v>933</v>
      </c>
      <c r="AW1265" t="s">
        <v>740</v>
      </c>
      <c r="AX1265" s="8" t="str">
        <f>"50010"</f>
        <v>50010</v>
      </c>
      <c r="AY1265" t="s">
        <v>118</v>
      </c>
      <c r="BA1265" s="10">
        <v>15152324444</v>
      </c>
      <c r="BB1265">
        <v>0</v>
      </c>
      <c r="BC1265" t="s">
        <v>934</v>
      </c>
      <c r="BD1265" t="s">
        <v>935</v>
      </c>
      <c r="BE1265" t="s">
        <v>740</v>
      </c>
      <c r="BF1265" t="s">
        <v>172</v>
      </c>
      <c r="BG1265" t="s">
        <v>2775</v>
      </c>
      <c r="BH1265" s="1">
        <v>45139.833333333336</v>
      </c>
      <c r="BI1265">
        <v>40</v>
      </c>
      <c r="BJ1265">
        <v>0</v>
      </c>
      <c r="BK1265">
        <v>8</v>
      </c>
      <c r="BL1265">
        <v>8</v>
      </c>
      <c r="BM1265">
        <v>8</v>
      </c>
      <c r="BN1265">
        <v>8</v>
      </c>
      <c r="BO1265">
        <v>8</v>
      </c>
      <c r="BP1265">
        <v>0</v>
      </c>
      <c r="BQ1265" t="str">
        <f>"6:00 AM"</f>
        <v>6:00 AM</v>
      </c>
      <c r="BR1265" t="str">
        <f>"3:00 PM"</f>
        <v>3:00 PM</v>
      </c>
      <c r="BS1265" t="s">
        <v>131</v>
      </c>
      <c r="BT1265">
        <v>0</v>
      </c>
      <c r="BU1265">
        <v>0</v>
      </c>
      <c r="BV1265" t="s">
        <v>114</v>
      </c>
      <c r="BX1265" s="2" t="s">
        <v>21756</v>
      </c>
      <c r="BY1265" t="s">
        <v>10932</v>
      </c>
      <c r="CA1265" t="s">
        <v>21757</v>
      </c>
      <c r="CB1265" t="s">
        <v>2775</v>
      </c>
      <c r="CC1265" s="8" t="str">
        <f>"58220"</f>
        <v>58220</v>
      </c>
      <c r="CD1265" t="s">
        <v>21758</v>
      </c>
      <c r="CE1265" t="s">
        <v>5686</v>
      </c>
      <c r="CF1265" s="12">
        <v>16.89</v>
      </c>
      <c r="CH1265" s="12">
        <v>25.34</v>
      </c>
      <c r="CJ1265" t="s">
        <v>135</v>
      </c>
      <c r="CK1265" t="s">
        <v>14687</v>
      </c>
      <c r="CL1265" t="s">
        <v>21759</v>
      </c>
      <c r="CO1265" t="s">
        <v>132</v>
      </c>
      <c r="CP1265" t="s">
        <v>136</v>
      </c>
      <c r="CQ1265" t="s">
        <v>136</v>
      </c>
      <c r="CR1265" t="s">
        <v>136</v>
      </c>
      <c r="CS1265" t="s">
        <v>136</v>
      </c>
      <c r="CT1265" t="s">
        <v>136</v>
      </c>
      <c r="CU1265" t="s">
        <v>136</v>
      </c>
      <c r="CV1265" t="s">
        <v>21760</v>
      </c>
      <c r="CW1265" s="10" t="str">
        <f>"+17012654577"</f>
        <v>+17012654577</v>
      </c>
      <c r="CX1265" t="s">
        <v>10937</v>
      </c>
      <c r="CY1265" t="s">
        <v>132</v>
      </c>
      <c r="CZ1265" t="s">
        <v>137</v>
      </c>
      <c r="DA1265" t="s">
        <v>114</v>
      </c>
      <c r="DB1265" t="s">
        <v>114</v>
      </c>
      <c r="DC1265" t="s">
        <v>136</v>
      </c>
      <c r="DD1265" t="s">
        <v>114</v>
      </c>
    </row>
    <row r="1266" spans="1:113" ht="15" customHeight="1" x14ac:dyDescent="0.25">
      <c r="A1266" t="s">
        <v>15537</v>
      </c>
      <c r="B1266" t="s">
        <v>152</v>
      </c>
      <c r="C1266" s="1">
        <v>45137.720755902781</v>
      </c>
      <c r="D1266" s="1">
        <v>45223</v>
      </c>
      <c r="E1266" t="s">
        <v>114</v>
      </c>
      <c r="F1266" t="s">
        <v>8348</v>
      </c>
      <c r="G1266" t="str">
        <f>"39-2021.00"</f>
        <v>39-2021.00</v>
      </c>
      <c r="H1266" t="s">
        <v>2895</v>
      </c>
      <c r="I1266">
        <v>2</v>
      </c>
      <c r="J1266">
        <v>2</v>
      </c>
      <c r="K1266" s="1">
        <v>45227</v>
      </c>
      <c r="L1266" s="1">
        <v>45530</v>
      </c>
      <c r="M1266" s="1">
        <v>45227</v>
      </c>
      <c r="N1266" s="1">
        <v>45530</v>
      </c>
      <c r="O1266" t="s">
        <v>116</v>
      </c>
      <c r="P1266" t="s">
        <v>15538</v>
      </c>
      <c r="R1266" t="s">
        <v>15539</v>
      </c>
      <c r="T1266" t="s">
        <v>15540</v>
      </c>
      <c r="U1266" t="s">
        <v>402</v>
      </c>
      <c r="V1266" s="8" t="str">
        <f>"91302"</f>
        <v>91302</v>
      </c>
      <c r="W1266" t="s">
        <v>118</v>
      </c>
      <c r="Y1266" s="10">
        <v>18185196190</v>
      </c>
      <c r="AA1266">
        <v>71121</v>
      </c>
      <c r="AB1266" t="s">
        <v>15541</v>
      </c>
      <c r="AC1266" t="s">
        <v>15542</v>
      </c>
      <c r="AE1266" t="s">
        <v>2850</v>
      </c>
      <c r="AF1266" t="s">
        <v>15539</v>
      </c>
      <c r="AH1266" t="s">
        <v>15540</v>
      </c>
      <c r="AI1266" t="s">
        <v>402</v>
      </c>
      <c r="AJ1266" s="8" t="str">
        <f>"91302"</f>
        <v>91302</v>
      </c>
      <c r="AK1266" t="s">
        <v>118</v>
      </c>
      <c r="AM1266" s="10">
        <v>18054431786</v>
      </c>
      <c r="AO1266" t="s">
        <v>15543</v>
      </c>
      <c r="AP1266" t="s">
        <v>121</v>
      </c>
      <c r="AQ1266" t="s">
        <v>8354</v>
      </c>
      <c r="AR1266" t="s">
        <v>1872</v>
      </c>
      <c r="AS1266" t="s">
        <v>8355</v>
      </c>
      <c r="AT1266" t="s">
        <v>8356</v>
      </c>
      <c r="AU1266" t="s">
        <v>296</v>
      </c>
      <c r="AV1266" t="s">
        <v>401</v>
      </c>
      <c r="AW1266" t="s">
        <v>402</v>
      </c>
      <c r="AX1266" s="8" t="str">
        <f>"92008"</f>
        <v>92008</v>
      </c>
      <c r="AY1266" t="s">
        <v>118</v>
      </c>
      <c r="BA1266" s="10">
        <v>17609185584</v>
      </c>
      <c r="BC1266" t="s">
        <v>8357</v>
      </c>
      <c r="BD1266" t="s">
        <v>8358</v>
      </c>
      <c r="BE1266" t="s">
        <v>402</v>
      </c>
      <c r="BF1266" t="s">
        <v>13409</v>
      </c>
      <c r="BG1266" t="s">
        <v>402</v>
      </c>
      <c r="BH1266" s="1">
        <v>45135.833333333336</v>
      </c>
      <c r="BI1266">
        <v>48</v>
      </c>
      <c r="BJ1266">
        <v>8</v>
      </c>
      <c r="BK1266">
        <v>0</v>
      </c>
      <c r="BL1266">
        <v>8</v>
      </c>
      <c r="BM1266">
        <v>8</v>
      </c>
      <c r="BN1266">
        <v>8</v>
      </c>
      <c r="BO1266">
        <v>8</v>
      </c>
      <c r="BP1266">
        <v>8</v>
      </c>
      <c r="BQ1266" t="str">
        <f>"5:30 AM"</f>
        <v>5:30 AM</v>
      </c>
      <c r="BR1266" t="str">
        <f>"4:00 PM"</f>
        <v>4:00 PM</v>
      </c>
      <c r="BS1266" t="s">
        <v>131</v>
      </c>
      <c r="BT1266">
        <v>0</v>
      </c>
      <c r="BU1266">
        <v>3</v>
      </c>
      <c r="BV1266" t="s">
        <v>114</v>
      </c>
      <c r="BX1266" s="2" t="s">
        <v>8360</v>
      </c>
      <c r="BY1266" t="s">
        <v>8361</v>
      </c>
      <c r="BZ1266" t="s">
        <v>15544</v>
      </c>
      <c r="CA1266" t="s">
        <v>8363</v>
      </c>
      <c r="CB1266" t="s">
        <v>402</v>
      </c>
      <c r="CC1266" s="8" t="str">
        <f>"92274"</f>
        <v>92274</v>
      </c>
      <c r="CD1266" t="s">
        <v>5876</v>
      </c>
      <c r="CE1266" t="s">
        <v>4484</v>
      </c>
      <c r="CF1266" s="12">
        <v>19.12</v>
      </c>
      <c r="CG1266" s="12">
        <v>19.12</v>
      </c>
      <c r="CH1266" s="12">
        <v>28.68</v>
      </c>
      <c r="CI1266" s="12">
        <v>28.68</v>
      </c>
      <c r="CJ1266" t="s">
        <v>135</v>
      </c>
      <c r="CK1266" t="s">
        <v>132</v>
      </c>
      <c r="CL1266" t="s">
        <v>15545</v>
      </c>
      <c r="CO1266" t="s">
        <v>132</v>
      </c>
      <c r="CP1266" t="s">
        <v>136</v>
      </c>
      <c r="CQ1266" t="s">
        <v>136</v>
      </c>
      <c r="CR1266" t="s">
        <v>136</v>
      </c>
      <c r="CS1266" t="s">
        <v>114</v>
      </c>
      <c r="CT1266" t="s">
        <v>136</v>
      </c>
      <c r="CU1266" t="s">
        <v>136</v>
      </c>
      <c r="CV1266" t="s">
        <v>15546</v>
      </c>
      <c r="CW1266" s="10" t="str">
        <f>"+18054431786"</f>
        <v>+18054431786</v>
      </c>
      <c r="CX1266" t="s">
        <v>15543</v>
      </c>
      <c r="CY1266" t="s">
        <v>132</v>
      </c>
      <c r="CZ1266" t="s">
        <v>137</v>
      </c>
      <c r="DA1266" t="s">
        <v>114</v>
      </c>
      <c r="DB1266" t="s">
        <v>114</v>
      </c>
      <c r="DC1266" t="s">
        <v>136</v>
      </c>
      <c r="DD1266" t="s">
        <v>114</v>
      </c>
    </row>
    <row r="1267" spans="1:113" ht="15" customHeight="1" x14ac:dyDescent="0.25">
      <c r="A1267" t="s">
        <v>23554</v>
      </c>
      <c r="B1267" t="s">
        <v>152</v>
      </c>
      <c r="C1267" s="1">
        <v>45121.477753125</v>
      </c>
      <c r="D1267" s="1">
        <v>45223</v>
      </c>
      <c r="E1267" t="s">
        <v>114</v>
      </c>
      <c r="F1267" t="s">
        <v>23555</v>
      </c>
      <c r="G1267" t="str">
        <f>"39-2021.00"</f>
        <v>39-2021.00</v>
      </c>
      <c r="H1267" t="s">
        <v>2895</v>
      </c>
      <c r="I1267">
        <v>7</v>
      </c>
      <c r="J1267">
        <v>7</v>
      </c>
      <c r="K1267" s="1">
        <v>45200</v>
      </c>
      <c r="L1267" s="1">
        <v>45413</v>
      </c>
      <c r="M1267" s="1">
        <v>45200</v>
      </c>
      <c r="N1267" s="1">
        <v>45413</v>
      </c>
      <c r="O1267" t="s">
        <v>238</v>
      </c>
      <c r="P1267" t="s">
        <v>23556</v>
      </c>
      <c r="R1267" t="s">
        <v>23557</v>
      </c>
      <c r="S1267" t="s">
        <v>23558</v>
      </c>
      <c r="T1267" t="s">
        <v>1209</v>
      </c>
      <c r="U1267" t="s">
        <v>140</v>
      </c>
      <c r="V1267" s="8" t="str">
        <f>"33480"</f>
        <v>33480</v>
      </c>
      <c r="W1267" t="s">
        <v>118</v>
      </c>
      <c r="Y1267" s="10">
        <v>13477366122</v>
      </c>
      <c r="AA1267">
        <v>711212</v>
      </c>
      <c r="AB1267" t="s">
        <v>23559</v>
      </c>
      <c r="AC1267" t="s">
        <v>3562</v>
      </c>
      <c r="AE1267" t="s">
        <v>12656</v>
      </c>
      <c r="AF1267" t="s">
        <v>23557</v>
      </c>
      <c r="AH1267" t="s">
        <v>1209</v>
      </c>
      <c r="AI1267" t="s">
        <v>140</v>
      </c>
      <c r="AJ1267" s="8" t="str">
        <f>"33480"</f>
        <v>33480</v>
      </c>
      <c r="AK1267" t="s">
        <v>118</v>
      </c>
      <c r="AM1267" s="10">
        <v>12127408294</v>
      </c>
      <c r="AO1267" t="s">
        <v>23560</v>
      </c>
      <c r="AX1267" s="8" t="str">
        <f>""</f>
        <v/>
      </c>
      <c r="BG1267" t="s">
        <v>140</v>
      </c>
      <c r="BH1267" s="1">
        <v>45119.833333333336</v>
      </c>
      <c r="BI1267">
        <v>40</v>
      </c>
      <c r="BJ1267">
        <v>0</v>
      </c>
      <c r="BK1267">
        <v>7</v>
      </c>
      <c r="BL1267">
        <v>7</v>
      </c>
      <c r="BM1267">
        <v>7</v>
      </c>
      <c r="BN1267">
        <v>7</v>
      </c>
      <c r="BO1267">
        <v>7</v>
      </c>
      <c r="BP1267">
        <v>5</v>
      </c>
      <c r="BQ1267" t="str">
        <f>"5:00 AM"</f>
        <v>5:00 AM</v>
      </c>
      <c r="BR1267" t="str">
        <f>"11:00 AM"</f>
        <v>11:00 AM</v>
      </c>
      <c r="BS1267" t="s">
        <v>131</v>
      </c>
      <c r="BT1267">
        <v>0</v>
      </c>
      <c r="BU1267">
        <v>1</v>
      </c>
      <c r="BV1267" t="s">
        <v>114</v>
      </c>
      <c r="BX1267" t="s">
        <v>131</v>
      </c>
      <c r="BY1267" t="s">
        <v>23561</v>
      </c>
      <c r="BZ1267" t="s">
        <v>2308</v>
      </c>
      <c r="CA1267" t="s">
        <v>1209</v>
      </c>
      <c r="CB1267" t="s">
        <v>140</v>
      </c>
      <c r="CC1267" s="8" t="str">
        <f>"33480"</f>
        <v>33480</v>
      </c>
      <c r="CD1267" t="s">
        <v>767</v>
      </c>
      <c r="CE1267" t="s">
        <v>149</v>
      </c>
      <c r="CF1267" s="12">
        <v>16.510000000000002</v>
      </c>
      <c r="CG1267" s="12">
        <v>17.75</v>
      </c>
      <c r="CH1267" s="12">
        <v>24.77</v>
      </c>
      <c r="CI1267" s="12">
        <v>26.63</v>
      </c>
      <c r="CJ1267" t="s">
        <v>135</v>
      </c>
      <c r="CL1267" t="s">
        <v>23562</v>
      </c>
      <c r="CO1267" t="s">
        <v>132</v>
      </c>
      <c r="CP1267" t="s">
        <v>114</v>
      </c>
      <c r="CQ1267" t="s">
        <v>136</v>
      </c>
      <c r="CR1267" t="s">
        <v>136</v>
      </c>
      <c r="CS1267" t="s">
        <v>114</v>
      </c>
      <c r="CT1267" t="s">
        <v>136</v>
      </c>
      <c r="CU1267" t="s">
        <v>136</v>
      </c>
      <c r="CV1267" s="2" t="s">
        <v>23563</v>
      </c>
      <c r="CW1267" s="10" t="str">
        <f>"+13057366122"</f>
        <v>+13057366122</v>
      </c>
      <c r="CX1267" t="s">
        <v>23560</v>
      </c>
      <c r="CY1267" t="s">
        <v>23564</v>
      </c>
      <c r="CZ1267" t="s">
        <v>137</v>
      </c>
      <c r="DA1267" t="s">
        <v>114</v>
      </c>
      <c r="DB1267" t="s">
        <v>114</v>
      </c>
      <c r="DC1267" t="s">
        <v>136</v>
      </c>
      <c r="DD1267" t="s">
        <v>114</v>
      </c>
    </row>
    <row r="1268" spans="1:113" ht="15" customHeight="1" x14ac:dyDescent="0.25">
      <c r="A1268" t="s">
        <v>21900</v>
      </c>
      <c r="B1268" t="s">
        <v>152</v>
      </c>
      <c r="C1268" s="1">
        <v>45114.683307060186</v>
      </c>
      <c r="D1268" s="1">
        <v>45223</v>
      </c>
      <c r="E1268" t="s">
        <v>114</v>
      </c>
      <c r="F1268" t="s">
        <v>1261</v>
      </c>
      <c r="G1268" t="str">
        <f>"47-3012.00"</f>
        <v>47-3012.00</v>
      </c>
      <c r="H1268" t="s">
        <v>979</v>
      </c>
      <c r="I1268">
        <v>10</v>
      </c>
      <c r="J1268">
        <v>10</v>
      </c>
      <c r="K1268" s="1">
        <v>45200</v>
      </c>
      <c r="L1268" s="1">
        <v>45291</v>
      </c>
      <c r="M1268" s="1">
        <v>45200</v>
      </c>
      <c r="N1268" s="1">
        <v>45291</v>
      </c>
      <c r="O1268" t="s">
        <v>116</v>
      </c>
      <c r="P1268" t="s">
        <v>21901</v>
      </c>
      <c r="R1268" t="s">
        <v>10724</v>
      </c>
      <c r="T1268" t="s">
        <v>21902</v>
      </c>
      <c r="U1268" t="s">
        <v>2030</v>
      </c>
      <c r="V1268" s="8" t="str">
        <f>"57106"</f>
        <v>57106</v>
      </c>
      <c r="W1268" t="s">
        <v>118</v>
      </c>
      <c r="Y1268" s="10">
        <v>16055500794</v>
      </c>
      <c r="AA1268">
        <v>2381</v>
      </c>
      <c r="AB1268" t="s">
        <v>21903</v>
      </c>
      <c r="AC1268" t="s">
        <v>3449</v>
      </c>
      <c r="AE1268" t="s">
        <v>1836</v>
      </c>
      <c r="AF1268" t="s">
        <v>21904</v>
      </c>
      <c r="AH1268" t="s">
        <v>2917</v>
      </c>
      <c r="AI1268" t="s">
        <v>2030</v>
      </c>
      <c r="AJ1268" s="8" t="str">
        <f>"57106"</f>
        <v>57106</v>
      </c>
      <c r="AK1268" t="s">
        <v>118</v>
      </c>
      <c r="AM1268" s="10">
        <v>16055955476</v>
      </c>
      <c r="AO1268" t="s">
        <v>21905</v>
      </c>
      <c r="AP1268" t="s">
        <v>121</v>
      </c>
      <c r="AQ1268" t="s">
        <v>929</v>
      </c>
      <c r="AR1268" t="s">
        <v>930</v>
      </c>
      <c r="AS1268" t="s">
        <v>931</v>
      </c>
      <c r="AT1268" t="s">
        <v>932</v>
      </c>
      <c r="AU1268" t="s">
        <v>132</v>
      </c>
      <c r="AV1268" t="s">
        <v>933</v>
      </c>
      <c r="AW1268" t="s">
        <v>740</v>
      </c>
      <c r="AX1268" s="8" t="str">
        <f>"50010"</f>
        <v>50010</v>
      </c>
      <c r="AY1268" t="s">
        <v>118</v>
      </c>
      <c r="AZ1268" t="s">
        <v>255</v>
      </c>
      <c r="BA1268" s="10">
        <v>15152324444</v>
      </c>
      <c r="BB1268">
        <v>0</v>
      </c>
      <c r="BC1268" t="s">
        <v>934</v>
      </c>
      <c r="BD1268" t="s">
        <v>935</v>
      </c>
      <c r="BE1268" t="s">
        <v>740</v>
      </c>
      <c r="BF1268" t="s">
        <v>172</v>
      </c>
      <c r="BG1268" t="s">
        <v>2030</v>
      </c>
      <c r="BH1268" s="1">
        <v>45113.833333333336</v>
      </c>
      <c r="BI1268">
        <v>40</v>
      </c>
      <c r="BJ1268">
        <v>0</v>
      </c>
      <c r="BK1268">
        <v>8</v>
      </c>
      <c r="BL1268">
        <v>8</v>
      </c>
      <c r="BM1268">
        <v>8</v>
      </c>
      <c r="BN1268">
        <v>8</v>
      </c>
      <c r="BO1268">
        <v>8</v>
      </c>
      <c r="BP1268">
        <v>0</v>
      </c>
      <c r="BQ1268" t="str">
        <f>"7:30 AM"</f>
        <v>7:30 AM</v>
      </c>
      <c r="BR1268" t="str">
        <f>"4:30 PM"</f>
        <v>4:30 PM</v>
      </c>
      <c r="BS1268" t="s">
        <v>131</v>
      </c>
      <c r="BT1268">
        <v>0</v>
      </c>
      <c r="BU1268">
        <v>0</v>
      </c>
      <c r="BV1268" t="s">
        <v>114</v>
      </c>
      <c r="BX1268" s="2" t="s">
        <v>21906</v>
      </c>
      <c r="BY1268" t="s">
        <v>10724</v>
      </c>
      <c r="CA1268" t="s">
        <v>2917</v>
      </c>
      <c r="CB1268" t="s">
        <v>2030</v>
      </c>
      <c r="CC1268" s="8" t="str">
        <f>"57106"</f>
        <v>57106</v>
      </c>
      <c r="CD1268" t="s">
        <v>3161</v>
      </c>
      <c r="CE1268" t="s">
        <v>2151</v>
      </c>
      <c r="CF1268" s="12">
        <v>14.05</v>
      </c>
      <c r="CH1268" s="12">
        <v>21.08</v>
      </c>
      <c r="CJ1268" t="s">
        <v>135</v>
      </c>
      <c r="CK1268" t="s">
        <v>21907</v>
      </c>
      <c r="CL1268" t="s">
        <v>21908</v>
      </c>
      <c r="CO1268" t="s">
        <v>132</v>
      </c>
      <c r="CP1268" t="s">
        <v>136</v>
      </c>
      <c r="CQ1268" t="s">
        <v>136</v>
      </c>
      <c r="CR1268" t="s">
        <v>136</v>
      </c>
      <c r="CS1268" t="s">
        <v>136</v>
      </c>
      <c r="CT1268" t="s">
        <v>136</v>
      </c>
      <c r="CU1268" t="s">
        <v>136</v>
      </c>
      <c r="CV1268" t="s">
        <v>21909</v>
      </c>
      <c r="CW1268" s="10" t="str">
        <f>"+16055500794"</f>
        <v>+16055500794</v>
      </c>
      <c r="CX1268" t="s">
        <v>21910</v>
      </c>
      <c r="CY1268" t="s">
        <v>132</v>
      </c>
      <c r="CZ1268" t="s">
        <v>137</v>
      </c>
      <c r="DA1268" t="s">
        <v>114</v>
      </c>
      <c r="DB1268" t="s">
        <v>136</v>
      </c>
      <c r="DC1268" t="s">
        <v>136</v>
      </c>
      <c r="DD1268" t="s">
        <v>114</v>
      </c>
    </row>
    <row r="1269" spans="1:113" ht="15" customHeight="1" x14ac:dyDescent="0.25">
      <c r="A1269" t="s">
        <v>4112</v>
      </c>
      <c r="B1269" t="s">
        <v>152</v>
      </c>
      <c r="C1269" s="1">
        <v>45112.950749074073</v>
      </c>
      <c r="D1269" s="1">
        <v>45223</v>
      </c>
      <c r="E1269" t="s">
        <v>114</v>
      </c>
      <c r="F1269" t="s">
        <v>1397</v>
      </c>
      <c r="G1269" t="str">
        <f>"39-9011.01"</f>
        <v>39-9011.01</v>
      </c>
      <c r="H1269" t="s">
        <v>183</v>
      </c>
      <c r="I1269">
        <v>1</v>
      </c>
      <c r="J1269">
        <v>1</v>
      </c>
      <c r="K1269" s="1">
        <v>45200</v>
      </c>
      <c r="L1269" s="1">
        <v>46266</v>
      </c>
      <c r="M1269" s="1">
        <v>45200</v>
      </c>
      <c r="N1269" s="1">
        <v>46266</v>
      </c>
      <c r="O1269" t="s">
        <v>184</v>
      </c>
      <c r="P1269" t="s">
        <v>4113</v>
      </c>
      <c r="R1269" t="s">
        <v>4114</v>
      </c>
      <c r="T1269" t="s">
        <v>4115</v>
      </c>
      <c r="U1269" t="s">
        <v>993</v>
      </c>
      <c r="V1269" s="8" t="str">
        <f>"54720"</f>
        <v>54720</v>
      </c>
      <c r="W1269" t="s">
        <v>118</v>
      </c>
      <c r="Y1269" s="10">
        <v>16507144926</v>
      </c>
      <c r="AA1269">
        <v>8141</v>
      </c>
      <c r="AB1269" t="s">
        <v>4116</v>
      </c>
      <c r="AC1269" t="s">
        <v>4117</v>
      </c>
      <c r="AE1269" t="s">
        <v>561</v>
      </c>
      <c r="AF1269" t="s">
        <v>4114</v>
      </c>
      <c r="AH1269" t="s">
        <v>4115</v>
      </c>
      <c r="AI1269" t="s">
        <v>993</v>
      </c>
      <c r="AJ1269" s="8" t="str">
        <f>"54720"</f>
        <v>54720</v>
      </c>
      <c r="AK1269" t="s">
        <v>118</v>
      </c>
      <c r="AM1269" s="10">
        <v>16507144926</v>
      </c>
      <c r="AO1269" t="s">
        <v>4118</v>
      </c>
      <c r="AP1269" t="s">
        <v>121</v>
      </c>
      <c r="AQ1269" t="s">
        <v>3935</v>
      </c>
      <c r="AR1269" t="s">
        <v>3936</v>
      </c>
      <c r="AS1269" t="s">
        <v>3937</v>
      </c>
      <c r="AT1269" t="s">
        <v>3938</v>
      </c>
      <c r="AU1269" t="s">
        <v>3939</v>
      </c>
      <c r="AV1269" t="s">
        <v>3940</v>
      </c>
      <c r="AW1269" t="s">
        <v>2262</v>
      </c>
      <c r="AX1269" s="8" t="str">
        <f>"06510"</f>
        <v>06510</v>
      </c>
      <c r="AY1269" t="s">
        <v>118</v>
      </c>
      <c r="BA1269" s="10">
        <v>19198270660</v>
      </c>
      <c r="BC1269" t="s">
        <v>3941</v>
      </c>
      <c r="BD1269" t="s">
        <v>3942</v>
      </c>
      <c r="BE1269" t="s">
        <v>375</v>
      </c>
      <c r="BF1269" t="s">
        <v>3943</v>
      </c>
      <c r="BG1269" t="s">
        <v>993</v>
      </c>
      <c r="BH1269" s="1">
        <v>45111.833333333336</v>
      </c>
      <c r="BI1269">
        <v>45</v>
      </c>
      <c r="BJ1269">
        <v>9</v>
      </c>
      <c r="BK1269">
        <v>6</v>
      </c>
      <c r="BL1269">
        <v>6</v>
      </c>
      <c r="BM1269">
        <v>5</v>
      </c>
      <c r="BN1269">
        <v>5</v>
      </c>
      <c r="BO1269">
        <v>5</v>
      </c>
      <c r="BP1269">
        <v>9</v>
      </c>
      <c r="BQ1269" t="str">
        <f>"8:00 AM"</f>
        <v>8:00 AM</v>
      </c>
      <c r="BR1269" t="str">
        <f>"5:00 PM"</f>
        <v>5:00 PM</v>
      </c>
      <c r="BS1269" t="s">
        <v>147</v>
      </c>
      <c r="BT1269">
        <v>0</v>
      </c>
      <c r="BU1269">
        <v>12</v>
      </c>
      <c r="BV1269" t="s">
        <v>114</v>
      </c>
      <c r="BX1269" s="2" t="s">
        <v>4119</v>
      </c>
      <c r="BY1269" t="s">
        <v>4114</v>
      </c>
      <c r="CA1269" t="s">
        <v>4115</v>
      </c>
      <c r="CB1269" t="s">
        <v>993</v>
      </c>
      <c r="CC1269" s="8" t="str">
        <f>"54720"</f>
        <v>54720</v>
      </c>
      <c r="CD1269" t="s">
        <v>4120</v>
      </c>
      <c r="CE1269" t="s">
        <v>4121</v>
      </c>
      <c r="CF1269" s="12">
        <v>11.52</v>
      </c>
      <c r="CG1269" s="12">
        <v>11.52</v>
      </c>
      <c r="CH1269" s="12">
        <v>17.28</v>
      </c>
      <c r="CI1269" s="12">
        <v>17.28</v>
      </c>
      <c r="CJ1269" t="s">
        <v>135</v>
      </c>
      <c r="CL1269" t="s">
        <v>4122</v>
      </c>
      <c r="CO1269" t="s">
        <v>132</v>
      </c>
      <c r="CP1269" t="s">
        <v>114</v>
      </c>
      <c r="CQ1269" t="s">
        <v>114</v>
      </c>
      <c r="CR1269" t="s">
        <v>136</v>
      </c>
      <c r="CS1269" t="s">
        <v>114</v>
      </c>
      <c r="CT1269" t="s">
        <v>136</v>
      </c>
      <c r="CU1269" t="s">
        <v>136</v>
      </c>
      <c r="CV1269" s="2" t="s">
        <v>4123</v>
      </c>
      <c r="CW1269" s="10" t="str">
        <f>"+16507144926"</f>
        <v>+16507144926</v>
      </c>
      <c r="CX1269" t="s">
        <v>4118</v>
      </c>
      <c r="CY1269" t="s">
        <v>132</v>
      </c>
      <c r="CZ1269" t="s">
        <v>137</v>
      </c>
      <c r="DA1269" t="s">
        <v>114</v>
      </c>
      <c r="DB1269" t="s">
        <v>114</v>
      </c>
      <c r="DC1269" t="s">
        <v>136</v>
      </c>
      <c r="DD1269" t="s">
        <v>114</v>
      </c>
    </row>
    <row r="1270" spans="1:113" ht="15" customHeight="1" x14ac:dyDescent="0.25">
      <c r="A1270" t="s">
        <v>22767</v>
      </c>
      <c r="B1270" t="s">
        <v>152</v>
      </c>
      <c r="C1270" s="1">
        <v>45110.027444907406</v>
      </c>
      <c r="D1270" s="1">
        <v>45223</v>
      </c>
      <c r="E1270" t="s">
        <v>114</v>
      </c>
      <c r="F1270" t="s">
        <v>2738</v>
      </c>
      <c r="G1270" t="str">
        <f>"37-3011.00"</f>
        <v>37-3011.00</v>
      </c>
      <c r="H1270" t="s">
        <v>429</v>
      </c>
      <c r="I1270">
        <v>5</v>
      </c>
      <c r="J1270">
        <v>5</v>
      </c>
      <c r="K1270" s="1">
        <v>45200</v>
      </c>
      <c r="L1270" s="1">
        <v>45260</v>
      </c>
      <c r="M1270" s="1">
        <v>45200</v>
      </c>
      <c r="N1270" s="1">
        <v>45260</v>
      </c>
      <c r="O1270" t="s">
        <v>238</v>
      </c>
      <c r="P1270" t="s">
        <v>22768</v>
      </c>
      <c r="R1270" t="s">
        <v>22769</v>
      </c>
      <c r="T1270" t="s">
        <v>22770</v>
      </c>
      <c r="U1270" t="s">
        <v>169</v>
      </c>
      <c r="V1270" s="8" t="str">
        <f>"56071"</f>
        <v>56071</v>
      </c>
      <c r="W1270" t="s">
        <v>118</v>
      </c>
      <c r="Y1270" s="10">
        <v>16123285091</v>
      </c>
      <c r="AA1270">
        <v>561730</v>
      </c>
      <c r="AB1270" t="s">
        <v>22771</v>
      </c>
      <c r="AC1270" t="s">
        <v>1916</v>
      </c>
      <c r="AE1270" t="s">
        <v>1471</v>
      </c>
      <c r="AF1270" t="s">
        <v>22772</v>
      </c>
      <c r="AH1270" t="s">
        <v>22770</v>
      </c>
      <c r="AI1270" t="s">
        <v>169</v>
      </c>
      <c r="AJ1270" s="8" t="str">
        <f>"56071"</f>
        <v>56071</v>
      </c>
      <c r="AK1270" t="s">
        <v>118</v>
      </c>
      <c r="AM1270" s="10">
        <v>16123285091</v>
      </c>
      <c r="AO1270" t="s">
        <v>22773</v>
      </c>
      <c r="AP1270" t="s">
        <v>121</v>
      </c>
      <c r="AQ1270" t="s">
        <v>2173</v>
      </c>
      <c r="AR1270" t="s">
        <v>2174</v>
      </c>
      <c r="AS1270" t="s">
        <v>1829</v>
      </c>
      <c r="AT1270" t="s">
        <v>2175</v>
      </c>
      <c r="AV1270" t="s">
        <v>2176</v>
      </c>
      <c r="AW1270" t="s">
        <v>386</v>
      </c>
      <c r="AX1270" s="8" t="str">
        <f>"37110"</f>
        <v>37110</v>
      </c>
      <c r="AY1270" t="s">
        <v>118</v>
      </c>
      <c r="BA1270" s="10">
        <v>19312747811</v>
      </c>
      <c r="BC1270" t="s">
        <v>2177</v>
      </c>
      <c r="BD1270" t="s">
        <v>2178</v>
      </c>
      <c r="BE1270" t="s">
        <v>386</v>
      </c>
      <c r="BF1270" t="s">
        <v>2179</v>
      </c>
      <c r="BG1270" t="s">
        <v>169</v>
      </c>
      <c r="BH1270" s="1">
        <v>45109.833333333336</v>
      </c>
      <c r="BI1270">
        <v>40</v>
      </c>
      <c r="BJ1270">
        <v>0</v>
      </c>
      <c r="BK1270">
        <v>8</v>
      </c>
      <c r="BL1270">
        <v>8</v>
      </c>
      <c r="BM1270">
        <v>8</v>
      </c>
      <c r="BN1270">
        <v>8</v>
      </c>
      <c r="BO1270">
        <v>8</v>
      </c>
      <c r="BP1270">
        <v>0</v>
      </c>
      <c r="BQ1270" t="str">
        <f>"7:00 AM"</f>
        <v>7:00 AM</v>
      </c>
      <c r="BR1270" t="str">
        <f>"4:00 PM"</f>
        <v>4:00 PM</v>
      </c>
      <c r="BS1270" t="s">
        <v>131</v>
      </c>
      <c r="BT1270">
        <v>0</v>
      </c>
      <c r="BU1270">
        <v>0</v>
      </c>
      <c r="BV1270" t="s">
        <v>114</v>
      </c>
      <c r="BX1270" s="2" t="s">
        <v>22774</v>
      </c>
      <c r="BY1270" t="s">
        <v>22769</v>
      </c>
      <c r="CA1270" t="s">
        <v>22770</v>
      </c>
      <c r="CB1270" t="s">
        <v>169</v>
      </c>
      <c r="CC1270" s="8" t="str">
        <f>"56071"</f>
        <v>56071</v>
      </c>
      <c r="CD1270" t="s">
        <v>4902</v>
      </c>
      <c r="CE1270" t="s">
        <v>1910</v>
      </c>
      <c r="CF1270" s="12">
        <v>19.14</v>
      </c>
      <c r="CH1270" s="12">
        <v>28.71</v>
      </c>
      <c r="CJ1270" t="s">
        <v>135</v>
      </c>
      <c r="CK1270" t="s">
        <v>2181</v>
      </c>
      <c r="CL1270" t="s">
        <v>22775</v>
      </c>
      <c r="CM1270" t="s">
        <v>22776</v>
      </c>
      <c r="CO1270" t="s">
        <v>132</v>
      </c>
      <c r="CP1270" t="s">
        <v>136</v>
      </c>
      <c r="CQ1270" t="s">
        <v>136</v>
      </c>
      <c r="CR1270" t="s">
        <v>136</v>
      </c>
      <c r="CS1270" t="s">
        <v>114</v>
      </c>
      <c r="CT1270" t="s">
        <v>136</v>
      </c>
      <c r="CU1270" t="s">
        <v>114</v>
      </c>
      <c r="CV1270" t="s">
        <v>132</v>
      </c>
      <c r="CW1270" s="10" t="str">
        <f>"+16123285091"</f>
        <v>+16123285091</v>
      </c>
      <c r="CX1270" t="s">
        <v>22777</v>
      </c>
      <c r="CY1270" t="s">
        <v>132</v>
      </c>
      <c r="CZ1270" t="s">
        <v>137</v>
      </c>
      <c r="DA1270" t="s">
        <v>114</v>
      </c>
      <c r="DB1270" t="s">
        <v>114</v>
      </c>
      <c r="DC1270" t="s">
        <v>136</v>
      </c>
      <c r="DD1270" t="s">
        <v>114</v>
      </c>
    </row>
    <row r="1271" spans="1:113" ht="15" customHeight="1" x14ac:dyDescent="0.25">
      <c r="A1271" t="s">
        <v>20331</v>
      </c>
      <c r="B1271" t="s">
        <v>152</v>
      </c>
      <c r="C1271" s="1">
        <v>45110.00307997685</v>
      </c>
      <c r="D1271" s="1">
        <v>45223</v>
      </c>
      <c r="E1271" t="s">
        <v>114</v>
      </c>
      <c r="F1271" t="s">
        <v>3138</v>
      </c>
      <c r="G1271" t="str">
        <f>"53-7064.00"</f>
        <v>53-7064.00</v>
      </c>
      <c r="H1271" t="s">
        <v>3138</v>
      </c>
      <c r="I1271">
        <v>12</v>
      </c>
      <c r="J1271">
        <v>12</v>
      </c>
      <c r="K1271" s="1">
        <v>45200</v>
      </c>
      <c r="L1271" s="1">
        <v>45291</v>
      </c>
      <c r="M1271" s="1">
        <v>45200</v>
      </c>
      <c r="N1271" s="1">
        <v>45291</v>
      </c>
      <c r="O1271" t="s">
        <v>116</v>
      </c>
      <c r="P1271" t="s">
        <v>20332</v>
      </c>
      <c r="Q1271" t="s">
        <v>20333</v>
      </c>
      <c r="R1271" t="s">
        <v>20334</v>
      </c>
      <c r="T1271" t="s">
        <v>20335</v>
      </c>
      <c r="U1271" t="s">
        <v>506</v>
      </c>
      <c r="V1271" s="8" t="str">
        <f>"05647"</f>
        <v>05647</v>
      </c>
      <c r="W1271" t="s">
        <v>118</v>
      </c>
      <c r="Y1271" s="10">
        <v>19785525510</v>
      </c>
      <c r="AA1271">
        <v>311513</v>
      </c>
      <c r="AB1271" t="s">
        <v>3924</v>
      </c>
      <c r="AC1271" t="s">
        <v>20336</v>
      </c>
      <c r="AE1271" t="s">
        <v>20337</v>
      </c>
      <c r="AF1271" t="s">
        <v>20338</v>
      </c>
      <c r="AG1271" t="s">
        <v>20339</v>
      </c>
      <c r="AH1271" t="s">
        <v>20340</v>
      </c>
      <c r="AI1271" t="s">
        <v>222</v>
      </c>
      <c r="AJ1271" s="8" t="str">
        <f>"01810"</f>
        <v>01810</v>
      </c>
      <c r="AK1271" t="s">
        <v>118</v>
      </c>
      <c r="AM1271" s="10">
        <v>19786187193</v>
      </c>
      <c r="AO1271" t="s">
        <v>20341</v>
      </c>
      <c r="AP1271" t="s">
        <v>121</v>
      </c>
      <c r="AQ1271" t="s">
        <v>2173</v>
      </c>
      <c r="AR1271" t="s">
        <v>2174</v>
      </c>
      <c r="AS1271" t="s">
        <v>1829</v>
      </c>
      <c r="AT1271" t="s">
        <v>2175</v>
      </c>
      <c r="AV1271" t="s">
        <v>2176</v>
      </c>
      <c r="AW1271" t="s">
        <v>386</v>
      </c>
      <c r="AX1271" s="8" t="str">
        <f>"37110"</f>
        <v>37110</v>
      </c>
      <c r="AY1271" t="s">
        <v>118</v>
      </c>
      <c r="BA1271" s="10">
        <v>19312747811</v>
      </c>
      <c r="BC1271" t="s">
        <v>2177</v>
      </c>
      <c r="BD1271" t="s">
        <v>2178</v>
      </c>
      <c r="BE1271" t="s">
        <v>386</v>
      </c>
      <c r="BF1271" t="s">
        <v>2179</v>
      </c>
      <c r="BG1271" t="s">
        <v>506</v>
      </c>
      <c r="BH1271" s="1">
        <v>45109.833333333336</v>
      </c>
      <c r="BI1271">
        <v>40</v>
      </c>
      <c r="BJ1271">
        <v>0</v>
      </c>
      <c r="BK1271">
        <v>8</v>
      </c>
      <c r="BL1271">
        <v>8</v>
      </c>
      <c r="BM1271">
        <v>8</v>
      </c>
      <c r="BN1271">
        <v>8</v>
      </c>
      <c r="BO1271">
        <v>8</v>
      </c>
      <c r="BP1271">
        <v>0</v>
      </c>
      <c r="BQ1271" t="str">
        <f>"7:00 AM"</f>
        <v>7:00 AM</v>
      </c>
      <c r="BR1271" t="str">
        <f>"4:00 PM"</f>
        <v>4:00 PM</v>
      </c>
      <c r="BS1271" t="s">
        <v>131</v>
      </c>
      <c r="BT1271">
        <v>0</v>
      </c>
      <c r="BU1271">
        <v>0</v>
      </c>
      <c r="BV1271" t="s">
        <v>114</v>
      </c>
      <c r="BX1271" t="s">
        <v>2756</v>
      </c>
      <c r="BY1271" t="s">
        <v>20334</v>
      </c>
      <c r="CA1271" t="s">
        <v>20335</v>
      </c>
      <c r="CB1271" t="s">
        <v>506</v>
      </c>
      <c r="CC1271" s="8" t="str">
        <f>"05647"</f>
        <v>05647</v>
      </c>
      <c r="CD1271" t="s">
        <v>806</v>
      </c>
      <c r="CE1271" t="s">
        <v>1108</v>
      </c>
      <c r="CF1271" s="12">
        <v>18</v>
      </c>
      <c r="CH1271" s="12">
        <v>27</v>
      </c>
      <c r="CJ1271" t="s">
        <v>135</v>
      </c>
      <c r="CK1271" t="s">
        <v>2181</v>
      </c>
      <c r="CL1271" t="s">
        <v>20342</v>
      </c>
      <c r="CO1271" t="s">
        <v>132</v>
      </c>
      <c r="CP1271" t="s">
        <v>114</v>
      </c>
      <c r="CQ1271" t="s">
        <v>136</v>
      </c>
      <c r="CR1271" t="s">
        <v>136</v>
      </c>
      <c r="CS1271" t="s">
        <v>114</v>
      </c>
      <c r="CT1271" t="s">
        <v>136</v>
      </c>
      <c r="CU1271" t="s">
        <v>136</v>
      </c>
      <c r="CV1271" t="s">
        <v>20343</v>
      </c>
      <c r="CW1271" s="10" t="str">
        <f>"+19785525513"</f>
        <v>+19785525513</v>
      </c>
      <c r="CX1271" t="s">
        <v>20341</v>
      </c>
      <c r="CY1271" t="s">
        <v>132</v>
      </c>
      <c r="CZ1271" t="s">
        <v>137</v>
      </c>
      <c r="DA1271" t="s">
        <v>114</v>
      </c>
      <c r="DB1271" t="s">
        <v>114</v>
      </c>
      <c r="DC1271" t="s">
        <v>136</v>
      </c>
      <c r="DD1271" t="s">
        <v>114</v>
      </c>
    </row>
    <row r="1272" spans="1:113" ht="15" customHeight="1" x14ac:dyDescent="0.25">
      <c r="A1272" t="s">
        <v>18257</v>
      </c>
      <c r="B1272" t="s">
        <v>152</v>
      </c>
      <c r="C1272" s="1">
        <v>45171.073328240738</v>
      </c>
      <c r="D1272" s="1">
        <v>45222</v>
      </c>
      <c r="E1272" t="s">
        <v>132</v>
      </c>
      <c r="F1272" t="s">
        <v>18258</v>
      </c>
      <c r="G1272" t="str">
        <f>"39-3091.00"</f>
        <v>39-3091.00</v>
      </c>
      <c r="H1272" t="s">
        <v>237</v>
      </c>
      <c r="I1272">
        <v>18</v>
      </c>
      <c r="J1272">
        <v>18</v>
      </c>
      <c r="K1272" s="1">
        <v>45261</v>
      </c>
      <c r="L1272" s="1">
        <v>45542</v>
      </c>
      <c r="M1272" s="1">
        <v>45261</v>
      </c>
      <c r="N1272" s="1">
        <v>45542</v>
      </c>
      <c r="O1272" t="s">
        <v>116</v>
      </c>
      <c r="P1272" t="s">
        <v>6927</v>
      </c>
      <c r="Q1272" t="s">
        <v>6928</v>
      </c>
      <c r="R1272" t="s">
        <v>6929</v>
      </c>
      <c r="T1272" t="s">
        <v>6930</v>
      </c>
      <c r="U1272" t="s">
        <v>140</v>
      </c>
      <c r="V1272" s="8" t="str">
        <f>"33160"</f>
        <v>33160</v>
      </c>
      <c r="W1272" t="s">
        <v>118</v>
      </c>
      <c r="Y1272" s="10">
        <v>13056925702</v>
      </c>
      <c r="AA1272">
        <v>72111</v>
      </c>
      <c r="AB1272" t="s">
        <v>6931</v>
      </c>
      <c r="AC1272" t="s">
        <v>6141</v>
      </c>
      <c r="AE1272" t="s">
        <v>1104</v>
      </c>
      <c r="AF1272" t="s">
        <v>6929</v>
      </c>
      <c r="AH1272" t="s">
        <v>6930</v>
      </c>
      <c r="AI1272" t="s">
        <v>140</v>
      </c>
      <c r="AJ1272" s="8" t="str">
        <f>"33160"</f>
        <v>33160</v>
      </c>
      <c r="AK1272" t="s">
        <v>118</v>
      </c>
      <c r="AM1272" s="10">
        <v>13056925702</v>
      </c>
      <c r="AO1272" t="s">
        <v>6932</v>
      </c>
      <c r="AP1272" t="s">
        <v>248</v>
      </c>
      <c r="AQ1272" t="s">
        <v>960</v>
      </c>
      <c r="AR1272" t="s">
        <v>961</v>
      </c>
      <c r="AS1272" t="s">
        <v>962</v>
      </c>
      <c r="AT1272" t="s">
        <v>963</v>
      </c>
      <c r="AU1272" t="s">
        <v>296</v>
      </c>
      <c r="AV1272" t="s">
        <v>964</v>
      </c>
      <c r="AW1272" t="s">
        <v>127</v>
      </c>
      <c r="AX1272" s="8" t="str">
        <f>"75033"</f>
        <v>75033</v>
      </c>
      <c r="AY1272" t="s">
        <v>118</v>
      </c>
      <c r="BA1272" s="10">
        <v>19727789690</v>
      </c>
      <c r="BC1272" t="s">
        <v>1837</v>
      </c>
      <c r="BD1272" t="s">
        <v>966</v>
      </c>
      <c r="BG1272" t="s">
        <v>140</v>
      </c>
      <c r="BH1272" s="1">
        <v>45170.833333333336</v>
      </c>
      <c r="BI1272">
        <v>40</v>
      </c>
      <c r="BJ1272">
        <v>8</v>
      </c>
      <c r="BK1272">
        <v>8</v>
      </c>
      <c r="BL1272">
        <v>0</v>
      </c>
      <c r="BM1272">
        <v>8</v>
      </c>
      <c r="BN1272">
        <v>0</v>
      </c>
      <c r="BO1272">
        <v>8</v>
      </c>
      <c r="BP1272">
        <v>8</v>
      </c>
      <c r="BQ1272" t="str">
        <f>"7:00 AM"</f>
        <v>7:00 AM</v>
      </c>
      <c r="BR1272" t="str">
        <f>"3:30 PM"</f>
        <v>3:30 PM</v>
      </c>
      <c r="BS1272" t="s">
        <v>131</v>
      </c>
      <c r="BT1272">
        <v>0</v>
      </c>
      <c r="BU1272">
        <v>1</v>
      </c>
      <c r="BV1272" t="s">
        <v>114</v>
      </c>
      <c r="BX1272" s="2" t="s">
        <v>14676</v>
      </c>
      <c r="BY1272" t="s">
        <v>6929</v>
      </c>
      <c r="CA1272" t="s">
        <v>6930</v>
      </c>
      <c r="CB1272" t="s">
        <v>140</v>
      </c>
      <c r="CC1272" s="8" t="str">
        <f>"33160"</f>
        <v>33160</v>
      </c>
      <c r="CD1272" t="s">
        <v>148</v>
      </c>
      <c r="CE1272" t="s">
        <v>149</v>
      </c>
      <c r="CF1272" s="12">
        <v>12.47</v>
      </c>
      <c r="CG1272" s="12">
        <v>12.47</v>
      </c>
      <c r="CH1272" s="12">
        <v>18.71</v>
      </c>
      <c r="CI1272" s="12">
        <v>18.71</v>
      </c>
      <c r="CJ1272" t="s">
        <v>135</v>
      </c>
      <c r="CK1272" t="s">
        <v>973</v>
      </c>
      <c r="CL1272" t="s">
        <v>18259</v>
      </c>
      <c r="CO1272" t="s">
        <v>132</v>
      </c>
      <c r="CP1272" t="s">
        <v>114</v>
      </c>
      <c r="CQ1272" t="s">
        <v>114</v>
      </c>
      <c r="CR1272" t="s">
        <v>136</v>
      </c>
      <c r="CS1272" t="s">
        <v>136</v>
      </c>
      <c r="CT1272" t="s">
        <v>136</v>
      </c>
      <c r="CU1272" t="s">
        <v>136</v>
      </c>
      <c r="CV1272" s="2" t="s">
        <v>6935</v>
      </c>
      <c r="CW1272" s="10" t="str">
        <f>"+13056925702"</f>
        <v>+13056925702</v>
      </c>
      <c r="CX1272" t="s">
        <v>132</v>
      </c>
      <c r="CY1272" t="s">
        <v>6175</v>
      </c>
      <c r="CZ1272" t="s">
        <v>137</v>
      </c>
      <c r="DA1272" t="s">
        <v>114</v>
      </c>
      <c r="DB1272" t="s">
        <v>136</v>
      </c>
      <c r="DC1272" t="s">
        <v>136</v>
      </c>
      <c r="DD1272" t="s">
        <v>114</v>
      </c>
    </row>
    <row r="1273" spans="1:113" ht="15" customHeight="1" x14ac:dyDescent="0.25">
      <c r="A1273" t="s">
        <v>18425</v>
      </c>
      <c r="B1273" t="s">
        <v>152</v>
      </c>
      <c r="C1273" s="1">
        <v>45171.016216087963</v>
      </c>
      <c r="D1273" s="1">
        <v>45222</v>
      </c>
      <c r="E1273" t="s">
        <v>132</v>
      </c>
      <c r="F1273" t="s">
        <v>18426</v>
      </c>
      <c r="G1273" t="str">
        <f>"35-9011.00"</f>
        <v>35-9011.00</v>
      </c>
      <c r="H1273" t="s">
        <v>1512</v>
      </c>
      <c r="I1273">
        <v>8</v>
      </c>
      <c r="J1273">
        <v>8</v>
      </c>
      <c r="K1273" s="1">
        <v>45261</v>
      </c>
      <c r="L1273" s="1">
        <v>45542</v>
      </c>
      <c r="M1273" s="1">
        <v>45261</v>
      </c>
      <c r="N1273" s="1">
        <v>45542</v>
      </c>
      <c r="O1273" t="s">
        <v>116</v>
      </c>
      <c r="P1273" t="s">
        <v>6927</v>
      </c>
      <c r="Q1273" t="s">
        <v>6928</v>
      </c>
      <c r="R1273" t="s">
        <v>6929</v>
      </c>
      <c r="T1273" t="s">
        <v>6930</v>
      </c>
      <c r="U1273" t="s">
        <v>140</v>
      </c>
      <c r="V1273" s="8" t="str">
        <f>"33160"</f>
        <v>33160</v>
      </c>
      <c r="W1273" t="s">
        <v>118</v>
      </c>
      <c r="Y1273" s="10">
        <v>13056925702</v>
      </c>
      <c r="AA1273">
        <v>72111</v>
      </c>
      <c r="AB1273" t="s">
        <v>6931</v>
      </c>
      <c r="AC1273" t="s">
        <v>6141</v>
      </c>
      <c r="AE1273" t="s">
        <v>1104</v>
      </c>
      <c r="AF1273" t="s">
        <v>6929</v>
      </c>
      <c r="AH1273" t="s">
        <v>6930</v>
      </c>
      <c r="AI1273" t="s">
        <v>140</v>
      </c>
      <c r="AJ1273" s="8" t="str">
        <f>"33160"</f>
        <v>33160</v>
      </c>
      <c r="AK1273" t="s">
        <v>118</v>
      </c>
      <c r="AM1273" s="10">
        <v>13056925702</v>
      </c>
      <c r="AO1273" t="s">
        <v>6932</v>
      </c>
      <c r="AP1273" t="s">
        <v>248</v>
      </c>
      <c r="AQ1273" t="s">
        <v>960</v>
      </c>
      <c r="AR1273" t="s">
        <v>961</v>
      </c>
      <c r="AS1273" t="s">
        <v>962</v>
      </c>
      <c r="AT1273" t="s">
        <v>963</v>
      </c>
      <c r="AU1273" t="s">
        <v>296</v>
      </c>
      <c r="AV1273" t="s">
        <v>964</v>
      </c>
      <c r="AW1273" t="s">
        <v>127</v>
      </c>
      <c r="AX1273" s="8" t="str">
        <f>"75033"</f>
        <v>75033</v>
      </c>
      <c r="AY1273" t="s">
        <v>118</v>
      </c>
      <c r="BA1273" s="10">
        <v>19727789690</v>
      </c>
      <c r="BC1273" t="s">
        <v>1388</v>
      </c>
      <c r="BD1273" t="s">
        <v>966</v>
      </c>
      <c r="BG1273" t="s">
        <v>140</v>
      </c>
      <c r="BH1273" s="1">
        <v>45170.833333333336</v>
      </c>
      <c r="BI1273">
        <v>40</v>
      </c>
      <c r="BJ1273">
        <v>8</v>
      </c>
      <c r="BK1273">
        <v>8</v>
      </c>
      <c r="BL1273">
        <v>0</v>
      </c>
      <c r="BM1273">
        <v>8</v>
      </c>
      <c r="BN1273">
        <v>0</v>
      </c>
      <c r="BO1273">
        <v>8</v>
      </c>
      <c r="BP1273">
        <v>8</v>
      </c>
      <c r="BQ1273" t="str">
        <f>"9:00 AM"</f>
        <v>9:00 AM</v>
      </c>
      <c r="BR1273" t="str">
        <f>"5:30 PM"</f>
        <v>5:30 PM</v>
      </c>
      <c r="BS1273" t="s">
        <v>131</v>
      </c>
      <c r="BT1273">
        <v>0</v>
      </c>
      <c r="BU1273">
        <v>1</v>
      </c>
      <c r="BV1273" t="s">
        <v>114</v>
      </c>
      <c r="BX1273" t="s">
        <v>6933</v>
      </c>
      <c r="BY1273" t="s">
        <v>6929</v>
      </c>
      <c r="CA1273" t="s">
        <v>6930</v>
      </c>
      <c r="CB1273" t="s">
        <v>140</v>
      </c>
      <c r="CC1273" s="8" t="str">
        <f>"33160"</f>
        <v>33160</v>
      </c>
      <c r="CD1273" t="s">
        <v>148</v>
      </c>
      <c r="CE1273" t="s">
        <v>149</v>
      </c>
      <c r="CF1273" s="12">
        <v>13.59</v>
      </c>
      <c r="CG1273" s="12">
        <v>13.59</v>
      </c>
      <c r="CH1273" s="12">
        <v>20.39</v>
      </c>
      <c r="CI1273" s="12">
        <v>20.39</v>
      </c>
      <c r="CJ1273" t="s">
        <v>135</v>
      </c>
      <c r="CK1273" t="s">
        <v>973</v>
      </c>
      <c r="CL1273" t="s">
        <v>18427</v>
      </c>
      <c r="CO1273" t="s">
        <v>132</v>
      </c>
      <c r="CP1273" t="s">
        <v>114</v>
      </c>
      <c r="CQ1273" t="s">
        <v>114</v>
      </c>
      <c r="CR1273" t="s">
        <v>136</v>
      </c>
      <c r="CS1273" t="s">
        <v>136</v>
      </c>
      <c r="CT1273" t="s">
        <v>136</v>
      </c>
      <c r="CU1273" t="s">
        <v>136</v>
      </c>
      <c r="CV1273" t="s">
        <v>18428</v>
      </c>
      <c r="CW1273" s="10" t="str">
        <f>"+13056925702"</f>
        <v>+13056925702</v>
      </c>
      <c r="CX1273" t="s">
        <v>132</v>
      </c>
      <c r="CY1273" t="s">
        <v>6175</v>
      </c>
      <c r="CZ1273" t="s">
        <v>137</v>
      </c>
      <c r="DA1273" t="s">
        <v>114</v>
      </c>
      <c r="DB1273" t="s">
        <v>136</v>
      </c>
      <c r="DC1273" t="s">
        <v>136</v>
      </c>
      <c r="DD1273" t="s">
        <v>114</v>
      </c>
    </row>
    <row r="1274" spans="1:113" ht="15" customHeight="1" x14ac:dyDescent="0.25">
      <c r="A1274" t="s">
        <v>23820</v>
      </c>
      <c r="B1274" t="s">
        <v>152</v>
      </c>
      <c r="C1274" s="1">
        <v>45171.00313391204</v>
      </c>
      <c r="D1274" s="1">
        <v>45222</v>
      </c>
      <c r="E1274" t="s">
        <v>132</v>
      </c>
      <c r="F1274" t="s">
        <v>1668</v>
      </c>
      <c r="G1274" t="str">
        <f>"35-9021.00"</f>
        <v>35-9021.00</v>
      </c>
      <c r="H1274" t="s">
        <v>501</v>
      </c>
      <c r="I1274">
        <v>5</v>
      </c>
      <c r="J1274">
        <v>5</v>
      </c>
      <c r="K1274" s="1">
        <v>45261</v>
      </c>
      <c r="L1274" s="1">
        <v>45542</v>
      </c>
      <c r="M1274" s="1">
        <v>45261</v>
      </c>
      <c r="N1274" s="1">
        <v>45542</v>
      </c>
      <c r="O1274" t="s">
        <v>116</v>
      </c>
      <c r="P1274" t="s">
        <v>6927</v>
      </c>
      <c r="Q1274" t="s">
        <v>6928</v>
      </c>
      <c r="R1274" t="s">
        <v>6929</v>
      </c>
      <c r="T1274" t="s">
        <v>6930</v>
      </c>
      <c r="U1274" t="s">
        <v>140</v>
      </c>
      <c r="V1274" s="8" t="str">
        <f>"33160"</f>
        <v>33160</v>
      </c>
      <c r="W1274" t="s">
        <v>118</v>
      </c>
      <c r="Y1274" s="10">
        <v>13056925702</v>
      </c>
      <c r="AA1274">
        <v>72111</v>
      </c>
      <c r="AB1274" t="s">
        <v>6931</v>
      </c>
      <c r="AC1274" t="s">
        <v>6141</v>
      </c>
      <c r="AE1274" t="s">
        <v>1104</v>
      </c>
      <c r="AF1274" t="s">
        <v>6929</v>
      </c>
      <c r="AH1274" t="s">
        <v>6930</v>
      </c>
      <c r="AI1274" t="s">
        <v>140</v>
      </c>
      <c r="AJ1274" s="8" t="str">
        <f>"33160"</f>
        <v>33160</v>
      </c>
      <c r="AK1274" t="s">
        <v>118</v>
      </c>
      <c r="AM1274" s="10">
        <v>13056925702</v>
      </c>
      <c r="AO1274" t="s">
        <v>6932</v>
      </c>
      <c r="AP1274" t="s">
        <v>248</v>
      </c>
      <c r="AQ1274" t="s">
        <v>960</v>
      </c>
      <c r="AR1274" t="s">
        <v>961</v>
      </c>
      <c r="AS1274" t="s">
        <v>962</v>
      </c>
      <c r="AT1274" t="s">
        <v>963</v>
      </c>
      <c r="AU1274" t="s">
        <v>296</v>
      </c>
      <c r="AV1274" t="s">
        <v>964</v>
      </c>
      <c r="AW1274" t="s">
        <v>127</v>
      </c>
      <c r="AX1274" s="8" t="str">
        <f>"75033"</f>
        <v>75033</v>
      </c>
      <c r="AY1274" t="s">
        <v>118</v>
      </c>
      <c r="BA1274" s="10">
        <v>19727789690</v>
      </c>
      <c r="BC1274" t="s">
        <v>1388</v>
      </c>
      <c r="BD1274" t="s">
        <v>966</v>
      </c>
      <c r="BG1274" t="s">
        <v>140</v>
      </c>
      <c r="BH1274" s="1">
        <v>45170.833333333336</v>
      </c>
      <c r="BI1274">
        <v>40</v>
      </c>
      <c r="BJ1274">
        <v>8</v>
      </c>
      <c r="BK1274">
        <v>8</v>
      </c>
      <c r="BL1274">
        <v>0</v>
      </c>
      <c r="BM1274">
        <v>8</v>
      </c>
      <c r="BN1274">
        <v>0</v>
      </c>
      <c r="BO1274">
        <v>8</v>
      </c>
      <c r="BP1274">
        <v>8</v>
      </c>
      <c r="BQ1274" t="str">
        <f>"7:00 AM"</f>
        <v>7:00 AM</v>
      </c>
      <c r="BR1274" t="str">
        <f>"3:30 PM"</f>
        <v>3:30 PM</v>
      </c>
      <c r="BS1274" t="s">
        <v>131</v>
      </c>
      <c r="BT1274">
        <v>0</v>
      </c>
      <c r="BU1274">
        <v>0</v>
      </c>
      <c r="BV1274" t="s">
        <v>114</v>
      </c>
      <c r="BX1274" t="s">
        <v>23821</v>
      </c>
      <c r="BY1274" t="s">
        <v>6929</v>
      </c>
      <c r="CA1274" t="s">
        <v>6930</v>
      </c>
      <c r="CB1274" t="s">
        <v>140</v>
      </c>
      <c r="CC1274" s="8" t="str">
        <f>"33160"</f>
        <v>33160</v>
      </c>
      <c r="CD1274" t="s">
        <v>148</v>
      </c>
      <c r="CE1274" t="s">
        <v>149</v>
      </c>
      <c r="CF1274" s="12">
        <v>12.3</v>
      </c>
      <c r="CG1274" s="12">
        <v>12.3</v>
      </c>
      <c r="CH1274" s="12">
        <v>18.45</v>
      </c>
      <c r="CI1274" s="12">
        <v>18.45</v>
      </c>
      <c r="CJ1274" t="s">
        <v>135</v>
      </c>
      <c r="CK1274" t="s">
        <v>973</v>
      </c>
      <c r="CL1274" t="s">
        <v>23822</v>
      </c>
      <c r="CO1274" t="s">
        <v>132</v>
      </c>
      <c r="CP1274" t="s">
        <v>114</v>
      </c>
      <c r="CQ1274" t="s">
        <v>136</v>
      </c>
      <c r="CR1274" t="s">
        <v>136</v>
      </c>
      <c r="CS1274" t="s">
        <v>136</v>
      </c>
      <c r="CT1274" t="s">
        <v>136</v>
      </c>
      <c r="CU1274" t="s">
        <v>136</v>
      </c>
      <c r="CV1274" t="s">
        <v>23823</v>
      </c>
      <c r="CW1274" s="10" t="str">
        <f>"+13056925702"</f>
        <v>+13056925702</v>
      </c>
      <c r="CX1274" t="s">
        <v>132</v>
      </c>
      <c r="CY1274" t="s">
        <v>6175</v>
      </c>
      <c r="CZ1274" t="s">
        <v>137</v>
      </c>
      <c r="DA1274" t="s">
        <v>114</v>
      </c>
      <c r="DB1274" t="s">
        <v>136</v>
      </c>
      <c r="DC1274" t="s">
        <v>136</v>
      </c>
      <c r="DD1274" t="s">
        <v>114</v>
      </c>
    </row>
    <row r="1275" spans="1:113" ht="15" customHeight="1" x14ac:dyDescent="0.25">
      <c r="A1275" t="s">
        <v>14163</v>
      </c>
      <c r="B1275" t="s">
        <v>152</v>
      </c>
      <c r="C1275" s="1">
        <v>45171.002607870367</v>
      </c>
      <c r="D1275" s="1">
        <v>45222</v>
      </c>
      <c r="E1275" t="s">
        <v>132</v>
      </c>
      <c r="F1275" t="s">
        <v>14164</v>
      </c>
      <c r="G1275" t="str">
        <f>"43-4081.00"</f>
        <v>43-4081.00</v>
      </c>
      <c r="H1275" t="s">
        <v>952</v>
      </c>
      <c r="I1275">
        <v>3</v>
      </c>
      <c r="J1275">
        <v>3</v>
      </c>
      <c r="K1275" s="1">
        <v>45261</v>
      </c>
      <c r="L1275" s="1">
        <v>45542</v>
      </c>
      <c r="M1275" s="1">
        <v>45261</v>
      </c>
      <c r="N1275" s="1">
        <v>45542</v>
      </c>
      <c r="O1275" t="s">
        <v>116</v>
      </c>
      <c r="P1275" t="s">
        <v>6927</v>
      </c>
      <c r="Q1275" t="s">
        <v>6928</v>
      </c>
      <c r="R1275" t="s">
        <v>6929</v>
      </c>
      <c r="T1275" t="s">
        <v>6930</v>
      </c>
      <c r="U1275" t="s">
        <v>140</v>
      </c>
      <c r="V1275" s="8" t="str">
        <f>"33160"</f>
        <v>33160</v>
      </c>
      <c r="W1275" t="s">
        <v>118</v>
      </c>
      <c r="Y1275" s="10">
        <v>13056925702</v>
      </c>
      <c r="AA1275">
        <v>72111</v>
      </c>
      <c r="AB1275" t="s">
        <v>6931</v>
      </c>
      <c r="AC1275" t="s">
        <v>6141</v>
      </c>
      <c r="AE1275" t="s">
        <v>1104</v>
      </c>
      <c r="AF1275" t="s">
        <v>6929</v>
      </c>
      <c r="AH1275" t="s">
        <v>6930</v>
      </c>
      <c r="AI1275" t="s">
        <v>140</v>
      </c>
      <c r="AJ1275" s="8" t="str">
        <f>"33160"</f>
        <v>33160</v>
      </c>
      <c r="AK1275" t="s">
        <v>118</v>
      </c>
      <c r="AM1275" s="10">
        <v>13056925702</v>
      </c>
      <c r="AO1275" t="s">
        <v>6932</v>
      </c>
      <c r="AP1275" t="s">
        <v>248</v>
      </c>
      <c r="AQ1275" t="s">
        <v>960</v>
      </c>
      <c r="AR1275" t="s">
        <v>961</v>
      </c>
      <c r="AS1275" t="s">
        <v>962</v>
      </c>
      <c r="AT1275" t="s">
        <v>963</v>
      </c>
      <c r="AU1275" t="s">
        <v>296</v>
      </c>
      <c r="AV1275" t="s">
        <v>964</v>
      </c>
      <c r="AW1275" t="s">
        <v>127</v>
      </c>
      <c r="AX1275" s="8" t="str">
        <f>"75033"</f>
        <v>75033</v>
      </c>
      <c r="AY1275" t="s">
        <v>118</v>
      </c>
      <c r="BA1275" s="10">
        <v>19727789690</v>
      </c>
      <c r="BC1275" t="s">
        <v>1388</v>
      </c>
      <c r="BD1275" t="s">
        <v>966</v>
      </c>
      <c r="BG1275" t="s">
        <v>140</v>
      </c>
      <c r="BH1275" s="1">
        <v>45170.833333333336</v>
      </c>
      <c r="BI1275">
        <v>40</v>
      </c>
      <c r="BJ1275">
        <v>8</v>
      </c>
      <c r="BK1275">
        <v>8</v>
      </c>
      <c r="BL1275">
        <v>0</v>
      </c>
      <c r="BM1275">
        <v>8</v>
      </c>
      <c r="BN1275">
        <v>0</v>
      </c>
      <c r="BO1275">
        <v>8</v>
      </c>
      <c r="BP1275">
        <v>8</v>
      </c>
      <c r="BQ1275" t="str">
        <f>"7:00 AM"</f>
        <v>7:00 AM</v>
      </c>
      <c r="BR1275" t="str">
        <f>"3:30 PM"</f>
        <v>3:30 PM</v>
      </c>
      <c r="BS1275" t="s">
        <v>131</v>
      </c>
      <c r="BT1275">
        <v>0</v>
      </c>
      <c r="BU1275">
        <v>3</v>
      </c>
      <c r="BV1275" t="s">
        <v>114</v>
      </c>
      <c r="BX1275" s="2" t="s">
        <v>14165</v>
      </c>
      <c r="BY1275" t="s">
        <v>6929</v>
      </c>
      <c r="CA1275" t="s">
        <v>6930</v>
      </c>
      <c r="CB1275" t="s">
        <v>140</v>
      </c>
      <c r="CC1275" s="8" t="str">
        <f>"33160"</f>
        <v>33160</v>
      </c>
      <c r="CD1275" t="s">
        <v>148</v>
      </c>
      <c r="CE1275" t="s">
        <v>149</v>
      </c>
      <c r="CF1275" s="12">
        <v>14.77</v>
      </c>
      <c r="CG1275" s="12">
        <v>14.77</v>
      </c>
      <c r="CH1275" s="12">
        <v>22.16</v>
      </c>
      <c r="CI1275" s="12">
        <v>22.16</v>
      </c>
      <c r="CJ1275" t="s">
        <v>135</v>
      </c>
      <c r="CK1275" t="s">
        <v>973</v>
      </c>
      <c r="CL1275" t="s">
        <v>14166</v>
      </c>
      <c r="CO1275" t="s">
        <v>132</v>
      </c>
      <c r="CP1275" t="s">
        <v>114</v>
      </c>
      <c r="CQ1275" t="s">
        <v>114</v>
      </c>
      <c r="CR1275" t="s">
        <v>136</v>
      </c>
      <c r="CS1275" t="s">
        <v>136</v>
      </c>
      <c r="CT1275" t="s">
        <v>136</v>
      </c>
      <c r="CU1275" t="s">
        <v>136</v>
      </c>
      <c r="CV1275" s="2" t="s">
        <v>6935</v>
      </c>
      <c r="CW1275" s="10" t="str">
        <f>"+13056925702"</f>
        <v>+13056925702</v>
      </c>
      <c r="CX1275" t="s">
        <v>132</v>
      </c>
      <c r="CY1275" t="s">
        <v>6175</v>
      </c>
      <c r="CZ1275" t="s">
        <v>137</v>
      </c>
      <c r="DA1275" t="s">
        <v>114</v>
      </c>
      <c r="DB1275" t="s">
        <v>136</v>
      </c>
      <c r="DC1275" t="s">
        <v>136</v>
      </c>
      <c r="DD1275" t="s">
        <v>114</v>
      </c>
    </row>
    <row r="1276" spans="1:113" ht="15" customHeight="1" x14ac:dyDescent="0.25">
      <c r="A1276" t="s">
        <v>6926</v>
      </c>
      <c r="B1276" t="s">
        <v>152</v>
      </c>
      <c r="C1276" s="1">
        <v>45171.002321527776</v>
      </c>
      <c r="D1276" s="1">
        <v>45222</v>
      </c>
      <c r="E1276" t="s">
        <v>132</v>
      </c>
      <c r="F1276" t="s">
        <v>1059</v>
      </c>
      <c r="G1276" t="str">
        <f>"35-2014.00"</f>
        <v>35-2014.00</v>
      </c>
      <c r="H1276" t="s">
        <v>154</v>
      </c>
      <c r="I1276">
        <v>2</v>
      </c>
      <c r="J1276">
        <v>2</v>
      </c>
      <c r="K1276" s="1">
        <v>45261</v>
      </c>
      <c r="L1276" s="1">
        <v>45542</v>
      </c>
      <c r="M1276" s="1">
        <v>45261</v>
      </c>
      <c r="N1276" s="1">
        <v>45542</v>
      </c>
      <c r="O1276" t="s">
        <v>116</v>
      </c>
      <c r="P1276" t="s">
        <v>6927</v>
      </c>
      <c r="Q1276" t="s">
        <v>6928</v>
      </c>
      <c r="R1276" t="s">
        <v>6929</v>
      </c>
      <c r="T1276" t="s">
        <v>6930</v>
      </c>
      <c r="U1276" t="s">
        <v>140</v>
      </c>
      <c r="V1276" s="8" t="str">
        <f>"33160"</f>
        <v>33160</v>
      </c>
      <c r="W1276" t="s">
        <v>118</v>
      </c>
      <c r="Y1276" s="10">
        <v>13056925702</v>
      </c>
      <c r="AA1276">
        <v>72111</v>
      </c>
      <c r="AB1276" t="s">
        <v>6931</v>
      </c>
      <c r="AC1276" t="s">
        <v>6141</v>
      </c>
      <c r="AE1276" t="s">
        <v>1104</v>
      </c>
      <c r="AF1276" t="s">
        <v>6929</v>
      </c>
      <c r="AH1276" t="s">
        <v>6930</v>
      </c>
      <c r="AI1276" t="s">
        <v>140</v>
      </c>
      <c r="AJ1276" s="8" t="str">
        <f>"33160"</f>
        <v>33160</v>
      </c>
      <c r="AK1276" t="s">
        <v>118</v>
      </c>
      <c r="AM1276" s="10">
        <v>13056925702</v>
      </c>
      <c r="AO1276" t="s">
        <v>6932</v>
      </c>
      <c r="AP1276" t="s">
        <v>248</v>
      </c>
      <c r="AQ1276" t="s">
        <v>960</v>
      </c>
      <c r="AR1276" t="s">
        <v>961</v>
      </c>
      <c r="AS1276" t="s">
        <v>962</v>
      </c>
      <c r="AT1276" t="s">
        <v>963</v>
      </c>
      <c r="AU1276" t="s">
        <v>296</v>
      </c>
      <c r="AV1276" t="s">
        <v>964</v>
      </c>
      <c r="AW1276" t="s">
        <v>127</v>
      </c>
      <c r="AX1276" s="8" t="str">
        <f>"75033"</f>
        <v>75033</v>
      </c>
      <c r="AY1276" t="s">
        <v>118</v>
      </c>
      <c r="BA1276" s="10">
        <v>19727789690</v>
      </c>
      <c r="BC1276" t="s">
        <v>1388</v>
      </c>
      <c r="BD1276" t="s">
        <v>966</v>
      </c>
      <c r="BG1276" t="s">
        <v>140</v>
      </c>
      <c r="BH1276" s="1">
        <v>45170.833333333336</v>
      </c>
      <c r="BI1276">
        <v>40</v>
      </c>
      <c r="BJ1276">
        <v>8</v>
      </c>
      <c r="BK1276">
        <v>8</v>
      </c>
      <c r="BL1276">
        <v>0</v>
      </c>
      <c r="BM1276">
        <v>8</v>
      </c>
      <c r="BN1276">
        <v>0</v>
      </c>
      <c r="BO1276">
        <v>8</v>
      </c>
      <c r="BP1276">
        <v>8</v>
      </c>
      <c r="BQ1276" t="str">
        <f>"7:00 AM"</f>
        <v>7:00 AM</v>
      </c>
      <c r="BR1276" t="str">
        <f>"3:30 PM"</f>
        <v>3:30 PM</v>
      </c>
      <c r="BS1276" t="s">
        <v>131</v>
      </c>
      <c r="BT1276">
        <v>0</v>
      </c>
      <c r="BU1276">
        <v>0</v>
      </c>
      <c r="BV1276" t="s">
        <v>114</v>
      </c>
      <c r="BX1276" t="s">
        <v>6933</v>
      </c>
      <c r="BY1276" t="s">
        <v>6929</v>
      </c>
      <c r="CA1276" t="s">
        <v>6930</v>
      </c>
      <c r="CB1276" t="s">
        <v>140</v>
      </c>
      <c r="CC1276" s="8" t="str">
        <f>"33160"</f>
        <v>33160</v>
      </c>
      <c r="CD1276" t="s">
        <v>148</v>
      </c>
      <c r="CE1276" t="s">
        <v>149</v>
      </c>
      <c r="CF1276" s="12">
        <v>16.91</v>
      </c>
      <c r="CG1276" s="12">
        <v>16.91</v>
      </c>
      <c r="CH1276" s="12">
        <v>25.37</v>
      </c>
      <c r="CI1276" s="12">
        <v>25.37</v>
      </c>
      <c r="CJ1276" t="s">
        <v>135</v>
      </c>
      <c r="CK1276" t="s">
        <v>973</v>
      </c>
      <c r="CL1276" t="s">
        <v>6934</v>
      </c>
      <c r="CO1276" t="s">
        <v>132</v>
      </c>
      <c r="CP1276" t="s">
        <v>114</v>
      </c>
      <c r="CQ1276" t="s">
        <v>114</v>
      </c>
      <c r="CR1276" t="s">
        <v>136</v>
      </c>
      <c r="CS1276" t="s">
        <v>136</v>
      </c>
      <c r="CT1276" t="s">
        <v>136</v>
      </c>
      <c r="CU1276" t="s">
        <v>136</v>
      </c>
      <c r="CV1276" s="2" t="s">
        <v>6935</v>
      </c>
      <c r="CW1276" s="10" t="str">
        <f>"+13056925702"</f>
        <v>+13056925702</v>
      </c>
      <c r="CX1276" t="s">
        <v>132</v>
      </c>
      <c r="CY1276" t="s">
        <v>6175</v>
      </c>
      <c r="CZ1276" t="s">
        <v>137</v>
      </c>
      <c r="DA1276" t="s">
        <v>114</v>
      </c>
      <c r="DB1276" t="s">
        <v>136</v>
      </c>
      <c r="DC1276" t="s">
        <v>136</v>
      </c>
      <c r="DD1276" t="s">
        <v>114</v>
      </c>
    </row>
    <row r="1277" spans="1:113" ht="15" customHeight="1" x14ac:dyDescent="0.25">
      <c r="A1277" t="s">
        <v>15855</v>
      </c>
      <c r="B1277" t="s">
        <v>152</v>
      </c>
      <c r="C1277" s="1">
        <v>45171.002016203704</v>
      </c>
      <c r="D1277" s="1">
        <v>45222</v>
      </c>
      <c r="E1277" t="s">
        <v>132</v>
      </c>
      <c r="F1277" t="s">
        <v>5819</v>
      </c>
      <c r="G1277" t="str">
        <f>"39-6011.00"</f>
        <v>39-6011.00</v>
      </c>
      <c r="H1277" t="s">
        <v>3333</v>
      </c>
      <c r="I1277">
        <v>2</v>
      </c>
      <c r="J1277">
        <v>2</v>
      </c>
      <c r="K1277" s="1">
        <v>45261</v>
      </c>
      <c r="L1277" s="1">
        <v>45542</v>
      </c>
      <c r="M1277" s="1">
        <v>45261</v>
      </c>
      <c r="N1277" s="1">
        <v>45542</v>
      </c>
      <c r="O1277" t="s">
        <v>116</v>
      </c>
      <c r="P1277" t="s">
        <v>6927</v>
      </c>
      <c r="Q1277" t="s">
        <v>6928</v>
      </c>
      <c r="R1277" t="s">
        <v>6929</v>
      </c>
      <c r="T1277" t="s">
        <v>6930</v>
      </c>
      <c r="U1277" t="s">
        <v>140</v>
      </c>
      <c r="V1277" s="8" t="str">
        <f>"33160"</f>
        <v>33160</v>
      </c>
      <c r="W1277" t="s">
        <v>118</v>
      </c>
      <c r="Y1277" s="10">
        <v>13056925702</v>
      </c>
      <c r="AA1277">
        <v>72111</v>
      </c>
      <c r="AB1277" t="s">
        <v>6931</v>
      </c>
      <c r="AC1277" t="s">
        <v>6141</v>
      </c>
      <c r="AE1277" t="s">
        <v>1104</v>
      </c>
      <c r="AF1277" t="s">
        <v>6929</v>
      </c>
      <c r="AH1277" t="s">
        <v>6930</v>
      </c>
      <c r="AI1277" t="s">
        <v>140</v>
      </c>
      <c r="AJ1277" s="8" t="str">
        <f>"33160"</f>
        <v>33160</v>
      </c>
      <c r="AK1277" t="s">
        <v>118</v>
      </c>
      <c r="AM1277" s="10">
        <v>13056925702</v>
      </c>
      <c r="AO1277" t="s">
        <v>6932</v>
      </c>
      <c r="AP1277" t="s">
        <v>248</v>
      </c>
      <c r="AQ1277" t="s">
        <v>960</v>
      </c>
      <c r="AR1277" t="s">
        <v>961</v>
      </c>
      <c r="AS1277" t="s">
        <v>962</v>
      </c>
      <c r="AT1277" t="s">
        <v>963</v>
      </c>
      <c r="AU1277" t="s">
        <v>296</v>
      </c>
      <c r="AV1277" t="s">
        <v>964</v>
      </c>
      <c r="AW1277" t="s">
        <v>127</v>
      </c>
      <c r="AX1277" s="8" t="str">
        <f>"75033"</f>
        <v>75033</v>
      </c>
      <c r="AY1277" t="s">
        <v>118</v>
      </c>
      <c r="BA1277" s="10">
        <v>19727789690</v>
      </c>
      <c r="BC1277" t="s">
        <v>1388</v>
      </c>
      <c r="BD1277" t="s">
        <v>966</v>
      </c>
      <c r="BG1277" t="s">
        <v>140</v>
      </c>
      <c r="BH1277" s="1">
        <v>45170.833333333336</v>
      </c>
      <c r="BI1277">
        <v>40</v>
      </c>
      <c r="BJ1277">
        <v>8</v>
      </c>
      <c r="BK1277">
        <v>8</v>
      </c>
      <c r="BL1277">
        <v>0</v>
      </c>
      <c r="BM1277">
        <v>8</v>
      </c>
      <c r="BN1277">
        <v>0</v>
      </c>
      <c r="BO1277">
        <v>8</v>
      </c>
      <c r="BP1277">
        <v>8</v>
      </c>
      <c r="BQ1277" t="str">
        <f>"7:00 AM"</f>
        <v>7:00 AM</v>
      </c>
      <c r="BR1277" t="str">
        <f>"3:30 PM"</f>
        <v>3:30 PM</v>
      </c>
      <c r="BS1277" t="s">
        <v>131</v>
      </c>
      <c r="BT1277">
        <v>0</v>
      </c>
      <c r="BU1277">
        <v>0</v>
      </c>
      <c r="BV1277" t="s">
        <v>114</v>
      </c>
      <c r="BX1277" t="s">
        <v>6933</v>
      </c>
      <c r="BY1277" t="s">
        <v>6929</v>
      </c>
      <c r="CA1277" t="s">
        <v>6930</v>
      </c>
      <c r="CB1277" t="s">
        <v>140</v>
      </c>
      <c r="CC1277" s="8" t="str">
        <f>"33160"</f>
        <v>33160</v>
      </c>
      <c r="CD1277" t="s">
        <v>148</v>
      </c>
      <c r="CE1277" t="s">
        <v>149</v>
      </c>
      <c r="CF1277" s="12">
        <v>13.06</v>
      </c>
      <c r="CG1277" s="12">
        <v>13.06</v>
      </c>
      <c r="CH1277" s="12">
        <v>19.59</v>
      </c>
      <c r="CI1277" s="12">
        <v>19.59</v>
      </c>
      <c r="CJ1277" t="s">
        <v>135</v>
      </c>
      <c r="CK1277" t="s">
        <v>973</v>
      </c>
      <c r="CL1277" t="s">
        <v>15856</v>
      </c>
      <c r="CO1277" t="s">
        <v>132</v>
      </c>
      <c r="CP1277" t="s">
        <v>114</v>
      </c>
      <c r="CQ1277" t="s">
        <v>114</v>
      </c>
      <c r="CR1277" t="s">
        <v>136</v>
      </c>
      <c r="CS1277" t="s">
        <v>136</v>
      </c>
      <c r="CT1277" t="s">
        <v>136</v>
      </c>
      <c r="CU1277" t="s">
        <v>136</v>
      </c>
      <c r="CV1277" t="s">
        <v>15857</v>
      </c>
      <c r="CW1277" s="10" t="str">
        <f>"+13056925702"</f>
        <v>+13056925702</v>
      </c>
      <c r="CX1277" t="s">
        <v>132</v>
      </c>
      <c r="CY1277" t="s">
        <v>6175</v>
      </c>
      <c r="CZ1277" t="s">
        <v>137</v>
      </c>
      <c r="DA1277" t="s">
        <v>114</v>
      </c>
      <c r="DB1277" t="s">
        <v>136</v>
      </c>
      <c r="DC1277" t="s">
        <v>136</v>
      </c>
      <c r="DD1277" t="s">
        <v>114</v>
      </c>
    </row>
    <row r="1278" spans="1:113" ht="15" customHeight="1" x14ac:dyDescent="0.25">
      <c r="A1278" t="s">
        <v>6207</v>
      </c>
      <c r="B1278" t="s">
        <v>152</v>
      </c>
      <c r="C1278" s="1">
        <v>45167.66566875</v>
      </c>
      <c r="D1278" s="1">
        <v>45222</v>
      </c>
      <c r="E1278" t="s">
        <v>136</v>
      </c>
      <c r="F1278" t="s">
        <v>5204</v>
      </c>
      <c r="G1278" t="str">
        <f>"35-9021.00"</f>
        <v>35-9021.00</v>
      </c>
      <c r="H1278" t="s">
        <v>501</v>
      </c>
      <c r="I1278">
        <v>12</v>
      </c>
      <c r="J1278">
        <v>12</v>
      </c>
      <c r="K1278" s="1">
        <v>45255</v>
      </c>
      <c r="L1278" s="1">
        <v>45504</v>
      </c>
      <c r="M1278" s="1">
        <v>45255</v>
      </c>
      <c r="N1278" s="1">
        <v>45504</v>
      </c>
      <c r="O1278" t="s">
        <v>116</v>
      </c>
      <c r="P1278" t="s">
        <v>6208</v>
      </c>
      <c r="Q1278" t="s">
        <v>6209</v>
      </c>
      <c r="R1278" t="s">
        <v>6210</v>
      </c>
      <c r="T1278" t="s">
        <v>1371</v>
      </c>
      <c r="U1278" t="s">
        <v>550</v>
      </c>
      <c r="V1278" s="8" t="str">
        <f>"30066"</f>
        <v>30066</v>
      </c>
      <c r="W1278" t="s">
        <v>118</v>
      </c>
      <c r="Y1278" s="10">
        <v>16783542700</v>
      </c>
      <c r="AA1278">
        <v>72251</v>
      </c>
      <c r="AB1278" t="s">
        <v>6211</v>
      </c>
      <c r="AC1278" t="s">
        <v>6212</v>
      </c>
      <c r="AE1278" t="s">
        <v>6213</v>
      </c>
      <c r="AF1278" t="s">
        <v>6210</v>
      </c>
      <c r="AH1278" t="s">
        <v>1371</v>
      </c>
      <c r="AI1278" t="s">
        <v>550</v>
      </c>
      <c r="AJ1278" s="8" t="str">
        <f>"30066"</f>
        <v>30066</v>
      </c>
      <c r="AK1278" t="s">
        <v>118</v>
      </c>
      <c r="AM1278" s="10">
        <v>16783542700</v>
      </c>
      <c r="AO1278" t="s">
        <v>6214</v>
      </c>
      <c r="AP1278" t="s">
        <v>121</v>
      </c>
      <c r="AQ1278" t="s">
        <v>6215</v>
      </c>
      <c r="AR1278" t="s">
        <v>6216</v>
      </c>
      <c r="AT1278" t="s">
        <v>6217</v>
      </c>
      <c r="AU1278" t="s">
        <v>6218</v>
      </c>
      <c r="AV1278" t="s">
        <v>6219</v>
      </c>
      <c r="AW1278" t="s">
        <v>550</v>
      </c>
      <c r="AX1278" s="8" t="str">
        <f>"30024"</f>
        <v>30024</v>
      </c>
      <c r="AY1278" t="s">
        <v>118</v>
      </c>
      <c r="BA1278" s="10">
        <v>16786917905</v>
      </c>
      <c r="BC1278" t="s">
        <v>6220</v>
      </c>
      <c r="BD1278" t="s">
        <v>6221</v>
      </c>
      <c r="BE1278" t="s">
        <v>550</v>
      </c>
      <c r="BF1278" t="s">
        <v>6222</v>
      </c>
      <c r="BG1278" t="s">
        <v>550</v>
      </c>
      <c r="BH1278" s="1">
        <v>45166.833333333336</v>
      </c>
      <c r="BI1278">
        <v>40</v>
      </c>
      <c r="BJ1278">
        <v>0</v>
      </c>
      <c r="BK1278">
        <v>0</v>
      </c>
      <c r="BL1278">
        <v>8</v>
      </c>
      <c r="BM1278">
        <v>8</v>
      </c>
      <c r="BN1278">
        <v>8</v>
      </c>
      <c r="BO1278">
        <v>8</v>
      </c>
      <c r="BP1278">
        <v>8</v>
      </c>
      <c r="BQ1278" t="str">
        <f>"10:00 AM"</f>
        <v>10:00 AM</v>
      </c>
      <c r="BR1278" t="str">
        <f>"7:00 PM"</f>
        <v>7:00 PM</v>
      </c>
      <c r="BS1278" t="s">
        <v>131</v>
      </c>
      <c r="BT1278">
        <v>0</v>
      </c>
      <c r="BU1278">
        <v>0</v>
      </c>
      <c r="BV1278" t="s">
        <v>114</v>
      </c>
      <c r="BX1278" s="2" t="s">
        <v>6223</v>
      </c>
      <c r="BY1278" t="s">
        <v>6224</v>
      </c>
      <c r="BZ1278" t="s">
        <v>6225</v>
      </c>
      <c r="CA1278" t="s">
        <v>4570</v>
      </c>
      <c r="CB1278" t="s">
        <v>550</v>
      </c>
      <c r="CC1278" s="8" t="str">
        <f>"30329"</f>
        <v>30329</v>
      </c>
      <c r="CD1278" t="s">
        <v>4906</v>
      </c>
      <c r="CE1278" t="s">
        <v>552</v>
      </c>
      <c r="CF1278" s="12">
        <v>12.95</v>
      </c>
      <c r="CH1278" s="12">
        <v>19.43</v>
      </c>
      <c r="CJ1278" t="s">
        <v>135</v>
      </c>
      <c r="CL1278" t="s">
        <v>6226</v>
      </c>
      <c r="CO1278" t="s">
        <v>132</v>
      </c>
      <c r="CP1278" t="s">
        <v>114</v>
      </c>
      <c r="CQ1278" t="s">
        <v>114</v>
      </c>
      <c r="CR1278" t="s">
        <v>136</v>
      </c>
      <c r="CS1278" t="s">
        <v>114</v>
      </c>
      <c r="CT1278" t="s">
        <v>136</v>
      </c>
      <c r="CU1278" t="s">
        <v>114</v>
      </c>
      <c r="CV1278" t="s">
        <v>4299</v>
      </c>
      <c r="CW1278" s="10" t="str">
        <f>"+16783542700"</f>
        <v>+16783542700</v>
      </c>
      <c r="CX1278" t="s">
        <v>6214</v>
      </c>
      <c r="CY1278" t="s">
        <v>6227</v>
      </c>
      <c r="CZ1278" t="s">
        <v>137</v>
      </c>
      <c r="DA1278" t="s">
        <v>114</v>
      </c>
      <c r="DB1278" t="s">
        <v>114</v>
      </c>
      <c r="DC1278" t="s">
        <v>136</v>
      </c>
      <c r="DD1278" t="s">
        <v>114</v>
      </c>
    </row>
    <row r="1279" spans="1:113" ht="15" customHeight="1" x14ac:dyDescent="0.25">
      <c r="A1279" t="s">
        <v>18438</v>
      </c>
      <c r="B1279" t="s">
        <v>152</v>
      </c>
      <c r="C1279" s="1">
        <v>45166.661458333336</v>
      </c>
      <c r="D1279" s="1">
        <v>45222</v>
      </c>
      <c r="E1279" t="s">
        <v>114</v>
      </c>
      <c r="F1279" t="s">
        <v>7945</v>
      </c>
      <c r="G1279" t="str">
        <f>"51-3022.00"</f>
        <v>51-3022.00</v>
      </c>
      <c r="H1279" t="s">
        <v>1004</v>
      </c>
      <c r="I1279">
        <v>125</v>
      </c>
      <c r="J1279">
        <v>125</v>
      </c>
      <c r="K1279" s="1">
        <v>45255</v>
      </c>
      <c r="L1279" s="1">
        <v>45488</v>
      </c>
      <c r="M1279" s="1">
        <v>45255</v>
      </c>
      <c r="N1279" s="1">
        <v>45488</v>
      </c>
      <c r="O1279" t="s">
        <v>238</v>
      </c>
      <c r="P1279" t="s">
        <v>18439</v>
      </c>
      <c r="R1279" t="s">
        <v>18440</v>
      </c>
      <c r="T1279" t="s">
        <v>6152</v>
      </c>
      <c r="U1279" t="s">
        <v>333</v>
      </c>
      <c r="V1279" s="8" t="str">
        <f>"70526"</f>
        <v>70526</v>
      </c>
      <c r="W1279" t="s">
        <v>118</v>
      </c>
      <c r="Y1279" s="10">
        <v>13377850999</v>
      </c>
      <c r="AA1279">
        <v>31171</v>
      </c>
      <c r="AB1279" t="s">
        <v>18441</v>
      </c>
      <c r="AC1279" t="s">
        <v>708</v>
      </c>
      <c r="AE1279" t="s">
        <v>561</v>
      </c>
      <c r="AF1279" t="s">
        <v>18440</v>
      </c>
      <c r="AH1279" t="s">
        <v>6152</v>
      </c>
      <c r="AI1279" t="s">
        <v>333</v>
      </c>
      <c r="AJ1279" s="8" t="str">
        <f>"70526"</f>
        <v>70526</v>
      </c>
      <c r="AK1279" t="s">
        <v>118</v>
      </c>
      <c r="AM1279" s="10">
        <v>13377833524</v>
      </c>
      <c r="AO1279" t="s">
        <v>18442</v>
      </c>
      <c r="AP1279" t="s">
        <v>121</v>
      </c>
      <c r="AQ1279" t="s">
        <v>11587</v>
      </c>
      <c r="AR1279" t="s">
        <v>5623</v>
      </c>
      <c r="AS1279" t="s">
        <v>2787</v>
      </c>
      <c r="AT1279" t="s">
        <v>7421</v>
      </c>
      <c r="AU1279" t="s">
        <v>7422</v>
      </c>
      <c r="AV1279" t="s">
        <v>3501</v>
      </c>
      <c r="AW1279" t="s">
        <v>127</v>
      </c>
      <c r="AX1279" s="8" t="str">
        <f>"75082"</f>
        <v>75082</v>
      </c>
      <c r="AY1279" t="s">
        <v>118</v>
      </c>
      <c r="BA1279" s="10">
        <v>14699624396</v>
      </c>
      <c r="BC1279" t="s">
        <v>11588</v>
      </c>
      <c r="BD1279" t="s">
        <v>7424</v>
      </c>
      <c r="BE1279" t="s">
        <v>375</v>
      </c>
      <c r="BF1279" t="s">
        <v>1223</v>
      </c>
      <c r="BG1279" t="s">
        <v>333</v>
      </c>
      <c r="BH1279" s="1">
        <v>45162.833333333336</v>
      </c>
      <c r="BI1279">
        <v>40</v>
      </c>
      <c r="BJ1279">
        <v>0</v>
      </c>
      <c r="BK1279">
        <v>8</v>
      </c>
      <c r="BL1279">
        <v>8</v>
      </c>
      <c r="BM1279">
        <v>8</v>
      </c>
      <c r="BN1279">
        <v>8</v>
      </c>
      <c r="BO1279">
        <v>8</v>
      </c>
      <c r="BP1279">
        <v>0</v>
      </c>
      <c r="BQ1279" t="str">
        <f>"7:00 AM"</f>
        <v>7:00 AM</v>
      </c>
      <c r="BR1279" t="str">
        <f>"4:00 PM"</f>
        <v>4:00 PM</v>
      </c>
      <c r="BS1279" t="s">
        <v>131</v>
      </c>
      <c r="BT1279">
        <v>0</v>
      </c>
      <c r="BU1279">
        <v>3</v>
      </c>
      <c r="BV1279" t="s">
        <v>114</v>
      </c>
      <c r="BX1279" s="2" t="s">
        <v>18443</v>
      </c>
      <c r="BY1279" t="s">
        <v>18440</v>
      </c>
      <c r="CA1279" t="s">
        <v>6152</v>
      </c>
      <c r="CB1279" t="s">
        <v>333</v>
      </c>
      <c r="CC1279" s="8" t="str">
        <f>"70526"</f>
        <v>70526</v>
      </c>
      <c r="CD1279" t="s">
        <v>6328</v>
      </c>
      <c r="CE1279" t="s">
        <v>1818</v>
      </c>
      <c r="CF1279" s="12">
        <v>12.63</v>
      </c>
      <c r="CG1279" s="12">
        <v>12.63</v>
      </c>
      <c r="CH1279" s="12">
        <v>18.95</v>
      </c>
      <c r="CI1279" s="12">
        <v>18.95</v>
      </c>
      <c r="CJ1279" t="s">
        <v>135</v>
      </c>
      <c r="CK1279" t="s">
        <v>18444</v>
      </c>
      <c r="CL1279" t="s">
        <v>18445</v>
      </c>
      <c r="CO1279" t="s">
        <v>132</v>
      </c>
      <c r="CP1279" t="s">
        <v>136</v>
      </c>
      <c r="CQ1279" t="s">
        <v>136</v>
      </c>
      <c r="CR1279" t="s">
        <v>136</v>
      </c>
      <c r="CS1279" t="s">
        <v>114</v>
      </c>
      <c r="CT1279" t="s">
        <v>136</v>
      </c>
      <c r="CU1279" t="s">
        <v>136</v>
      </c>
      <c r="CV1279" s="2" t="s">
        <v>18446</v>
      </c>
      <c r="CW1279" s="10" t="str">
        <f>"+13377850999"</f>
        <v>+13377850999</v>
      </c>
      <c r="CX1279" t="s">
        <v>18447</v>
      </c>
      <c r="CY1279" t="s">
        <v>132</v>
      </c>
      <c r="CZ1279" t="s">
        <v>137</v>
      </c>
      <c r="DA1279" t="s">
        <v>114</v>
      </c>
      <c r="DB1279" t="s">
        <v>114</v>
      </c>
      <c r="DC1279" t="s">
        <v>136</v>
      </c>
      <c r="DD1279" t="s">
        <v>114</v>
      </c>
      <c r="DE1279" t="s">
        <v>7425</v>
      </c>
      <c r="DF1279" t="s">
        <v>2001</v>
      </c>
      <c r="DG1279" t="s">
        <v>3587</v>
      </c>
      <c r="DH1279" t="s">
        <v>11594</v>
      </c>
      <c r="DI1279" t="s">
        <v>7426</v>
      </c>
    </row>
    <row r="1280" spans="1:113" ht="15" customHeight="1" x14ac:dyDescent="0.25">
      <c r="A1280" t="s">
        <v>13126</v>
      </c>
      <c r="B1280" t="s">
        <v>152</v>
      </c>
      <c r="C1280" s="1">
        <v>45166.634435416665</v>
      </c>
      <c r="D1280" s="1">
        <v>45222</v>
      </c>
      <c r="E1280" t="s">
        <v>114</v>
      </c>
      <c r="F1280" t="s">
        <v>3544</v>
      </c>
      <c r="G1280" t="str">
        <f>"51-3022.00"</f>
        <v>51-3022.00</v>
      </c>
      <c r="H1280" t="s">
        <v>1004</v>
      </c>
      <c r="I1280">
        <v>60</v>
      </c>
      <c r="J1280">
        <v>60</v>
      </c>
      <c r="K1280" s="1">
        <v>45255</v>
      </c>
      <c r="L1280" s="1">
        <v>45458</v>
      </c>
      <c r="M1280" s="1">
        <v>45255</v>
      </c>
      <c r="N1280" s="1">
        <v>45458</v>
      </c>
      <c r="O1280" t="s">
        <v>238</v>
      </c>
      <c r="P1280" t="s">
        <v>13127</v>
      </c>
      <c r="R1280" t="s">
        <v>13128</v>
      </c>
      <c r="T1280" t="s">
        <v>10190</v>
      </c>
      <c r="U1280" t="s">
        <v>333</v>
      </c>
      <c r="V1280" s="8" t="str">
        <f>"70554"</f>
        <v>70554</v>
      </c>
      <c r="W1280" t="s">
        <v>118</v>
      </c>
      <c r="Y1280" s="10">
        <v>13377897560</v>
      </c>
      <c r="AA1280">
        <v>31171</v>
      </c>
      <c r="AB1280" t="s">
        <v>13129</v>
      </c>
      <c r="AC1280" t="s">
        <v>13130</v>
      </c>
      <c r="AD1280" t="s">
        <v>13131</v>
      </c>
      <c r="AE1280" t="s">
        <v>2405</v>
      </c>
      <c r="AF1280" t="s">
        <v>13128</v>
      </c>
      <c r="AH1280" t="s">
        <v>10190</v>
      </c>
      <c r="AI1280" t="s">
        <v>333</v>
      </c>
      <c r="AJ1280" s="8" t="str">
        <f>"70554"</f>
        <v>70554</v>
      </c>
      <c r="AK1280" t="s">
        <v>118</v>
      </c>
      <c r="AM1280" s="10">
        <v>13377897560</v>
      </c>
      <c r="AO1280" t="s">
        <v>13132</v>
      </c>
      <c r="AP1280" t="s">
        <v>121</v>
      </c>
      <c r="AQ1280" t="s">
        <v>11587</v>
      </c>
      <c r="AR1280" t="s">
        <v>5623</v>
      </c>
      <c r="AS1280" t="s">
        <v>2787</v>
      </c>
      <c r="AT1280" t="s">
        <v>7421</v>
      </c>
      <c r="AU1280" t="s">
        <v>7422</v>
      </c>
      <c r="AV1280" t="s">
        <v>3501</v>
      </c>
      <c r="AW1280" t="s">
        <v>127</v>
      </c>
      <c r="AX1280" s="8" t="str">
        <f>"75082"</f>
        <v>75082</v>
      </c>
      <c r="AY1280" t="s">
        <v>118</v>
      </c>
      <c r="BA1280" s="10">
        <v>14699624396</v>
      </c>
      <c r="BC1280" t="s">
        <v>11588</v>
      </c>
      <c r="BD1280" t="s">
        <v>7424</v>
      </c>
      <c r="BE1280" t="s">
        <v>375</v>
      </c>
      <c r="BF1280" t="s">
        <v>1223</v>
      </c>
      <c r="BG1280" t="s">
        <v>333</v>
      </c>
      <c r="BH1280" s="1">
        <v>45154.833333333336</v>
      </c>
      <c r="BI1280">
        <v>40</v>
      </c>
      <c r="BJ1280">
        <v>0</v>
      </c>
      <c r="BK1280">
        <v>8</v>
      </c>
      <c r="BL1280">
        <v>8</v>
      </c>
      <c r="BM1280">
        <v>8</v>
      </c>
      <c r="BN1280">
        <v>8</v>
      </c>
      <c r="BO1280">
        <v>8</v>
      </c>
      <c r="BP1280">
        <v>0</v>
      </c>
      <c r="BQ1280" t="str">
        <f>"6:00 AM"</f>
        <v>6:00 AM</v>
      </c>
      <c r="BR1280" t="str">
        <f>"3:00 PM"</f>
        <v>3:00 PM</v>
      </c>
      <c r="BS1280" t="s">
        <v>131</v>
      </c>
      <c r="BT1280">
        <v>0</v>
      </c>
      <c r="BU1280">
        <v>0</v>
      </c>
      <c r="BV1280" t="s">
        <v>114</v>
      </c>
      <c r="BX1280" t="s">
        <v>13133</v>
      </c>
      <c r="BY1280" t="s">
        <v>13128</v>
      </c>
      <c r="CA1280" t="s">
        <v>10190</v>
      </c>
      <c r="CB1280" t="s">
        <v>333</v>
      </c>
      <c r="CC1280" s="8" t="str">
        <f>"70554"</f>
        <v>70554</v>
      </c>
      <c r="CD1280" t="s">
        <v>10195</v>
      </c>
      <c r="CE1280" t="s">
        <v>4268</v>
      </c>
      <c r="CF1280" s="12">
        <v>13.24</v>
      </c>
      <c r="CG1280" s="12">
        <v>13.24</v>
      </c>
      <c r="CH1280" s="12">
        <v>19.86</v>
      </c>
      <c r="CI1280" s="12">
        <v>19.86</v>
      </c>
      <c r="CJ1280" t="s">
        <v>135</v>
      </c>
      <c r="CK1280" t="s">
        <v>13134</v>
      </c>
      <c r="CL1280" t="s">
        <v>13135</v>
      </c>
      <c r="CO1280" t="s">
        <v>132</v>
      </c>
      <c r="CP1280" t="s">
        <v>114</v>
      </c>
      <c r="CQ1280" t="s">
        <v>136</v>
      </c>
      <c r="CR1280" t="s">
        <v>136</v>
      </c>
      <c r="CS1280" t="s">
        <v>114</v>
      </c>
      <c r="CT1280" t="s">
        <v>136</v>
      </c>
      <c r="CU1280" t="s">
        <v>136</v>
      </c>
      <c r="CV1280" t="s">
        <v>13136</v>
      </c>
      <c r="CW1280" s="10" t="str">
        <f>"+13377897560"</f>
        <v>+13377897560</v>
      </c>
      <c r="CX1280" t="s">
        <v>13132</v>
      </c>
      <c r="CY1280" t="s">
        <v>132</v>
      </c>
      <c r="CZ1280" t="s">
        <v>137</v>
      </c>
      <c r="DA1280" t="s">
        <v>114</v>
      </c>
      <c r="DB1280" t="s">
        <v>136</v>
      </c>
      <c r="DC1280" t="s">
        <v>136</v>
      </c>
      <c r="DD1280" t="s">
        <v>114</v>
      </c>
      <c r="DE1280" t="s">
        <v>7425</v>
      </c>
      <c r="DF1280" t="s">
        <v>2001</v>
      </c>
      <c r="DG1280" t="s">
        <v>3587</v>
      </c>
      <c r="DH1280" t="s">
        <v>11594</v>
      </c>
      <c r="DI1280" t="s">
        <v>7426</v>
      </c>
    </row>
    <row r="1281" spans="1:113" ht="15" customHeight="1" x14ac:dyDescent="0.25">
      <c r="A1281" t="s">
        <v>19742</v>
      </c>
      <c r="B1281" t="s">
        <v>152</v>
      </c>
      <c r="C1281" s="1">
        <v>45163.477357638891</v>
      </c>
      <c r="D1281" s="1">
        <v>45222</v>
      </c>
      <c r="E1281" t="s">
        <v>114</v>
      </c>
      <c r="F1281" t="s">
        <v>10795</v>
      </c>
      <c r="G1281" t="str">
        <f>"37-2012.00"</f>
        <v>37-2012.00</v>
      </c>
      <c r="H1281" t="s">
        <v>205</v>
      </c>
      <c r="I1281">
        <v>65</v>
      </c>
      <c r="J1281">
        <v>65</v>
      </c>
      <c r="K1281" s="1">
        <v>45246</v>
      </c>
      <c r="L1281" s="1">
        <v>45520</v>
      </c>
      <c r="M1281" s="1">
        <v>45246</v>
      </c>
      <c r="N1281" s="1">
        <v>45520</v>
      </c>
      <c r="O1281" t="s">
        <v>238</v>
      </c>
      <c r="P1281" t="s">
        <v>10246</v>
      </c>
      <c r="Q1281" t="s">
        <v>10246</v>
      </c>
      <c r="R1281" t="s">
        <v>10247</v>
      </c>
      <c r="S1281" t="s">
        <v>10796</v>
      </c>
      <c r="T1281" t="s">
        <v>2773</v>
      </c>
      <c r="U1281" t="s">
        <v>140</v>
      </c>
      <c r="V1281" s="8" t="str">
        <f>"32408"</f>
        <v>32408</v>
      </c>
      <c r="W1281" t="s">
        <v>118</v>
      </c>
      <c r="Y1281" s="10">
        <v>17864929774</v>
      </c>
      <c r="AA1281">
        <v>561720</v>
      </c>
      <c r="AB1281" t="s">
        <v>10248</v>
      </c>
      <c r="AC1281" t="s">
        <v>10249</v>
      </c>
      <c r="AE1281" t="s">
        <v>629</v>
      </c>
      <c r="AF1281" t="s">
        <v>10247</v>
      </c>
      <c r="AH1281" t="s">
        <v>2773</v>
      </c>
      <c r="AI1281" t="s">
        <v>140</v>
      </c>
      <c r="AJ1281" s="8" t="str">
        <f>"32408"</f>
        <v>32408</v>
      </c>
      <c r="AK1281" t="s">
        <v>118</v>
      </c>
      <c r="AM1281" s="10">
        <v>17864929774</v>
      </c>
      <c r="AO1281" t="s">
        <v>10250</v>
      </c>
      <c r="AX1281" s="8" t="str">
        <f>""</f>
        <v/>
      </c>
      <c r="BG1281" t="s">
        <v>140</v>
      </c>
      <c r="BH1281" s="1">
        <v>45158.833333333336</v>
      </c>
      <c r="BI1281">
        <v>35</v>
      </c>
      <c r="BJ1281">
        <v>5</v>
      </c>
      <c r="BK1281">
        <v>5</v>
      </c>
      <c r="BL1281">
        <v>5</v>
      </c>
      <c r="BM1281">
        <v>5</v>
      </c>
      <c r="BN1281">
        <v>5</v>
      </c>
      <c r="BO1281">
        <v>5</v>
      </c>
      <c r="BP1281">
        <v>5</v>
      </c>
      <c r="BQ1281" t="str">
        <f>"8:00 AM"</f>
        <v>8:00 AM</v>
      </c>
      <c r="BR1281" t="str">
        <f>"4:00 PM"</f>
        <v>4:00 PM</v>
      </c>
      <c r="BS1281" t="s">
        <v>131</v>
      </c>
      <c r="BT1281">
        <v>0</v>
      </c>
      <c r="BU1281">
        <v>1</v>
      </c>
      <c r="BV1281" t="s">
        <v>114</v>
      </c>
      <c r="BX1281" s="2" t="s">
        <v>10799</v>
      </c>
      <c r="BY1281" t="s">
        <v>19743</v>
      </c>
      <c r="CA1281" t="s">
        <v>19744</v>
      </c>
      <c r="CB1281" t="s">
        <v>140</v>
      </c>
      <c r="CC1281" s="8" t="str">
        <f>"34228"</f>
        <v>34228</v>
      </c>
      <c r="CD1281" t="s">
        <v>6059</v>
      </c>
      <c r="CE1281" t="s">
        <v>1730</v>
      </c>
      <c r="CF1281" s="12">
        <v>13.46</v>
      </c>
      <c r="CG1281" s="12">
        <v>16</v>
      </c>
      <c r="CH1281" s="12">
        <v>20.190000000000001</v>
      </c>
      <c r="CI1281" s="12">
        <v>24</v>
      </c>
      <c r="CJ1281" t="s">
        <v>135</v>
      </c>
      <c r="CK1281" t="s">
        <v>10253</v>
      </c>
      <c r="CL1281" t="s">
        <v>19745</v>
      </c>
      <c r="CO1281" t="s">
        <v>132</v>
      </c>
      <c r="CP1281" t="s">
        <v>136</v>
      </c>
      <c r="CQ1281" t="s">
        <v>114</v>
      </c>
      <c r="CR1281" t="s">
        <v>136</v>
      </c>
      <c r="CS1281" t="s">
        <v>114</v>
      </c>
      <c r="CT1281" t="s">
        <v>136</v>
      </c>
      <c r="CU1281" t="s">
        <v>136</v>
      </c>
      <c r="CV1281" s="2" t="s">
        <v>10802</v>
      </c>
      <c r="CW1281" s="10" t="str">
        <f>"+17869429774"</f>
        <v>+17869429774</v>
      </c>
      <c r="CX1281" t="s">
        <v>10256</v>
      </c>
      <c r="CY1281" t="s">
        <v>132</v>
      </c>
      <c r="CZ1281" t="s">
        <v>137</v>
      </c>
      <c r="DA1281" t="s">
        <v>114</v>
      </c>
      <c r="DB1281" t="s">
        <v>114</v>
      </c>
      <c r="DC1281" t="s">
        <v>114</v>
      </c>
      <c r="DD1281" t="s">
        <v>114</v>
      </c>
    </row>
    <row r="1282" spans="1:113" ht="15" customHeight="1" x14ac:dyDescent="0.25">
      <c r="A1282" t="s">
        <v>10542</v>
      </c>
      <c r="B1282" t="s">
        <v>152</v>
      </c>
      <c r="C1282" s="1">
        <v>45162.714765509256</v>
      </c>
      <c r="D1282" s="1">
        <v>45222</v>
      </c>
      <c r="E1282" t="s">
        <v>114</v>
      </c>
      <c r="F1282" t="s">
        <v>10543</v>
      </c>
      <c r="G1282" t="str">
        <f>"37-2012.00"</f>
        <v>37-2012.00</v>
      </c>
      <c r="H1282" t="s">
        <v>205</v>
      </c>
      <c r="I1282">
        <v>30</v>
      </c>
      <c r="J1282">
        <v>30</v>
      </c>
      <c r="K1282" s="1">
        <v>45251</v>
      </c>
      <c r="L1282" s="1">
        <v>45395</v>
      </c>
      <c r="M1282" s="1">
        <v>45251</v>
      </c>
      <c r="N1282" s="1">
        <v>45395</v>
      </c>
      <c r="O1282" t="s">
        <v>238</v>
      </c>
      <c r="P1282" t="s">
        <v>6777</v>
      </c>
      <c r="Q1282" t="s">
        <v>6778</v>
      </c>
      <c r="R1282" t="s">
        <v>6779</v>
      </c>
      <c r="S1282" t="s">
        <v>10544</v>
      </c>
      <c r="T1282" t="s">
        <v>6781</v>
      </c>
      <c r="U1282" t="s">
        <v>584</v>
      </c>
      <c r="V1282" s="8" t="str">
        <f>"83025"</f>
        <v>83025</v>
      </c>
      <c r="W1282" t="s">
        <v>118</v>
      </c>
      <c r="Y1282" s="10">
        <v>14018450900</v>
      </c>
      <c r="AA1282">
        <v>72111</v>
      </c>
      <c r="AB1282" t="s">
        <v>6782</v>
      </c>
      <c r="AC1282" t="s">
        <v>2167</v>
      </c>
      <c r="AD1282" t="s">
        <v>1217</v>
      </c>
      <c r="AE1282" t="s">
        <v>6783</v>
      </c>
      <c r="AF1282" t="s">
        <v>6779</v>
      </c>
      <c r="AG1282" t="s">
        <v>10544</v>
      </c>
      <c r="AH1282" t="s">
        <v>6781</v>
      </c>
      <c r="AI1282" t="s">
        <v>584</v>
      </c>
      <c r="AJ1282" s="8" t="str">
        <f>"83025"</f>
        <v>83025</v>
      </c>
      <c r="AK1282" t="s">
        <v>118</v>
      </c>
      <c r="AM1282" s="10">
        <v>14018450900</v>
      </c>
      <c r="AO1282" t="s">
        <v>6784</v>
      </c>
      <c r="AP1282" t="s">
        <v>248</v>
      </c>
      <c r="AQ1282" t="s">
        <v>577</v>
      </c>
      <c r="AR1282" t="s">
        <v>578</v>
      </c>
      <c r="AT1282" t="s">
        <v>579</v>
      </c>
      <c r="AV1282" t="s">
        <v>580</v>
      </c>
      <c r="AW1282" t="s">
        <v>581</v>
      </c>
      <c r="AX1282" s="8" t="str">
        <f>"22903"</f>
        <v>22903</v>
      </c>
      <c r="AY1282" t="s">
        <v>118</v>
      </c>
      <c r="BA1282" s="10">
        <v>14342634300</v>
      </c>
      <c r="BC1282" t="s">
        <v>2271</v>
      </c>
      <c r="BD1282" t="s">
        <v>583</v>
      </c>
      <c r="BG1282" t="s">
        <v>584</v>
      </c>
      <c r="BH1282" s="1">
        <v>45161.833333333336</v>
      </c>
      <c r="BI1282">
        <v>35</v>
      </c>
      <c r="BJ1282">
        <v>0</v>
      </c>
      <c r="BK1282">
        <v>7</v>
      </c>
      <c r="BL1282">
        <v>7</v>
      </c>
      <c r="BM1282">
        <v>7</v>
      </c>
      <c r="BN1282">
        <v>7</v>
      </c>
      <c r="BO1282">
        <v>7</v>
      </c>
      <c r="BP1282">
        <v>0</v>
      </c>
      <c r="BQ1282" t="str">
        <f>"9:00 AM"</f>
        <v>9:00 AM</v>
      </c>
      <c r="BR1282" t="str">
        <f>"4:00 PM"</f>
        <v>4:00 PM</v>
      </c>
      <c r="BS1282" t="s">
        <v>131</v>
      </c>
      <c r="BT1282">
        <v>0</v>
      </c>
      <c r="BU1282">
        <v>0</v>
      </c>
      <c r="BV1282" t="s">
        <v>114</v>
      </c>
      <c r="BX1282" s="2" t="s">
        <v>10545</v>
      </c>
      <c r="BY1282" t="s">
        <v>6786</v>
      </c>
      <c r="CA1282" t="s">
        <v>6781</v>
      </c>
      <c r="CB1282" t="s">
        <v>584</v>
      </c>
      <c r="CC1282" s="8" t="str">
        <f>"83025"</f>
        <v>83025</v>
      </c>
      <c r="CD1282" t="s">
        <v>588</v>
      </c>
      <c r="CE1282" t="s">
        <v>589</v>
      </c>
      <c r="CF1282" s="12">
        <v>25</v>
      </c>
      <c r="CH1282" s="12">
        <v>37.5</v>
      </c>
      <c r="CJ1282" t="s">
        <v>135</v>
      </c>
      <c r="CK1282" t="s">
        <v>590</v>
      </c>
      <c r="CL1282" t="s">
        <v>10546</v>
      </c>
      <c r="CO1282" t="s">
        <v>132</v>
      </c>
      <c r="CP1282" t="s">
        <v>136</v>
      </c>
      <c r="CQ1282" t="s">
        <v>136</v>
      </c>
      <c r="CR1282" t="s">
        <v>136</v>
      </c>
      <c r="CS1282" t="s">
        <v>136</v>
      </c>
      <c r="CT1282" t="s">
        <v>136</v>
      </c>
      <c r="CU1282" t="s">
        <v>136</v>
      </c>
      <c r="CV1282" t="s">
        <v>10547</v>
      </c>
      <c r="CW1282" s="10" t="str">
        <f>"N/A"</f>
        <v>N/A</v>
      </c>
      <c r="CX1282" t="s">
        <v>6789</v>
      </c>
      <c r="CY1282" t="s">
        <v>594</v>
      </c>
      <c r="CZ1282" t="s">
        <v>137</v>
      </c>
      <c r="DA1282" t="s">
        <v>114</v>
      </c>
      <c r="DB1282" t="s">
        <v>136</v>
      </c>
      <c r="DC1282" t="s">
        <v>136</v>
      </c>
      <c r="DD1282" t="s">
        <v>114</v>
      </c>
      <c r="DE1282" t="s">
        <v>2273</v>
      </c>
      <c r="DF1282" t="s">
        <v>1069</v>
      </c>
      <c r="DH1282" t="s">
        <v>583</v>
      </c>
      <c r="DI1282" t="s">
        <v>2271</v>
      </c>
    </row>
    <row r="1283" spans="1:113" ht="15" customHeight="1" x14ac:dyDescent="0.25">
      <c r="A1283" t="s">
        <v>17018</v>
      </c>
      <c r="B1283" t="s">
        <v>152</v>
      </c>
      <c r="C1283" s="1">
        <v>45162.711251157409</v>
      </c>
      <c r="D1283" s="1">
        <v>45222</v>
      </c>
      <c r="E1283" t="s">
        <v>114</v>
      </c>
      <c r="F1283" t="s">
        <v>5384</v>
      </c>
      <c r="G1283" t="str">
        <f>"39-6011.00"</f>
        <v>39-6011.00</v>
      </c>
      <c r="H1283" t="s">
        <v>3333</v>
      </c>
      <c r="I1283">
        <v>6</v>
      </c>
      <c r="J1283">
        <v>6</v>
      </c>
      <c r="K1283" s="1">
        <v>45251</v>
      </c>
      <c r="L1283" s="1">
        <v>45395</v>
      </c>
      <c r="M1283" s="1">
        <v>45251</v>
      </c>
      <c r="N1283" s="1">
        <v>45395</v>
      </c>
      <c r="O1283" t="s">
        <v>238</v>
      </c>
      <c r="P1283" t="s">
        <v>6777</v>
      </c>
      <c r="Q1283" t="s">
        <v>6778</v>
      </c>
      <c r="R1283" t="s">
        <v>6779</v>
      </c>
      <c r="S1283" t="s">
        <v>10544</v>
      </c>
      <c r="T1283" t="s">
        <v>6781</v>
      </c>
      <c r="U1283" t="s">
        <v>584</v>
      </c>
      <c r="V1283" s="8" t="str">
        <f>"83025"</f>
        <v>83025</v>
      </c>
      <c r="W1283" t="s">
        <v>118</v>
      </c>
      <c r="Y1283" s="10">
        <v>14018450900</v>
      </c>
      <c r="AA1283">
        <v>72111</v>
      </c>
      <c r="AB1283" t="s">
        <v>6782</v>
      </c>
      <c r="AC1283" t="s">
        <v>2167</v>
      </c>
      <c r="AD1283" t="s">
        <v>1217</v>
      </c>
      <c r="AE1283" t="s">
        <v>6783</v>
      </c>
      <c r="AF1283" t="s">
        <v>6779</v>
      </c>
      <c r="AG1283" t="s">
        <v>10544</v>
      </c>
      <c r="AH1283" t="s">
        <v>6781</v>
      </c>
      <c r="AI1283" t="s">
        <v>584</v>
      </c>
      <c r="AJ1283" s="8" t="str">
        <f>"83025"</f>
        <v>83025</v>
      </c>
      <c r="AK1283" t="s">
        <v>118</v>
      </c>
      <c r="AM1283" s="10">
        <v>14018450900</v>
      </c>
      <c r="AO1283" t="s">
        <v>6784</v>
      </c>
      <c r="AP1283" t="s">
        <v>248</v>
      </c>
      <c r="AQ1283" t="s">
        <v>577</v>
      </c>
      <c r="AR1283" t="s">
        <v>578</v>
      </c>
      <c r="AT1283" t="s">
        <v>579</v>
      </c>
      <c r="AV1283" t="s">
        <v>580</v>
      </c>
      <c r="AW1283" t="s">
        <v>581</v>
      </c>
      <c r="AX1283" s="8" t="str">
        <f>"22903"</f>
        <v>22903</v>
      </c>
      <c r="AY1283" t="s">
        <v>118</v>
      </c>
      <c r="BA1283" s="10">
        <v>14342634300</v>
      </c>
      <c r="BC1283" t="s">
        <v>2271</v>
      </c>
      <c r="BD1283" t="s">
        <v>583</v>
      </c>
      <c r="BG1283" t="s">
        <v>584</v>
      </c>
      <c r="BH1283" s="1">
        <v>45161.833333333336</v>
      </c>
      <c r="BI1283">
        <v>35</v>
      </c>
      <c r="BJ1283">
        <v>0</v>
      </c>
      <c r="BK1283">
        <v>7</v>
      </c>
      <c r="BL1283">
        <v>7</v>
      </c>
      <c r="BM1283">
        <v>7</v>
      </c>
      <c r="BN1283">
        <v>7</v>
      </c>
      <c r="BO1283">
        <v>7</v>
      </c>
      <c r="BP1283">
        <v>0</v>
      </c>
      <c r="BQ1283" t="str">
        <f>"7:00 AM"</f>
        <v>7:00 AM</v>
      </c>
      <c r="BR1283" t="str">
        <f>"2:30 PM"</f>
        <v>2:30 PM</v>
      </c>
      <c r="BS1283" t="s">
        <v>131</v>
      </c>
      <c r="BT1283">
        <v>0</v>
      </c>
      <c r="BU1283">
        <v>0</v>
      </c>
      <c r="BV1283" t="s">
        <v>114</v>
      </c>
      <c r="BX1283" s="2" t="s">
        <v>17019</v>
      </c>
      <c r="BY1283" t="s">
        <v>6786</v>
      </c>
      <c r="CA1283" t="s">
        <v>6781</v>
      </c>
      <c r="CB1283" t="s">
        <v>584</v>
      </c>
      <c r="CC1283" s="8" t="str">
        <f>"83025"</f>
        <v>83025</v>
      </c>
      <c r="CD1283" t="s">
        <v>588</v>
      </c>
      <c r="CE1283" t="s">
        <v>589</v>
      </c>
      <c r="CF1283" s="12">
        <v>25</v>
      </c>
      <c r="CH1283" s="12">
        <v>37.5</v>
      </c>
      <c r="CJ1283" t="s">
        <v>135</v>
      </c>
      <c r="CK1283" t="s">
        <v>590</v>
      </c>
      <c r="CL1283" t="s">
        <v>17020</v>
      </c>
      <c r="CO1283" t="s">
        <v>132</v>
      </c>
      <c r="CP1283" t="s">
        <v>136</v>
      </c>
      <c r="CQ1283" t="s">
        <v>136</v>
      </c>
      <c r="CR1283" t="s">
        <v>136</v>
      </c>
      <c r="CS1283" t="s">
        <v>136</v>
      </c>
      <c r="CT1283" t="s">
        <v>136</v>
      </c>
      <c r="CU1283" t="s">
        <v>136</v>
      </c>
      <c r="CV1283" t="s">
        <v>17021</v>
      </c>
      <c r="CW1283" s="10" t="str">
        <f>"N/A"</f>
        <v>N/A</v>
      </c>
      <c r="CX1283" t="s">
        <v>6789</v>
      </c>
      <c r="CY1283" t="s">
        <v>594</v>
      </c>
      <c r="CZ1283" t="s">
        <v>137</v>
      </c>
      <c r="DA1283" t="s">
        <v>114</v>
      </c>
      <c r="DB1283" t="s">
        <v>136</v>
      </c>
      <c r="DC1283" t="s">
        <v>136</v>
      </c>
      <c r="DD1283" t="s">
        <v>114</v>
      </c>
      <c r="DE1283" t="s">
        <v>2273</v>
      </c>
      <c r="DF1283" t="s">
        <v>1069</v>
      </c>
      <c r="DH1283" t="s">
        <v>583</v>
      </c>
      <c r="DI1283" t="s">
        <v>2271</v>
      </c>
    </row>
    <row r="1284" spans="1:113" ht="15" customHeight="1" x14ac:dyDescent="0.25">
      <c r="A1284" t="s">
        <v>6775</v>
      </c>
      <c r="B1284" t="s">
        <v>152</v>
      </c>
      <c r="C1284" s="1">
        <v>45162.708815972219</v>
      </c>
      <c r="D1284" s="1">
        <v>45222</v>
      </c>
      <c r="E1284" t="s">
        <v>114</v>
      </c>
      <c r="F1284" t="s">
        <v>6776</v>
      </c>
      <c r="G1284" t="str">
        <f>"35-3031.00"</f>
        <v>35-3031.00</v>
      </c>
      <c r="H1284" t="s">
        <v>347</v>
      </c>
      <c r="I1284">
        <v>8</v>
      </c>
      <c r="J1284">
        <v>8</v>
      </c>
      <c r="K1284" s="1">
        <v>45251</v>
      </c>
      <c r="L1284" s="1">
        <v>45395</v>
      </c>
      <c r="M1284" s="1">
        <v>45251</v>
      </c>
      <c r="N1284" s="1">
        <v>45395</v>
      </c>
      <c r="O1284" t="s">
        <v>238</v>
      </c>
      <c r="P1284" t="s">
        <v>6777</v>
      </c>
      <c r="Q1284" t="s">
        <v>6778</v>
      </c>
      <c r="R1284" t="s">
        <v>6779</v>
      </c>
      <c r="S1284" t="s">
        <v>6780</v>
      </c>
      <c r="T1284" t="s">
        <v>6781</v>
      </c>
      <c r="U1284" t="s">
        <v>584</v>
      </c>
      <c r="V1284" s="8" t="str">
        <f>"83025"</f>
        <v>83025</v>
      </c>
      <c r="W1284" t="s">
        <v>118</v>
      </c>
      <c r="Y1284" s="10">
        <v>14018450900</v>
      </c>
      <c r="AA1284">
        <v>72111</v>
      </c>
      <c r="AB1284" t="s">
        <v>6782</v>
      </c>
      <c r="AC1284" t="s">
        <v>2167</v>
      </c>
      <c r="AD1284" t="s">
        <v>1217</v>
      </c>
      <c r="AE1284" t="s">
        <v>6783</v>
      </c>
      <c r="AF1284" t="s">
        <v>6779</v>
      </c>
      <c r="AG1284" t="s">
        <v>6780</v>
      </c>
      <c r="AH1284" t="s">
        <v>6781</v>
      </c>
      <c r="AI1284" t="s">
        <v>584</v>
      </c>
      <c r="AJ1284" s="8" t="str">
        <f>"83025"</f>
        <v>83025</v>
      </c>
      <c r="AK1284" t="s">
        <v>118</v>
      </c>
      <c r="AM1284" s="10">
        <v>14018450900</v>
      </c>
      <c r="AO1284" t="s">
        <v>6784</v>
      </c>
      <c r="AP1284" t="s">
        <v>248</v>
      </c>
      <c r="AQ1284" t="s">
        <v>577</v>
      </c>
      <c r="AR1284" t="s">
        <v>578</v>
      </c>
      <c r="AT1284" t="s">
        <v>579</v>
      </c>
      <c r="AV1284" t="s">
        <v>580</v>
      </c>
      <c r="AW1284" t="s">
        <v>581</v>
      </c>
      <c r="AX1284" s="8" t="str">
        <f>"22903"</f>
        <v>22903</v>
      </c>
      <c r="AY1284" t="s">
        <v>118</v>
      </c>
      <c r="BA1284" s="10">
        <v>14342634300</v>
      </c>
      <c r="BC1284" t="s">
        <v>2271</v>
      </c>
      <c r="BD1284" t="s">
        <v>583</v>
      </c>
      <c r="BG1284" t="s">
        <v>584</v>
      </c>
      <c r="BH1284" s="1">
        <v>45161.833333333336</v>
      </c>
      <c r="BI1284">
        <v>35</v>
      </c>
      <c r="BJ1284">
        <v>0</v>
      </c>
      <c r="BK1284">
        <v>7</v>
      </c>
      <c r="BL1284">
        <v>7</v>
      </c>
      <c r="BM1284">
        <v>7</v>
      </c>
      <c r="BN1284">
        <v>7</v>
      </c>
      <c r="BO1284">
        <v>7</v>
      </c>
      <c r="BP1284">
        <v>0</v>
      </c>
      <c r="BQ1284" t="str">
        <f>"7:00 AM"</f>
        <v>7:00 AM</v>
      </c>
      <c r="BR1284" t="str">
        <f>"2:30 PM"</f>
        <v>2:30 PM</v>
      </c>
      <c r="BS1284" t="s">
        <v>131</v>
      </c>
      <c r="BT1284">
        <v>0</v>
      </c>
      <c r="BU1284">
        <v>0</v>
      </c>
      <c r="BV1284" t="s">
        <v>114</v>
      </c>
      <c r="BX1284" s="2" t="s">
        <v>6785</v>
      </c>
      <c r="BY1284" t="s">
        <v>6786</v>
      </c>
      <c r="CA1284" t="s">
        <v>6781</v>
      </c>
      <c r="CB1284" t="s">
        <v>584</v>
      </c>
      <c r="CC1284" s="8" t="str">
        <f>"83025"</f>
        <v>83025</v>
      </c>
      <c r="CD1284" t="s">
        <v>588</v>
      </c>
      <c r="CE1284" t="s">
        <v>589</v>
      </c>
      <c r="CF1284" s="12">
        <v>17</v>
      </c>
      <c r="CH1284" s="12">
        <v>25.5</v>
      </c>
      <c r="CJ1284" t="s">
        <v>135</v>
      </c>
      <c r="CK1284" t="s">
        <v>590</v>
      </c>
      <c r="CL1284" t="s">
        <v>6787</v>
      </c>
      <c r="CO1284" t="s">
        <v>132</v>
      </c>
      <c r="CP1284" t="s">
        <v>136</v>
      </c>
      <c r="CQ1284" t="s">
        <v>136</v>
      </c>
      <c r="CR1284" t="s">
        <v>136</v>
      </c>
      <c r="CS1284" t="s">
        <v>136</v>
      </c>
      <c r="CT1284" t="s">
        <v>136</v>
      </c>
      <c r="CU1284" t="s">
        <v>136</v>
      </c>
      <c r="CV1284" t="s">
        <v>6788</v>
      </c>
      <c r="CW1284" s="10" t="str">
        <f>"N/A"</f>
        <v>N/A</v>
      </c>
      <c r="CX1284" t="s">
        <v>6789</v>
      </c>
      <c r="CY1284" t="s">
        <v>594</v>
      </c>
      <c r="CZ1284" t="s">
        <v>137</v>
      </c>
      <c r="DA1284" t="s">
        <v>114</v>
      </c>
      <c r="DB1284" t="s">
        <v>136</v>
      </c>
      <c r="DC1284" t="s">
        <v>136</v>
      </c>
      <c r="DD1284" t="s">
        <v>114</v>
      </c>
      <c r="DE1284" t="s">
        <v>2273</v>
      </c>
      <c r="DF1284" t="s">
        <v>1069</v>
      </c>
      <c r="DH1284" t="s">
        <v>583</v>
      </c>
      <c r="DI1284" t="s">
        <v>2271</v>
      </c>
    </row>
    <row r="1285" spans="1:113" ht="15" customHeight="1" x14ac:dyDescent="0.25">
      <c r="A1285" t="s">
        <v>13461</v>
      </c>
      <c r="B1285" t="s">
        <v>152</v>
      </c>
      <c r="C1285" s="1">
        <v>45161.938949884257</v>
      </c>
      <c r="D1285" s="1">
        <v>45222</v>
      </c>
      <c r="E1285" t="s">
        <v>136</v>
      </c>
      <c r="F1285" t="s">
        <v>6573</v>
      </c>
      <c r="G1285" t="str">
        <f>"49-9098.00"</f>
        <v>49-9098.00</v>
      </c>
      <c r="H1285" t="s">
        <v>945</v>
      </c>
      <c r="I1285">
        <v>20</v>
      </c>
      <c r="J1285">
        <v>20</v>
      </c>
      <c r="K1285" s="1">
        <v>45250</v>
      </c>
      <c r="L1285" s="1">
        <v>45382</v>
      </c>
      <c r="M1285" s="1">
        <v>45250</v>
      </c>
      <c r="N1285" s="1">
        <v>45382</v>
      </c>
      <c r="O1285" t="s">
        <v>116</v>
      </c>
      <c r="P1285" t="s">
        <v>13462</v>
      </c>
      <c r="R1285" t="s">
        <v>13463</v>
      </c>
      <c r="T1285" t="s">
        <v>1563</v>
      </c>
      <c r="U1285" t="s">
        <v>211</v>
      </c>
      <c r="V1285" s="8" t="str">
        <f>"84104"</f>
        <v>84104</v>
      </c>
      <c r="W1285" t="s">
        <v>118</v>
      </c>
      <c r="Y1285" s="10">
        <v>18012611733</v>
      </c>
      <c r="AA1285">
        <v>56173</v>
      </c>
      <c r="AB1285" t="s">
        <v>13464</v>
      </c>
      <c r="AC1285" t="s">
        <v>5377</v>
      </c>
      <c r="AD1285" t="s">
        <v>3587</v>
      </c>
      <c r="AE1285" t="s">
        <v>1799</v>
      </c>
      <c r="AF1285" t="s">
        <v>13463</v>
      </c>
      <c r="AH1285" t="s">
        <v>1563</v>
      </c>
      <c r="AI1285" t="s">
        <v>211</v>
      </c>
      <c r="AJ1285" s="8" t="str">
        <f>"84104"</f>
        <v>84104</v>
      </c>
      <c r="AK1285" t="s">
        <v>118</v>
      </c>
      <c r="AM1285" s="10">
        <v>18017504808</v>
      </c>
      <c r="AO1285" t="s">
        <v>13465</v>
      </c>
      <c r="AP1285" t="s">
        <v>121</v>
      </c>
      <c r="AQ1285" t="s">
        <v>5168</v>
      </c>
      <c r="AR1285" t="s">
        <v>119</v>
      </c>
      <c r="AS1285" t="s">
        <v>2057</v>
      </c>
      <c r="AT1285" t="s">
        <v>6578</v>
      </c>
      <c r="AU1285" t="s">
        <v>6151</v>
      </c>
      <c r="AV1285" t="s">
        <v>518</v>
      </c>
      <c r="AW1285" t="s">
        <v>402</v>
      </c>
      <c r="AX1285" s="8" t="str">
        <f>"90067"</f>
        <v>90067</v>
      </c>
      <c r="AY1285" t="s">
        <v>118</v>
      </c>
      <c r="BA1285" s="10">
        <v>16465048472</v>
      </c>
      <c r="BC1285" t="s">
        <v>6579</v>
      </c>
      <c r="BD1285" t="s">
        <v>6580</v>
      </c>
      <c r="BE1285" t="s">
        <v>222</v>
      </c>
      <c r="BF1285" t="s">
        <v>225</v>
      </c>
      <c r="BG1285" t="s">
        <v>211</v>
      </c>
      <c r="BH1285" s="1">
        <v>45160.833333333336</v>
      </c>
      <c r="BI1285">
        <v>35</v>
      </c>
      <c r="BJ1285">
        <v>0</v>
      </c>
      <c r="BK1285">
        <v>7</v>
      </c>
      <c r="BL1285">
        <v>7</v>
      </c>
      <c r="BM1285">
        <v>7</v>
      </c>
      <c r="BN1285">
        <v>7</v>
      </c>
      <c r="BO1285">
        <v>7</v>
      </c>
      <c r="BP1285">
        <v>0</v>
      </c>
      <c r="BQ1285" t="str">
        <f>"7:30 AM"</f>
        <v>7:30 AM</v>
      </c>
      <c r="BR1285" t="str">
        <f>"3:30 PM"</f>
        <v>3:30 PM</v>
      </c>
      <c r="BS1285" t="s">
        <v>131</v>
      </c>
      <c r="BT1285">
        <v>0</v>
      </c>
      <c r="BU1285">
        <v>0</v>
      </c>
      <c r="BV1285" t="s">
        <v>114</v>
      </c>
      <c r="BX1285" t="s">
        <v>132</v>
      </c>
      <c r="BY1285" t="s">
        <v>13463</v>
      </c>
      <c r="CA1285" t="s">
        <v>1563</v>
      </c>
      <c r="CB1285" t="s">
        <v>211</v>
      </c>
      <c r="CC1285" s="8" t="str">
        <f>"84104"</f>
        <v>84104</v>
      </c>
      <c r="CD1285" t="s">
        <v>1567</v>
      </c>
      <c r="CE1285" t="s">
        <v>1568</v>
      </c>
      <c r="CF1285" s="12">
        <v>18.420000000000002</v>
      </c>
      <c r="CG1285" s="12">
        <v>21</v>
      </c>
      <c r="CH1285" s="12">
        <v>27.63</v>
      </c>
      <c r="CI1285" s="12">
        <v>31.5</v>
      </c>
      <c r="CJ1285" t="s">
        <v>135</v>
      </c>
      <c r="CK1285" t="s">
        <v>13466</v>
      </c>
      <c r="CL1285" t="s">
        <v>13467</v>
      </c>
      <c r="CO1285" t="s">
        <v>132</v>
      </c>
      <c r="CP1285" t="s">
        <v>114</v>
      </c>
      <c r="CQ1285" t="s">
        <v>114</v>
      </c>
      <c r="CR1285" t="s">
        <v>136</v>
      </c>
      <c r="CS1285" t="s">
        <v>136</v>
      </c>
      <c r="CT1285" t="s">
        <v>136</v>
      </c>
      <c r="CU1285" t="s">
        <v>114</v>
      </c>
      <c r="CV1285" s="2" t="s">
        <v>13468</v>
      </c>
      <c r="CW1285" s="10" t="str">
        <f>"+18012611733"</f>
        <v>+18012611733</v>
      </c>
      <c r="CX1285" t="s">
        <v>13465</v>
      </c>
      <c r="CY1285" t="s">
        <v>132</v>
      </c>
      <c r="CZ1285" t="s">
        <v>137</v>
      </c>
      <c r="DA1285" t="s">
        <v>114</v>
      </c>
      <c r="DB1285" t="s">
        <v>114</v>
      </c>
      <c r="DC1285" t="s">
        <v>136</v>
      </c>
      <c r="DD1285" t="s">
        <v>114</v>
      </c>
    </row>
    <row r="1286" spans="1:113" ht="15" customHeight="1" x14ac:dyDescent="0.25">
      <c r="A1286" t="s">
        <v>4749</v>
      </c>
      <c r="B1286" t="s">
        <v>152</v>
      </c>
      <c r="C1286" s="1">
        <v>45161.822881134256</v>
      </c>
      <c r="D1286" s="1">
        <v>45222</v>
      </c>
      <c r="E1286" t="s">
        <v>114</v>
      </c>
      <c r="F1286" t="s">
        <v>1626</v>
      </c>
      <c r="G1286" t="str">
        <f>"35-3031.00"</f>
        <v>35-3031.00</v>
      </c>
      <c r="H1286" t="s">
        <v>347</v>
      </c>
      <c r="I1286">
        <v>8</v>
      </c>
      <c r="J1286">
        <v>8</v>
      </c>
      <c r="K1286" s="1">
        <v>45237</v>
      </c>
      <c r="L1286" s="1">
        <v>45443</v>
      </c>
      <c r="M1286" s="1">
        <v>45237</v>
      </c>
      <c r="N1286" s="1">
        <v>45443</v>
      </c>
      <c r="O1286" t="s">
        <v>238</v>
      </c>
      <c r="P1286" t="s">
        <v>4750</v>
      </c>
      <c r="Q1286" t="s">
        <v>4751</v>
      </c>
      <c r="R1286" t="s">
        <v>4752</v>
      </c>
      <c r="T1286" t="s">
        <v>4753</v>
      </c>
      <c r="U1286" t="s">
        <v>140</v>
      </c>
      <c r="V1286" s="8" t="str">
        <f>"34134"</f>
        <v>34134</v>
      </c>
      <c r="W1286" t="s">
        <v>118</v>
      </c>
      <c r="Y1286" s="10">
        <v>12393901700</v>
      </c>
      <c r="Z1286" s="3" t="s">
        <v>256</v>
      </c>
      <c r="AA1286">
        <v>7139</v>
      </c>
      <c r="AB1286" t="s">
        <v>4754</v>
      </c>
      <c r="AC1286" t="s">
        <v>4755</v>
      </c>
      <c r="AE1286" t="s">
        <v>561</v>
      </c>
      <c r="AF1286" t="s">
        <v>4752</v>
      </c>
      <c r="AH1286" t="s">
        <v>4753</v>
      </c>
      <c r="AI1286" t="s">
        <v>140</v>
      </c>
      <c r="AJ1286" s="8" t="str">
        <f>"34134"</f>
        <v>34134</v>
      </c>
      <c r="AK1286" t="s">
        <v>118</v>
      </c>
      <c r="AM1286" s="10">
        <v>12398222583</v>
      </c>
      <c r="AN1286" s="3" t="s">
        <v>256</v>
      </c>
      <c r="AO1286" t="s">
        <v>4756</v>
      </c>
      <c r="AP1286" t="s">
        <v>248</v>
      </c>
      <c r="AQ1286" t="s">
        <v>249</v>
      </c>
      <c r="AR1286" t="s">
        <v>250</v>
      </c>
      <c r="AS1286" t="s">
        <v>251</v>
      </c>
      <c r="AT1286" t="s">
        <v>252</v>
      </c>
      <c r="AU1286" t="s">
        <v>253</v>
      </c>
      <c r="AV1286" t="s">
        <v>254</v>
      </c>
      <c r="AW1286" t="s">
        <v>127</v>
      </c>
      <c r="AX1286" s="8" t="str">
        <f>"78550"</f>
        <v>78550</v>
      </c>
      <c r="AY1286" t="s">
        <v>118</v>
      </c>
      <c r="AZ1286" t="s">
        <v>255</v>
      </c>
      <c r="BA1286" s="10">
        <v>19564408720</v>
      </c>
      <c r="BB1286" s="3" t="s">
        <v>256</v>
      </c>
      <c r="BC1286" t="s">
        <v>338</v>
      </c>
      <c r="BD1286" t="s">
        <v>258</v>
      </c>
      <c r="BG1286" t="s">
        <v>140</v>
      </c>
      <c r="BH1286" s="1">
        <v>45160.833333333336</v>
      </c>
      <c r="BI1286">
        <v>40</v>
      </c>
      <c r="BJ1286">
        <v>0</v>
      </c>
      <c r="BK1286">
        <v>0</v>
      </c>
      <c r="BL1286">
        <v>8</v>
      </c>
      <c r="BM1286">
        <v>8</v>
      </c>
      <c r="BN1286">
        <v>8</v>
      </c>
      <c r="BO1286">
        <v>8</v>
      </c>
      <c r="BP1286">
        <v>8</v>
      </c>
      <c r="BQ1286" t="str">
        <f>"1:00 PM"</f>
        <v>1:00 PM</v>
      </c>
      <c r="BR1286" t="str">
        <f>"10:00 PM"</f>
        <v>10:00 PM</v>
      </c>
      <c r="BS1286" t="s">
        <v>131</v>
      </c>
      <c r="BT1286">
        <v>0</v>
      </c>
      <c r="BU1286">
        <v>0</v>
      </c>
      <c r="BV1286" t="s">
        <v>114</v>
      </c>
      <c r="BX1286" s="2" t="s">
        <v>4757</v>
      </c>
      <c r="BY1286" t="s">
        <v>4752</v>
      </c>
      <c r="CA1286" t="s">
        <v>4753</v>
      </c>
      <c r="CB1286" t="s">
        <v>140</v>
      </c>
      <c r="CC1286" s="8" t="str">
        <f>"34134"</f>
        <v>34134</v>
      </c>
      <c r="CD1286" t="s">
        <v>362</v>
      </c>
      <c r="CE1286" t="s">
        <v>363</v>
      </c>
      <c r="CF1286" s="12">
        <v>15.7</v>
      </c>
      <c r="CG1286" s="12">
        <v>15.7</v>
      </c>
      <c r="CH1286" s="12">
        <v>23.55</v>
      </c>
      <c r="CI1286" s="12">
        <v>23.55</v>
      </c>
      <c r="CJ1286" t="s">
        <v>135</v>
      </c>
      <c r="CK1286" t="s">
        <v>782</v>
      </c>
      <c r="CL1286" t="s">
        <v>4758</v>
      </c>
      <c r="CO1286" t="s">
        <v>132</v>
      </c>
      <c r="CP1286" t="s">
        <v>114</v>
      </c>
      <c r="CQ1286" t="s">
        <v>136</v>
      </c>
      <c r="CR1286" t="s">
        <v>136</v>
      </c>
      <c r="CS1286" t="s">
        <v>136</v>
      </c>
      <c r="CT1286" t="s">
        <v>136</v>
      </c>
      <c r="CU1286" t="s">
        <v>136</v>
      </c>
      <c r="CV1286" t="s">
        <v>4759</v>
      </c>
      <c r="CW1286" s="10" t="str">
        <f>"+12398222583"</f>
        <v>+12398222583</v>
      </c>
      <c r="CX1286" t="s">
        <v>4756</v>
      </c>
      <c r="CY1286" t="s">
        <v>132</v>
      </c>
      <c r="CZ1286" t="s">
        <v>137</v>
      </c>
      <c r="DA1286" t="s">
        <v>114</v>
      </c>
      <c r="DB1286" t="s">
        <v>136</v>
      </c>
      <c r="DC1286" t="s">
        <v>136</v>
      </c>
      <c r="DD1286" t="s">
        <v>114</v>
      </c>
    </row>
    <row r="1287" spans="1:113" ht="15" customHeight="1" x14ac:dyDescent="0.25">
      <c r="A1287" t="s">
        <v>23420</v>
      </c>
      <c r="B1287" t="s">
        <v>152</v>
      </c>
      <c r="C1287" s="1">
        <v>45159.683950578707</v>
      </c>
      <c r="D1287" s="1">
        <v>45222</v>
      </c>
      <c r="E1287" t="s">
        <v>114</v>
      </c>
      <c r="F1287" t="s">
        <v>10795</v>
      </c>
      <c r="G1287" t="str">
        <f>"37-2012.00"</f>
        <v>37-2012.00</v>
      </c>
      <c r="H1287" t="s">
        <v>205</v>
      </c>
      <c r="I1287">
        <v>48</v>
      </c>
      <c r="J1287">
        <v>48</v>
      </c>
      <c r="K1287" s="1">
        <v>45246</v>
      </c>
      <c r="L1287" s="1">
        <v>45520</v>
      </c>
      <c r="M1287" s="1">
        <v>45246</v>
      </c>
      <c r="N1287" s="1">
        <v>45520</v>
      </c>
      <c r="O1287" t="s">
        <v>238</v>
      </c>
      <c r="P1287" t="s">
        <v>10246</v>
      </c>
      <c r="Q1287" t="s">
        <v>10246</v>
      </c>
      <c r="R1287" t="s">
        <v>23421</v>
      </c>
      <c r="S1287" t="s">
        <v>10796</v>
      </c>
      <c r="T1287" t="s">
        <v>2773</v>
      </c>
      <c r="U1287" t="s">
        <v>140</v>
      </c>
      <c r="V1287" s="8" t="str">
        <f>"32408"</f>
        <v>32408</v>
      </c>
      <c r="W1287" t="s">
        <v>118</v>
      </c>
      <c r="Y1287" s="10">
        <v>17864929774</v>
      </c>
      <c r="AA1287">
        <v>561720</v>
      </c>
      <c r="AB1287" t="s">
        <v>10248</v>
      </c>
      <c r="AC1287" t="s">
        <v>10249</v>
      </c>
      <c r="AE1287" t="s">
        <v>629</v>
      </c>
      <c r="AF1287" t="s">
        <v>10247</v>
      </c>
      <c r="AH1287" t="s">
        <v>2773</v>
      </c>
      <c r="AI1287" t="s">
        <v>140</v>
      </c>
      <c r="AJ1287" s="8" t="str">
        <f>"32408"</f>
        <v>32408</v>
      </c>
      <c r="AK1287" t="s">
        <v>118</v>
      </c>
      <c r="AM1287" s="10">
        <v>17864929774</v>
      </c>
      <c r="AO1287" t="s">
        <v>10250</v>
      </c>
      <c r="AX1287" s="8" t="str">
        <f>""</f>
        <v/>
      </c>
      <c r="BG1287" t="s">
        <v>140</v>
      </c>
      <c r="BH1287" s="1">
        <v>45158.833333333336</v>
      </c>
      <c r="BI1287">
        <v>35</v>
      </c>
      <c r="BJ1287">
        <v>5</v>
      </c>
      <c r="BK1287">
        <v>5</v>
      </c>
      <c r="BL1287">
        <v>5</v>
      </c>
      <c r="BM1287">
        <v>5</v>
      </c>
      <c r="BN1287">
        <v>5</v>
      </c>
      <c r="BO1287">
        <v>5</v>
      </c>
      <c r="BP1287">
        <v>5</v>
      </c>
      <c r="BQ1287" t="str">
        <f>"8:00 AM"</f>
        <v>8:00 AM</v>
      </c>
      <c r="BR1287" t="str">
        <f>"4:00 PM"</f>
        <v>4:00 PM</v>
      </c>
      <c r="BS1287" t="s">
        <v>131</v>
      </c>
      <c r="BT1287">
        <v>0</v>
      </c>
      <c r="BU1287">
        <v>1</v>
      </c>
      <c r="BV1287" t="s">
        <v>114</v>
      </c>
      <c r="BX1287" s="2" t="s">
        <v>10799</v>
      </c>
      <c r="BY1287" t="s">
        <v>22759</v>
      </c>
      <c r="CA1287" t="s">
        <v>22760</v>
      </c>
      <c r="CB1287" t="s">
        <v>140</v>
      </c>
      <c r="CC1287" s="8" t="str">
        <f>"33180"</f>
        <v>33180</v>
      </c>
      <c r="CD1287" t="s">
        <v>148</v>
      </c>
      <c r="CE1287" t="s">
        <v>149</v>
      </c>
      <c r="CF1287" s="12">
        <v>13.06</v>
      </c>
      <c r="CG1287" s="12">
        <v>16</v>
      </c>
      <c r="CH1287" s="12">
        <v>19.59</v>
      </c>
      <c r="CI1287" s="12">
        <v>24</v>
      </c>
      <c r="CJ1287" t="s">
        <v>135</v>
      </c>
      <c r="CK1287" t="s">
        <v>10253</v>
      </c>
      <c r="CL1287" t="s">
        <v>23422</v>
      </c>
      <c r="CO1287" t="s">
        <v>132</v>
      </c>
      <c r="CP1287" t="s">
        <v>136</v>
      </c>
      <c r="CQ1287" t="s">
        <v>114</v>
      </c>
      <c r="CR1287" t="s">
        <v>136</v>
      </c>
      <c r="CS1287" t="s">
        <v>114</v>
      </c>
      <c r="CT1287" t="s">
        <v>136</v>
      </c>
      <c r="CU1287" t="s">
        <v>136</v>
      </c>
      <c r="CV1287" s="2" t="s">
        <v>23423</v>
      </c>
      <c r="CW1287" s="10" t="str">
        <f>"+17869429774"</f>
        <v>+17869429774</v>
      </c>
      <c r="CX1287" t="s">
        <v>132</v>
      </c>
      <c r="CY1287" t="s">
        <v>10256</v>
      </c>
      <c r="CZ1287" t="s">
        <v>137</v>
      </c>
      <c r="DA1287" t="s">
        <v>114</v>
      </c>
      <c r="DB1287" t="s">
        <v>114</v>
      </c>
      <c r="DC1287" t="s">
        <v>136</v>
      </c>
      <c r="DD1287" t="s">
        <v>114</v>
      </c>
    </row>
    <row r="1288" spans="1:113" ht="15" customHeight="1" x14ac:dyDescent="0.25">
      <c r="A1288" t="s">
        <v>19662</v>
      </c>
      <c r="B1288" t="s">
        <v>152</v>
      </c>
      <c r="C1288" s="1">
        <v>45156.53144097222</v>
      </c>
      <c r="D1288" s="1">
        <v>45222</v>
      </c>
      <c r="E1288" t="s">
        <v>114</v>
      </c>
      <c r="F1288" t="s">
        <v>570</v>
      </c>
      <c r="G1288" t="str">
        <f>"47-4051.00"</f>
        <v>47-4051.00</v>
      </c>
      <c r="H1288" t="s">
        <v>5632</v>
      </c>
      <c r="I1288">
        <v>10</v>
      </c>
      <c r="J1288">
        <v>10</v>
      </c>
      <c r="K1288" s="1">
        <v>45231</v>
      </c>
      <c r="L1288" s="1">
        <v>45473</v>
      </c>
      <c r="M1288" s="1">
        <v>45231</v>
      </c>
      <c r="N1288" s="1">
        <v>45473</v>
      </c>
      <c r="O1288" t="s">
        <v>238</v>
      </c>
      <c r="P1288" t="s">
        <v>5472</v>
      </c>
      <c r="R1288" t="s">
        <v>5473</v>
      </c>
      <c r="T1288" t="s">
        <v>3759</v>
      </c>
      <c r="U1288" t="s">
        <v>188</v>
      </c>
      <c r="V1288" s="8" t="str">
        <f>"80640"</f>
        <v>80640</v>
      </c>
      <c r="W1288" t="s">
        <v>118</v>
      </c>
      <c r="Y1288" s="10">
        <v>13036388092</v>
      </c>
      <c r="AA1288">
        <v>561730</v>
      </c>
      <c r="AB1288" t="s">
        <v>5474</v>
      </c>
      <c r="AC1288" t="s">
        <v>2188</v>
      </c>
      <c r="AD1288" t="s">
        <v>1802</v>
      </c>
      <c r="AE1288" t="s">
        <v>629</v>
      </c>
      <c r="AF1288" t="s">
        <v>5473</v>
      </c>
      <c r="AH1288" t="s">
        <v>3759</v>
      </c>
      <c r="AI1288" t="s">
        <v>188</v>
      </c>
      <c r="AJ1288" s="8" t="str">
        <f>"80640"</f>
        <v>80640</v>
      </c>
      <c r="AK1288" t="s">
        <v>118</v>
      </c>
      <c r="AM1288" s="10">
        <v>13039800360</v>
      </c>
      <c r="AO1288" t="s">
        <v>19663</v>
      </c>
      <c r="AP1288" t="s">
        <v>248</v>
      </c>
      <c r="AQ1288" t="s">
        <v>1800</v>
      </c>
      <c r="AR1288" t="s">
        <v>1801</v>
      </c>
      <c r="AS1288" t="s">
        <v>1802</v>
      </c>
      <c r="AT1288" t="s">
        <v>1803</v>
      </c>
      <c r="AU1288" t="s">
        <v>852</v>
      </c>
      <c r="AV1288" t="s">
        <v>1804</v>
      </c>
      <c r="AW1288" t="s">
        <v>188</v>
      </c>
      <c r="AX1288" s="8" t="str">
        <f>"80550"</f>
        <v>80550</v>
      </c>
      <c r="AY1288" t="s">
        <v>118</v>
      </c>
      <c r="BA1288" s="10">
        <v>19706866068</v>
      </c>
      <c r="BC1288" t="s">
        <v>1805</v>
      </c>
      <c r="BD1288" t="s">
        <v>1806</v>
      </c>
      <c r="BG1288" t="s">
        <v>188</v>
      </c>
      <c r="BH1288" s="1">
        <v>45155.833333333336</v>
      </c>
      <c r="BI1288">
        <v>35</v>
      </c>
      <c r="BJ1288">
        <v>0</v>
      </c>
      <c r="BK1288">
        <v>7</v>
      </c>
      <c r="BL1288">
        <v>7</v>
      </c>
      <c r="BM1288">
        <v>7</v>
      </c>
      <c r="BN1288">
        <v>7</v>
      </c>
      <c r="BO1288">
        <v>7</v>
      </c>
      <c r="BP1288">
        <v>0</v>
      </c>
      <c r="BQ1288" t="str">
        <f>"7:00 AM"</f>
        <v>7:00 AM</v>
      </c>
      <c r="BR1288" t="str">
        <f>"5:00 PM"</f>
        <v>5:00 PM</v>
      </c>
      <c r="BS1288" t="s">
        <v>131</v>
      </c>
      <c r="BT1288">
        <v>0</v>
      </c>
      <c r="BU1288">
        <v>0</v>
      </c>
      <c r="BV1288" t="s">
        <v>114</v>
      </c>
      <c r="BX1288" t="s">
        <v>19664</v>
      </c>
      <c r="BY1288" t="s">
        <v>19665</v>
      </c>
      <c r="CA1288" t="s">
        <v>3759</v>
      </c>
      <c r="CB1288" t="s">
        <v>188</v>
      </c>
      <c r="CC1288" s="8" t="str">
        <f>"80640"</f>
        <v>80640</v>
      </c>
      <c r="CD1288" t="s">
        <v>3191</v>
      </c>
      <c r="CE1288" t="s">
        <v>195</v>
      </c>
      <c r="CF1288" s="12">
        <v>24.42</v>
      </c>
      <c r="CG1288" s="12">
        <v>26</v>
      </c>
      <c r="CH1288" s="12">
        <v>36.630000000000003</v>
      </c>
      <c r="CI1288" s="12">
        <v>39</v>
      </c>
      <c r="CJ1288" t="s">
        <v>135</v>
      </c>
      <c r="CK1288" t="s">
        <v>19666</v>
      </c>
      <c r="CL1288" t="s">
        <v>19667</v>
      </c>
      <c r="CO1288" t="s">
        <v>132</v>
      </c>
      <c r="CP1288" t="s">
        <v>136</v>
      </c>
      <c r="CQ1288" t="s">
        <v>114</v>
      </c>
      <c r="CR1288" t="s">
        <v>136</v>
      </c>
      <c r="CS1288" t="s">
        <v>136</v>
      </c>
      <c r="CT1288" t="s">
        <v>136</v>
      </c>
      <c r="CU1288" t="s">
        <v>114</v>
      </c>
      <c r="CV1288" t="s">
        <v>19668</v>
      </c>
      <c r="CW1288" s="10" t="str">
        <f>"+13039566919"</f>
        <v>+13039566919</v>
      </c>
      <c r="CX1288" t="s">
        <v>19669</v>
      </c>
      <c r="CY1288" t="s">
        <v>132</v>
      </c>
      <c r="CZ1288" t="s">
        <v>137</v>
      </c>
      <c r="DA1288" t="s">
        <v>114</v>
      </c>
      <c r="DB1288" t="s">
        <v>136</v>
      </c>
      <c r="DC1288" t="s">
        <v>136</v>
      </c>
      <c r="DD1288" t="s">
        <v>114</v>
      </c>
    </row>
    <row r="1289" spans="1:113" ht="15" customHeight="1" x14ac:dyDescent="0.25">
      <c r="A1289" t="s">
        <v>18286</v>
      </c>
      <c r="B1289" t="s">
        <v>152</v>
      </c>
      <c r="C1289" s="1">
        <v>45155.605329398146</v>
      </c>
      <c r="D1289" s="1">
        <v>45222</v>
      </c>
      <c r="E1289" t="s">
        <v>114</v>
      </c>
      <c r="F1289" t="s">
        <v>18287</v>
      </c>
      <c r="G1289" t="str">
        <f>"37-3013.00"</f>
        <v>37-3013.00</v>
      </c>
      <c r="H1289" t="s">
        <v>666</v>
      </c>
      <c r="I1289">
        <v>110</v>
      </c>
      <c r="J1289">
        <v>110</v>
      </c>
      <c r="K1289" s="1">
        <v>45245</v>
      </c>
      <c r="L1289" s="1">
        <v>45383</v>
      </c>
      <c r="M1289" s="1">
        <v>45245</v>
      </c>
      <c r="N1289" s="1">
        <v>45383</v>
      </c>
      <c r="O1289" t="s">
        <v>238</v>
      </c>
      <c r="P1289" t="s">
        <v>18288</v>
      </c>
      <c r="R1289" t="s">
        <v>18289</v>
      </c>
      <c r="T1289" t="s">
        <v>18290</v>
      </c>
      <c r="U1289" t="s">
        <v>127</v>
      </c>
      <c r="V1289" s="8" t="str">
        <f>"76259"</f>
        <v>76259</v>
      </c>
      <c r="W1289" t="s">
        <v>118</v>
      </c>
      <c r="Y1289" s="10">
        <v>19728096625</v>
      </c>
      <c r="AA1289">
        <v>56173</v>
      </c>
      <c r="AB1289" t="s">
        <v>3068</v>
      </c>
      <c r="AC1289" t="s">
        <v>6100</v>
      </c>
      <c r="AE1289" t="s">
        <v>18291</v>
      </c>
      <c r="AF1289" t="s">
        <v>18289</v>
      </c>
      <c r="AH1289" t="s">
        <v>18290</v>
      </c>
      <c r="AI1289" t="s">
        <v>127</v>
      </c>
      <c r="AJ1289" s="8" t="str">
        <f>"76259"</f>
        <v>76259</v>
      </c>
      <c r="AK1289" t="s">
        <v>118</v>
      </c>
      <c r="AM1289" s="10">
        <v>19728096625</v>
      </c>
      <c r="AO1289" t="s">
        <v>18292</v>
      </c>
      <c r="AP1289" t="s">
        <v>248</v>
      </c>
      <c r="AQ1289" t="s">
        <v>3017</v>
      </c>
      <c r="AR1289" t="s">
        <v>3018</v>
      </c>
      <c r="AT1289" t="s">
        <v>3019</v>
      </c>
      <c r="AV1289" t="s">
        <v>1168</v>
      </c>
      <c r="AW1289" t="s">
        <v>127</v>
      </c>
      <c r="AX1289" s="8" t="str">
        <f>"75098"</f>
        <v>75098</v>
      </c>
      <c r="AY1289" t="s">
        <v>118</v>
      </c>
      <c r="BA1289" s="10">
        <v>19724424244</v>
      </c>
      <c r="BC1289" t="s">
        <v>3020</v>
      </c>
      <c r="BD1289" t="s">
        <v>3021</v>
      </c>
      <c r="BG1289" t="s">
        <v>127</v>
      </c>
      <c r="BH1289" s="1">
        <v>45154.833333333336</v>
      </c>
      <c r="BI1289">
        <v>40</v>
      </c>
      <c r="BJ1289">
        <v>0</v>
      </c>
      <c r="BK1289">
        <v>8</v>
      </c>
      <c r="BL1289">
        <v>8</v>
      </c>
      <c r="BM1289">
        <v>8</v>
      </c>
      <c r="BN1289">
        <v>8</v>
      </c>
      <c r="BO1289">
        <v>8</v>
      </c>
      <c r="BP1289">
        <v>0</v>
      </c>
      <c r="BQ1289" t="str">
        <f>"7:00 AM"</f>
        <v>7:00 AM</v>
      </c>
      <c r="BR1289" t="str">
        <f>"6:00 PM"</f>
        <v>6:00 PM</v>
      </c>
      <c r="BS1289" t="s">
        <v>131</v>
      </c>
      <c r="BT1289">
        <v>0</v>
      </c>
      <c r="BU1289">
        <v>0</v>
      </c>
      <c r="BV1289" t="s">
        <v>114</v>
      </c>
      <c r="BX1289" s="2" t="s">
        <v>18293</v>
      </c>
      <c r="BY1289" t="s">
        <v>18289</v>
      </c>
      <c r="CA1289" t="s">
        <v>18290</v>
      </c>
      <c r="CB1289" t="s">
        <v>127</v>
      </c>
      <c r="CC1289" s="8" t="str">
        <f>"76259"</f>
        <v>76259</v>
      </c>
      <c r="CD1289" t="s">
        <v>3259</v>
      </c>
      <c r="CE1289" t="s">
        <v>263</v>
      </c>
      <c r="CF1289" s="12">
        <v>16.03</v>
      </c>
      <c r="CG1289" s="12">
        <v>18.03</v>
      </c>
      <c r="CH1289" s="12">
        <v>24.05</v>
      </c>
      <c r="CI1289" s="12">
        <v>27.05</v>
      </c>
      <c r="CJ1289" t="s">
        <v>135</v>
      </c>
      <c r="CL1289" t="s">
        <v>18294</v>
      </c>
      <c r="CO1289" t="s">
        <v>132</v>
      </c>
      <c r="CP1289" t="s">
        <v>136</v>
      </c>
      <c r="CQ1289" t="s">
        <v>136</v>
      </c>
      <c r="CR1289" t="s">
        <v>136</v>
      </c>
      <c r="CS1289" t="s">
        <v>136</v>
      </c>
      <c r="CT1289" t="s">
        <v>136</v>
      </c>
      <c r="CU1289" t="s">
        <v>136</v>
      </c>
      <c r="CV1289" t="s">
        <v>5345</v>
      </c>
      <c r="CW1289" s="10" t="str">
        <f>"+19728096625"</f>
        <v>+19728096625</v>
      </c>
      <c r="CX1289" t="s">
        <v>132</v>
      </c>
      <c r="CY1289" t="s">
        <v>3190</v>
      </c>
      <c r="CZ1289" t="s">
        <v>137</v>
      </c>
      <c r="DA1289" t="s">
        <v>114</v>
      </c>
      <c r="DB1289" t="s">
        <v>114</v>
      </c>
      <c r="DC1289" t="s">
        <v>136</v>
      </c>
      <c r="DD1289" t="s">
        <v>114</v>
      </c>
      <c r="DE1289" t="s">
        <v>18295</v>
      </c>
      <c r="DF1289" t="s">
        <v>3273</v>
      </c>
      <c r="DH1289" t="s">
        <v>3021</v>
      </c>
      <c r="DI1289" t="s">
        <v>18296</v>
      </c>
    </row>
    <row r="1290" spans="1:113" ht="15" customHeight="1" x14ac:dyDescent="0.25">
      <c r="A1290" t="s">
        <v>12927</v>
      </c>
      <c r="B1290" t="s">
        <v>152</v>
      </c>
      <c r="C1290" s="1">
        <v>45142.94027777778</v>
      </c>
      <c r="D1290" s="1">
        <v>45222</v>
      </c>
      <c r="E1290" t="s">
        <v>114</v>
      </c>
      <c r="F1290" t="s">
        <v>1753</v>
      </c>
      <c r="G1290" t="str">
        <f>"37-3011.00"</f>
        <v>37-3011.00</v>
      </c>
      <c r="H1290" t="s">
        <v>429</v>
      </c>
      <c r="I1290">
        <v>24</v>
      </c>
      <c r="J1290">
        <v>24</v>
      </c>
      <c r="K1290" s="1">
        <v>45218</v>
      </c>
      <c r="L1290" s="1">
        <v>45260</v>
      </c>
      <c r="M1290" s="1">
        <v>45218</v>
      </c>
      <c r="N1290" s="1">
        <v>45260</v>
      </c>
      <c r="O1290" t="s">
        <v>238</v>
      </c>
      <c r="P1290" t="s">
        <v>1754</v>
      </c>
      <c r="R1290" t="s">
        <v>1755</v>
      </c>
      <c r="T1290" t="s">
        <v>1756</v>
      </c>
      <c r="U1290" t="s">
        <v>1434</v>
      </c>
      <c r="V1290" s="8" t="str">
        <f>"40299"</f>
        <v>40299</v>
      </c>
      <c r="W1290" t="s">
        <v>118</v>
      </c>
      <c r="Y1290" s="10">
        <v>15022670377</v>
      </c>
      <c r="AA1290">
        <v>561730</v>
      </c>
      <c r="AB1290" t="s">
        <v>1757</v>
      </c>
      <c r="AC1290" t="s">
        <v>1758</v>
      </c>
      <c r="AE1290" t="s">
        <v>438</v>
      </c>
      <c r="AF1290" t="s">
        <v>1755</v>
      </c>
      <c r="AH1290" t="s">
        <v>1756</v>
      </c>
      <c r="AI1290" t="s">
        <v>1434</v>
      </c>
      <c r="AJ1290" s="8" t="str">
        <f>"40299"</f>
        <v>40299</v>
      </c>
      <c r="AK1290" t="s">
        <v>118</v>
      </c>
      <c r="AM1290" s="10">
        <v>15022670377</v>
      </c>
      <c r="AO1290" t="s">
        <v>1759</v>
      </c>
      <c r="AP1290" t="s">
        <v>248</v>
      </c>
      <c r="AQ1290" t="s">
        <v>1760</v>
      </c>
      <c r="AR1290" t="s">
        <v>1761</v>
      </c>
      <c r="AT1290" t="s">
        <v>1762</v>
      </c>
      <c r="AU1290" t="s">
        <v>1763</v>
      </c>
      <c r="AV1290" t="s">
        <v>1764</v>
      </c>
      <c r="AW1290" t="s">
        <v>1434</v>
      </c>
      <c r="AX1290" s="8" t="str">
        <f>"40503"</f>
        <v>40503</v>
      </c>
      <c r="AY1290" t="s">
        <v>118</v>
      </c>
      <c r="BA1290" s="10">
        <v>18592755065</v>
      </c>
      <c r="BC1290" t="s">
        <v>1765</v>
      </c>
      <c r="BD1290" t="s">
        <v>1766</v>
      </c>
      <c r="BG1290" t="s">
        <v>1434</v>
      </c>
      <c r="BH1290" s="1">
        <v>45140.833333333336</v>
      </c>
      <c r="BI1290">
        <v>40</v>
      </c>
      <c r="BJ1290">
        <v>0</v>
      </c>
      <c r="BK1290">
        <v>7</v>
      </c>
      <c r="BL1290">
        <v>7</v>
      </c>
      <c r="BM1290">
        <v>7</v>
      </c>
      <c r="BN1290">
        <v>7</v>
      </c>
      <c r="BO1290">
        <v>7</v>
      </c>
      <c r="BP1290">
        <v>5</v>
      </c>
      <c r="BQ1290" t="str">
        <f>"8:00 AM"</f>
        <v>8:00 AM</v>
      </c>
      <c r="BR1290" t="str">
        <f>"4:30 PM"</f>
        <v>4:30 PM</v>
      </c>
      <c r="BS1290" t="s">
        <v>131</v>
      </c>
      <c r="BT1290">
        <v>0</v>
      </c>
      <c r="BU1290">
        <v>0</v>
      </c>
      <c r="BV1290" t="s">
        <v>114</v>
      </c>
      <c r="BX1290" t="s">
        <v>12928</v>
      </c>
      <c r="BY1290" t="s">
        <v>1755</v>
      </c>
      <c r="CA1290" t="s">
        <v>1756</v>
      </c>
      <c r="CB1290" t="s">
        <v>1434</v>
      </c>
      <c r="CC1290" s="8" t="str">
        <f>"40299"</f>
        <v>40299</v>
      </c>
      <c r="CD1290" t="s">
        <v>1767</v>
      </c>
      <c r="CE1290" t="s">
        <v>1768</v>
      </c>
      <c r="CF1290" s="12">
        <v>16</v>
      </c>
      <c r="CG1290" s="12">
        <v>16</v>
      </c>
      <c r="CH1290" s="12">
        <v>24</v>
      </c>
      <c r="CI1290" s="12">
        <v>24</v>
      </c>
      <c r="CJ1290" t="s">
        <v>135</v>
      </c>
      <c r="CK1290" t="s">
        <v>132</v>
      </c>
      <c r="CL1290" t="s">
        <v>1769</v>
      </c>
      <c r="CO1290" t="s">
        <v>132</v>
      </c>
      <c r="CP1290" t="s">
        <v>136</v>
      </c>
      <c r="CQ1290" t="s">
        <v>136</v>
      </c>
      <c r="CR1290" t="s">
        <v>136</v>
      </c>
      <c r="CS1290" t="s">
        <v>136</v>
      </c>
      <c r="CT1290" t="s">
        <v>136</v>
      </c>
      <c r="CU1290" t="s">
        <v>136</v>
      </c>
      <c r="CV1290" t="s">
        <v>12929</v>
      </c>
      <c r="CW1290" s="10" t="str">
        <f>"+15022670377"</f>
        <v>+15022670377</v>
      </c>
      <c r="CX1290" t="s">
        <v>1759</v>
      </c>
      <c r="CY1290" t="s">
        <v>132</v>
      </c>
      <c r="CZ1290" t="s">
        <v>137</v>
      </c>
      <c r="DA1290" t="s">
        <v>114</v>
      </c>
      <c r="DB1290" t="s">
        <v>114</v>
      </c>
      <c r="DC1290" t="s">
        <v>136</v>
      </c>
      <c r="DD1290" t="s">
        <v>114</v>
      </c>
    </row>
    <row r="1291" spans="1:113" ht="15" customHeight="1" x14ac:dyDescent="0.25">
      <c r="A1291" t="s">
        <v>10427</v>
      </c>
      <c r="B1291" t="s">
        <v>152</v>
      </c>
      <c r="C1291" s="1">
        <v>45119.337113888891</v>
      </c>
      <c r="D1291" s="1">
        <v>45222</v>
      </c>
      <c r="E1291" t="s">
        <v>114</v>
      </c>
      <c r="F1291" t="s">
        <v>10428</v>
      </c>
      <c r="G1291" t="str">
        <f>"49-3023.00"</f>
        <v>49-3023.00</v>
      </c>
      <c r="H1291" t="s">
        <v>7614</v>
      </c>
      <c r="I1291">
        <v>4</v>
      </c>
      <c r="J1291">
        <v>4</v>
      </c>
      <c r="K1291" s="1">
        <v>45209</v>
      </c>
      <c r="L1291" s="1">
        <v>45412</v>
      </c>
      <c r="M1291" s="1">
        <v>45209</v>
      </c>
      <c r="N1291" s="1">
        <v>45412</v>
      </c>
      <c r="O1291" t="s">
        <v>116</v>
      </c>
      <c r="P1291" t="s">
        <v>10429</v>
      </c>
      <c r="Q1291" t="s">
        <v>10430</v>
      </c>
      <c r="R1291" t="s">
        <v>10431</v>
      </c>
      <c r="T1291" t="s">
        <v>3107</v>
      </c>
      <c r="U1291" t="s">
        <v>434</v>
      </c>
      <c r="V1291" s="8" t="str">
        <f>"15236"</f>
        <v>15236</v>
      </c>
      <c r="W1291" t="s">
        <v>118</v>
      </c>
      <c r="Y1291" s="10">
        <v>14126557874</v>
      </c>
      <c r="AA1291">
        <v>81111</v>
      </c>
      <c r="AB1291" t="s">
        <v>10432</v>
      </c>
      <c r="AC1291" t="s">
        <v>3360</v>
      </c>
      <c r="AE1291" t="s">
        <v>629</v>
      </c>
      <c r="AF1291" t="s">
        <v>10431</v>
      </c>
      <c r="AH1291" t="s">
        <v>3107</v>
      </c>
      <c r="AI1291" t="s">
        <v>434</v>
      </c>
      <c r="AJ1291" s="8" t="str">
        <f>"15236"</f>
        <v>15236</v>
      </c>
      <c r="AK1291" t="s">
        <v>118</v>
      </c>
      <c r="AM1291" s="10">
        <v>14126557874</v>
      </c>
      <c r="AO1291" t="s">
        <v>132</v>
      </c>
      <c r="AP1291" t="s">
        <v>248</v>
      </c>
      <c r="AQ1291" t="s">
        <v>673</v>
      </c>
      <c r="AR1291" t="s">
        <v>674</v>
      </c>
      <c r="AT1291" t="s">
        <v>579</v>
      </c>
      <c r="AV1291" t="s">
        <v>580</v>
      </c>
      <c r="AW1291" t="s">
        <v>581</v>
      </c>
      <c r="AX1291" s="8" t="str">
        <f>"22903"</f>
        <v>22903</v>
      </c>
      <c r="AY1291" t="s">
        <v>118</v>
      </c>
      <c r="BA1291" s="10">
        <v>14342634300</v>
      </c>
      <c r="BC1291" t="s">
        <v>675</v>
      </c>
      <c r="BD1291" t="s">
        <v>583</v>
      </c>
      <c r="BG1291" t="s">
        <v>434</v>
      </c>
      <c r="BH1291" s="1">
        <v>45118.833333333336</v>
      </c>
      <c r="BI1291">
        <v>40</v>
      </c>
      <c r="BJ1291">
        <v>0</v>
      </c>
      <c r="BK1291">
        <v>8</v>
      </c>
      <c r="BL1291">
        <v>8</v>
      </c>
      <c r="BM1291">
        <v>8</v>
      </c>
      <c r="BN1291">
        <v>8</v>
      </c>
      <c r="BO1291">
        <v>8</v>
      </c>
      <c r="BP1291">
        <v>0</v>
      </c>
      <c r="BQ1291" t="str">
        <f>"8:00 AM"</f>
        <v>8:00 AM</v>
      </c>
      <c r="BR1291" t="str">
        <f>"4:30 PM"</f>
        <v>4:30 PM</v>
      </c>
      <c r="BS1291" t="s">
        <v>131</v>
      </c>
      <c r="BT1291">
        <v>0</v>
      </c>
      <c r="BU1291">
        <v>24</v>
      </c>
      <c r="BV1291" t="s">
        <v>114</v>
      </c>
      <c r="BX1291" s="2" t="s">
        <v>10433</v>
      </c>
      <c r="BY1291" t="s">
        <v>10431</v>
      </c>
      <c r="CA1291" t="s">
        <v>3107</v>
      </c>
      <c r="CB1291" t="s">
        <v>434</v>
      </c>
      <c r="CC1291" s="8" t="str">
        <f>"15236"</f>
        <v>15236</v>
      </c>
      <c r="CD1291" t="s">
        <v>1886</v>
      </c>
      <c r="CE1291" t="s">
        <v>1887</v>
      </c>
      <c r="CF1291" s="12">
        <v>21.78</v>
      </c>
      <c r="CH1291" s="12">
        <v>32.67</v>
      </c>
      <c r="CJ1291" t="s">
        <v>135</v>
      </c>
      <c r="CK1291" t="s">
        <v>590</v>
      </c>
      <c r="CL1291" t="s">
        <v>10434</v>
      </c>
      <c r="CO1291" t="s">
        <v>132</v>
      </c>
      <c r="CP1291" t="s">
        <v>136</v>
      </c>
      <c r="CQ1291" t="s">
        <v>114</v>
      </c>
      <c r="CR1291" t="s">
        <v>136</v>
      </c>
      <c r="CS1291" t="s">
        <v>114</v>
      </c>
      <c r="CT1291" t="s">
        <v>136</v>
      </c>
      <c r="CU1291" t="s">
        <v>136</v>
      </c>
      <c r="CV1291" t="s">
        <v>10435</v>
      </c>
      <c r="CW1291" s="10" t="str">
        <f>"N/A"</f>
        <v>N/A</v>
      </c>
      <c r="CX1291" t="s">
        <v>10436</v>
      </c>
      <c r="CY1291" t="s">
        <v>1997</v>
      </c>
      <c r="CZ1291" t="s">
        <v>137</v>
      </c>
      <c r="DA1291" t="s">
        <v>114</v>
      </c>
      <c r="DB1291" t="s">
        <v>136</v>
      </c>
      <c r="DC1291" t="s">
        <v>136</v>
      </c>
      <c r="DD1291" t="s">
        <v>114</v>
      </c>
      <c r="DE1291" t="s">
        <v>673</v>
      </c>
      <c r="DF1291" t="s">
        <v>674</v>
      </c>
      <c r="DH1291" t="s">
        <v>583</v>
      </c>
      <c r="DI1291" t="s">
        <v>675</v>
      </c>
    </row>
    <row r="1292" spans="1:113" ht="15" customHeight="1" x14ac:dyDescent="0.25">
      <c r="A1292" t="s">
        <v>10257</v>
      </c>
      <c r="B1292" t="s">
        <v>152</v>
      </c>
      <c r="C1292" s="1">
        <v>45113.75639386574</v>
      </c>
      <c r="D1292" s="1">
        <v>45222</v>
      </c>
      <c r="E1292" t="s">
        <v>114</v>
      </c>
      <c r="F1292" t="s">
        <v>1668</v>
      </c>
      <c r="G1292" t="str">
        <f>"35-9021.00"</f>
        <v>35-9021.00</v>
      </c>
      <c r="H1292" t="s">
        <v>501</v>
      </c>
      <c r="I1292">
        <v>5</v>
      </c>
      <c r="J1292">
        <v>5</v>
      </c>
      <c r="K1292" s="1">
        <v>45200</v>
      </c>
      <c r="L1292" s="1">
        <v>45443</v>
      </c>
      <c r="M1292" s="1">
        <v>45200</v>
      </c>
      <c r="N1292" s="1">
        <v>45443</v>
      </c>
      <c r="O1292" t="s">
        <v>116</v>
      </c>
      <c r="P1292" t="s">
        <v>8774</v>
      </c>
      <c r="Q1292" t="s">
        <v>8775</v>
      </c>
      <c r="R1292" t="s">
        <v>8776</v>
      </c>
      <c r="T1292" t="s">
        <v>8777</v>
      </c>
      <c r="U1292" t="s">
        <v>140</v>
      </c>
      <c r="V1292" s="8" t="str">
        <f>"33432"</f>
        <v>33432</v>
      </c>
      <c r="W1292" t="s">
        <v>118</v>
      </c>
      <c r="Y1292" s="10">
        <v>15614473000</v>
      </c>
      <c r="AA1292">
        <v>72111</v>
      </c>
      <c r="AB1292" t="s">
        <v>8778</v>
      </c>
      <c r="AC1292" t="s">
        <v>8779</v>
      </c>
      <c r="AE1292" t="s">
        <v>8780</v>
      </c>
      <c r="AF1292" t="s">
        <v>8776</v>
      </c>
      <c r="AH1292" t="s">
        <v>8777</v>
      </c>
      <c r="AI1292" t="s">
        <v>140</v>
      </c>
      <c r="AJ1292" s="8" t="str">
        <f>"33432"</f>
        <v>33432</v>
      </c>
      <c r="AK1292" t="s">
        <v>118</v>
      </c>
      <c r="AM1292" s="10">
        <v>15615459577</v>
      </c>
      <c r="AO1292" t="s">
        <v>8781</v>
      </c>
      <c r="AP1292" t="s">
        <v>121</v>
      </c>
      <c r="AQ1292" t="s">
        <v>1327</v>
      </c>
      <c r="AR1292" t="s">
        <v>1328</v>
      </c>
      <c r="AS1292" t="s">
        <v>1329</v>
      </c>
      <c r="AT1292" t="s">
        <v>1330</v>
      </c>
      <c r="AU1292" t="s">
        <v>1331</v>
      </c>
      <c r="AV1292" t="s">
        <v>142</v>
      </c>
      <c r="AW1292" t="s">
        <v>140</v>
      </c>
      <c r="AX1292" s="8" t="str">
        <f>"33126"</f>
        <v>33126</v>
      </c>
      <c r="AY1292" t="s">
        <v>118</v>
      </c>
      <c r="BA1292" s="10">
        <v>13057745800</v>
      </c>
      <c r="BC1292" t="s">
        <v>1332</v>
      </c>
      <c r="BD1292" t="s">
        <v>1333</v>
      </c>
      <c r="BE1292" t="s">
        <v>140</v>
      </c>
      <c r="BF1292" t="s">
        <v>172</v>
      </c>
      <c r="BG1292" t="s">
        <v>140</v>
      </c>
      <c r="BH1292" s="1">
        <v>45140.833333333336</v>
      </c>
      <c r="BI1292">
        <v>35</v>
      </c>
      <c r="BJ1292">
        <v>7</v>
      </c>
      <c r="BK1292">
        <v>7</v>
      </c>
      <c r="BL1292">
        <v>7</v>
      </c>
      <c r="BM1292">
        <v>7</v>
      </c>
      <c r="BN1292">
        <v>7</v>
      </c>
      <c r="BO1292">
        <v>0</v>
      </c>
      <c r="BP1292">
        <v>0</v>
      </c>
      <c r="BQ1292" t="str">
        <f>"7:00 AM"</f>
        <v>7:00 AM</v>
      </c>
      <c r="BR1292" t="str">
        <f>"2:00 PM"</f>
        <v>2:00 PM</v>
      </c>
      <c r="BS1292" t="s">
        <v>131</v>
      </c>
      <c r="BT1292">
        <v>0</v>
      </c>
      <c r="BU1292">
        <v>3</v>
      </c>
      <c r="BV1292" t="s">
        <v>114</v>
      </c>
      <c r="BX1292" s="2" t="s">
        <v>10258</v>
      </c>
      <c r="BY1292" t="s">
        <v>8776</v>
      </c>
      <c r="CA1292" t="s">
        <v>8777</v>
      </c>
      <c r="CB1292" t="s">
        <v>140</v>
      </c>
      <c r="CC1292" s="8" t="str">
        <f>"33432"</f>
        <v>33432</v>
      </c>
      <c r="CD1292" t="s">
        <v>767</v>
      </c>
      <c r="CE1292" t="s">
        <v>149</v>
      </c>
      <c r="CF1292" s="12">
        <v>15</v>
      </c>
      <c r="CH1292" s="12">
        <v>22.5</v>
      </c>
      <c r="CJ1292" t="s">
        <v>135</v>
      </c>
      <c r="CK1292" t="s">
        <v>10259</v>
      </c>
      <c r="CL1292" t="s">
        <v>10260</v>
      </c>
      <c r="CO1292" t="s">
        <v>132</v>
      </c>
      <c r="CP1292" t="s">
        <v>114</v>
      </c>
      <c r="CQ1292" t="s">
        <v>136</v>
      </c>
      <c r="CR1292" t="s">
        <v>136</v>
      </c>
      <c r="CS1292" t="s">
        <v>136</v>
      </c>
      <c r="CT1292" t="s">
        <v>136</v>
      </c>
      <c r="CU1292" t="s">
        <v>136</v>
      </c>
      <c r="CV1292" s="2" t="s">
        <v>10261</v>
      </c>
      <c r="CW1292" s="10" t="str">
        <f>"+15615459577"</f>
        <v>+15615459577</v>
      </c>
      <c r="CX1292" t="s">
        <v>8781</v>
      </c>
      <c r="CY1292" t="s">
        <v>132</v>
      </c>
      <c r="CZ1292" t="s">
        <v>137</v>
      </c>
      <c r="DA1292" t="s">
        <v>114</v>
      </c>
      <c r="DB1292" t="s">
        <v>136</v>
      </c>
      <c r="DC1292" t="s">
        <v>136</v>
      </c>
      <c r="DD1292" t="s">
        <v>114</v>
      </c>
    </row>
    <row r="1293" spans="1:113" ht="15" customHeight="1" x14ac:dyDescent="0.25">
      <c r="A1293" t="s">
        <v>770</v>
      </c>
      <c r="B1293" t="s">
        <v>152</v>
      </c>
      <c r="C1293" s="1">
        <v>45169.760398032406</v>
      </c>
      <c r="D1293" s="1">
        <v>45219</v>
      </c>
      <c r="E1293" t="s">
        <v>114</v>
      </c>
      <c r="F1293" t="s">
        <v>666</v>
      </c>
      <c r="G1293" t="str">
        <f>"37-3013.00"</f>
        <v>37-3013.00</v>
      </c>
      <c r="H1293" t="s">
        <v>666</v>
      </c>
      <c r="I1293">
        <v>13</v>
      </c>
      <c r="J1293">
        <v>13</v>
      </c>
      <c r="K1293" s="1">
        <v>45245</v>
      </c>
      <c r="L1293" s="1">
        <v>45337</v>
      </c>
      <c r="M1293" s="1">
        <v>45245</v>
      </c>
      <c r="N1293" s="1">
        <v>45337</v>
      </c>
      <c r="O1293" t="s">
        <v>116</v>
      </c>
      <c r="P1293" t="s">
        <v>771</v>
      </c>
      <c r="R1293" t="s">
        <v>772</v>
      </c>
      <c r="T1293" t="s">
        <v>773</v>
      </c>
      <c r="U1293" t="s">
        <v>140</v>
      </c>
      <c r="V1293" s="8" t="str">
        <f>"33610"</f>
        <v>33610</v>
      </c>
      <c r="W1293" t="s">
        <v>118</v>
      </c>
      <c r="Y1293" s="10">
        <v>18135306637</v>
      </c>
      <c r="Z1293" s="3" t="s">
        <v>256</v>
      </c>
      <c r="AA1293">
        <v>5617</v>
      </c>
      <c r="AB1293" t="s">
        <v>774</v>
      </c>
      <c r="AC1293" t="s">
        <v>775</v>
      </c>
      <c r="AE1293" t="s">
        <v>776</v>
      </c>
      <c r="AF1293" t="s">
        <v>777</v>
      </c>
      <c r="AH1293" t="s">
        <v>773</v>
      </c>
      <c r="AI1293" t="s">
        <v>140</v>
      </c>
      <c r="AJ1293" s="8" t="str">
        <f>"33610"</f>
        <v>33610</v>
      </c>
      <c r="AK1293" t="s">
        <v>118</v>
      </c>
      <c r="AM1293" s="10">
        <v>18132554370</v>
      </c>
      <c r="AN1293" s="3" t="s">
        <v>256</v>
      </c>
      <c r="AO1293" t="s">
        <v>778</v>
      </c>
      <c r="AP1293" t="s">
        <v>248</v>
      </c>
      <c r="AQ1293" t="s">
        <v>249</v>
      </c>
      <c r="AR1293" t="s">
        <v>250</v>
      </c>
      <c r="AS1293" t="s">
        <v>251</v>
      </c>
      <c r="AT1293" t="s">
        <v>252</v>
      </c>
      <c r="AU1293" t="s">
        <v>253</v>
      </c>
      <c r="AV1293" t="s">
        <v>254</v>
      </c>
      <c r="AW1293" t="s">
        <v>127</v>
      </c>
      <c r="AX1293" s="8" t="str">
        <f>"78550"</f>
        <v>78550</v>
      </c>
      <c r="AY1293" t="s">
        <v>118</v>
      </c>
      <c r="AZ1293" t="s">
        <v>255</v>
      </c>
      <c r="BA1293" s="10">
        <v>19564408720</v>
      </c>
      <c r="BB1293" s="3" t="s">
        <v>256</v>
      </c>
      <c r="BC1293" t="s">
        <v>338</v>
      </c>
      <c r="BD1293" t="s">
        <v>258</v>
      </c>
      <c r="BG1293" t="s">
        <v>140</v>
      </c>
      <c r="BH1293" s="1">
        <v>45168.833333333336</v>
      </c>
      <c r="BI1293">
        <v>40</v>
      </c>
      <c r="BJ1293">
        <v>0</v>
      </c>
      <c r="BK1293">
        <v>8</v>
      </c>
      <c r="BL1293">
        <v>8</v>
      </c>
      <c r="BM1293">
        <v>8</v>
      </c>
      <c r="BN1293">
        <v>8</v>
      </c>
      <c r="BO1293">
        <v>8</v>
      </c>
      <c r="BP1293">
        <v>0</v>
      </c>
      <c r="BQ1293" t="str">
        <f>"7:00 AM"</f>
        <v>7:00 AM</v>
      </c>
      <c r="BR1293" t="str">
        <f>"4:00 PM"</f>
        <v>4:00 PM</v>
      </c>
      <c r="BS1293" t="s">
        <v>131</v>
      </c>
      <c r="BT1293">
        <v>0</v>
      </c>
      <c r="BU1293">
        <v>0</v>
      </c>
      <c r="BV1293" t="s">
        <v>114</v>
      </c>
      <c r="BX1293" t="s">
        <v>779</v>
      </c>
      <c r="BY1293" t="s">
        <v>780</v>
      </c>
      <c r="CA1293" t="s">
        <v>773</v>
      </c>
      <c r="CB1293" t="s">
        <v>140</v>
      </c>
      <c r="CC1293" s="8" t="str">
        <f>"33610"</f>
        <v>33610</v>
      </c>
      <c r="CD1293" t="s">
        <v>781</v>
      </c>
      <c r="CE1293" t="s">
        <v>467</v>
      </c>
      <c r="CF1293" s="12">
        <v>18.8</v>
      </c>
      <c r="CG1293" s="12">
        <v>18.8</v>
      </c>
      <c r="CH1293" s="12">
        <v>28.2</v>
      </c>
      <c r="CI1293" s="12">
        <v>28.2</v>
      </c>
      <c r="CJ1293" t="s">
        <v>135</v>
      </c>
      <c r="CK1293" t="s">
        <v>782</v>
      </c>
      <c r="CL1293" t="s">
        <v>783</v>
      </c>
      <c r="CO1293" t="s">
        <v>132</v>
      </c>
      <c r="CP1293" t="s">
        <v>136</v>
      </c>
      <c r="CQ1293" t="s">
        <v>136</v>
      </c>
      <c r="CR1293" t="s">
        <v>136</v>
      </c>
      <c r="CS1293" t="s">
        <v>136</v>
      </c>
      <c r="CT1293" t="s">
        <v>136</v>
      </c>
      <c r="CU1293" t="s">
        <v>136</v>
      </c>
      <c r="CV1293" s="2" t="s">
        <v>784</v>
      </c>
      <c r="CW1293" s="10" t="str">
        <f>"+18135306637"</f>
        <v>+18135306637</v>
      </c>
      <c r="CX1293" t="s">
        <v>778</v>
      </c>
      <c r="CY1293" t="s">
        <v>132</v>
      </c>
      <c r="CZ1293" t="s">
        <v>137</v>
      </c>
      <c r="DA1293" t="s">
        <v>114</v>
      </c>
      <c r="DB1293" t="s">
        <v>136</v>
      </c>
      <c r="DC1293" t="s">
        <v>136</v>
      </c>
      <c r="DD1293" t="s">
        <v>114</v>
      </c>
    </row>
    <row r="1294" spans="1:113" ht="15" customHeight="1" x14ac:dyDescent="0.25">
      <c r="A1294" t="s">
        <v>20248</v>
      </c>
      <c r="B1294" t="s">
        <v>152</v>
      </c>
      <c r="C1294" s="1">
        <v>45166.579426388889</v>
      </c>
      <c r="D1294" s="1">
        <v>45219</v>
      </c>
      <c r="E1294" t="s">
        <v>114</v>
      </c>
      <c r="F1294" t="s">
        <v>3847</v>
      </c>
      <c r="G1294" t="str">
        <f>"39-2021.00"</f>
        <v>39-2021.00</v>
      </c>
      <c r="H1294" t="s">
        <v>2895</v>
      </c>
      <c r="I1294">
        <v>14</v>
      </c>
      <c r="J1294">
        <v>14</v>
      </c>
      <c r="K1294" s="1">
        <v>45245</v>
      </c>
      <c r="L1294" s="1">
        <v>45549</v>
      </c>
      <c r="M1294" s="1">
        <v>45245</v>
      </c>
      <c r="N1294" s="1">
        <v>45549</v>
      </c>
      <c r="O1294" t="s">
        <v>238</v>
      </c>
      <c r="P1294" t="s">
        <v>20249</v>
      </c>
      <c r="R1294" t="s">
        <v>20250</v>
      </c>
      <c r="T1294" t="s">
        <v>8232</v>
      </c>
      <c r="U1294" t="s">
        <v>140</v>
      </c>
      <c r="V1294" s="8" t="str">
        <f>"33556"</f>
        <v>33556</v>
      </c>
      <c r="W1294" t="s">
        <v>118</v>
      </c>
      <c r="Y1294" s="10">
        <v>17276428553</v>
      </c>
      <c r="AA1294">
        <v>711212</v>
      </c>
      <c r="AB1294" t="s">
        <v>20251</v>
      </c>
      <c r="AC1294" t="s">
        <v>5705</v>
      </c>
      <c r="AE1294" t="s">
        <v>3852</v>
      </c>
      <c r="AF1294" t="s">
        <v>20252</v>
      </c>
      <c r="AH1294" t="s">
        <v>11985</v>
      </c>
      <c r="AI1294" t="s">
        <v>140</v>
      </c>
      <c r="AJ1294" s="8" t="str">
        <f>"33556"</f>
        <v>33556</v>
      </c>
      <c r="AK1294" t="s">
        <v>118</v>
      </c>
      <c r="AM1294" s="10">
        <v>17276428553</v>
      </c>
      <c r="AO1294" t="s">
        <v>20253</v>
      </c>
      <c r="AP1294" t="s">
        <v>121</v>
      </c>
      <c r="AQ1294" t="s">
        <v>3854</v>
      </c>
      <c r="AR1294" t="s">
        <v>144</v>
      </c>
      <c r="AS1294" t="s">
        <v>3855</v>
      </c>
      <c r="AT1294" t="s">
        <v>2605</v>
      </c>
      <c r="AU1294" t="s">
        <v>2606</v>
      </c>
      <c r="AV1294" t="s">
        <v>2607</v>
      </c>
      <c r="AW1294" t="s">
        <v>2608</v>
      </c>
      <c r="AX1294" s="8" t="str">
        <f>"73069"</f>
        <v>73069</v>
      </c>
      <c r="AY1294" t="s">
        <v>118</v>
      </c>
      <c r="BA1294" s="10">
        <v>14053642525</v>
      </c>
      <c r="BC1294" t="s">
        <v>2609</v>
      </c>
      <c r="BD1294" t="s">
        <v>2610</v>
      </c>
      <c r="BE1294" t="s">
        <v>2608</v>
      </c>
      <c r="BF1294" t="s">
        <v>2611</v>
      </c>
      <c r="BG1294" t="s">
        <v>1722</v>
      </c>
      <c r="BH1294" s="1">
        <v>45165.833333333336</v>
      </c>
      <c r="BI1294">
        <v>56</v>
      </c>
      <c r="BJ1294">
        <v>8</v>
      </c>
      <c r="BK1294">
        <v>8</v>
      </c>
      <c r="BL1294">
        <v>8</v>
      </c>
      <c r="BM1294">
        <v>8</v>
      </c>
      <c r="BN1294">
        <v>8</v>
      </c>
      <c r="BO1294">
        <v>8</v>
      </c>
      <c r="BP1294">
        <v>8</v>
      </c>
      <c r="BQ1294" t="str">
        <f>"5:00 AM"</f>
        <v>5:00 AM</v>
      </c>
      <c r="BR1294" t="str">
        <f>"5:00 PM"</f>
        <v>5:00 PM</v>
      </c>
      <c r="BS1294" t="s">
        <v>131</v>
      </c>
      <c r="BT1294">
        <v>0</v>
      </c>
      <c r="BU1294">
        <v>1</v>
      </c>
      <c r="BV1294" t="s">
        <v>114</v>
      </c>
      <c r="BX1294" s="2" t="s">
        <v>4212</v>
      </c>
      <c r="BY1294" t="s">
        <v>13010</v>
      </c>
      <c r="BZ1294" t="s">
        <v>13011</v>
      </c>
      <c r="CA1294" t="s">
        <v>13012</v>
      </c>
      <c r="CB1294" t="s">
        <v>1722</v>
      </c>
      <c r="CC1294" s="8" t="str">
        <f>"20724"</f>
        <v>20724</v>
      </c>
      <c r="CD1294" t="s">
        <v>1793</v>
      </c>
      <c r="CE1294" t="s">
        <v>1794</v>
      </c>
      <c r="CF1294" s="12">
        <v>15.56</v>
      </c>
      <c r="CG1294" s="12">
        <v>15.56</v>
      </c>
      <c r="CH1294" s="12">
        <v>23.34</v>
      </c>
      <c r="CI1294" s="12">
        <v>23.34</v>
      </c>
      <c r="CJ1294" t="s">
        <v>135</v>
      </c>
      <c r="CL1294" t="s">
        <v>20254</v>
      </c>
      <c r="CO1294" t="s">
        <v>132</v>
      </c>
      <c r="CP1294" t="s">
        <v>114</v>
      </c>
      <c r="CQ1294" t="s">
        <v>114</v>
      </c>
      <c r="CR1294" t="s">
        <v>136</v>
      </c>
      <c r="CS1294" t="s">
        <v>114</v>
      </c>
      <c r="CT1294" t="s">
        <v>136</v>
      </c>
      <c r="CU1294" t="s">
        <v>136</v>
      </c>
      <c r="CV1294" t="s">
        <v>4029</v>
      </c>
      <c r="CW1294" s="10" t="str">
        <f>"+17276428553"</f>
        <v>+17276428553</v>
      </c>
      <c r="CX1294" t="s">
        <v>20253</v>
      </c>
      <c r="CY1294" t="s">
        <v>132</v>
      </c>
      <c r="CZ1294" t="s">
        <v>137</v>
      </c>
      <c r="DA1294" t="s">
        <v>114</v>
      </c>
      <c r="DB1294" t="s">
        <v>114</v>
      </c>
      <c r="DC1294" t="s">
        <v>136</v>
      </c>
      <c r="DD1294" t="s">
        <v>114</v>
      </c>
    </row>
    <row r="1295" spans="1:113" ht="15" customHeight="1" x14ac:dyDescent="0.25">
      <c r="A1295" t="s">
        <v>11798</v>
      </c>
      <c r="B1295" t="s">
        <v>152</v>
      </c>
      <c r="C1295" s="1">
        <v>45165.503967708333</v>
      </c>
      <c r="D1295" s="1">
        <v>45219</v>
      </c>
      <c r="E1295" t="s">
        <v>114</v>
      </c>
      <c r="F1295" t="s">
        <v>9859</v>
      </c>
      <c r="G1295" t="str">
        <f>"39-3091.00"</f>
        <v>39-3091.00</v>
      </c>
      <c r="H1295" t="s">
        <v>237</v>
      </c>
      <c r="I1295">
        <v>18</v>
      </c>
      <c r="J1295">
        <v>18</v>
      </c>
      <c r="K1295" s="1">
        <v>45255</v>
      </c>
      <c r="L1295" s="1">
        <v>45382</v>
      </c>
      <c r="M1295" s="1">
        <v>45255</v>
      </c>
      <c r="N1295" s="1">
        <v>45382</v>
      </c>
      <c r="O1295" t="s">
        <v>116</v>
      </c>
      <c r="P1295" t="s">
        <v>6305</v>
      </c>
      <c r="Q1295" t="s">
        <v>6306</v>
      </c>
      <c r="R1295" t="s">
        <v>6307</v>
      </c>
      <c r="T1295" t="s">
        <v>6308</v>
      </c>
      <c r="U1295" t="s">
        <v>506</v>
      </c>
      <c r="V1295" s="8" t="str">
        <f>"05155"</f>
        <v>05155</v>
      </c>
      <c r="W1295" t="s">
        <v>118</v>
      </c>
      <c r="Y1295" s="10">
        <v>18022974103</v>
      </c>
      <c r="AA1295">
        <v>72111</v>
      </c>
      <c r="AB1295" t="s">
        <v>1211</v>
      </c>
      <c r="AC1295" t="s">
        <v>6309</v>
      </c>
      <c r="AE1295" t="s">
        <v>3922</v>
      </c>
      <c r="AF1295" t="s">
        <v>6310</v>
      </c>
      <c r="AH1295" t="s">
        <v>6308</v>
      </c>
      <c r="AI1295" t="s">
        <v>506</v>
      </c>
      <c r="AJ1295" s="8" t="str">
        <f>"05155"</f>
        <v>05155</v>
      </c>
      <c r="AK1295" t="s">
        <v>118</v>
      </c>
      <c r="AM1295" s="10">
        <v>18022974103</v>
      </c>
      <c r="AO1295" t="s">
        <v>6311</v>
      </c>
      <c r="AP1295" t="s">
        <v>121</v>
      </c>
      <c r="AQ1295" t="s">
        <v>1675</v>
      </c>
      <c r="AR1295" t="s">
        <v>1676</v>
      </c>
      <c r="AS1295" t="s">
        <v>1677</v>
      </c>
      <c r="AT1295" t="s">
        <v>1678</v>
      </c>
      <c r="AU1295" t="s">
        <v>296</v>
      </c>
      <c r="AV1295" t="s">
        <v>1679</v>
      </c>
      <c r="AW1295" t="s">
        <v>402</v>
      </c>
      <c r="AX1295" s="8" t="str">
        <f>"91361"</f>
        <v>91361</v>
      </c>
      <c r="AY1295" t="s">
        <v>118</v>
      </c>
      <c r="BA1295" s="10">
        <v>18052611393</v>
      </c>
      <c r="BC1295" t="s">
        <v>1680</v>
      </c>
      <c r="BD1295" t="s">
        <v>1681</v>
      </c>
      <c r="BE1295" t="s">
        <v>140</v>
      </c>
      <c r="BF1295" t="s">
        <v>146</v>
      </c>
      <c r="BG1295" t="s">
        <v>506</v>
      </c>
      <c r="BH1295" s="1">
        <v>45130.833333333336</v>
      </c>
      <c r="BI1295">
        <v>35</v>
      </c>
      <c r="BJ1295">
        <v>5</v>
      </c>
      <c r="BK1295">
        <v>5</v>
      </c>
      <c r="BL1295">
        <v>5</v>
      </c>
      <c r="BM1295">
        <v>5</v>
      </c>
      <c r="BN1295">
        <v>5</v>
      </c>
      <c r="BO1295">
        <v>5</v>
      </c>
      <c r="BP1295">
        <v>5</v>
      </c>
      <c r="BQ1295" t="str">
        <f>"6:00 AM"</f>
        <v>6:00 AM</v>
      </c>
      <c r="BR1295" t="str">
        <f>"1:00 PM"</f>
        <v>1:00 PM</v>
      </c>
      <c r="BS1295" t="s">
        <v>131</v>
      </c>
      <c r="BT1295">
        <v>0</v>
      </c>
      <c r="BU1295">
        <v>3</v>
      </c>
      <c r="BV1295" t="s">
        <v>114</v>
      </c>
      <c r="BX1295" s="2" t="s">
        <v>11799</v>
      </c>
      <c r="BY1295" t="s">
        <v>6310</v>
      </c>
      <c r="CA1295" t="s">
        <v>6313</v>
      </c>
      <c r="CB1295" t="s">
        <v>506</v>
      </c>
      <c r="CC1295" s="8" t="str">
        <f>"05155"</f>
        <v>05155</v>
      </c>
      <c r="CD1295" t="s">
        <v>6314</v>
      </c>
      <c r="CE1295" t="s">
        <v>523</v>
      </c>
      <c r="CF1295" s="12">
        <v>13.87</v>
      </c>
      <c r="CG1295" s="12">
        <v>21</v>
      </c>
      <c r="CH1295" s="12">
        <v>20.81</v>
      </c>
      <c r="CI1295" s="12">
        <v>31.5</v>
      </c>
      <c r="CJ1295" t="s">
        <v>135</v>
      </c>
      <c r="CK1295" t="s">
        <v>11800</v>
      </c>
      <c r="CL1295" t="s">
        <v>11801</v>
      </c>
      <c r="CO1295" t="s">
        <v>132</v>
      </c>
      <c r="CP1295" t="s">
        <v>114</v>
      </c>
      <c r="CQ1295" t="s">
        <v>136</v>
      </c>
      <c r="CR1295" t="s">
        <v>136</v>
      </c>
      <c r="CS1295" t="s">
        <v>136</v>
      </c>
      <c r="CT1295" t="s">
        <v>136</v>
      </c>
      <c r="CU1295" t="s">
        <v>136</v>
      </c>
      <c r="CV1295" s="2" t="s">
        <v>6501</v>
      </c>
      <c r="CW1295" s="10" t="str">
        <f>"+18022974106"</f>
        <v>+18022974106</v>
      </c>
      <c r="CX1295" t="s">
        <v>6318</v>
      </c>
      <c r="CY1295" t="s">
        <v>132</v>
      </c>
      <c r="CZ1295" t="s">
        <v>137</v>
      </c>
      <c r="DA1295" t="s">
        <v>114</v>
      </c>
      <c r="DB1295" t="s">
        <v>114</v>
      </c>
      <c r="DC1295" t="s">
        <v>136</v>
      </c>
      <c r="DD1295" t="s">
        <v>114</v>
      </c>
    </row>
    <row r="1296" spans="1:113" ht="15" customHeight="1" x14ac:dyDescent="0.25">
      <c r="A1296" t="s">
        <v>17325</v>
      </c>
      <c r="B1296" t="s">
        <v>152</v>
      </c>
      <c r="C1296" s="1">
        <v>45162.781540625001</v>
      </c>
      <c r="D1296" s="1">
        <v>45219</v>
      </c>
      <c r="E1296" t="s">
        <v>114</v>
      </c>
      <c r="F1296" t="s">
        <v>2310</v>
      </c>
      <c r="G1296" t="str">
        <f>"35-2014.00"</f>
        <v>35-2014.00</v>
      </c>
      <c r="H1296" t="s">
        <v>154</v>
      </c>
      <c r="I1296">
        <v>24</v>
      </c>
      <c r="J1296">
        <v>24</v>
      </c>
      <c r="K1296" s="1">
        <v>45250</v>
      </c>
      <c r="L1296" s="1">
        <v>45389</v>
      </c>
      <c r="M1296" s="1">
        <v>45250</v>
      </c>
      <c r="N1296" s="1">
        <v>45389</v>
      </c>
      <c r="O1296" t="s">
        <v>116</v>
      </c>
      <c r="P1296" t="s">
        <v>4360</v>
      </c>
      <c r="Q1296" t="s">
        <v>4361</v>
      </c>
      <c r="R1296" t="s">
        <v>4362</v>
      </c>
      <c r="S1296" t="s">
        <v>4363</v>
      </c>
      <c r="T1296" t="s">
        <v>210</v>
      </c>
      <c r="U1296" t="s">
        <v>211</v>
      </c>
      <c r="V1296" s="8" t="str">
        <f>"84060"</f>
        <v>84060</v>
      </c>
      <c r="W1296" t="s">
        <v>118</v>
      </c>
      <c r="Y1296" s="10">
        <v>14356456653</v>
      </c>
      <c r="AA1296">
        <v>72111</v>
      </c>
      <c r="AB1296" t="s">
        <v>4364</v>
      </c>
      <c r="AC1296" t="s">
        <v>4365</v>
      </c>
      <c r="AE1296" t="s">
        <v>2016</v>
      </c>
      <c r="AF1296" t="s">
        <v>4366</v>
      </c>
      <c r="AG1296" t="s">
        <v>4362</v>
      </c>
      <c r="AH1296" t="s">
        <v>210</v>
      </c>
      <c r="AI1296" t="s">
        <v>211</v>
      </c>
      <c r="AJ1296" s="8" t="str">
        <f>"84060"</f>
        <v>84060</v>
      </c>
      <c r="AK1296" t="s">
        <v>118</v>
      </c>
      <c r="AM1296" s="10">
        <v>14356456653</v>
      </c>
      <c r="AO1296" t="s">
        <v>4367</v>
      </c>
      <c r="AP1296" t="s">
        <v>121</v>
      </c>
      <c r="AQ1296" t="s">
        <v>1675</v>
      </c>
      <c r="AR1296" t="s">
        <v>1676</v>
      </c>
      <c r="AS1296" t="s">
        <v>1677</v>
      </c>
      <c r="AT1296" t="s">
        <v>1678</v>
      </c>
      <c r="AU1296" t="s">
        <v>296</v>
      </c>
      <c r="AV1296" t="s">
        <v>1679</v>
      </c>
      <c r="AW1296" t="s">
        <v>402</v>
      </c>
      <c r="AX1296" s="8" t="str">
        <f>"91361"</f>
        <v>91361</v>
      </c>
      <c r="AY1296" t="s">
        <v>118</v>
      </c>
      <c r="BA1296" s="10">
        <v>18052611393</v>
      </c>
      <c r="BC1296" t="s">
        <v>1680</v>
      </c>
      <c r="BD1296" t="s">
        <v>1681</v>
      </c>
      <c r="BE1296" t="s">
        <v>140</v>
      </c>
      <c r="BF1296" t="s">
        <v>146</v>
      </c>
      <c r="BG1296" t="s">
        <v>211</v>
      </c>
      <c r="BH1296" s="1">
        <v>45158.833333333336</v>
      </c>
      <c r="BI1296">
        <v>35</v>
      </c>
      <c r="BJ1296">
        <v>5</v>
      </c>
      <c r="BK1296">
        <v>5</v>
      </c>
      <c r="BL1296">
        <v>5</v>
      </c>
      <c r="BM1296">
        <v>5</v>
      </c>
      <c r="BN1296">
        <v>5</v>
      </c>
      <c r="BO1296">
        <v>5</v>
      </c>
      <c r="BP1296">
        <v>5</v>
      </c>
      <c r="BQ1296" t="str">
        <f>"6:00 AM"</f>
        <v>6:00 AM</v>
      </c>
      <c r="BR1296" t="str">
        <f>"2:00 PM"</f>
        <v>2:00 PM</v>
      </c>
      <c r="BS1296" t="s">
        <v>131</v>
      </c>
      <c r="BT1296">
        <v>0</v>
      </c>
      <c r="BU1296">
        <v>12</v>
      </c>
      <c r="BV1296" t="s">
        <v>114</v>
      </c>
      <c r="BX1296" s="2" t="s">
        <v>17326</v>
      </c>
      <c r="BY1296" t="s">
        <v>4362</v>
      </c>
      <c r="CA1296" t="s">
        <v>210</v>
      </c>
      <c r="CB1296" t="s">
        <v>211</v>
      </c>
      <c r="CC1296" s="8" t="str">
        <f>"84060"</f>
        <v>84060</v>
      </c>
      <c r="CD1296" t="s">
        <v>228</v>
      </c>
      <c r="CE1296" t="s">
        <v>229</v>
      </c>
      <c r="CF1296" s="12">
        <v>14.93</v>
      </c>
      <c r="CG1296" s="12">
        <v>29.62</v>
      </c>
      <c r="CH1296" s="12">
        <v>22.4</v>
      </c>
      <c r="CI1296" s="12">
        <v>44.43</v>
      </c>
      <c r="CJ1296" t="s">
        <v>135</v>
      </c>
      <c r="CK1296" t="s">
        <v>4369</v>
      </c>
      <c r="CL1296" t="s">
        <v>17327</v>
      </c>
      <c r="CO1296" t="s">
        <v>132</v>
      </c>
      <c r="CP1296" t="s">
        <v>136</v>
      </c>
      <c r="CQ1296" t="s">
        <v>114</v>
      </c>
      <c r="CR1296" t="s">
        <v>136</v>
      </c>
      <c r="CS1296" t="s">
        <v>136</v>
      </c>
      <c r="CT1296" t="s">
        <v>136</v>
      </c>
      <c r="CU1296" t="s">
        <v>136</v>
      </c>
      <c r="CV1296" s="2" t="s">
        <v>17328</v>
      </c>
      <c r="CW1296" s="10" t="str">
        <f>"+14357773074"</f>
        <v>+14357773074</v>
      </c>
      <c r="CX1296" t="s">
        <v>17114</v>
      </c>
      <c r="CY1296" t="s">
        <v>132</v>
      </c>
      <c r="CZ1296" t="s">
        <v>137</v>
      </c>
      <c r="DA1296" t="s">
        <v>114</v>
      </c>
      <c r="DB1296" t="s">
        <v>114</v>
      </c>
      <c r="DC1296" t="s">
        <v>136</v>
      </c>
      <c r="DD1296" t="s">
        <v>114</v>
      </c>
    </row>
    <row r="1297" spans="1:108" ht="15" customHeight="1" x14ac:dyDescent="0.25">
      <c r="A1297" t="s">
        <v>16966</v>
      </c>
      <c r="B1297" t="s">
        <v>152</v>
      </c>
      <c r="C1297" s="1">
        <v>45162.750531018515</v>
      </c>
      <c r="D1297" s="1">
        <v>45219</v>
      </c>
      <c r="E1297" t="s">
        <v>114</v>
      </c>
      <c r="F1297" t="s">
        <v>293</v>
      </c>
      <c r="G1297" t="str">
        <f>"37-2012.00"</f>
        <v>37-2012.00</v>
      </c>
      <c r="H1297" t="s">
        <v>205</v>
      </c>
      <c r="I1297">
        <v>42</v>
      </c>
      <c r="J1297">
        <v>42</v>
      </c>
      <c r="K1297" s="1">
        <v>45250</v>
      </c>
      <c r="L1297" s="1">
        <v>45387</v>
      </c>
      <c r="M1297" s="1">
        <v>45250</v>
      </c>
      <c r="N1297" s="1">
        <v>45387</v>
      </c>
      <c r="O1297" t="s">
        <v>116</v>
      </c>
      <c r="P1297" t="s">
        <v>4360</v>
      </c>
      <c r="Q1297" t="s">
        <v>4361</v>
      </c>
      <c r="R1297" t="s">
        <v>4362</v>
      </c>
      <c r="S1297" t="s">
        <v>4363</v>
      </c>
      <c r="T1297" t="s">
        <v>210</v>
      </c>
      <c r="U1297" t="s">
        <v>211</v>
      </c>
      <c r="V1297" s="8" t="str">
        <f>"84060"</f>
        <v>84060</v>
      </c>
      <c r="W1297" t="s">
        <v>118</v>
      </c>
      <c r="Y1297" s="10">
        <v>14356456653</v>
      </c>
      <c r="AA1297">
        <v>72111</v>
      </c>
      <c r="AB1297" t="s">
        <v>4364</v>
      </c>
      <c r="AC1297" t="s">
        <v>4365</v>
      </c>
      <c r="AE1297" t="s">
        <v>2016</v>
      </c>
      <c r="AF1297" t="s">
        <v>4366</v>
      </c>
      <c r="AG1297" t="s">
        <v>4362</v>
      </c>
      <c r="AH1297" t="s">
        <v>210</v>
      </c>
      <c r="AI1297" t="s">
        <v>211</v>
      </c>
      <c r="AJ1297" s="8" t="str">
        <f>"84060"</f>
        <v>84060</v>
      </c>
      <c r="AK1297" t="s">
        <v>118</v>
      </c>
      <c r="AM1297" s="10">
        <v>14356456653</v>
      </c>
      <c r="AO1297" t="s">
        <v>4367</v>
      </c>
      <c r="AP1297" t="s">
        <v>121</v>
      </c>
      <c r="AQ1297" t="s">
        <v>1675</v>
      </c>
      <c r="AR1297" t="s">
        <v>1676</v>
      </c>
      <c r="AS1297" t="s">
        <v>1677</v>
      </c>
      <c r="AT1297" t="s">
        <v>1678</v>
      </c>
      <c r="AU1297" t="s">
        <v>296</v>
      </c>
      <c r="AV1297" t="s">
        <v>1679</v>
      </c>
      <c r="AW1297" t="s">
        <v>402</v>
      </c>
      <c r="AX1297" s="8" t="str">
        <f>"91361"</f>
        <v>91361</v>
      </c>
      <c r="AY1297" t="s">
        <v>118</v>
      </c>
      <c r="BA1297" s="10">
        <v>18052611393</v>
      </c>
      <c r="BC1297" t="s">
        <v>1680</v>
      </c>
      <c r="BD1297" t="s">
        <v>1681</v>
      </c>
      <c r="BE1297" t="s">
        <v>140</v>
      </c>
      <c r="BF1297" t="s">
        <v>146</v>
      </c>
      <c r="BG1297" t="s">
        <v>211</v>
      </c>
      <c r="BH1297" s="1">
        <v>45159.833333333336</v>
      </c>
      <c r="BI1297">
        <v>35</v>
      </c>
      <c r="BJ1297">
        <v>5</v>
      </c>
      <c r="BK1297">
        <v>5</v>
      </c>
      <c r="BL1297">
        <v>5</v>
      </c>
      <c r="BM1297">
        <v>5</v>
      </c>
      <c r="BN1297">
        <v>5</v>
      </c>
      <c r="BO1297">
        <v>5</v>
      </c>
      <c r="BP1297">
        <v>5</v>
      </c>
      <c r="BQ1297" t="str">
        <f>"6:00 AM"</f>
        <v>6:00 AM</v>
      </c>
      <c r="BR1297" t="str">
        <f>"10:00 PM"</f>
        <v>10:00 PM</v>
      </c>
      <c r="BS1297" t="s">
        <v>131</v>
      </c>
      <c r="BT1297">
        <v>0</v>
      </c>
      <c r="BU1297">
        <v>3</v>
      </c>
      <c r="BV1297" t="s">
        <v>114</v>
      </c>
      <c r="BX1297" s="2" t="s">
        <v>16967</v>
      </c>
      <c r="BY1297" t="s">
        <v>4362</v>
      </c>
      <c r="CA1297" t="s">
        <v>210</v>
      </c>
      <c r="CB1297" t="s">
        <v>211</v>
      </c>
      <c r="CC1297" s="8" t="str">
        <f>"84060"</f>
        <v>84060</v>
      </c>
      <c r="CD1297" t="s">
        <v>228</v>
      </c>
      <c r="CE1297" t="s">
        <v>229</v>
      </c>
      <c r="CF1297" s="12">
        <v>13.65</v>
      </c>
      <c r="CG1297" s="12">
        <v>26.92</v>
      </c>
      <c r="CH1297" s="12">
        <v>20.48</v>
      </c>
      <c r="CI1297" s="12">
        <v>40.380000000000003</v>
      </c>
      <c r="CJ1297" t="s">
        <v>135</v>
      </c>
      <c r="CK1297" t="s">
        <v>16968</v>
      </c>
      <c r="CL1297" t="s">
        <v>16969</v>
      </c>
      <c r="CO1297" t="s">
        <v>132</v>
      </c>
      <c r="CP1297" t="s">
        <v>136</v>
      </c>
      <c r="CQ1297" t="s">
        <v>114</v>
      </c>
      <c r="CR1297" t="s">
        <v>136</v>
      </c>
      <c r="CS1297" t="s">
        <v>136</v>
      </c>
      <c r="CT1297" t="s">
        <v>136</v>
      </c>
      <c r="CU1297" t="s">
        <v>136</v>
      </c>
      <c r="CV1297" s="2" t="s">
        <v>16970</v>
      </c>
      <c r="CW1297" s="10" t="str">
        <f>"+14356152340"</f>
        <v>+14356152340</v>
      </c>
      <c r="CX1297" t="s">
        <v>16971</v>
      </c>
      <c r="CY1297" t="s">
        <v>132</v>
      </c>
      <c r="CZ1297" t="s">
        <v>137</v>
      </c>
      <c r="DA1297" t="s">
        <v>114</v>
      </c>
      <c r="DB1297" t="s">
        <v>114</v>
      </c>
      <c r="DC1297" t="s">
        <v>136</v>
      </c>
      <c r="DD1297" t="s">
        <v>114</v>
      </c>
    </row>
    <row r="1298" spans="1:108" ht="15" customHeight="1" x14ac:dyDescent="0.25">
      <c r="A1298" t="s">
        <v>16675</v>
      </c>
      <c r="B1298" t="s">
        <v>152</v>
      </c>
      <c r="C1298" s="1">
        <v>45160.584184375002</v>
      </c>
      <c r="D1298" s="1">
        <v>45219</v>
      </c>
      <c r="E1298" t="s">
        <v>136</v>
      </c>
      <c r="F1298" t="s">
        <v>1059</v>
      </c>
      <c r="G1298" t="str">
        <f>"35-2014.00"</f>
        <v>35-2014.00</v>
      </c>
      <c r="H1298" t="s">
        <v>154</v>
      </c>
      <c r="I1298">
        <v>2</v>
      </c>
      <c r="J1298">
        <v>2</v>
      </c>
      <c r="K1298" s="1">
        <v>45250</v>
      </c>
      <c r="L1298" s="1">
        <v>45394</v>
      </c>
      <c r="M1298" s="1">
        <v>45250</v>
      </c>
      <c r="N1298" s="1">
        <v>45394</v>
      </c>
      <c r="O1298" t="s">
        <v>116</v>
      </c>
      <c r="P1298" t="s">
        <v>16676</v>
      </c>
      <c r="Q1298" t="s">
        <v>16677</v>
      </c>
      <c r="R1298" t="s">
        <v>16678</v>
      </c>
      <c r="S1298" t="s">
        <v>132</v>
      </c>
      <c r="T1298" t="s">
        <v>6781</v>
      </c>
      <c r="U1298" t="s">
        <v>584</v>
      </c>
      <c r="V1298" s="8" t="str">
        <f>"83025"</f>
        <v>83025</v>
      </c>
      <c r="W1298" t="s">
        <v>118</v>
      </c>
      <c r="X1298" t="s">
        <v>132</v>
      </c>
      <c r="Y1298" s="10">
        <v>13077394167</v>
      </c>
      <c r="AA1298">
        <v>721110</v>
      </c>
      <c r="AB1298" t="s">
        <v>10844</v>
      </c>
      <c r="AC1298" t="s">
        <v>11306</v>
      </c>
      <c r="AE1298" t="s">
        <v>3163</v>
      </c>
      <c r="AF1298" t="s">
        <v>16678</v>
      </c>
      <c r="AG1298" t="s">
        <v>132</v>
      </c>
      <c r="AH1298" t="s">
        <v>6781</v>
      </c>
      <c r="AI1298" t="s">
        <v>584</v>
      </c>
      <c r="AJ1298" s="8" t="str">
        <f>"83025"</f>
        <v>83025</v>
      </c>
      <c r="AK1298" t="s">
        <v>118</v>
      </c>
      <c r="AM1298" s="10">
        <v>13077394167</v>
      </c>
      <c r="AO1298" t="s">
        <v>16679</v>
      </c>
      <c r="AP1298" t="s">
        <v>121</v>
      </c>
      <c r="AQ1298" t="s">
        <v>276</v>
      </c>
      <c r="AR1298" t="s">
        <v>277</v>
      </c>
      <c r="AS1298" t="s">
        <v>278</v>
      </c>
      <c r="AT1298" t="s">
        <v>279</v>
      </c>
      <c r="AU1298" t="s">
        <v>280</v>
      </c>
      <c r="AV1298" t="s">
        <v>281</v>
      </c>
      <c r="AW1298" t="s">
        <v>222</v>
      </c>
      <c r="AX1298" s="8" t="str">
        <f>"01701"</f>
        <v>01701</v>
      </c>
      <c r="AY1298" t="s">
        <v>118</v>
      </c>
      <c r="BA1298" s="10">
        <v>16179399444</v>
      </c>
      <c r="BC1298" t="s">
        <v>282</v>
      </c>
      <c r="BD1298" t="s">
        <v>283</v>
      </c>
      <c r="BE1298" t="s">
        <v>222</v>
      </c>
      <c r="BF1298" t="s">
        <v>284</v>
      </c>
      <c r="BG1298" t="s">
        <v>584</v>
      </c>
      <c r="BH1298" s="1">
        <v>45159.833333333336</v>
      </c>
      <c r="BI1298">
        <v>40</v>
      </c>
      <c r="BJ1298">
        <v>0</v>
      </c>
      <c r="BK1298">
        <v>8</v>
      </c>
      <c r="BL1298">
        <v>8</v>
      </c>
      <c r="BM1298">
        <v>8</v>
      </c>
      <c r="BN1298">
        <v>8</v>
      </c>
      <c r="BO1298">
        <v>8</v>
      </c>
      <c r="BP1298">
        <v>0</v>
      </c>
      <c r="BQ1298" t="str">
        <f>"6:00 AM"</f>
        <v>6:00 AM</v>
      </c>
      <c r="BR1298" t="str">
        <f>"2:00 PM"</f>
        <v>2:00 PM</v>
      </c>
      <c r="BS1298" t="s">
        <v>131</v>
      </c>
      <c r="BT1298">
        <v>0</v>
      </c>
      <c r="BU1298">
        <v>6</v>
      </c>
      <c r="BV1298" t="s">
        <v>114</v>
      </c>
      <c r="BX1298" s="2" t="s">
        <v>16680</v>
      </c>
      <c r="BY1298" t="s">
        <v>16678</v>
      </c>
      <c r="BZ1298" t="s">
        <v>132</v>
      </c>
      <c r="CA1298" t="s">
        <v>6781</v>
      </c>
      <c r="CB1298" t="s">
        <v>584</v>
      </c>
      <c r="CC1298" s="8" t="str">
        <f>"83025"</f>
        <v>83025</v>
      </c>
      <c r="CD1298" t="s">
        <v>588</v>
      </c>
      <c r="CE1298" t="s">
        <v>589</v>
      </c>
      <c r="CF1298" s="12">
        <v>18</v>
      </c>
      <c r="CG1298" s="12">
        <v>22</v>
      </c>
      <c r="CH1298" s="12">
        <v>27</v>
      </c>
      <c r="CI1298" s="12">
        <v>33</v>
      </c>
      <c r="CJ1298" t="s">
        <v>135</v>
      </c>
      <c r="CK1298" t="s">
        <v>16681</v>
      </c>
      <c r="CL1298" t="s">
        <v>16682</v>
      </c>
      <c r="CO1298" t="s">
        <v>132</v>
      </c>
      <c r="CP1298" t="s">
        <v>136</v>
      </c>
      <c r="CQ1298" t="s">
        <v>114</v>
      </c>
      <c r="CR1298" t="s">
        <v>136</v>
      </c>
      <c r="CS1298" t="s">
        <v>136</v>
      </c>
      <c r="CT1298" t="s">
        <v>136</v>
      </c>
      <c r="CU1298" t="s">
        <v>136</v>
      </c>
      <c r="CV1298" s="2" t="s">
        <v>16683</v>
      </c>
      <c r="CW1298" s="10" t="str">
        <f>"+13077394167"</f>
        <v>+13077394167</v>
      </c>
      <c r="CX1298" t="s">
        <v>16679</v>
      </c>
      <c r="CY1298" t="s">
        <v>132</v>
      </c>
      <c r="CZ1298" t="s">
        <v>137</v>
      </c>
      <c r="DA1298" t="s">
        <v>114</v>
      </c>
      <c r="DB1298" t="s">
        <v>114</v>
      </c>
      <c r="DC1298" t="s">
        <v>136</v>
      </c>
      <c r="DD1298" t="s">
        <v>114</v>
      </c>
    </row>
    <row r="1299" spans="1:108" ht="15" customHeight="1" x14ac:dyDescent="0.25">
      <c r="A1299" t="s">
        <v>11544</v>
      </c>
      <c r="B1299" t="s">
        <v>152</v>
      </c>
      <c r="C1299" s="1">
        <v>45160.545135879627</v>
      </c>
      <c r="D1299" s="1">
        <v>45219</v>
      </c>
      <c r="E1299" t="s">
        <v>136</v>
      </c>
      <c r="F1299" t="s">
        <v>293</v>
      </c>
      <c r="G1299" t="str">
        <f>"37-2012.00"</f>
        <v>37-2012.00</v>
      </c>
      <c r="H1299" t="s">
        <v>205</v>
      </c>
      <c r="I1299">
        <v>7</v>
      </c>
      <c r="J1299">
        <v>7</v>
      </c>
      <c r="K1299" s="1">
        <v>45245</v>
      </c>
      <c r="L1299" s="1">
        <v>45382</v>
      </c>
      <c r="M1299" s="1">
        <v>45245</v>
      </c>
      <c r="N1299" s="1">
        <v>45382</v>
      </c>
      <c r="O1299" t="s">
        <v>116</v>
      </c>
      <c r="P1299" t="s">
        <v>9971</v>
      </c>
      <c r="R1299" t="s">
        <v>9972</v>
      </c>
      <c r="S1299" t="s">
        <v>9973</v>
      </c>
      <c r="T1299" t="s">
        <v>1672</v>
      </c>
      <c r="U1299" t="s">
        <v>506</v>
      </c>
      <c r="V1299" s="8" t="str">
        <f>"05672"</f>
        <v>05672</v>
      </c>
      <c r="W1299" t="s">
        <v>118</v>
      </c>
      <c r="Y1299" s="10">
        <v>18022538511</v>
      </c>
      <c r="AA1299">
        <v>721110</v>
      </c>
      <c r="AB1299" t="s">
        <v>9974</v>
      </c>
      <c r="AC1299" t="s">
        <v>2514</v>
      </c>
      <c r="AE1299" t="s">
        <v>9975</v>
      </c>
      <c r="AF1299" t="s">
        <v>9972</v>
      </c>
      <c r="AG1299" t="s">
        <v>9973</v>
      </c>
      <c r="AH1299" t="s">
        <v>1672</v>
      </c>
      <c r="AI1299" t="s">
        <v>506</v>
      </c>
      <c r="AJ1299" s="8" t="str">
        <f>"05672"</f>
        <v>05672</v>
      </c>
      <c r="AK1299" t="s">
        <v>118</v>
      </c>
      <c r="AM1299" s="10">
        <v>18022538511</v>
      </c>
      <c r="AO1299" t="s">
        <v>9976</v>
      </c>
      <c r="AP1299" t="s">
        <v>121</v>
      </c>
      <c r="AQ1299" t="s">
        <v>276</v>
      </c>
      <c r="AR1299" t="s">
        <v>277</v>
      </c>
      <c r="AS1299" t="s">
        <v>278</v>
      </c>
      <c r="AT1299" t="s">
        <v>279</v>
      </c>
      <c r="AU1299" t="s">
        <v>280</v>
      </c>
      <c r="AV1299" t="s">
        <v>281</v>
      </c>
      <c r="AW1299" t="s">
        <v>222</v>
      </c>
      <c r="AX1299" s="8" t="str">
        <f>"01701"</f>
        <v>01701</v>
      </c>
      <c r="AY1299" t="s">
        <v>118</v>
      </c>
      <c r="BA1299" s="10">
        <v>16179399444</v>
      </c>
      <c r="BC1299" t="s">
        <v>282</v>
      </c>
      <c r="BD1299" t="s">
        <v>283</v>
      </c>
      <c r="BE1299" t="s">
        <v>222</v>
      </c>
      <c r="BF1299" t="s">
        <v>284</v>
      </c>
      <c r="BG1299" t="s">
        <v>506</v>
      </c>
      <c r="BH1299" s="1">
        <v>45159.833333333336</v>
      </c>
      <c r="BI1299">
        <v>40</v>
      </c>
      <c r="BJ1299">
        <v>0</v>
      </c>
      <c r="BK1299">
        <v>8</v>
      </c>
      <c r="BL1299">
        <v>8</v>
      </c>
      <c r="BM1299">
        <v>8</v>
      </c>
      <c r="BN1299">
        <v>8</v>
      </c>
      <c r="BO1299">
        <v>8</v>
      </c>
      <c r="BP1299">
        <v>0</v>
      </c>
      <c r="BQ1299" t="str">
        <f>"8:00 AM"</f>
        <v>8:00 AM</v>
      </c>
      <c r="BR1299" t="str">
        <f>"4:00 PM"</f>
        <v>4:00 PM</v>
      </c>
      <c r="BS1299" t="s">
        <v>131</v>
      </c>
      <c r="BT1299">
        <v>0</v>
      </c>
      <c r="BU1299">
        <v>3</v>
      </c>
      <c r="BV1299" t="s">
        <v>114</v>
      </c>
      <c r="BX1299" s="2" t="s">
        <v>11545</v>
      </c>
      <c r="BY1299" t="s">
        <v>9972</v>
      </c>
      <c r="CA1299" t="s">
        <v>1672</v>
      </c>
      <c r="CB1299" t="s">
        <v>506</v>
      </c>
      <c r="CC1299" s="8" t="str">
        <f>"05672"</f>
        <v>05672</v>
      </c>
      <c r="CD1299" t="s">
        <v>1683</v>
      </c>
      <c r="CE1299" t="s">
        <v>1108</v>
      </c>
      <c r="CF1299" s="12">
        <v>20</v>
      </c>
      <c r="CH1299" s="12">
        <v>30</v>
      </c>
      <c r="CJ1299" t="s">
        <v>135</v>
      </c>
      <c r="CK1299" t="s">
        <v>11546</v>
      </c>
      <c r="CL1299" t="s">
        <v>11547</v>
      </c>
      <c r="CO1299" t="s">
        <v>132</v>
      </c>
      <c r="CP1299" t="s">
        <v>114</v>
      </c>
      <c r="CQ1299" t="s">
        <v>114</v>
      </c>
      <c r="CR1299" t="s">
        <v>136</v>
      </c>
      <c r="CS1299" t="s">
        <v>136</v>
      </c>
      <c r="CT1299" t="s">
        <v>136</v>
      </c>
      <c r="CU1299" t="s">
        <v>136</v>
      </c>
      <c r="CV1299" t="s">
        <v>9980</v>
      </c>
      <c r="CW1299" s="10" t="str">
        <f>"+18022538511"</f>
        <v>+18022538511</v>
      </c>
      <c r="CX1299" t="s">
        <v>9981</v>
      </c>
      <c r="CY1299" t="s">
        <v>132</v>
      </c>
      <c r="CZ1299" t="s">
        <v>137</v>
      </c>
      <c r="DA1299" t="s">
        <v>114</v>
      </c>
      <c r="DB1299" t="s">
        <v>114</v>
      </c>
      <c r="DC1299" t="s">
        <v>136</v>
      </c>
      <c r="DD1299" t="s">
        <v>114</v>
      </c>
    </row>
    <row r="1300" spans="1:108" ht="15" customHeight="1" x14ac:dyDescent="0.25">
      <c r="A1300" t="s">
        <v>9969</v>
      </c>
      <c r="B1300" t="s">
        <v>152</v>
      </c>
      <c r="C1300" s="1">
        <v>45160.542503009259</v>
      </c>
      <c r="D1300" s="1">
        <v>45219</v>
      </c>
      <c r="E1300" t="s">
        <v>136</v>
      </c>
      <c r="F1300" t="s">
        <v>9970</v>
      </c>
      <c r="G1300" t="str">
        <f>"35-2021.00"</f>
        <v>35-2021.00</v>
      </c>
      <c r="H1300" t="s">
        <v>2303</v>
      </c>
      <c r="I1300">
        <v>3</v>
      </c>
      <c r="J1300">
        <v>3</v>
      </c>
      <c r="K1300" s="1">
        <v>45245</v>
      </c>
      <c r="L1300" s="1">
        <v>45382</v>
      </c>
      <c r="M1300" s="1">
        <v>45245</v>
      </c>
      <c r="N1300" s="1">
        <v>45382</v>
      </c>
      <c r="O1300" t="s">
        <v>116</v>
      </c>
      <c r="P1300" t="s">
        <v>9971</v>
      </c>
      <c r="R1300" t="s">
        <v>9972</v>
      </c>
      <c r="S1300" t="s">
        <v>9973</v>
      </c>
      <c r="T1300" t="s">
        <v>1672</v>
      </c>
      <c r="U1300" t="s">
        <v>506</v>
      </c>
      <c r="V1300" s="8" t="str">
        <f>"05672"</f>
        <v>05672</v>
      </c>
      <c r="W1300" t="s">
        <v>118</v>
      </c>
      <c r="Y1300" s="10">
        <v>18022538511</v>
      </c>
      <c r="AA1300">
        <v>721110</v>
      </c>
      <c r="AB1300" t="s">
        <v>9974</v>
      </c>
      <c r="AC1300" t="s">
        <v>2514</v>
      </c>
      <c r="AE1300" t="s">
        <v>9975</v>
      </c>
      <c r="AF1300" t="s">
        <v>9972</v>
      </c>
      <c r="AG1300" t="s">
        <v>9973</v>
      </c>
      <c r="AH1300" t="s">
        <v>1672</v>
      </c>
      <c r="AI1300" t="s">
        <v>506</v>
      </c>
      <c r="AJ1300" s="8" t="str">
        <f>"05672"</f>
        <v>05672</v>
      </c>
      <c r="AK1300" t="s">
        <v>118</v>
      </c>
      <c r="AM1300" s="10">
        <v>18022538511</v>
      </c>
      <c r="AO1300" t="s">
        <v>9976</v>
      </c>
      <c r="AP1300" t="s">
        <v>121</v>
      </c>
      <c r="AQ1300" t="s">
        <v>276</v>
      </c>
      <c r="AR1300" t="s">
        <v>277</v>
      </c>
      <c r="AS1300" t="s">
        <v>278</v>
      </c>
      <c r="AT1300" t="s">
        <v>279</v>
      </c>
      <c r="AU1300" t="s">
        <v>280</v>
      </c>
      <c r="AV1300" t="s">
        <v>281</v>
      </c>
      <c r="AW1300" t="s">
        <v>222</v>
      </c>
      <c r="AX1300" s="8" t="str">
        <f>"01701"</f>
        <v>01701</v>
      </c>
      <c r="AY1300" t="s">
        <v>118</v>
      </c>
      <c r="BA1300" s="10">
        <v>16179399444</v>
      </c>
      <c r="BC1300" t="s">
        <v>282</v>
      </c>
      <c r="BD1300" t="s">
        <v>283</v>
      </c>
      <c r="BE1300" t="s">
        <v>222</v>
      </c>
      <c r="BF1300" t="s">
        <v>284</v>
      </c>
      <c r="BG1300" t="s">
        <v>506</v>
      </c>
      <c r="BH1300" s="1">
        <v>45159.833333333336</v>
      </c>
      <c r="BI1300">
        <v>40</v>
      </c>
      <c r="BJ1300">
        <v>0</v>
      </c>
      <c r="BK1300">
        <v>8</v>
      </c>
      <c r="BL1300">
        <v>8</v>
      </c>
      <c r="BM1300">
        <v>8</v>
      </c>
      <c r="BN1300">
        <v>8</v>
      </c>
      <c r="BO1300">
        <v>8</v>
      </c>
      <c r="BP1300">
        <v>0</v>
      </c>
      <c r="BQ1300" t="str">
        <f>"8:00 AM"</f>
        <v>8:00 AM</v>
      </c>
      <c r="BR1300" t="str">
        <f>"4:00 PM"</f>
        <v>4:00 PM</v>
      </c>
      <c r="BS1300" t="s">
        <v>131</v>
      </c>
      <c r="BT1300">
        <v>0</v>
      </c>
      <c r="BU1300">
        <v>3</v>
      </c>
      <c r="BV1300" t="s">
        <v>114</v>
      </c>
      <c r="BX1300" s="2" t="s">
        <v>9977</v>
      </c>
      <c r="BY1300" t="s">
        <v>9972</v>
      </c>
      <c r="CA1300" t="s">
        <v>1672</v>
      </c>
      <c r="CB1300" t="s">
        <v>506</v>
      </c>
      <c r="CC1300" s="8" t="str">
        <f>"05672"</f>
        <v>05672</v>
      </c>
      <c r="CD1300" t="s">
        <v>1683</v>
      </c>
      <c r="CE1300" t="s">
        <v>1108</v>
      </c>
      <c r="CF1300" s="12">
        <v>17</v>
      </c>
      <c r="CH1300" s="12">
        <v>25.5</v>
      </c>
      <c r="CJ1300" t="s">
        <v>135</v>
      </c>
      <c r="CK1300" t="s">
        <v>9978</v>
      </c>
      <c r="CL1300" t="s">
        <v>9979</v>
      </c>
      <c r="CO1300" t="s">
        <v>132</v>
      </c>
      <c r="CP1300" t="s">
        <v>114</v>
      </c>
      <c r="CQ1300" t="s">
        <v>114</v>
      </c>
      <c r="CR1300" t="s">
        <v>136</v>
      </c>
      <c r="CS1300" t="s">
        <v>136</v>
      </c>
      <c r="CT1300" t="s">
        <v>136</v>
      </c>
      <c r="CU1300" t="s">
        <v>136</v>
      </c>
      <c r="CV1300" t="s">
        <v>9980</v>
      </c>
      <c r="CW1300" s="10" t="str">
        <f>"+18022538511"</f>
        <v>+18022538511</v>
      </c>
      <c r="CX1300" t="s">
        <v>9981</v>
      </c>
      <c r="CY1300" t="s">
        <v>132</v>
      </c>
      <c r="CZ1300" t="s">
        <v>137</v>
      </c>
      <c r="DA1300" t="s">
        <v>114</v>
      </c>
      <c r="DB1300" t="s">
        <v>114</v>
      </c>
      <c r="DC1300" t="s">
        <v>136</v>
      </c>
      <c r="DD1300" t="s">
        <v>114</v>
      </c>
    </row>
    <row r="1301" spans="1:108" ht="15" customHeight="1" x14ac:dyDescent="0.25">
      <c r="A1301" t="s">
        <v>14148</v>
      </c>
      <c r="B1301" t="s">
        <v>152</v>
      </c>
      <c r="C1301" s="1">
        <v>45160.538838541666</v>
      </c>
      <c r="D1301" s="1">
        <v>45219</v>
      </c>
      <c r="E1301" t="s">
        <v>136</v>
      </c>
      <c r="F1301" t="s">
        <v>7083</v>
      </c>
      <c r="G1301" t="str">
        <f>"35-2014.00"</f>
        <v>35-2014.00</v>
      </c>
      <c r="H1301" t="s">
        <v>154</v>
      </c>
      <c r="I1301">
        <v>3</v>
      </c>
      <c r="J1301">
        <v>3</v>
      </c>
      <c r="K1301" s="1">
        <v>45245</v>
      </c>
      <c r="L1301" s="1">
        <v>45382</v>
      </c>
      <c r="M1301" s="1">
        <v>45245</v>
      </c>
      <c r="N1301" s="1">
        <v>45382</v>
      </c>
      <c r="O1301" t="s">
        <v>116</v>
      </c>
      <c r="P1301" t="s">
        <v>9971</v>
      </c>
      <c r="R1301" t="s">
        <v>9972</v>
      </c>
      <c r="S1301" t="s">
        <v>9973</v>
      </c>
      <c r="T1301" t="s">
        <v>1672</v>
      </c>
      <c r="U1301" t="s">
        <v>506</v>
      </c>
      <c r="V1301" s="8" t="str">
        <f>"05672"</f>
        <v>05672</v>
      </c>
      <c r="W1301" t="s">
        <v>118</v>
      </c>
      <c r="Y1301" s="10">
        <v>18022538511</v>
      </c>
      <c r="AA1301">
        <v>721110</v>
      </c>
      <c r="AB1301" t="s">
        <v>9974</v>
      </c>
      <c r="AC1301" t="s">
        <v>2514</v>
      </c>
      <c r="AE1301" t="s">
        <v>9975</v>
      </c>
      <c r="AF1301" t="s">
        <v>9972</v>
      </c>
      <c r="AG1301" t="s">
        <v>9973</v>
      </c>
      <c r="AH1301" t="s">
        <v>1672</v>
      </c>
      <c r="AI1301" t="s">
        <v>506</v>
      </c>
      <c r="AJ1301" s="8" t="str">
        <f>"05672"</f>
        <v>05672</v>
      </c>
      <c r="AK1301" t="s">
        <v>118</v>
      </c>
      <c r="AM1301" s="10">
        <v>18022538511</v>
      </c>
      <c r="AO1301" t="s">
        <v>9976</v>
      </c>
      <c r="AP1301" t="s">
        <v>121</v>
      </c>
      <c r="AQ1301" t="s">
        <v>276</v>
      </c>
      <c r="AR1301" t="s">
        <v>277</v>
      </c>
      <c r="AS1301" t="s">
        <v>278</v>
      </c>
      <c r="AT1301" t="s">
        <v>279</v>
      </c>
      <c r="AU1301" t="s">
        <v>280</v>
      </c>
      <c r="AV1301" t="s">
        <v>281</v>
      </c>
      <c r="AW1301" t="s">
        <v>222</v>
      </c>
      <c r="AX1301" s="8" t="str">
        <f>"01701"</f>
        <v>01701</v>
      </c>
      <c r="AY1301" t="s">
        <v>118</v>
      </c>
      <c r="BA1301" s="10">
        <v>16179399444</v>
      </c>
      <c r="BC1301" t="s">
        <v>282</v>
      </c>
      <c r="BD1301" t="s">
        <v>283</v>
      </c>
      <c r="BE1301" t="s">
        <v>222</v>
      </c>
      <c r="BF1301" t="s">
        <v>284</v>
      </c>
      <c r="BG1301" t="s">
        <v>506</v>
      </c>
      <c r="BH1301" s="1">
        <v>45159.833333333336</v>
      </c>
      <c r="BI1301">
        <v>40</v>
      </c>
      <c r="BJ1301">
        <v>0</v>
      </c>
      <c r="BK1301">
        <v>8</v>
      </c>
      <c r="BL1301">
        <v>8</v>
      </c>
      <c r="BM1301">
        <v>8</v>
      </c>
      <c r="BN1301">
        <v>8</v>
      </c>
      <c r="BO1301">
        <v>8</v>
      </c>
      <c r="BP1301">
        <v>0</v>
      </c>
      <c r="BQ1301" t="str">
        <f>"8:00 AM"</f>
        <v>8:00 AM</v>
      </c>
      <c r="BR1301" t="str">
        <f>"4:00 PM"</f>
        <v>4:00 PM</v>
      </c>
      <c r="BS1301" t="s">
        <v>131</v>
      </c>
      <c r="BT1301">
        <v>0</v>
      </c>
      <c r="BU1301">
        <v>6</v>
      </c>
      <c r="BV1301" t="s">
        <v>114</v>
      </c>
      <c r="BX1301" s="2" t="s">
        <v>14149</v>
      </c>
      <c r="BY1301" t="s">
        <v>9972</v>
      </c>
      <c r="CA1301" t="s">
        <v>1672</v>
      </c>
      <c r="CB1301" t="s">
        <v>506</v>
      </c>
      <c r="CC1301" s="8" t="str">
        <f>"05672"</f>
        <v>05672</v>
      </c>
      <c r="CD1301" t="s">
        <v>1683</v>
      </c>
      <c r="CE1301" t="s">
        <v>1108</v>
      </c>
      <c r="CF1301" s="12">
        <v>20</v>
      </c>
      <c r="CH1301" s="12">
        <v>30</v>
      </c>
      <c r="CJ1301" t="s">
        <v>135</v>
      </c>
      <c r="CK1301" t="s">
        <v>14150</v>
      </c>
      <c r="CL1301" t="s">
        <v>14151</v>
      </c>
      <c r="CO1301" t="s">
        <v>132</v>
      </c>
      <c r="CP1301" t="s">
        <v>114</v>
      </c>
      <c r="CQ1301" t="s">
        <v>114</v>
      </c>
      <c r="CR1301" t="s">
        <v>136</v>
      </c>
      <c r="CS1301" t="s">
        <v>136</v>
      </c>
      <c r="CT1301" t="s">
        <v>136</v>
      </c>
      <c r="CU1301" t="s">
        <v>136</v>
      </c>
      <c r="CV1301" t="s">
        <v>9980</v>
      </c>
      <c r="CW1301" s="10" t="str">
        <f>"+18022538511"</f>
        <v>+18022538511</v>
      </c>
      <c r="CX1301" t="s">
        <v>9981</v>
      </c>
      <c r="CY1301" t="s">
        <v>132</v>
      </c>
      <c r="CZ1301" t="s">
        <v>137</v>
      </c>
      <c r="DA1301" t="s">
        <v>114</v>
      </c>
      <c r="DB1301" t="s">
        <v>114</v>
      </c>
      <c r="DC1301" t="s">
        <v>136</v>
      </c>
      <c r="DD1301" t="s">
        <v>114</v>
      </c>
    </row>
    <row r="1302" spans="1:108" ht="15" customHeight="1" x14ac:dyDescent="0.25">
      <c r="A1302" t="s">
        <v>21761</v>
      </c>
      <c r="B1302" t="s">
        <v>152</v>
      </c>
      <c r="C1302" s="1">
        <v>45160.478391319448</v>
      </c>
      <c r="D1302" s="1">
        <v>45219</v>
      </c>
      <c r="E1302" t="s">
        <v>136</v>
      </c>
      <c r="F1302" t="s">
        <v>1689</v>
      </c>
      <c r="G1302" t="str">
        <f>"37-2012.00"</f>
        <v>37-2012.00</v>
      </c>
      <c r="H1302" t="s">
        <v>205</v>
      </c>
      <c r="I1302">
        <v>26</v>
      </c>
      <c r="J1302">
        <v>26</v>
      </c>
      <c r="K1302" s="1">
        <v>45250</v>
      </c>
      <c r="L1302" s="1">
        <v>45394</v>
      </c>
      <c r="M1302" s="1">
        <v>45250</v>
      </c>
      <c r="N1302" s="1">
        <v>45394</v>
      </c>
      <c r="O1302" t="s">
        <v>116</v>
      </c>
      <c r="P1302" t="s">
        <v>16676</v>
      </c>
      <c r="Q1302" t="s">
        <v>16677</v>
      </c>
      <c r="R1302" t="s">
        <v>16678</v>
      </c>
      <c r="S1302" t="s">
        <v>132</v>
      </c>
      <c r="T1302" t="s">
        <v>6781</v>
      </c>
      <c r="U1302" t="s">
        <v>584</v>
      </c>
      <c r="V1302" s="8" t="str">
        <f>"83025"</f>
        <v>83025</v>
      </c>
      <c r="W1302" t="s">
        <v>118</v>
      </c>
      <c r="X1302" t="s">
        <v>132</v>
      </c>
      <c r="Y1302" s="10">
        <v>13077394167</v>
      </c>
      <c r="AA1302">
        <v>721110</v>
      </c>
      <c r="AB1302" t="s">
        <v>10844</v>
      </c>
      <c r="AC1302" t="s">
        <v>11306</v>
      </c>
      <c r="AE1302" t="s">
        <v>3163</v>
      </c>
      <c r="AF1302" t="s">
        <v>16678</v>
      </c>
      <c r="AG1302" t="s">
        <v>132</v>
      </c>
      <c r="AH1302" t="s">
        <v>6781</v>
      </c>
      <c r="AI1302" t="s">
        <v>584</v>
      </c>
      <c r="AJ1302" s="8" t="str">
        <f>"83025"</f>
        <v>83025</v>
      </c>
      <c r="AK1302" t="s">
        <v>118</v>
      </c>
      <c r="AM1302" s="10">
        <v>13077394167</v>
      </c>
      <c r="AO1302" t="s">
        <v>16679</v>
      </c>
      <c r="AP1302" t="s">
        <v>121</v>
      </c>
      <c r="AQ1302" t="s">
        <v>276</v>
      </c>
      <c r="AR1302" t="s">
        <v>277</v>
      </c>
      <c r="AS1302" t="s">
        <v>278</v>
      </c>
      <c r="AT1302" t="s">
        <v>279</v>
      </c>
      <c r="AU1302" t="s">
        <v>280</v>
      </c>
      <c r="AV1302" t="s">
        <v>281</v>
      </c>
      <c r="AW1302" t="s">
        <v>222</v>
      </c>
      <c r="AX1302" s="8" t="str">
        <f>"01701"</f>
        <v>01701</v>
      </c>
      <c r="AY1302" t="s">
        <v>118</v>
      </c>
      <c r="BA1302" s="10">
        <v>16179399444</v>
      </c>
      <c r="BC1302" t="s">
        <v>282</v>
      </c>
      <c r="BD1302" t="s">
        <v>283</v>
      </c>
      <c r="BE1302" t="s">
        <v>222</v>
      </c>
      <c r="BF1302" t="s">
        <v>284</v>
      </c>
      <c r="BG1302" t="s">
        <v>584</v>
      </c>
      <c r="BH1302" s="1">
        <v>45159.833333333336</v>
      </c>
      <c r="BI1302">
        <v>35</v>
      </c>
      <c r="BJ1302">
        <v>0</v>
      </c>
      <c r="BK1302">
        <v>7</v>
      </c>
      <c r="BL1302">
        <v>7</v>
      </c>
      <c r="BM1302">
        <v>7</v>
      </c>
      <c r="BN1302">
        <v>7</v>
      </c>
      <c r="BO1302">
        <v>7</v>
      </c>
      <c r="BP1302">
        <v>0</v>
      </c>
      <c r="BQ1302" t="str">
        <f>"8:00 AM"</f>
        <v>8:00 AM</v>
      </c>
      <c r="BR1302" t="str">
        <f>"3:00 PM"</f>
        <v>3:00 PM</v>
      </c>
      <c r="BS1302" t="s">
        <v>131</v>
      </c>
      <c r="BT1302">
        <v>0</v>
      </c>
      <c r="BU1302">
        <v>3</v>
      </c>
      <c r="BV1302" t="s">
        <v>114</v>
      </c>
      <c r="BX1302" s="2" t="s">
        <v>21762</v>
      </c>
      <c r="BY1302" t="s">
        <v>16678</v>
      </c>
      <c r="BZ1302" t="s">
        <v>132</v>
      </c>
      <c r="CA1302" t="s">
        <v>6781</v>
      </c>
      <c r="CB1302" t="s">
        <v>584</v>
      </c>
      <c r="CC1302" s="8" t="str">
        <f>"83025"</f>
        <v>83025</v>
      </c>
      <c r="CD1302" t="s">
        <v>588</v>
      </c>
      <c r="CE1302" t="s">
        <v>589</v>
      </c>
      <c r="CF1302" s="12">
        <v>17</v>
      </c>
      <c r="CG1302" s="12">
        <v>18</v>
      </c>
      <c r="CH1302" s="12">
        <v>25.5</v>
      </c>
      <c r="CI1302" s="12">
        <v>27</v>
      </c>
      <c r="CJ1302" t="s">
        <v>135</v>
      </c>
      <c r="CK1302" t="s">
        <v>21763</v>
      </c>
      <c r="CL1302" t="s">
        <v>21764</v>
      </c>
      <c r="CO1302" t="s">
        <v>132</v>
      </c>
      <c r="CP1302" t="s">
        <v>136</v>
      </c>
      <c r="CQ1302" t="s">
        <v>114</v>
      </c>
      <c r="CR1302" t="s">
        <v>136</v>
      </c>
      <c r="CS1302" t="s">
        <v>136</v>
      </c>
      <c r="CT1302" t="s">
        <v>136</v>
      </c>
      <c r="CU1302" t="s">
        <v>136</v>
      </c>
      <c r="CV1302" s="2" t="s">
        <v>21765</v>
      </c>
      <c r="CW1302" s="10" t="str">
        <f>"+13077394167"</f>
        <v>+13077394167</v>
      </c>
      <c r="CX1302" t="s">
        <v>16679</v>
      </c>
      <c r="CY1302" t="s">
        <v>132</v>
      </c>
      <c r="CZ1302" t="s">
        <v>137</v>
      </c>
      <c r="DA1302" t="s">
        <v>114</v>
      </c>
      <c r="DB1302" t="s">
        <v>114</v>
      </c>
      <c r="DC1302" t="s">
        <v>136</v>
      </c>
      <c r="DD1302" t="s">
        <v>114</v>
      </c>
    </row>
    <row r="1303" spans="1:108" ht="15" customHeight="1" x14ac:dyDescent="0.25">
      <c r="A1303" t="s">
        <v>17128</v>
      </c>
      <c r="B1303" t="s">
        <v>152</v>
      </c>
      <c r="C1303" s="1">
        <v>45153.954428124998</v>
      </c>
      <c r="D1303" s="1">
        <v>45219</v>
      </c>
      <c r="E1303" t="s">
        <v>114</v>
      </c>
      <c r="F1303" t="s">
        <v>17129</v>
      </c>
      <c r="G1303" t="str">
        <f>"35-2014.00"</f>
        <v>35-2014.00</v>
      </c>
      <c r="H1303" t="s">
        <v>154</v>
      </c>
      <c r="I1303">
        <v>2</v>
      </c>
      <c r="J1303">
        <v>2</v>
      </c>
      <c r="K1303" s="1">
        <v>45243</v>
      </c>
      <c r="L1303" s="1">
        <v>45544</v>
      </c>
      <c r="M1303" s="1">
        <v>45243</v>
      </c>
      <c r="N1303" s="1">
        <v>45544</v>
      </c>
      <c r="O1303" t="s">
        <v>116</v>
      </c>
      <c r="P1303" t="s">
        <v>1319</v>
      </c>
      <c r="Q1303" t="s">
        <v>1320</v>
      </c>
      <c r="R1303" t="s">
        <v>1321</v>
      </c>
      <c r="T1303" t="s">
        <v>187</v>
      </c>
      <c r="U1303" t="s">
        <v>188</v>
      </c>
      <c r="V1303" s="8" t="str">
        <f>"80202"</f>
        <v>80202</v>
      </c>
      <c r="W1303" t="s">
        <v>118</v>
      </c>
      <c r="Y1303" s="10">
        <v>13055174500</v>
      </c>
      <c r="AA1303">
        <v>72111</v>
      </c>
      <c r="AB1303" t="s">
        <v>1322</v>
      </c>
      <c r="AC1303" t="s">
        <v>1323</v>
      </c>
      <c r="AE1303" t="s">
        <v>1104</v>
      </c>
      <c r="AF1303" t="s">
        <v>1324</v>
      </c>
      <c r="AH1303" t="s">
        <v>1325</v>
      </c>
      <c r="AI1303" t="s">
        <v>140</v>
      </c>
      <c r="AJ1303" s="8" t="str">
        <f>"33036"</f>
        <v>33036</v>
      </c>
      <c r="AK1303" t="s">
        <v>118</v>
      </c>
      <c r="AM1303" s="10">
        <v>13055174450</v>
      </c>
      <c r="AO1303" t="s">
        <v>1326</v>
      </c>
      <c r="AP1303" t="s">
        <v>121</v>
      </c>
      <c r="AQ1303" t="s">
        <v>1327</v>
      </c>
      <c r="AR1303" t="s">
        <v>1328</v>
      </c>
      <c r="AS1303" t="s">
        <v>1329</v>
      </c>
      <c r="AT1303" t="s">
        <v>1330</v>
      </c>
      <c r="AU1303" t="s">
        <v>1331</v>
      </c>
      <c r="AV1303" t="s">
        <v>142</v>
      </c>
      <c r="AW1303" t="s">
        <v>140</v>
      </c>
      <c r="AX1303" s="8" t="str">
        <f>"33126"</f>
        <v>33126</v>
      </c>
      <c r="AY1303" t="s">
        <v>118</v>
      </c>
      <c r="BA1303" s="10">
        <v>13057745800</v>
      </c>
      <c r="BC1303" t="s">
        <v>1332</v>
      </c>
      <c r="BD1303" t="s">
        <v>1333</v>
      </c>
      <c r="BE1303" t="s">
        <v>140</v>
      </c>
      <c r="BF1303" t="s">
        <v>17130</v>
      </c>
      <c r="BG1303" t="s">
        <v>140</v>
      </c>
      <c r="BH1303" s="1">
        <v>45152.833333333336</v>
      </c>
      <c r="BI1303">
        <v>35</v>
      </c>
      <c r="BJ1303">
        <v>7</v>
      </c>
      <c r="BK1303">
        <v>7</v>
      </c>
      <c r="BL1303">
        <v>7</v>
      </c>
      <c r="BM1303">
        <v>7</v>
      </c>
      <c r="BN1303">
        <v>7</v>
      </c>
      <c r="BO1303">
        <v>0</v>
      </c>
      <c r="BP1303">
        <v>0</v>
      </c>
      <c r="BQ1303" t="str">
        <f>"3:00 PM"</f>
        <v>3:00 PM</v>
      </c>
      <c r="BR1303" t="str">
        <f>"11:00 PM"</f>
        <v>11:00 PM</v>
      </c>
      <c r="BS1303" t="s">
        <v>131</v>
      </c>
      <c r="BT1303">
        <v>0</v>
      </c>
      <c r="BU1303">
        <v>6</v>
      </c>
      <c r="BV1303" t="s">
        <v>114</v>
      </c>
      <c r="BX1303" s="2" t="s">
        <v>17131</v>
      </c>
      <c r="BY1303" t="s">
        <v>1324</v>
      </c>
      <c r="CA1303" t="s">
        <v>1325</v>
      </c>
      <c r="CB1303" t="s">
        <v>140</v>
      </c>
      <c r="CC1303" s="8" t="str">
        <f>"33036"</f>
        <v>33036</v>
      </c>
      <c r="CD1303" t="s">
        <v>303</v>
      </c>
      <c r="CE1303" t="s">
        <v>304</v>
      </c>
      <c r="CF1303" s="12">
        <v>17</v>
      </c>
      <c r="CG1303" s="12">
        <v>18</v>
      </c>
      <c r="CH1303" s="12">
        <v>25.5</v>
      </c>
      <c r="CI1303" s="12">
        <v>27</v>
      </c>
      <c r="CJ1303" t="s">
        <v>135</v>
      </c>
      <c r="CK1303" s="2" t="s">
        <v>1335</v>
      </c>
      <c r="CL1303" t="s">
        <v>17132</v>
      </c>
      <c r="CO1303" t="s">
        <v>132</v>
      </c>
      <c r="CP1303" t="s">
        <v>136</v>
      </c>
      <c r="CQ1303" t="s">
        <v>114</v>
      </c>
      <c r="CR1303" t="s">
        <v>136</v>
      </c>
      <c r="CS1303" t="s">
        <v>136</v>
      </c>
      <c r="CT1303" t="s">
        <v>136</v>
      </c>
      <c r="CU1303" t="s">
        <v>136</v>
      </c>
      <c r="CV1303" t="s">
        <v>9938</v>
      </c>
      <c r="CW1303" s="10" t="str">
        <f>"+13055174450"</f>
        <v>+13055174450</v>
      </c>
      <c r="CX1303" t="s">
        <v>1326</v>
      </c>
      <c r="CY1303" t="s">
        <v>132</v>
      </c>
      <c r="CZ1303" t="s">
        <v>137</v>
      </c>
      <c r="DA1303" t="s">
        <v>114</v>
      </c>
      <c r="DB1303" t="s">
        <v>136</v>
      </c>
      <c r="DC1303" t="s">
        <v>136</v>
      </c>
      <c r="DD1303" t="s">
        <v>114</v>
      </c>
    </row>
    <row r="1304" spans="1:108" ht="15" customHeight="1" x14ac:dyDescent="0.25">
      <c r="A1304" t="s">
        <v>1317</v>
      </c>
      <c r="B1304" t="s">
        <v>152</v>
      </c>
      <c r="C1304" s="1">
        <v>45153.950721412039</v>
      </c>
      <c r="D1304" s="1">
        <v>45219</v>
      </c>
      <c r="E1304" t="s">
        <v>114</v>
      </c>
      <c r="F1304" t="s">
        <v>1318</v>
      </c>
      <c r="G1304" t="str">
        <f>"37-2011.00"</f>
        <v>37-2011.00</v>
      </c>
      <c r="H1304" t="s">
        <v>1089</v>
      </c>
      <c r="I1304">
        <v>6</v>
      </c>
      <c r="J1304">
        <v>6</v>
      </c>
      <c r="K1304" s="1">
        <v>45243</v>
      </c>
      <c r="L1304" s="1">
        <v>45544</v>
      </c>
      <c r="M1304" s="1">
        <v>45243</v>
      </c>
      <c r="N1304" s="1">
        <v>45544</v>
      </c>
      <c r="O1304" t="s">
        <v>116</v>
      </c>
      <c r="P1304" t="s">
        <v>1319</v>
      </c>
      <c r="Q1304" t="s">
        <v>1320</v>
      </c>
      <c r="R1304" t="s">
        <v>1321</v>
      </c>
      <c r="T1304" t="s">
        <v>187</v>
      </c>
      <c r="U1304" t="s">
        <v>188</v>
      </c>
      <c r="V1304" s="8" t="str">
        <f>"80202"</f>
        <v>80202</v>
      </c>
      <c r="W1304" t="s">
        <v>118</v>
      </c>
      <c r="Y1304" s="10">
        <v>13055174500</v>
      </c>
      <c r="AA1304">
        <v>72111</v>
      </c>
      <c r="AB1304" t="s">
        <v>1322</v>
      </c>
      <c r="AC1304" t="s">
        <v>1323</v>
      </c>
      <c r="AE1304" t="s">
        <v>1104</v>
      </c>
      <c r="AF1304" t="s">
        <v>1324</v>
      </c>
      <c r="AH1304" t="s">
        <v>1325</v>
      </c>
      <c r="AI1304" t="s">
        <v>140</v>
      </c>
      <c r="AJ1304" s="8" t="str">
        <f>"33036"</f>
        <v>33036</v>
      </c>
      <c r="AK1304" t="s">
        <v>118</v>
      </c>
      <c r="AM1304" s="10">
        <v>13055174450</v>
      </c>
      <c r="AO1304" t="s">
        <v>1326</v>
      </c>
      <c r="AP1304" t="s">
        <v>121</v>
      </c>
      <c r="AQ1304" t="s">
        <v>1327</v>
      </c>
      <c r="AR1304" t="s">
        <v>1328</v>
      </c>
      <c r="AS1304" t="s">
        <v>1329</v>
      </c>
      <c r="AT1304" t="s">
        <v>1330</v>
      </c>
      <c r="AU1304" t="s">
        <v>1331</v>
      </c>
      <c r="AV1304" t="s">
        <v>142</v>
      </c>
      <c r="AW1304" t="s">
        <v>140</v>
      </c>
      <c r="AX1304" s="8" t="str">
        <f>"33126"</f>
        <v>33126</v>
      </c>
      <c r="AY1304" t="s">
        <v>118</v>
      </c>
      <c r="BA1304" s="10">
        <v>13057745800</v>
      </c>
      <c r="BC1304" t="s">
        <v>1332</v>
      </c>
      <c r="BD1304" t="s">
        <v>1333</v>
      </c>
      <c r="BE1304" t="s">
        <v>140</v>
      </c>
      <c r="BF1304" t="s">
        <v>172</v>
      </c>
      <c r="BG1304" t="s">
        <v>140</v>
      </c>
      <c r="BH1304" s="1">
        <v>45152.833333333336</v>
      </c>
      <c r="BI1304">
        <v>35</v>
      </c>
      <c r="BJ1304">
        <v>7</v>
      </c>
      <c r="BK1304">
        <v>7</v>
      </c>
      <c r="BL1304">
        <v>7</v>
      </c>
      <c r="BM1304">
        <v>7</v>
      </c>
      <c r="BN1304">
        <v>7</v>
      </c>
      <c r="BO1304">
        <v>0</v>
      </c>
      <c r="BP1304">
        <v>0</v>
      </c>
      <c r="BQ1304" t="str">
        <f>"8:00 AM"</f>
        <v>8:00 AM</v>
      </c>
      <c r="BR1304" t="str">
        <f>"4:00 PM"</f>
        <v>4:00 PM</v>
      </c>
      <c r="BS1304" t="s">
        <v>131</v>
      </c>
      <c r="BT1304">
        <v>0</v>
      </c>
      <c r="BU1304">
        <v>3</v>
      </c>
      <c r="BV1304" t="s">
        <v>114</v>
      </c>
      <c r="BX1304" s="2" t="s">
        <v>1334</v>
      </c>
      <c r="BY1304" t="s">
        <v>1324</v>
      </c>
      <c r="CA1304" t="s">
        <v>1325</v>
      </c>
      <c r="CB1304" t="s">
        <v>140</v>
      </c>
      <c r="CC1304" s="8" t="str">
        <f>"33036"</f>
        <v>33036</v>
      </c>
      <c r="CD1304" t="s">
        <v>303</v>
      </c>
      <c r="CE1304" t="s">
        <v>304</v>
      </c>
      <c r="CF1304" s="12">
        <v>15.04</v>
      </c>
      <c r="CG1304" s="12">
        <v>16.87</v>
      </c>
      <c r="CH1304" s="12">
        <v>22.56</v>
      </c>
      <c r="CI1304" s="12">
        <v>25.31</v>
      </c>
      <c r="CJ1304" t="s">
        <v>135</v>
      </c>
      <c r="CK1304" s="2" t="s">
        <v>1335</v>
      </c>
      <c r="CL1304" t="s">
        <v>1336</v>
      </c>
      <c r="CO1304" t="s">
        <v>132</v>
      </c>
      <c r="CP1304" t="s">
        <v>136</v>
      </c>
      <c r="CQ1304" t="s">
        <v>114</v>
      </c>
      <c r="CR1304" t="s">
        <v>136</v>
      </c>
      <c r="CS1304" t="s">
        <v>136</v>
      </c>
      <c r="CT1304" t="s">
        <v>136</v>
      </c>
      <c r="CU1304" t="s">
        <v>136</v>
      </c>
      <c r="CV1304" t="s">
        <v>1337</v>
      </c>
      <c r="CW1304" s="10" t="str">
        <f>"+13055174450"</f>
        <v>+13055174450</v>
      </c>
      <c r="CX1304" t="s">
        <v>1326</v>
      </c>
      <c r="CY1304" t="s">
        <v>132</v>
      </c>
      <c r="CZ1304" t="s">
        <v>137</v>
      </c>
      <c r="DA1304" t="s">
        <v>114</v>
      </c>
      <c r="DB1304" t="s">
        <v>136</v>
      </c>
      <c r="DC1304" t="s">
        <v>136</v>
      </c>
      <c r="DD1304" t="s">
        <v>114</v>
      </c>
    </row>
    <row r="1305" spans="1:108" ht="15" customHeight="1" x14ac:dyDescent="0.25">
      <c r="A1305" t="s">
        <v>12184</v>
      </c>
      <c r="B1305" t="s">
        <v>152</v>
      </c>
      <c r="C1305" s="1">
        <v>45153.947089120367</v>
      </c>
      <c r="D1305" s="1">
        <v>45219</v>
      </c>
      <c r="E1305" t="s">
        <v>114</v>
      </c>
      <c r="F1305" t="s">
        <v>8773</v>
      </c>
      <c r="G1305" t="str">
        <f>"49-9071.00"</f>
        <v>49-9071.00</v>
      </c>
      <c r="H1305" t="s">
        <v>5714</v>
      </c>
      <c r="I1305">
        <v>4</v>
      </c>
      <c r="J1305">
        <v>4</v>
      </c>
      <c r="K1305" s="1">
        <v>45243</v>
      </c>
      <c r="L1305" s="1">
        <v>45544</v>
      </c>
      <c r="M1305" s="1">
        <v>45243</v>
      </c>
      <c r="N1305" s="1">
        <v>45544</v>
      </c>
      <c r="O1305" t="s">
        <v>116</v>
      </c>
      <c r="P1305" t="s">
        <v>1319</v>
      </c>
      <c r="Q1305" t="s">
        <v>1320</v>
      </c>
      <c r="R1305" t="s">
        <v>1321</v>
      </c>
      <c r="T1305" t="s">
        <v>187</v>
      </c>
      <c r="U1305" t="s">
        <v>188</v>
      </c>
      <c r="V1305" s="8" t="str">
        <f>"80202"</f>
        <v>80202</v>
      </c>
      <c r="W1305" t="s">
        <v>118</v>
      </c>
      <c r="Y1305" s="10">
        <v>13055174500</v>
      </c>
      <c r="AA1305">
        <v>72111</v>
      </c>
      <c r="AB1305" t="s">
        <v>1322</v>
      </c>
      <c r="AC1305" t="s">
        <v>1323</v>
      </c>
      <c r="AE1305" t="s">
        <v>1104</v>
      </c>
      <c r="AF1305" t="s">
        <v>1324</v>
      </c>
      <c r="AH1305" t="s">
        <v>1325</v>
      </c>
      <c r="AI1305" t="s">
        <v>140</v>
      </c>
      <c r="AJ1305" s="8" t="str">
        <f>"33036"</f>
        <v>33036</v>
      </c>
      <c r="AK1305" t="s">
        <v>118</v>
      </c>
      <c r="AM1305" s="10">
        <v>13055174450</v>
      </c>
      <c r="AO1305" t="s">
        <v>1326</v>
      </c>
      <c r="AP1305" t="s">
        <v>121</v>
      </c>
      <c r="AQ1305" t="s">
        <v>1327</v>
      </c>
      <c r="AR1305" t="s">
        <v>1328</v>
      </c>
      <c r="AS1305" t="s">
        <v>1329</v>
      </c>
      <c r="AT1305" t="s">
        <v>1330</v>
      </c>
      <c r="AU1305" t="s">
        <v>1331</v>
      </c>
      <c r="AV1305" t="s">
        <v>142</v>
      </c>
      <c r="AW1305" t="s">
        <v>140</v>
      </c>
      <c r="AX1305" s="8" t="str">
        <f>"33126"</f>
        <v>33126</v>
      </c>
      <c r="AY1305" t="s">
        <v>118</v>
      </c>
      <c r="BA1305" s="10">
        <v>13057745800</v>
      </c>
      <c r="BC1305" t="s">
        <v>1332</v>
      </c>
      <c r="BD1305" t="s">
        <v>1333</v>
      </c>
      <c r="BE1305" t="s">
        <v>140</v>
      </c>
      <c r="BF1305" t="s">
        <v>172</v>
      </c>
      <c r="BG1305" t="s">
        <v>140</v>
      </c>
      <c r="BH1305" s="1">
        <v>45152.833333333336</v>
      </c>
      <c r="BI1305">
        <v>35</v>
      </c>
      <c r="BJ1305">
        <v>7</v>
      </c>
      <c r="BK1305">
        <v>7</v>
      </c>
      <c r="BL1305">
        <v>7</v>
      </c>
      <c r="BM1305">
        <v>7</v>
      </c>
      <c r="BN1305">
        <v>7</v>
      </c>
      <c r="BO1305">
        <v>0</v>
      </c>
      <c r="BP1305">
        <v>0</v>
      </c>
      <c r="BQ1305" t="str">
        <f>"7:00 AM"</f>
        <v>7:00 AM</v>
      </c>
      <c r="BR1305" t="str">
        <f>"3:00 PM"</f>
        <v>3:00 PM</v>
      </c>
      <c r="BS1305" t="s">
        <v>131</v>
      </c>
      <c r="BT1305">
        <v>0</v>
      </c>
      <c r="BU1305">
        <v>6</v>
      </c>
      <c r="BV1305" t="s">
        <v>114</v>
      </c>
      <c r="BX1305" s="2" t="s">
        <v>12185</v>
      </c>
      <c r="BY1305" t="s">
        <v>1324</v>
      </c>
      <c r="CA1305" t="s">
        <v>1325</v>
      </c>
      <c r="CB1305" t="s">
        <v>140</v>
      </c>
      <c r="CC1305" s="8" t="str">
        <f>"33036"</f>
        <v>33036</v>
      </c>
      <c r="CD1305" t="s">
        <v>303</v>
      </c>
      <c r="CE1305" t="s">
        <v>304</v>
      </c>
      <c r="CF1305" s="12">
        <v>19.670000000000002</v>
      </c>
      <c r="CG1305" s="12">
        <v>21.65</v>
      </c>
      <c r="CH1305" s="12">
        <v>29.51</v>
      </c>
      <c r="CI1305" s="12">
        <v>32.479999999999997</v>
      </c>
      <c r="CJ1305" t="s">
        <v>135</v>
      </c>
      <c r="CK1305" t="s">
        <v>12186</v>
      </c>
      <c r="CL1305" t="s">
        <v>12187</v>
      </c>
      <c r="CO1305" t="s">
        <v>132</v>
      </c>
      <c r="CP1305" t="s">
        <v>136</v>
      </c>
      <c r="CQ1305" t="s">
        <v>114</v>
      </c>
      <c r="CR1305" t="s">
        <v>136</v>
      </c>
      <c r="CS1305" t="s">
        <v>136</v>
      </c>
      <c r="CT1305" t="s">
        <v>136</v>
      </c>
      <c r="CU1305" t="s">
        <v>136</v>
      </c>
      <c r="CV1305" t="s">
        <v>9938</v>
      </c>
      <c r="CW1305" s="10" t="str">
        <f>"+13055174450"</f>
        <v>+13055174450</v>
      </c>
      <c r="CX1305" t="s">
        <v>1326</v>
      </c>
      <c r="CY1305" t="s">
        <v>132</v>
      </c>
      <c r="CZ1305" t="s">
        <v>137</v>
      </c>
      <c r="DA1305" t="s">
        <v>114</v>
      </c>
      <c r="DB1305" t="s">
        <v>136</v>
      </c>
      <c r="DC1305" t="s">
        <v>136</v>
      </c>
      <c r="DD1305" t="s">
        <v>114</v>
      </c>
    </row>
    <row r="1306" spans="1:108" ht="15" customHeight="1" x14ac:dyDescent="0.25">
      <c r="A1306" t="s">
        <v>21438</v>
      </c>
      <c r="B1306" t="s">
        <v>152</v>
      </c>
      <c r="C1306" s="1">
        <v>45153.939265624998</v>
      </c>
      <c r="D1306" s="1">
        <v>45219</v>
      </c>
      <c r="E1306" t="s">
        <v>114</v>
      </c>
      <c r="F1306" t="s">
        <v>21439</v>
      </c>
      <c r="G1306" t="str">
        <f>"35-2014.00"</f>
        <v>35-2014.00</v>
      </c>
      <c r="H1306" t="s">
        <v>154</v>
      </c>
      <c r="I1306">
        <v>8</v>
      </c>
      <c r="J1306">
        <v>8</v>
      </c>
      <c r="K1306" s="1">
        <v>45243</v>
      </c>
      <c r="L1306" s="1">
        <v>45544</v>
      </c>
      <c r="M1306" s="1">
        <v>45243</v>
      </c>
      <c r="N1306" s="1">
        <v>45544</v>
      </c>
      <c r="O1306" t="s">
        <v>116</v>
      </c>
      <c r="P1306" t="s">
        <v>1319</v>
      </c>
      <c r="Q1306" t="s">
        <v>1320</v>
      </c>
      <c r="R1306" t="s">
        <v>1321</v>
      </c>
      <c r="T1306" t="s">
        <v>187</v>
      </c>
      <c r="U1306" t="s">
        <v>188</v>
      </c>
      <c r="V1306" s="8" t="str">
        <f>"80202"</f>
        <v>80202</v>
      </c>
      <c r="W1306" t="s">
        <v>118</v>
      </c>
      <c r="Y1306" s="10">
        <v>13055174500</v>
      </c>
      <c r="AA1306">
        <v>72111</v>
      </c>
      <c r="AB1306" t="s">
        <v>1322</v>
      </c>
      <c r="AC1306" t="s">
        <v>1323</v>
      </c>
      <c r="AE1306" t="s">
        <v>1104</v>
      </c>
      <c r="AF1306" t="s">
        <v>1324</v>
      </c>
      <c r="AH1306" t="s">
        <v>1325</v>
      </c>
      <c r="AI1306" t="s">
        <v>140</v>
      </c>
      <c r="AJ1306" s="8" t="str">
        <f>"33036"</f>
        <v>33036</v>
      </c>
      <c r="AK1306" t="s">
        <v>118</v>
      </c>
      <c r="AM1306" s="10">
        <v>13055174450</v>
      </c>
      <c r="AO1306" t="s">
        <v>1326</v>
      </c>
      <c r="AP1306" t="s">
        <v>121</v>
      </c>
      <c r="AQ1306" t="s">
        <v>1327</v>
      </c>
      <c r="AR1306" t="s">
        <v>1328</v>
      </c>
      <c r="AS1306" t="s">
        <v>1329</v>
      </c>
      <c r="AT1306" t="s">
        <v>1330</v>
      </c>
      <c r="AU1306" t="s">
        <v>1331</v>
      </c>
      <c r="AV1306" t="s">
        <v>142</v>
      </c>
      <c r="AW1306" t="s">
        <v>140</v>
      </c>
      <c r="AX1306" s="8" t="str">
        <f>"33126"</f>
        <v>33126</v>
      </c>
      <c r="AY1306" t="s">
        <v>118</v>
      </c>
      <c r="BA1306" s="10">
        <v>13057745800</v>
      </c>
      <c r="BC1306" t="s">
        <v>1332</v>
      </c>
      <c r="BD1306" t="s">
        <v>1333</v>
      </c>
      <c r="BE1306" t="s">
        <v>140</v>
      </c>
      <c r="BF1306" t="s">
        <v>172</v>
      </c>
      <c r="BG1306" t="s">
        <v>140</v>
      </c>
      <c r="BH1306" s="1">
        <v>45152.833333333336</v>
      </c>
      <c r="BI1306">
        <v>35</v>
      </c>
      <c r="BJ1306">
        <v>7</v>
      </c>
      <c r="BK1306">
        <v>7</v>
      </c>
      <c r="BL1306">
        <v>7</v>
      </c>
      <c r="BM1306">
        <v>7</v>
      </c>
      <c r="BN1306">
        <v>7</v>
      </c>
      <c r="BO1306">
        <v>0</v>
      </c>
      <c r="BP1306">
        <v>0</v>
      </c>
      <c r="BQ1306" t="str">
        <f>"5:00 AM"</f>
        <v>5:00 AM</v>
      </c>
      <c r="BR1306" t="str">
        <f>"1:00 PM"</f>
        <v>1:00 PM</v>
      </c>
      <c r="BS1306" t="s">
        <v>131</v>
      </c>
      <c r="BT1306">
        <v>0</v>
      </c>
      <c r="BU1306">
        <v>12</v>
      </c>
      <c r="BV1306" t="s">
        <v>114</v>
      </c>
      <c r="BX1306" s="2" t="s">
        <v>21440</v>
      </c>
      <c r="BY1306" t="s">
        <v>1324</v>
      </c>
      <c r="CA1306" t="s">
        <v>1325</v>
      </c>
      <c r="CB1306" t="s">
        <v>140</v>
      </c>
      <c r="CC1306" s="8" t="str">
        <f>"33036"</f>
        <v>33036</v>
      </c>
      <c r="CD1306" t="s">
        <v>303</v>
      </c>
      <c r="CE1306" t="s">
        <v>1325</v>
      </c>
      <c r="CF1306" s="12">
        <v>16.38</v>
      </c>
      <c r="CG1306" s="12">
        <v>18.440000000000001</v>
      </c>
      <c r="CH1306" s="12">
        <v>24.57</v>
      </c>
      <c r="CI1306" s="12">
        <v>27.66</v>
      </c>
      <c r="CJ1306" t="s">
        <v>135</v>
      </c>
      <c r="CK1306" s="2" t="s">
        <v>1335</v>
      </c>
      <c r="CL1306" t="s">
        <v>21441</v>
      </c>
      <c r="CO1306" t="s">
        <v>132</v>
      </c>
      <c r="CP1306" t="s">
        <v>136</v>
      </c>
      <c r="CQ1306" t="s">
        <v>114</v>
      </c>
      <c r="CR1306" t="s">
        <v>136</v>
      </c>
      <c r="CS1306" t="s">
        <v>136</v>
      </c>
      <c r="CT1306" t="s">
        <v>136</v>
      </c>
      <c r="CU1306" t="s">
        <v>136</v>
      </c>
      <c r="CV1306" t="s">
        <v>9938</v>
      </c>
      <c r="CW1306" s="10" t="str">
        <f>"+13055174450"</f>
        <v>+13055174450</v>
      </c>
      <c r="CX1306" t="s">
        <v>1326</v>
      </c>
      <c r="CY1306" t="s">
        <v>132</v>
      </c>
      <c r="CZ1306" t="s">
        <v>137</v>
      </c>
      <c r="DA1306" t="s">
        <v>114</v>
      </c>
      <c r="DB1306" t="s">
        <v>136</v>
      </c>
      <c r="DC1306" t="s">
        <v>136</v>
      </c>
      <c r="DD1306" t="s">
        <v>114</v>
      </c>
    </row>
    <row r="1307" spans="1:108" ht="15" customHeight="1" x14ac:dyDescent="0.25">
      <c r="A1307" t="s">
        <v>18135</v>
      </c>
      <c r="B1307" t="s">
        <v>152</v>
      </c>
      <c r="C1307" s="1">
        <v>45153.926703819445</v>
      </c>
      <c r="D1307" s="1">
        <v>45219</v>
      </c>
      <c r="E1307" t="s">
        <v>114</v>
      </c>
      <c r="F1307" t="s">
        <v>1453</v>
      </c>
      <c r="G1307" t="str">
        <f>"37-2012.00"</f>
        <v>37-2012.00</v>
      </c>
      <c r="H1307" t="s">
        <v>205</v>
      </c>
      <c r="I1307">
        <v>30</v>
      </c>
      <c r="J1307">
        <v>30</v>
      </c>
      <c r="K1307" s="1">
        <v>45243</v>
      </c>
      <c r="L1307" s="1">
        <v>45544</v>
      </c>
      <c r="M1307" s="1">
        <v>45243</v>
      </c>
      <c r="N1307" s="1">
        <v>45544</v>
      </c>
      <c r="O1307" t="s">
        <v>116</v>
      </c>
      <c r="P1307" t="s">
        <v>1319</v>
      </c>
      <c r="Q1307" t="s">
        <v>1320</v>
      </c>
      <c r="R1307" t="s">
        <v>1321</v>
      </c>
      <c r="T1307" t="s">
        <v>187</v>
      </c>
      <c r="U1307" t="s">
        <v>188</v>
      </c>
      <c r="V1307" s="8" t="str">
        <f>"80202"</f>
        <v>80202</v>
      </c>
      <c r="W1307" t="s">
        <v>118</v>
      </c>
      <c r="Y1307" s="10">
        <v>13055174500</v>
      </c>
      <c r="AA1307">
        <v>72111</v>
      </c>
      <c r="AB1307" t="s">
        <v>1322</v>
      </c>
      <c r="AC1307" t="s">
        <v>1323</v>
      </c>
      <c r="AE1307" t="s">
        <v>1104</v>
      </c>
      <c r="AF1307" t="s">
        <v>1324</v>
      </c>
      <c r="AH1307" t="s">
        <v>1325</v>
      </c>
      <c r="AI1307" t="s">
        <v>140</v>
      </c>
      <c r="AJ1307" s="8" t="str">
        <f>"33036"</f>
        <v>33036</v>
      </c>
      <c r="AK1307" t="s">
        <v>118</v>
      </c>
      <c r="AM1307" s="10">
        <v>13055174450</v>
      </c>
      <c r="AO1307" t="s">
        <v>1326</v>
      </c>
      <c r="AP1307" t="s">
        <v>121</v>
      </c>
      <c r="AQ1307" t="s">
        <v>1327</v>
      </c>
      <c r="AR1307" t="s">
        <v>1328</v>
      </c>
      <c r="AS1307" t="s">
        <v>1329</v>
      </c>
      <c r="AT1307" t="s">
        <v>1330</v>
      </c>
      <c r="AU1307" t="s">
        <v>1331</v>
      </c>
      <c r="AV1307" t="s">
        <v>142</v>
      </c>
      <c r="AW1307" t="s">
        <v>140</v>
      </c>
      <c r="AX1307" s="8" t="str">
        <f>"33126"</f>
        <v>33126</v>
      </c>
      <c r="AY1307" t="s">
        <v>118</v>
      </c>
      <c r="BA1307" s="10">
        <v>13057745800</v>
      </c>
      <c r="BC1307" t="s">
        <v>1332</v>
      </c>
      <c r="BD1307" t="s">
        <v>1333</v>
      </c>
      <c r="BE1307" t="s">
        <v>140</v>
      </c>
      <c r="BF1307" t="s">
        <v>172</v>
      </c>
      <c r="BG1307" t="s">
        <v>140</v>
      </c>
      <c r="BH1307" s="1">
        <v>45152.833333333336</v>
      </c>
      <c r="BI1307">
        <v>35</v>
      </c>
      <c r="BJ1307">
        <v>7</v>
      </c>
      <c r="BK1307">
        <v>7</v>
      </c>
      <c r="BL1307">
        <v>7</v>
      </c>
      <c r="BM1307">
        <v>7</v>
      </c>
      <c r="BN1307">
        <v>7</v>
      </c>
      <c r="BO1307">
        <v>0</v>
      </c>
      <c r="BP1307">
        <v>0</v>
      </c>
      <c r="BQ1307" t="str">
        <f>"8:30 AM"</f>
        <v>8:30 AM</v>
      </c>
      <c r="BR1307" t="str">
        <f>"4:30 PM"</f>
        <v>4:30 PM</v>
      </c>
      <c r="BS1307" t="s">
        <v>131</v>
      </c>
      <c r="BT1307">
        <v>0</v>
      </c>
      <c r="BU1307">
        <v>6</v>
      </c>
      <c r="BV1307" t="s">
        <v>114</v>
      </c>
      <c r="BX1307" s="2" t="s">
        <v>18136</v>
      </c>
      <c r="BY1307" t="s">
        <v>1324</v>
      </c>
      <c r="CA1307" t="s">
        <v>1325</v>
      </c>
      <c r="CB1307" t="s">
        <v>140</v>
      </c>
      <c r="CC1307" s="8" t="str">
        <f>"33036"</f>
        <v>33036</v>
      </c>
      <c r="CD1307" t="s">
        <v>303</v>
      </c>
      <c r="CE1307" t="s">
        <v>304</v>
      </c>
      <c r="CF1307" s="12">
        <v>15.75</v>
      </c>
      <c r="CG1307" s="12">
        <v>19.170000000000002</v>
      </c>
      <c r="CH1307" s="12">
        <v>23.63</v>
      </c>
      <c r="CI1307" s="12">
        <v>28.76</v>
      </c>
      <c r="CJ1307" t="s">
        <v>135</v>
      </c>
      <c r="CK1307" t="s">
        <v>12186</v>
      </c>
      <c r="CL1307" t="s">
        <v>18137</v>
      </c>
      <c r="CO1307" t="s">
        <v>132</v>
      </c>
      <c r="CP1307" t="s">
        <v>136</v>
      </c>
      <c r="CQ1307" t="s">
        <v>114</v>
      </c>
      <c r="CR1307" t="s">
        <v>136</v>
      </c>
      <c r="CS1307" t="s">
        <v>136</v>
      </c>
      <c r="CT1307" t="s">
        <v>136</v>
      </c>
      <c r="CU1307" t="s">
        <v>136</v>
      </c>
      <c r="CV1307" t="s">
        <v>1337</v>
      </c>
      <c r="CW1307" s="10" t="str">
        <f>"+13055174450"</f>
        <v>+13055174450</v>
      </c>
      <c r="CX1307" t="s">
        <v>1326</v>
      </c>
      <c r="CY1307" t="s">
        <v>132</v>
      </c>
      <c r="CZ1307" t="s">
        <v>137</v>
      </c>
      <c r="DA1307" t="s">
        <v>114</v>
      </c>
      <c r="DB1307" t="s">
        <v>136</v>
      </c>
      <c r="DC1307" t="s">
        <v>136</v>
      </c>
      <c r="DD1307" t="s">
        <v>114</v>
      </c>
    </row>
    <row r="1308" spans="1:108" ht="15" customHeight="1" x14ac:dyDescent="0.25">
      <c r="A1308" t="s">
        <v>19265</v>
      </c>
      <c r="B1308" t="s">
        <v>152</v>
      </c>
      <c r="C1308" s="1">
        <v>45153.914821064813</v>
      </c>
      <c r="D1308" s="1">
        <v>45219</v>
      </c>
      <c r="E1308" t="s">
        <v>114</v>
      </c>
      <c r="F1308" t="s">
        <v>11350</v>
      </c>
      <c r="G1308" t="str">
        <f>"43-4081.00"</f>
        <v>43-4081.00</v>
      </c>
      <c r="H1308" t="s">
        <v>952</v>
      </c>
      <c r="I1308">
        <v>2</v>
      </c>
      <c r="J1308">
        <v>2</v>
      </c>
      <c r="K1308" s="1">
        <v>45243</v>
      </c>
      <c r="L1308" s="1">
        <v>45544</v>
      </c>
      <c r="M1308" s="1">
        <v>45243</v>
      </c>
      <c r="N1308" s="1">
        <v>45544</v>
      </c>
      <c r="O1308" t="s">
        <v>116</v>
      </c>
      <c r="P1308" t="s">
        <v>1319</v>
      </c>
      <c r="Q1308" t="s">
        <v>1320</v>
      </c>
      <c r="R1308" t="s">
        <v>1321</v>
      </c>
      <c r="T1308" t="s">
        <v>187</v>
      </c>
      <c r="U1308" t="s">
        <v>188</v>
      </c>
      <c r="V1308" s="8" t="str">
        <f>"80202"</f>
        <v>80202</v>
      </c>
      <c r="W1308" t="s">
        <v>118</v>
      </c>
      <c r="Y1308" s="10">
        <v>13055174500</v>
      </c>
      <c r="AA1308">
        <v>72111</v>
      </c>
      <c r="AB1308" t="s">
        <v>1322</v>
      </c>
      <c r="AC1308" t="s">
        <v>1323</v>
      </c>
      <c r="AE1308" t="s">
        <v>1104</v>
      </c>
      <c r="AF1308" t="s">
        <v>1324</v>
      </c>
      <c r="AH1308" t="s">
        <v>1325</v>
      </c>
      <c r="AI1308" t="s">
        <v>140</v>
      </c>
      <c r="AJ1308" s="8" t="str">
        <f>"33036"</f>
        <v>33036</v>
      </c>
      <c r="AK1308" t="s">
        <v>118</v>
      </c>
      <c r="AM1308" s="10">
        <v>13055174450</v>
      </c>
      <c r="AO1308" t="s">
        <v>1326</v>
      </c>
      <c r="AP1308" t="s">
        <v>121</v>
      </c>
      <c r="AQ1308" t="s">
        <v>1327</v>
      </c>
      <c r="AR1308" t="s">
        <v>1328</v>
      </c>
      <c r="AS1308" t="s">
        <v>1329</v>
      </c>
      <c r="AT1308" t="s">
        <v>1330</v>
      </c>
      <c r="AU1308" t="s">
        <v>1331</v>
      </c>
      <c r="AV1308" t="s">
        <v>142</v>
      </c>
      <c r="AW1308" t="s">
        <v>140</v>
      </c>
      <c r="AX1308" s="8" t="str">
        <f>"33126"</f>
        <v>33126</v>
      </c>
      <c r="AY1308" t="s">
        <v>118</v>
      </c>
      <c r="BA1308" s="10">
        <v>13057745800</v>
      </c>
      <c r="BC1308" t="s">
        <v>1332</v>
      </c>
      <c r="BD1308" t="s">
        <v>1333</v>
      </c>
      <c r="BE1308" t="s">
        <v>140</v>
      </c>
      <c r="BF1308" t="s">
        <v>172</v>
      </c>
      <c r="BG1308" t="s">
        <v>140</v>
      </c>
      <c r="BH1308" s="1">
        <v>45152.833333333336</v>
      </c>
      <c r="BI1308">
        <v>35</v>
      </c>
      <c r="BJ1308">
        <v>7</v>
      </c>
      <c r="BK1308">
        <v>7</v>
      </c>
      <c r="BL1308">
        <v>7</v>
      </c>
      <c r="BM1308">
        <v>7</v>
      </c>
      <c r="BN1308">
        <v>7</v>
      </c>
      <c r="BO1308">
        <v>0</v>
      </c>
      <c r="BP1308">
        <v>0</v>
      </c>
      <c r="BQ1308" t="str">
        <f>"6:00 AM"</f>
        <v>6:00 AM</v>
      </c>
      <c r="BR1308" t="str">
        <f>"2:00 PM"</f>
        <v>2:00 PM</v>
      </c>
      <c r="BS1308" t="s">
        <v>131</v>
      </c>
      <c r="BT1308">
        <v>0</v>
      </c>
      <c r="BU1308">
        <v>6</v>
      </c>
      <c r="BV1308" t="s">
        <v>114</v>
      </c>
      <c r="BX1308" s="2" t="s">
        <v>19266</v>
      </c>
      <c r="BY1308" t="s">
        <v>1324</v>
      </c>
      <c r="CA1308" t="s">
        <v>1325</v>
      </c>
      <c r="CB1308" t="s">
        <v>140</v>
      </c>
      <c r="CC1308" s="8" t="str">
        <f>"33036"</f>
        <v>33036</v>
      </c>
      <c r="CD1308" t="s">
        <v>303</v>
      </c>
      <c r="CE1308" t="s">
        <v>304</v>
      </c>
      <c r="CF1308" s="12">
        <v>17</v>
      </c>
      <c r="CG1308" s="12">
        <v>22</v>
      </c>
      <c r="CH1308" s="12">
        <v>25.5</v>
      </c>
      <c r="CI1308" s="12">
        <v>33</v>
      </c>
      <c r="CJ1308" t="s">
        <v>135</v>
      </c>
      <c r="CK1308" s="2" t="s">
        <v>1335</v>
      </c>
      <c r="CL1308" t="s">
        <v>19267</v>
      </c>
      <c r="CO1308" t="s">
        <v>132</v>
      </c>
      <c r="CP1308" t="s">
        <v>136</v>
      </c>
      <c r="CQ1308" t="s">
        <v>114</v>
      </c>
      <c r="CR1308" t="s">
        <v>136</v>
      </c>
      <c r="CS1308" t="s">
        <v>136</v>
      </c>
      <c r="CT1308" t="s">
        <v>136</v>
      </c>
      <c r="CU1308" t="s">
        <v>136</v>
      </c>
      <c r="CV1308" t="s">
        <v>9938</v>
      </c>
      <c r="CW1308" s="10" t="str">
        <f>"+13055174450"</f>
        <v>+13055174450</v>
      </c>
      <c r="CX1308" t="s">
        <v>1326</v>
      </c>
      <c r="CY1308" t="s">
        <v>132</v>
      </c>
      <c r="CZ1308" t="s">
        <v>137</v>
      </c>
      <c r="DA1308" t="s">
        <v>114</v>
      </c>
      <c r="DB1308" t="s">
        <v>136</v>
      </c>
      <c r="DC1308" t="s">
        <v>136</v>
      </c>
      <c r="DD1308" t="s">
        <v>114</v>
      </c>
    </row>
    <row r="1309" spans="1:108" ht="15" customHeight="1" x14ac:dyDescent="0.25">
      <c r="A1309" t="s">
        <v>16599</v>
      </c>
      <c r="B1309" t="s">
        <v>152</v>
      </c>
      <c r="C1309" s="1">
        <v>45153.906195138887</v>
      </c>
      <c r="D1309" s="1">
        <v>45219</v>
      </c>
      <c r="E1309" t="s">
        <v>114</v>
      </c>
      <c r="F1309" t="s">
        <v>1364</v>
      </c>
      <c r="G1309" t="str">
        <f>"35-3041.00"</f>
        <v>35-3041.00</v>
      </c>
      <c r="H1309" t="s">
        <v>11100</v>
      </c>
      <c r="I1309">
        <v>10</v>
      </c>
      <c r="J1309">
        <v>10</v>
      </c>
      <c r="K1309" s="1">
        <v>45243</v>
      </c>
      <c r="L1309" s="1">
        <v>45544</v>
      </c>
      <c r="M1309" s="1">
        <v>45243</v>
      </c>
      <c r="N1309" s="1">
        <v>45544</v>
      </c>
      <c r="O1309" t="s">
        <v>116</v>
      </c>
      <c r="P1309" t="s">
        <v>1319</v>
      </c>
      <c r="Q1309" t="s">
        <v>1320</v>
      </c>
      <c r="R1309" t="s">
        <v>1321</v>
      </c>
      <c r="T1309" t="s">
        <v>187</v>
      </c>
      <c r="U1309" t="s">
        <v>188</v>
      </c>
      <c r="V1309" s="8" t="str">
        <f>"80202"</f>
        <v>80202</v>
      </c>
      <c r="W1309" t="s">
        <v>118</v>
      </c>
      <c r="Y1309" s="10">
        <v>13055174500</v>
      </c>
      <c r="AA1309">
        <v>72111</v>
      </c>
      <c r="AB1309" t="s">
        <v>1322</v>
      </c>
      <c r="AC1309" t="s">
        <v>1323</v>
      </c>
      <c r="AE1309" t="s">
        <v>1104</v>
      </c>
      <c r="AF1309" t="s">
        <v>1324</v>
      </c>
      <c r="AH1309" t="s">
        <v>1325</v>
      </c>
      <c r="AI1309" t="s">
        <v>140</v>
      </c>
      <c r="AJ1309" s="8" t="str">
        <f>"33036"</f>
        <v>33036</v>
      </c>
      <c r="AK1309" t="s">
        <v>118</v>
      </c>
      <c r="AM1309" s="10">
        <v>13055174450</v>
      </c>
      <c r="AO1309" t="s">
        <v>1326</v>
      </c>
      <c r="AP1309" t="s">
        <v>121</v>
      </c>
      <c r="AQ1309" t="s">
        <v>1327</v>
      </c>
      <c r="AR1309" t="s">
        <v>1328</v>
      </c>
      <c r="AS1309" t="s">
        <v>1329</v>
      </c>
      <c r="AT1309" t="s">
        <v>1330</v>
      </c>
      <c r="AU1309" t="s">
        <v>1331</v>
      </c>
      <c r="AV1309" t="s">
        <v>142</v>
      </c>
      <c r="AW1309" t="s">
        <v>140</v>
      </c>
      <c r="AX1309" s="8" t="str">
        <f>"33126"</f>
        <v>33126</v>
      </c>
      <c r="AY1309" t="s">
        <v>118</v>
      </c>
      <c r="BA1309" s="10">
        <v>13057745800</v>
      </c>
      <c r="BC1309" t="s">
        <v>1332</v>
      </c>
      <c r="BD1309" t="s">
        <v>1333</v>
      </c>
      <c r="BE1309" t="s">
        <v>140</v>
      </c>
      <c r="BF1309" t="s">
        <v>172</v>
      </c>
      <c r="BG1309" t="s">
        <v>140</v>
      </c>
      <c r="BH1309" s="1">
        <v>45152.833333333336</v>
      </c>
      <c r="BI1309">
        <v>35</v>
      </c>
      <c r="BJ1309">
        <v>7</v>
      </c>
      <c r="BK1309">
        <v>7</v>
      </c>
      <c r="BL1309">
        <v>7</v>
      </c>
      <c r="BM1309">
        <v>7</v>
      </c>
      <c r="BN1309">
        <v>7</v>
      </c>
      <c r="BO1309">
        <v>0</v>
      </c>
      <c r="BP1309">
        <v>0</v>
      </c>
      <c r="BQ1309" t="str">
        <f>"6:00 AM"</f>
        <v>6:00 AM</v>
      </c>
      <c r="BR1309" t="str">
        <f>"2:00 PM"</f>
        <v>2:00 PM</v>
      </c>
      <c r="BS1309" t="s">
        <v>131</v>
      </c>
      <c r="BT1309">
        <v>0</v>
      </c>
      <c r="BU1309">
        <v>3</v>
      </c>
      <c r="BV1309" t="s">
        <v>114</v>
      </c>
      <c r="BX1309" s="2" t="s">
        <v>16600</v>
      </c>
      <c r="BY1309" t="s">
        <v>1324</v>
      </c>
      <c r="CA1309" t="s">
        <v>1325</v>
      </c>
      <c r="CB1309" t="s">
        <v>140</v>
      </c>
      <c r="CC1309" s="8" t="str">
        <f>"33036"</f>
        <v>33036</v>
      </c>
      <c r="CD1309" t="s">
        <v>303</v>
      </c>
      <c r="CE1309" t="s">
        <v>304</v>
      </c>
      <c r="CF1309" s="12">
        <v>14.02</v>
      </c>
      <c r="CH1309" s="12">
        <v>21.03</v>
      </c>
      <c r="CJ1309" t="s">
        <v>135</v>
      </c>
      <c r="CK1309" s="2" t="s">
        <v>16601</v>
      </c>
      <c r="CL1309" t="s">
        <v>16602</v>
      </c>
      <c r="CO1309" t="s">
        <v>132</v>
      </c>
      <c r="CP1309" t="s">
        <v>136</v>
      </c>
      <c r="CQ1309" t="s">
        <v>114</v>
      </c>
      <c r="CR1309" t="s">
        <v>136</v>
      </c>
      <c r="CS1309" t="s">
        <v>136</v>
      </c>
      <c r="CT1309" t="s">
        <v>136</v>
      </c>
      <c r="CU1309" t="s">
        <v>136</v>
      </c>
      <c r="CV1309" t="s">
        <v>1337</v>
      </c>
      <c r="CW1309" s="10" t="str">
        <f>"+13055174450"</f>
        <v>+13055174450</v>
      </c>
      <c r="CX1309" t="s">
        <v>1326</v>
      </c>
      <c r="CY1309" t="s">
        <v>132</v>
      </c>
      <c r="CZ1309" t="s">
        <v>137</v>
      </c>
      <c r="DA1309" t="s">
        <v>114</v>
      </c>
      <c r="DB1309" t="s">
        <v>136</v>
      </c>
      <c r="DC1309" t="s">
        <v>136</v>
      </c>
      <c r="DD1309" t="s">
        <v>114</v>
      </c>
    </row>
    <row r="1310" spans="1:108" ht="15" customHeight="1" x14ac:dyDescent="0.25">
      <c r="A1310" t="s">
        <v>15765</v>
      </c>
      <c r="B1310" t="s">
        <v>152</v>
      </c>
      <c r="C1310" s="1">
        <v>45153.896167129627</v>
      </c>
      <c r="D1310" s="1">
        <v>45219</v>
      </c>
      <c r="E1310" t="s">
        <v>114</v>
      </c>
      <c r="F1310" t="s">
        <v>2739</v>
      </c>
      <c r="G1310" t="str">
        <f>"39-6012.00"</f>
        <v>39-6012.00</v>
      </c>
      <c r="H1310" t="s">
        <v>10362</v>
      </c>
      <c r="I1310">
        <v>2</v>
      </c>
      <c r="J1310">
        <v>2</v>
      </c>
      <c r="K1310" s="1">
        <v>45243</v>
      </c>
      <c r="L1310" s="1">
        <v>45544</v>
      </c>
      <c r="M1310" s="1">
        <v>45243</v>
      </c>
      <c r="N1310" s="1">
        <v>45544</v>
      </c>
      <c r="O1310" t="s">
        <v>116</v>
      </c>
      <c r="P1310" t="s">
        <v>1319</v>
      </c>
      <c r="Q1310" t="s">
        <v>1320</v>
      </c>
      <c r="R1310" t="s">
        <v>1321</v>
      </c>
      <c r="T1310" t="s">
        <v>187</v>
      </c>
      <c r="U1310" t="s">
        <v>188</v>
      </c>
      <c r="V1310" s="8" t="str">
        <f>"80202"</f>
        <v>80202</v>
      </c>
      <c r="W1310" t="s">
        <v>118</v>
      </c>
      <c r="Y1310" s="10">
        <v>13055174500</v>
      </c>
      <c r="AA1310">
        <v>72111</v>
      </c>
      <c r="AB1310" t="s">
        <v>1322</v>
      </c>
      <c r="AC1310" t="s">
        <v>1323</v>
      </c>
      <c r="AE1310" t="s">
        <v>1104</v>
      </c>
      <c r="AF1310" t="s">
        <v>1324</v>
      </c>
      <c r="AH1310" t="s">
        <v>1325</v>
      </c>
      <c r="AI1310" t="s">
        <v>140</v>
      </c>
      <c r="AJ1310" s="8" t="str">
        <f>"33036"</f>
        <v>33036</v>
      </c>
      <c r="AK1310" t="s">
        <v>118</v>
      </c>
      <c r="AM1310" s="10">
        <v>13055174450</v>
      </c>
      <c r="AO1310" t="s">
        <v>1326</v>
      </c>
      <c r="AP1310" t="s">
        <v>121</v>
      </c>
      <c r="AQ1310" t="s">
        <v>1327</v>
      </c>
      <c r="AR1310" t="s">
        <v>1328</v>
      </c>
      <c r="AS1310" t="s">
        <v>1329</v>
      </c>
      <c r="AT1310" t="s">
        <v>1330</v>
      </c>
      <c r="AU1310" t="s">
        <v>1331</v>
      </c>
      <c r="AV1310" t="s">
        <v>142</v>
      </c>
      <c r="AW1310" t="s">
        <v>140</v>
      </c>
      <c r="AX1310" s="8" t="str">
        <f>"33126"</f>
        <v>33126</v>
      </c>
      <c r="AY1310" t="s">
        <v>118</v>
      </c>
      <c r="BA1310" s="10">
        <v>13057745800</v>
      </c>
      <c r="BC1310" t="s">
        <v>1332</v>
      </c>
      <c r="BD1310" t="s">
        <v>1333</v>
      </c>
      <c r="BE1310" t="s">
        <v>140</v>
      </c>
      <c r="BF1310" t="s">
        <v>172</v>
      </c>
      <c r="BG1310" t="s">
        <v>140</v>
      </c>
      <c r="BH1310" s="1">
        <v>45152.833333333336</v>
      </c>
      <c r="BI1310">
        <v>35</v>
      </c>
      <c r="BJ1310">
        <v>7</v>
      </c>
      <c r="BK1310">
        <v>7</v>
      </c>
      <c r="BL1310">
        <v>7</v>
      </c>
      <c r="BM1310">
        <v>7</v>
      </c>
      <c r="BN1310">
        <v>7</v>
      </c>
      <c r="BO1310">
        <v>0</v>
      </c>
      <c r="BP1310">
        <v>0</v>
      </c>
      <c r="BQ1310" t="str">
        <f>"8:00 AM"</f>
        <v>8:00 AM</v>
      </c>
      <c r="BR1310" t="str">
        <f>"4:00 PM"</f>
        <v>4:00 PM</v>
      </c>
      <c r="BS1310" t="s">
        <v>131</v>
      </c>
      <c r="BT1310">
        <v>0</v>
      </c>
      <c r="BU1310">
        <v>24</v>
      </c>
      <c r="BV1310" t="s">
        <v>114</v>
      </c>
      <c r="BX1310" t="s">
        <v>15766</v>
      </c>
      <c r="BY1310" t="s">
        <v>1324</v>
      </c>
      <c r="CA1310" t="s">
        <v>1325</v>
      </c>
      <c r="CB1310" t="s">
        <v>140</v>
      </c>
      <c r="CC1310" s="8" t="str">
        <f>"33036"</f>
        <v>33036</v>
      </c>
      <c r="CD1310" t="s">
        <v>303</v>
      </c>
      <c r="CE1310" t="s">
        <v>304</v>
      </c>
      <c r="CF1310" s="12">
        <v>17.36</v>
      </c>
      <c r="CH1310" s="12">
        <v>26.04</v>
      </c>
      <c r="CJ1310" t="s">
        <v>135</v>
      </c>
      <c r="CK1310" t="s">
        <v>9936</v>
      </c>
      <c r="CL1310" t="s">
        <v>15767</v>
      </c>
      <c r="CO1310" t="s">
        <v>132</v>
      </c>
      <c r="CP1310" t="s">
        <v>136</v>
      </c>
      <c r="CQ1310" t="s">
        <v>114</v>
      </c>
      <c r="CR1310" t="s">
        <v>136</v>
      </c>
      <c r="CS1310" t="s">
        <v>114</v>
      </c>
      <c r="CT1310" t="s">
        <v>136</v>
      </c>
      <c r="CU1310" t="s">
        <v>136</v>
      </c>
      <c r="CV1310" t="s">
        <v>9938</v>
      </c>
      <c r="CW1310" s="10" t="str">
        <f>"+13055174450"</f>
        <v>+13055174450</v>
      </c>
      <c r="CX1310" t="s">
        <v>1326</v>
      </c>
      <c r="CY1310" t="s">
        <v>132</v>
      </c>
      <c r="CZ1310" t="s">
        <v>137</v>
      </c>
      <c r="DA1310" t="s">
        <v>114</v>
      </c>
      <c r="DB1310" t="s">
        <v>136</v>
      </c>
      <c r="DC1310" t="s">
        <v>136</v>
      </c>
      <c r="DD1310" t="s">
        <v>114</v>
      </c>
    </row>
    <row r="1311" spans="1:108" ht="15" customHeight="1" x14ac:dyDescent="0.25">
      <c r="A1311" t="s">
        <v>9934</v>
      </c>
      <c r="B1311" t="s">
        <v>152</v>
      </c>
      <c r="C1311" s="1">
        <v>45153.887625347219</v>
      </c>
      <c r="D1311" s="1">
        <v>45219</v>
      </c>
      <c r="E1311" t="s">
        <v>114</v>
      </c>
      <c r="F1311" t="s">
        <v>5819</v>
      </c>
      <c r="G1311" t="str">
        <f>"39-6011.00"</f>
        <v>39-6011.00</v>
      </c>
      <c r="H1311" t="s">
        <v>3333</v>
      </c>
      <c r="I1311">
        <v>4</v>
      </c>
      <c r="J1311">
        <v>4</v>
      </c>
      <c r="K1311" s="1">
        <v>45243</v>
      </c>
      <c r="L1311" s="1">
        <v>45544</v>
      </c>
      <c r="M1311" s="1">
        <v>45243</v>
      </c>
      <c r="N1311" s="1">
        <v>45544</v>
      </c>
      <c r="O1311" t="s">
        <v>116</v>
      </c>
      <c r="P1311" t="s">
        <v>1319</v>
      </c>
      <c r="Q1311" t="s">
        <v>1320</v>
      </c>
      <c r="R1311" t="s">
        <v>1321</v>
      </c>
      <c r="T1311" t="s">
        <v>187</v>
      </c>
      <c r="U1311" t="s">
        <v>188</v>
      </c>
      <c r="V1311" s="8" t="str">
        <f>"80202"</f>
        <v>80202</v>
      </c>
      <c r="W1311" t="s">
        <v>118</v>
      </c>
      <c r="Y1311" s="10">
        <v>13055174500</v>
      </c>
      <c r="AA1311">
        <v>72111</v>
      </c>
      <c r="AB1311" t="s">
        <v>1322</v>
      </c>
      <c r="AC1311" t="s">
        <v>1323</v>
      </c>
      <c r="AE1311" t="s">
        <v>1104</v>
      </c>
      <c r="AF1311" t="s">
        <v>1324</v>
      </c>
      <c r="AH1311" t="s">
        <v>1325</v>
      </c>
      <c r="AI1311" t="s">
        <v>140</v>
      </c>
      <c r="AJ1311" s="8" t="str">
        <f>"33036"</f>
        <v>33036</v>
      </c>
      <c r="AK1311" t="s">
        <v>118</v>
      </c>
      <c r="AM1311" s="10">
        <v>13055174450</v>
      </c>
      <c r="AO1311" t="s">
        <v>1326</v>
      </c>
      <c r="AP1311" t="s">
        <v>121</v>
      </c>
      <c r="AQ1311" t="s">
        <v>1327</v>
      </c>
      <c r="AR1311" t="s">
        <v>1328</v>
      </c>
      <c r="AS1311" t="s">
        <v>1329</v>
      </c>
      <c r="AT1311" t="s">
        <v>1330</v>
      </c>
      <c r="AU1311" t="s">
        <v>1331</v>
      </c>
      <c r="AV1311" t="s">
        <v>142</v>
      </c>
      <c r="AW1311" t="s">
        <v>140</v>
      </c>
      <c r="AX1311" s="8" t="str">
        <f>"33126"</f>
        <v>33126</v>
      </c>
      <c r="AY1311" t="s">
        <v>118</v>
      </c>
      <c r="BA1311" s="10">
        <v>13057745800</v>
      </c>
      <c r="BC1311" t="s">
        <v>1332</v>
      </c>
      <c r="BD1311" t="s">
        <v>1333</v>
      </c>
      <c r="BE1311" t="s">
        <v>140</v>
      </c>
      <c r="BF1311" t="s">
        <v>172</v>
      </c>
      <c r="BG1311" t="s">
        <v>140</v>
      </c>
      <c r="BH1311" s="1">
        <v>45152.833333333336</v>
      </c>
      <c r="BI1311">
        <v>35</v>
      </c>
      <c r="BJ1311">
        <v>7</v>
      </c>
      <c r="BK1311">
        <v>7</v>
      </c>
      <c r="BL1311">
        <v>7</v>
      </c>
      <c r="BM1311">
        <v>7</v>
      </c>
      <c r="BN1311">
        <v>7</v>
      </c>
      <c r="BO1311">
        <v>0</v>
      </c>
      <c r="BP1311">
        <v>0</v>
      </c>
      <c r="BQ1311" t="str">
        <f>"6:00 AM"</f>
        <v>6:00 AM</v>
      </c>
      <c r="BR1311" t="str">
        <f>"2:00 PM"</f>
        <v>2:00 PM</v>
      </c>
      <c r="BS1311" t="s">
        <v>131</v>
      </c>
      <c r="BT1311">
        <v>0</v>
      </c>
      <c r="BU1311">
        <v>3</v>
      </c>
      <c r="BV1311" t="s">
        <v>114</v>
      </c>
      <c r="BX1311" t="s">
        <v>9935</v>
      </c>
      <c r="BY1311" t="s">
        <v>1324</v>
      </c>
      <c r="CA1311" t="s">
        <v>1325</v>
      </c>
      <c r="CB1311" t="s">
        <v>140</v>
      </c>
      <c r="CC1311" s="8" t="str">
        <f>"33036"</f>
        <v>33036</v>
      </c>
      <c r="CD1311" t="s">
        <v>303</v>
      </c>
      <c r="CE1311" t="s">
        <v>304</v>
      </c>
      <c r="CF1311" s="12">
        <v>14.44</v>
      </c>
      <c r="CH1311" s="12">
        <v>21.66</v>
      </c>
      <c r="CJ1311" t="s">
        <v>135</v>
      </c>
      <c r="CK1311" t="s">
        <v>9936</v>
      </c>
      <c r="CL1311" t="s">
        <v>9937</v>
      </c>
      <c r="CO1311" t="s">
        <v>132</v>
      </c>
      <c r="CP1311" t="s">
        <v>136</v>
      </c>
      <c r="CQ1311" t="s">
        <v>114</v>
      </c>
      <c r="CR1311" t="s">
        <v>136</v>
      </c>
      <c r="CS1311" t="s">
        <v>136</v>
      </c>
      <c r="CT1311" t="s">
        <v>136</v>
      </c>
      <c r="CU1311" t="s">
        <v>136</v>
      </c>
      <c r="CV1311" t="s">
        <v>9938</v>
      </c>
      <c r="CW1311" s="10" t="str">
        <f>"+13055174450"</f>
        <v>+13055174450</v>
      </c>
      <c r="CX1311" t="s">
        <v>1326</v>
      </c>
      <c r="CY1311" t="s">
        <v>132</v>
      </c>
      <c r="CZ1311" t="s">
        <v>137</v>
      </c>
      <c r="DA1311" t="s">
        <v>114</v>
      </c>
      <c r="DB1311" t="s">
        <v>136</v>
      </c>
      <c r="DC1311" t="s">
        <v>136</v>
      </c>
      <c r="DD1311" t="s">
        <v>114</v>
      </c>
    </row>
    <row r="1312" spans="1:108" ht="15" customHeight="1" x14ac:dyDescent="0.25">
      <c r="A1312" t="s">
        <v>21514</v>
      </c>
      <c r="B1312" t="s">
        <v>152</v>
      </c>
      <c r="C1312" s="1">
        <v>45152.654641435183</v>
      </c>
      <c r="D1312" s="1">
        <v>45219</v>
      </c>
      <c r="E1312" t="s">
        <v>114</v>
      </c>
      <c r="F1312" t="s">
        <v>700</v>
      </c>
      <c r="G1312" t="str">
        <f>"49-9099.00"</f>
        <v>49-9099.00</v>
      </c>
      <c r="H1312" t="s">
        <v>3863</v>
      </c>
      <c r="I1312">
        <v>93</v>
      </c>
      <c r="J1312">
        <v>93</v>
      </c>
      <c r="K1312" s="1">
        <v>45231</v>
      </c>
      <c r="L1312" s="1">
        <v>45366</v>
      </c>
      <c r="M1312" s="1">
        <v>45231</v>
      </c>
      <c r="N1312" s="1">
        <v>45366</v>
      </c>
      <c r="O1312" t="s">
        <v>238</v>
      </c>
      <c r="P1312" t="s">
        <v>21515</v>
      </c>
      <c r="R1312" t="s">
        <v>10415</v>
      </c>
      <c r="T1312" t="s">
        <v>603</v>
      </c>
      <c r="U1312" t="s">
        <v>127</v>
      </c>
      <c r="V1312" s="8" t="str">
        <f>"78729"</f>
        <v>78729</v>
      </c>
      <c r="W1312" t="s">
        <v>118</v>
      </c>
      <c r="Y1312" s="10">
        <v>15124535569</v>
      </c>
      <c r="AA1312">
        <v>56173</v>
      </c>
      <c r="AB1312" t="s">
        <v>10416</v>
      </c>
      <c r="AC1312" t="s">
        <v>575</v>
      </c>
      <c r="AE1312" t="s">
        <v>561</v>
      </c>
      <c r="AF1312" t="s">
        <v>10417</v>
      </c>
      <c r="AH1312" t="s">
        <v>603</v>
      </c>
      <c r="AI1312" t="s">
        <v>127</v>
      </c>
      <c r="AJ1312" s="8" t="str">
        <f>"78729"</f>
        <v>78729</v>
      </c>
      <c r="AK1312" t="s">
        <v>118</v>
      </c>
      <c r="AM1312" s="10">
        <v>15124535569</v>
      </c>
      <c r="AO1312" t="s">
        <v>132</v>
      </c>
      <c r="AP1312" t="s">
        <v>121</v>
      </c>
      <c r="AQ1312" t="s">
        <v>1172</v>
      </c>
      <c r="AR1312" t="s">
        <v>1173</v>
      </c>
      <c r="AS1312" t="s">
        <v>708</v>
      </c>
      <c r="AT1312" t="s">
        <v>3325</v>
      </c>
      <c r="AV1312" t="s">
        <v>603</v>
      </c>
      <c r="AW1312" t="s">
        <v>127</v>
      </c>
      <c r="AX1312" s="8" t="str">
        <f>"78705"</f>
        <v>78705</v>
      </c>
      <c r="AY1312" t="s">
        <v>118</v>
      </c>
      <c r="BA1312" s="10">
        <v>15123470007</v>
      </c>
      <c r="BC1312" t="s">
        <v>1175</v>
      </c>
      <c r="BD1312" t="s">
        <v>1176</v>
      </c>
      <c r="BE1312" t="s">
        <v>127</v>
      </c>
      <c r="BF1312" t="s">
        <v>750</v>
      </c>
      <c r="BG1312" t="s">
        <v>127</v>
      </c>
      <c r="BH1312" s="1">
        <v>45151.833333333336</v>
      </c>
      <c r="BI1312">
        <v>40</v>
      </c>
      <c r="BJ1312">
        <v>0</v>
      </c>
      <c r="BK1312">
        <v>8</v>
      </c>
      <c r="BL1312">
        <v>8</v>
      </c>
      <c r="BM1312">
        <v>8</v>
      </c>
      <c r="BN1312">
        <v>8</v>
      </c>
      <c r="BO1312">
        <v>8</v>
      </c>
      <c r="BP1312">
        <v>0</v>
      </c>
      <c r="BQ1312" t="str">
        <f>"8:00 AM"</f>
        <v>8:00 AM</v>
      </c>
      <c r="BR1312" t="str">
        <f>"5:00 PM"</f>
        <v>5:00 PM</v>
      </c>
      <c r="BS1312" t="s">
        <v>131</v>
      </c>
      <c r="BT1312">
        <v>0</v>
      </c>
      <c r="BU1312">
        <v>3</v>
      </c>
      <c r="BV1312" t="s">
        <v>114</v>
      </c>
      <c r="BX1312" t="s">
        <v>131</v>
      </c>
      <c r="BY1312" t="s">
        <v>10415</v>
      </c>
      <c r="CA1312" t="s">
        <v>603</v>
      </c>
      <c r="CB1312" t="s">
        <v>127</v>
      </c>
      <c r="CC1312" s="8" t="str">
        <f>"78729"</f>
        <v>78729</v>
      </c>
      <c r="CD1312" t="s">
        <v>323</v>
      </c>
      <c r="CE1312" t="s">
        <v>324</v>
      </c>
      <c r="CF1312" s="12">
        <v>21.25</v>
      </c>
      <c r="CG1312" s="12">
        <v>21.25</v>
      </c>
      <c r="CH1312" s="12">
        <v>31.88</v>
      </c>
      <c r="CI1312" s="12">
        <v>31.88</v>
      </c>
      <c r="CJ1312" t="s">
        <v>135</v>
      </c>
      <c r="CK1312" t="s">
        <v>20719</v>
      </c>
      <c r="CL1312" t="s">
        <v>21516</v>
      </c>
      <c r="CO1312" t="s">
        <v>132</v>
      </c>
      <c r="CP1312" t="s">
        <v>136</v>
      </c>
      <c r="CQ1312" t="s">
        <v>136</v>
      </c>
      <c r="CR1312" t="s">
        <v>136</v>
      </c>
      <c r="CS1312" t="s">
        <v>136</v>
      </c>
      <c r="CT1312" t="s">
        <v>136</v>
      </c>
      <c r="CU1312" t="s">
        <v>114</v>
      </c>
      <c r="CV1312" t="s">
        <v>1705</v>
      </c>
      <c r="CW1312" s="10" t="str">
        <f>"+15124535569"</f>
        <v>+15124535569</v>
      </c>
      <c r="CX1312" t="s">
        <v>10421</v>
      </c>
      <c r="CY1312" t="s">
        <v>7138</v>
      </c>
      <c r="CZ1312" t="s">
        <v>137</v>
      </c>
      <c r="DA1312" t="s">
        <v>114</v>
      </c>
      <c r="DB1312" t="s">
        <v>114</v>
      </c>
      <c r="DC1312" t="s">
        <v>136</v>
      </c>
      <c r="DD1312" t="s">
        <v>114</v>
      </c>
    </row>
    <row r="1313" spans="1:113" ht="15" customHeight="1" x14ac:dyDescent="0.25">
      <c r="A1313" t="s">
        <v>8590</v>
      </c>
      <c r="B1313" t="s">
        <v>152</v>
      </c>
      <c r="C1313" s="1">
        <v>45152.574056712961</v>
      </c>
      <c r="D1313" s="1">
        <v>45219</v>
      </c>
      <c r="E1313" t="s">
        <v>114</v>
      </c>
      <c r="F1313" t="s">
        <v>700</v>
      </c>
      <c r="G1313" t="str">
        <f>"37-3011.00"</f>
        <v>37-3011.00</v>
      </c>
      <c r="H1313" t="s">
        <v>429</v>
      </c>
      <c r="I1313">
        <v>8</v>
      </c>
      <c r="J1313">
        <v>8</v>
      </c>
      <c r="K1313" s="1">
        <v>45231</v>
      </c>
      <c r="L1313" s="1">
        <v>45352</v>
      </c>
      <c r="M1313" s="1">
        <v>45231</v>
      </c>
      <c r="N1313" s="1">
        <v>45352</v>
      </c>
      <c r="O1313" t="s">
        <v>238</v>
      </c>
      <c r="P1313" t="s">
        <v>8591</v>
      </c>
      <c r="R1313" t="s">
        <v>8592</v>
      </c>
      <c r="S1313" t="s">
        <v>8593</v>
      </c>
      <c r="T1313" t="s">
        <v>8594</v>
      </c>
      <c r="U1313" t="s">
        <v>127</v>
      </c>
      <c r="V1313" s="8" t="str">
        <f>"78023"</f>
        <v>78023</v>
      </c>
      <c r="W1313" t="s">
        <v>118</v>
      </c>
      <c r="Y1313" s="10">
        <v>12106817909</v>
      </c>
      <c r="AA1313">
        <v>56173</v>
      </c>
      <c r="AB1313" t="s">
        <v>8595</v>
      </c>
      <c r="AC1313" t="s">
        <v>1745</v>
      </c>
      <c r="AE1313" t="s">
        <v>120</v>
      </c>
      <c r="AF1313" t="s">
        <v>8592</v>
      </c>
      <c r="AG1313" t="s">
        <v>8593</v>
      </c>
      <c r="AH1313" t="s">
        <v>8594</v>
      </c>
      <c r="AI1313" t="s">
        <v>127</v>
      </c>
      <c r="AJ1313" s="8" t="str">
        <f>"78023"</f>
        <v>78023</v>
      </c>
      <c r="AK1313" t="s">
        <v>118</v>
      </c>
      <c r="AM1313" s="10">
        <v>12106817909</v>
      </c>
      <c r="AO1313" t="s">
        <v>132</v>
      </c>
      <c r="AP1313" t="s">
        <v>121</v>
      </c>
      <c r="AQ1313" t="s">
        <v>1172</v>
      </c>
      <c r="AR1313" t="s">
        <v>1173</v>
      </c>
      <c r="AS1313" t="s">
        <v>708</v>
      </c>
      <c r="AT1313" t="s">
        <v>1174</v>
      </c>
      <c r="AV1313" t="s">
        <v>603</v>
      </c>
      <c r="AW1313" t="s">
        <v>127</v>
      </c>
      <c r="AX1313" s="8" t="str">
        <f>"78705"</f>
        <v>78705</v>
      </c>
      <c r="AY1313" t="s">
        <v>118</v>
      </c>
      <c r="BA1313" s="10">
        <v>15123470007</v>
      </c>
      <c r="BC1313" t="s">
        <v>1175</v>
      </c>
      <c r="BD1313" t="s">
        <v>1176</v>
      </c>
      <c r="BE1313" t="s">
        <v>127</v>
      </c>
      <c r="BF1313" t="s">
        <v>750</v>
      </c>
      <c r="BG1313" t="s">
        <v>127</v>
      </c>
      <c r="BH1313" s="1">
        <v>45151.833333333336</v>
      </c>
      <c r="BI1313">
        <v>40</v>
      </c>
      <c r="BJ1313">
        <v>0</v>
      </c>
      <c r="BK1313">
        <v>8</v>
      </c>
      <c r="BL1313">
        <v>8</v>
      </c>
      <c r="BM1313">
        <v>8</v>
      </c>
      <c r="BN1313">
        <v>8</v>
      </c>
      <c r="BO1313">
        <v>8</v>
      </c>
      <c r="BP1313">
        <v>0</v>
      </c>
      <c r="BQ1313" t="str">
        <f>"7:00 AM"</f>
        <v>7:00 AM</v>
      </c>
      <c r="BR1313" t="str">
        <f>"4:00 PM"</f>
        <v>4:00 PM</v>
      </c>
      <c r="BS1313" t="s">
        <v>131</v>
      </c>
      <c r="BT1313">
        <v>0</v>
      </c>
      <c r="BU1313">
        <v>0</v>
      </c>
      <c r="BV1313" t="s">
        <v>114</v>
      </c>
      <c r="BX1313" t="s">
        <v>131</v>
      </c>
      <c r="BY1313" t="s">
        <v>8596</v>
      </c>
      <c r="CA1313" t="s">
        <v>126</v>
      </c>
      <c r="CB1313" t="s">
        <v>127</v>
      </c>
      <c r="CC1313" s="8" t="str">
        <f>"78238"</f>
        <v>78238</v>
      </c>
      <c r="CD1313" t="s">
        <v>1941</v>
      </c>
      <c r="CE1313" t="s">
        <v>1287</v>
      </c>
      <c r="CF1313" s="12">
        <v>15.69</v>
      </c>
      <c r="CG1313" s="12">
        <v>15.69</v>
      </c>
      <c r="CH1313" s="12">
        <v>23.54</v>
      </c>
      <c r="CI1313" s="12">
        <v>23.54</v>
      </c>
      <c r="CJ1313" t="s">
        <v>135</v>
      </c>
      <c r="CK1313" t="s">
        <v>8597</v>
      </c>
      <c r="CL1313" t="s">
        <v>8598</v>
      </c>
      <c r="CO1313" t="s">
        <v>132</v>
      </c>
      <c r="CP1313" t="s">
        <v>136</v>
      </c>
      <c r="CQ1313" t="s">
        <v>136</v>
      </c>
      <c r="CR1313" t="s">
        <v>136</v>
      </c>
      <c r="CS1313" t="s">
        <v>136</v>
      </c>
      <c r="CT1313" t="s">
        <v>136</v>
      </c>
      <c r="CU1313" t="s">
        <v>136</v>
      </c>
      <c r="CV1313" t="s">
        <v>8599</v>
      </c>
      <c r="CW1313" s="10" t="str">
        <f>"+12106817909"</f>
        <v>+12106817909</v>
      </c>
      <c r="CX1313" t="s">
        <v>8600</v>
      </c>
      <c r="CY1313" t="s">
        <v>132</v>
      </c>
      <c r="CZ1313" t="s">
        <v>137</v>
      </c>
      <c r="DA1313" t="s">
        <v>114</v>
      </c>
      <c r="DB1313" t="s">
        <v>114</v>
      </c>
      <c r="DC1313" t="s">
        <v>136</v>
      </c>
      <c r="DD1313" t="s">
        <v>114</v>
      </c>
    </row>
    <row r="1314" spans="1:113" ht="15" customHeight="1" x14ac:dyDescent="0.25">
      <c r="A1314" t="s">
        <v>17093</v>
      </c>
      <c r="B1314" t="s">
        <v>152</v>
      </c>
      <c r="C1314" s="1">
        <v>45152.477059953701</v>
      </c>
      <c r="D1314" s="1">
        <v>45219</v>
      </c>
      <c r="E1314" t="s">
        <v>136</v>
      </c>
      <c r="F1314" t="s">
        <v>12234</v>
      </c>
      <c r="G1314" t="str">
        <f>"35-3023.00"</f>
        <v>35-3023.00</v>
      </c>
      <c r="H1314" t="s">
        <v>1365</v>
      </c>
      <c r="I1314">
        <v>24</v>
      </c>
      <c r="J1314">
        <v>24</v>
      </c>
      <c r="K1314" s="1">
        <v>45231</v>
      </c>
      <c r="L1314" s="1">
        <v>45412</v>
      </c>
      <c r="M1314" s="1">
        <v>45231</v>
      </c>
      <c r="N1314" s="1">
        <v>45412</v>
      </c>
      <c r="O1314" t="s">
        <v>238</v>
      </c>
      <c r="P1314" t="s">
        <v>17094</v>
      </c>
      <c r="R1314" t="s">
        <v>6628</v>
      </c>
      <c r="T1314" t="s">
        <v>6627</v>
      </c>
      <c r="U1314" t="s">
        <v>402</v>
      </c>
      <c r="V1314" s="8" t="str">
        <f>"96161"</f>
        <v>96161</v>
      </c>
      <c r="W1314" t="s">
        <v>118</v>
      </c>
      <c r="X1314" t="s">
        <v>132</v>
      </c>
      <c r="Y1314" s="10">
        <v>15305810600</v>
      </c>
      <c r="AA1314">
        <v>72251</v>
      </c>
      <c r="AB1314" t="s">
        <v>17095</v>
      </c>
      <c r="AC1314" t="s">
        <v>2947</v>
      </c>
      <c r="AE1314" t="s">
        <v>1349</v>
      </c>
      <c r="AF1314" t="s">
        <v>17096</v>
      </c>
      <c r="AH1314" t="s">
        <v>17097</v>
      </c>
      <c r="AI1314" t="s">
        <v>402</v>
      </c>
      <c r="AJ1314" s="8" t="str">
        <f>"96140"</f>
        <v>96140</v>
      </c>
      <c r="AK1314" t="s">
        <v>118</v>
      </c>
      <c r="AM1314" s="10">
        <v>15305810600</v>
      </c>
      <c r="AO1314" t="s">
        <v>17098</v>
      </c>
      <c r="AP1314" t="s">
        <v>121</v>
      </c>
      <c r="AQ1314" t="s">
        <v>17099</v>
      </c>
      <c r="AR1314" t="s">
        <v>17100</v>
      </c>
      <c r="AS1314" t="s">
        <v>17101</v>
      </c>
      <c r="AT1314" t="s">
        <v>17102</v>
      </c>
      <c r="AU1314" t="s">
        <v>14518</v>
      </c>
      <c r="AV1314" t="s">
        <v>12088</v>
      </c>
      <c r="AW1314" t="s">
        <v>140</v>
      </c>
      <c r="AX1314" s="8" t="str">
        <f>"32789"</f>
        <v>32789</v>
      </c>
      <c r="AY1314" t="s">
        <v>118</v>
      </c>
      <c r="BA1314" s="10">
        <v>14073354002</v>
      </c>
      <c r="BC1314" t="s">
        <v>17103</v>
      </c>
      <c r="BD1314" t="s">
        <v>17104</v>
      </c>
      <c r="BE1314" t="s">
        <v>140</v>
      </c>
      <c r="BF1314" t="s">
        <v>146</v>
      </c>
      <c r="BG1314" t="s">
        <v>402</v>
      </c>
      <c r="BH1314" s="1">
        <v>45147.833333333336</v>
      </c>
      <c r="BI1314">
        <v>35</v>
      </c>
      <c r="BJ1314">
        <v>5</v>
      </c>
      <c r="BK1314">
        <v>5</v>
      </c>
      <c r="BL1314">
        <v>5</v>
      </c>
      <c r="BM1314">
        <v>5</v>
      </c>
      <c r="BN1314">
        <v>5</v>
      </c>
      <c r="BO1314">
        <v>5</v>
      </c>
      <c r="BP1314">
        <v>5</v>
      </c>
      <c r="BQ1314" t="str">
        <f>"8:00 AM"</f>
        <v>8:00 AM</v>
      </c>
      <c r="BR1314" t="str">
        <f>"1:00 PM"</f>
        <v>1:00 PM</v>
      </c>
      <c r="BS1314" t="s">
        <v>131</v>
      </c>
      <c r="BT1314">
        <v>0</v>
      </c>
      <c r="BU1314">
        <v>0</v>
      </c>
      <c r="BV1314" t="s">
        <v>114</v>
      </c>
      <c r="BX1314" t="s">
        <v>17105</v>
      </c>
      <c r="BY1314" t="s">
        <v>17106</v>
      </c>
      <c r="BZ1314" t="s">
        <v>6628</v>
      </c>
      <c r="CA1314" t="s">
        <v>6627</v>
      </c>
      <c r="CB1314" t="s">
        <v>402</v>
      </c>
      <c r="CC1314" s="8" t="str">
        <f>"96161"</f>
        <v>96161</v>
      </c>
      <c r="CD1314" t="s">
        <v>4745</v>
      </c>
      <c r="CE1314" t="s">
        <v>728</v>
      </c>
      <c r="CF1314" s="12">
        <v>16.46</v>
      </c>
      <c r="CG1314" s="12">
        <v>16.46</v>
      </c>
      <c r="CJ1314" t="s">
        <v>135</v>
      </c>
      <c r="CK1314" t="s">
        <v>17107</v>
      </c>
      <c r="CL1314" t="s">
        <v>17108</v>
      </c>
      <c r="CO1314" t="s">
        <v>132</v>
      </c>
      <c r="CP1314" t="s">
        <v>136</v>
      </c>
      <c r="CQ1314" t="s">
        <v>114</v>
      </c>
      <c r="CR1314" t="s">
        <v>114</v>
      </c>
      <c r="CS1314" t="s">
        <v>136</v>
      </c>
      <c r="CT1314" t="s">
        <v>136</v>
      </c>
      <c r="CU1314" t="s">
        <v>114</v>
      </c>
      <c r="CV1314" t="s">
        <v>131</v>
      </c>
      <c r="CW1314" s="10" t="str">
        <f>"+15305810600"</f>
        <v>+15305810600</v>
      </c>
      <c r="CX1314" t="s">
        <v>17098</v>
      </c>
      <c r="CY1314" t="s">
        <v>132</v>
      </c>
      <c r="CZ1314" t="s">
        <v>137</v>
      </c>
      <c r="DA1314" t="s">
        <v>114</v>
      </c>
      <c r="DB1314" t="s">
        <v>114</v>
      </c>
      <c r="DC1314" t="s">
        <v>136</v>
      </c>
      <c r="DD1314" t="s">
        <v>114</v>
      </c>
    </row>
    <row r="1315" spans="1:113" ht="15" customHeight="1" x14ac:dyDescent="0.25">
      <c r="A1315" t="s">
        <v>15821</v>
      </c>
      <c r="B1315" t="s">
        <v>152</v>
      </c>
      <c r="C1315" s="1">
        <v>45150.995253703702</v>
      </c>
      <c r="D1315" s="1">
        <v>45219</v>
      </c>
      <c r="E1315" t="s">
        <v>114</v>
      </c>
      <c r="F1315" t="s">
        <v>1318</v>
      </c>
      <c r="G1315" t="str">
        <f>"39-3091.00"</f>
        <v>39-3091.00</v>
      </c>
      <c r="H1315" t="s">
        <v>237</v>
      </c>
      <c r="I1315">
        <v>12</v>
      </c>
      <c r="J1315">
        <v>12</v>
      </c>
      <c r="K1315" s="1">
        <v>45240</v>
      </c>
      <c r="L1315" s="1">
        <v>45544</v>
      </c>
      <c r="M1315" s="1">
        <v>45240</v>
      </c>
      <c r="N1315" s="1">
        <v>45544</v>
      </c>
      <c r="O1315" t="s">
        <v>116</v>
      </c>
      <c r="P1315" t="s">
        <v>1319</v>
      </c>
      <c r="Q1315" t="s">
        <v>6814</v>
      </c>
      <c r="R1315" t="s">
        <v>1321</v>
      </c>
      <c r="T1315" t="s">
        <v>187</v>
      </c>
      <c r="U1315" t="s">
        <v>188</v>
      </c>
      <c r="V1315" s="8" t="str">
        <f>"80202"</f>
        <v>80202</v>
      </c>
      <c r="W1315" t="s">
        <v>118</v>
      </c>
      <c r="Y1315" s="10">
        <v>12395973232</v>
      </c>
      <c r="AA1315">
        <v>72111</v>
      </c>
      <c r="AB1315" t="s">
        <v>6815</v>
      </c>
      <c r="AC1315" t="s">
        <v>6816</v>
      </c>
      <c r="AE1315" t="s">
        <v>1104</v>
      </c>
      <c r="AF1315" t="s">
        <v>6817</v>
      </c>
      <c r="AH1315" t="s">
        <v>1614</v>
      </c>
      <c r="AI1315" t="s">
        <v>140</v>
      </c>
      <c r="AJ1315" s="8" t="str">
        <f>"34103"</f>
        <v>34103</v>
      </c>
      <c r="AK1315" t="s">
        <v>118</v>
      </c>
      <c r="AM1315" s="10">
        <v>12395946034</v>
      </c>
      <c r="AO1315" t="s">
        <v>6818</v>
      </c>
      <c r="AP1315" t="s">
        <v>121</v>
      </c>
      <c r="AQ1315" t="s">
        <v>1327</v>
      </c>
      <c r="AR1315" t="s">
        <v>1328</v>
      </c>
      <c r="AS1315" t="s">
        <v>1329</v>
      </c>
      <c r="AT1315" t="s">
        <v>1330</v>
      </c>
      <c r="AU1315" t="s">
        <v>1331</v>
      </c>
      <c r="AV1315" t="s">
        <v>142</v>
      </c>
      <c r="AW1315" t="s">
        <v>140</v>
      </c>
      <c r="AX1315" s="8" t="str">
        <f>"33126"</f>
        <v>33126</v>
      </c>
      <c r="AY1315" t="s">
        <v>118</v>
      </c>
      <c r="BA1315" s="10">
        <v>13057745800</v>
      </c>
      <c r="BC1315" t="s">
        <v>1332</v>
      </c>
      <c r="BD1315" t="s">
        <v>1333</v>
      </c>
      <c r="BE1315" t="s">
        <v>140</v>
      </c>
      <c r="BF1315" t="s">
        <v>172</v>
      </c>
      <c r="BG1315" t="s">
        <v>140</v>
      </c>
      <c r="BH1315" s="1">
        <v>45149.833333333336</v>
      </c>
      <c r="BI1315">
        <v>35</v>
      </c>
      <c r="BJ1315">
        <v>7</v>
      </c>
      <c r="BK1315">
        <v>7</v>
      </c>
      <c r="BL1315">
        <v>7</v>
      </c>
      <c r="BM1315">
        <v>7</v>
      </c>
      <c r="BN1315">
        <v>7</v>
      </c>
      <c r="BO1315">
        <v>0</v>
      </c>
      <c r="BP1315">
        <v>0</v>
      </c>
      <c r="BQ1315" t="str">
        <f>"7:00 AM"</f>
        <v>7:00 AM</v>
      </c>
      <c r="BR1315" t="str">
        <f>"3:30 PM"</f>
        <v>3:30 PM</v>
      </c>
      <c r="BS1315" t="s">
        <v>131</v>
      </c>
      <c r="BT1315">
        <v>0</v>
      </c>
      <c r="BU1315">
        <v>3</v>
      </c>
      <c r="BV1315" t="s">
        <v>114</v>
      </c>
      <c r="BX1315" s="2" t="s">
        <v>15822</v>
      </c>
      <c r="BY1315" t="s">
        <v>6817</v>
      </c>
      <c r="CA1315" t="s">
        <v>1614</v>
      </c>
      <c r="CB1315" t="s">
        <v>140</v>
      </c>
      <c r="CC1315" s="8" t="str">
        <f>"34103"</f>
        <v>34103</v>
      </c>
      <c r="CD1315" t="s">
        <v>1619</v>
      </c>
      <c r="CE1315" t="s">
        <v>1620</v>
      </c>
      <c r="CF1315" s="12">
        <v>13.16</v>
      </c>
      <c r="CH1315" s="12">
        <v>19.739999999999998</v>
      </c>
      <c r="CJ1315" t="s">
        <v>135</v>
      </c>
      <c r="CK1315" s="2" t="s">
        <v>15823</v>
      </c>
      <c r="CL1315" t="s">
        <v>15824</v>
      </c>
      <c r="CO1315" t="s">
        <v>132</v>
      </c>
      <c r="CP1315" t="s">
        <v>136</v>
      </c>
      <c r="CQ1315" t="s">
        <v>114</v>
      </c>
      <c r="CR1315" t="s">
        <v>136</v>
      </c>
      <c r="CS1315" t="s">
        <v>136</v>
      </c>
      <c r="CT1315" t="s">
        <v>136</v>
      </c>
      <c r="CU1315" t="s">
        <v>136</v>
      </c>
      <c r="CV1315" t="s">
        <v>6822</v>
      </c>
      <c r="CW1315" s="10" t="str">
        <f>"+12395946034"</f>
        <v>+12395946034</v>
      </c>
      <c r="CX1315" t="s">
        <v>6823</v>
      </c>
      <c r="CY1315" t="s">
        <v>132</v>
      </c>
      <c r="CZ1315" t="s">
        <v>137</v>
      </c>
      <c r="DA1315" t="s">
        <v>114</v>
      </c>
      <c r="DB1315" t="s">
        <v>136</v>
      </c>
      <c r="DC1315" t="s">
        <v>136</v>
      </c>
      <c r="DD1315" t="s">
        <v>114</v>
      </c>
    </row>
    <row r="1316" spans="1:113" ht="15" customHeight="1" x14ac:dyDescent="0.25">
      <c r="A1316" t="s">
        <v>10591</v>
      </c>
      <c r="B1316" t="s">
        <v>152</v>
      </c>
      <c r="C1316" s="1">
        <v>45150.988760995373</v>
      </c>
      <c r="D1316" s="1">
        <v>45219</v>
      </c>
      <c r="E1316" t="s">
        <v>114</v>
      </c>
      <c r="F1316" t="s">
        <v>10592</v>
      </c>
      <c r="G1316" t="str">
        <f>"37-2011.00"</f>
        <v>37-2011.00</v>
      </c>
      <c r="H1316" t="s">
        <v>1089</v>
      </c>
      <c r="I1316">
        <v>8</v>
      </c>
      <c r="J1316">
        <v>8</v>
      </c>
      <c r="K1316" s="1">
        <v>45240</v>
      </c>
      <c r="L1316" s="1">
        <v>45544</v>
      </c>
      <c r="M1316" s="1">
        <v>45240</v>
      </c>
      <c r="N1316" s="1">
        <v>45544</v>
      </c>
      <c r="O1316" t="s">
        <v>116</v>
      </c>
      <c r="P1316" t="s">
        <v>1319</v>
      </c>
      <c r="Q1316" t="s">
        <v>6814</v>
      </c>
      <c r="R1316" t="s">
        <v>1321</v>
      </c>
      <c r="T1316" t="s">
        <v>187</v>
      </c>
      <c r="U1316" t="s">
        <v>188</v>
      </c>
      <c r="V1316" s="8" t="str">
        <f>"80202"</f>
        <v>80202</v>
      </c>
      <c r="W1316" t="s">
        <v>118</v>
      </c>
      <c r="Y1316" s="10">
        <v>12395973232</v>
      </c>
      <c r="AA1316">
        <v>72111</v>
      </c>
      <c r="AB1316" t="s">
        <v>6815</v>
      </c>
      <c r="AC1316" t="s">
        <v>6816</v>
      </c>
      <c r="AE1316" t="s">
        <v>1104</v>
      </c>
      <c r="AF1316" t="s">
        <v>6817</v>
      </c>
      <c r="AH1316" t="s">
        <v>1614</v>
      </c>
      <c r="AI1316" t="s">
        <v>140</v>
      </c>
      <c r="AJ1316" s="8" t="str">
        <f>"34103"</f>
        <v>34103</v>
      </c>
      <c r="AK1316" t="s">
        <v>118</v>
      </c>
      <c r="AM1316" s="10">
        <v>12395946034</v>
      </c>
      <c r="AO1316" t="s">
        <v>6818</v>
      </c>
      <c r="AP1316" t="s">
        <v>121</v>
      </c>
      <c r="AQ1316" t="s">
        <v>1327</v>
      </c>
      <c r="AR1316" t="s">
        <v>1328</v>
      </c>
      <c r="AS1316" t="s">
        <v>1329</v>
      </c>
      <c r="AT1316" t="s">
        <v>1330</v>
      </c>
      <c r="AU1316" t="s">
        <v>1331</v>
      </c>
      <c r="AV1316" t="s">
        <v>142</v>
      </c>
      <c r="AW1316" t="s">
        <v>140</v>
      </c>
      <c r="AX1316" s="8" t="str">
        <f>"33126"</f>
        <v>33126</v>
      </c>
      <c r="AY1316" t="s">
        <v>118</v>
      </c>
      <c r="BA1316" s="10">
        <v>13057745800</v>
      </c>
      <c r="BC1316" t="s">
        <v>1332</v>
      </c>
      <c r="BD1316" t="s">
        <v>1333</v>
      </c>
      <c r="BE1316" t="s">
        <v>140</v>
      </c>
      <c r="BF1316" t="s">
        <v>172</v>
      </c>
      <c r="BG1316" t="s">
        <v>140</v>
      </c>
      <c r="BH1316" s="1">
        <v>45149.833333333336</v>
      </c>
      <c r="BI1316">
        <v>35</v>
      </c>
      <c r="BJ1316">
        <v>7</v>
      </c>
      <c r="BK1316">
        <v>7</v>
      </c>
      <c r="BL1316">
        <v>7</v>
      </c>
      <c r="BM1316">
        <v>7</v>
      </c>
      <c r="BN1316">
        <v>7</v>
      </c>
      <c r="BO1316">
        <v>0</v>
      </c>
      <c r="BP1316">
        <v>0</v>
      </c>
      <c r="BQ1316" t="str">
        <f>"8:00 AM"</f>
        <v>8:00 AM</v>
      </c>
      <c r="BR1316" t="str">
        <f>"4:30 PM"</f>
        <v>4:30 PM</v>
      </c>
      <c r="BS1316" t="s">
        <v>131</v>
      </c>
      <c r="BT1316">
        <v>0</v>
      </c>
      <c r="BU1316">
        <v>6</v>
      </c>
      <c r="BV1316" t="s">
        <v>114</v>
      </c>
      <c r="BX1316" s="2" t="s">
        <v>10593</v>
      </c>
      <c r="BY1316" t="s">
        <v>6817</v>
      </c>
      <c r="CA1316" t="s">
        <v>1614</v>
      </c>
      <c r="CB1316" t="s">
        <v>140</v>
      </c>
      <c r="CC1316" s="8" t="str">
        <f>"34103"</f>
        <v>34103</v>
      </c>
      <c r="CD1316" t="s">
        <v>1619</v>
      </c>
      <c r="CE1316" t="s">
        <v>1620</v>
      </c>
      <c r="CF1316" s="12">
        <v>20.03</v>
      </c>
      <c r="CG1316" s="12">
        <v>21.69</v>
      </c>
      <c r="CH1316" s="12">
        <v>30.05</v>
      </c>
      <c r="CI1316" s="12">
        <v>32.54</v>
      </c>
      <c r="CJ1316" t="s">
        <v>135</v>
      </c>
      <c r="CK1316" s="2" t="s">
        <v>10594</v>
      </c>
      <c r="CL1316" t="s">
        <v>10595</v>
      </c>
      <c r="CO1316" t="s">
        <v>132</v>
      </c>
      <c r="CP1316" t="s">
        <v>136</v>
      </c>
      <c r="CQ1316" t="s">
        <v>114</v>
      </c>
      <c r="CR1316" t="s">
        <v>136</v>
      </c>
      <c r="CS1316" t="s">
        <v>136</v>
      </c>
      <c r="CT1316" t="s">
        <v>136</v>
      </c>
      <c r="CU1316" t="s">
        <v>136</v>
      </c>
      <c r="CV1316" t="s">
        <v>6822</v>
      </c>
      <c r="CW1316" s="10" t="str">
        <f>"+12395946034"</f>
        <v>+12395946034</v>
      </c>
      <c r="CX1316" t="s">
        <v>6823</v>
      </c>
      <c r="CY1316" t="s">
        <v>132</v>
      </c>
      <c r="CZ1316" t="s">
        <v>137</v>
      </c>
      <c r="DA1316" t="s">
        <v>114</v>
      </c>
      <c r="DB1316" t="s">
        <v>136</v>
      </c>
      <c r="DC1316" t="s">
        <v>136</v>
      </c>
      <c r="DD1316" t="s">
        <v>114</v>
      </c>
    </row>
    <row r="1317" spans="1:113" ht="15" customHeight="1" x14ac:dyDescent="0.25">
      <c r="A1317" t="s">
        <v>6813</v>
      </c>
      <c r="B1317" t="s">
        <v>152</v>
      </c>
      <c r="C1317" s="1">
        <v>45150.957613657411</v>
      </c>
      <c r="D1317" s="1">
        <v>45219</v>
      </c>
      <c r="E1317" t="s">
        <v>114</v>
      </c>
      <c r="F1317" t="s">
        <v>2512</v>
      </c>
      <c r="G1317" t="str">
        <f>"35-3031.00"</f>
        <v>35-3031.00</v>
      </c>
      <c r="H1317" t="s">
        <v>347</v>
      </c>
      <c r="I1317">
        <v>30</v>
      </c>
      <c r="J1317">
        <v>30</v>
      </c>
      <c r="K1317" s="1">
        <v>45240</v>
      </c>
      <c r="L1317" s="1">
        <v>45544</v>
      </c>
      <c r="M1317" s="1">
        <v>45240</v>
      </c>
      <c r="N1317" s="1">
        <v>45544</v>
      </c>
      <c r="O1317" t="s">
        <v>116</v>
      </c>
      <c r="P1317" t="s">
        <v>1319</v>
      </c>
      <c r="Q1317" t="s">
        <v>6814</v>
      </c>
      <c r="R1317" t="s">
        <v>1321</v>
      </c>
      <c r="T1317" t="s">
        <v>187</v>
      </c>
      <c r="U1317" t="s">
        <v>188</v>
      </c>
      <c r="V1317" s="8" t="str">
        <f>"80202"</f>
        <v>80202</v>
      </c>
      <c r="W1317" t="s">
        <v>118</v>
      </c>
      <c r="Y1317" s="10">
        <v>12395973232</v>
      </c>
      <c r="AA1317">
        <v>72111</v>
      </c>
      <c r="AB1317" t="s">
        <v>6815</v>
      </c>
      <c r="AC1317" t="s">
        <v>6816</v>
      </c>
      <c r="AE1317" t="s">
        <v>1104</v>
      </c>
      <c r="AF1317" t="s">
        <v>6817</v>
      </c>
      <c r="AH1317" t="s">
        <v>1614</v>
      </c>
      <c r="AI1317" t="s">
        <v>140</v>
      </c>
      <c r="AJ1317" s="8" t="str">
        <f>"34103"</f>
        <v>34103</v>
      </c>
      <c r="AK1317" t="s">
        <v>118</v>
      </c>
      <c r="AM1317" s="10">
        <v>12395946034</v>
      </c>
      <c r="AO1317" t="s">
        <v>6818</v>
      </c>
      <c r="AP1317" t="s">
        <v>121</v>
      </c>
      <c r="AQ1317" t="s">
        <v>1327</v>
      </c>
      <c r="AR1317" t="s">
        <v>1328</v>
      </c>
      <c r="AS1317" t="s">
        <v>1329</v>
      </c>
      <c r="AT1317" t="s">
        <v>1330</v>
      </c>
      <c r="AU1317" t="s">
        <v>1331</v>
      </c>
      <c r="AV1317" t="s">
        <v>142</v>
      </c>
      <c r="AW1317" t="s">
        <v>140</v>
      </c>
      <c r="AX1317" s="8" t="str">
        <f>"33126"</f>
        <v>33126</v>
      </c>
      <c r="AY1317" t="s">
        <v>118</v>
      </c>
      <c r="BA1317" s="10">
        <v>13057745800</v>
      </c>
      <c r="BC1317" t="s">
        <v>1332</v>
      </c>
      <c r="BD1317" t="s">
        <v>1333</v>
      </c>
      <c r="BE1317" t="s">
        <v>140</v>
      </c>
      <c r="BF1317" t="s">
        <v>172</v>
      </c>
      <c r="BG1317" t="s">
        <v>140</v>
      </c>
      <c r="BH1317" s="1">
        <v>45149.833333333336</v>
      </c>
      <c r="BI1317">
        <v>35</v>
      </c>
      <c r="BJ1317">
        <v>7</v>
      </c>
      <c r="BK1317">
        <v>7</v>
      </c>
      <c r="BL1317">
        <v>7</v>
      </c>
      <c r="BM1317">
        <v>7</v>
      </c>
      <c r="BN1317">
        <v>7</v>
      </c>
      <c r="BO1317">
        <v>0</v>
      </c>
      <c r="BP1317">
        <v>0</v>
      </c>
      <c r="BQ1317" t="str">
        <f>"6:00 AM"</f>
        <v>6:00 AM</v>
      </c>
      <c r="BR1317" t="str">
        <f>"2:30 PM"</f>
        <v>2:30 PM</v>
      </c>
      <c r="BS1317" t="s">
        <v>131</v>
      </c>
      <c r="BT1317">
        <v>0</v>
      </c>
      <c r="BU1317">
        <v>6</v>
      </c>
      <c r="BV1317" t="s">
        <v>114</v>
      </c>
      <c r="BX1317" s="2" t="s">
        <v>6819</v>
      </c>
      <c r="BY1317" t="s">
        <v>6817</v>
      </c>
      <c r="CA1317" t="s">
        <v>1614</v>
      </c>
      <c r="CB1317" t="s">
        <v>140</v>
      </c>
      <c r="CC1317" s="8" t="str">
        <f>"34103"</f>
        <v>34103</v>
      </c>
      <c r="CD1317" t="s">
        <v>1619</v>
      </c>
      <c r="CE1317" t="s">
        <v>1620</v>
      </c>
      <c r="CF1317" s="12">
        <v>17.260000000000002</v>
      </c>
      <c r="CH1317" s="12">
        <v>25.89</v>
      </c>
      <c r="CJ1317" t="s">
        <v>135</v>
      </c>
      <c r="CK1317" s="2" t="s">
        <v>6820</v>
      </c>
      <c r="CL1317" t="s">
        <v>6821</v>
      </c>
      <c r="CO1317" t="s">
        <v>132</v>
      </c>
      <c r="CP1317" t="s">
        <v>136</v>
      </c>
      <c r="CQ1317" t="s">
        <v>114</v>
      </c>
      <c r="CR1317" t="s">
        <v>136</v>
      </c>
      <c r="CS1317" t="s">
        <v>136</v>
      </c>
      <c r="CT1317" t="s">
        <v>136</v>
      </c>
      <c r="CU1317" t="s">
        <v>136</v>
      </c>
      <c r="CV1317" t="s">
        <v>6822</v>
      </c>
      <c r="CW1317" s="10" t="str">
        <f>"+12395946034"</f>
        <v>+12395946034</v>
      </c>
      <c r="CX1317" t="s">
        <v>6823</v>
      </c>
      <c r="CY1317" t="s">
        <v>132</v>
      </c>
      <c r="CZ1317" t="s">
        <v>137</v>
      </c>
      <c r="DA1317" t="s">
        <v>114</v>
      </c>
      <c r="DB1317" t="s">
        <v>136</v>
      </c>
      <c r="DC1317" t="s">
        <v>136</v>
      </c>
      <c r="DD1317" t="s">
        <v>114</v>
      </c>
    </row>
    <row r="1318" spans="1:113" ht="15" customHeight="1" x14ac:dyDescent="0.25">
      <c r="A1318" t="s">
        <v>13323</v>
      </c>
      <c r="B1318" t="s">
        <v>152</v>
      </c>
      <c r="C1318" s="1">
        <v>45150.945181828705</v>
      </c>
      <c r="D1318" s="1">
        <v>45219</v>
      </c>
      <c r="E1318" t="s">
        <v>114</v>
      </c>
      <c r="F1318" t="s">
        <v>293</v>
      </c>
      <c r="G1318" t="str">
        <f>"37-2012.00"</f>
        <v>37-2012.00</v>
      </c>
      <c r="H1318" t="s">
        <v>205</v>
      </c>
      <c r="I1318">
        <v>25</v>
      </c>
      <c r="J1318">
        <v>25</v>
      </c>
      <c r="K1318" s="1">
        <v>45240</v>
      </c>
      <c r="L1318" s="1">
        <v>45544</v>
      </c>
      <c r="M1318" s="1">
        <v>45240</v>
      </c>
      <c r="N1318" s="1">
        <v>45544</v>
      </c>
      <c r="O1318" t="s">
        <v>116</v>
      </c>
      <c r="P1318" t="s">
        <v>1319</v>
      </c>
      <c r="Q1318" t="s">
        <v>6814</v>
      </c>
      <c r="R1318" t="s">
        <v>1321</v>
      </c>
      <c r="T1318" t="s">
        <v>187</v>
      </c>
      <c r="U1318" t="s">
        <v>188</v>
      </c>
      <c r="V1318" s="8" t="str">
        <f>"80202"</f>
        <v>80202</v>
      </c>
      <c r="W1318" t="s">
        <v>118</v>
      </c>
      <c r="Y1318" s="10">
        <v>12395973232</v>
      </c>
      <c r="AA1318">
        <v>72111</v>
      </c>
      <c r="AB1318" t="s">
        <v>6815</v>
      </c>
      <c r="AC1318" t="s">
        <v>6816</v>
      </c>
      <c r="AE1318" t="s">
        <v>1104</v>
      </c>
      <c r="AF1318" t="s">
        <v>6817</v>
      </c>
      <c r="AH1318" t="s">
        <v>1614</v>
      </c>
      <c r="AI1318" t="s">
        <v>140</v>
      </c>
      <c r="AJ1318" s="8" t="str">
        <f>"34103"</f>
        <v>34103</v>
      </c>
      <c r="AK1318" t="s">
        <v>118</v>
      </c>
      <c r="AM1318" s="10">
        <v>12395946034</v>
      </c>
      <c r="AO1318" t="s">
        <v>6818</v>
      </c>
      <c r="AP1318" t="s">
        <v>121</v>
      </c>
      <c r="AQ1318" t="s">
        <v>1327</v>
      </c>
      <c r="AR1318" t="s">
        <v>1328</v>
      </c>
      <c r="AS1318" t="s">
        <v>1329</v>
      </c>
      <c r="AT1318" t="s">
        <v>1330</v>
      </c>
      <c r="AU1318" t="s">
        <v>1331</v>
      </c>
      <c r="AV1318" t="s">
        <v>142</v>
      </c>
      <c r="AW1318" t="s">
        <v>140</v>
      </c>
      <c r="AX1318" s="8" t="str">
        <f>"33126"</f>
        <v>33126</v>
      </c>
      <c r="AY1318" t="s">
        <v>118</v>
      </c>
      <c r="BA1318" s="10">
        <v>13057745800</v>
      </c>
      <c r="BC1318" t="s">
        <v>1332</v>
      </c>
      <c r="BD1318" t="s">
        <v>1333</v>
      </c>
      <c r="BE1318" t="s">
        <v>140</v>
      </c>
      <c r="BF1318" t="s">
        <v>172</v>
      </c>
      <c r="BG1318" t="s">
        <v>140</v>
      </c>
      <c r="BH1318" s="1">
        <v>45149.833333333336</v>
      </c>
      <c r="BI1318">
        <v>35</v>
      </c>
      <c r="BJ1318">
        <v>7</v>
      </c>
      <c r="BK1318">
        <v>7</v>
      </c>
      <c r="BL1318">
        <v>7</v>
      </c>
      <c r="BM1318">
        <v>7</v>
      </c>
      <c r="BN1318">
        <v>7</v>
      </c>
      <c r="BO1318">
        <v>0</v>
      </c>
      <c r="BP1318">
        <v>0</v>
      </c>
      <c r="BQ1318" t="str">
        <f>"7:30 AM"</f>
        <v>7:30 AM</v>
      </c>
      <c r="BR1318" t="str">
        <f>"4:00 PM"</f>
        <v>4:00 PM</v>
      </c>
      <c r="BS1318" t="s">
        <v>131</v>
      </c>
      <c r="BT1318">
        <v>0</v>
      </c>
      <c r="BU1318">
        <v>6</v>
      </c>
      <c r="BV1318" t="s">
        <v>114</v>
      </c>
      <c r="BX1318" s="2" t="s">
        <v>13324</v>
      </c>
      <c r="BY1318" t="s">
        <v>6817</v>
      </c>
      <c r="CA1318" t="s">
        <v>1614</v>
      </c>
      <c r="CB1318" t="s">
        <v>140</v>
      </c>
      <c r="CC1318" s="8" t="str">
        <f>"34103"</f>
        <v>34103</v>
      </c>
      <c r="CD1318" t="s">
        <v>1619</v>
      </c>
      <c r="CE1318" t="s">
        <v>1620</v>
      </c>
      <c r="CF1318" s="12">
        <v>16</v>
      </c>
      <c r="CG1318" s="12">
        <v>20.83</v>
      </c>
      <c r="CH1318" s="12">
        <v>24</v>
      </c>
      <c r="CI1318" s="12">
        <v>31.24</v>
      </c>
      <c r="CJ1318" t="s">
        <v>135</v>
      </c>
      <c r="CK1318" s="2" t="s">
        <v>13325</v>
      </c>
      <c r="CL1318" t="s">
        <v>13326</v>
      </c>
      <c r="CO1318" t="s">
        <v>132</v>
      </c>
      <c r="CP1318" t="s">
        <v>136</v>
      </c>
      <c r="CQ1318" t="s">
        <v>114</v>
      </c>
      <c r="CR1318" t="s">
        <v>136</v>
      </c>
      <c r="CS1318" t="s">
        <v>136</v>
      </c>
      <c r="CT1318" t="s">
        <v>136</v>
      </c>
      <c r="CU1318" t="s">
        <v>136</v>
      </c>
      <c r="CV1318" t="s">
        <v>6822</v>
      </c>
      <c r="CW1318" s="10" t="str">
        <f>"+12395946034"</f>
        <v>+12395946034</v>
      </c>
      <c r="CX1318" t="s">
        <v>6823</v>
      </c>
      <c r="CY1318" t="s">
        <v>132</v>
      </c>
      <c r="CZ1318" t="s">
        <v>137</v>
      </c>
      <c r="DA1318" t="s">
        <v>114</v>
      </c>
      <c r="DB1318" t="s">
        <v>136</v>
      </c>
      <c r="DC1318" t="s">
        <v>136</v>
      </c>
      <c r="DD1318" t="s">
        <v>114</v>
      </c>
    </row>
    <row r="1319" spans="1:113" ht="15" customHeight="1" x14ac:dyDescent="0.25">
      <c r="A1319" t="s">
        <v>7032</v>
      </c>
      <c r="B1319" t="s">
        <v>152</v>
      </c>
      <c r="C1319" s="1">
        <v>45150.931715740742</v>
      </c>
      <c r="D1319" s="1">
        <v>45219</v>
      </c>
      <c r="E1319" t="s">
        <v>114</v>
      </c>
      <c r="F1319" t="s">
        <v>7033</v>
      </c>
      <c r="G1319" t="str">
        <f>"43-4081.00"</f>
        <v>43-4081.00</v>
      </c>
      <c r="H1319" t="s">
        <v>952</v>
      </c>
      <c r="I1319">
        <v>6</v>
      </c>
      <c r="J1319">
        <v>6</v>
      </c>
      <c r="K1319" s="1">
        <v>45240</v>
      </c>
      <c r="L1319" s="1">
        <v>45544</v>
      </c>
      <c r="M1319" s="1">
        <v>45240</v>
      </c>
      <c r="N1319" s="1">
        <v>45544</v>
      </c>
      <c r="O1319" t="s">
        <v>116</v>
      </c>
      <c r="P1319" t="s">
        <v>1319</v>
      </c>
      <c r="Q1319" t="s">
        <v>6814</v>
      </c>
      <c r="R1319" t="s">
        <v>1321</v>
      </c>
      <c r="T1319" t="s">
        <v>187</v>
      </c>
      <c r="U1319" t="s">
        <v>188</v>
      </c>
      <c r="V1319" s="8" t="str">
        <f>"80202"</f>
        <v>80202</v>
      </c>
      <c r="W1319" t="s">
        <v>118</v>
      </c>
      <c r="Y1319" s="10">
        <v>12395973232</v>
      </c>
      <c r="AA1319">
        <v>72111</v>
      </c>
      <c r="AB1319" t="s">
        <v>6815</v>
      </c>
      <c r="AC1319" t="s">
        <v>6816</v>
      </c>
      <c r="AE1319" t="s">
        <v>1104</v>
      </c>
      <c r="AF1319" t="s">
        <v>6817</v>
      </c>
      <c r="AH1319" t="s">
        <v>1614</v>
      </c>
      <c r="AI1319" t="s">
        <v>140</v>
      </c>
      <c r="AJ1319" s="8" t="str">
        <f>"34103"</f>
        <v>34103</v>
      </c>
      <c r="AK1319" t="s">
        <v>118</v>
      </c>
      <c r="AM1319" s="10">
        <v>12395946034</v>
      </c>
      <c r="AO1319" t="s">
        <v>6818</v>
      </c>
      <c r="AP1319" t="s">
        <v>121</v>
      </c>
      <c r="AQ1319" t="s">
        <v>1327</v>
      </c>
      <c r="AR1319" t="s">
        <v>1328</v>
      </c>
      <c r="AS1319" t="s">
        <v>1329</v>
      </c>
      <c r="AT1319" t="s">
        <v>1330</v>
      </c>
      <c r="AU1319" t="s">
        <v>1331</v>
      </c>
      <c r="AV1319" t="s">
        <v>142</v>
      </c>
      <c r="AW1319" t="s">
        <v>140</v>
      </c>
      <c r="AX1319" s="8" t="str">
        <f>"33126"</f>
        <v>33126</v>
      </c>
      <c r="AY1319" t="s">
        <v>118</v>
      </c>
      <c r="BA1319" s="10">
        <v>13057745800</v>
      </c>
      <c r="BC1319" t="s">
        <v>1332</v>
      </c>
      <c r="BD1319" t="s">
        <v>1333</v>
      </c>
      <c r="BE1319" t="s">
        <v>140</v>
      </c>
      <c r="BF1319" t="s">
        <v>172</v>
      </c>
      <c r="BG1319" t="s">
        <v>140</v>
      </c>
      <c r="BH1319" s="1">
        <v>45149.833333333336</v>
      </c>
      <c r="BI1319">
        <v>35</v>
      </c>
      <c r="BJ1319">
        <v>7</v>
      </c>
      <c r="BK1319">
        <v>7</v>
      </c>
      <c r="BL1319">
        <v>7</v>
      </c>
      <c r="BM1319">
        <v>7</v>
      </c>
      <c r="BN1319">
        <v>7</v>
      </c>
      <c r="BO1319">
        <v>0</v>
      </c>
      <c r="BP1319">
        <v>0</v>
      </c>
      <c r="BQ1319" t="str">
        <f>"7:00 AM"</f>
        <v>7:00 AM</v>
      </c>
      <c r="BR1319" t="str">
        <f>"3:30 PM"</f>
        <v>3:30 PM</v>
      </c>
      <c r="BS1319" t="s">
        <v>131</v>
      </c>
      <c r="BT1319">
        <v>0</v>
      </c>
      <c r="BU1319">
        <v>6</v>
      </c>
      <c r="BV1319" t="s">
        <v>114</v>
      </c>
      <c r="BX1319" s="2" t="s">
        <v>7034</v>
      </c>
      <c r="BY1319" t="s">
        <v>6817</v>
      </c>
      <c r="CA1319" t="s">
        <v>1614</v>
      </c>
      <c r="CB1319" t="s">
        <v>140</v>
      </c>
      <c r="CC1319" s="8" t="str">
        <f>"34103"</f>
        <v>34103</v>
      </c>
      <c r="CD1319" t="s">
        <v>1619</v>
      </c>
      <c r="CE1319" t="s">
        <v>1620</v>
      </c>
      <c r="CF1319" s="12">
        <v>17</v>
      </c>
      <c r="CG1319" s="12">
        <v>19</v>
      </c>
      <c r="CH1319" s="12">
        <v>25.5</v>
      </c>
      <c r="CI1319" s="12">
        <v>28.5</v>
      </c>
      <c r="CJ1319" t="s">
        <v>135</v>
      </c>
      <c r="CK1319" s="2" t="s">
        <v>7035</v>
      </c>
      <c r="CL1319" t="s">
        <v>7036</v>
      </c>
      <c r="CO1319" t="s">
        <v>132</v>
      </c>
      <c r="CP1319" t="s">
        <v>136</v>
      </c>
      <c r="CQ1319" t="s">
        <v>114</v>
      </c>
      <c r="CR1319" t="s">
        <v>136</v>
      </c>
      <c r="CS1319" t="s">
        <v>136</v>
      </c>
      <c r="CT1319" t="s">
        <v>136</v>
      </c>
      <c r="CU1319" t="s">
        <v>136</v>
      </c>
      <c r="CV1319" t="s">
        <v>6822</v>
      </c>
      <c r="CW1319" s="10" t="str">
        <f>"+12395946034"</f>
        <v>+12395946034</v>
      </c>
      <c r="CX1319" t="s">
        <v>6823</v>
      </c>
      <c r="CY1319" t="s">
        <v>132</v>
      </c>
      <c r="CZ1319" t="s">
        <v>137</v>
      </c>
      <c r="DA1319" t="s">
        <v>114</v>
      </c>
      <c r="DB1319" t="s">
        <v>136</v>
      </c>
      <c r="DC1319" t="s">
        <v>136</v>
      </c>
      <c r="DD1319" t="s">
        <v>114</v>
      </c>
    </row>
    <row r="1320" spans="1:113" ht="15" customHeight="1" x14ac:dyDescent="0.25">
      <c r="A1320" t="s">
        <v>8894</v>
      </c>
      <c r="B1320" t="s">
        <v>152</v>
      </c>
      <c r="C1320" s="1">
        <v>45150.919965046298</v>
      </c>
      <c r="D1320" s="1">
        <v>45219</v>
      </c>
      <c r="E1320" t="s">
        <v>114</v>
      </c>
      <c r="F1320" t="s">
        <v>1059</v>
      </c>
      <c r="G1320" t="str">
        <f>"35-2014.00"</f>
        <v>35-2014.00</v>
      </c>
      <c r="H1320" t="s">
        <v>154</v>
      </c>
      <c r="I1320">
        <v>20</v>
      </c>
      <c r="J1320">
        <v>20</v>
      </c>
      <c r="K1320" s="1">
        <v>45240</v>
      </c>
      <c r="L1320" s="1">
        <v>45544</v>
      </c>
      <c r="M1320" s="1">
        <v>45240</v>
      </c>
      <c r="N1320" s="1">
        <v>45544</v>
      </c>
      <c r="O1320" t="s">
        <v>116</v>
      </c>
      <c r="P1320" t="s">
        <v>1319</v>
      </c>
      <c r="Q1320" t="s">
        <v>6814</v>
      </c>
      <c r="R1320" t="s">
        <v>1321</v>
      </c>
      <c r="T1320" t="s">
        <v>187</v>
      </c>
      <c r="U1320" t="s">
        <v>188</v>
      </c>
      <c r="V1320" s="8" t="str">
        <f>"80202"</f>
        <v>80202</v>
      </c>
      <c r="W1320" t="s">
        <v>118</v>
      </c>
      <c r="Y1320" s="10">
        <v>12395973232</v>
      </c>
      <c r="AA1320">
        <v>72111</v>
      </c>
      <c r="AB1320" t="s">
        <v>6815</v>
      </c>
      <c r="AC1320" t="s">
        <v>6816</v>
      </c>
      <c r="AE1320" t="s">
        <v>1104</v>
      </c>
      <c r="AF1320" t="s">
        <v>6817</v>
      </c>
      <c r="AH1320" t="s">
        <v>1614</v>
      </c>
      <c r="AI1320" t="s">
        <v>140</v>
      </c>
      <c r="AJ1320" s="8" t="str">
        <f>"34103"</f>
        <v>34103</v>
      </c>
      <c r="AK1320" t="s">
        <v>118</v>
      </c>
      <c r="AM1320" s="10">
        <v>12395946034</v>
      </c>
      <c r="AO1320" t="s">
        <v>6818</v>
      </c>
      <c r="AP1320" t="s">
        <v>121</v>
      </c>
      <c r="AQ1320" t="s">
        <v>1327</v>
      </c>
      <c r="AR1320" t="s">
        <v>1328</v>
      </c>
      <c r="AS1320" t="s">
        <v>1329</v>
      </c>
      <c r="AT1320" t="s">
        <v>1330</v>
      </c>
      <c r="AU1320" t="s">
        <v>1331</v>
      </c>
      <c r="AV1320" t="s">
        <v>142</v>
      </c>
      <c r="AW1320" t="s">
        <v>140</v>
      </c>
      <c r="AX1320" s="8" t="str">
        <f>"33126"</f>
        <v>33126</v>
      </c>
      <c r="AY1320" t="s">
        <v>118</v>
      </c>
      <c r="BA1320" s="10">
        <v>13057745800</v>
      </c>
      <c r="BC1320" t="s">
        <v>1332</v>
      </c>
      <c r="BD1320" t="s">
        <v>1333</v>
      </c>
      <c r="BE1320" t="s">
        <v>140</v>
      </c>
      <c r="BF1320" t="s">
        <v>172</v>
      </c>
      <c r="BG1320" t="s">
        <v>140</v>
      </c>
      <c r="BH1320" s="1">
        <v>45149.833333333336</v>
      </c>
      <c r="BI1320">
        <v>35</v>
      </c>
      <c r="BJ1320">
        <v>7</v>
      </c>
      <c r="BK1320">
        <v>7</v>
      </c>
      <c r="BL1320">
        <v>7</v>
      </c>
      <c r="BM1320">
        <v>7</v>
      </c>
      <c r="BN1320">
        <v>7</v>
      </c>
      <c r="BO1320">
        <v>0</v>
      </c>
      <c r="BP1320">
        <v>0</v>
      </c>
      <c r="BQ1320" t="str">
        <f>"5:00 AM"</f>
        <v>5:00 AM</v>
      </c>
      <c r="BR1320" t="str">
        <f>"1:30 PM"</f>
        <v>1:30 PM</v>
      </c>
      <c r="BS1320" t="s">
        <v>131</v>
      </c>
      <c r="BT1320">
        <v>0</v>
      </c>
      <c r="BU1320">
        <v>6</v>
      </c>
      <c r="BV1320" t="s">
        <v>114</v>
      </c>
      <c r="BX1320" s="2" t="s">
        <v>8895</v>
      </c>
      <c r="BY1320" t="s">
        <v>6817</v>
      </c>
      <c r="CA1320" t="s">
        <v>1614</v>
      </c>
      <c r="CB1320" t="s">
        <v>140</v>
      </c>
      <c r="CC1320" s="8" t="str">
        <f>"34103"</f>
        <v>34103</v>
      </c>
      <c r="CD1320" t="s">
        <v>1619</v>
      </c>
      <c r="CE1320" t="s">
        <v>1620</v>
      </c>
      <c r="CF1320" s="12">
        <v>17.22</v>
      </c>
      <c r="CG1320" s="12">
        <v>27.58</v>
      </c>
      <c r="CH1320" s="12">
        <v>25.83</v>
      </c>
      <c r="CI1320" s="12">
        <v>42.37</v>
      </c>
      <c r="CJ1320" t="s">
        <v>135</v>
      </c>
      <c r="CK1320" s="2" t="s">
        <v>8896</v>
      </c>
      <c r="CL1320" t="s">
        <v>8897</v>
      </c>
      <c r="CO1320" t="s">
        <v>132</v>
      </c>
      <c r="CP1320" t="s">
        <v>136</v>
      </c>
      <c r="CQ1320" t="s">
        <v>114</v>
      </c>
      <c r="CR1320" t="s">
        <v>136</v>
      </c>
      <c r="CS1320" t="s">
        <v>136</v>
      </c>
      <c r="CT1320" t="s">
        <v>136</v>
      </c>
      <c r="CU1320" t="s">
        <v>136</v>
      </c>
      <c r="CV1320" t="s">
        <v>6822</v>
      </c>
      <c r="CW1320" s="10" t="str">
        <f>"+12395946034"</f>
        <v>+12395946034</v>
      </c>
      <c r="CX1320" t="s">
        <v>6823</v>
      </c>
      <c r="CY1320" t="s">
        <v>132</v>
      </c>
      <c r="CZ1320" t="s">
        <v>137</v>
      </c>
      <c r="DA1320" t="s">
        <v>114</v>
      </c>
      <c r="DB1320" t="s">
        <v>136</v>
      </c>
      <c r="DC1320" t="s">
        <v>136</v>
      </c>
      <c r="DD1320" t="s">
        <v>114</v>
      </c>
    </row>
    <row r="1321" spans="1:113" ht="15" customHeight="1" x14ac:dyDescent="0.25">
      <c r="A1321" t="s">
        <v>18407</v>
      </c>
      <c r="B1321" t="s">
        <v>152</v>
      </c>
      <c r="C1321" s="1">
        <v>45141.270178009261</v>
      </c>
      <c r="D1321" s="1">
        <v>45219</v>
      </c>
      <c r="E1321" t="s">
        <v>114</v>
      </c>
      <c r="F1321" t="s">
        <v>5842</v>
      </c>
      <c r="G1321" t="str">
        <f>"35-3031.00"</f>
        <v>35-3031.00</v>
      </c>
      <c r="H1321" t="s">
        <v>347</v>
      </c>
      <c r="I1321">
        <v>4</v>
      </c>
      <c r="J1321">
        <v>4</v>
      </c>
      <c r="K1321" s="1">
        <v>45215</v>
      </c>
      <c r="L1321" s="1">
        <v>45443</v>
      </c>
      <c r="M1321" s="1">
        <v>45215</v>
      </c>
      <c r="N1321" s="1">
        <v>45443</v>
      </c>
      <c r="O1321" t="s">
        <v>238</v>
      </c>
      <c r="P1321" t="s">
        <v>18408</v>
      </c>
      <c r="Q1321" t="s">
        <v>18409</v>
      </c>
      <c r="R1321" t="s">
        <v>18410</v>
      </c>
      <c r="T1321" t="s">
        <v>11541</v>
      </c>
      <c r="U1321" t="s">
        <v>140</v>
      </c>
      <c r="V1321" s="8" t="str">
        <f>"33912"</f>
        <v>33912</v>
      </c>
      <c r="W1321" t="s">
        <v>118</v>
      </c>
      <c r="Y1321" s="10">
        <v>12395614170</v>
      </c>
      <c r="AA1321">
        <v>713910</v>
      </c>
      <c r="AB1321" t="s">
        <v>7802</v>
      </c>
      <c r="AC1321" t="s">
        <v>7803</v>
      </c>
      <c r="AE1321" t="s">
        <v>7804</v>
      </c>
      <c r="AF1321" t="s">
        <v>18410</v>
      </c>
      <c r="AH1321" t="s">
        <v>11541</v>
      </c>
      <c r="AI1321" t="s">
        <v>140</v>
      </c>
      <c r="AJ1321" s="8" t="str">
        <f>"33912"</f>
        <v>33912</v>
      </c>
      <c r="AK1321" t="s">
        <v>118</v>
      </c>
      <c r="AM1321" s="10">
        <v>12395614170</v>
      </c>
      <c r="AO1321" t="s">
        <v>796</v>
      </c>
      <c r="AP1321" t="s">
        <v>248</v>
      </c>
      <c r="AQ1321" t="s">
        <v>354</v>
      </c>
      <c r="AR1321" t="s">
        <v>355</v>
      </c>
      <c r="AT1321" t="s">
        <v>356</v>
      </c>
      <c r="AV1321" t="s">
        <v>357</v>
      </c>
      <c r="AW1321" t="s">
        <v>358</v>
      </c>
      <c r="AX1321" s="8" t="str">
        <f>"11590"</f>
        <v>11590</v>
      </c>
      <c r="AY1321" t="s">
        <v>118</v>
      </c>
      <c r="BA1321" s="10">
        <v>15163307168</v>
      </c>
      <c r="BC1321" t="s">
        <v>359</v>
      </c>
      <c r="BD1321" t="s">
        <v>360</v>
      </c>
      <c r="BG1321" t="s">
        <v>140</v>
      </c>
      <c r="BH1321" s="1">
        <v>45139.833333333336</v>
      </c>
      <c r="BI1321">
        <v>35</v>
      </c>
      <c r="BJ1321">
        <v>7</v>
      </c>
      <c r="BK1321">
        <v>0</v>
      </c>
      <c r="BL1321">
        <v>7</v>
      </c>
      <c r="BM1321">
        <v>0</v>
      </c>
      <c r="BN1321">
        <v>7</v>
      </c>
      <c r="BO1321">
        <v>7</v>
      </c>
      <c r="BP1321">
        <v>7</v>
      </c>
      <c r="BQ1321" t="str">
        <f>"7:00 AM"</f>
        <v>7:00 AM</v>
      </c>
      <c r="BR1321" t="str">
        <f>"10:00 AM"</f>
        <v>10:00 AM</v>
      </c>
      <c r="BS1321" t="s">
        <v>131</v>
      </c>
      <c r="BT1321">
        <v>0</v>
      </c>
      <c r="BU1321">
        <v>0</v>
      </c>
      <c r="BV1321" t="s">
        <v>114</v>
      </c>
      <c r="BX1321" t="s">
        <v>132</v>
      </c>
      <c r="BY1321" t="s">
        <v>18410</v>
      </c>
      <c r="CA1321" t="s">
        <v>11541</v>
      </c>
      <c r="CB1321" t="s">
        <v>140</v>
      </c>
      <c r="CC1321" s="8" t="str">
        <f>"33912"</f>
        <v>33912</v>
      </c>
      <c r="CD1321" t="s">
        <v>362</v>
      </c>
      <c r="CE1321" t="s">
        <v>363</v>
      </c>
      <c r="CF1321" s="12">
        <v>15.7</v>
      </c>
      <c r="CG1321" s="12">
        <v>15.7</v>
      </c>
      <c r="CH1321" s="12">
        <v>23.55</v>
      </c>
      <c r="CI1321" s="12">
        <v>23.55</v>
      </c>
      <c r="CJ1321" t="s">
        <v>135</v>
      </c>
      <c r="CK1321" t="s">
        <v>18411</v>
      </c>
      <c r="CL1321" t="s">
        <v>18412</v>
      </c>
      <c r="CO1321" t="s">
        <v>132</v>
      </c>
      <c r="CP1321" t="s">
        <v>114</v>
      </c>
      <c r="CQ1321" t="s">
        <v>114</v>
      </c>
      <c r="CR1321" t="s">
        <v>136</v>
      </c>
      <c r="CS1321" t="s">
        <v>114</v>
      </c>
      <c r="CT1321" t="s">
        <v>136</v>
      </c>
      <c r="CU1321" t="s">
        <v>114</v>
      </c>
      <c r="CV1321" t="s">
        <v>132</v>
      </c>
      <c r="CW1321" s="10" t="str">
        <f>"+12395614170"</f>
        <v>+12395614170</v>
      </c>
      <c r="CX1321" t="s">
        <v>1796</v>
      </c>
      <c r="CY1321" t="s">
        <v>132</v>
      </c>
      <c r="CZ1321" t="s">
        <v>137</v>
      </c>
      <c r="DA1321" t="s">
        <v>114</v>
      </c>
      <c r="DB1321" t="s">
        <v>114</v>
      </c>
      <c r="DC1321" t="s">
        <v>136</v>
      </c>
      <c r="DD1321" t="s">
        <v>114</v>
      </c>
    </row>
    <row r="1322" spans="1:113" ht="15" customHeight="1" x14ac:dyDescent="0.25">
      <c r="A1322" t="s">
        <v>14064</v>
      </c>
      <c r="B1322" t="s">
        <v>152</v>
      </c>
      <c r="C1322" s="1">
        <v>45171.41819016204</v>
      </c>
      <c r="D1322" s="1">
        <v>45218</v>
      </c>
      <c r="E1322" t="s">
        <v>132</v>
      </c>
      <c r="F1322" t="s">
        <v>14065</v>
      </c>
      <c r="G1322" t="str">
        <f>"53-7062.00"</f>
        <v>53-7062.00</v>
      </c>
      <c r="H1322" t="s">
        <v>2078</v>
      </c>
      <c r="I1322">
        <v>4</v>
      </c>
      <c r="J1322">
        <v>4</v>
      </c>
      <c r="K1322" s="1">
        <v>45261</v>
      </c>
      <c r="L1322" s="1">
        <v>45488</v>
      </c>
      <c r="M1322" s="1">
        <v>45261</v>
      </c>
      <c r="N1322" s="1">
        <v>45488</v>
      </c>
      <c r="O1322" t="s">
        <v>116</v>
      </c>
      <c r="P1322" t="s">
        <v>14066</v>
      </c>
      <c r="R1322" t="s">
        <v>14067</v>
      </c>
      <c r="S1322" t="s">
        <v>132</v>
      </c>
      <c r="T1322" t="s">
        <v>14068</v>
      </c>
      <c r="U1322" t="s">
        <v>434</v>
      </c>
      <c r="V1322" s="8" t="str">
        <f>"19464"</f>
        <v>19464</v>
      </c>
      <c r="W1322" t="s">
        <v>118</v>
      </c>
      <c r="Y1322" s="10">
        <v>16107058808</v>
      </c>
      <c r="AA1322">
        <v>423210</v>
      </c>
      <c r="AB1322" t="s">
        <v>14069</v>
      </c>
      <c r="AC1322" t="s">
        <v>2022</v>
      </c>
      <c r="AE1322" t="s">
        <v>14070</v>
      </c>
      <c r="AF1322" t="s">
        <v>14067</v>
      </c>
      <c r="AG1322" t="s">
        <v>132</v>
      </c>
      <c r="AH1322" t="s">
        <v>14068</v>
      </c>
      <c r="AI1322" t="s">
        <v>434</v>
      </c>
      <c r="AJ1322" s="8" t="str">
        <f>"19464"</f>
        <v>19464</v>
      </c>
      <c r="AK1322" t="s">
        <v>118</v>
      </c>
      <c r="AM1322" s="10">
        <v>16107058808</v>
      </c>
      <c r="AO1322" t="s">
        <v>14071</v>
      </c>
      <c r="AP1322" t="s">
        <v>248</v>
      </c>
      <c r="AQ1322" t="s">
        <v>2166</v>
      </c>
      <c r="AR1322" t="s">
        <v>2167</v>
      </c>
      <c r="AS1322" t="s">
        <v>631</v>
      </c>
      <c r="AT1322" t="s">
        <v>1584</v>
      </c>
      <c r="AU1322" t="s">
        <v>132</v>
      </c>
      <c r="AV1322" t="s">
        <v>1585</v>
      </c>
      <c r="AW1322" t="s">
        <v>127</v>
      </c>
      <c r="AX1322" s="8" t="str">
        <f>"77414"</f>
        <v>77414</v>
      </c>
      <c r="AY1322" t="s">
        <v>118</v>
      </c>
      <c r="BA1322" s="10">
        <v>19793187282</v>
      </c>
      <c r="BC1322" t="s">
        <v>2168</v>
      </c>
      <c r="BD1322" t="s">
        <v>1587</v>
      </c>
      <c r="BG1322" t="s">
        <v>434</v>
      </c>
      <c r="BH1322" s="1">
        <v>45170.833333333336</v>
      </c>
      <c r="BI1322">
        <v>40</v>
      </c>
      <c r="BJ1322">
        <v>0</v>
      </c>
      <c r="BK1322">
        <v>8</v>
      </c>
      <c r="BL1322">
        <v>8</v>
      </c>
      <c r="BM1322">
        <v>8</v>
      </c>
      <c r="BN1322">
        <v>8</v>
      </c>
      <c r="BO1322">
        <v>8</v>
      </c>
      <c r="BP1322">
        <v>0</v>
      </c>
      <c r="BQ1322" t="str">
        <f>"8:30 AM"</f>
        <v>8:30 AM</v>
      </c>
      <c r="BR1322" t="str">
        <f>"5:00 PM"</f>
        <v>5:00 PM</v>
      </c>
      <c r="BS1322" t="s">
        <v>131</v>
      </c>
      <c r="BT1322">
        <v>0</v>
      </c>
      <c r="BU1322">
        <v>0</v>
      </c>
      <c r="BV1322" t="s">
        <v>114</v>
      </c>
      <c r="BX1322" s="2" t="s">
        <v>14072</v>
      </c>
      <c r="BY1322" t="s">
        <v>14067</v>
      </c>
      <c r="BZ1322" t="s">
        <v>132</v>
      </c>
      <c r="CA1322" t="s">
        <v>14068</v>
      </c>
      <c r="CB1322" t="s">
        <v>434</v>
      </c>
      <c r="CC1322" s="8" t="str">
        <f>"19464"</f>
        <v>19464</v>
      </c>
      <c r="CD1322" t="s">
        <v>878</v>
      </c>
      <c r="CE1322" t="s">
        <v>443</v>
      </c>
      <c r="CF1322" s="12">
        <v>19.02</v>
      </c>
      <c r="CH1322" s="12">
        <v>28.53</v>
      </c>
      <c r="CJ1322" t="s">
        <v>135</v>
      </c>
      <c r="CK1322" t="s">
        <v>2170</v>
      </c>
      <c r="CL1322" t="s">
        <v>14073</v>
      </c>
      <c r="CO1322" t="s">
        <v>132</v>
      </c>
      <c r="CP1322" t="s">
        <v>114</v>
      </c>
      <c r="CQ1322" t="s">
        <v>114</v>
      </c>
      <c r="CR1322" t="s">
        <v>136</v>
      </c>
      <c r="CS1322" t="s">
        <v>136</v>
      </c>
      <c r="CT1322" t="s">
        <v>136</v>
      </c>
      <c r="CU1322" t="s">
        <v>114</v>
      </c>
      <c r="CV1322" t="s">
        <v>2171</v>
      </c>
      <c r="CW1322" s="10" t="str">
        <f>"+16107058808"</f>
        <v>+16107058808</v>
      </c>
      <c r="CX1322" t="s">
        <v>14074</v>
      </c>
      <c r="CY1322" t="s">
        <v>132</v>
      </c>
      <c r="CZ1322" t="s">
        <v>137</v>
      </c>
      <c r="DA1322" t="s">
        <v>114</v>
      </c>
      <c r="DB1322" t="s">
        <v>114</v>
      </c>
      <c r="DC1322" t="s">
        <v>136</v>
      </c>
      <c r="DD1322" t="s">
        <v>114</v>
      </c>
    </row>
    <row r="1323" spans="1:113" ht="15" customHeight="1" x14ac:dyDescent="0.25">
      <c r="A1323" t="s">
        <v>22571</v>
      </c>
      <c r="B1323" t="s">
        <v>152</v>
      </c>
      <c r="C1323" s="1">
        <v>45171.317666319446</v>
      </c>
      <c r="D1323" s="1">
        <v>45218</v>
      </c>
      <c r="E1323" t="s">
        <v>132</v>
      </c>
      <c r="F1323" t="s">
        <v>22572</v>
      </c>
      <c r="G1323" t="str">
        <f>"37-2011.00"</f>
        <v>37-2011.00</v>
      </c>
      <c r="H1323" t="s">
        <v>1089</v>
      </c>
      <c r="I1323">
        <v>25</v>
      </c>
      <c r="J1323">
        <v>25</v>
      </c>
      <c r="K1323" s="1">
        <v>45261</v>
      </c>
      <c r="L1323" s="1">
        <v>45350</v>
      </c>
      <c r="M1323" s="1">
        <v>45261</v>
      </c>
      <c r="N1323" s="1">
        <v>45350</v>
      </c>
      <c r="O1323" t="s">
        <v>238</v>
      </c>
      <c r="P1323" t="s">
        <v>22573</v>
      </c>
      <c r="R1323" t="s">
        <v>22574</v>
      </c>
      <c r="T1323" t="s">
        <v>5557</v>
      </c>
      <c r="U1323" t="s">
        <v>819</v>
      </c>
      <c r="V1323" s="8" t="str">
        <f>"46268"</f>
        <v>46268</v>
      </c>
      <c r="W1323" t="s">
        <v>118</v>
      </c>
      <c r="Y1323" s="10">
        <v>17653664994</v>
      </c>
      <c r="AA1323">
        <v>56173</v>
      </c>
      <c r="AB1323" t="s">
        <v>22575</v>
      </c>
      <c r="AC1323" t="s">
        <v>8463</v>
      </c>
      <c r="AE1323" t="s">
        <v>743</v>
      </c>
      <c r="AF1323" t="s">
        <v>22574</v>
      </c>
      <c r="AH1323" t="s">
        <v>5557</v>
      </c>
      <c r="AI1323" t="s">
        <v>819</v>
      </c>
      <c r="AJ1323" s="8" t="str">
        <f>"46268"</f>
        <v>46268</v>
      </c>
      <c r="AK1323" t="s">
        <v>118</v>
      </c>
      <c r="AM1323" s="10">
        <v>17653664994</v>
      </c>
      <c r="AO1323" t="s">
        <v>796</v>
      </c>
      <c r="AP1323" t="s">
        <v>248</v>
      </c>
      <c r="AQ1323" t="s">
        <v>577</v>
      </c>
      <c r="AR1323" t="s">
        <v>578</v>
      </c>
      <c r="AT1323" t="s">
        <v>1350</v>
      </c>
      <c r="AU1323" t="s">
        <v>1351</v>
      </c>
      <c r="AV1323" t="s">
        <v>1352</v>
      </c>
      <c r="AW1323" t="s">
        <v>581</v>
      </c>
      <c r="AX1323" s="8" t="str">
        <f>"22949"</f>
        <v>22949</v>
      </c>
      <c r="AY1323" t="s">
        <v>118</v>
      </c>
      <c r="BA1323" s="10">
        <v>14342634300</v>
      </c>
      <c r="BC1323" t="s">
        <v>16549</v>
      </c>
      <c r="BD1323" t="s">
        <v>583</v>
      </c>
      <c r="BG1323" t="s">
        <v>819</v>
      </c>
      <c r="BH1323" s="1">
        <v>45170.833333333336</v>
      </c>
      <c r="BI1323">
        <v>40</v>
      </c>
      <c r="BJ1323">
        <v>0</v>
      </c>
      <c r="BK1323">
        <v>8</v>
      </c>
      <c r="BL1323">
        <v>8</v>
      </c>
      <c r="BM1323">
        <v>8</v>
      </c>
      <c r="BN1323">
        <v>8</v>
      </c>
      <c r="BO1323">
        <v>8</v>
      </c>
      <c r="BP1323">
        <v>0</v>
      </c>
      <c r="BQ1323" t="str">
        <f>"7:00 AM"</f>
        <v>7:00 AM</v>
      </c>
      <c r="BR1323" t="str">
        <f>"3:30 PM"</f>
        <v>3:30 PM</v>
      </c>
      <c r="BS1323" t="s">
        <v>131</v>
      </c>
      <c r="BT1323">
        <v>0</v>
      </c>
      <c r="BU1323">
        <v>0</v>
      </c>
      <c r="BV1323" t="s">
        <v>114</v>
      </c>
      <c r="BX1323" s="2" t="s">
        <v>2416</v>
      </c>
      <c r="BY1323" t="s">
        <v>22576</v>
      </c>
      <c r="CA1323" t="s">
        <v>5557</v>
      </c>
      <c r="CB1323" t="s">
        <v>819</v>
      </c>
      <c r="CC1323" s="8" t="str">
        <f>"46268"</f>
        <v>46268</v>
      </c>
      <c r="CD1323" t="s">
        <v>1257</v>
      </c>
      <c r="CE1323" t="s">
        <v>2111</v>
      </c>
      <c r="CF1323" s="12">
        <v>14.32</v>
      </c>
      <c r="CH1323" s="12">
        <v>21.48</v>
      </c>
      <c r="CJ1323" t="s">
        <v>135</v>
      </c>
      <c r="CK1323" t="s">
        <v>590</v>
      </c>
      <c r="CL1323" t="s">
        <v>22577</v>
      </c>
      <c r="CO1323" t="s">
        <v>132</v>
      </c>
      <c r="CP1323" t="s">
        <v>136</v>
      </c>
      <c r="CQ1323" t="s">
        <v>114</v>
      </c>
      <c r="CR1323" t="s">
        <v>136</v>
      </c>
      <c r="CS1323" t="s">
        <v>136</v>
      </c>
      <c r="CT1323" t="s">
        <v>136</v>
      </c>
      <c r="CU1323" t="s">
        <v>136</v>
      </c>
      <c r="CV1323" t="s">
        <v>22578</v>
      </c>
      <c r="CW1323" s="10" t="str">
        <f>"N/A"</f>
        <v>N/A</v>
      </c>
      <c r="CX1323" t="s">
        <v>22579</v>
      </c>
      <c r="CY1323" t="s">
        <v>10236</v>
      </c>
      <c r="CZ1323" t="s">
        <v>137</v>
      </c>
      <c r="DA1323" t="s">
        <v>114</v>
      </c>
      <c r="DB1323" t="s">
        <v>114</v>
      </c>
      <c r="DC1323" t="s">
        <v>136</v>
      </c>
      <c r="DD1323" t="s">
        <v>114</v>
      </c>
      <c r="DE1323" t="s">
        <v>1361</v>
      </c>
      <c r="DF1323" t="s">
        <v>1362</v>
      </c>
      <c r="DH1323" t="s">
        <v>583</v>
      </c>
      <c r="DI1323" t="s">
        <v>1353</v>
      </c>
    </row>
    <row r="1324" spans="1:113" ht="15" customHeight="1" x14ac:dyDescent="0.25">
      <c r="A1324" t="s">
        <v>14160</v>
      </c>
      <c r="B1324" t="s">
        <v>152</v>
      </c>
      <c r="C1324" s="1">
        <v>45170.657213078703</v>
      </c>
      <c r="D1324" s="1">
        <v>45218</v>
      </c>
      <c r="E1324" t="s">
        <v>132</v>
      </c>
      <c r="F1324" t="s">
        <v>10795</v>
      </c>
      <c r="G1324" t="str">
        <f>"37-2012.00"</f>
        <v>37-2012.00</v>
      </c>
      <c r="H1324" t="s">
        <v>205</v>
      </c>
      <c r="I1324">
        <v>65</v>
      </c>
      <c r="J1324">
        <v>65</v>
      </c>
      <c r="K1324" s="1">
        <v>45246</v>
      </c>
      <c r="L1324" s="1">
        <v>45520</v>
      </c>
      <c r="M1324" s="1">
        <v>45246</v>
      </c>
      <c r="N1324" s="1">
        <v>45520</v>
      </c>
      <c r="O1324" t="s">
        <v>238</v>
      </c>
      <c r="P1324" t="s">
        <v>10246</v>
      </c>
      <c r="Q1324" t="s">
        <v>10246</v>
      </c>
      <c r="R1324" t="s">
        <v>10247</v>
      </c>
      <c r="S1324" t="s">
        <v>10796</v>
      </c>
      <c r="T1324" t="s">
        <v>2773</v>
      </c>
      <c r="U1324" t="s">
        <v>140</v>
      </c>
      <c r="V1324" s="8" t="str">
        <f>"32408"</f>
        <v>32408</v>
      </c>
      <c r="W1324" t="s">
        <v>118</v>
      </c>
      <c r="Y1324" s="10">
        <v>17864929774</v>
      </c>
      <c r="AA1324">
        <v>561720</v>
      </c>
      <c r="AB1324" t="s">
        <v>10248</v>
      </c>
      <c r="AC1324" t="s">
        <v>10249</v>
      </c>
      <c r="AE1324" t="s">
        <v>629</v>
      </c>
      <c r="AF1324" t="s">
        <v>10247</v>
      </c>
      <c r="AH1324" t="s">
        <v>2773</v>
      </c>
      <c r="AI1324" t="s">
        <v>140</v>
      </c>
      <c r="AJ1324" s="8" t="str">
        <f>"32408"</f>
        <v>32408</v>
      </c>
      <c r="AK1324" t="s">
        <v>118</v>
      </c>
      <c r="AM1324" s="10">
        <v>17864929774</v>
      </c>
      <c r="AO1324" t="s">
        <v>10250</v>
      </c>
      <c r="AX1324" s="8" t="str">
        <f>""</f>
        <v/>
      </c>
      <c r="BG1324" t="s">
        <v>140</v>
      </c>
      <c r="BH1324" s="1">
        <v>45245.791666666664</v>
      </c>
      <c r="BI1324">
        <v>35</v>
      </c>
      <c r="BJ1324">
        <v>5</v>
      </c>
      <c r="BK1324">
        <v>5</v>
      </c>
      <c r="BL1324">
        <v>5</v>
      </c>
      <c r="BM1324">
        <v>5</v>
      </c>
      <c r="BN1324">
        <v>5</v>
      </c>
      <c r="BO1324">
        <v>5</v>
      </c>
      <c r="BP1324">
        <v>5</v>
      </c>
      <c r="BQ1324" t="str">
        <f>"8:00 AM"</f>
        <v>8:00 AM</v>
      </c>
      <c r="BR1324" t="str">
        <f>"4:00 PM"</f>
        <v>4:00 PM</v>
      </c>
      <c r="BS1324" t="s">
        <v>131</v>
      </c>
      <c r="BT1324">
        <v>0</v>
      </c>
      <c r="BU1324">
        <v>1</v>
      </c>
      <c r="BV1324" t="s">
        <v>114</v>
      </c>
      <c r="BX1324" s="2" t="s">
        <v>10799</v>
      </c>
      <c r="BY1324" t="s">
        <v>14161</v>
      </c>
      <c r="CA1324" t="s">
        <v>3309</v>
      </c>
      <c r="CB1324" t="s">
        <v>140</v>
      </c>
      <c r="CC1324" s="8" t="str">
        <f>"32459"</f>
        <v>32459</v>
      </c>
      <c r="CD1324" t="s">
        <v>3313</v>
      </c>
      <c r="CE1324" t="s">
        <v>3314</v>
      </c>
      <c r="CF1324" s="12">
        <v>13.21</v>
      </c>
      <c r="CG1324" s="12">
        <v>16</v>
      </c>
      <c r="CH1324" s="12">
        <v>19.82</v>
      </c>
      <c r="CI1324" s="12">
        <v>24</v>
      </c>
      <c r="CJ1324" t="s">
        <v>135</v>
      </c>
      <c r="CK1324" t="s">
        <v>10253</v>
      </c>
      <c r="CL1324" t="s">
        <v>14162</v>
      </c>
      <c r="CO1324" t="s">
        <v>132</v>
      </c>
      <c r="CP1324" t="s">
        <v>136</v>
      </c>
      <c r="CQ1324" t="s">
        <v>114</v>
      </c>
      <c r="CR1324" t="s">
        <v>136</v>
      </c>
      <c r="CS1324" t="s">
        <v>114</v>
      </c>
      <c r="CT1324" t="s">
        <v>136</v>
      </c>
      <c r="CU1324" t="s">
        <v>136</v>
      </c>
      <c r="CV1324" s="2" t="s">
        <v>10802</v>
      </c>
      <c r="CW1324" s="10" t="str">
        <f>"+17869429774"</f>
        <v>+17869429774</v>
      </c>
      <c r="CX1324" t="s">
        <v>10256</v>
      </c>
      <c r="CY1324" t="s">
        <v>132</v>
      </c>
      <c r="CZ1324" t="s">
        <v>137</v>
      </c>
      <c r="DA1324" t="s">
        <v>114</v>
      </c>
      <c r="DB1324" t="s">
        <v>114</v>
      </c>
      <c r="DC1324" t="s">
        <v>136</v>
      </c>
      <c r="DD1324" t="s">
        <v>114</v>
      </c>
    </row>
    <row r="1325" spans="1:113" ht="15" customHeight="1" x14ac:dyDescent="0.25">
      <c r="A1325" t="s">
        <v>20950</v>
      </c>
      <c r="B1325" t="s">
        <v>152</v>
      </c>
      <c r="C1325" s="1">
        <v>45169.719494212964</v>
      </c>
      <c r="D1325" s="1">
        <v>45218</v>
      </c>
      <c r="E1325" t="s">
        <v>114</v>
      </c>
      <c r="F1325" t="s">
        <v>3847</v>
      </c>
      <c r="G1325" t="str">
        <f>"39-2021.00"</f>
        <v>39-2021.00</v>
      </c>
      <c r="H1325" t="s">
        <v>2895</v>
      </c>
      <c r="I1325">
        <v>12</v>
      </c>
      <c r="J1325">
        <v>12</v>
      </c>
      <c r="K1325" s="1">
        <v>45245</v>
      </c>
      <c r="L1325" s="1">
        <v>45412</v>
      </c>
      <c r="M1325" s="1">
        <v>45245</v>
      </c>
      <c r="N1325" s="1">
        <v>45412</v>
      </c>
      <c r="O1325" t="s">
        <v>238</v>
      </c>
      <c r="P1325" t="s">
        <v>20951</v>
      </c>
      <c r="R1325" t="s">
        <v>20952</v>
      </c>
      <c r="T1325" t="s">
        <v>2096</v>
      </c>
      <c r="U1325" t="s">
        <v>2090</v>
      </c>
      <c r="V1325" s="8" t="str">
        <f>"68130"</f>
        <v>68130</v>
      </c>
      <c r="W1325" t="s">
        <v>118</v>
      </c>
      <c r="Y1325" s="10">
        <v>17087905694</v>
      </c>
      <c r="AA1325">
        <v>711212</v>
      </c>
      <c r="AB1325" t="s">
        <v>20953</v>
      </c>
      <c r="AC1325" t="s">
        <v>20954</v>
      </c>
      <c r="AE1325" t="s">
        <v>3852</v>
      </c>
      <c r="AF1325" t="s">
        <v>20952</v>
      </c>
      <c r="AH1325" t="s">
        <v>2096</v>
      </c>
      <c r="AI1325" t="s">
        <v>2090</v>
      </c>
      <c r="AJ1325" s="8" t="str">
        <f>"68130"</f>
        <v>68130</v>
      </c>
      <c r="AK1325" t="s">
        <v>118</v>
      </c>
      <c r="AM1325" s="10">
        <v>17087905694</v>
      </c>
      <c r="AO1325" t="s">
        <v>20955</v>
      </c>
      <c r="AP1325" t="s">
        <v>121</v>
      </c>
      <c r="AQ1325" t="s">
        <v>3854</v>
      </c>
      <c r="AR1325" t="s">
        <v>144</v>
      </c>
      <c r="AS1325" t="s">
        <v>3855</v>
      </c>
      <c r="AT1325" t="s">
        <v>2605</v>
      </c>
      <c r="AU1325" t="s">
        <v>2606</v>
      </c>
      <c r="AV1325" t="s">
        <v>2607</v>
      </c>
      <c r="AW1325" t="s">
        <v>2608</v>
      </c>
      <c r="AX1325" s="8" t="str">
        <f>"73069"</f>
        <v>73069</v>
      </c>
      <c r="AY1325" t="s">
        <v>118</v>
      </c>
      <c r="BA1325" s="10">
        <v>14053642525</v>
      </c>
      <c r="BC1325" t="s">
        <v>2609</v>
      </c>
      <c r="BD1325" t="s">
        <v>2610</v>
      </c>
      <c r="BE1325" t="s">
        <v>2608</v>
      </c>
      <c r="BF1325" t="s">
        <v>2611</v>
      </c>
      <c r="BG1325" t="s">
        <v>1825</v>
      </c>
      <c r="BH1325" s="1">
        <v>45168.833333333336</v>
      </c>
      <c r="BI1325">
        <v>56</v>
      </c>
      <c r="BJ1325">
        <v>8</v>
      </c>
      <c r="BK1325">
        <v>8</v>
      </c>
      <c r="BL1325">
        <v>8</v>
      </c>
      <c r="BM1325">
        <v>8</v>
      </c>
      <c r="BN1325">
        <v>8</v>
      </c>
      <c r="BO1325">
        <v>8</v>
      </c>
      <c r="BP1325">
        <v>8</v>
      </c>
      <c r="BQ1325" t="str">
        <f>"5:00 AM"</f>
        <v>5:00 AM</v>
      </c>
      <c r="BR1325" t="str">
        <f>"5:00 PM"</f>
        <v>5:00 PM</v>
      </c>
      <c r="BS1325" t="s">
        <v>131</v>
      </c>
      <c r="BT1325">
        <v>0</v>
      </c>
      <c r="BU1325">
        <v>1</v>
      </c>
      <c r="BV1325" t="s">
        <v>114</v>
      </c>
      <c r="BX1325" s="2" t="s">
        <v>2870</v>
      </c>
      <c r="BY1325" t="s">
        <v>14285</v>
      </c>
      <c r="BZ1325" t="s">
        <v>14286</v>
      </c>
      <c r="CA1325" t="s">
        <v>7353</v>
      </c>
      <c r="CB1325" t="s">
        <v>1825</v>
      </c>
      <c r="CC1325" s="8" t="str">
        <f>"71901"</f>
        <v>71901</v>
      </c>
      <c r="CD1325" t="s">
        <v>7832</v>
      </c>
      <c r="CE1325" t="s">
        <v>7833</v>
      </c>
      <c r="CF1325" s="12">
        <v>15.21</v>
      </c>
      <c r="CG1325" s="12">
        <v>15.21</v>
      </c>
      <c r="CH1325" s="12">
        <v>22.82</v>
      </c>
      <c r="CI1325" s="12">
        <v>22.82</v>
      </c>
      <c r="CJ1325" t="s">
        <v>135</v>
      </c>
      <c r="CL1325" t="s">
        <v>20956</v>
      </c>
      <c r="CO1325" t="s">
        <v>132</v>
      </c>
      <c r="CP1325" t="s">
        <v>114</v>
      </c>
      <c r="CQ1325" t="s">
        <v>114</v>
      </c>
      <c r="CR1325" t="s">
        <v>136</v>
      </c>
      <c r="CS1325" t="s">
        <v>114</v>
      </c>
      <c r="CT1325" t="s">
        <v>136</v>
      </c>
      <c r="CU1325" t="s">
        <v>136</v>
      </c>
      <c r="CV1325" t="s">
        <v>3861</v>
      </c>
      <c r="CW1325" s="10" t="str">
        <f>"+17087905694"</f>
        <v>+17087905694</v>
      </c>
      <c r="CX1325" t="s">
        <v>20955</v>
      </c>
      <c r="CY1325" t="s">
        <v>132</v>
      </c>
      <c r="CZ1325" t="s">
        <v>137</v>
      </c>
      <c r="DA1325" t="s">
        <v>114</v>
      </c>
      <c r="DB1325" t="s">
        <v>114</v>
      </c>
      <c r="DC1325" t="s">
        <v>136</v>
      </c>
      <c r="DD1325" t="s">
        <v>114</v>
      </c>
    </row>
    <row r="1326" spans="1:113" ht="15" customHeight="1" x14ac:dyDescent="0.25">
      <c r="A1326" t="s">
        <v>14116</v>
      </c>
      <c r="B1326" t="s">
        <v>152</v>
      </c>
      <c r="C1326" s="1">
        <v>45169.514707986113</v>
      </c>
      <c r="D1326" s="1">
        <v>45218</v>
      </c>
      <c r="E1326" t="s">
        <v>114</v>
      </c>
      <c r="F1326" t="s">
        <v>3544</v>
      </c>
      <c r="G1326" t="str">
        <f>"51-3022.00"</f>
        <v>51-3022.00</v>
      </c>
      <c r="H1326" t="s">
        <v>1004</v>
      </c>
      <c r="I1326">
        <v>80</v>
      </c>
      <c r="J1326">
        <v>80</v>
      </c>
      <c r="K1326" s="1">
        <v>45245</v>
      </c>
      <c r="L1326" s="1">
        <v>45352</v>
      </c>
      <c r="M1326" s="1">
        <v>45245</v>
      </c>
      <c r="N1326" s="1">
        <v>45352</v>
      </c>
      <c r="O1326" t="s">
        <v>116</v>
      </c>
      <c r="P1326" t="s">
        <v>14117</v>
      </c>
      <c r="R1326" t="s">
        <v>14118</v>
      </c>
      <c r="T1326" t="s">
        <v>14119</v>
      </c>
      <c r="U1326" t="s">
        <v>792</v>
      </c>
      <c r="V1326" s="8" t="str">
        <f>"98595"</f>
        <v>98595</v>
      </c>
      <c r="W1326" t="s">
        <v>118</v>
      </c>
      <c r="Y1326" s="10">
        <v>13602682510</v>
      </c>
      <c r="AA1326">
        <v>3117</v>
      </c>
      <c r="AB1326" t="s">
        <v>14120</v>
      </c>
      <c r="AC1326" t="s">
        <v>1216</v>
      </c>
      <c r="AD1326" t="s">
        <v>2238</v>
      </c>
      <c r="AE1326" t="s">
        <v>537</v>
      </c>
      <c r="AF1326" t="s">
        <v>14118</v>
      </c>
      <c r="AH1326" t="s">
        <v>14119</v>
      </c>
      <c r="AI1326" t="s">
        <v>792</v>
      </c>
      <c r="AJ1326" s="8" t="str">
        <f>"98595"</f>
        <v>98595</v>
      </c>
      <c r="AK1326" t="s">
        <v>118</v>
      </c>
      <c r="AM1326" s="10">
        <v>13602682510</v>
      </c>
      <c r="AO1326" t="s">
        <v>14121</v>
      </c>
      <c r="AP1326" t="s">
        <v>121</v>
      </c>
      <c r="AQ1326" t="s">
        <v>1978</v>
      </c>
      <c r="AR1326" t="s">
        <v>705</v>
      </c>
      <c r="AS1326" t="s">
        <v>1979</v>
      </c>
      <c r="AT1326" t="s">
        <v>1980</v>
      </c>
      <c r="AU1326" t="s">
        <v>1981</v>
      </c>
      <c r="AV1326" t="s">
        <v>2916</v>
      </c>
      <c r="AW1326" t="s">
        <v>1722</v>
      </c>
      <c r="AX1326" s="8" t="str">
        <f>"21117"</f>
        <v>21117</v>
      </c>
      <c r="AY1326" t="s">
        <v>118</v>
      </c>
      <c r="BA1326" s="10">
        <v>14435014240</v>
      </c>
      <c r="BC1326" t="s">
        <v>1982</v>
      </c>
      <c r="BD1326" t="s">
        <v>9671</v>
      </c>
      <c r="BE1326" t="s">
        <v>358</v>
      </c>
      <c r="BF1326" t="s">
        <v>11035</v>
      </c>
      <c r="BG1326" t="s">
        <v>792</v>
      </c>
      <c r="BH1326" s="1">
        <v>45168.833333333336</v>
      </c>
      <c r="BI1326">
        <v>35</v>
      </c>
      <c r="BJ1326">
        <v>5</v>
      </c>
      <c r="BK1326">
        <v>5</v>
      </c>
      <c r="BL1326">
        <v>5</v>
      </c>
      <c r="BM1326">
        <v>5</v>
      </c>
      <c r="BN1326">
        <v>5</v>
      </c>
      <c r="BO1326">
        <v>5</v>
      </c>
      <c r="BP1326">
        <v>5</v>
      </c>
      <c r="BQ1326" t="str">
        <f>"7:00 AM"</f>
        <v>7:00 AM</v>
      </c>
      <c r="BR1326" t="str">
        <f>"7:00 PM"</f>
        <v>7:00 PM</v>
      </c>
      <c r="BS1326" t="s">
        <v>131</v>
      </c>
      <c r="BT1326">
        <v>0</v>
      </c>
      <c r="BU1326">
        <v>0</v>
      </c>
      <c r="BV1326" t="s">
        <v>114</v>
      </c>
      <c r="BX1326" s="2" t="s">
        <v>14122</v>
      </c>
      <c r="BY1326" t="s">
        <v>14118</v>
      </c>
      <c r="CA1326" t="s">
        <v>14119</v>
      </c>
      <c r="CB1326" t="s">
        <v>792</v>
      </c>
      <c r="CC1326" s="8" t="str">
        <f>"98595"</f>
        <v>98595</v>
      </c>
      <c r="CD1326" t="s">
        <v>5449</v>
      </c>
      <c r="CE1326" t="s">
        <v>5450</v>
      </c>
      <c r="CF1326" s="12">
        <v>15.74</v>
      </c>
      <c r="CH1326" s="12">
        <v>23.61</v>
      </c>
      <c r="CJ1326" t="s">
        <v>135</v>
      </c>
      <c r="CK1326" t="s">
        <v>7229</v>
      </c>
      <c r="CL1326" t="s">
        <v>14123</v>
      </c>
      <c r="CO1326" t="s">
        <v>132</v>
      </c>
      <c r="CP1326" t="s">
        <v>114</v>
      </c>
      <c r="CQ1326" t="s">
        <v>136</v>
      </c>
      <c r="CR1326" t="s">
        <v>136</v>
      </c>
      <c r="CS1326" t="s">
        <v>114</v>
      </c>
      <c r="CT1326" t="s">
        <v>136</v>
      </c>
      <c r="CU1326" t="s">
        <v>136</v>
      </c>
      <c r="CV1326" t="s">
        <v>1987</v>
      </c>
      <c r="CW1326" s="10" t="str">
        <f>"+13602682510"</f>
        <v>+13602682510</v>
      </c>
      <c r="CX1326" t="s">
        <v>14124</v>
      </c>
      <c r="CY1326" t="s">
        <v>132</v>
      </c>
      <c r="CZ1326" t="s">
        <v>137</v>
      </c>
      <c r="DA1326" t="s">
        <v>114</v>
      </c>
      <c r="DB1326" t="s">
        <v>136</v>
      </c>
      <c r="DC1326" t="s">
        <v>136</v>
      </c>
      <c r="DD1326" t="s">
        <v>114</v>
      </c>
    </row>
    <row r="1327" spans="1:113" ht="15" customHeight="1" x14ac:dyDescent="0.25">
      <c r="A1327" t="s">
        <v>11344</v>
      </c>
      <c r="B1327" t="s">
        <v>152</v>
      </c>
      <c r="C1327" s="1">
        <v>45168.449534143518</v>
      </c>
      <c r="D1327" s="1">
        <v>45218</v>
      </c>
      <c r="E1327" t="s">
        <v>136</v>
      </c>
      <c r="F1327" t="s">
        <v>11345</v>
      </c>
      <c r="G1327" t="str">
        <f>"53-3053.00"</f>
        <v>53-3053.00</v>
      </c>
      <c r="H1327" t="s">
        <v>7819</v>
      </c>
      <c r="I1327">
        <v>12</v>
      </c>
      <c r="J1327">
        <v>12</v>
      </c>
      <c r="K1327" s="1">
        <v>45245</v>
      </c>
      <c r="L1327" s="1">
        <v>45392</v>
      </c>
      <c r="M1327" s="1">
        <v>45245</v>
      </c>
      <c r="N1327" s="1">
        <v>45392</v>
      </c>
      <c r="O1327" t="s">
        <v>116</v>
      </c>
      <c r="P1327" t="s">
        <v>206</v>
      </c>
      <c r="Q1327" t="s">
        <v>207</v>
      </c>
      <c r="R1327" t="s">
        <v>208</v>
      </c>
      <c r="S1327" t="s">
        <v>209</v>
      </c>
      <c r="T1327" t="s">
        <v>210</v>
      </c>
      <c r="U1327" t="s">
        <v>211</v>
      </c>
      <c r="V1327" s="8" t="str">
        <f>"84060"</f>
        <v>84060</v>
      </c>
      <c r="W1327" t="s">
        <v>118</v>
      </c>
      <c r="Y1327" s="10">
        <v>14356493700</v>
      </c>
      <c r="AA1327">
        <v>7211</v>
      </c>
      <c r="AB1327" t="s">
        <v>212</v>
      </c>
      <c r="AC1327" t="s">
        <v>213</v>
      </c>
      <c r="AE1327" t="s">
        <v>214</v>
      </c>
      <c r="AF1327" t="s">
        <v>208</v>
      </c>
      <c r="AG1327" t="s">
        <v>215</v>
      </c>
      <c r="AH1327" t="s">
        <v>210</v>
      </c>
      <c r="AI1327" t="s">
        <v>211</v>
      </c>
      <c r="AJ1327" s="8" t="str">
        <f>"84060"</f>
        <v>84060</v>
      </c>
      <c r="AK1327" t="s">
        <v>118</v>
      </c>
      <c r="AM1327" s="10">
        <v>14356456469</v>
      </c>
      <c r="AO1327" t="s">
        <v>216</v>
      </c>
      <c r="AP1327" t="s">
        <v>121</v>
      </c>
      <c r="AQ1327" t="s">
        <v>217</v>
      </c>
      <c r="AR1327" t="s">
        <v>218</v>
      </c>
      <c r="AT1327" t="s">
        <v>219</v>
      </c>
      <c r="AU1327" t="s">
        <v>220</v>
      </c>
      <c r="AV1327" t="s">
        <v>221</v>
      </c>
      <c r="AW1327" t="s">
        <v>222</v>
      </c>
      <c r="AX1327" s="8" t="str">
        <f>"02632"</f>
        <v>02632</v>
      </c>
      <c r="AY1327" t="s">
        <v>118</v>
      </c>
      <c r="BA1327" s="10">
        <v>15087901181</v>
      </c>
      <c r="BC1327" t="s">
        <v>223</v>
      </c>
      <c r="BD1327" t="s">
        <v>224</v>
      </c>
      <c r="BE1327" t="s">
        <v>222</v>
      </c>
      <c r="BF1327" t="s">
        <v>225</v>
      </c>
      <c r="BG1327" t="s">
        <v>211</v>
      </c>
      <c r="BH1327" s="1">
        <v>45166.833333333336</v>
      </c>
      <c r="BI1327">
        <v>35</v>
      </c>
      <c r="BJ1327">
        <v>7</v>
      </c>
      <c r="BK1327">
        <v>0</v>
      </c>
      <c r="BL1327">
        <v>0</v>
      </c>
      <c r="BM1327">
        <v>7</v>
      </c>
      <c r="BN1327">
        <v>7</v>
      </c>
      <c r="BO1327">
        <v>7</v>
      </c>
      <c r="BP1327">
        <v>7</v>
      </c>
      <c r="BQ1327" t="str">
        <f>"7:00 AM"</f>
        <v>7:00 AM</v>
      </c>
      <c r="BR1327" t="str">
        <f>"3:00 PM"</f>
        <v>3:00 PM</v>
      </c>
      <c r="BS1327" t="s">
        <v>131</v>
      </c>
      <c r="BT1327">
        <v>0</v>
      </c>
      <c r="BU1327">
        <v>0</v>
      </c>
      <c r="BV1327" t="s">
        <v>114</v>
      </c>
      <c r="BX1327" s="2" t="s">
        <v>11346</v>
      </c>
      <c r="BY1327" t="s">
        <v>227</v>
      </c>
      <c r="BZ1327" t="s">
        <v>208</v>
      </c>
      <c r="CA1327" t="s">
        <v>210</v>
      </c>
      <c r="CB1327" t="s">
        <v>211</v>
      </c>
      <c r="CC1327" s="8" t="str">
        <f>"84060"</f>
        <v>84060</v>
      </c>
      <c r="CD1327" t="s">
        <v>228</v>
      </c>
      <c r="CE1327" t="s">
        <v>229</v>
      </c>
      <c r="CF1327" s="12">
        <v>17.38</v>
      </c>
      <c r="CG1327" s="12">
        <v>17.38</v>
      </c>
      <c r="CH1327" s="12">
        <v>26.07</v>
      </c>
      <c r="CI1327" s="12">
        <v>26.07</v>
      </c>
      <c r="CJ1327" t="s">
        <v>135</v>
      </c>
      <c r="CK1327" t="s">
        <v>230</v>
      </c>
      <c r="CL1327" t="s">
        <v>11347</v>
      </c>
      <c r="CO1327" t="s">
        <v>132</v>
      </c>
      <c r="CP1327" t="s">
        <v>136</v>
      </c>
      <c r="CQ1327" t="s">
        <v>136</v>
      </c>
      <c r="CR1327" t="s">
        <v>136</v>
      </c>
      <c r="CS1327" t="s">
        <v>136</v>
      </c>
      <c r="CT1327" t="s">
        <v>136</v>
      </c>
      <c r="CU1327" t="s">
        <v>136</v>
      </c>
      <c r="CV1327" t="s">
        <v>10094</v>
      </c>
      <c r="CW1327" s="10" t="str">
        <f>"+14356493700"</f>
        <v>+14356493700</v>
      </c>
      <c r="CX1327" t="s">
        <v>233</v>
      </c>
      <c r="CY1327" t="s">
        <v>234</v>
      </c>
      <c r="CZ1327" t="s">
        <v>137</v>
      </c>
      <c r="DA1327" t="s">
        <v>114</v>
      </c>
      <c r="DB1327" t="s">
        <v>114</v>
      </c>
      <c r="DC1327" t="s">
        <v>136</v>
      </c>
      <c r="DD1327" t="s">
        <v>114</v>
      </c>
    </row>
    <row r="1328" spans="1:113" ht="15" customHeight="1" x14ac:dyDescent="0.25">
      <c r="A1328" t="s">
        <v>14206</v>
      </c>
      <c r="B1328" t="s">
        <v>152</v>
      </c>
      <c r="C1328" s="1">
        <v>45166.627270138888</v>
      </c>
      <c r="D1328" s="1">
        <v>45218</v>
      </c>
      <c r="E1328" t="s">
        <v>136</v>
      </c>
      <c r="F1328" t="s">
        <v>1689</v>
      </c>
      <c r="G1328" t="str">
        <f>"37-2012.00"</f>
        <v>37-2012.00</v>
      </c>
      <c r="H1328" t="s">
        <v>205</v>
      </c>
      <c r="I1328">
        <v>7</v>
      </c>
      <c r="J1328">
        <v>7</v>
      </c>
      <c r="K1328" s="1">
        <v>45255</v>
      </c>
      <c r="L1328" s="1">
        <v>45380</v>
      </c>
      <c r="M1328" s="1">
        <v>45255</v>
      </c>
      <c r="N1328" s="1">
        <v>45380</v>
      </c>
      <c r="O1328" t="s">
        <v>116</v>
      </c>
      <c r="P1328" t="s">
        <v>14207</v>
      </c>
      <c r="Q1328" t="s">
        <v>14208</v>
      </c>
      <c r="R1328" t="s">
        <v>14209</v>
      </c>
      <c r="T1328" t="s">
        <v>3170</v>
      </c>
      <c r="U1328" t="s">
        <v>2194</v>
      </c>
      <c r="V1328" s="8" t="str">
        <f>"03251"</f>
        <v>03251</v>
      </c>
      <c r="W1328" t="s">
        <v>118</v>
      </c>
      <c r="Y1328" s="10">
        <v>16037452244</v>
      </c>
      <c r="AA1328">
        <v>721110</v>
      </c>
      <c r="AB1328" t="s">
        <v>14210</v>
      </c>
      <c r="AC1328" t="s">
        <v>1212</v>
      </c>
      <c r="AE1328" t="s">
        <v>14211</v>
      </c>
      <c r="AF1328" t="s">
        <v>14209</v>
      </c>
      <c r="AH1328" t="s">
        <v>3170</v>
      </c>
      <c r="AI1328" t="s">
        <v>2194</v>
      </c>
      <c r="AJ1328" s="8" t="str">
        <f>"03251"</f>
        <v>03251</v>
      </c>
      <c r="AK1328" t="s">
        <v>118</v>
      </c>
      <c r="AM1328" s="10">
        <v>16037452244</v>
      </c>
      <c r="AO1328" t="s">
        <v>14212</v>
      </c>
      <c r="AP1328" t="s">
        <v>121</v>
      </c>
      <c r="AQ1328" t="s">
        <v>276</v>
      </c>
      <c r="AR1328" t="s">
        <v>277</v>
      </c>
      <c r="AS1328" t="s">
        <v>278</v>
      </c>
      <c r="AT1328" t="s">
        <v>279</v>
      </c>
      <c r="AU1328" t="s">
        <v>280</v>
      </c>
      <c r="AV1328" t="s">
        <v>281</v>
      </c>
      <c r="AW1328" t="s">
        <v>222</v>
      </c>
      <c r="AX1328" s="8" t="str">
        <f>"01701"</f>
        <v>01701</v>
      </c>
      <c r="AY1328" t="s">
        <v>118</v>
      </c>
      <c r="BA1328" s="10">
        <v>16179399444</v>
      </c>
      <c r="BC1328" t="s">
        <v>282</v>
      </c>
      <c r="BD1328" t="s">
        <v>283</v>
      </c>
      <c r="BE1328" t="s">
        <v>222</v>
      </c>
      <c r="BF1328" t="s">
        <v>284</v>
      </c>
      <c r="BG1328" t="s">
        <v>2194</v>
      </c>
      <c r="BH1328" s="1">
        <v>45165.833333333336</v>
      </c>
      <c r="BI1328">
        <v>35</v>
      </c>
      <c r="BJ1328">
        <v>0</v>
      </c>
      <c r="BK1328">
        <v>7</v>
      </c>
      <c r="BL1328">
        <v>7</v>
      </c>
      <c r="BM1328">
        <v>7</v>
      </c>
      <c r="BN1328">
        <v>7</v>
      </c>
      <c r="BO1328">
        <v>7</v>
      </c>
      <c r="BP1328">
        <v>0</v>
      </c>
      <c r="BQ1328" t="str">
        <f>"7:00 AM"</f>
        <v>7:00 AM</v>
      </c>
      <c r="BR1328" t="str">
        <f>"2:00 PM"</f>
        <v>2:00 PM</v>
      </c>
      <c r="BS1328" t="s">
        <v>131</v>
      </c>
      <c r="BT1328">
        <v>0</v>
      </c>
      <c r="BU1328">
        <v>3</v>
      </c>
      <c r="BV1328" t="s">
        <v>114</v>
      </c>
      <c r="BX1328" s="2" t="s">
        <v>14213</v>
      </c>
      <c r="BY1328" t="s">
        <v>14209</v>
      </c>
      <c r="CA1328" t="s">
        <v>3170</v>
      </c>
      <c r="CB1328" t="s">
        <v>2194</v>
      </c>
      <c r="CC1328" s="8" t="str">
        <f>"03251"</f>
        <v>03251</v>
      </c>
      <c r="CD1328" t="s">
        <v>2150</v>
      </c>
      <c r="CE1328" t="s">
        <v>2365</v>
      </c>
      <c r="CF1328" s="12">
        <v>16.5</v>
      </c>
      <c r="CG1328" s="12">
        <v>22.5</v>
      </c>
      <c r="CH1328" s="12">
        <v>24.75</v>
      </c>
      <c r="CI1328" s="12">
        <v>33.75</v>
      </c>
      <c r="CJ1328" t="s">
        <v>135</v>
      </c>
      <c r="CK1328" t="s">
        <v>14214</v>
      </c>
      <c r="CL1328" t="s">
        <v>14215</v>
      </c>
      <c r="CO1328" t="s">
        <v>132</v>
      </c>
      <c r="CP1328" t="s">
        <v>114</v>
      </c>
      <c r="CQ1328" t="s">
        <v>136</v>
      </c>
      <c r="CR1328" t="s">
        <v>136</v>
      </c>
      <c r="CS1328" t="s">
        <v>136</v>
      </c>
      <c r="CT1328" t="s">
        <v>136</v>
      </c>
      <c r="CU1328" t="s">
        <v>136</v>
      </c>
      <c r="CV1328" t="s">
        <v>14216</v>
      </c>
      <c r="CW1328" s="10" t="str">
        <f>"+16037452244"</f>
        <v>+16037452244</v>
      </c>
      <c r="CX1328" t="s">
        <v>14212</v>
      </c>
      <c r="CY1328" t="s">
        <v>132</v>
      </c>
      <c r="CZ1328" t="s">
        <v>137</v>
      </c>
      <c r="DA1328" t="s">
        <v>114</v>
      </c>
      <c r="DB1328" t="s">
        <v>114</v>
      </c>
      <c r="DC1328" t="s">
        <v>136</v>
      </c>
      <c r="DD1328" t="s">
        <v>114</v>
      </c>
    </row>
    <row r="1329" spans="1:113" ht="15" customHeight="1" x14ac:dyDescent="0.25">
      <c r="A1329" t="s">
        <v>23279</v>
      </c>
      <c r="B1329" t="s">
        <v>152</v>
      </c>
      <c r="C1329" s="1">
        <v>45163.631270601851</v>
      </c>
      <c r="D1329" s="1">
        <v>45218</v>
      </c>
      <c r="E1329" t="s">
        <v>136</v>
      </c>
      <c r="F1329" t="s">
        <v>3992</v>
      </c>
      <c r="G1329" t="str">
        <f>"37-2011.00"</f>
        <v>37-2011.00</v>
      </c>
      <c r="H1329" t="s">
        <v>1089</v>
      </c>
      <c r="I1329">
        <v>11</v>
      </c>
      <c r="J1329">
        <v>11</v>
      </c>
      <c r="K1329" s="1">
        <v>45252</v>
      </c>
      <c r="L1329" s="1">
        <v>45383</v>
      </c>
      <c r="M1329" s="1">
        <v>45252</v>
      </c>
      <c r="N1329" s="1">
        <v>45383</v>
      </c>
      <c r="O1329" t="s">
        <v>238</v>
      </c>
      <c r="P1329" t="s">
        <v>23280</v>
      </c>
      <c r="R1329" t="s">
        <v>23281</v>
      </c>
      <c r="T1329" t="s">
        <v>18011</v>
      </c>
      <c r="U1329" t="s">
        <v>158</v>
      </c>
      <c r="V1329" s="8" t="str">
        <f>"48044"</f>
        <v>48044</v>
      </c>
      <c r="W1329" t="s">
        <v>118</v>
      </c>
      <c r="Y1329" s="10">
        <v>15866150222</v>
      </c>
      <c r="AA1329">
        <v>56173</v>
      </c>
      <c r="AB1329" t="s">
        <v>20118</v>
      </c>
      <c r="AC1329" t="s">
        <v>9625</v>
      </c>
      <c r="AE1329" t="s">
        <v>378</v>
      </c>
      <c r="AF1329" t="s">
        <v>23281</v>
      </c>
      <c r="AH1329" t="s">
        <v>18011</v>
      </c>
      <c r="AI1329" t="s">
        <v>158</v>
      </c>
      <c r="AJ1329" s="8" t="str">
        <f>"48044"</f>
        <v>48044</v>
      </c>
      <c r="AK1329" t="s">
        <v>118</v>
      </c>
      <c r="AM1329" s="10">
        <v>15866150222</v>
      </c>
      <c r="AO1329" t="s">
        <v>132</v>
      </c>
      <c r="AP1329" t="s">
        <v>248</v>
      </c>
      <c r="AQ1329" t="s">
        <v>577</v>
      </c>
      <c r="AR1329" t="s">
        <v>578</v>
      </c>
      <c r="AT1329" t="s">
        <v>579</v>
      </c>
      <c r="AV1329" t="s">
        <v>580</v>
      </c>
      <c r="AW1329" t="s">
        <v>581</v>
      </c>
      <c r="AX1329" s="8" t="str">
        <f>"22903"</f>
        <v>22903</v>
      </c>
      <c r="AY1329" t="s">
        <v>118</v>
      </c>
      <c r="BA1329" s="10">
        <v>14342634300</v>
      </c>
      <c r="BC1329" t="s">
        <v>6249</v>
      </c>
      <c r="BD1329" t="s">
        <v>583</v>
      </c>
      <c r="BG1329" t="s">
        <v>158</v>
      </c>
      <c r="BH1329" s="1">
        <v>45162.833333333336</v>
      </c>
      <c r="BI1329">
        <v>40</v>
      </c>
      <c r="BJ1329">
        <v>0</v>
      </c>
      <c r="BK1329">
        <v>8</v>
      </c>
      <c r="BL1329">
        <v>8</v>
      </c>
      <c r="BM1329">
        <v>8</v>
      </c>
      <c r="BN1329">
        <v>8</v>
      </c>
      <c r="BO1329">
        <v>8</v>
      </c>
      <c r="BP1329">
        <v>0</v>
      </c>
      <c r="BQ1329" t="str">
        <f>"8:00 AM"</f>
        <v>8:00 AM</v>
      </c>
      <c r="BR1329" t="str">
        <f>"4:00 PM"</f>
        <v>4:00 PM</v>
      </c>
      <c r="BS1329" t="s">
        <v>131</v>
      </c>
      <c r="BT1329">
        <v>0</v>
      </c>
      <c r="BU1329">
        <v>0</v>
      </c>
      <c r="BV1329" t="s">
        <v>114</v>
      </c>
      <c r="BX1329" s="2" t="s">
        <v>585</v>
      </c>
      <c r="BY1329" t="s">
        <v>23281</v>
      </c>
      <c r="CA1329" t="s">
        <v>18011</v>
      </c>
      <c r="CB1329" t="s">
        <v>158</v>
      </c>
      <c r="CC1329" s="8" t="str">
        <f>"48044"</f>
        <v>48044</v>
      </c>
      <c r="CD1329" t="s">
        <v>3452</v>
      </c>
      <c r="CE1329" t="s">
        <v>2228</v>
      </c>
      <c r="CF1329" s="12">
        <v>16.5</v>
      </c>
      <c r="CH1329" s="12">
        <v>24.75</v>
      </c>
      <c r="CJ1329" t="s">
        <v>135</v>
      </c>
      <c r="CK1329" t="s">
        <v>590</v>
      </c>
      <c r="CL1329" t="s">
        <v>23282</v>
      </c>
      <c r="CO1329" t="s">
        <v>132</v>
      </c>
      <c r="CP1329" t="s">
        <v>136</v>
      </c>
      <c r="CQ1329" t="s">
        <v>136</v>
      </c>
      <c r="CR1329" t="s">
        <v>136</v>
      </c>
      <c r="CS1329" t="s">
        <v>136</v>
      </c>
      <c r="CT1329" t="s">
        <v>136</v>
      </c>
      <c r="CU1329" t="s">
        <v>114</v>
      </c>
      <c r="CV1329" t="s">
        <v>11101</v>
      </c>
      <c r="CW1329" s="10" t="str">
        <f>"+15866150222"</f>
        <v>+15866150222</v>
      </c>
      <c r="CX1329" t="s">
        <v>132</v>
      </c>
      <c r="CY1329" t="s">
        <v>3546</v>
      </c>
      <c r="CZ1329" t="s">
        <v>137</v>
      </c>
      <c r="DA1329" t="s">
        <v>114</v>
      </c>
      <c r="DB1329" t="s">
        <v>114</v>
      </c>
      <c r="DC1329" t="s">
        <v>136</v>
      </c>
      <c r="DD1329" t="s">
        <v>114</v>
      </c>
      <c r="DE1329" t="s">
        <v>5698</v>
      </c>
      <c r="DF1329" t="s">
        <v>3175</v>
      </c>
      <c r="DH1329" t="s">
        <v>583</v>
      </c>
      <c r="DI1329" t="s">
        <v>6249</v>
      </c>
    </row>
    <row r="1330" spans="1:113" ht="15" customHeight="1" x14ac:dyDescent="0.25">
      <c r="A1330" t="s">
        <v>14280</v>
      </c>
      <c r="B1330" t="s">
        <v>152</v>
      </c>
      <c r="C1330" s="1">
        <v>45163.609730902775</v>
      </c>
      <c r="D1330" s="1">
        <v>45218</v>
      </c>
      <c r="E1330" t="s">
        <v>114</v>
      </c>
      <c r="F1330" t="s">
        <v>3847</v>
      </c>
      <c r="G1330" t="str">
        <f>"39-2021.00"</f>
        <v>39-2021.00</v>
      </c>
      <c r="H1330" t="s">
        <v>2895</v>
      </c>
      <c r="I1330">
        <v>5</v>
      </c>
      <c r="J1330">
        <v>5</v>
      </c>
      <c r="K1330" s="1">
        <v>45245</v>
      </c>
      <c r="L1330" s="1">
        <v>45412</v>
      </c>
      <c r="M1330" s="1">
        <v>45245</v>
      </c>
      <c r="N1330" s="1">
        <v>45412</v>
      </c>
      <c r="O1330" t="s">
        <v>238</v>
      </c>
      <c r="P1330" t="s">
        <v>14281</v>
      </c>
      <c r="R1330" t="s">
        <v>14282</v>
      </c>
      <c r="T1330" t="s">
        <v>4115</v>
      </c>
      <c r="U1330" t="s">
        <v>740</v>
      </c>
      <c r="V1330" s="8" t="str">
        <f>"50009"</f>
        <v>50009</v>
      </c>
      <c r="W1330" t="s">
        <v>118</v>
      </c>
      <c r="Y1330" s="10">
        <v>14056416003</v>
      </c>
      <c r="AA1330">
        <v>711212</v>
      </c>
      <c r="AB1330" t="s">
        <v>14283</v>
      </c>
      <c r="AC1330" t="s">
        <v>3351</v>
      </c>
      <c r="AE1330" t="s">
        <v>3852</v>
      </c>
      <c r="AF1330" t="s">
        <v>14282</v>
      </c>
      <c r="AH1330" t="s">
        <v>4115</v>
      </c>
      <c r="AI1330" t="s">
        <v>740</v>
      </c>
      <c r="AJ1330" s="8" t="str">
        <f>"50009"</f>
        <v>50009</v>
      </c>
      <c r="AK1330" t="s">
        <v>118</v>
      </c>
      <c r="AM1330" s="10">
        <v>14056416003</v>
      </c>
      <c r="AO1330" t="s">
        <v>14284</v>
      </c>
      <c r="AP1330" t="s">
        <v>121</v>
      </c>
      <c r="AQ1330" t="s">
        <v>3854</v>
      </c>
      <c r="AR1330" t="s">
        <v>144</v>
      </c>
      <c r="AS1330" t="s">
        <v>3855</v>
      </c>
      <c r="AT1330" t="s">
        <v>2605</v>
      </c>
      <c r="AU1330" t="s">
        <v>2606</v>
      </c>
      <c r="AV1330" t="s">
        <v>2607</v>
      </c>
      <c r="AW1330" t="s">
        <v>2608</v>
      </c>
      <c r="AX1330" s="8" t="str">
        <f>"73069"</f>
        <v>73069</v>
      </c>
      <c r="AY1330" t="s">
        <v>118</v>
      </c>
      <c r="BA1330" s="10">
        <v>14053642525</v>
      </c>
      <c r="BC1330" t="s">
        <v>2609</v>
      </c>
      <c r="BD1330" t="s">
        <v>2610</v>
      </c>
      <c r="BE1330" t="s">
        <v>2608</v>
      </c>
      <c r="BF1330" t="s">
        <v>2611</v>
      </c>
      <c r="BG1330" t="s">
        <v>1825</v>
      </c>
      <c r="BH1330" s="1">
        <v>45161.833333333336</v>
      </c>
      <c r="BI1330">
        <v>56</v>
      </c>
      <c r="BJ1330">
        <v>8</v>
      </c>
      <c r="BK1330">
        <v>8</v>
      </c>
      <c r="BL1330">
        <v>8</v>
      </c>
      <c r="BM1330">
        <v>8</v>
      </c>
      <c r="BN1330">
        <v>8</v>
      </c>
      <c r="BO1330">
        <v>8</v>
      </c>
      <c r="BP1330">
        <v>8</v>
      </c>
      <c r="BQ1330" t="str">
        <f>"5:00 AM"</f>
        <v>5:00 AM</v>
      </c>
      <c r="BR1330" t="str">
        <f>"5:00 PM"</f>
        <v>5:00 PM</v>
      </c>
      <c r="BS1330" t="s">
        <v>131</v>
      </c>
      <c r="BT1330">
        <v>0</v>
      </c>
      <c r="BU1330">
        <v>1</v>
      </c>
      <c r="BV1330" t="s">
        <v>114</v>
      </c>
      <c r="BX1330" s="2" t="s">
        <v>2870</v>
      </c>
      <c r="BY1330" t="s">
        <v>14285</v>
      </c>
      <c r="BZ1330" t="s">
        <v>14286</v>
      </c>
      <c r="CA1330" t="s">
        <v>7353</v>
      </c>
      <c r="CB1330" t="s">
        <v>1825</v>
      </c>
      <c r="CC1330" s="8" t="str">
        <f>"71901"</f>
        <v>71901</v>
      </c>
      <c r="CD1330" t="s">
        <v>7832</v>
      </c>
      <c r="CE1330" t="s">
        <v>7833</v>
      </c>
      <c r="CF1330" s="12">
        <v>15.21</v>
      </c>
      <c r="CG1330" s="12">
        <v>15.21</v>
      </c>
      <c r="CH1330" s="12">
        <v>22.82</v>
      </c>
      <c r="CI1330" s="12">
        <v>22.82</v>
      </c>
      <c r="CJ1330" t="s">
        <v>135</v>
      </c>
      <c r="CL1330" t="s">
        <v>14287</v>
      </c>
      <c r="CO1330" t="s">
        <v>132</v>
      </c>
      <c r="CP1330" t="s">
        <v>114</v>
      </c>
      <c r="CQ1330" t="s">
        <v>114</v>
      </c>
      <c r="CR1330" t="s">
        <v>136</v>
      </c>
      <c r="CS1330" t="s">
        <v>114</v>
      </c>
      <c r="CT1330" t="s">
        <v>136</v>
      </c>
      <c r="CU1330" t="s">
        <v>136</v>
      </c>
      <c r="CV1330" t="s">
        <v>14288</v>
      </c>
      <c r="CW1330" s="10" t="str">
        <f>"+14056416003"</f>
        <v>+14056416003</v>
      </c>
      <c r="CX1330" t="s">
        <v>14284</v>
      </c>
      <c r="CY1330" t="s">
        <v>132</v>
      </c>
      <c r="CZ1330" t="s">
        <v>137</v>
      </c>
      <c r="DA1330" t="s">
        <v>114</v>
      </c>
      <c r="DB1330" t="s">
        <v>114</v>
      </c>
      <c r="DC1330" t="s">
        <v>136</v>
      </c>
      <c r="DD1330" t="s">
        <v>114</v>
      </c>
    </row>
    <row r="1331" spans="1:113" ht="15" customHeight="1" x14ac:dyDescent="0.25">
      <c r="A1331" t="s">
        <v>4431</v>
      </c>
      <c r="B1331" t="s">
        <v>152</v>
      </c>
      <c r="C1331" s="1">
        <v>45163.585907060187</v>
      </c>
      <c r="D1331" s="1">
        <v>45218</v>
      </c>
      <c r="E1331" t="s">
        <v>114</v>
      </c>
      <c r="F1331" t="s">
        <v>3847</v>
      </c>
      <c r="G1331" t="str">
        <f>"39-2021.00"</f>
        <v>39-2021.00</v>
      </c>
      <c r="H1331" t="s">
        <v>2895</v>
      </c>
      <c r="I1331">
        <v>6</v>
      </c>
      <c r="J1331">
        <v>6</v>
      </c>
      <c r="K1331" s="1">
        <v>45245</v>
      </c>
      <c r="L1331" s="1">
        <v>45412</v>
      </c>
      <c r="M1331" s="1">
        <v>45245</v>
      </c>
      <c r="N1331" s="1">
        <v>45412</v>
      </c>
      <c r="O1331" t="s">
        <v>238</v>
      </c>
      <c r="P1331" t="s">
        <v>4432</v>
      </c>
      <c r="R1331" t="s">
        <v>4433</v>
      </c>
      <c r="T1331" t="s">
        <v>1948</v>
      </c>
      <c r="U1331" t="s">
        <v>1427</v>
      </c>
      <c r="V1331" s="8" t="str">
        <f>"18940"</f>
        <v>18940</v>
      </c>
      <c r="W1331" t="s">
        <v>118</v>
      </c>
      <c r="Y1331" s="10">
        <v>15168052312</v>
      </c>
      <c r="AA1331">
        <v>711212</v>
      </c>
      <c r="AB1331" t="s">
        <v>4434</v>
      </c>
      <c r="AC1331" t="s">
        <v>2770</v>
      </c>
      <c r="AE1331" t="s">
        <v>3852</v>
      </c>
      <c r="AF1331" t="s">
        <v>4433</v>
      </c>
      <c r="AH1331" t="s">
        <v>1948</v>
      </c>
      <c r="AI1331" t="s">
        <v>1427</v>
      </c>
      <c r="AJ1331" s="8" t="str">
        <f>"18940"</f>
        <v>18940</v>
      </c>
      <c r="AK1331" t="s">
        <v>118</v>
      </c>
      <c r="AM1331" s="10">
        <v>15168052312</v>
      </c>
      <c r="AO1331" t="s">
        <v>4435</v>
      </c>
      <c r="AP1331" t="s">
        <v>121</v>
      </c>
      <c r="AQ1331" t="s">
        <v>3854</v>
      </c>
      <c r="AR1331" t="s">
        <v>144</v>
      </c>
      <c r="AS1331" t="s">
        <v>3855</v>
      </c>
      <c r="AT1331" t="s">
        <v>2605</v>
      </c>
      <c r="AU1331" t="s">
        <v>2606</v>
      </c>
      <c r="AV1331" t="s">
        <v>2607</v>
      </c>
      <c r="AW1331" t="s">
        <v>2608</v>
      </c>
      <c r="AX1331" s="8" t="str">
        <f>"73069"</f>
        <v>73069</v>
      </c>
      <c r="AY1331" t="s">
        <v>118</v>
      </c>
      <c r="BA1331" s="10">
        <v>14053642525</v>
      </c>
      <c r="BC1331" t="s">
        <v>2609</v>
      </c>
      <c r="BD1331" t="s">
        <v>2610</v>
      </c>
      <c r="BE1331" t="s">
        <v>2608</v>
      </c>
      <c r="BF1331" t="s">
        <v>2611</v>
      </c>
      <c r="BG1331" t="s">
        <v>140</v>
      </c>
      <c r="BH1331" s="1">
        <v>45161.833333333336</v>
      </c>
      <c r="BI1331">
        <v>56</v>
      </c>
      <c r="BJ1331">
        <v>8</v>
      </c>
      <c r="BK1331">
        <v>8</v>
      </c>
      <c r="BL1331">
        <v>8</v>
      </c>
      <c r="BM1331">
        <v>8</v>
      </c>
      <c r="BN1331">
        <v>8</v>
      </c>
      <c r="BO1331">
        <v>8</v>
      </c>
      <c r="BP1331">
        <v>8</v>
      </c>
      <c r="BQ1331" t="str">
        <f>"5:00 AM"</f>
        <v>5:00 AM</v>
      </c>
      <c r="BR1331" t="str">
        <f>"5:00 PM"</f>
        <v>5:00 PM</v>
      </c>
      <c r="BS1331" t="s">
        <v>131</v>
      </c>
      <c r="BT1331">
        <v>0</v>
      </c>
      <c r="BU1331">
        <v>1</v>
      </c>
      <c r="BV1331" t="s">
        <v>114</v>
      </c>
      <c r="BX1331" s="2" t="s">
        <v>3116</v>
      </c>
      <c r="BY1331" t="s">
        <v>4025</v>
      </c>
      <c r="BZ1331" t="s">
        <v>4026</v>
      </c>
      <c r="CA1331" t="s">
        <v>4027</v>
      </c>
      <c r="CB1331" t="s">
        <v>140</v>
      </c>
      <c r="CC1331" s="8" t="str">
        <f>"33009"</f>
        <v>33009</v>
      </c>
      <c r="CD1331" t="s">
        <v>287</v>
      </c>
      <c r="CE1331" t="s">
        <v>149</v>
      </c>
      <c r="CF1331" s="12">
        <v>14.11</v>
      </c>
      <c r="CG1331" s="12">
        <v>14.11</v>
      </c>
      <c r="CH1331" s="12">
        <v>21.17</v>
      </c>
      <c r="CI1331" s="12">
        <v>21.17</v>
      </c>
      <c r="CJ1331" t="s">
        <v>135</v>
      </c>
      <c r="CL1331" t="s">
        <v>4436</v>
      </c>
      <c r="CO1331" t="s">
        <v>132</v>
      </c>
      <c r="CP1331" t="s">
        <v>114</v>
      </c>
      <c r="CQ1331" t="s">
        <v>114</v>
      </c>
      <c r="CR1331" t="s">
        <v>136</v>
      </c>
      <c r="CS1331" t="s">
        <v>114</v>
      </c>
      <c r="CT1331" t="s">
        <v>136</v>
      </c>
      <c r="CU1331" t="s">
        <v>136</v>
      </c>
      <c r="CV1331" t="s">
        <v>4437</v>
      </c>
      <c r="CW1331" s="10" t="str">
        <f>"+15168052312"</f>
        <v>+15168052312</v>
      </c>
      <c r="CX1331" t="s">
        <v>4435</v>
      </c>
      <c r="CY1331" t="s">
        <v>132</v>
      </c>
      <c r="CZ1331" t="s">
        <v>137</v>
      </c>
      <c r="DA1331" t="s">
        <v>114</v>
      </c>
      <c r="DB1331" t="s">
        <v>114</v>
      </c>
      <c r="DC1331" t="s">
        <v>136</v>
      </c>
      <c r="DD1331" t="s">
        <v>114</v>
      </c>
    </row>
    <row r="1332" spans="1:113" ht="15" customHeight="1" x14ac:dyDescent="0.25">
      <c r="A1332" t="s">
        <v>20858</v>
      </c>
      <c r="B1332" t="s">
        <v>152</v>
      </c>
      <c r="C1332" s="1">
        <v>45161.560856249998</v>
      </c>
      <c r="D1332" s="1">
        <v>45218</v>
      </c>
      <c r="E1332" t="s">
        <v>136</v>
      </c>
      <c r="F1332" t="s">
        <v>6044</v>
      </c>
      <c r="G1332" t="str">
        <f>"35-3031.00"</f>
        <v>35-3031.00</v>
      </c>
      <c r="H1332" t="s">
        <v>347</v>
      </c>
      <c r="I1332">
        <v>4</v>
      </c>
      <c r="J1332">
        <v>4</v>
      </c>
      <c r="K1332" s="1">
        <v>45236</v>
      </c>
      <c r="L1332" s="1">
        <v>45397</v>
      </c>
      <c r="M1332" s="1">
        <v>45236</v>
      </c>
      <c r="N1332" s="1">
        <v>45397</v>
      </c>
      <c r="O1332" t="s">
        <v>116</v>
      </c>
      <c r="P1332" t="s">
        <v>20859</v>
      </c>
      <c r="R1332" t="s">
        <v>20860</v>
      </c>
      <c r="T1332" t="s">
        <v>20861</v>
      </c>
      <c r="U1332" t="s">
        <v>140</v>
      </c>
      <c r="V1332" s="8" t="str">
        <f>"34240"</f>
        <v>34240</v>
      </c>
      <c r="W1332" t="s">
        <v>118</v>
      </c>
      <c r="Y1332" s="10">
        <v>19413719720</v>
      </c>
      <c r="AA1332">
        <v>713910</v>
      </c>
      <c r="AB1332" t="s">
        <v>20862</v>
      </c>
      <c r="AC1332" t="s">
        <v>20863</v>
      </c>
      <c r="AE1332" t="s">
        <v>7433</v>
      </c>
      <c r="AF1332" t="s">
        <v>20860</v>
      </c>
      <c r="AH1332" t="s">
        <v>6055</v>
      </c>
      <c r="AI1332" t="s">
        <v>140</v>
      </c>
      <c r="AJ1332" s="8" t="str">
        <f>"34240"</f>
        <v>34240</v>
      </c>
      <c r="AK1332" t="s">
        <v>118</v>
      </c>
      <c r="AM1332" s="10">
        <v>19413719720</v>
      </c>
      <c r="AO1332" t="s">
        <v>20864</v>
      </c>
      <c r="AP1332" t="s">
        <v>121</v>
      </c>
      <c r="AQ1332" t="s">
        <v>276</v>
      </c>
      <c r="AR1332" t="s">
        <v>277</v>
      </c>
      <c r="AS1332" t="s">
        <v>278</v>
      </c>
      <c r="AT1332" t="s">
        <v>279</v>
      </c>
      <c r="AU1332" t="s">
        <v>280</v>
      </c>
      <c r="AV1332" t="s">
        <v>281</v>
      </c>
      <c r="AW1332" t="s">
        <v>222</v>
      </c>
      <c r="AX1332" s="8" t="str">
        <f>"01701"</f>
        <v>01701</v>
      </c>
      <c r="AY1332" t="s">
        <v>118</v>
      </c>
      <c r="BA1332" s="10">
        <v>16179399444</v>
      </c>
      <c r="BC1332" t="s">
        <v>282</v>
      </c>
      <c r="BD1332" t="s">
        <v>283</v>
      </c>
      <c r="BE1332" t="s">
        <v>222</v>
      </c>
      <c r="BF1332" t="s">
        <v>284</v>
      </c>
      <c r="BG1332" t="s">
        <v>140</v>
      </c>
      <c r="BH1332" s="1">
        <v>45160.833333333336</v>
      </c>
      <c r="BI1332">
        <v>40</v>
      </c>
      <c r="BJ1332">
        <v>0</v>
      </c>
      <c r="BK1332">
        <v>8</v>
      </c>
      <c r="BL1332">
        <v>8</v>
      </c>
      <c r="BM1332">
        <v>8</v>
      </c>
      <c r="BN1332">
        <v>8</v>
      </c>
      <c r="BO1332">
        <v>8</v>
      </c>
      <c r="BP1332">
        <v>0</v>
      </c>
      <c r="BQ1332" t="str">
        <f>"2:00 PM"</f>
        <v>2:00 PM</v>
      </c>
      <c r="BR1332" t="str">
        <f>"10:00 PM"</f>
        <v>10:00 PM</v>
      </c>
      <c r="BS1332" t="s">
        <v>131</v>
      </c>
      <c r="BT1332">
        <v>0</v>
      </c>
      <c r="BU1332">
        <v>3</v>
      </c>
      <c r="BV1332" t="s">
        <v>114</v>
      </c>
      <c r="BX1332" s="2" t="s">
        <v>20865</v>
      </c>
      <c r="BY1332" t="s">
        <v>20860</v>
      </c>
      <c r="CA1332" t="s">
        <v>6055</v>
      </c>
      <c r="CB1332" t="s">
        <v>140</v>
      </c>
      <c r="CC1332" s="8" t="str">
        <f>"34240"</f>
        <v>34240</v>
      </c>
      <c r="CD1332" t="s">
        <v>6059</v>
      </c>
      <c r="CE1332" t="s">
        <v>1730</v>
      </c>
      <c r="CF1332" s="12">
        <v>20</v>
      </c>
      <c r="CG1332" s="12">
        <v>22</v>
      </c>
      <c r="CH1332" s="12">
        <v>30</v>
      </c>
      <c r="CI1332" s="12">
        <v>33</v>
      </c>
      <c r="CJ1332" t="s">
        <v>135</v>
      </c>
      <c r="CK1332" t="s">
        <v>20866</v>
      </c>
      <c r="CL1332" t="s">
        <v>20867</v>
      </c>
      <c r="CO1332" t="s">
        <v>132</v>
      </c>
      <c r="CP1332" t="s">
        <v>114</v>
      </c>
      <c r="CQ1332" t="s">
        <v>136</v>
      </c>
      <c r="CR1332" t="s">
        <v>136</v>
      </c>
      <c r="CS1332" t="s">
        <v>136</v>
      </c>
      <c r="CT1332" t="s">
        <v>136</v>
      </c>
      <c r="CU1332" t="s">
        <v>136</v>
      </c>
      <c r="CV1332" t="s">
        <v>20868</v>
      </c>
      <c r="CW1332" s="10" t="str">
        <f>"+19413719720"</f>
        <v>+19413719720</v>
      </c>
      <c r="CX1332" t="s">
        <v>20864</v>
      </c>
      <c r="CY1332" t="s">
        <v>132</v>
      </c>
      <c r="CZ1332" t="s">
        <v>137</v>
      </c>
      <c r="DA1332" t="s">
        <v>114</v>
      </c>
      <c r="DB1332" t="s">
        <v>114</v>
      </c>
      <c r="DC1332" t="s">
        <v>136</v>
      </c>
      <c r="DD1332" t="s">
        <v>114</v>
      </c>
    </row>
    <row r="1333" spans="1:113" ht="15" customHeight="1" x14ac:dyDescent="0.25">
      <c r="A1333" t="s">
        <v>13082</v>
      </c>
      <c r="B1333" t="s">
        <v>152</v>
      </c>
      <c r="C1333" s="1">
        <v>45160.571279050928</v>
      </c>
      <c r="D1333" s="1">
        <v>45218</v>
      </c>
      <c r="E1333" t="s">
        <v>136</v>
      </c>
      <c r="F1333" t="s">
        <v>13083</v>
      </c>
      <c r="G1333" t="str">
        <f>"37-2011.00"</f>
        <v>37-2011.00</v>
      </c>
      <c r="H1333" t="s">
        <v>1089</v>
      </c>
      <c r="I1333">
        <v>12</v>
      </c>
      <c r="J1333">
        <v>12</v>
      </c>
      <c r="K1333" s="1">
        <v>45250</v>
      </c>
      <c r="L1333" s="1">
        <v>45383</v>
      </c>
      <c r="M1333" s="1">
        <v>45250</v>
      </c>
      <c r="N1333" s="1">
        <v>45383</v>
      </c>
      <c r="O1333" t="s">
        <v>238</v>
      </c>
      <c r="P1333" t="s">
        <v>13084</v>
      </c>
      <c r="Q1333" t="s">
        <v>13085</v>
      </c>
      <c r="R1333" t="s">
        <v>13086</v>
      </c>
      <c r="T1333" t="s">
        <v>13087</v>
      </c>
      <c r="U1333" t="s">
        <v>506</v>
      </c>
      <c r="V1333" s="8" t="str">
        <f>"05701"</f>
        <v>05701</v>
      </c>
      <c r="W1333" t="s">
        <v>118</v>
      </c>
      <c r="Y1333" s="10">
        <v>17819106220</v>
      </c>
      <c r="AA1333">
        <v>445299</v>
      </c>
      <c r="AB1333" t="s">
        <v>13088</v>
      </c>
      <c r="AC1333" t="s">
        <v>13089</v>
      </c>
      <c r="AE1333" t="s">
        <v>1836</v>
      </c>
      <c r="AF1333" t="s">
        <v>13086</v>
      </c>
      <c r="AH1333" t="s">
        <v>13087</v>
      </c>
      <c r="AI1333" t="s">
        <v>506</v>
      </c>
      <c r="AJ1333" s="8" t="str">
        <f>"05701"</f>
        <v>05701</v>
      </c>
      <c r="AK1333" t="s">
        <v>118</v>
      </c>
      <c r="AM1333" s="10">
        <v>17819106220</v>
      </c>
      <c r="AO1333" t="s">
        <v>13090</v>
      </c>
      <c r="AP1333" t="s">
        <v>121</v>
      </c>
      <c r="AQ1333" t="s">
        <v>276</v>
      </c>
      <c r="AR1333" t="s">
        <v>277</v>
      </c>
      <c r="AS1333" t="s">
        <v>278</v>
      </c>
      <c r="AT1333" t="s">
        <v>279</v>
      </c>
      <c r="AU1333" t="s">
        <v>280</v>
      </c>
      <c r="AV1333" t="s">
        <v>281</v>
      </c>
      <c r="AW1333" t="s">
        <v>222</v>
      </c>
      <c r="AX1333" s="8" t="str">
        <f>"01701"</f>
        <v>01701</v>
      </c>
      <c r="AY1333" t="s">
        <v>118</v>
      </c>
      <c r="BA1333" s="10">
        <v>16179399444</v>
      </c>
      <c r="BC1333" t="s">
        <v>282</v>
      </c>
      <c r="BD1333" t="s">
        <v>283</v>
      </c>
      <c r="BE1333" t="s">
        <v>222</v>
      </c>
      <c r="BF1333" t="s">
        <v>284</v>
      </c>
      <c r="BG1333" t="s">
        <v>506</v>
      </c>
      <c r="BH1333" s="1">
        <v>45159.833333333336</v>
      </c>
      <c r="BI1333">
        <v>35</v>
      </c>
      <c r="BJ1333">
        <v>0</v>
      </c>
      <c r="BK1333">
        <v>7</v>
      </c>
      <c r="BL1333">
        <v>7</v>
      </c>
      <c r="BM1333">
        <v>7</v>
      </c>
      <c r="BN1333">
        <v>7</v>
      </c>
      <c r="BO1333">
        <v>7</v>
      </c>
      <c r="BP1333">
        <v>0</v>
      </c>
      <c r="BQ1333" t="str">
        <f>"9:00 AM"</f>
        <v>9:00 AM</v>
      </c>
      <c r="BR1333" t="str">
        <f>"4:00 PM"</f>
        <v>4:00 PM</v>
      </c>
      <c r="BS1333" t="s">
        <v>131</v>
      </c>
      <c r="BT1333">
        <v>0</v>
      </c>
      <c r="BU1333">
        <v>3</v>
      </c>
      <c r="BV1333" t="s">
        <v>114</v>
      </c>
      <c r="BX1333" s="2" t="s">
        <v>3682</v>
      </c>
      <c r="BY1333" t="s">
        <v>9862</v>
      </c>
      <c r="CA1333" t="s">
        <v>9863</v>
      </c>
      <c r="CB1333" t="s">
        <v>506</v>
      </c>
      <c r="CC1333" s="8" t="str">
        <f>"05751"</f>
        <v>05751</v>
      </c>
      <c r="CD1333" t="s">
        <v>8124</v>
      </c>
      <c r="CE1333" t="s">
        <v>523</v>
      </c>
      <c r="CF1333" s="12">
        <v>17.05</v>
      </c>
      <c r="CG1333" s="12">
        <v>18.05</v>
      </c>
      <c r="CJ1333" t="s">
        <v>135</v>
      </c>
      <c r="CK1333" t="s">
        <v>13091</v>
      </c>
      <c r="CL1333" t="s">
        <v>13092</v>
      </c>
      <c r="CO1333" t="s">
        <v>132</v>
      </c>
      <c r="CP1333" t="s">
        <v>136</v>
      </c>
      <c r="CQ1333" t="s">
        <v>136</v>
      </c>
      <c r="CR1333" t="s">
        <v>114</v>
      </c>
      <c r="CS1333" t="s">
        <v>114</v>
      </c>
      <c r="CT1333" t="s">
        <v>136</v>
      </c>
      <c r="CU1333" t="s">
        <v>136</v>
      </c>
      <c r="CV1333" s="2" t="s">
        <v>13093</v>
      </c>
      <c r="CW1333" s="10" t="str">
        <f>"+17819106220"</f>
        <v>+17819106220</v>
      </c>
      <c r="CX1333" t="s">
        <v>13090</v>
      </c>
      <c r="CY1333" t="s">
        <v>132</v>
      </c>
      <c r="CZ1333" t="s">
        <v>137</v>
      </c>
      <c r="DA1333" t="s">
        <v>114</v>
      </c>
      <c r="DB1333" t="s">
        <v>114</v>
      </c>
      <c r="DC1333" t="s">
        <v>136</v>
      </c>
      <c r="DD1333" t="s">
        <v>114</v>
      </c>
    </row>
    <row r="1334" spans="1:113" ht="15" customHeight="1" x14ac:dyDescent="0.25">
      <c r="A1334" t="s">
        <v>9853</v>
      </c>
      <c r="B1334" t="s">
        <v>152</v>
      </c>
      <c r="C1334" s="1">
        <v>45160.565246296297</v>
      </c>
      <c r="D1334" s="1">
        <v>45218</v>
      </c>
      <c r="E1334" t="s">
        <v>114</v>
      </c>
      <c r="F1334" t="s">
        <v>1059</v>
      </c>
      <c r="G1334" t="str">
        <f>"35-2014.00"</f>
        <v>35-2014.00</v>
      </c>
      <c r="H1334" t="s">
        <v>154</v>
      </c>
      <c r="I1334">
        <v>10</v>
      </c>
      <c r="J1334">
        <v>10</v>
      </c>
      <c r="K1334" s="1">
        <v>45250</v>
      </c>
      <c r="L1334" s="1">
        <v>45388</v>
      </c>
      <c r="M1334" s="1">
        <v>45250</v>
      </c>
      <c r="N1334" s="1">
        <v>45388</v>
      </c>
      <c r="O1334" t="s">
        <v>116</v>
      </c>
      <c r="P1334" t="s">
        <v>502</v>
      </c>
      <c r="Q1334" t="s">
        <v>503</v>
      </c>
      <c r="R1334" t="s">
        <v>504</v>
      </c>
      <c r="T1334" t="s">
        <v>505</v>
      </c>
      <c r="U1334" t="s">
        <v>506</v>
      </c>
      <c r="V1334" s="8" t="str">
        <f>"05356"</f>
        <v>05356</v>
      </c>
      <c r="W1334" t="s">
        <v>118</v>
      </c>
      <c r="Y1334" s="10">
        <v>13034041800</v>
      </c>
      <c r="AA1334">
        <v>713920</v>
      </c>
      <c r="AB1334" t="s">
        <v>507</v>
      </c>
      <c r="AC1334" t="s">
        <v>508</v>
      </c>
      <c r="AE1334" t="s">
        <v>509</v>
      </c>
      <c r="AF1334" t="s">
        <v>510</v>
      </c>
      <c r="AH1334" t="s">
        <v>511</v>
      </c>
      <c r="AI1334" t="s">
        <v>188</v>
      </c>
      <c r="AJ1334" s="8" t="str">
        <f>"80021"</f>
        <v>80021</v>
      </c>
      <c r="AK1334" t="s">
        <v>118</v>
      </c>
      <c r="AM1334" s="10">
        <v>13034041800</v>
      </c>
      <c r="AO1334" t="s">
        <v>512</v>
      </c>
      <c r="AP1334" t="s">
        <v>121</v>
      </c>
      <c r="AQ1334" t="s">
        <v>513</v>
      </c>
      <c r="AR1334" t="s">
        <v>514</v>
      </c>
      <c r="AS1334" t="s">
        <v>515</v>
      </c>
      <c r="AT1334" t="s">
        <v>516</v>
      </c>
      <c r="AU1334" t="s">
        <v>517</v>
      </c>
      <c r="AV1334" t="s">
        <v>518</v>
      </c>
      <c r="AW1334" t="s">
        <v>402</v>
      </c>
      <c r="AX1334" s="8" t="str">
        <f>"90071"</f>
        <v>90071</v>
      </c>
      <c r="AY1334" t="s">
        <v>118</v>
      </c>
      <c r="BA1334" s="10">
        <v>13108203322</v>
      </c>
      <c r="BC1334" t="s">
        <v>519</v>
      </c>
      <c r="BD1334" t="s">
        <v>520</v>
      </c>
      <c r="BE1334" t="s">
        <v>188</v>
      </c>
      <c r="BF1334" t="s">
        <v>172</v>
      </c>
      <c r="BG1334" t="s">
        <v>506</v>
      </c>
      <c r="BH1334" s="1">
        <v>45159.833333333336</v>
      </c>
      <c r="BI1334">
        <v>35</v>
      </c>
      <c r="BJ1334">
        <v>5</v>
      </c>
      <c r="BK1334">
        <v>5</v>
      </c>
      <c r="BL1334">
        <v>5</v>
      </c>
      <c r="BM1334">
        <v>5</v>
      </c>
      <c r="BN1334">
        <v>5</v>
      </c>
      <c r="BO1334">
        <v>5</v>
      </c>
      <c r="BP1334">
        <v>5</v>
      </c>
      <c r="BQ1334" t="str">
        <f>"7:00 AM"</f>
        <v>7:00 AM</v>
      </c>
      <c r="BR1334" t="str">
        <f>"11:00 PM"</f>
        <v>11:00 PM</v>
      </c>
      <c r="BS1334" t="s">
        <v>131</v>
      </c>
      <c r="BT1334">
        <v>0</v>
      </c>
      <c r="BU1334">
        <v>24</v>
      </c>
      <c r="BV1334" t="s">
        <v>114</v>
      </c>
      <c r="BX1334" s="2" t="s">
        <v>1082</v>
      </c>
      <c r="BY1334" t="s">
        <v>504</v>
      </c>
      <c r="CA1334" t="s">
        <v>505</v>
      </c>
      <c r="CB1334" t="s">
        <v>506</v>
      </c>
      <c r="CC1334" s="8" t="str">
        <f>"05356"</f>
        <v>05356</v>
      </c>
      <c r="CD1334" t="s">
        <v>522</v>
      </c>
      <c r="CE1334" t="s">
        <v>523</v>
      </c>
      <c r="CF1334" s="12">
        <v>22</v>
      </c>
      <c r="CH1334" s="12">
        <v>33</v>
      </c>
      <c r="CJ1334" t="s">
        <v>135</v>
      </c>
      <c r="CK1334" t="s">
        <v>524</v>
      </c>
      <c r="CL1334" t="s">
        <v>9854</v>
      </c>
      <c r="CO1334" t="s">
        <v>132</v>
      </c>
      <c r="CP1334" t="s">
        <v>114</v>
      </c>
      <c r="CQ1334" t="s">
        <v>114</v>
      </c>
      <c r="CR1334" t="s">
        <v>136</v>
      </c>
      <c r="CS1334" t="s">
        <v>114</v>
      </c>
      <c r="CT1334" t="s">
        <v>136</v>
      </c>
      <c r="CU1334" t="s">
        <v>136</v>
      </c>
      <c r="CV1334" t="s">
        <v>9855</v>
      </c>
      <c r="CW1334" s="10" t="str">
        <f>"+13034041800"</f>
        <v>+13034041800</v>
      </c>
      <c r="CX1334" t="s">
        <v>512</v>
      </c>
      <c r="CY1334" t="s">
        <v>132</v>
      </c>
      <c r="CZ1334" t="s">
        <v>137</v>
      </c>
      <c r="DA1334" t="s">
        <v>114</v>
      </c>
      <c r="DB1334" t="s">
        <v>114</v>
      </c>
      <c r="DC1334" t="s">
        <v>136</v>
      </c>
      <c r="DD1334" t="s">
        <v>114</v>
      </c>
      <c r="DE1334" t="s">
        <v>527</v>
      </c>
      <c r="DF1334" t="s">
        <v>528</v>
      </c>
      <c r="DG1334" t="s">
        <v>132</v>
      </c>
      <c r="DH1334" t="s">
        <v>520</v>
      </c>
      <c r="DI1334" t="s">
        <v>529</v>
      </c>
    </row>
    <row r="1335" spans="1:113" ht="15" customHeight="1" x14ac:dyDescent="0.25">
      <c r="A1335" t="s">
        <v>15505</v>
      </c>
      <c r="B1335" t="s">
        <v>152</v>
      </c>
      <c r="C1335" s="1">
        <v>45158.519929282411</v>
      </c>
      <c r="D1335" s="1">
        <v>45218</v>
      </c>
      <c r="E1335" t="s">
        <v>114</v>
      </c>
      <c r="F1335" t="s">
        <v>1059</v>
      </c>
      <c r="G1335" t="str">
        <f>"35-2012.00"</f>
        <v>35-2012.00</v>
      </c>
      <c r="H1335" t="s">
        <v>7839</v>
      </c>
      <c r="I1335">
        <v>20</v>
      </c>
      <c r="J1335">
        <v>20</v>
      </c>
      <c r="K1335" s="1">
        <v>45248</v>
      </c>
      <c r="L1335" s="1">
        <v>45388</v>
      </c>
      <c r="M1335" s="1">
        <v>45248</v>
      </c>
      <c r="N1335" s="1">
        <v>45388</v>
      </c>
      <c r="O1335" t="s">
        <v>116</v>
      </c>
      <c r="P1335" t="s">
        <v>15428</v>
      </c>
      <c r="Q1335" t="s">
        <v>15429</v>
      </c>
      <c r="R1335" t="s">
        <v>15430</v>
      </c>
      <c r="T1335" t="s">
        <v>9846</v>
      </c>
      <c r="U1335" t="s">
        <v>506</v>
      </c>
      <c r="V1335" s="8" t="str">
        <f>"05149"</f>
        <v>05149</v>
      </c>
      <c r="W1335" t="s">
        <v>118</v>
      </c>
      <c r="Y1335" s="10">
        <v>18022281966</v>
      </c>
      <c r="AA1335">
        <v>7211</v>
      </c>
      <c r="AB1335" t="s">
        <v>507</v>
      </c>
      <c r="AC1335" t="s">
        <v>508</v>
      </c>
      <c r="AE1335" t="s">
        <v>509</v>
      </c>
      <c r="AF1335" t="s">
        <v>510</v>
      </c>
      <c r="AH1335" t="s">
        <v>511</v>
      </c>
      <c r="AI1335" t="s">
        <v>188</v>
      </c>
      <c r="AJ1335" s="8" t="str">
        <f>"80021"</f>
        <v>80021</v>
      </c>
      <c r="AK1335" t="s">
        <v>118</v>
      </c>
      <c r="AM1335" s="10">
        <v>13034041800</v>
      </c>
      <c r="AO1335" t="s">
        <v>512</v>
      </c>
      <c r="AP1335" t="s">
        <v>121</v>
      </c>
      <c r="AQ1335" t="s">
        <v>513</v>
      </c>
      <c r="AR1335" t="s">
        <v>514</v>
      </c>
      <c r="AS1335" t="s">
        <v>515</v>
      </c>
      <c r="AT1335" t="s">
        <v>516</v>
      </c>
      <c r="AU1335" t="s">
        <v>517</v>
      </c>
      <c r="AV1335" t="s">
        <v>518</v>
      </c>
      <c r="AW1335" t="s">
        <v>402</v>
      </c>
      <c r="AX1335" s="8" t="str">
        <f>"90071"</f>
        <v>90071</v>
      </c>
      <c r="AY1335" t="s">
        <v>118</v>
      </c>
      <c r="BA1335" s="10">
        <v>13108203322</v>
      </c>
      <c r="BC1335" t="s">
        <v>519</v>
      </c>
      <c r="BD1335" t="s">
        <v>520</v>
      </c>
      <c r="BE1335" t="s">
        <v>188</v>
      </c>
      <c r="BF1335" t="s">
        <v>15506</v>
      </c>
      <c r="BG1335" t="s">
        <v>506</v>
      </c>
      <c r="BH1335" s="1">
        <v>45157.833333333336</v>
      </c>
      <c r="BI1335">
        <v>35</v>
      </c>
      <c r="BJ1335">
        <v>5</v>
      </c>
      <c r="BK1335">
        <v>5</v>
      </c>
      <c r="BL1335">
        <v>5</v>
      </c>
      <c r="BM1335">
        <v>5</v>
      </c>
      <c r="BN1335">
        <v>5</v>
      </c>
      <c r="BO1335">
        <v>5</v>
      </c>
      <c r="BP1335">
        <v>5</v>
      </c>
      <c r="BQ1335" t="str">
        <f>"7:30 AM"</f>
        <v>7:30 AM</v>
      </c>
      <c r="BR1335" t="str">
        <f>"10:00 PM"</f>
        <v>10:00 PM</v>
      </c>
      <c r="BS1335" t="s">
        <v>131</v>
      </c>
      <c r="BT1335">
        <v>0</v>
      </c>
      <c r="BU1335">
        <v>24</v>
      </c>
      <c r="BV1335" t="s">
        <v>114</v>
      </c>
      <c r="BX1335" s="2" t="s">
        <v>1082</v>
      </c>
      <c r="BY1335" t="s">
        <v>15430</v>
      </c>
      <c r="CA1335" t="s">
        <v>9846</v>
      </c>
      <c r="CB1335" t="s">
        <v>506</v>
      </c>
      <c r="CC1335" s="8" t="str">
        <f>"05149"</f>
        <v>05149</v>
      </c>
      <c r="CD1335" t="s">
        <v>15200</v>
      </c>
      <c r="CE1335" t="s">
        <v>523</v>
      </c>
      <c r="CF1335" s="12">
        <v>22</v>
      </c>
      <c r="CH1335" s="12">
        <v>33</v>
      </c>
      <c r="CJ1335" t="s">
        <v>135</v>
      </c>
      <c r="CK1335" t="s">
        <v>524</v>
      </c>
      <c r="CL1335" t="s">
        <v>15507</v>
      </c>
      <c r="CO1335" t="s">
        <v>132</v>
      </c>
      <c r="CP1335" t="s">
        <v>114</v>
      </c>
      <c r="CQ1335" t="s">
        <v>114</v>
      </c>
      <c r="CR1335" t="s">
        <v>136</v>
      </c>
      <c r="CS1335" t="s">
        <v>114</v>
      </c>
      <c r="CT1335" t="s">
        <v>136</v>
      </c>
      <c r="CU1335" t="s">
        <v>136</v>
      </c>
      <c r="CV1335" s="2" t="s">
        <v>15508</v>
      </c>
      <c r="CW1335" s="10" t="str">
        <f>"+13034041800"</f>
        <v>+13034041800</v>
      </c>
      <c r="CX1335" t="s">
        <v>512</v>
      </c>
      <c r="CY1335" t="s">
        <v>132</v>
      </c>
      <c r="CZ1335" t="s">
        <v>137</v>
      </c>
      <c r="DA1335" t="s">
        <v>114</v>
      </c>
      <c r="DB1335" t="s">
        <v>114</v>
      </c>
      <c r="DC1335" t="s">
        <v>136</v>
      </c>
      <c r="DD1335" t="s">
        <v>114</v>
      </c>
      <c r="DE1335" t="s">
        <v>527</v>
      </c>
      <c r="DF1335" t="s">
        <v>528</v>
      </c>
      <c r="DG1335" t="s">
        <v>132</v>
      </c>
      <c r="DH1335" t="s">
        <v>520</v>
      </c>
      <c r="DI1335" t="s">
        <v>529</v>
      </c>
    </row>
    <row r="1336" spans="1:113" ht="15" customHeight="1" x14ac:dyDescent="0.25">
      <c r="A1336" t="s">
        <v>17183</v>
      </c>
      <c r="B1336" t="s">
        <v>152</v>
      </c>
      <c r="C1336" s="1">
        <v>45156.629930555559</v>
      </c>
      <c r="D1336" s="1">
        <v>45218</v>
      </c>
      <c r="E1336" t="s">
        <v>136</v>
      </c>
      <c r="F1336" t="s">
        <v>17184</v>
      </c>
      <c r="G1336" t="str">
        <f>"35-9011.00"</f>
        <v>35-9011.00</v>
      </c>
      <c r="H1336" t="s">
        <v>1512</v>
      </c>
      <c r="I1336">
        <v>7</v>
      </c>
      <c r="J1336">
        <v>7</v>
      </c>
      <c r="K1336" s="1">
        <v>45245</v>
      </c>
      <c r="L1336" s="1">
        <v>45549</v>
      </c>
      <c r="M1336" s="1">
        <v>45245</v>
      </c>
      <c r="N1336" s="1">
        <v>45549</v>
      </c>
      <c r="O1336" t="s">
        <v>116</v>
      </c>
      <c r="P1336" t="s">
        <v>269</v>
      </c>
      <c r="Q1336" t="s">
        <v>270</v>
      </c>
      <c r="R1336" t="s">
        <v>271</v>
      </c>
      <c r="T1336" t="s">
        <v>272</v>
      </c>
      <c r="U1336" t="s">
        <v>140</v>
      </c>
      <c r="V1336" s="8" t="str">
        <f>"33019"</f>
        <v>33019</v>
      </c>
      <c r="W1336" t="s">
        <v>118</v>
      </c>
      <c r="Y1336" s="10">
        <v>19548744419</v>
      </c>
      <c r="AA1336">
        <v>721110</v>
      </c>
      <c r="AB1336" t="s">
        <v>273</v>
      </c>
      <c r="AC1336" t="s">
        <v>274</v>
      </c>
      <c r="AE1336" t="s">
        <v>161</v>
      </c>
      <c r="AF1336" t="s">
        <v>271</v>
      </c>
      <c r="AH1336" t="s">
        <v>272</v>
      </c>
      <c r="AI1336" t="s">
        <v>140</v>
      </c>
      <c r="AJ1336" s="8" t="str">
        <f>"33019"</f>
        <v>33019</v>
      </c>
      <c r="AK1336" t="s">
        <v>118</v>
      </c>
      <c r="AM1336" s="10">
        <v>19548744419</v>
      </c>
      <c r="AO1336" t="s">
        <v>275</v>
      </c>
      <c r="AP1336" t="s">
        <v>121</v>
      </c>
      <c r="AQ1336" t="s">
        <v>276</v>
      </c>
      <c r="AR1336" t="s">
        <v>277</v>
      </c>
      <c r="AS1336" t="s">
        <v>278</v>
      </c>
      <c r="AT1336" t="s">
        <v>279</v>
      </c>
      <c r="AU1336" t="s">
        <v>280</v>
      </c>
      <c r="AV1336" t="s">
        <v>281</v>
      </c>
      <c r="AW1336" t="s">
        <v>222</v>
      </c>
      <c r="AX1336" s="8" t="str">
        <f>"01701"</f>
        <v>01701</v>
      </c>
      <c r="AY1336" t="s">
        <v>118</v>
      </c>
      <c r="BA1336" s="10">
        <v>16179399444</v>
      </c>
      <c r="BC1336" t="s">
        <v>282</v>
      </c>
      <c r="BD1336" t="s">
        <v>283</v>
      </c>
      <c r="BE1336" t="s">
        <v>222</v>
      </c>
      <c r="BF1336" t="s">
        <v>284</v>
      </c>
      <c r="BG1336" t="s">
        <v>140</v>
      </c>
      <c r="BH1336" s="1">
        <v>45154.833333333336</v>
      </c>
      <c r="BI1336">
        <v>35</v>
      </c>
      <c r="BJ1336">
        <v>0</v>
      </c>
      <c r="BK1336">
        <v>7</v>
      </c>
      <c r="BL1336">
        <v>7</v>
      </c>
      <c r="BM1336">
        <v>7</v>
      </c>
      <c r="BN1336">
        <v>7</v>
      </c>
      <c r="BO1336">
        <v>7</v>
      </c>
      <c r="BP1336">
        <v>0</v>
      </c>
      <c r="BQ1336" t="str">
        <f>"8:00 AM"</f>
        <v>8:00 AM</v>
      </c>
      <c r="BR1336" t="str">
        <f>"3:00 PM"</f>
        <v>3:00 PM</v>
      </c>
      <c r="BS1336" t="s">
        <v>131</v>
      </c>
      <c r="BT1336">
        <v>0</v>
      </c>
      <c r="BU1336">
        <v>3</v>
      </c>
      <c r="BV1336" t="s">
        <v>114</v>
      </c>
      <c r="BX1336" t="s">
        <v>17185</v>
      </c>
      <c r="BY1336" t="s">
        <v>271</v>
      </c>
      <c r="CA1336" t="s">
        <v>272</v>
      </c>
      <c r="CB1336" t="s">
        <v>140</v>
      </c>
      <c r="CC1336" s="8" t="str">
        <f>"33019"</f>
        <v>33019</v>
      </c>
      <c r="CD1336" t="s">
        <v>287</v>
      </c>
      <c r="CE1336" t="s">
        <v>149</v>
      </c>
      <c r="CF1336" s="12">
        <v>13.59</v>
      </c>
      <c r="CG1336" s="12">
        <v>13.59</v>
      </c>
      <c r="CH1336" s="12">
        <v>20.39</v>
      </c>
      <c r="CI1336" s="12">
        <v>20.39</v>
      </c>
      <c r="CJ1336" t="s">
        <v>135</v>
      </c>
      <c r="CK1336" t="s">
        <v>17186</v>
      </c>
      <c r="CL1336" t="s">
        <v>17187</v>
      </c>
      <c r="CO1336" t="s">
        <v>132</v>
      </c>
      <c r="CP1336" t="s">
        <v>114</v>
      </c>
      <c r="CQ1336" t="s">
        <v>114</v>
      </c>
      <c r="CR1336" t="s">
        <v>136</v>
      </c>
      <c r="CS1336" t="s">
        <v>136</v>
      </c>
      <c r="CT1336" t="s">
        <v>136</v>
      </c>
      <c r="CU1336" t="s">
        <v>136</v>
      </c>
      <c r="CV1336" s="2" t="s">
        <v>17188</v>
      </c>
      <c r="CW1336" s="10" t="str">
        <f>"+19548744418"</f>
        <v>+19548744418</v>
      </c>
      <c r="CX1336" t="s">
        <v>291</v>
      </c>
      <c r="CY1336" t="s">
        <v>132</v>
      </c>
      <c r="CZ1336" t="s">
        <v>137</v>
      </c>
      <c r="DA1336" t="s">
        <v>114</v>
      </c>
      <c r="DB1336" t="s">
        <v>114</v>
      </c>
      <c r="DC1336" t="s">
        <v>136</v>
      </c>
      <c r="DD1336" t="s">
        <v>114</v>
      </c>
    </row>
    <row r="1337" spans="1:113" ht="15" customHeight="1" x14ac:dyDescent="0.25">
      <c r="A1337" t="s">
        <v>267</v>
      </c>
      <c r="B1337" t="s">
        <v>152</v>
      </c>
      <c r="C1337" s="1">
        <v>45156.62773472222</v>
      </c>
      <c r="D1337" s="1">
        <v>45218</v>
      </c>
      <c r="E1337" t="s">
        <v>136</v>
      </c>
      <c r="F1337" t="s">
        <v>268</v>
      </c>
      <c r="G1337" t="str">
        <f>"35-2014.00"</f>
        <v>35-2014.00</v>
      </c>
      <c r="H1337" t="s">
        <v>154</v>
      </c>
      <c r="I1337">
        <v>19</v>
      </c>
      <c r="J1337">
        <v>19</v>
      </c>
      <c r="K1337" s="1">
        <v>45245</v>
      </c>
      <c r="L1337" s="1">
        <v>45549</v>
      </c>
      <c r="M1337" s="1">
        <v>45245</v>
      </c>
      <c r="N1337" s="1">
        <v>45549</v>
      </c>
      <c r="O1337" t="s">
        <v>116</v>
      </c>
      <c r="P1337" t="s">
        <v>269</v>
      </c>
      <c r="Q1337" t="s">
        <v>270</v>
      </c>
      <c r="R1337" t="s">
        <v>271</v>
      </c>
      <c r="T1337" t="s">
        <v>272</v>
      </c>
      <c r="U1337" t="s">
        <v>140</v>
      </c>
      <c r="V1337" s="8" t="str">
        <f>"33019"</f>
        <v>33019</v>
      </c>
      <c r="W1337" t="s">
        <v>118</v>
      </c>
      <c r="X1337" t="s">
        <v>132</v>
      </c>
      <c r="Y1337" s="10">
        <v>19548744419</v>
      </c>
      <c r="AA1337">
        <v>721110</v>
      </c>
      <c r="AB1337" t="s">
        <v>273</v>
      </c>
      <c r="AC1337" t="s">
        <v>274</v>
      </c>
      <c r="AE1337" t="s">
        <v>161</v>
      </c>
      <c r="AF1337" t="s">
        <v>271</v>
      </c>
      <c r="AH1337" t="s">
        <v>272</v>
      </c>
      <c r="AI1337" t="s">
        <v>140</v>
      </c>
      <c r="AJ1337" s="8" t="str">
        <f>"33019"</f>
        <v>33019</v>
      </c>
      <c r="AK1337" t="s">
        <v>118</v>
      </c>
      <c r="AM1337" s="10">
        <v>19548744419</v>
      </c>
      <c r="AO1337" t="s">
        <v>275</v>
      </c>
      <c r="AP1337" t="s">
        <v>121</v>
      </c>
      <c r="AQ1337" t="s">
        <v>276</v>
      </c>
      <c r="AR1337" t="s">
        <v>277</v>
      </c>
      <c r="AS1337" t="s">
        <v>278</v>
      </c>
      <c r="AT1337" t="s">
        <v>279</v>
      </c>
      <c r="AU1337" t="s">
        <v>280</v>
      </c>
      <c r="AV1337" t="s">
        <v>281</v>
      </c>
      <c r="AW1337" t="s">
        <v>222</v>
      </c>
      <c r="AX1337" s="8" t="str">
        <f>"01701"</f>
        <v>01701</v>
      </c>
      <c r="AY1337" t="s">
        <v>118</v>
      </c>
      <c r="BA1337" s="10">
        <v>16179399444</v>
      </c>
      <c r="BC1337" t="s">
        <v>282</v>
      </c>
      <c r="BD1337" t="s">
        <v>283</v>
      </c>
      <c r="BE1337" t="s">
        <v>222</v>
      </c>
      <c r="BF1337" t="s">
        <v>284</v>
      </c>
      <c r="BG1337" t="s">
        <v>140</v>
      </c>
      <c r="BH1337" s="1">
        <v>45154.833333333336</v>
      </c>
      <c r="BI1337">
        <v>35</v>
      </c>
      <c r="BJ1337">
        <v>0</v>
      </c>
      <c r="BK1337">
        <v>7</v>
      </c>
      <c r="BL1337">
        <v>7</v>
      </c>
      <c r="BM1337">
        <v>7</v>
      </c>
      <c r="BN1337">
        <v>7</v>
      </c>
      <c r="BO1337">
        <v>7</v>
      </c>
      <c r="BP1337">
        <v>0</v>
      </c>
      <c r="BQ1337" t="str">
        <f>"8:00 AM"</f>
        <v>8:00 AM</v>
      </c>
      <c r="BR1337" t="str">
        <f>"3:00 PM"</f>
        <v>3:00 PM</v>
      </c>
      <c r="BS1337" t="s">
        <v>131</v>
      </c>
      <c r="BT1337">
        <v>0</v>
      </c>
      <c r="BU1337">
        <v>6</v>
      </c>
      <c r="BV1337" t="s">
        <v>114</v>
      </c>
      <c r="BX1337" s="2" t="s">
        <v>285</v>
      </c>
      <c r="BY1337" t="s">
        <v>271</v>
      </c>
      <c r="CA1337" t="s">
        <v>286</v>
      </c>
      <c r="CB1337" t="s">
        <v>140</v>
      </c>
      <c r="CC1337" s="8" t="str">
        <f>"33019"</f>
        <v>33019</v>
      </c>
      <c r="CD1337" t="s">
        <v>287</v>
      </c>
      <c r="CE1337" t="s">
        <v>149</v>
      </c>
      <c r="CF1337" s="12">
        <v>19</v>
      </c>
      <c r="CG1337" s="12">
        <v>19</v>
      </c>
      <c r="CH1337" s="12">
        <v>28.5</v>
      </c>
      <c r="CI1337" s="12">
        <v>28.5</v>
      </c>
      <c r="CJ1337" t="s">
        <v>135</v>
      </c>
      <c r="CK1337" t="s">
        <v>288</v>
      </c>
      <c r="CL1337" t="s">
        <v>289</v>
      </c>
      <c r="CO1337" t="s">
        <v>132</v>
      </c>
      <c r="CP1337" t="s">
        <v>114</v>
      </c>
      <c r="CQ1337" t="s">
        <v>114</v>
      </c>
      <c r="CR1337" t="s">
        <v>136</v>
      </c>
      <c r="CS1337" t="s">
        <v>136</v>
      </c>
      <c r="CT1337" t="s">
        <v>136</v>
      </c>
      <c r="CU1337" t="s">
        <v>136</v>
      </c>
      <c r="CV1337" s="2" t="s">
        <v>290</v>
      </c>
      <c r="CW1337" s="10" t="str">
        <f>"+19548744418"</f>
        <v>+19548744418</v>
      </c>
      <c r="CX1337" t="s">
        <v>291</v>
      </c>
      <c r="CY1337" t="s">
        <v>132</v>
      </c>
      <c r="CZ1337" t="s">
        <v>137</v>
      </c>
      <c r="DA1337" t="s">
        <v>114</v>
      </c>
      <c r="DB1337" t="s">
        <v>114</v>
      </c>
      <c r="DC1337" t="s">
        <v>136</v>
      </c>
      <c r="DD1337" t="s">
        <v>114</v>
      </c>
    </row>
    <row r="1338" spans="1:113" ht="15" customHeight="1" x14ac:dyDescent="0.25">
      <c r="A1338" t="s">
        <v>6725</v>
      </c>
      <c r="B1338" t="s">
        <v>152</v>
      </c>
      <c r="C1338" s="1">
        <v>45156.595727083331</v>
      </c>
      <c r="D1338" s="1">
        <v>45218</v>
      </c>
      <c r="E1338" t="s">
        <v>114</v>
      </c>
      <c r="F1338" t="s">
        <v>153</v>
      </c>
      <c r="G1338" t="str">
        <f>"35-2014.00"</f>
        <v>35-2014.00</v>
      </c>
      <c r="H1338" t="s">
        <v>154</v>
      </c>
      <c r="I1338">
        <v>2</v>
      </c>
      <c r="J1338">
        <v>2</v>
      </c>
      <c r="K1338" s="1">
        <v>45231</v>
      </c>
      <c r="L1338" s="1">
        <v>45412</v>
      </c>
      <c r="M1338" s="1">
        <v>45231</v>
      </c>
      <c r="N1338" s="1">
        <v>45412</v>
      </c>
      <c r="O1338" t="s">
        <v>116</v>
      </c>
      <c r="P1338" t="s">
        <v>6726</v>
      </c>
      <c r="Q1338" t="s">
        <v>6727</v>
      </c>
      <c r="R1338" t="s">
        <v>6728</v>
      </c>
      <c r="T1338" t="s">
        <v>6729</v>
      </c>
      <c r="U1338" t="s">
        <v>506</v>
      </c>
      <c r="V1338" s="8" t="str">
        <f>"05673"</f>
        <v>05673</v>
      </c>
      <c r="W1338" t="s">
        <v>118</v>
      </c>
      <c r="Y1338" s="10">
        <v>18024962322</v>
      </c>
      <c r="AA1338">
        <v>721110</v>
      </c>
      <c r="AB1338" t="s">
        <v>5570</v>
      </c>
      <c r="AC1338" t="s">
        <v>6662</v>
      </c>
      <c r="AE1338" t="s">
        <v>561</v>
      </c>
      <c r="AF1338" t="s">
        <v>6730</v>
      </c>
      <c r="AH1338" t="s">
        <v>6729</v>
      </c>
      <c r="AI1338" t="s">
        <v>506</v>
      </c>
      <c r="AJ1338" s="8" t="str">
        <f>"05673"</f>
        <v>05673</v>
      </c>
      <c r="AK1338" t="s">
        <v>118</v>
      </c>
      <c r="AM1338" s="10">
        <v>18024962322</v>
      </c>
      <c r="AO1338" t="s">
        <v>6731</v>
      </c>
      <c r="AP1338" t="s">
        <v>121</v>
      </c>
      <c r="AQ1338" t="s">
        <v>2603</v>
      </c>
      <c r="AR1338" t="s">
        <v>2604</v>
      </c>
      <c r="AS1338" t="s">
        <v>931</v>
      </c>
      <c r="AT1338" t="s">
        <v>2605</v>
      </c>
      <c r="AU1338" t="s">
        <v>2606</v>
      </c>
      <c r="AV1338" t="s">
        <v>2607</v>
      </c>
      <c r="AW1338" t="s">
        <v>2608</v>
      </c>
      <c r="AX1338" s="8" t="str">
        <f>"73069"</f>
        <v>73069</v>
      </c>
      <c r="AY1338" t="s">
        <v>118</v>
      </c>
      <c r="BA1338" s="10">
        <v>14053642525</v>
      </c>
      <c r="BC1338" t="s">
        <v>2609</v>
      </c>
      <c r="BD1338" t="s">
        <v>2610</v>
      </c>
      <c r="BE1338" t="s">
        <v>2608</v>
      </c>
      <c r="BF1338" t="s">
        <v>2611</v>
      </c>
      <c r="BG1338" t="s">
        <v>506</v>
      </c>
      <c r="BH1338" s="1">
        <v>45088.833333333336</v>
      </c>
      <c r="BI1338">
        <v>56</v>
      </c>
      <c r="BJ1338">
        <v>8</v>
      </c>
      <c r="BK1338">
        <v>8</v>
      </c>
      <c r="BL1338">
        <v>8</v>
      </c>
      <c r="BM1338">
        <v>8</v>
      </c>
      <c r="BN1338">
        <v>8</v>
      </c>
      <c r="BO1338">
        <v>8</v>
      </c>
      <c r="BP1338">
        <v>8</v>
      </c>
      <c r="BQ1338" t="str">
        <f>"8:00 AM"</f>
        <v>8:00 AM</v>
      </c>
      <c r="BR1338" t="str">
        <f>"10:00 PM"</f>
        <v>10:00 PM</v>
      </c>
      <c r="BS1338" t="s">
        <v>131</v>
      </c>
      <c r="BT1338">
        <v>0</v>
      </c>
      <c r="BU1338">
        <v>0</v>
      </c>
      <c r="BV1338" t="s">
        <v>114</v>
      </c>
      <c r="BX1338" s="2" t="s">
        <v>6732</v>
      </c>
      <c r="BY1338" t="s">
        <v>6730</v>
      </c>
      <c r="CA1338" t="s">
        <v>6729</v>
      </c>
      <c r="CB1338" t="s">
        <v>506</v>
      </c>
      <c r="CC1338" s="8" t="str">
        <f>"05673"</f>
        <v>05673</v>
      </c>
      <c r="CD1338" t="s">
        <v>806</v>
      </c>
      <c r="CE1338" t="s">
        <v>1108</v>
      </c>
      <c r="CF1338" s="12">
        <v>18.170000000000002</v>
      </c>
      <c r="CG1338" s="12">
        <v>18.170000000000002</v>
      </c>
      <c r="CH1338" s="12">
        <v>27.26</v>
      </c>
      <c r="CI1338" s="12">
        <v>27.26</v>
      </c>
      <c r="CJ1338" t="s">
        <v>5501</v>
      </c>
      <c r="CL1338" t="s">
        <v>6733</v>
      </c>
      <c r="CO1338" t="s">
        <v>132</v>
      </c>
      <c r="CP1338" t="s">
        <v>114</v>
      </c>
      <c r="CQ1338" t="s">
        <v>114</v>
      </c>
      <c r="CR1338" t="s">
        <v>136</v>
      </c>
      <c r="CS1338" t="s">
        <v>114</v>
      </c>
      <c r="CT1338" t="s">
        <v>136</v>
      </c>
      <c r="CU1338" t="s">
        <v>136</v>
      </c>
      <c r="CV1338" t="s">
        <v>6734</v>
      </c>
      <c r="CW1338" s="10" t="str">
        <f>"+18024962322"</f>
        <v>+18024962322</v>
      </c>
      <c r="CX1338" t="s">
        <v>6731</v>
      </c>
      <c r="CY1338" t="s">
        <v>132</v>
      </c>
      <c r="CZ1338" t="s">
        <v>137</v>
      </c>
      <c r="DA1338" t="s">
        <v>114</v>
      </c>
      <c r="DB1338" t="s">
        <v>114</v>
      </c>
      <c r="DC1338" t="s">
        <v>136</v>
      </c>
      <c r="DD1338" t="s">
        <v>114</v>
      </c>
    </row>
    <row r="1339" spans="1:113" ht="15" customHeight="1" x14ac:dyDescent="0.25">
      <c r="A1339" t="s">
        <v>11499</v>
      </c>
      <c r="B1339" t="s">
        <v>152</v>
      </c>
      <c r="C1339" s="1">
        <v>45155.692253587964</v>
      </c>
      <c r="D1339" s="1">
        <v>45218</v>
      </c>
      <c r="E1339" t="s">
        <v>114</v>
      </c>
      <c r="F1339" t="s">
        <v>11500</v>
      </c>
      <c r="G1339" t="str">
        <f>"49-3031.00"</f>
        <v>49-3031.00</v>
      </c>
      <c r="H1339" t="s">
        <v>3495</v>
      </c>
      <c r="I1339">
        <v>3</v>
      </c>
      <c r="J1339">
        <v>3</v>
      </c>
      <c r="K1339" s="1">
        <v>45231</v>
      </c>
      <c r="L1339" s="1">
        <v>45504</v>
      </c>
      <c r="M1339" s="1">
        <v>45231</v>
      </c>
      <c r="N1339" s="1">
        <v>45504</v>
      </c>
      <c r="O1339" t="s">
        <v>116</v>
      </c>
      <c r="P1339" t="s">
        <v>11501</v>
      </c>
      <c r="R1339" t="s">
        <v>11502</v>
      </c>
      <c r="S1339" t="s">
        <v>11503</v>
      </c>
      <c r="T1339" t="s">
        <v>11504</v>
      </c>
      <c r="U1339" t="s">
        <v>117</v>
      </c>
      <c r="V1339" s="8" t="str">
        <f>"61101"</f>
        <v>61101</v>
      </c>
      <c r="W1339" t="s">
        <v>118</v>
      </c>
      <c r="Y1339" s="10">
        <v>18474567924</v>
      </c>
      <c r="AA1339">
        <v>811111</v>
      </c>
      <c r="AB1339" t="s">
        <v>11505</v>
      </c>
      <c r="AC1339" t="s">
        <v>3567</v>
      </c>
      <c r="AE1339" t="s">
        <v>11506</v>
      </c>
      <c r="AF1339" t="s">
        <v>11502</v>
      </c>
      <c r="AH1339" t="s">
        <v>11504</v>
      </c>
      <c r="AI1339" t="s">
        <v>117</v>
      </c>
      <c r="AJ1339" s="8" t="str">
        <f>"61101"</f>
        <v>61101</v>
      </c>
      <c r="AK1339" t="s">
        <v>118</v>
      </c>
      <c r="AM1339" s="10">
        <v>18474567924</v>
      </c>
      <c r="AO1339" t="s">
        <v>11507</v>
      </c>
      <c r="AP1339" t="s">
        <v>121</v>
      </c>
      <c r="AQ1339" t="s">
        <v>989</v>
      </c>
      <c r="AR1339" t="s">
        <v>244</v>
      </c>
      <c r="AS1339" t="s">
        <v>990</v>
      </c>
      <c r="AT1339" t="s">
        <v>991</v>
      </c>
      <c r="AV1339" t="s">
        <v>992</v>
      </c>
      <c r="AW1339" t="s">
        <v>993</v>
      </c>
      <c r="AX1339" s="8" t="str">
        <f>"54301"</f>
        <v>54301</v>
      </c>
      <c r="AY1339" t="s">
        <v>118</v>
      </c>
      <c r="BA1339" s="10">
        <v>18004140978</v>
      </c>
      <c r="BC1339" t="s">
        <v>994</v>
      </c>
      <c r="BD1339" t="s">
        <v>995</v>
      </c>
      <c r="BE1339" t="s">
        <v>581</v>
      </c>
      <c r="BF1339" t="s">
        <v>996</v>
      </c>
      <c r="BG1339" t="s">
        <v>117</v>
      </c>
      <c r="BH1339" s="1">
        <v>45153.833333333336</v>
      </c>
      <c r="BI1339">
        <v>40</v>
      </c>
      <c r="BJ1339">
        <v>0</v>
      </c>
      <c r="BK1339">
        <v>8</v>
      </c>
      <c r="BL1339">
        <v>8</v>
      </c>
      <c r="BM1339">
        <v>8</v>
      </c>
      <c r="BN1339">
        <v>8</v>
      </c>
      <c r="BO1339">
        <v>8</v>
      </c>
      <c r="BP1339">
        <v>0</v>
      </c>
      <c r="BQ1339" t="str">
        <f>"8:00 AM"</f>
        <v>8:00 AM</v>
      </c>
      <c r="BR1339" t="str">
        <f>"5:00 PM"</f>
        <v>5:00 PM</v>
      </c>
      <c r="BS1339" t="s">
        <v>131</v>
      </c>
      <c r="BT1339">
        <v>0</v>
      </c>
      <c r="BU1339">
        <v>3</v>
      </c>
      <c r="BV1339" t="s">
        <v>114</v>
      </c>
      <c r="BX1339" s="2" t="s">
        <v>11508</v>
      </c>
      <c r="BY1339" t="s">
        <v>11502</v>
      </c>
      <c r="CA1339" t="s">
        <v>11504</v>
      </c>
      <c r="CB1339" t="s">
        <v>117</v>
      </c>
      <c r="CC1339" s="8" t="str">
        <f>"61101"</f>
        <v>61101</v>
      </c>
      <c r="CD1339" t="s">
        <v>5502</v>
      </c>
      <c r="CE1339" t="s">
        <v>5503</v>
      </c>
      <c r="CF1339" s="12">
        <v>27.65</v>
      </c>
      <c r="CH1339" s="12">
        <v>41.48</v>
      </c>
      <c r="CJ1339" t="s">
        <v>135</v>
      </c>
      <c r="CK1339" t="s">
        <v>11509</v>
      </c>
      <c r="CL1339" t="s">
        <v>11510</v>
      </c>
      <c r="CO1339" t="s">
        <v>132</v>
      </c>
      <c r="CP1339" t="s">
        <v>114</v>
      </c>
      <c r="CQ1339" t="s">
        <v>136</v>
      </c>
      <c r="CR1339" t="s">
        <v>136</v>
      </c>
      <c r="CS1339" t="s">
        <v>136</v>
      </c>
      <c r="CT1339" t="s">
        <v>136</v>
      </c>
      <c r="CU1339" t="s">
        <v>136</v>
      </c>
      <c r="CV1339" t="s">
        <v>11511</v>
      </c>
      <c r="CW1339" s="10" t="str">
        <f>"+18474567924"</f>
        <v>+18474567924</v>
      </c>
      <c r="CX1339" t="s">
        <v>11507</v>
      </c>
      <c r="CY1339" t="s">
        <v>132</v>
      </c>
      <c r="CZ1339" t="s">
        <v>137</v>
      </c>
      <c r="DA1339" t="s">
        <v>114</v>
      </c>
      <c r="DB1339" t="s">
        <v>136</v>
      </c>
      <c r="DC1339" t="s">
        <v>136</v>
      </c>
      <c r="DD1339" t="s">
        <v>114</v>
      </c>
    </row>
    <row r="1340" spans="1:113" ht="15" customHeight="1" x14ac:dyDescent="0.25">
      <c r="A1340" t="s">
        <v>18621</v>
      </c>
      <c r="B1340" t="s">
        <v>152</v>
      </c>
      <c r="C1340" s="1">
        <v>45155.491485185186</v>
      </c>
      <c r="D1340" s="1">
        <v>45218</v>
      </c>
      <c r="E1340" t="s">
        <v>114</v>
      </c>
      <c r="F1340" t="s">
        <v>346</v>
      </c>
      <c r="G1340" t="str">
        <f>"35-3031.00"</f>
        <v>35-3031.00</v>
      </c>
      <c r="H1340" t="s">
        <v>347</v>
      </c>
      <c r="I1340">
        <v>2</v>
      </c>
      <c r="J1340">
        <v>2</v>
      </c>
      <c r="K1340" s="1">
        <v>45245</v>
      </c>
      <c r="L1340" s="1">
        <v>45392</v>
      </c>
      <c r="M1340" s="1">
        <v>45245</v>
      </c>
      <c r="N1340" s="1">
        <v>45392</v>
      </c>
      <c r="O1340" t="s">
        <v>116</v>
      </c>
      <c r="P1340" t="s">
        <v>18622</v>
      </c>
      <c r="Q1340" t="s">
        <v>18623</v>
      </c>
      <c r="R1340" t="s">
        <v>18624</v>
      </c>
      <c r="T1340" t="s">
        <v>18625</v>
      </c>
      <c r="U1340" t="s">
        <v>506</v>
      </c>
      <c r="V1340" s="8" t="str">
        <f>"05152"</f>
        <v>05152</v>
      </c>
      <c r="W1340" t="s">
        <v>118</v>
      </c>
      <c r="Y1340" s="10">
        <v>18028567560</v>
      </c>
      <c r="AA1340">
        <v>721110</v>
      </c>
      <c r="AB1340" t="s">
        <v>18626</v>
      </c>
      <c r="AC1340" t="s">
        <v>3104</v>
      </c>
      <c r="AE1340" t="s">
        <v>1119</v>
      </c>
      <c r="AF1340" t="s">
        <v>18624</v>
      </c>
      <c r="AH1340" t="s">
        <v>18625</v>
      </c>
      <c r="AI1340" t="s">
        <v>506</v>
      </c>
      <c r="AJ1340" s="8" t="str">
        <f>"05152"</f>
        <v>05152</v>
      </c>
      <c r="AK1340" t="s">
        <v>118</v>
      </c>
      <c r="AM1340" s="10">
        <v>18028567560</v>
      </c>
      <c r="AO1340" t="s">
        <v>796</v>
      </c>
      <c r="AP1340" t="s">
        <v>248</v>
      </c>
      <c r="AQ1340" t="s">
        <v>354</v>
      </c>
      <c r="AR1340" t="s">
        <v>355</v>
      </c>
      <c r="AT1340" t="s">
        <v>356</v>
      </c>
      <c r="AV1340" t="s">
        <v>357</v>
      </c>
      <c r="AW1340" t="s">
        <v>358</v>
      </c>
      <c r="AX1340" s="8" t="str">
        <f>"11590"</f>
        <v>11590</v>
      </c>
      <c r="AY1340" t="s">
        <v>118</v>
      </c>
      <c r="BA1340" s="10">
        <v>15163307168</v>
      </c>
      <c r="BC1340" t="s">
        <v>359</v>
      </c>
      <c r="BD1340" t="s">
        <v>360</v>
      </c>
      <c r="BG1340" t="s">
        <v>506</v>
      </c>
      <c r="BH1340" s="1">
        <v>45150.833333333336</v>
      </c>
      <c r="BI1340">
        <v>35</v>
      </c>
      <c r="BJ1340">
        <v>7</v>
      </c>
      <c r="BK1340">
        <v>0</v>
      </c>
      <c r="BL1340">
        <v>7</v>
      </c>
      <c r="BM1340">
        <v>7</v>
      </c>
      <c r="BN1340">
        <v>0</v>
      </c>
      <c r="BO1340">
        <v>7</v>
      </c>
      <c r="BP1340">
        <v>7</v>
      </c>
      <c r="BQ1340" t="str">
        <f>"2:00 PM"</f>
        <v>2:00 PM</v>
      </c>
      <c r="BR1340" t="str">
        <f>"12:00 AM"</f>
        <v>12:00 AM</v>
      </c>
      <c r="BS1340" t="s">
        <v>131</v>
      </c>
      <c r="BT1340">
        <v>0</v>
      </c>
      <c r="BU1340">
        <v>0</v>
      </c>
      <c r="BV1340" t="s">
        <v>114</v>
      </c>
      <c r="BX1340" t="s">
        <v>18627</v>
      </c>
      <c r="BY1340" t="s">
        <v>18624</v>
      </c>
      <c r="CA1340" t="s">
        <v>18625</v>
      </c>
      <c r="CB1340" t="s">
        <v>506</v>
      </c>
      <c r="CC1340" s="8" t="str">
        <f>"05152"</f>
        <v>05152</v>
      </c>
      <c r="CD1340" t="s">
        <v>18628</v>
      </c>
      <c r="CE1340" t="s">
        <v>523</v>
      </c>
      <c r="CF1340" s="12">
        <v>15.85</v>
      </c>
      <c r="CG1340" s="12">
        <v>15.85</v>
      </c>
      <c r="CH1340" s="12">
        <v>23.78</v>
      </c>
      <c r="CI1340" s="12">
        <v>23.78</v>
      </c>
      <c r="CJ1340" t="s">
        <v>135</v>
      </c>
      <c r="CK1340" t="s">
        <v>18629</v>
      </c>
      <c r="CL1340" t="s">
        <v>18630</v>
      </c>
      <c r="CO1340" t="s">
        <v>132</v>
      </c>
      <c r="CP1340" t="s">
        <v>114</v>
      </c>
      <c r="CQ1340" t="s">
        <v>136</v>
      </c>
      <c r="CR1340" t="s">
        <v>136</v>
      </c>
      <c r="CS1340" t="s">
        <v>114</v>
      </c>
      <c r="CT1340" t="s">
        <v>136</v>
      </c>
      <c r="CU1340" t="s">
        <v>136</v>
      </c>
      <c r="CV1340" t="s">
        <v>18631</v>
      </c>
      <c r="CW1340" s="10" t="str">
        <f>"+18028567560"</f>
        <v>+18028567560</v>
      </c>
      <c r="CX1340" t="s">
        <v>18632</v>
      </c>
      <c r="CY1340" t="s">
        <v>132</v>
      </c>
      <c r="CZ1340" t="s">
        <v>137</v>
      </c>
      <c r="DA1340" t="s">
        <v>114</v>
      </c>
      <c r="DB1340" t="s">
        <v>114</v>
      </c>
      <c r="DC1340" t="s">
        <v>136</v>
      </c>
      <c r="DD1340" t="s">
        <v>114</v>
      </c>
    </row>
    <row r="1341" spans="1:113" ht="15" customHeight="1" x14ac:dyDescent="0.25">
      <c r="A1341" t="s">
        <v>15478</v>
      </c>
      <c r="B1341" t="s">
        <v>152</v>
      </c>
      <c r="C1341" s="1">
        <v>45154.699321064814</v>
      </c>
      <c r="D1341" s="1">
        <v>45218</v>
      </c>
      <c r="E1341" t="s">
        <v>136</v>
      </c>
      <c r="F1341" t="s">
        <v>5957</v>
      </c>
      <c r="G1341" t="str">
        <f>"35-2014.00"</f>
        <v>35-2014.00</v>
      </c>
      <c r="H1341" t="s">
        <v>154</v>
      </c>
      <c r="I1341">
        <v>7</v>
      </c>
      <c r="J1341">
        <v>7</v>
      </c>
      <c r="K1341" s="1">
        <v>45231</v>
      </c>
      <c r="L1341" s="1">
        <v>45382</v>
      </c>
      <c r="M1341" s="1">
        <v>45231</v>
      </c>
      <c r="N1341" s="1">
        <v>45382</v>
      </c>
      <c r="O1341" t="s">
        <v>116</v>
      </c>
      <c r="P1341" t="s">
        <v>15479</v>
      </c>
      <c r="Q1341" t="s">
        <v>15480</v>
      </c>
      <c r="R1341" t="s">
        <v>15481</v>
      </c>
      <c r="T1341" t="s">
        <v>15482</v>
      </c>
      <c r="U1341" t="s">
        <v>506</v>
      </c>
      <c r="V1341" s="8" t="str">
        <f>"05477"</f>
        <v>05477</v>
      </c>
      <c r="W1341" t="s">
        <v>118</v>
      </c>
      <c r="Y1341" s="10">
        <v>18024346810</v>
      </c>
      <c r="AA1341">
        <v>72111</v>
      </c>
      <c r="AB1341" t="s">
        <v>15483</v>
      </c>
      <c r="AC1341" t="s">
        <v>15484</v>
      </c>
      <c r="AE1341" t="s">
        <v>15485</v>
      </c>
      <c r="AF1341" t="s">
        <v>15486</v>
      </c>
      <c r="AH1341" t="s">
        <v>15482</v>
      </c>
      <c r="AI1341" t="s">
        <v>506</v>
      </c>
      <c r="AJ1341" s="8" t="str">
        <f>"05477"</f>
        <v>05477</v>
      </c>
      <c r="AK1341" t="s">
        <v>118</v>
      </c>
      <c r="AM1341" s="10">
        <v>18024346855</v>
      </c>
      <c r="AO1341" t="s">
        <v>15487</v>
      </c>
      <c r="AP1341" t="s">
        <v>121</v>
      </c>
      <c r="AQ1341" t="s">
        <v>217</v>
      </c>
      <c r="AR1341" t="s">
        <v>218</v>
      </c>
      <c r="AT1341" t="s">
        <v>219</v>
      </c>
      <c r="AU1341" t="s">
        <v>220</v>
      </c>
      <c r="AV1341" t="s">
        <v>221</v>
      </c>
      <c r="AW1341" t="s">
        <v>222</v>
      </c>
      <c r="AX1341" s="8" t="str">
        <f>"02632"</f>
        <v>02632</v>
      </c>
      <c r="AY1341" t="s">
        <v>118</v>
      </c>
      <c r="BA1341" s="10">
        <v>15087901181</v>
      </c>
      <c r="BC1341" t="s">
        <v>223</v>
      </c>
      <c r="BD1341" t="s">
        <v>224</v>
      </c>
      <c r="BE1341" t="s">
        <v>222</v>
      </c>
      <c r="BF1341" t="s">
        <v>225</v>
      </c>
      <c r="BG1341" t="s">
        <v>506</v>
      </c>
      <c r="BH1341" s="1">
        <v>45155.833333333336</v>
      </c>
      <c r="BI1341">
        <v>35</v>
      </c>
      <c r="BJ1341">
        <v>7</v>
      </c>
      <c r="BK1341">
        <v>0</v>
      </c>
      <c r="BL1341">
        <v>0</v>
      </c>
      <c r="BM1341">
        <v>7</v>
      </c>
      <c r="BN1341">
        <v>7</v>
      </c>
      <c r="BO1341">
        <v>7</v>
      </c>
      <c r="BP1341">
        <v>7</v>
      </c>
      <c r="BQ1341" t="str">
        <f>"6:30 AM"</f>
        <v>6:30 AM</v>
      </c>
      <c r="BR1341" t="str">
        <f>"2:30 PM"</f>
        <v>2:30 PM</v>
      </c>
      <c r="BS1341" t="s">
        <v>131</v>
      </c>
      <c r="BT1341">
        <v>0</v>
      </c>
      <c r="BU1341">
        <v>0</v>
      </c>
      <c r="BV1341" t="s">
        <v>114</v>
      </c>
      <c r="BX1341" s="2" t="s">
        <v>15488</v>
      </c>
      <c r="BY1341" t="s">
        <v>15489</v>
      </c>
      <c r="BZ1341" t="s">
        <v>15486</v>
      </c>
      <c r="CA1341" t="s">
        <v>15482</v>
      </c>
      <c r="CB1341" t="s">
        <v>506</v>
      </c>
      <c r="CC1341" s="8" t="str">
        <f>"05477"</f>
        <v>05477</v>
      </c>
      <c r="CD1341" t="s">
        <v>5546</v>
      </c>
      <c r="CE1341" t="s">
        <v>523</v>
      </c>
      <c r="CF1341" s="12">
        <v>18.77</v>
      </c>
      <c r="CG1341" s="12">
        <v>18.77</v>
      </c>
      <c r="CH1341" s="12">
        <v>28.16</v>
      </c>
      <c r="CI1341" s="12">
        <v>28.16</v>
      </c>
      <c r="CJ1341" t="s">
        <v>135</v>
      </c>
      <c r="CK1341" t="s">
        <v>230</v>
      </c>
      <c r="CL1341" t="s">
        <v>15490</v>
      </c>
      <c r="CO1341" t="s">
        <v>132</v>
      </c>
      <c r="CP1341" t="s">
        <v>136</v>
      </c>
      <c r="CQ1341" t="s">
        <v>136</v>
      </c>
      <c r="CR1341" t="s">
        <v>136</v>
      </c>
      <c r="CS1341" t="s">
        <v>136</v>
      </c>
      <c r="CT1341" t="s">
        <v>136</v>
      </c>
      <c r="CU1341" t="s">
        <v>136</v>
      </c>
      <c r="CV1341" t="s">
        <v>15491</v>
      </c>
      <c r="CW1341" s="10" t="str">
        <f>"+18024346855"</f>
        <v>+18024346855</v>
      </c>
      <c r="CX1341" t="s">
        <v>15492</v>
      </c>
      <c r="CY1341" t="s">
        <v>15493</v>
      </c>
      <c r="CZ1341" t="s">
        <v>137</v>
      </c>
      <c r="DA1341" t="s">
        <v>114</v>
      </c>
      <c r="DB1341" t="s">
        <v>114</v>
      </c>
      <c r="DC1341" t="s">
        <v>136</v>
      </c>
      <c r="DD1341" t="s">
        <v>114</v>
      </c>
    </row>
    <row r="1342" spans="1:113" ht="15" customHeight="1" x14ac:dyDescent="0.25">
      <c r="A1342" t="s">
        <v>18183</v>
      </c>
      <c r="B1342" t="s">
        <v>152</v>
      </c>
      <c r="C1342" s="1">
        <v>45154.527486689818</v>
      </c>
      <c r="D1342" s="1">
        <v>45218</v>
      </c>
      <c r="E1342" t="s">
        <v>114</v>
      </c>
      <c r="F1342" t="s">
        <v>1059</v>
      </c>
      <c r="G1342" t="str">
        <f>"35-2012.00"</f>
        <v>35-2012.00</v>
      </c>
      <c r="H1342" t="s">
        <v>7839</v>
      </c>
      <c r="I1342">
        <v>22</v>
      </c>
      <c r="J1342">
        <v>22</v>
      </c>
      <c r="K1342" s="1">
        <v>45244</v>
      </c>
      <c r="L1342" s="1">
        <v>45395</v>
      </c>
      <c r="M1342" s="1">
        <v>45244</v>
      </c>
      <c r="N1342" s="1">
        <v>45395</v>
      </c>
      <c r="O1342" t="s">
        <v>116</v>
      </c>
      <c r="P1342" t="s">
        <v>18128</v>
      </c>
      <c r="Q1342" t="s">
        <v>18129</v>
      </c>
      <c r="R1342" t="s">
        <v>18130</v>
      </c>
      <c r="T1342" t="s">
        <v>1672</v>
      </c>
      <c r="U1342" t="s">
        <v>506</v>
      </c>
      <c r="V1342" s="8" t="str">
        <f>"05672"</f>
        <v>05672</v>
      </c>
      <c r="W1342" t="s">
        <v>118</v>
      </c>
      <c r="Y1342" s="10">
        <v>18022533559</v>
      </c>
      <c r="AA1342">
        <v>713920</v>
      </c>
      <c r="AB1342" t="s">
        <v>507</v>
      </c>
      <c r="AC1342" t="s">
        <v>508</v>
      </c>
      <c r="AE1342" t="s">
        <v>509</v>
      </c>
      <c r="AF1342" t="s">
        <v>510</v>
      </c>
      <c r="AH1342" t="s">
        <v>511</v>
      </c>
      <c r="AI1342" t="s">
        <v>188</v>
      </c>
      <c r="AJ1342" s="8" t="str">
        <f>"80021"</f>
        <v>80021</v>
      </c>
      <c r="AK1342" t="s">
        <v>118</v>
      </c>
      <c r="AM1342" s="10">
        <v>13034041800</v>
      </c>
      <c r="AO1342" t="s">
        <v>512</v>
      </c>
      <c r="AP1342" t="s">
        <v>121</v>
      </c>
      <c r="AQ1342" t="s">
        <v>513</v>
      </c>
      <c r="AR1342" t="s">
        <v>514</v>
      </c>
      <c r="AS1342" t="s">
        <v>515</v>
      </c>
      <c r="AT1342" t="s">
        <v>516</v>
      </c>
      <c r="AU1342" t="s">
        <v>517</v>
      </c>
      <c r="AV1342" t="s">
        <v>518</v>
      </c>
      <c r="AW1342" t="s">
        <v>402</v>
      </c>
      <c r="AX1342" s="8" t="str">
        <f>"90071"</f>
        <v>90071</v>
      </c>
      <c r="AY1342" t="s">
        <v>118</v>
      </c>
      <c r="BA1342" s="10">
        <v>13108203322</v>
      </c>
      <c r="BC1342" t="s">
        <v>519</v>
      </c>
      <c r="BD1342" t="s">
        <v>520</v>
      </c>
      <c r="BE1342" t="s">
        <v>188</v>
      </c>
      <c r="BF1342" t="s">
        <v>172</v>
      </c>
      <c r="BG1342" t="s">
        <v>506</v>
      </c>
      <c r="BH1342" s="1">
        <v>45140.833333333336</v>
      </c>
      <c r="BI1342">
        <v>35</v>
      </c>
      <c r="BJ1342">
        <v>5</v>
      </c>
      <c r="BK1342">
        <v>5</v>
      </c>
      <c r="BL1342">
        <v>5</v>
      </c>
      <c r="BM1342">
        <v>5</v>
      </c>
      <c r="BN1342">
        <v>5</v>
      </c>
      <c r="BO1342">
        <v>5</v>
      </c>
      <c r="BP1342">
        <v>5</v>
      </c>
      <c r="BQ1342" t="str">
        <f>"7:30 AM"</f>
        <v>7:30 AM</v>
      </c>
      <c r="BR1342" t="str">
        <f>"11:00 PM"</f>
        <v>11:00 PM</v>
      </c>
      <c r="BS1342" t="s">
        <v>131</v>
      </c>
      <c r="BT1342">
        <v>0</v>
      </c>
      <c r="BU1342">
        <v>24</v>
      </c>
      <c r="BV1342" t="s">
        <v>114</v>
      </c>
      <c r="BX1342" s="2" t="s">
        <v>1082</v>
      </c>
      <c r="BY1342" t="s">
        <v>18132</v>
      </c>
      <c r="CA1342" t="s">
        <v>1672</v>
      </c>
      <c r="CB1342" t="s">
        <v>506</v>
      </c>
      <c r="CC1342" s="8" t="str">
        <f>"05672"</f>
        <v>05672</v>
      </c>
      <c r="CD1342" t="s">
        <v>1683</v>
      </c>
      <c r="CE1342" t="s">
        <v>1108</v>
      </c>
      <c r="CF1342" s="12">
        <v>22</v>
      </c>
      <c r="CH1342" s="12">
        <v>33</v>
      </c>
      <c r="CJ1342" t="s">
        <v>135</v>
      </c>
      <c r="CK1342" t="s">
        <v>524</v>
      </c>
      <c r="CL1342" t="s">
        <v>18184</v>
      </c>
      <c r="CO1342" t="s">
        <v>132</v>
      </c>
      <c r="CP1342" t="s">
        <v>114</v>
      </c>
      <c r="CQ1342" t="s">
        <v>114</v>
      </c>
      <c r="CR1342" t="s">
        <v>136</v>
      </c>
      <c r="CS1342" t="s">
        <v>114</v>
      </c>
      <c r="CT1342" t="s">
        <v>136</v>
      </c>
      <c r="CU1342" t="s">
        <v>136</v>
      </c>
      <c r="CV1342" t="s">
        <v>18185</v>
      </c>
      <c r="CW1342" s="10" t="str">
        <f>"+13034041800"</f>
        <v>+13034041800</v>
      </c>
      <c r="CX1342" t="s">
        <v>512</v>
      </c>
      <c r="CY1342" t="s">
        <v>132</v>
      </c>
      <c r="CZ1342" t="s">
        <v>137</v>
      </c>
      <c r="DA1342" t="s">
        <v>114</v>
      </c>
      <c r="DB1342" t="s">
        <v>114</v>
      </c>
      <c r="DC1342" t="s">
        <v>136</v>
      </c>
      <c r="DD1342" t="s">
        <v>114</v>
      </c>
      <c r="DE1342" t="s">
        <v>527</v>
      </c>
      <c r="DF1342" t="s">
        <v>528</v>
      </c>
      <c r="DG1342" t="s">
        <v>136</v>
      </c>
      <c r="DH1342" t="s">
        <v>520</v>
      </c>
      <c r="DI1342" t="s">
        <v>529</v>
      </c>
    </row>
    <row r="1343" spans="1:113" ht="15" customHeight="1" x14ac:dyDescent="0.25">
      <c r="A1343" t="s">
        <v>15427</v>
      </c>
      <c r="B1343" t="s">
        <v>152</v>
      </c>
      <c r="C1343" s="1">
        <v>45153.596141087961</v>
      </c>
      <c r="D1343" s="1">
        <v>45218</v>
      </c>
      <c r="E1343" t="s">
        <v>114</v>
      </c>
      <c r="F1343" t="s">
        <v>4718</v>
      </c>
      <c r="G1343" t="str">
        <f>"37-2012.00"</f>
        <v>37-2012.00</v>
      </c>
      <c r="H1343" t="s">
        <v>205</v>
      </c>
      <c r="I1343">
        <v>35</v>
      </c>
      <c r="J1343">
        <v>35</v>
      </c>
      <c r="K1343" s="1">
        <v>45243</v>
      </c>
      <c r="L1343" s="1">
        <v>45390</v>
      </c>
      <c r="M1343" s="1">
        <v>45243</v>
      </c>
      <c r="N1343" s="1">
        <v>45390</v>
      </c>
      <c r="O1343" t="s">
        <v>116</v>
      </c>
      <c r="P1343" t="s">
        <v>15428</v>
      </c>
      <c r="Q1343" t="s">
        <v>15429</v>
      </c>
      <c r="R1343" t="s">
        <v>15430</v>
      </c>
      <c r="T1343" t="s">
        <v>9846</v>
      </c>
      <c r="U1343" t="s">
        <v>506</v>
      </c>
      <c r="V1343" s="8" t="str">
        <f>"05149"</f>
        <v>05149</v>
      </c>
      <c r="W1343" t="s">
        <v>118</v>
      </c>
      <c r="Y1343" s="10">
        <v>18022281966</v>
      </c>
      <c r="AA1343">
        <v>7211</v>
      </c>
      <c r="AB1343" t="s">
        <v>507</v>
      </c>
      <c r="AC1343" t="s">
        <v>508</v>
      </c>
      <c r="AE1343" t="s">
        <v>509</v>
      </c>
      <c r="AF1343" t="s">
        <v>510</v>
      </c>
      <c r="AH1343" t="s">
        <v>511</v>
      </c>
      <c r="AI1343" t="s">
        <v>188</v>
      </c>
      <c r="AJ1343" s="8" t="str">
        <f>"80021"</f>
        <v>80021</v>
      </c>
      <c r="AK1343" t="s">
        <v>118</v>
      </c>
      <c r="AM1343" s="10">
        <v>13034041800</v>
      </c>
      <c r="AO1343" t="s">
        <v>512</v>
      </c>
      <c r="AP1343" t="s">
        <v>121</v>
      </c>
      <c r="AQ1343" t="s">
        <v>513</v>
      </c>
      <c r="AR1343" t="s">
        <v>514</v>
      </c>
      <c r="AS1343" t="s">
        <v>515</v>
      </c>
      <c r="AT1343" t="s">
        <v>516</v>
      </c>
      <c r="AU1343" t="s">
        <v>517</v>
      </c>
      <c r="AV1343" t="s">
        <v>518</v>
      </c>
      <c r="AW1343" t="s">
        <v>402</v>
      </c>
      <c r="AX1343" s="8" t="str">
        <f>"90071"</f>
        <v>90071</v>
      </c>
      <c r="AY1343" t="s">
        <v>118</v>
      </c>
      <c r="BA1343" s="10">
        <v>13108203322</v>
      </c>
      <c r="BC1343" t="s">
        <v>519</v>
      </c>
      <c r="BD1343" t="s">
        <v>520</v>
      </c>
      <c r="BE1343" t="s">
        <v>188</v>
      </c>
      <c r="BF1343" t="s">
        <v>172</v>
      </c>
      <c r="BG1343" t="s">
        <v>506</v>
      </c>
      <c r="BH1343" s="1">
        <v>45144.833333333336</v>
      </c>
      <c r="BI1343">
        <v>35</v>
      </c>
      <c r="BJ1343">
        <v>5</v>
      </c>
      <c r="BK1343">
        <v>5</v>
      </c>
      <c r="BL1343">
        <v>5</v>
      </c>
      <c r="BM1343">
        <v>5</v>
      </c>
      <c r="BN1343">
        <v>5</v>
      </c>
      <c r="BO1343">
        <v>5</v>
      </c>
      <c r="BP1343">
        <v>5</v>
      </c>
      <c r="BQ1343" t="str">
        <f>"8:00 AM"</f>
        <v>8:00 AM</v>
      </c>
      <c r="BR1343" t="str">
        <f>"5:00 PM"</f>
        <v>5:00 PM</v>
      </c>
      <c r="BS1343" t="s">
        <v>131</v>
      </c>
      <c r="BT1343">
        <v>0</v>
      </c>
      <c r="BU1343">
        <v>12</v>
      </c>
      <c r="BV1343" t="s">
        <v>114</v>
      </c>
      <c r="BX1343" s="2" t="s">
        <v>6533</v>
      </c>
      <c r="BY1343" t="s">
        <v>15431</v>
      </c>
      <c r="CA1343" t="s">
        <v>9846</v>
      </c>
      <c r="CB1343" t="s">
        <v>506</v>
      </c>
      <c r="CC1343" s="8" t="str">
        <f>"05149"</f>
        <v>05149</v>
      </c>
      <c r="CD1343" t="s">
        <v>15200</v>
      </c>
      <c r="CE1343" t="s">
        <v>523</v>
      </c>
      <c r="CF1343" s="12">
        <v>22</v>
      </c>
      <c r="CH1343" s="12">
        <v>33</v>
      </c>
      <c r="CJ1343" t="s">
        <v>135</v>
      </c>
      <c r="CK1343" t="s">
        <v>1094</v>
      </c>
      <c r="CL1343" t="s">
        <v>15432</v>
      </c>
      <c r="CO1343" t="s">
        <v>132</v>
      </c>
      <c r="CP1343" t="s">
        <v>114</v>
      </c>
      <c r="CQ1343" t="s">
        <v>114</v>
      </c>
      <c r="CR1343" t="s">
        <v>136</v>
      </c>
      <c r="CS1343" t="s">
        <v>114</v>
      </c>
      <c r="CT1343" t="s">
        <v>136</v>
      </c>
      <c r="CU1343" t="s">
        <v>136</v>
      </c>
      <c r="CV1343" t="s">
        <v>15433</v>
      </c>
      <c r="CW1343" s="10" t="str">
        <f>"+13034041800"</f>
        <v>+13034041800</v>
      </c>
      <c r="CX1343" t="s">
        <v>512</v>
      </c>
      <c r="CY1343" t="s">
        <v>132</v>
      </c>
      <c r="CZ1343" t="s">
        <v>137</v>
      </c>
      <c r="DA1343" t="s">
        <v>114</v>
      </c>
      <c r="DB1343" t="s">
        <v>114</v>
      </c>
      <c r="DC1343" t="s">
        <v>136</v>
      </c>
      <c r="DD1343" t="s">
        <v>114</v>
      </c>
      <c r="DE1343" t="s">
        <v>527</v>
      </c>
      <c r="DF1343" t="s">
        <v>528</v>
      </c>
      <c r="DG1343" t="s">
        <v>732</v>
      </c>
      <c r="DH1343" t="s">
        <v>733</v>
      </c>
      <c r="DI1343" t="s">
        <v>529</v>
      </c>
    </row>
    <row r="1344" spans="1:113" ht="15" customHeight="1" x14ac:dyDescent="0.25">
      <c r="A1344" t="s">
        <v>14474</v>
      </c>
      <c r="B1344" t="s">
        <v>152</v>
      </c>
      <c r="C1344" s="1">
        <v>45141.270312152781</v>
      </c>
      <c r="D1344" s="1">
        <v>45218</v>
      </c>
      <c r="E1344" t="s">
        <v>114</v>
      </c>
      <c r="F1344" t="s">
        <v>14475</v>
      </c>
      <c r="G1344" t="str">
        <f>"37-3011.00"</f>
        <v>37-3011.00</v>
      </c>
      <c r="H1344" t="s">
        <v>429</v>
      </c>
      <c r="I1344">
        <v>10</v>
      </c>
      <c r="J1344">
        <v>10</v>
      </c>
      <c r="K1344" s="1">
        <v>45231</v>
      </c>
      <c r="L1344" s="1">
        <v>45397</v>
      </c>
      <c r="M1344" s="1">
        <v>45231</v>
      </c>
      <c r="N1344" s="1">
        <v>45397</v>
      </c>
      <c r="O1344" t="s">
        <v>116</v>
      </c>
      <c r="P1344" t="s">
        <v>14476</v>
      </c>
      <c r="R1344" t="s">
        <v>5521</v>
      </c>
      <c r="T1344" t="s">
        <v>5522</v>
      </c>
      <c r="U1344" t="s">
        <v>1776</v>
      </c>
      <c r="V1344" s="8" t="str">
        <f>"08535"</f>
        <v>08535</v>
      </c>
      <c r="W1344" t="s">
        <v>118</v>
      </c>
      <c r="Y1344" s="10">
        <v>17327926733</v>
      </c>
      <c r="AA1344">
        <v>56173</v>
      </c>
      <c r="AB1344" t="s">
        <v>14477</v>
      </c>
      <c r="AC1344" t="s">
        <v>1958</v>
      </c>
      <c r="AE1344" t="s">
        <v>3519</v>
      </c>
      <c r="AF1344" t="s">
        <v>5521</v>
      </c>
      <c r="AH1344" t="s">
        <v>5522</v>
      </c>
      <c r="AI1344" t="s">
        <v>1776</v>
      </c>
      <c r="AJ1344" s="8" t="str">
        <f>"08535"</f>
        <v>08535</v>
      </c>
      <c r="AK1344" t="s">
        <v>118</v>
      </c>
      <c r="AM1344" s="10">
        <v>17327926733</v>
      </c>
      <c r="AO1344" t="s">
        <v>132</v>
      </c>
      <c r="AP1344" t="s">
        <v>248</v>
      </c>
      <c r="AQ1344" t="s">
        <v>354</v>
      </c>
      <c r="AR1344" t="s">
        <v>355</v>
      </c>
      <c r="AT1344" t="s">
        <v>356</v>
      </c>
      <c r="AV1344" t="s">
        <v>357</v>
      </c>
      <c r="AW1344" t="s">
        <v>358</v>
      </c>
      <c r="AX1344" s="8" t="str">
        <f>"11590"</f>
        <v>11590</v>
      </c>
      <c r="AY1344" t="s">
        <v>118</v>
      </c>
      <c r="BA1344" s="10">
        <v>15163307168</v>
      </c>
      <c r="BC1344" t="s">
        <v>359</v>
      </c>
      <c r="BD1344" t="s">
        <v>360</v>
      </c>
      <c r="BG1344" t="s">
        <v>1776</v>
      </c>
      <c r="BH1344" s="1">
        <v>45098.833333333336</v>
      </c>
      <c r="BI1344">
        <v>40</v>
      </c>
      <c r="BJ1344">
        <v>0</v>
      </c>
      <c r="BK1344">
        <v>8</v>
      </c>
      <c r="BL1344">
        <v>8</v>
      </c>
      <c r="BM1344">
        <v>8</v>
      </c>
      <c r="BN1344">
        <v>8</v>
      </c>
      <c r="BO1344">
        <v>8</v>
      </c>
      <c r="BP1344">
        <v>0</v>
      </c>
      <c r="BQ1344" t="str">
        <f>"8:00 AM"</f>
        <v>8:00 AM</v>
      </c>
      <c r="BR1344" t="str">
        <f>"5:00 PM"</f>
        <v>5:00 PM</v>
      </c>
      <c r="BS1344" t="s">
        <v>131</v>
      </c>
      <c r="BT1344">
        <v>0</v>
      </c>
      <c r="BU1344">
        <v>0</v>
      </c>
      <c r="BV1344" t="s">
        <v>114</v>
      </c>
      <c r="BX1344" t="s">
        <v>1480</v>
      </c>
      <c r="BY1344" t="s">
        <v>5521</v>
      </c>
      <c r="CA1344" t="s">
        <v>5522</v>
      </c>
      <c r="CB1344" t="s">
        <v>1776</v>
      </c>
      <c r="CC1344" s="8" t="str">
        <f>"08535"</f>
        <v>08535</v>
      </c>
      <c r="CD1344" t="s">
        <v>3117</v>
      </c>
      <c r="CE1344" t="s">
        <v>1418</v>
      </c>
      <c r="CF1344" s="12">
        <v>19.940000000000001</v>
      </c>
      <c r="CG1344" s="12">
        <v>19.940000000000001</v>
      </c>
      <c r="CH1344" s="12">
        <v>29.91</v>
      </c>
      <c r="CI1344" s="12">
        <v>29.91</v>
      </c>
      <c r="CJ1344" t="s">
        <v>135</v>
      </c>
      <c r="CK1344" t="s">
        <v>132</v>
      </c>
      <c r="CL1344" t="s">
        <v>14478</v>
      </c>
      <c r="CO1344" t="s">
        <v>132</v>
      </c>
      <c r="CP1344" t="s">
        <v>136</v>
      </c>
      <c r="CQ1344" t="s">
        <v>136</v>
      </c>
      <c r="CR1344" t="s">
        <v>136</v>
      </c>
      <c r="CS1344" t="s">
        <v>114</v>
      </c>
      <c r="CT1344" t="s">
        <v>136</v>
      </c>
      <c r="CU1344" t="s">
        <v>114</v>
      </c>
      <c r="CV1344" t="s">
        <v>1480</v>
      </c>
      <c r="CW1344" s="10" t="str">
        <f>"+17327926733"</f>
        <v>+17327926733</v>
      </c>
      <c r="CX1344" t="s">
        <v>14479</v>
      </c>
      <c r="CY1344" t="s">
        <v>132</v>
      </c>
      <c r="CZ1344" t="s">
        <v>137</v>
      </c>
      <c r="DA1344" t="s">
        <v>114</v>
      </c>
      <c r="DB1344" t="s">
        <v>114</v>
      </c>
      <c r="DC1344" t="s">
        <v>136</v>
      </c>
      <c r="DD1344" t="s">
        <v>114</v>
      </c>
    </row>
    <row r="1345" spans="1:113" ht="15" customHeight="1" x14ac:dyDescent="0.25">
      <c r="A1345" t="s">
        <v>23302</v>
      </c>
      <c r="B1345" t="s">
        <v>152</v>
      </c>
      <c r="C1345" s="1">
        <v>45141.141679513887</v>
      </c>
      <c r="D1345" s="1">
        <v>45218</v>
      </c>
      <c r="E1345" t="s">
        <v>136</v>
      </c>
      <c r="F1345" t="s">
        <v>3558</v>
      </c>
      <c r="G1345" t="str">
        <f>"35-3031.00"</f>
        <v>35-3031.00</v>
      </c>
      <c r="H1345" t="s">
        <v>347</v>
      </c>
      <c r="I1345">
        <v>5</v>
      </c>
      <c r="J1345">
        <v>5</v>
      </c>
      <c r="K1345" s="1">
        <v>45231</v>
      </c>
      <c r="L1345" s="1">
        <v>45505</v>
      </c>
      <c r="M1345" s="1">
        <v>45231</v>
      </c>
      <c r="N1345" s="1">
        <v>45505</v>
      </c>
      <c r="O1345" t="s">
        <v>116</v>
      </c>
      <c r="P1345" t="s">
        <v>10380</v>
      </c>
      <c r="Q1345" t="s">
        <v>10381</v>
      </c>
      <c r="R1345" t="s">
        <v>10382</v>
      </c>
      <c r="T1345" t="s">
        <v>10383</v>
      </c>
      <c r="U1345" t="s">
        <v>140</v>
      </c>
      <c r="V1345" s="8" t="str">
        <f>"34228"</f>
        <v>34228</v>
      </c>
      <c r="W1345" t="s">
        <v>118</v>
      </c>
      <c r="Y1345" s="10">
        <v>16035592297</v>
      </c>
      <c r="AA1345">
        <v>72111</v>
      </c>
      <c r="AB1345" t="s">
        <v>10384</v>
      </c>
      <c r="AC1345" t="s">
        <v>10385</v>
      </c>
      <c r="AE1345" t="s">
        <v>764</v>
      </c>
      <c r="AF1345" t="s">
        <v>10382</v>
      </c>
      <c r="AH1345" t="s">
        <v>10383</v>
      </c>
      <c r="AI1345" t="s">
        <v>140</v>
      </c>
      <c r="AJ1345" s="8" t="str">
        <f>"34228"</f>
        <v>34228</v>
      </c>
      <c r="AK1345" t="s">
        <v>118</v>
      </c>
      <c r="AM1345" s="10">
        <v>19413832451</v>
      </c>
      <c r="AO1345" t="s">
        <v>10386</v>
      </c>
      <c r="AP1345" t="s">
        <v>248</v>
      </c>
      <c r="AQ1345" t="s">
        <v>458</v>
      </c>
      <c r="AR1345" t="s">
        <v>459</v>
      </c>
      <c r="AT1345" t="s">
        <v>460</v>
      </c>
      <c r="AU1345" t="s">
        <v>461</v>
      </c>
      <c r="AV1345" t="s">
        <v>766</v>
      </c>
      <c r="AW1345" t="s">
        <v>140</v>
      </c>
      <c r="AX1345" s="8" t="str">
        <f>"33141"</f>
        <v>33141</v>
      </c>
      <c r="AY1345" t="s">
        <v>118</v>
      </c>
      <c r="BA1345" s="10">
        <v>17863480376</v>
      </c>
      <c r="BC1345" t="s">
        <v>463</v>
      </c>
      <c r="BD1345" t="s">
        <v>464</v>
      </c>
      <c r="BG1345" t="s">
        <v>140</v>
      </c>
      <c r="BH1345" s="1">
        <v>45140.833333333336</v>
      </c>
      <c r="BI1345">
        <v>35</v>
      </c>
      <c r="BJ1345">
        <v>7</v>
      </c>
      <c r="BK1345">
        <v>7</v>
      </c>
      <c r="BL1345">
        <v>0</v>
      </c>
      <c r="BM1345">
        <v>0</v>
      </c>
      <c r="BN1345">
        <v>7</v>
      </c>
      <c r="BO1345">
        <v>7</v>
      </c>
      <c r="BP1345">
        <v>7</v>
      </c>
      <c r="BQ1345" t="str">
        <f>"7:00 AM"</f>
        <v>7:00 AM</v>
      </c>
      <c r="BR1345" t="str">
        <f>"2:00 PM"</f>
        <v>2:00 PM</v>
      </c>
      <c r="BS1345" t="s">
        <v>131</v>
      </c>
      <c r="BT1345">
        <v>0</v>
      </c>
      <c r="BU1345">
        <v>1</v>
      </c>
      <c r="BV1345" t="s">
        <v>114</v>
      </c>
      <c r="BX1345" t="s">
        <v>465</v>
      </c>
      <c r="BY1345" t="s">
        <v>10382</v>
      </c>
      <c r="CA1345" t="s">
        <v>10383</v>
      </c>
      <c r="CB1345" t="s">
        <v>140</v>
      </c>
      <c r="CC1345" s="8" t="str">
        <f>"34228"</f>
        <v>34228</v>
      </c>
      <c r="CD1345" t="s">
        <v>6059</v>
      </c>
      <c r="CE1345" t="s">
        <v>1730</v>
      </c>
      <c r="CF1345" s="12">
        <v>13.84</v>
      </c>
      <c r="CG1345" s="12">
        <v>13.84</v>
      </c>
      <c r="CH1345" s="12">
        <v>20.76</v>
      </c>
      <c r="CI1345" s="12">
        <v>20.76</v>
      </c>
      <c r="CJ1345" t="s">
        <v>135</v>
      </c>
      <c r="CL1345" t="s">
        <v>23303</v>
      </c>
      <c r="CO1345" t="s">
        <v>132</v>
      </c>
      <c r="CP1345" t="s">
        <v>114</v>
      </c>
      <c r="CQ1345" t="s">
        <v>114</v>
      </c>
      <c r="CR1345" t="s">
        <v>136</v>
      </c>
      <c r="CS1345" t="s">
        <v>114</v>
      </c>
      <c r="CT1345" t="s">
        <v>136</v>
      </c>
      <c r="CU1345" t="s">
        <v>136</v>
      </c>
      <c r="CV1345" s="2" t="s">
        <v>4703</v>
      </c>
      <c r="CW1345" s="10" t="str">
        <f>"N/A"</f>
        <v>N/A</v>
      </c>
      <c r="CX1345" t="s">
        <v>10386</v>
      </c>
      <c r="CY1345" t="s">
        <v>470</v>
      </c>
      <c r="CZ1345" t="s">
        <v>137</v>
      </c>
      <c r="DA1345" t="s">
        <v>114</v>
      </c>
      <c r="DB1345" t="s">
        <v>114</v>
      </c>
      <c r="DC1345" t="s">
        <v>136</v>
      </c>
      <c r="DD1345" t="s">
        <v>114</v>
      </c>
    </row>
    <row r="1346" spans="1:113" ht="15" customHeight="1" x14ac:dyDescent="0.25">
      <c r="A1346" t="s">
        <v>16891</v>
      </c>
      <c r="B1346" t="s">
        <v>152</v>
      </c>
      <c r="C1346" s="1">
        <v>45141.134368055558</v>
      </c>
      <c r="D1346" s="1">
        <v>45218</v>
      </c>
      <c r="E1346" t="s">
        <v>136</v>
      </c>
      <c r="F1346" t="s">
        <v>2866</v>
      </c>
      <c r="G1346" t="str">
        <f>"35-9021.00"</f>
        <v>35-9021.00</v>
      </c>
      <c r="H1346" t="s">
        <v>501</v>
      </c>
      <c r="I1346">
        <v>5</v>
      </c>
      <c r="J1346">
        <v>5</v>
      </c>
      <c r="K1346" s="1">
        <v>45231</v>
      </c>
      <c r="L1346" s="1">
        <v>45505</v>
      </c>
      <c r="M1346" s="1">
        <v>45231</v>
      </c>
      <c r="N1346" s="1">
        <v>45505</v>
      </c>
      <c r="O1346" t="s">
        <v>116</v>
      </c>
      <c r="P1346" t="s">
        <v>10380</v>
      </c>
      <c r="Q1346" t="s">
        <v>10381</v>
      </c>
      <c r="R1346" t="s">
        <v>10382</v>
      </c>
      <c r="T1346" t="s">
        <v>10383</v>
      </c>
      <c r="U1346" t="s">
        <v>140</v>
      </c>
      <c r="V1346" s="8" t="str">
        <f>"34228"</f>
        <v>34228</v>
      </c>
      <c r="W1346" t="s">
        <v>118</v>
      </c>
      <c r="Y1346" s="10">
        <v>16035592297</v>
      </c>
      <c r="AA1346">
        <v>72111</v>
      </c>
      <c r="AB1346" t="s">
        <v>10384</v>
      </c>
      <c r="AC1346" t="s">
        <v>10385</v>
      </c>
      <c r="AE1346" t="s">
        <v>764</v>
      </c>
      <c r="AF1346" t="s">
        <v>10382</v>
      </c>
      <c r="AH1346" t="s">
        <v>10383</v>
      </c>
      <c r="AI1346" t="s">
        <v>140</v>
      </c>
      <c r="AJ1346" s="8" t="str">
        <f>"34228"</f>
        <v>34228</v>
      </c>
      <c r="AK1346" t="s">
        <v>118</v>
      </c>
      <c r="AM1346" s="10">
        <v>19413832451</v>
      </c>
      <c r="AO1346" t="s">
        <v>10386</v>
      </c>
      <c r="AP1346" t="s">
        <v>248</v>
      </c>
      <c r="AQ1346" t="s">
        <v>458</v>
      </c>
      <c r="AR1346" t="s">
        <v>459</v>
      </c>
      <c r="AT1346" t="s">
        <v>460</v>
      </c>
      <c r="AU1346" t="s">
        <v>461</v>
      </c>
      <c r="AV1346" t="s">
        <v>766</v>
      </c>
      <c r="AW1346" t="s">
        <v>140</v>
      </c>
      <c r="AX1346" s="8" t="str">
        <f>"33141"</f>
        <v>33141</v>
      </c>
      <c r="AY1346" t="s">
        <v>118</v>
      </c>
      <c r="BA1346" s="10">
        <v>17863480376</v>
      </c>
      <c r="BC1346" t="s">
        <v>463</v>
      </c>
      <c r="BD1346" t="s">
        <v>464</v>
      </c>
      <c r="BG1346" t="s">
        <v>140</v>
      </c>
      <c r="BH1346" s="1">
        <v>45140.833333333336</v>
      </c>
      <c r="BI1346">
        <v>35</v>
      </c>
      <c r="BJ1346">
        <v>7</v>
      </c>
      <c r="BK1346">
        <v>7</v>
      </c>
      <c r="BL1346">
        <v>0</v>
      </c>
      <c r="BM1346">
        <v>0</v>
      </c>
      <c r="BN1346">
        <v>7</v>
      </c>
      <c r="BO1346">
        <v>7</v>
      </c>
      <c r="BP1346">
        <v>7</v>
      </c>
      <c r="BQ1346" t="str">
        <f>"7:00 AM"</f>
        <v>7:00 AM</v>
      </c>
      <c r="BR1346" t="str">
        <f>"2:00 PM"</f>
        <v>2:00 PM</v>
      </c>
      <c r="BS1346" t="s">
        <v>131</v>
      </c>
      <c r="BT1346">
        <v>0</v>
      </c>
      <c r="BU1346">
        <v>1</v>
      </c>
      <c r="BV1346" t="s">
        <v>114</v>
      </c>
      <c r="BX1346" t="s">
        <v>465</v>
      </c>
      <c r="BY1346" t="s">
        <v>10382</v>
      </c>
      <c r="CA1346" t="s">
        <v>10383</v>
      </c>
      <c r="CB1346" t="s">
        <v>140</v>
      </c>
      <c r="CC1346" s="8" t="str">
        <f>"34228"</f>
        <v>34228</v>
      </c>
      <c r="CD1346" t="s">
        <v>6059</v>
      </c>
      <c r="CE1346" t="s">
        <v>1730</v>
      </c>
      <c r="CF1346" s="12">
        <v>15</v>
      </c>
      <c r="CG1346" s="12">
        <v>15</v>
      </c>
      <c r="CH1346" s="12">
        <v>22.5</v>
      </c>
      <c r="CI1346" s="12">
        <v>22.5</v>
      </c>
      <c r="CJ1346" t="s">
        <v>135</v>
      </c>
      <c r="CL1346" t="s">
        <v>16892</v>
      </c>
      <c r="CO1346" t="s">
        <v>132</v>
      </c>
      <c r="CP1346" t="s">
        <v>114</v>
      </c>
      <c r="CQ1346" t="s">
        <v>114</v>
      </c>
      <c r="CR1346" t="s">
        <v>136</v>
      </c>
      <c r="CS1346" t="s">
        <v>114</v>
      </c>
      <c r="CT1346" t="s">
        <v>136</v>
      </c>
      <c r="CU1346" t="s">
        <v>136</v>
      </c>
      <c r="CV1346" s="2" t="s">
        <v>4703</v>
      </c>
      <c r="CW1346" s="10" t="str">
        <f>"N/A"</f>
        <v>N/A</v>
      </c>
      <c r="CX1346" t="s">
        <v>10386</v>
      </c>
      <c r="CY1346" t="s">
        <v>470</v>
      </c>
      <c r="CZ1346" t="s">
        <v>137</v>
      </c>
      <c r="DA1346" t="s">
        <v>114</v>
      </c>
      <c r="DB1346" t="s">
        <v>114</v>
      </c>
      <c r="DC1346" t="s">
        <v>136</v>
      </c>
      <c r="DD1346" t="s">
        <v>114</v>
      </c>
    </row>
    <row r="1347" spans="1:113" ht="15" customHeight="1" x14ac:dyDescent="0.25">
      <c r="A1347" t="s">
        <v>10379</v>
      </c>
      <c r="B1347" t="s">
        <v>152</v>
      </c>
      <c r="C1347" s="1">
        <v>45141.115852893519</v>
      </c>
      <c r="D1347" s="1">
        <v>45218</v>
      </c>
      <c r="E1347" t="s">
        <v>136</v>
      </c>
      <c r="F1347" t="s">
        <v>1059</v>
      </c>
      <c r="G1347" t="str">
        <f>"35-2014.00"</f>
        <v>35-2014.00</v>
      </c>
      <c r="H1347" t="s">
        <v>154</v>
      </c>
      <c r="I1347">
        <v>5</v>
      </c>
      <c r="J1347">
        <v>5</v>
      </c>
      <c r="K1347" s="1">
        <v>45231</v>
      </c>
      <c r="L1347" s="1">
        <v>45505</v>
      </c>
      <c r="M1347" s="1">
        <v>45231</v>
      </c>
      <c r="N1347" s="1">
        <v>45505</v>
      </c>
      <c r="O1347" t="s">
        <v>116</v>
      </c>
      <c r="P1347" t="s">
        <v>10380</v>
      </c>
      <c r="Q1347" t="s">
        <v>10381</v>
      </c>
      <c r="R1347" t="s">
        <v>10382</v>
      </c>
      <c r="T1347" t="s">
        <v>10383</v>
      </c>
      <c r="U1347" t="s">
        <v>140</v>
      </c>
      <c r="V1347" s="8" t="str">
        <f>"34228"</f>
        <v>34228</v>
      </c>
      <c r="W1347" t="s">
        <v>118</v>
      </c>
      <c r="Y1347" s="10">
        <v>16035592297</v>
      </c>
      <c r="AA1347">
        <v>72111</v>
      </c>
      <c r="AB1347" t="s">
        <v>10384</v>
      </c>
      <c r="AC1347" t="s">
        <v>10385</v>
      </c>
      <c r="AE1347" t="s">
        <v>764</v>
      </c>
      <c r="AF1347" t="s">
        <v>10382</v>
      </c>
      <c r="AH1347" t="s">
        <v>10383</v>
      </c>
      <c r="AI1347" t="s">
        <v>140</v>
      </c>
      <c r="AJ1347" s="8" t="str">
        <f>"34228"</f>
        <v>34228</v>
      </c>
      <c r="AK1347" t="s">
        <v>118</v>
      </c>
      <c r="AM1347" s="10">
        <v>19413832451</v>
      </c>
      <c r="AO1347" t="s">
        <v>10386</v>
      </c>
      <c r="AP1347" t="s">
        <v>248</v>
      </c>
      <c r="AQ1347" t="s">
        <v>458</v>
      </c>
      <c r="AR1347" t="s">
        <v>459</v>
      </c>
      <c r="AT1347" t="s">
        <v>460</v>
      </c>
      <c r="AU1347" t="s">
        <v>461</v>
      </c>
      <c r="AV1347" t="s">
        <v>766</v>
      </c>
      <c r="AW1347" t="s">
        <v>140</v>
      </c>
      <c r="AX1347" s="8" t="str">
        <f>"33141"</f>
        <v>33141</v>
      </c>
      <c r="AY1347" t="s">
        <v>118</v>
      </c>
      <c r="BA1347" s="10">
        <v>17863480376</v>
      </c>
      <c r="BC1347" t="s">
        <v>463</v>
      </c>
      <c r="BD1347" t="s">
        <v>464</v>
      </c>
      <c r="BG1347" t="s">
        <v>140</v>
      </c>
      <c r="BH1347" s="1">
        <v>45140.833333333336</v>
      </c>
      <c r="BI1347">
        <v>35</v>
      </c>
      <c r="BJ1347">
        <v>7</v>
      </c>
      <c r="BK1347">
        <v>7</v>
      </c>
      <c r="BL1347">
        <v>0</v>
      </c>
      <c r="BM1347">
        <v>0</v>
      </c>
      <c r="BN1347">
        <v>7</v>
      </c>
      <c r="BO1347">
        <v>7</v>
      </c>
      <c r="BP1347">
        <v>7</v>
      </c>
      <c r="BQ1347" t="str">
        <f>"7:00 AM"</f>
        <v>7:00 AM</v>
      </c>
      <c r="BR1347" t="str">
        <f>"2:00 PM"</f>
        <v>2:00 PM</v>
      </c>
      <c r="BS1347" t="s">
        <v>131</v>
      </c>
      <c r="BT1347">
        <v>0</v>
      </c>
      <c r="BU1347">
        <v>1</v>
      </c>
      <c r="BV1347" t="s">
        <v>114</v>
      </c>
      <c r="BX1347" t="s">
        <v>465</v>
      </c>
      <c r="BY1347" t="s">
        <v>10382</v>
      </c>
      <c r="CA1347" t="s">
        <v>10383</v>
      </c>
      <c r="CB1347" t="s">
        <v>140</v>
      </c>
      <c r="CC1347" s="8" t="str">
        <f>"34228"</f>
        <v>34228</v>
      </c>
      <c r="CD1347" t="s">
        <v>6059</v>
      </c>
      <c r="CE1347" t="s">
        <v>1730</v>
      </c>
      <c r="CF1347" s="12">
        <v>17</v>
      </c>
      <c r="CG1347" s="12">
        <v>19</v>
      </c>
      <c r="CH1347" s="12">
        <v>25.5</v>
      </c>
      <c r="CI1347" s="12">
        <v>28.5</v>
      </c>
      <c r="CJ1347" t="s">
        <v>135</v>
      </c>
      <c r="CL1347" t="s">
        <v>10387</v>
      </c>
      <c r="CO1347" t="s">
        <v>132</v>
      </c>
      <c r="CP1347" t="s">
        <v>114</v>
      </c>
      <c r="CQ1347" t="s">
        <v>114</v>
      </c>
      <c r="CR1347" t="s">
        <v>136</v>
      </c>
      <c r="CS1347" t="s">
        <v>114</v>
      </c>
      <c r="CT1347" t="s">
        <v>136</v>
      </c>
      <c r="CU1347" t="s">
        <v>136</v>
      </c>
      <c r="CV1347" s="2" t="s">
        <v>4703</v>
      </c>
      <c r="CW1347" s="10" t="str">
        <f>"N/A"</f>
        <v>N/A</v>
      </c>
      <c r="CX1347" t="s">
        <v>10386</v>
      </c>
      <c r="CY1347" t="s">
        <v>470</v>
      </c>
      <c r="CZ1347" t="s">
        <v>137</v>
      </c>
      <c r="DA1347" t="s">
        <v>114</v>
      </c>
      <c r="DB1347" t="s">
        <v>114</v>
      </c>
      <c r="DC1347" t="s">
        <v>136</v>
      </c>
      <c r="DD1347" t="s">
        <v>114</v>
      </c>
    </row>
    <row r="1348" spans="1:113" ht="15" customHeight="1" x14ac:dyDescent="0.25">
      <c r="A1348" t="s">
        <v>22420</v>
      </c>
      <c r="B1348" t="s">
        <v>152</v>
      </c>
      <c r="C1348" s="1">
        <v>45127.815874884262</v>
      </c>
      <c r="D1348" s="1">
        <v>45218</v>
      </c>
      <c r="E1348" t="s">
        <v>114</v>
      </c>
      <c r="F1348" t="s">
        <v>14612</v>
      </c>
      <c r="G1348" t="str">
        <f>"35-9011.00"</f>
        <v>35-9011.00</v>
      </c>
      <c r="H1348" t="s">
        <v>1512</v>
      </c>
      <c r="I1348">
        <v>45</v>
      </c>
      <c r="J1348">
        <v>45</v>
      </c>
      <c r="K1348" s="1">
        <v>45204</v>
      </c>
      <c r="L1348" s="1">
        <v>45473</v>
      </c>
      <c r="M1348" s="1">
        <v>45204</v>
      </c>
      <c r="N1348" s="1">
        <v>45473</v>
      </c>
      <c r="O1348" t="s">
        <v>116</v>
      </c>
      <c r="P1348" t="s">
        <v>22421</v>
      </c>
      <c r="R1348" t="s">
        <v>22422</v>
      </c>
      <c r="S1348" t="s">
        <v>22423</v>
      </c>
      <c r="T1348" t="s">
        <v>2773</v>
      </c>
      <c r="U1348" t="s">
        <v>140</v>
      </c>
      <c r="V1348" s="8" t="str">
        <f>"32408"</f>
        <v>32408</v>
      </c>
      <c r="W1348" t="s">
        <v>118</v>
      </c>
      <c r="Y1348" s="10">
        <v>18508514461</v>
      </c>
      <c r="AA1348">
        <v>561720</v>
      </c>
      <c r="AB1348" t="s">
        <v>22424</v>
      </c>
      <c r="AC1348" t="s">
        <v>17689</v>
      </c>
      <c r="AD1348" t="s">
        <v>22425</v>
      </c>
      <c r="AE1348" t="s">
        <v>9389</v>
      </c>
      <c r="AF1348" t="s">
        <v>22422</v>
      </c>
      <c r="AG1348" t="s">
        <v>22423</v>
      </c>
      <c r="AH1348" t="s">
        <v>2773</v>
      </c>
      <c r="AI1348" t="s">
        <v>140</v>
      </c>
      <c r="AJ1348" s="8" t="str">
        <f>"32408"</f>
        <v>32408</v>
      </c>
      <c r="AK1348" t="s">
        <v>118</v>
      </c>
      <c r="AM1348" s="10">
        <v>18508514461</v>
      </c>
      <c r="AO1348" t="s">
        <v>22426</v>
      </c>
      <c r="AX1348" s="8" t="str">
        <f>""</f>
        <v/>
      </c>
      <c r="BG1348" t="s">
        <v>140</v>
      </c>
      <c r="BH1348" s="1">
        <v>45126.833333333336</v>
      </c>
      <c r="BI1348">
        <v>36</v>
      </c>
      <c r="BJ1348">
        <v>6</v>
      </c>
      <c r="BK1348">
        <v>4</v>
      </c>
      <c r="BL1348">
        <v>4</v>
      </c>
      <c r="BM1348">
        <v>4</v>
      </c>
      <c r="BN1348">
        <v>5</v>
      </c>
      <c r="BO1348">
        <v>6</v>
      </c>
      <c r="BP1348">
        <v>7</v>
      </c>
      <c r="BQ1348" t="str">
        <f>"8:30 AM"</f>
        <v>8:30 AM</v>
      </c>
      <c r="BR1348" t="str">
        <f>"5:00 PM"</f>
        <v>5:00 PM</v>
      </c>
      <c r="BS1348" t="s">
        <v>131</v>
      </c>
      <c r="BT1348">
        <v>0</v>
      </c>
      <c r="BU1348">
        <v>0</v>
      </c>
      <c r="BV1348" t="s">
        <v>114</v>
      </c>
      <c r="BX1348" t="s">
        <v>22427</v>
      </c>
      <c r="BY1348" t="s">
        <v>22428</v>
      </c>
      <c r="CA1348" t="s">
        <v>22429</v>
      </c>
      <c r="CB1348" t="s">
        <v>140</v>
      </c>
      <c r="CC1348" s="8" t="str">
        <f>"32459"</f>
        <v>32459</v>
      </c>
      <c r="CD1348" t="s">
        <v>3313</v>
      </c>
      <c r="CE1348" t="s">
        <v>3314</v>
      </c>
      <c r="CF1348" s="12">
        <v>12</v>
      </c>
      <c r="CG1348" s="12">
        <v>12</v>
      </c>
      <c r="CH1348" s="12">
        <v>18</v>
      </c>
      <c r="CI1348" s="12">
        <v>18</v>
      </c>
      <c r="CJ1348" t="s">
        <v>135</v>
      </c>
      <c r="CK1348" t="s">
        <v>1789</v>
      </c>
      <c r="CL1348" t="s">
        <v>22430</v>
      </c>
      <c r="CO1348" t="s">
        <v>132</v>
      </c>
      <c r="CP1348" t="s">
        <v>136</v>
      </c>
      <c r="CQ1348" t="s">
        <v>136</v>
      </c>
      <c r="CR1348" t="s">
        <v>136</v>
      </c>
      <c r="CS1348" t="s">
        <v>136</v>
      </c>
      <c r="CT1348" t="s">
        <v>136</v>
      </c>
      <c r="CU1348" t="s">
        <v>114</v>
      </c>
      <c r="CV1348" t="s">
        <v>22431</v>
      </c>
      <c r="CW1348" s="10" t="str">
        <f>"+18508514461"</f>
        <v>+18508514461</v>
      </c>
      <c r="CX1348" t="s">
        <v>22426</v>
      </c>
      <c r="CY1348" t="s">
        <v>132</v>
      </c>
      <c r="CZ1348" t="s">
        <v>137</v>
      </c>
      <c r="DA1348" t="s">
        <v>114</v>
      </c>
      <c r="DB1348" t="s">
        <v>114</v>
      </c>
      <c r="DC1348" t="s">
        <v>136</v>
      </c>
      <c r="DD1348" t="s">
        <v>114</v>
      </c>
    </row>
    <row r="1349" spans="1:113" ht="15" customHeight="1" x14ac:dyDescent="0.25">
      <c r="A1349" t="s">
        <v>23620</v>
      </c>
      <c r="B1349" t="s">
        <v>152</v>
      </c>
      <c r="C1349" s="1">
        <v>45124.439786921299</v>
      </c>
      <c r="D1349" s="1">
        <v>45218</v>
      </c>
      <c r="E1349" t="s">
        <v>136</v>
      </c>
      <c r="F1349" t="s">
        <v>1059</v>
      </c>
      <c r="G1349" t="str">
        <f>"35-2014.00"</f>
        <v>35-2014.00</v>
      </c>
      <c r="H1349" t="s">
        <v>154</v>
      </c>
      <c r="I1349">
        <v>11</v>
      </c>
      <c r="J1349">
        <v>11</v>
      </c>
      <c r="K1349" s="1">
        <v>45214</v>
      </c>
      <c r="L1349" s="1">
        <v>45443</v>
      </c>
      <c r="M1349" s="1">
        <v>45214</v>
      </c>
      <c r="N1349" s="1">
        <v>45443</v>
      </c>
      <c r="O1349" t="s">
        <v>116</v>
      </c>
      <c r="P1349" t="s">
        <v>19182</v>
      </c>
      <c r="Q1349" t="s">
        <v>19183</v>
      </c>
      <c r="R1349" t="s">
        <v>19184</v>
      </c>
      <c r="T1349" t="s">
        <v>9917</v>
      </c>
      <c r="U1349" t="s">
        <v>140</v>
      </c>
      <c r="V1349" s="8" t="str">
        <f>"34285"</f>
        <v>34285</v>
      </c>
      <c r="W1349" t="s">
        <v>118</v>
      </c>
      <c r="Y1349" s="10">
        <v>19414847362</v>
      </c>
      <c r="AA1349">
        <v>722511</v>
      </c>
      <c r="AB1349" t="s">
        <v>23621</v>
      </c>
      <c r="AC1349" t="s">
        <v>850</v>
      </c>
      <c r="AE1349" t="s">
        <v>23622</v>
      </c>
      <c r="AF1349" t="s">
        <v>19184</v>
      </c>
      <c r="AH1349" t="s">
        <v>9917</v>
      </c>
      <c r="AI1349" t="s">
        <v>140</v>
      </c>
      <c r="AJ1349" s="8" t="str">
        <f>"34285"</f>
        <v>34285</v>
      </c>
      <c r="AK1349" t="s">
        <v>118</v>
      </c>
      <c r="AM1349" s="10">
        <v>19414847362</v>
      </c>
      <c r="AO1349" t="s">
        <v>19186</v>
      </c>
      <c r="AP1349" t="s">
        <v>121</v>
      </c>
      <c r="AQ1349" t="s">
        <v>276</v>
      </c>
      <c r="AR1349" t="s">
        <v>277</v>
      </c>
      <c r="AS1349" t="s">
        <v>278</v>
      </c>
      <c r="AT1349" t="s">
        <v>279</v>
      </c>
      <c r="AU1349" t="s">
        <v>280</v>
      </c>
      <c r="AV1349" t="s">
        <v>281</v>
      </c>
      <c r="AW1349" t="s">
        <v>222</v>
      </c>
      <c r="AX1349" s="8" t="str">
        <f>"01701"</f>
        <v>01701</v>
      </c>
      <c r="AY1349" t="s">
        <v>118</v>
      </c>
      <c r="BA1349" s="10">
        <v>16179399444</v>
      </c>
      <c r="BC1349" t="s">
        <v>282</v>
      </c>
      <c r="BD1349" t="s">
        <v>283</v>
      </c>
      <c r="BE1349" t="s">
        <v>222</v>
      </c>
      <c r="BF1349" t="s">
        <v>284</v>
      </c>
      <c r="BG1349" t="s">
        <v>140</v>
      </c>
      <c r="BH1349" s="1">
        <v>45123.833333333336</v>
      </c>
      <c r="BI1349">
        <v>35</v>
      </c>
      <c r="BJ1349">
        <v>0</v>
      </c>
      <c r="BK1349">
        <v>7</v>
      </c>
      <c r="BL1349">
        <v>7</v>
      </c>
      <c r="BM1349">
        <v>7</v>
      </c>
      <c r="BN1349">
        <v>7</v>
      </c>
      <c r="BO1349">
        <v>7</v>
      </c>
      <c r="BP1349">
        <v>0</v>
      </c>
      <c r="BQ1349" t="str">
        <f>"7:00 AM"</f>
        <v>7:00 AM</v>
      </c>
      <c r="BR1349" t="str">
        <f>"2:00 PM"</f>
        <v>2:00 PM</v>
      </c>
      <c r="BS1349" t="s">
        <v>131</v>
      </c>
      <c r="BT1349">
        <v>0</v>
      </c>
      <c r="BU1349">
        <v>6</v>
      </c>
      <c r="BV1349" t="s">
        <v>114</v>
      </c>
      <c r="BX1349" s="2" t="s">
        <v>20913</v>
      </c>
      <c r="BY1349" t="s">
        <v>19188</v>
      </c>
      <c r="CA1349" t="s">
        <v>9917</v>
      </c>
      <c r="CB1349" t="s">
        <v>140</v>
      </c>
      <c r="CC1349" s="8" t="str">
        <f>"34285"</f>
        <v>34285</v>
      </c>
      <c r="CD1349" t="s">
        <v>6059</v>
      </c>
      <c r="CE1349" t="s">
        <v>1730</v>
      </c>
      <c r="CF1349" s="12">
        <v>15.48</v>
      </c>
      <c r="CG1349" s="12">
        <v>23</v>
      </c>
      <c r="CH1349" s="12">
        <v>23.22</v>
      </c>
      <c r="CI1349" s="12">
        <v>34.5</v>
      </c>
      <c r="CJ1349" t="s">
        <v>135</v>
      </c>
      <c r="CK1349" t="s">
        <v>23623</v>
      </c>
      <c r="CL1349" t="s">
        <v>20915</v>
      </c>
      <c r="CO1349" t="s">
        <v>132</v>
      </c>
      <c r="CP1349" t="s">
        <v>114</v>
      </c>
      <c r="CQ1349" t="s">
        <v>114</v>
      </c>
      <c r="CR1349" t="s">
        <v>136</v>
      </c>
      <c r="CS1349" t="s">
        <v>136</v>
      </c>
      <c r="CT1349" t="s">
        <v>136</v>
      </c>
      <c r="CU1349" t="s">
        <v>136</v>
      </c>
      <c r="CV1349" t="s">
        <v>19191</v>
      </c>
      <c r="CW1349" s="10" t="str">
        <f>"+19414847362"</f>
        <v>+19414847362</v>
      </c>
      <c r="CX1349" t="s">
        <v>19186</v>
      </c>
      <c r="CY1349" t="s">
        <v>132</v>
      </c>
      <c r="CZ1349" t="s">
        <v>137</v>
      </c>
      <c r="DA1349" t="s">
        <v>114</v>
      </c>
      <c r="DB1349" t="s">
        <v>114</v>
      </c>
      <c r="DC1349" t="s">
        <v>136</v>
      </c>
      <c r="DD1349" t="s">
        <v>114</v>
      </c>
    </row>
    <row r="1350" spans="1:113" ht="15" customHeight="1" x14ac:dyDescent="0.25">
      <c r="A1350" t="s">
        <v>11608</v>
      </c>
      <c r="B1350" t="s">
        <v>152</v>
      </c>
      <c r="C1350" s="1">
        <v>45110.630806944442</v>
      </c>
      <c r="D1350" s="1">
        <v>45218</v>
      </c>
      <c r="E1350" t="s">
        <v>114</v>
      </c>
      <c r="F1350" t="s">
        <v>1397</v>
      </c>
      <c r="G1350" t="str">
        <f>"39-9011.01"</f>
        <v>39-9011.01</v>
      </c>
      <c r="H1350" t="s">
        <v>183</v>
      </c>
      <c r="I1350">
        <v>1</v>
      </c>
      <c r="J1350">
        <v>1</v>
      </c>
      <c r="K1350" s="1">
        <v>45200</v>
      </c>
      <c r="L1350" s="1">
        <v>45565</v>
      </c>
      <c r="M1350" s="1">
        <v>45200</v>
      </c>
      <c r="N1350" s="1">
        <v>45565</v>
      </c>
      <c r="O1350" t="s">
        <v>184</v>
      </c>
      <c r="P1350" t="s">
        <v>11609</v>
      </c>
      <c r="R1350" t="s">
        <v>11610</v>
      </c>
      <c r="T1350" t="s">
        <v>11611</v>
      </c>
      <c r="U1350" t="s">
        <v>358</v>
      </c>
      <c r="V1350" s="8" t="str">
        <f>"11779"</f>
        <v>11779</v>
      </c>
      <c r="W1350" t="s">
        <v>118</v>
      </c>
      <c r="Y1350" s="10">
        <v>15168492357</v>
      </c>
      <c r="AA1350">
        <v>8141</v>
      </c>
      <c r="AB1350" t="s">
        <v>11612</v>
      </c>
      <c r="AC1350" t="s">
        <v>7331</v>
      </c>
      <c r="AD1350" t="s">
        <v>3052</v>
      </c>
      <c r="AE1350" t="s">
        <v>561</v>
      </c>
      <c r="AF1350" t="s">
        <v>11610</v>
      </c>
      <c r="AH1350" t="s">
        <v>11611</v>
      </c>
      <c r="AI1350" t="s">
        <v>358</v>
      </c>
      <c r="AJ1350" s="8" t="str">
        <f>"11779"</f>
        <v>11779</v>
      </c>
      <c r="AK1350" t="s">
        <v>118</v>
      </c>
      <c r="AM1350" s="10">
        <v>15168492357</v>
      </c>
      <c r="AO1350" t="s">
        <v>11613</v>
      </c>
      <c r="AP1350" t="s">
        <v>121</v>
      </c>
      <c r="AQ1350" t="s">
        <v>1902</v>
      </c>
      <c r="AR1350" t="s">
        <v>1903</v>
      </c>
      <c r="AS1350" t="s">
        <v>1555</v>
      </c>
      <c r="AT1350" t="s">
        <v>1904</v>
      </c>
      <c r="AU1350" t="s">
        <v>1905</v>
      </c>
      <c r="AV1350" t="s">
        <v>1906</v>
      </c>
      <c r="AW1350" t="s">
        <v>358</v>
      </c>
      <c r="AX1350" s="8" t="str">
        <f>"12207"</f>
        <v>12207</v>
      </c>
      <c r="AY1350" t="s">
        <v>118</v>
      </c>
      <c r="BA1350" s="10">
        <v>15187012770</v>
      </c>
      <c r="BC1350" t="s">
        <v>3062</v>
      </c>
      <c r="BD1350" t="s">
        <v>1907</v>
      </c>
      <c r="BE1350" t="s">
        <v>358</v>
      </c>
      <c r="BF1350" t="s">
        <v>2118</v>
      </c>
      <c r="BG1350" t="s">
        <v>358</v>
      </c>
      <c r="BH1350" s="1">
        <v>45109.833333333336</v>
      </c>
      <c r="BI1350">
        <v>40</v>
      </c>
      <c r="BJ1350">
        <v>0</v>
      </c>
      <c r="BK1350">
        <v>8</v>
      </c>
      <c r="BL1350">
        <v>8</v>
      </c>
      <c r="BM1350">
        <v>8</v>
      </c>
      <c r="BN1350">
        <v>8</v>
      </c>
      <c r="BO1350">
        <v>8</v>
      </c>
      <c r="BP1350">
        <v>0</v>
      </c>
      <c r="BQ1350" t="str">
        <f>"8:00 AM"</f>
        <v>8:00 AM</v>
      </c>
      <c r="BR1350" t="str">
        <f>"5:00 PM"</f>
        <v>5:00 PM</v>
      </c>
      <c r="BS1350" t="s">
        <v>131</v>
      </c>
      <c r="BT1350">
        <v>0</v>
      </c>
      <c r="BU1350">
        <v>12</v>
      </c>
      <c r="BV1350" t="s">
        <v>114</v>
      </c>
      <c r="BX1350" t="s">
        <v>11614</v>
      </c>
      <c r="BY1350" t="s">
        <v>11610</v>
      </c>
      <c r="CA1350" t="s">
        <v>11611</v>
      </c>
      <c r="CB1350" t="s">
        <v>358</v>
      </c>
      <c r="CC1350" s="8" t="str">
        <f>"11779"</f>
        <v>11779</v>
      </c>
      <c r="CD1350" t="s">
        <v>1752</v>
      </c>
      <c r="CE1350" t="s">
        <v>1418</v>
      </c>
      <c r="CF1350" s="12">
        <v>16.329999999999998</v>
      </c>
      <c r="CH1350" s="12">
        <v>24.5</v>
      </c>
      <c r="CJ1350" t="s">
        <v>135</v>
      </c>
      <c r="CK1350" t="s">
        <v>3061</v>
      </c>
      <c r="CL1350" t="s">
        <v>11615</v>
      </c>
      <c r="CO1350" t="s">
        <v>132</v>
      </c>
      <c r="CP1350" t="s">
        <v>114</v>
      </c>
      <c r="CQ1350" t="s">
        <v>136</v>
      </c>
      <c r="CR1350" t="s">
        <v>136</v>
      </c>
      <c r="CS1350" t="s">
        <v>114</v>
      </c>
      <c r="CT1350" t="s">
        <v>136</v>
      </c>
      <c r="CU1350" t="s">
        <v>136</v>
      </c>
      <c r="CV1350" t="s">
        <v>11616</v>
      </c>
      <c r="CW1350" s="10" t="str">
        <f>"+15168492357"</f>
        <v>+15168492357</v>
      </c>
      <c r="CX1350" t="s">
        <v>11613</v>
      </c>
      <c r="CY1350" t="s">
        <v>132</v>
      </c>
      <c r="CZ1350" t="s">
        <v>137</v>
      </c>
      <c r="DA1350" t="s">
        <v>114</v>
      </c>
      <c r="DB1350" t="s">
        <v>114</v>
      </c>
      <c r="DC1350" t="s">
        <v>136</v>
      </c>
      <c r="DD1350" t="s">
        <v>114</v>
      </c>
      <c r="DE1350" t="s">
        <v>2120</v>
      </c>
      <c r="DF1350" t="s">
        <v>119</v>
      </c>
      <c r="DG1350" t="s">
        <v>1714</v>
      </c>
      <c r="DH1350" t="s">
        <v>2897</v>
      </c>
      <c r="DI1350" t="s">
        <v>2121</v>
      </c>
    </row>
    <row r="1351" spans="1:113" ht="15" customHeight="1" x14ac:dyDescent="0.25">
      <c r="A1351" t="s">
        <v>10361</v>
      </c>
      <c r="B1351" t="s">
        <v>152</v>
      </c>
      <c r="C1351" s="1">
        <v>45110.572323958331</v>
      </c>
      <c r="D1351" s="1">
        <v>45218</v>
      </c>
      <c r="E1351" t="s">
        <v>114</v>
      </c>
      <c r="F1351" t="s">
        <v>4971</v>
      </c>
      <c r="G1351" t="str">
        <f>"39-6012.00"</f>
        <v>39-6012.00</v>
      </c>
      <c r="H1351" t="s">
        <v>10362</v>
      </c>
      <c r="I1351">
        <v>2</v>
      </c>
      <c r="J1351">
        <v>2</v>
      </c>
      <c r="K1351" s="1">
        <v>45200</v>
      </c>
      <c r="L1351" s="1">
        <v>45473</v>
      </c>
      <c r="M1351" s="1">
        <v>45200</v>
      </c>
      <c r="N1351" s="1">
        <v>45473</v>
      </c>
      <c r="O1351" t="s">
        <v>116</v>
      </c>
      <c r="P1351" t="s">
        <v>10363</v>
      </c>
      <c r="Q1351" t="s">
        <v>5100</v>
      </c>
      <c r="R1351" t="s">
        <v>5101</v>
      </c>
      <c r="T1351" t="s">
        <v>5102</v>
      </c>
      <c r="U1351" t="s">
        <v>333</v>
      </c>
      <c r="V1351" s="8" t="str">
        <f>"70130"</f>
        <v>70130</v>
      </c>
      <c r="W1351" t="s">
        <v>118</v>
      </c>
      <c r="Y1351" s="10">
        <v>15045256000</v>
      </c>
      <c r="AA1351">
        <v>721110</v>
      </c>
      <c r="AB1351" t="s">
        <v>2823</v>
      </c>
      <c r="AC1351" t="s">
        <v>5103</v>
      </c>
      <c r="AE1351" t="s">
        <v>161</v>
      </c>
      <c r="AF1351" t="s">
        <v>5101</v>
      </c>
      <c r="AH1351" t="s">
        <v>5102</v>
      </c>
      <c r="AI1351" t="s">
        <v>333</v>
      </c>
      <c r="AJ1351" s="8" t="str">
        <f>"70130"</f>
        <v>70130</v>
      </c>
      <c r="AK1351" t="s">
        <v>118</v>
      </c>
      <c r="AM1351" s="10">
        <v>15047171201</v>
      </c>
      <c r="AO1351" t="s">
        <v>5104</v>
      </c>
      <c r="AP1351" t="s">
        <v>121</v>
      </c>
      <c r="AQ1351" t="s">
        <v>4300</v>
      </c>
      <c r="AR1351" t="s">
        <v>5105</v>
      </c>
      <c r="AS1351" t="s">
        <v>5106</v>
      </c>
      <c r="AT1351" t="s">
        <v>5107</v>
      </c>
      <c r="AU1351" t="s">
        <v>5108</v>
      </c>
      <c r="AV1351" t="s">
        <v>5109</v>
      </c>
      <c r="AW1351" t="s">
        <v>333</v>
      </c>
      <c r="AX1351" s="8" t="str">
        <f>"70130"</f>
        <v>70130</v>
      </c>
      <c r="AY1351" t="s">
        <v>118</v>
      </c>
      <c r="AZ1351" t="s">
        <v>5110</v>
      </c>
      <c r="BA1351" s="10">
        <v>15045849312</v>
      </c>
      <c r="BC1351" t="s">
        <v>5111</v>
      </c>
      <c r="BD1351" t="s">
        <v>5112</v>
      </c>
      <c r="BE1351" t="s">
        <v>333</v>
      </c>
      <c r="BF1351" t="s">
        <v>10364</v>
      </c>
      <c r="BG1351" t="s">
        <v>333</v>
      </c>
      <c r="BH1351" s="1">
        <v>45109.833333333336</v>
      </c>
      <c r="BI1351">
        <v>40</v>
      </c>
      <c r="BJ1351">
        <v>0</v>
      </c>
      <c r="BK1351">
        <v>8</v>
      </c>
      <c r="BL1351">
        <v>8</v>
      </c>
      <c r="BM1351">
        <v>8</v>
      </c>
      <c r="BN1351">
        <v>8</v>
      </c>
      <c r="BO1351">
        <v>8</v>
      </c>
      <c r="BP1351">
        <v>0</v>
      </c>
      <c r="BQ1351" t="str">
        <f>"9:00 AM"</f>
        <v>9:00 AM</v>
      </c>
      <c r="BR1351" t="str">
        <f>"5:00 PM"</f>
        <v>5:00 PM</v>
      </c>
      <c r="BS1351" t="s">
        <v>131</v>
      </c>
      <c r="BT1351">
        <v>0</v>
      </c>
      <c r="BU1351">
        <v>12</v>
      </c>
      <c r="BV1351" t="s">
        <v>114</v>
      </c>
      <c r="BX1351" t="s">
        <v>10365</v>
      </c>
      <c r="BY1351" t="s">
        <v>5101</v>
      </c>
      <c r="CA1351" t="s">
        <v>5102</v>
      </c>
      <c r="CB1351" t="s">
        <v>333</v>
      </c>
      <c r="CC1351" s="8" t="str">
        <f>"70130"</f>
        <v>70130</v>
      </c>
      <c r="CD1351" t="s">
        <v>679</v>
      </c>
      <c r="CE1351" t="s">
        <v>341</v>
      </c>
      <c r="CF1351" s="12">
        <v>17.5</v>
      </c>
      <c r="CH1351" s="12">
        <v>26.25</v>
      </c>
      <c r="CJ1351" t="s">
        <v>135</v>
      </c>
      <c r="CL1351" t="s">
        <v>10366</v>
      </c>
      <c r="CO1351" t="s">
        <v>132</v>
      </c>
      <c r="CP1351" t="s">
        <v>114</v>
      </c>
      <c r="CQ1351" t="s">
        <v>114</v>
      </c>
      <c r="CR1351" t="s">
        <v>136</v>
      </c>
      <c r="CS1351" t="s">
        <v>136</v>
      </c>
      <c r="CT1351" t="s">
        <v>136</v>
      </c>
      <c r="CU1351" t="s">
        <v>136</v>
      </c>
      <c r="CV1351" t="s">
        <v>10367</v>
      </c>
      <c r="CW1351" s="10" t="str">
        <f>"+15045964761"</f>
        <v>+15045964761</v>
      </c>
      <c r="CX1351" t="s">
        <v>5115</v>
      </c>
      <c r="CY1351" t="s">
        <v>132</v>
      </c>
      <c r="CZ1351" t="s">
        <v>137</v>
      </c>
      <c r="DA1351" t="s">
        <v>114</v>
      </c>
      <c r="DB1351" t="s">
        <v>136</v>
      </c>
      <c r="DC1351" t="s">
        <v>136</v>
      </c>
      <c r="DD1351" t="s">
        <v>114</v>
      </c>
    </row>
    <row r="1352" spans="1:113" ht="15" customHeight="1" x14ac:dyDescent="0.25">
      <c r="A1352" t="s">
        <v>22468</v>
      </c>
      <c r="B1352" t="s">
        <v>152</v>
      </c>
      <c r="C1352" s="1">
        <v>45110.470822222225</v>
      </c>
      <c r="D1352" s="1">
        <v>45218</v>
      </c>
      <c r="E1352" t="s">
        <v>114</v>
      </c>
      <c r="F1352" t="s">
        <v>346</v>
      </c>
      <c r="G1352" t="str">
        <f>"35-3031.00"</f>
        <v>35-3031.00</v>
      </c>
      <c r="H1352" t="s">
        <v>347</v>
      </c>
      <c r="I1352">
        <v>34</v>
      </c>
      <c r="J1352">
        <v>34</v>
      </c>
      <c r="K1352" s="1">
        <v>45200</v>
      </c>
      <c r="L1352" s="1">
        <v>45443</v>
      </c>
      <c r="M1352" s="1">
        <v>45200</v>
      </c>
      <c r="N1352" s="1">
        <v>45443</v>
      </c>
      <c r="O1352" t="s">
        <v>238</v>
      </c>
      <c r="P1352" t="s">
        <v>22469</v>
      </c>
      <c r="R1352" t="s">
        <v>22470</v>
      </c>
      <c r="T1352" t="s">
        <v>22471</v>
      </c>
      <c r="U1352" t="s">
        <v>140</v>
      </c>
      <c r="V1352" s="8" t="str">
        <f>"33436"</f>
        <v>33436</v>
      </c>
      <c r="W1352" t="s">
        <v>118</v>
      </c>
      <c r="Y1352" s="10">
        <v>15617354063</v>
      </c>
      <c r="AA1352">
        <v>713940</v>
      </c>
      <c r="AB1352" t="s">
        <v>13838</v>
      </c>
      <c r="AC1352" t="s">
        <v>5354</v>
      </c>
      <c r="AE1352" t="s">
        <v>3349</v>
      </c>
      <c r="AF1352" t="s">
        <v>22470</v>
      </c>
      <c r="AH1352" t="s">
        <v>22471</v>
      </c>
      <c r="AI1352" t="s">
        <v>140</v>
      </c>
      <c r="AJ1352" s="8" t="str">
        <f>"33436"</f>
        <v>33436</v>
      </c>
      <c r="AK1352" t="s">
        <v>118</v>
      </c>
      <c r="AM1352" s="10">
        <v>15617354063</v>
      </c>
      <c r="AO1352" t="s">
        <v>132</v>
      </c>
      <c r="AP1352" t="s">
        <v>248</v>
      </c>
      <c r="AQ1352" t="s">
        <v>354</v>
      </c>
      <c r="AR1352" t="s">
        <v>355</v>
      </c>
      <c r="AT1352" t="s">
        <v>356</v>
      </c>
      <c r="AV1352" t="s">
        <v>357</v>
      </c>
      <c r="AW1352" t="s">
        <v>358</v>
      </c>
      <c r="AX1352" s="8" t="str">
        <f>"11590"</f>
        <v>11590</v>
      </c>
      <c r="AY1352" t="s">
        <v>118</v>
      </c>
      <c r="BA1352" s="10">
        <v>15163307168</v>
      </c>
      <c r="BC1352" t="s">
        <v>359</v>
      </c>
      <c r="BD1352" t="s">
        <v>360</v>
      </c>
      <c r="BG1352" t="s">
        <v>140</v>
      </c>
      <c r="BH1352" s="1">
        <v>45095.833333333336</v>
      </c>
      <c r="BI1352">
        <v>40</v>
      </c>
      <c r="BJ1352">
        <v>8</v>
      </c>
      <c r="BK1352">
        <v>0</v>
      </c>
      <c r="BL1352">
        <v>8</v>
      </c>
      <c r="BM1352">
        <v>0</v>
      </c>
      <c r="BN1352">
        <v>8</v>
      </c>
      <c r="BO1352">
        <v>8</v>
      </c>
      <c r="BP1352">
        <v>8</v>
      </c>
      <c r="BQ1352" t="str">
        <f>"6:00 AM"</f>
        <v>6:00 AM</v>
      </c>
      <c r="BR1352" t="str">
        <f>"10:00 PM"</f>
        <v>10:00 PM</v>
      </c>
      <c r="BS1352" t="s">
        <v>131</v>
      </c>
      <c r="BT1352">
        <v>0</v>
      </c>
      <c r="BU1352">
        <v>3</v>
      </c>
      <c r="BV1352" t="s">
        <v>114</v>
      </c>
      <c r="BX1352" t="s">
        <v>22472</v>
      </c>
      <c r="BY1352" t="s">
        <v>22470</v>
      </c>
      <c r="CA1352" t="s">
        <v>22471</v>
      </c>
      <c r="CB1352" t="s">
        <v>140</v>
      </c>
      <c r="CC1352" s="8" t="str">
        <f>"33436"</f>
        <v>33436</v>
      </c>
      <c r="CD1352" t="s">
        <v>767</v>
      </c>
      <c r="CE1352" t="s">
        <v>149</v>
      </c>
      <c r="CF1352" s="12">
        <v>14</v>
      </c>
      <c r="CG1352" s="12">
        <v>14</v>
      </c>
      <c r="CH1352" s="12">
        <v>21</v>
      </c>
      <c r="CI1352" s="12">
        <v>21</v>
      </c>
      <c r="CJ1352" t="s">
        <v>135</v>
      </c>
      <c r="CK1352" t="s">
        <v>22473</v>
      </c>
      <c r="CL1352" t="s">
        <v>22474</v>
      </c>
      <c r="CO1352" t="s">
        <v>132</v>
      </c>
      <c r="CP1352" t="s">
        <v>114</v>
      </c>
      <c r="CQ1352" t="s">
        <v>114</v>
      </c>
      <c r="CR1352" t="s">
        <v>136</v>
      </c>
      <c r="CS1352" t="s">
        <v>114</v>
      </c>
      <c r="CT1352" t="s">
        <v>136</v>
      </c>
      <c r="CU1352" t="s">
        <v>136</v>
      </c>
      <c r="CV1352" t="s">
        <v>22475</v>
      </c>
      <c r="CW1352" s="10" t="str">
        <f>"+15617354063"</f>
        <v>+15617354063</v>
      </c>
      <c r="CX1352" t="s">
        <v>22476</v>
      </c>
      <c r="CY1352" t="s">
        <v>132</v>
      </c>
      <c r="CZ1352" t="s">
        <v>137</v>
      </c>
      <c r="DA1352" t="s">
        <v>114</v>
      </c>
      <c r="DB1352" t="s">
        <v>114</v>
      </c>
      <c r="DC1352" t="s">
        <v>136</v>
      </c>
      <c r="DD1352" t="s">
        <v>114</v>
      </c>
    </row>
    <row r="1353" spans="1:113" ht="15" customHeight="1" x14ac:dyDescent="0.25">
      <c r="A1353" t="s">
        <v>10794</v>
      </c>
      <c r="B1353" t="s">
        <v>152</v>
      </c>
      <c r="C1353" s="1">
        <v>45163.46025196759</v>
      </c>
      <c r="D1353" s="1">
        <v>45217</v>
      </c>
      <c r="E1353" t="s">
        <v>114</v>
      </c>
      <c r="F1353" t="s">
        <v>10795</v>
      </c>
      <c r="G1353" t="str">
        <f>"37-2012.00"</f>
        <v>37-2012.00</v>
      </c>
      <c r="H1353" t="s">
        <v>205</v>
      </c>
      <c r="I1353">
        <v>65</v>
      </c>
      <c r="J1353">
        <v>65</v>
      </c>
      <c r="K1353" s="1">
        <v>45246</v>
      </c>
      <c r="L1353" s="1">
        <v>45520</v>
      </c>
      <c r="M1353" s="1">
        <v>45246</v>
      </c>
      <c r="N1353" s="1">
        <v>45520</v>
      </c>
      <c r="O1353" t="s">
        <v>238</v>
      </c>
      <c r="P1353" t="s">
        <v>10246</v>
      </c>
      <c r="Q1353" t="s">
        <v>10246</v>
      </c>
      <c r="R1353" t="s">
        <v>10247</v>
      </c>
      <c r="S1353" t="s">
        <v>10796</v>
      </c>
      <c r="T1353" t="s">
        <v>2773</v>
      </c>
      <c r="U1353" t="s">
        <v>140</v>
      </c>
      <c r="V1353" s="8" t="str">
        <f>"32408"</f>
        <v>32408</v>
      </c>
      <c r="W1353" t="s">
        <v>118</v>
      </c>
      <c r="Y1353" s="10">
        <v>17864929774</v>
      </c>
      <c r="AA1353">
        <v>561720</v>
      </c>
      <c r="AB1353" t="s">
        <v>10248</v>
      </c>
      <c r="AC1353" t="s">
        <v>10249</v>
      </c>
      <c r="AE1353" t="s">
        <v>629</v>
      </c>
      <c r="AF1353" t="s">
        <v>10797</v>
      </c>
      <c r="AG1353" t="s">
        <v>10798</v>
      </c>
      <c r="AH1353" t="s">
        <v>2724</v>
      </c>
      <c r="AI1353" t="s">
        <v>140</v>
      </c>
      <c r="AJ1353" s="8" t="str">
        <f>"32408"</f>
        <v>32408</v>
      </c>
      <c r="AK1353" t="s">
        <v>118</v>
      </c>
      <c r="AM1353" s="10">
        <v>17864929774</v>
      </c>
      <c r="AO1353" t="s">
        <v>10250</v>
      </c>
      <c r="AX1353" s="8" t="str">
        <f>""</f>
        <v/>
      </c>
      <c r="BG1353" t="s">
        <v>140</v>
      </c>
      <c r="BH1353" s="1">
        <v>45158.833333333336</v>
      </c>
      <c r="BI1353">
        <v>35</v>
      </c>
      <c r="BJ1353">
        <v>5</v>
      </c>
      <c r="BK1353">
        <v>5</v>
      </c>
      <c r="BL1353">
        <v>5</v>
      </c>
      <c r="BM1353">
        <v>5</v>
      </c>
      <c r="BN1353">
        <v>5</v>
      </c>
      <c r="BO1353">
        <v>5</v>
      </c>
      <c r="BP1353">
        <v>5</v>
      </c>
      <c r="BQ1353" t="str">
        <f>"8:00 AM"</f>
        <v>8:00 AM</v>
      </c>
      <c r="BR1353" t="str">
        <f>"4:00 PM"</f>
        <v>4:00 PM</v>
      </c>
      <c r="BS1353" t="s">
        <v>131</v>
      </c>
      <c r="BT1353">
        <v>0</v>
      </c>
      <c r="BU1353">
        <v>1</v>
      </c>
      <c r="BV1353" t="s">
        <v>114</v>
      </c>
      <c r="BX1353" s="2" t="s">
        <v>10799</v>
      </c>
      <c r="BY1353" t="s">
        <v>10800</v>
      </c>
      <c r="CA1353" t="s">
        <v>4698</v>
      </c>
      <c r="CB1353" t="s">
        <v>140</v>
      </c>
      <c r="CC1353" s="8" t="str">
        <f>"33737"</f>
        <v>33737</v>
      </c>
      <c r="CD1353" t="s">
        <v>466</v>
      </c>
      <c r="CE1353" t="s">
        <v>467</v>
      </c>
      <c r="CF1353" s="12">
        <v>12.62</v>
      </c>
      <c r="CG1353" s="12">
        <v>16</v>
      </c>
      <c r="CH1353" s="12">
        <v>18.93</v>
      </c>
      <c r="CI1353" s="12">
        <v>24</v>
      </c>
      <c r="CJ1353" t="s">
        <v>135</v>
      </c>
      <c r="CK1353" t="s">
        <v>10253</v>
      </c>
      <c r="CL1353" t="s">
        <v>10801</v>
      </c>
      <c r="CO1353" t="s">
        <v>132</v>
      </c>
      <c r="CP1353" t="s">
        <v>136</v>
      </c>
      <c r="CQ1353" t="s">
        <v>114</v>
      </c>
      <c r="CR1353" t="s">
        <v>136</v>
      </c>
      <c r="CS1353" t="s">
        <v>114</v>
      </c>
      <c r="CT1353" t="s">
        <v>136</v>
      </c>
      <c r="CU1353" t="s">
        <v>136</v>
      </c>
      <c r="CV1353" s="2" t="s">
        <v>10802</v>
      </c>
      <c r="CW1353" s="10" t="str">
        <f>"+17869429774"</f>
        <v>+17869429774</v>
      </c>
      <c r="CX1353" t="s">
        <v>10256</v>
      </c>
      <c r="CY1353" t="s">
        <v>132</v>
      </c>
      <c r="CZ1353" t="s">
        <v>137</v>
      </c>
      <c r="DA1353" t="s">
        <v>114</v>
      </c>
      <c r="DB1353" t="s">
        <v>114</v>
      </c>
      <c r="DC1353" t="s">
        <v>136</v>
      </c>
      <c r="DD1353" t="s">
        <v>114</v>
      </c>
    </row>
    <row r="1354" spans="1:113" ht="15" customHeight="1" x14ac:dyDescent="0.25">
      <c r="A1354" t="s">
        <v>18045</v>
      </c>
      <c r="B1354" t="s">
        <v>152</v>
      </c>
      <c r="C1354" s="1">
        <v>45161.688626388888</v>
      </c>
      <c r="D1354" s="1">
        <v>45217</v>
      </c>
      <c r="E1354" t="s">
        <v>114</v>
      </c>
      <c r="F1354" t="s">
        <v>944</v>
      </c>
      <c r="G1354" t="str">
        <f>"49-9098.00"</f>
        <v>49-9098.00</v>
      </c>
      <c r="H1354" t="s">
        <v>945</v>
      </c>
      <c r="I1354">
        <v>15</v>
      </c>
      <c r="J1354">
        <v>15</v>
      </c>
      <c r="K1354" s="1">
        <v>45237</v>
      </c>
      <c r="L1354" s="1">
        <v>45383</v>
      </c>
      <c r="M1354" s="1">
        <v>45237</v>
      </c>
      <c r="N1354" s="1">
        <v>45383</v>
      </c>
      <c r="O1354" t="s">
        <v>238</v>
      </c>
      <c r="P1354" t="s">
        <v>12297</v>
      </c>
      <c r="R1354" t="s">
        <v>18046</v>
      </c>
      <c r="T1354" t="s">
        <v>7800</v>
      </c>
      <c r="U1354" t="s">
        <v>402</v>
      </c>
      <c r="V1354" s="8" t="str">
        <f>"90630"</f>
        <v>90630</v>
      </c>
      <c r="W1354" t="s">
        <v>118</v>
      </c>
      <c r="Y1354" s="10">
        <v>17148206226</v>
      </c>
      <c r="Z1354" s="3" t="s">
        <v>256</v>
      </c>
      <c r="AA1354">
        <v>711190</v>
      </c>
      <c r="AB1354" t="s">
        <v>12300</v>
      </c>
      <c r="AC1354" t="s">
        <v>2022</v>
      </c>
      <c r="AD1354" t="s">
        <v>2057</v>
      </c>
      <c r="AE1354" t="s">
        <v>12301</v>
      </c>
      <c r="AF1354" t="s">
        <v>12298</v>
      </c>
      <c r="AH1354" t="s">
        <v>7800</v>
      </c>
      <c r="AI1354" t="s">
        <v>402</v>
      </c>
      <c r="AJ1354" s="8" t="str">
        <f>"90630"</f>
        <v>90630</v>
      </c>
      <c r="AK1354" t="s">
        <v>118</v>
      </c>
      <c r="AM1354" s="10">
        <v>17143138063</v>
      </c>
      <c r="AN1354" s="3" t="s">
        <v>256</v>
      </c>
      <c r="AO1354" t="s">
        <v>12302</v>
      </c>
      <c r="AP1354" t="s">
        <v>248</v>
      </c>
      <c r="AQ1354" t="s">
        <v>249</v>
      </c>
      <c r="AR1354" t="s">
        <v>250</v>
      </c>
      <c r="AS1354" t="s">
        <v>251</v>
      </c>
      <c r="AT1354" t="s">
        <v>252</v>
      </c>
      <c r="AU1354" t="s">
        <v>253</v>
      </c>
      <c r="AV1354" t="s">
        <v>254</v>
      </c>
      <c r="AW1354" t="s">
        <v>127</v>
      </c>
      <c r="AX1354" s="8" t="str">
        <f>"78550"</f>
        <v>78550</v>
      </c>
      <c r="AY1354" t="s">
        <v>118</v>
      </c>
      <c r="AZ1354" t="s">
        <v>255</v>
      </c>
      <c r="BA1354" s="10">
        <v>19564408720</v>
      </c>
      <c r="BB1354" s="3" t="s">
        <v>256</v>
      </c>
      <c r="BC1354" t="s">
        <v>338</v>
      </c>
      <c r="BD1354" t="s">
        <v>258</v>
      </c>
      <c r="BG1354" t="s">
        <v>402</v>
      </c>
      <c r="BH1354" s="1">
        <v>45160.833333333336</v>
      </c>
      <c r="BI1354">
        <v>40</v>
      </c>
      <c r="BJ1354">
        <v>8</v>
      </c>
      <c r="BK1354">
        <v>0</v>
      </c>
      <c r="BL1354">
        <v>0</v>
      </c>
      <c r="BM1354">
        <v>8</v>
      </c>
      <c r="BN1354">
        <v>8</v>
      </c>
      <c r="BO1354">
        <v>8</v>
      </c>
      <c r="BP1354">
        <v>8</v>
      </c>
      <c r="BQ1354" t="str">
        <f>"1:00 PM"</f>
        <v>1:00 PM</v>
      </c>
      <c r="BR1354" t="str">
        <f>"10:00 PM"</f>
        <v>10:00 PM</v>
      </c>
      <c r="BS1354" t="s">
        <v>131</v>
      </c>
      <c r="BT1354">
        <v>0</v>
      </c>
      <c r="BU1354">
        <v>0</v>
      </c>
      <c r="BV1354" t="s">
        <v>114</v>
      </c>
      <c r="BX1354" t="s">
        <v>946</v>
      </c>
      <c r="BY1354" t="s">
        <v>18047</v>
      </c>
      <c r="CA1354" t="s">
        <v>18048</v>
      </c>
      <c r="CB1354" t="s">
        <v>402</v>
      </c>
      <c r="CC1354" s="8" t="str">
        <f>"92509"</f>
        <v>92509</v>
      </c>
      <c r="CD1354" t="s">
        <v>5876</v>
      </c>
      <c r="CE1354" t="s">
        <v>4484</v>
      </c>
      <c r="CF1354" s="12">
        <v>18.579999999999998</v>
      </c>
      <c r="CG1354" s="12">
        <v>18.579999999999998</v>
      </c>
      <c r="CH1354" s="12">
        <v>0</v>
      </c>
      <c r="CI1354" s="12">
        <v>0</v>
      </c>
      <c r="CJ1354" t="s">
        <v>135</v>
      </c>
      <c r="CK1354" t="s">
        <v>342</v>
      </c>
      <c r="CL1354" t="s">
        <v>18049</v>
      </c>
      <c r="CO1354" t="s">
        <v>132</v>
      </c>
      <c r="CP1354" t="s">
        <v>114</v>
      </c>
      <c r="CQ1354" t="s">
        <v>136</v>
      </c>
      <c r="CR1354" t="s">
        <v>114</v>
      </c>
      <c r="CS1354" t="s">
        <v>136</v>
      </c>
      <c r="CT1354" t="s">
        <v>136</v>
      </c>
      <c r="CU1354" t="s">
        <v>136</v>
      </c>
      <c r="CV1354" t="s">
        <v>344</v>
      </c>
      <c r="CW1354" s="10" t="str">
        <f>"+19092412809"</f>
        <v>+19092412809</v>
      </c>
      <c r="CX1354" t="s">
        <v>12302</v>
      </c>
      <c r="CY1354" t="s">
        <v>132</v>
      </c>
      <c r="CZ1354" t="s">
        <v>137</v>
      </c>
      <c r="DA1354" t="s">
        <v>114</v>
      </c>
      <c r="DB1354" t="s">
        <v>114</v>
      </c>
      <c r="DC1354" t="s">
        <v>136</v>
      </c>
      <c r="DD1354" t="s">
        <v>114</v>
      </c>
    </row>
    <row r="1355" spans="1:113" ht="15" customHeight="1" x14ac:dyDescent="0.25">
      <c r="A1355" t="s">
        <v>19639</v>
      </c>
      <c r="B1355" t="s">
        <v>152</v>
      </c>
      <c r="C1355" s="1">
        <v>45161.428279629632</v>
      </c>
      <c r="D1355" s="1">
        <v>45217</v>
      </c>
      <c r="E1355" t="s">
        <v>114</v>
      </c>
      <c r="F1355" t="s">
        <v>4218</v>
      </c>
      <c r="G1355" t="str">
        <f>"49-9098.00"</f>
        <v>49-9098.00</v>
      </c>
      <c r="H1355" t="s">
        <v>945</v>
      </c>
      <c r="I1355">
        <v>65</v>
      </c>
      <c r="J1355">
        <v>65</v>
      </c>
      <c r="K1355" s="1">
        <v>45245</v>
      </c>
      <c r="L1355" s="1">
        <v>45412</v>
      </c>
      <c r="M1355" s="1">
        <v>45245</v>
      </c>
      <c r="N1355" s="1">
        <v>45412</v>
      </c>
      <c r="O1355" t="s">
        <v>238</v>
      </c>
      <c r="P1355" t="s">
        <v>19640</v>
      </c>
      <c r="R1355" t="s">
        <v>19641</v>
      </c>
      <c r="T1355" t="s">
        <v>3828</v>
      </c>
      <c r="U1355" t="s">
        <v>1722</v>
      </c>
      <c r="V1355" s="8" t="str">
        <f>"21842"</f>
        <v>21842</v>
      </c>
      <c r="W1355" t="s">
        <v>118</v>
      </c>
      <c r="Y1355" s="10">
        <v>14102898617</v>
      </c>
      <c r="AA1355">
        <v>71311</v>
      </c>
      <c r="AB1355" t="s">
        <v>17427</v>
      </c>
      <c r="AC1355" t="s">
        <v>160</v>
      </c>
      <c r="AE1355" t="s">
        <v>629</v>
      </c>
      <c r="AF1355" t="s">
        <v>19642</v>
      </c>
      <c r="AH1355" t="s">
        <v>3828</v>
      </c>
      <c r="AI1355" t="s">
        <v>1722</v>
      </c>
      <c r="AJ1355" s="8" t="str">
        <f>"21843"</f>
        <v>21843</v>
      </c>
      <c r="AK1355" t="s">
        <v>118</v>
      </c>
      <c r="AM1355" s="10">
        <v>14102898617</v>
      </c>
      <c r="AO1355" t="s">
        <v>19643</v>
      </c>
      <c r="AP1355" t="s">
        <v>121</v>
      </c>
      <c r="AQ1355" t="s">
        <v>1718</v>
      </c>
      <c r="AR1355" t="s">
        <v>708</v>
      </c>
      <c r="AS1355" t="s">
        <v>1719</v>
      </c>
      <c r="AT1355" t="s">
        <v>1720</v>
      </c>
      <c r="AU1355" t="s">
        <v>799</v>
      </c>
      <c r="AV1355" t="s">
        <v>1721</v>
      </c>
      <c r="AW1355" t="s">
        <v>1722</v>
      </c>
      <c r="AX1355" s="8" t="str">
        <f>"21401"</f>
        <v>21401</v>
      </c>
      <c r="AY1355" t="s">
        <v>118</v>
      </c>
      <c r="BA1355" s="10">
        <v>14105739955</v>
      </c>
      <c r="BB1355">
        <v>0</v>
      </c>
      <c r="BC1355" t="s">
        <v>1723</v>
      </c>
      <c r="BD1355" t="s">
        <v>1724</v>
      </c>
      <c r="BE1355" t="s">
        <v>1722</v>
      </c>
      <c r="BF1355" t="s">
        <v>1725</v>
      </c>
      <c r="BG1355" t="s">
        <v>1722</v>
      </c>
      <c r="BH1355" s="1">
        <v>45154.833333333336</v>
      </c>
      <c r="BI1355">
        <v>35</v>
      </c>
      <c r="BJ1355">
        <v>0</v>
      </c>
      <c r="BK1355">
        <v>7</v>
      </c>
      <c r="BL1355">
        <v>7</v>
      </c>
      <c r="BM1355">
        <v>7</v>
      </c>
      <c r="BN1355">
        <v>7</v>
      </c>
      <c r="BO1355">
        <v>7</v>
      </c>
      <c r="BP1355">
        <v>0</v>
      </c>
      <c r="BQ1355" t="str">
        <f>"8:00 AM"</f>
        <v>8:00 AM</v>
      </c>
      <c r="BR1355" t="str">
        <f>"5:00 PM"</f>
        <v>5:00 PM</v>
      </c>
      <c r="BS1355" t="s">
        <v>131</v>
      </c>
      <c r="BT1355">
        <v>0</v>
      </c>
      <c r="BU1355">
        <v>0</v>
      </c>
      <c r="BV1355" t="s">
        <v>114</v>
      </c>
      <c r="BX1355" s="2" t="s">
        <v>19644</v>
      </c>
      <c r="BY1355" t="s">
        <v>19641</v>
      </c>
      <c r="CA1355" t="s">
        <v>19645</v>
      </c>
      <c r="CB1355" t="s">
        <v>1722</v>
      </c>
      <c r="CC1355" s="8" t="str">
        <f>"21842"</f>
        <v>21842</v>
      </c>
      <c r="CD1355" t="s">
        <v>3830</v>
      </c>
      <c r="CE1355" t="s">
        <v>3831</v>
      </c>
      <c r="CF1355" s="12">
        <v>14.5</v>
      </c>
      <c r="CG1355" s="12">
        <v>14.5</v>
      </c>
      <c r="CJ1355" t="s">
        <v>135</v>
      </c>
      <c r="CK1355" t="s">
        <v>4224</v>
      </c>
      <c r="CL1355" t="s">
        <v>19646</v>
      </c>
      <c r="CO1355" t="s">
        <v>132</v>
      </c>
      <c r="CP1355" t="s">
        <v>114</v>
      </c>
      <c r="CQ1355" t="s">
        <v>114</v>
      </c>
      <c r="CR1355" t="s">
        <v>114</v>
      </c>
      <c r="CS1355" t="s">
        <v>136</v>
      </c>
      <c r="CT1355" t="s">
        <v>136</v>
      </c>
      <c r="CU1355" t="s">
        <v>136</v>
      </c>
      <c r="CV1355" t="s">
        <v>19647</v>
      </c>
      <c r="CW1355" s="10" t="str">
        <f>"+14102898617"</f>
        <v>+14102898617</v>
      </c>
      <c r="CX1355" t="s">
        <v>19643</v>
      </c>
      <c r="CY1355" t="s">
        <v>19648</v>
      </c>
      <c r="CZ1355" t="s">
        <v>137</v>
      </c>
      <c r="DA1355" t="s">
        <v>114</v>
      </c>
      <c r="DB1355" t="s">
        <v>136</v>
      </c>
      <c r="DC1355" t="s">
        <v>136</v>
      </c>
      <c r="DD1355" t="s">
        <v>114</v>
      </c>
    </row>
    <row r="1356" spans="1:113" ht="15" customHeight="1" x14ac:dyDescent="0.25">
      <c r="A1356" t="s">
        <v>9147</v>
      </c>
      <c r="B1356" t="s">
        <v>152</v>
      </c>
      <c r="C1356" s="1">
        <v>45160.731532291669</v>
      </c>
      <c r="D1356" s="1">
        <v>45217</v>
      </c>
      <c r="E1356" t="s">
        <v>114</v>
      </c>
      <c r="F1356" t="s">
        <v>944</v>
      </c>
      <c r="G1356" t="str">
        <f>"49-9098.00"</f>
        <v>49-9098.00</v>
      </c>
      <c r="H1356" t="s">
        <v>945</v>
      </c>
      <c r="I1356">
        <v>15</v>
      </c>
      <c r="J1356">
        <v>15</v>
      </c>
      <c r="K1356" s="1">
        <v>45235</v>
      </c>
      <c r="L1356" s="1">
        <v>45321</v>
      </c>
      <c r="M1356" s="1">
        <v>45235</v>
      </c>
      <c r="N1356" s="1">
        <v>45321</v>
      </c>
      <c r="O1356" t="s">
        <v>238</v>
      </c>
      <c r="P1356" t="s">
        <v>9148</v>
      </c>
      <c r="R1356" t="s">
        <v>9149</v>
      </c>
      <c r="S1356" t="s">
        <v>9150</v>
      </c>
      <c r="T1356" t="s">
        <v>9151</v>
      </c>
      <c r="U1356" t="s">
        <v>140</v>
      </c>
      <c r="V1356" s="8" t="str">
        <f>"34482"</f>
        <v>34482</v>
      </c>
      <c r="W1356" t="s">
        <v>118</v>
      </c>
      <c r="Y1356" s="10">
        <v>13522124071</v>
      </c>
      <c r="Z1356" s="3" t="s">
        <v>256</v>
      </c>
      <c r="AA1356">
        <v>71119</v>
      </c>
      <c r="AB1356" t="s">
        <v>4173</v>
      </c>
      <c r="AC1356" t="s">
        <v>6141</v>
      </c>
      <c r="AE1356" t="s">
        <v>378</v>
      </c>
      <c r="AF1356" t="s">
        <v>9149</v>
      </c>
      <c r="AG1356" t="s">
        <v>9150</v>
      </c>
      <c r="AH1356" t="s">
        <v>9151</v>
      </c>
      <c r="AI1356" t="s">
        <v>140</v>
      </c>
      <c r="AJ1356" s="8" t="str">
        <f>"34482"</f>
        <v>34482</v>
      </c>
      <c r="AK1356" t="s">
        <v>118</v>
      </c>
      <c r="AM1356" s="10">
        <v>13522124071</v>
      </c>
      <c r="AN1356" s="3" t="s">
        <v>256</v>
      </c>
      <c r="AO1356" t="s">
        <v>9152</v>
      </c>
      <c r="AP1356" t="s">
        <v>248</v>
      </c>
      <c r="AQ1356" t="s">
        <v>249</v>
      </c>
      <c r="AR1356" t="s">
        <v>250</v>
      </c>
      <c r="AS1356" t="s">
        <v>251</v>
      </c>
      <c r="AT1356" t="s">
        <v>252</v>
      </c>
      <c r="AU1356" t="s">
        <v>253</v>
      </c>
      <c r="AV1356" t="s">
        <v>254</v>
      </c>
      <c r="AW1356" t="s">
        <v>127</v>
      </c>
      <c r="AX1356" s="8" t="str">
        <f>"78550"</f>
        <v>78550</v>
      </c>
      <c r="AY1356" t="s">
        <v>118</v>
      </c>
      <c r="AZ1356" t="s">
        <v>255</v>
      </c>
      <c r="BA1356" s="10">
        <v>19564408720</v>
      </c>
      <c r="BB1356" s="3" t="s">
        <v>256</v>
      </c>
      <c r="BC1356" t="s">
        <v>338</v>
      </c>
      <c r="BD1356" t="s">
        <v>258</v>
      </c>
      <c r="BG1356" t="s">
        <v>140</v>
      </c>
      <c r="BH1356" s="1">
        <v>45159.833333333336</v>
      </c>
      <c r="BI1356">
        <v>40</v>
      </c>
      <c r="BJ1356">
        <v>0</v>
      </c>
      <c r="BK1356">
        <v>8</v>
      </c>
      <c r="BL1356">
        <v>8</v>
      </c>
      <c r="BM1356">
        <v>8</v>
      </c>
      <c r="BN1356">
        <v>8</v>
      </c>
      <c r="BO1356">
        <v>8</v>
      </c>
      <c r="BP1356">
        <v>0</v>
      </c>
      <c r="BQ1356" t="str">
        <f>"8:00 AM"</f>
        <v>8:00 AM</v>
      </c>
      <c r="BR1356" t="str">
        <f>"5:00 PM"</f>
        <v>5:00 PM</v>
      </c>
      <c r="BS1356" t="s">
        <v>131</v>
      </c>
      <c r="BT1356">
        <v>0</v>
      </c>
      <c r="BU1356">
        <v>0</v>
      </c>
      <c r="BV1356" t="s">
        <v>114</v>
      </c>
      <c r="BX1356" t="s">
        <v>946</v>
      </c>
      <c r="BY1356" t="s">
        <v>9153</v>
      </c>
      <c r="CA1356" t="s">
        <v>2752</v>
      </c>
      <c r="CB1356" t="s">
        <v>140</v>
      </c>
      <c r="CC1356" s="8" t="str">
        <f>"34474"</f>
        <v>34474</v>
      </c>
      <c r="CD1356" t="s">
        <v>1257</v>
      </c>
      <c r="CE1356" t="s">
        <v>2342</v>
      </c>
      <c r="CF1356" s="12">
        <v>14.2</v>
      </c>
      <c r="CG1356" s="12">
        <v>14.2</v>
      </c>
      <c r="CH1356" s="12">
        <v>0</v>
      </c>
      <c r="CI1356" s="12">
        <v>0</v>
      </c>
      <c r="CJ1356" t="s">
        <v>135</v>
      </c>
      <c r="CK1356" t="s">
        <v>342</v>
      </c>
      <c r="CL1356" t="s">
        <v>9154</v>
      </c>
      <c r="CO1356" t="s">
        <v>132</v>
      </c>
      <c r="CP1356" t="s">
        <v>114</v>
      </c>
      <c r="CQ1356" t="s">
        <v>136</v>
      </c>
      <c r="CR1356" t="s">
        <v>114</v>
      </c>
      <c r="CS1356" t="s">
        <v>136</v>
      </c>
      <c r="CT1356" t="s">
        <v>136</v>
      </c>
      <c r="CU1356" t="s">
        <v>136</v>
      </c>
      <c r="CV1356" t="s">
        <v>344</v>
      </c>
      <c r="CW1356" s="10" t="str">
        <f>"+13522124071"</f>
        <v>+13522124071</v>
      </c>
      <c r="CX1356" t="s">
        <v>9152</v>
      </c>
      <c r="CY1356" t="s">
        <v>9155</v>
      </c>
      <c r="CZ1356" t="s">
        <v>137</v>
      </c>
      <c r="DA1356" t="s">
        <v>114</v>
      </c>
      <c r="DB1356" t="s">
        <v>136</v>
      </c>
      <c r="DC1356" t="s">
        <v>136</v>
      </c>
      <c r="DD1356" t="s">
        <v>114</v>
      </c>
    </row>
    <row r="1357" spans="1:113" ht="15" customHeight="1" x14ac:dyDescent="0.25">
      <c r="A1357" t="s">
        <v>10521</v>
      </c>
      <c r="B1357" t="s">
        <v>152</v>
      </c>
      <c r="C1357" s="1">
        <v>45160.493715509256</v>
      </c>
      <c r="D1357" s="1">
        <v>45217</v>
      </c>
      <c r="E1357" t="s">
        <v>136</v>
      </c>
      <c r="F1357" t="s">
        <v>153</v>
      </c>
      <c r="G1357" t="str">
        <f>"35-2014.00"</f>
        <v>35-2014.00</v>
      </c>
      <c r="H1357" t="s">
        <v>154</v>
      </c>
      <c r="I1357">
        <v>3</v>
      </c>
      <c r="J1357">
        <v>3</v>
      </c>
      <c r="K1357" s="1">
        <v>45250</v>
      </c>
      <c r="L1357" s="1">
        <v>45382</v>
      </c>
      <c r="M1357" s="1">
        <v>45250</v>
      </c>
      <c r="N1357" s="1">
        <v>45382</v>
      </c>
      <c r="O1357" t="s">
        <v>116</v>
      </c>
      <c r="P1357" t="s">
        <v>8482</v>
      </c>
      <c r="Q1357" t="s">
        <v>8483</v>
      </c>
      <c r="R1357" t="s">
        <v>8484</v>
      </c>
      <c r="T1357" t="s">
        <v>5738</v>
      </c>
      <c r="U1357" t="s">
        <v>506</v>
      </c>
      <c r="V1357" s="8" t="str">
        <f>"05674"</f>
        <v>05674</v>
      </c>
      <c r="W1357" t="s">
        <v>118</v>
      </c>
      <c r="Y1357" s="10">
        <v>18024963864</v>
      </c>
      <c r="AA1357">
        <v>721110</v>
      </c>
      <c r="AB1357" t="s">
        <v>8485</v>
      </c>
      <c r="AC1357" t="s">
        <v>2238</v>
      </c>
      <c r="AE1357" t="s">
        <v>561</v>
      </c>
      <c r="AF1357" t="s">
        <v>8486</v>
      </c>
      <c r="AG1357" t="s">
        <v>8487</v>
      </c>
      <c r="AH1357" t="s">
        <v>8488</v>
      </c>
      <c r="AI1357" t="s">
        <v>140</v>
      </c>
      <c r="AJ1357" s="8" t="str">
        <f>"32963"</f>
        <v>32963</v>
      </c>
      <c r="AK1357" t="s">
        <v>118</v>
      </c>
      <c r="AM1357" s="10">
        <v>18024963864</v>
      </c>
      <c r="AO1357" t="s">
        <v>8489</v>
      </c>
      <c r="AP1357" t="s">
        <v>121</v>
      </c>
      <c r="AQ1357" t="s">
        <v>276</v>
      </c>
      <c r="AR1357" t="s">
        <v>277</v>
      </c>
      <c r="AS1357" t="s">
        <v>278</v>
      </c>
      <c r="AT1357" t="s">
        <v>279</v>
      </c>
      <c r="AU1357" t="s">
        <v>280</v>
      </c>
      <c r="AV1357" t="s">
        <v>281</v>
      </c>
      <c r="AW1357" t="s">
        <v>222</v>
      </c>
      <c r="AX1357" s="8" t="str">
        <f>"01701"</f>
        <v>01701</v>
      </c>
      <c r="AY1357" t="s">
        <v>118</v>
      </c>
      <c r="BA1357" s="10">
        <v>16179399444</v>
      </c>
      <c r="BC1357" t="s">
        <v>282</v>
      </c>
      <c r="BD1357" t="s">
        <v>283</v>
      </c>
      <c r="BE1357" t="s">
        <v>222</v>
      </c>
      <c r="BF1357" t="s">
        <v>284</v>
      </c>
      <c r="BG1357" t="s">
        <v>506</v>
      </c>
      <c r="BH1357" s="1">
        <v>45159.833333333336</v>
      </c>
      <c r="BI1357">
        <v>40</v>
      </c>
      <c r="BJ1357">
        <v>0</v>
      </c>
      <c r="BK1357">
        <v>8</v>
      </c>
      <c r="BL1357">
        <v>8</v>
      </c>
      <c r="BM1357">
        <v>8</v>
      </c>
      <c r="BN1357">
        <v>8</v>
      </c>
      <c r="BO1357">
        <v>8</v>
      </c>
      <c r="BP1357">
        <v>0</v>
      </c>
      <c r="BQ1357" t="str">
        <f>"6:00 AM"</f>
        <v>6:00 AM</v>
      </c>
      <c r="BR1357" t="str">
        <f>"2:00 PM"</f>
        <v>2:00 PM</v>
      </c>
      <c r="BS1357" t="s">
        <v>131</v>
      </c>
      <c r="BT1357">
        <v>0</v>
      </c>
      <c r="BU1357">
        <v>6</v>
      </c>
      <c r="BV1357" t="s">
        <v>114</v>
      </c>
      <c r="BX1357" s="2" t="s">
        <v>10522</v>
      </c>
      <c r="BY1357" t="s">
        <v>8484</v>
      </c>
      <c r="CA1357" t="s">
        <v>5738</v>
      </c>
      <c r="CB1357" t="s">
        <v>506</v>
      </c>
      <c r="CC1357" s="8" t="str">
        <f>"05674"</f>
        <v>05674</v>
      </c>
      <c r="CD1357" t="s">
        <v>1017</v>
      </c>
      <c r="CE1357" t="s">
        <v>1108</v>
      </c>
      <c r="CF1357" s="12">
        <v>18.64</v>
      </c>
      <c r="CG1357" s="12">
        <v>26</v>
      </c>
      <c r="CH1357" s="12">
        <v>27.96</v>
      </c>
      <c r="CI1357" s="12">
        <v>39</v>
      </c>
      <c r="CJ1357" t="s">
        <v>135</v>
      </c>
      <c r="CK1357" t="s">
        <v>10523</v>
      </c>
      <c r="CL1357" t="s">
        <v>10524</v>
      </c>
      <c r="CO1357" t="s">
        <v>132</v>
      </c>
      <c r="CP1357" t="s">
        <v>136</v>
      </c>
      <c r="CQ1357" t="s">
        <v>114</v>
      </c>
      <c r="CR1357" t="s">
        <v>136</v>
      </c>
      <c r="CS1357" t="s">
        <v>114</v>
      </c>
      <c r="CT1357" t="s">
        <v>136</v>
      </c>
      <c r="CU1357" t="s">
        <v>136</v>
      </c>
      <c r="CV1357" t="s">
        <v>10525</v>
      </c>
      <c r="CW1357" s="10" t="str">
        <f>"+18024966350"</f>
        <v>+18024966350</v>
      </c>
      <c r="CX1357" t="s">
        <v>8489</v>
      </c>
      <c r="CY1357" t="s">
        <v>132</v>
      </c>
      <c r="CZ1357" t="s">
        <v>137</v>
      </c>
      <c r="DA1357" t="s">
        <v>114</v>
      </c>
      <c r="DB1357" t="s">
        <v>114</v>
      </c>
      <c r="DC1357" t="s">
        <v>136</v>
      </c>
      <c r="DD1357" t="s">
        <v>114</v>
      </c>
    </row>
    <row r="1358" spans="1:113" ht="15" customHeight="1" x14ac:dyDescent="0.25">
      <c r="A1358" t="s">
        <v>6710</v>
      </c>
      <c r="B1358" t="s">
        <v>152</v>
      </c>
      <c r="C1358" s="1">
        <v>45160.402254629633</v>
      </c>
      <c r="D1358" s="1">
        <v>45217</v>
      </c>
      <c r="E1358" t="s">
        <v>136</v>
      </c>
      <c r="F1358" t="s">
        <v>2310</v>
      </c>
      <c r="G1358" t="str">
        <f>"35-2014.00"</f>
        <v>35-2014.00</v>
      </c>
      <c r="H1358" t="s">
        <v>154</v>
      </c>
      <c r="I1358">
        <v>6</v>
      </c>
      <c r="J1358">
        <v>6</v>
      </c>
      <c r="K1358" s="1">
        <v>45250</v>
      </c>
      <c r="L1358" s="1">
        <v>45401</v>
      </c>
      <c r="M1358" s="1">
        <v>45250</v>
      </c>
      <c r="N1358" s="1">
        <v>45401</v>
      </c>
      <c r="O1358" t="s">
        <v>116</v>
      </c>
      <c r="P1358" t="s">
        <v>6711</v>
      </c>
      <c r="Q1358" t="s">
        <v>6712</v>
      </c>
      <c r="R1358" t="s">
        <v>6713</v>
      </c>
      <c r="T1358" t="s">
        <v>6714</v>
      </c>
      <c r="U1358" t="s">
        <v>506</v>
      </c>
      <c r="V1358" s="8" t="str">
        <f>"05464"</f>
        <v>05464</v>
      </c>
      <c r="W1358" t="s">
        <v>118</v>
      </c>
      <c r="Y1358" s="10">
        <v>18026441014</v>
      </c>
      <c r="AA1358">
        <v>722310</v>
      </c>
      <c r="AB1358" t="s">
        <v>2869</v>
      </c>
      <c r="AC1358" t="s">
        <v>2210</v>
      </c>
      <c r="AE1358" t="s">
        <v>6715</v>
      </c>
      <c r="AF1358" t="s">
        <v>6713</v>
      </c>
      <c r="AH1358" t="s">
        <v>6714</v>
      </c>
      <c r="AI1358" t="s">
        <v>506</v>
      </c>
      <c r="AJ1358" s="8" t="str">
        <f>"05464"</f>
        <v>05464</v>
      </c>
      <c r="AK1358" t="s">
        <v>118</v>
      </c>
      <c r="AM1358" s="10">
        <v>18026441014</v>
      </c>
      <c r="AO1358" t="s">
        <v>6716</v>
      </c>
      <c r="AP1358" t="s">
        <v>121</v>
      </c>
      <c r="AQ1358" t="s">
        <v>276</v>
      </c>
      <c r="AR1358" t="s">
        <v>277</v>
      </c>
      <c r="AS1358" t="s">
        <v>278</v>
      </c>
      <c r="AT1358" t="s">
        <v>279</v>
      </c>
      <c r="AU1358" t="s">
        <v>280</v>
      </c>
      <c r="AV1358" t="s">
        <v>281</v>
      </c>
      <c r="AW1358" t="s">
        <v>222</v>
      </c>
      <c r="AX1358" s="8" t="str">
        <f>"01701"</f>
        <v>01701</v>
      </c>
      <c r="AY1358" t="s">
        <v>118</v>
      </c>
      <c r="BA1358" s="10">
        <v>16179399444</v>
      </c>
      <c r="BC1358" t="s">
        <v>282</v>
      </c>
      <c r="BD1358" t="s">
        <v>283</v>
      </c>
      <c r="BE1358" t="s">
        <v>222</v>
      </c>
      <c r="BF1358" t="s">
        <v>284</v>
      </c>
      <c r="BG1358" t="s">
        <v>506</v>
      </c>
      <c r="BH1358" s="1">
        <v>45159.833333333336</v>
      </c>
      <c r="BI1358">
        <v>35</v>
      </c>
      <c r="BJ1358">
        <v>0</v>
      </c>
      <c r="BK1358">
        <v>7</v>
      </c>
      <c r="BL1358">
        <v>7</v>
      </c>
      <c r="BM1358">
        <v>7</v>
      </c>
      <c r="BN1358">
        <v>7</v>
      </c>
      <c r="BO1358">
        <v>7</v>
      </c>
      <c r="BP1358">
        <v>0</v>
      </c>
      <c r="BQ1358" t="str">
        <f>"7:30 AM"</f>
        <v>7:30 AM</v>
      </c>
      <c r="BR1358" t="str">
        <f>"2:30 PM"</f>
        <v>2:30 PM</v>
      </c>
      <c r="BS1358" t="s">
        <v>131</v>
      </c>
      <c r="BT1358">
        <v>0</v>
      </c>
      <c r="BU1358">
        <v>12</v>
      </c>
      <c r="BV1358" t="s">
        <v>114</v>
      </c>
      <c r="BX1358" s="2" t="s">
        <v>6717</v>
      </c>
      <c r="BY1358" t="s">
        <v>6718</v>
      </c>
      <c r="CA1358" t="s">
        <v>6714</v>
      </c>
      <c r="CB1358" t="s">
        <v>506</v>
      </c>
      <c r="CC1358" s="8" t="str">
        <f>"05464"</f>
        <v>05464</v>
      </c>
      <c r="CD1358" t="s">
        <v>6719</v>
      </c>
      <c r="CE1358" t="s">
        <v>6720</v>
      </c>
      <c r="CF1358" s="12">
        <v>19.07</v>
      </c>
      <c r="CG1358" s="12">
        <v>21</v>
      </c>
      <c r="CH1358" s="12">
        <v>28.61</v>
      </c>
      <c r="CI1358" s="12">
        <v>31.5</v>
      </c>
      <c r="CJ1358" t="s">
        <v>135</v>
      </c>
      <c r="CK1358" t="s">
        <v>6721</v>
      </c>
      <c r="CL1358" t="s">
        <v>6722</v>
      </c>
      <c r="CO1358" t="s">
        <v>132</v>
      </c>
      <c r="CP1358" t="s">
        <v>114</v>
      </c>
      <c r="CQ1358" t="s">
        <v>136</v>
      </c>
      <c r="CR1358" t="s">
        <v>136</v>
      </c>
      <c r="CS1358" t="s">
        <v>136</v>
      </c>
      <c r="CT1358" t="s">
        <v>136</v>
      </c>
      <c r="CU1358" t="s">
        <v>136</v>
      </c>
      <c r="CV1358" t="s">
        <v>6723</v>
      </c>
      <c r="CW1358" s="10" t="str">
        <f>"+18026441014"</f>
        <v>+18026441014</v>
      </c>
      <c r="CX1358" t="s">
        <v>6724</v>
      </c>
      <c r="CY1358" t="s">
        <v>132</v>
      </c>
      <c r="CZ1358" t="s">
        <v>137</v>
      </c>
      <c r="DA1358" t="s">
        <v>114</v>
      </c>
      <c r="DB1358" t="s">
        <v>114</v>
      </c>
      <c r="DC1358" t="s">
        <v>136</v>
      </c>
      <c r="DD1358" t="s">
        <v>114</v>
      </c>
    </row>
    <row r="1359" spans="1:113" ht="15" customHeight="1" x14ac:dyDescent="0.25">
      <c r="A1359" t="s">
        <v>19152</v>
      </c>
      <c r="B1359" t="s">
        <v>152</v>
      </c>
      <c r="C1359" s="1">
        <v>45159.676560185188</v>
      </c>
      <c r="D1359" s="1">
        <v>45217</v>
      </c>
      <c r="E1359" t="s">
        <v>114</v>
      </c>
      <c r="F1359" t="s">
        <v>1453</v>
      </c>
      <c r="G1359" t="str">
        <f>"37-2012.00"</f>
        <v>37-2012.00</v>
      </c>
      <c r="H1359" t="s">
        <v>205</v>
      </c>
      <c r="I1359">
        <v>16</v>
      </c>
      <c r="J1359">
        <v>16</v>
      </c>
      <c r="K1359" s="1">
        <v>45249</v>
      </c>
      <c r="L1359" s="1">
        <v>45365</v>
      </c>
      <c r="M1359" s="1">
        <v>45249</v>
      </c>
      <c r="N1359" s="1">
        <v>45365</v>
      </c>
      <c r="O1359" t="s">
        <v>116</v>
      </c>
      <c r="P1359" t="s">
        <v>19153</v>
      </c>
      <c r="Q1359" t="s">
        <v>19154</v>
      </c>
      <c r="R1359" t="s">
        <v>19155</v>
      </c>
      <c r="S1359" t="s">
        <v>19156</v>
      </c>
      <c r="T1359" t="s">
        <v>587</v>
      </c>
      <c r="U1359" t="s">
        <v>584</v>
      </c>
      <c r="V1359" s="8" t="str">
        <f>"83001"</f>
        <v>83001</v>
      </c>
      <c r="W1359" t="s">
        <v>118</v>
      </c>
      <c r="Y1359" s="10">
        <v>13077332357</v>
      </c>
      <c r="AA1359">
        <v>72111</v>
      </c>
      <c r="AB1359" t="s">
        <v>3274</v>
      </c>
      <c r="AC1359" t="s">
        <v>14257</v>
      </c>
      <c r="AE1359" t="s">
        <v>1349</v>
      </c>
      <c r="AF1359" t="s">
        <v>19155</v>
      </c>
      <c r="AG1359" t="s">
        <v>19156</v>
      </c>
      <c r="AH1359" t="s">
        <v>587</v>
      </c>
      <c r="AI1359" t="s">
        <v>584</v>
      </c>
      <c r="AJ1359" s="8" t="str">
        <f>"83001"</f>
        <v>83001</v>
      </c>
      <c r="AK1359" t="s">
        <v>118</v>
      </c>
      <c r="AM1359" s="10">
        <v>13077332357</v>
      </c>
      <c r="AO1359" t="s">
        <v>132</v>
      </c>
      <c r="AP1359" t="s">
        <v>248</v>
      </c>
      <c r="AQ1359" t="s">
        <v>577</v>
      </c>
      <c r="AR1359" t="s">
        <v>578</v>
      </c>
      <c r="AT1359" t="s">
        <v>579</v>
      </c>
      <c r="AV1359" t="s">
        <v>580</v>
      </c>
      <c r="AW1359" t="s">
        <v>581</v>
      </c>
      <c r="AX1359" s="8" t="str">
        <f>"22903"</f>
        <v>22903</v>
      </c>
      <c r="AY1359" t="s">
        <v>118</v>
      </c>
      <c r="BA1359" s="10">
        <v>14342634300</v>
      </c>
      <c r="BC1359" t="s">
        <v>6249</v>
      </c>
      <c r="BD1359" t="s">
        <v>583</v>
      </c>
      <c r="BG1359" t="s">
        <v>584</v>
      </c>
      <c r="BH1359" s="1">
        <v>45158.833333333336</v>
      </c>
      <c r="BI1359">
        <v>40</v>
      </c>
      <c r="BJ1359">
        <v>0</v>
      </c>
      <c r="BK1359">
        <v>8</v>
      </c>
      <c r="BL1359">
        <v>8</v>
      </c>
      <c r="BM1359">
        <v>8</v>
      </c>
      <c r="BN1359">
        <v>8</v>
      </c>
      <c r="BO1359">
        <v>8</v>
      </c>
      <c r="BP1359">
        <v>0</v>
      </c>
      <c r="BQ1359" t="str">
        <f>"7:30 AM"</f>
        <v>7:30 AM</v>
      </c>
      <c r="BR1359" t="str">
        <f>"4:00 PM"</f>
        <v>4:00 PM</v>
      </c>
      <c r="BS1359" t="s">
        <v>131</v>
      </c>
      <c r="BT1359">
        <v>0</v>
      </c>
      <c r="BU1359">
        <v>0</v>
      </c>
      <c r="BV1359" t="s">
        <v>114</v>
      </c>
      <c r="BX1359" s="2" t="s">
        <v>19157</v>
      </c>
      <c r="BY1359" t="s">
        <v>19158</v>
      </c>
      <c r="CA1359" t="s">
        <v>587</v>
      </c>
      <c r="CB1359" t="s">
        <v>584</v>
      </c>
      <c r="CC1359" s="8" t="str">
        <f>"83001"</f>
        <v>83001</v>
      </c>
      <c r="CD1359" t="s">
        <v>588</v>
      </c>
      <c r="CE1359" t="s">
        <v>589</v>
      </c>
      <c r="CF1359" s="12">
        <v>15.76</v>
      </c>
      <c r="CH1359" s="12">
        <v>23.64</v>
      </c>
      <c r="CJ1359" t="s">
        <v>135</v>
      </c>
      <c r="CK1359" t="s">
        <v>590</v>
      </c>
      <c r="CL1359" t="s">
        <v>19159</v>
      </c>
      <c r="CO1359" t="s">
        <v>132</v>
      </c>
      <c r="CP1359" t="s">
        <v>136</v>
      </c>
      <c r="CQ1359" t="s">
        <v>114</v>
      </c>
      <c r="CR1359" t="s">
        <v>136</v>
      </c>
      <c r="CS1359" t="s">
        <v>136</v>
      </c>
      <c r="CT1359" t="s">
        <v>136</v>
      </c>
      <c r="CU1359" t="s">
        <v>114</v>
      </c>
      <c r="CV1359" t="s">
        <v>19160</v>
      </c>
      <c r="CW1359" s="10" t="str">
        <f>"N/A"</f>
        <v>N/A</v>
      </c>
      <c r="CX1359" t="s">
        <v>19161</v>
      </c>
      <c r="CY1359" t="s">
        <v>594</v>
      </c>
      <c r="CZ1359" t="s">
        <v>137</v>
      </c>
      <c r="DA1359" t="s">
        <v>114</v>
      </c>
      <c r="DB1359" t="s">
        <v>136</v>
      </c>
      <c r="DC1359" t="s">
        <v>136</v>
      </c>
      <c r="DD1359" t="s">
        <v>114</v>
      </c>
      <c r="DE1359" t="s">
        <v>5698</v>
      </c>
      <c r="DF1359" t="s">
        <v>3175</v>
      </c>
      <c r="DH1359" t="s">
        <v>583</v>
      </c>
      <c r="DI1359" t="s">
        <v>6249</v>
      </c>
    </row>
    <row r="1360" spans="1:113" ht="15" customHeight="1" x14ac:dyDescent="0.25">
      <c r="A1360" t="s">
        <v>8426</v>
      </c>
      <c r="B1360" t="s">
        <v>152</v>
      </c>
      <c r="C1360" s="1">
        <v>45159.403120601855</v>
      </c>
      <c r="D1360" s="1">
        <v>45217</v>
      </c>
      <c r="E1360" t="s">
        <v>114</v>
      </c>
      <c r="F1360" t="s">
        <v>8427</v>
      </c>
      <c r="G1360" t="str">
        <f>"37-3011.00"</f>
        <v>37-3011.00</v>
      </c>
      <c r="H1360" t="s">
        <v>429</v>
      </c>
      <c r="I1360">
        <v>15</v>
      </c>
      <c r="J1360">
        <v>15</v>
      </c>
      <c r="K1360" s="1">
        <v>45249</v>
      </c>
      <c r="L1360" s="1">
        <v>45552</v>
      </c>
      <c r="M1360" s="1">
        <v>45249</v>
      </c>
      <c r="N1360" s="1">
        <v>45552</v>
      </c>
      <c r="O1360" t="s">
        <v>238</v>
      </c>
      <c r="P1360" t="s">
        <v>8428</v>
      </c>
      <c r="R1360" t="s">
        <v>8429</v>
      </c>
      <c r="S1360" t="s">
        <v>8430</v>
      </c>
      <c r="T1360" t="s">
        <v>8431</v>
      </c>
      <c r="U1360" t="s">
        <v>140</v>
      </c>
      <c r="V1360" s="8" t="str">
        <f>"33884"</f>
        <v>33884</v>
      </c>
      <c r="W1360" t="s">
        <v>118</v>
      </c>
      <c r="Y1360" s="10">
        <v>18633244654</v>
      </c>
      <c r="AA1360">
        <v>56173</v>
      </c>
      <c r="AB1360" t="s">
        <v>3450</v>
      </c>
      <c r="AC1360" t="s">
        <v>1616</v>
      </c>
      <c r="AE1360" t="s">
        <v>987</v>
      </c>
      <c r="AF1360" t="s">
        <v>8429</v>
      </c>
      <c r="AG1360" t="s">
        <v>8430</v>
      </c>
      <c r="AH1360" t="s">
        <v>8431</v>
      </c>
      <c r="AI1360" t="s">
        <v>140</v>
      </c>
      <c r="AJ1360" s="8" t="str">
        <f>"33884"</f>
        <v>33884</v>
      </c>
      <c r="AK1360" t="s">
        <v>118</v>
      </c>
      <c r="AM1360" s="10">
        <v>18633244654</v>
      </c>
      <c r="AN1360">
        <v>232</v>
      </c>
      <c r="AO1360" t="s">
        <v>132</v>
      </c>
      <c r="AP1360" t="s">
        <v>248</v>
      </c>
      <c r="AQ1360" t="s">
        <v>1873</v>
      </c>
      <c r="AR1360" t="s">
        <v>1265</v>
      </c>
      <c r="AT1360" t="s">
        <v>579</v>
      </c>
      <c r="AV1360" t="s">
        <v>580</v>
      </c>
      <c r="AW1360" t="s">
        <v>581</v>
      </c>
      <c r="AX1360" s="8" t="str">
        <f>"22903"</f>
        <v>22903</v>
      </c>
      <c r="AY1360" t="s">
        <v>118</v>
      </c>
      <c r="BA1360" s="10">
        <v>14342634300</v>
      </c>
      <c r="BC1360" t="s">
        <v>1874</v>
      </c>
      <c r="BD1360" t="s">
        <v>583</v>
      </c>
      <c r="BG1360" t="s">
        <v>140</v>
      </c>
      <c r="BH1360" s="1">
        <v>45158.833333333336</v>
      </c>
      <c r="BI1360">
        <v>35</v>
      </c>
      <c r="BJ1360">
        <v>0</v>
      </c>
      <c r="BK1360">
        <v>7</v>
      </c>
      <c r="BL1360">
        <v>7</v>
      </c>
      <c r="BM1360">
        <v>7</v>
      </c>
      <c r="BN1360">
        <v>7</v>
      </c>
      <c r="BO1360">
        <v>7</v>
      </c>
      <c r="BP1360">
        <v>0</v>
      </c>
      <c r="BQ1360" t="str">
        <f>"7:00 AM"</f>
        <v>7:00 AM</v>
      </c>
      <c r="BR1360" t="str">
        <f>"2:30 PM"</f>
        <v>2:30 PM</v>
      </c>
      <c r="BS1360" t="s">
        <v>131</v>
      </c>
      <c r="BT1360">
        <v>0</v>
      </c>
      <c r="BU1360">
        <v>0</v>
      </c>
      <c r="BV1360" t="s">
        <v>114</v>
      </c>
      <c r="BX1360" s="2" t="s">
        <v>8432</v>
      </c>
      <c r="BY1360" t="s">
        <v>8433</v>
      </c>
      <c r="CA1360" t="s">
        <v>8434</v>
      </c>
      <c r="CB1360" t="s">
        <v>140</v>
      </c>
      <c r="CC1360" s="8" t="str">
        <f>"34974"</f>
        <v>34974</v>
      </c>
      <c r="CD1360" t="s">
        <v>8435</v>
      </c>
      <c r="CE1360" t="s">
        <v>304</v>
      </c>
      <c r="CF1360" s="12">
        <v>16.63</v>
      </c>
      <c r="CG1360" s="12">
        <v>16.63</v>
      </c>
      <c r="CH1360" s="12">
        <v>24.95</v>
      </c>
      <c r="CI1360" s="12">
        <v>24.95</v>
      </c>
      <c r="CJ1360" t="s">
        <v>135</v>
      </c>
      <c r="CK1360" t="s">
        <v>590</v>
      </c>
      <c r="CL1360" t="s">
        <v>8436</v>
      </c>
      <c r="CO1360" t="s">
        <v>132</v>
      </c>
      <c r="CP1360" t="s">
        <v>136</v>
      </c>
      <c r="CQ1360" t="s">
        <v>136</v>
      </c>
      <c r="CR1360" t="s">
        <v>136</v>
      </c>
      <c r="CS1360" t="s">
        <v>136</v>
      </c>
      <c r="CT1360" t="s">
        <v>136</v>
      </c>
      <c r="CU1360" t="s">
        <v>136</v>
      </c>
      <c r="CV1360" t="s">
        <v>8437</v>
      </c>
      <c r="CW1360" s="10" t="str">
        <f>"N/A"</f>
        <v>N/A</v>
      </c>
      <c r="CX1360" t="s">
        <v>8438</v>
      </c>
      <c r="CY1360" t="s">
        <v>1876</v>
      </c>
      <c r="CZ1360" t="s">
        <v>137</v>
      </c>
      <c r="DA1360" t="s">
        <v>114</v>
      </c>
      <c r="DB1360" t="s">
        <v>136</v>
      </c>
      <c r="DC1360" t="s">
        <v>136</v>
      </c>
      <c r="DD1360" t="s">
        <v>114</v>
      </c>
      <c r="DE1360" t="s">
        <v>1877</v>
      </c>
      <c r="DF1360" t="s">
        <v>1069</v>
      </c>
      <c r="DH1360" t="s">
        <v>583</v>
      </c>
      <c r="DI1360" t="s">
        <v>1874</v>
      </c>
    </row>
    <row r="1361" spans="1:108" ht="15" customHeight="1" x14ac:dyDescent="0.25">
      <c r="A1361" t="s">
        <v>12109</v>
      </c>
      <c r="B1361" t="s">
        <v>152</v>
      </c>
      <c r="C1361" s="1">
        <v>45157.862536921297</v>
      </c>
      <c r="D1361" s="1">
        <v>45217</v>
      </c>
      <c r="E1361" t="s">
        <v>114</v>
      </c>
      <c r="F1361" t="s">
        <v>12110</v>
      </c>
      <c r="G1361" t="str">
        <f>"51-9111.00"</f>
        <v>51-9111.00</v>
      </c>
      <c r="H1361" t="s">
        <v>6253</v>
      </c>
      <c r="I1361">
        <v>3</v>
      </c>
      <c r="J1361">
        <v>3</v>
      </c>
      <c r="K1361" s="1">
        <v>45232</v>
      </c>
      <c r="L1361" s="1">
        <v>45381</v>
      </c>
      <c r="M1361" s="1">
        <v>45232</v>
      </c>
      <c r="N1361" s="1">
        <v>45381</v>
      </c>
      <c r="O1361" t="s">
        <v>116</v>
      </c>
      <c r="P1361" t="s">
        <v>12111</v>
      </c>
      <c r="Q1361" t="s">
        <v>132</v>
      </c>
      <c r="R1361" t="s">
        <v>12112</v>
      </c>
      <c r="S1361" t="s">
        <v>132</v>
      </c>
      <c r="T1361" t="s">
        <v>3559</v>
      </c>
      <c r="U1361" t="s">
        <v>1734</v>
      </c>
      <c r="V1361" s="8" t="str">
        <f>"67545"</f>
        <v>67545</v>
      </c>
      <c r="W1361" t="s">
        <v>118</v>
      </c>
      <c r="X1361" t="s">
        <v>132</v>
      </c>
      <c r="Y1361" s="10">
        <v>16204584121</v>
      </c>
      <c r="AA1361">
        <v>311211</v>
      </c>
      <c r="AB1361" t="s">
        <v>12113</v>
      </c>
      <c r="AC1361" t="s">
        <v>12114</v>
      </c>
      <c r="AD1361" t="s">
        <v>132</v>
      </c>
      <c r="AE1361" t="s">
        <v>1349</v>
      </c>
      <c r="AF1361" t="s">
        <v>12112</v>
      </c>
      <c r="AG1361" t="s">
        <v>132</v>
      </c>
      <c r="AH1361" t="s">
        <v>3559</v>
      </c>
      <c r="AI1361" t="s">
        <v>1734</v>
      </c>
      <c r="AJ1361" s="8" t="str">
        <f>"67545"</f>
        <v>67545</v>
      </c>
      <c r="AK1361" t="s">
        <v>118</v>
      </c>
      <c r="AM1361" s="10">
        <v>16204584121</v>
      </c>
      <c r="AO1361" t="s">
        <v>12115</v>
      </c>
      <c r="AP1361" t="s">
        <v>248</v>
      </c>
      <c r="AQ1361" t="s">
        <v>6916</v>
      </c>
      <c r="AR1361" t="s">
        <v>3625</v>
      </c>
      <c r="AS1361" t="s">
        <v>132</v>
      </c>
      <c r="AT1361" t="s">
        <v>6917</v>
      </c>
      <c r="AU1361" t="s">
        <v>6918</v>
      </c>
      <c r="AV1361" t="s">
        <v>6919</v>
      </c>
      <c r="AW1361" t="s">
        <v>127</v>
      </c>
      <c r="AX1361" s="8" t="str">
        <f>"78266"</f>
        <v>78266</v>
      </c>
      <c r="AY1361" t="s">
        <v>118</v>
      </c>
      <c r="BA1361" s="10">
        <v>18305844555</v>
      </c>
      <c r="BC1361" t="s">
        <v>6920</v>
      </c>
      <c r="BD1361" t="s">
        <v>6921</v>
      </c>
      <c r="BG1361" t="s">
        <v>1734</v>
      </c>
      <c r="BH1361" s="1">
        <v>45156.833333333336</v>
      </c>
      <c r="BI1361">
        <v>40</v>
      </c>
      <c r="BJ1361">
        <v>0</v>
      </c>
      <c r="BK1361">
        <v>8</v>
      </c>
      <c r="BL1361">
        <v>8</v>
      </c>
      <c r="BM1361">
        <v>8</v>
      </c>
      <c r="BN1361">
        <v>8</v>
      </c>
      <c r="BO1361">
        <v>8</v>
      </c>
      <c r="BP1361">
        <v>0</v>
      </c>
      <c r="BQ1361" t="str">
        <f>"3:00 PM"</f>
        <v>3:00 PM</v>
      </c>
      <c r="BR1361" t="str">
        <f>"11:00 PM"</f>
        <v>11:00 PM</v>
      </c>
      <c r="BS1361" t="s">
        <v>131</v>
      </c>
      <c r="BT1361">
        <v>0</v>
      </c>
      <c r="BU1361">
        <v>0</v>
      </c>
      <c r="BV1361" t="s">
        <v>114</v>
      </c>
      <c r="BX1361" s="2" t="s">
        <v>12116</v>
      </c>
      <c r="BY1361" t="s">
        <v>12117</v>
      </c>
      <c r="BZ1361" t="s">
        <v>132</v>
      </c>
      <c r="CA1361" t="s">
        <v>3559</v>
      </c>
      <c r="CB1361" t="s">
        <v>1734</v>
      </c>
      <c r="CC1361" s="8" t="str">
        <f>"67545"</f>
        <v>67545</v>
      </c>
      <c r="CD1361" t="s">
        <v>12118</v>
      </c>
      <c r="CE1361" t="s">
        <v>5123</v>
      </c>
      <c r="CF1361" s="12">
        <v>15.8</v>
      </c>
      <c r="CG1361" s="12">
        <v>15.8</v>
      </c>
      <c r="CH1361" s="12">
        <v>23.7</v>
      </c>
      <c r="CI1361" s="12">
        <v>23.7</v>
      </c>
      <c r="CJ1361" t="s">
        <v>135</v>
      </c>
      <c r="CK1361" t="s">
        <v>6922</v>
      </c>
      <c r="CL1361" t="s">
        <v>12119</v>
      </c>
      <c r="CO1361" t="s">
        <v>132</v>
      </c>
      <c r="CP1361" t="s">
        <v>114</v>
      </c>
      <c r="CQ1361" t="s">
        <v>114</v>
      </c>
      <c r="CR1361" t="s">
        <v>136</v>
      </c>
      <c r="CS1361" t="s">
        <v>136</v>
      </c>
      <c r="CT1361" t="s">
        <v>136</v>
      </c>
      <c r="CU1361" t="s">
        <v>136</v>
      </c>
      <c r="CV1361" t="s">
        <v>12120</v>
      </c>
      <c r="CW1361" s="10" t="str">
        <f>"+16204584121"</f>
        <v>+16204584121</v>
      </c>
      <c r="CX1361" t="s">
        <v>12121</v>
      </c>
      <c r="CY1361" t="s">
        <v>132</v>
      </c>
      <c r="CZ1361" t="s">
        <v>137</v>
      </c>
      <c r="DA1361" t="s">
        <v>114</v>
      </c>
      <c r="DB1361" t="s">
        <v>136</v>
      </c>
      <c r="DC1361" t="s">
        <v>136</v>
      </c>
      <c r="DD1361" t="s">
        <v>114</v>
      </c>
    </row>
    <row r="1362" spans="1:108" ht="15" customHeight="1" x14ac:dyDescent="0.25">
      <c r="A1362" t="s">
        <v>4349</v>
      </c>
      <c r="B1362" t="s">
        <v>152</v>
      </c>
      <c r="C1362" s="1">
        <v>45156.734118518521</v>
      </c>
      <c r="D1362" s="1">
        <v>45217</v>
      </c>
      <c r="E1362" t="s">
        <v>114</v>
      </c>
      <c r="F1362" t="s">
        <v>944</v>
      </c>
      <c r="G1362" t="str">
        <f>"49-9098.00"</f>
        <v>49-9098.00</v>
      </c>
      <c r="H1362" t="s">
        <v>945</v>
      </c>
      <c r="I1362">
        <v>25</v>
      </c>
      <c r="J1362">
        <v>25</v>
      </c>
      <c r="K1362" s="1">
        <v>45231</v>
      </c>
      <c r="L1362" s="1">
        <v>45322</v>
      </c>
      <c r="M1362" s="1">
        <v>45231</v>
      </c>
      <c r="N1362" s="1">
        <v>45322</v>
      </c>
      <c r="O1362" t="s">
        <v>238</v>
      </c>
      <c r="P1362" t="s">
        <v>4350</v>
      </c>
      <c r="R1362" t="s">
        <v>4351</v>
      </c>
      <c r="S1362" t="s">
        <v>4352</v>
      </c>
      <c r="T1362" t="s">
        <v>4353</v>
      </c>
      <c r="U1362" t="s">
        <v>140</v>
      </c>
      <c r="V1362" s="8" t="str">
        <f>"33598"</f>
        <v>33598</v>
      </c>
      <c r="W1362" t="s">
        <v>118</v>
      </c>
      <c r="Y1362" s="10">
        <v>18133407395</v>
      </c>
      <c r="Z1362" s="3" t="s">
        <v>256</v>
      </c>
      <c r="AA1362">
        <v>7139</v>
      </c>
      <c r="AB1362" t="s">
        <v>4354</v>
      </c>
      <c r="AC1362" t="s">
        <v>3077</v>
      </c>
      <c r="AE1362" t="s">
        <v>561</v>
      </c>
      <c r="AF1362" t="s">
        <v>4351</v>
      </c>
      <c r="AG1362" t="s">
        <v>4352</v>
      </c>
      <c r="AH1362" t="s">
        <v>4353</v>
      </c>
      <c r="AI1362" t="s">
        <v>140</v>
      </c>
      <c r="AJ1362" s="8" t="str">
        <f>"33598"</f>
        <v>33598</v>
      </c>
      <c r="AK1362" t="s">
        <v>118</v>
      </c>
      <c r="AM1362" s="10">
        <v>18133407395</v>
      </c>
      <c r="AN1362" s="3" t="s">
        <v>256</v>
      </c>
      <c r="AO1362" t="s">
        <v>4355</v>
      </c>
      <c r="AP1362" t="s">
        <v>248</v>
      </c>
      <c r="AQ1362" t="s">
        <v>249</v>
      </c>
      <c r="AR1362" t="s">
        <v>250</v>
      </c>
      <c r="AS1362" t="s">
        <v>251</v>
      </c>
      <c r="AT1362" t="s">
        <v>252</v>
      </c>
      <c r="AU1362" t="s">
        <v>253</v>
      </c>
      <c r="AV1362" t="s">
        <v>254</v>
      </c>
      <c r="AW1362" t="s">
        <v>127</v>
      </c>
      <c r="AX1362" s="8" t="str">
        <f>"78550"</f>
        <v>78550</v>
      </c>
      <c r="AY1362" t="s">
        <v>118</v>
      </c>
      <c r="AZ1362" t="s">
        <v>255</v>
      </c>
      <c r="BA1362" s="10">
        <v>19564408720</v>
      </c>
      <c r="BB1362" s="3" t="s">
        <v>256</v>
      </c>
      <c r="BC1362" t="s">
        <v>338</v>
      </c>
      <c r="BD1362" t="s">
        <v>258</v>
      </c>
      <c r="BG1362" t="s">
        <v>140</v>
      </c>
      <c r="BH1362" s="1">
        <v>45155.833333333336</v>
      </c>
      <c r="BI1362">
        <v>40</v>
      </c>
      <c r="BJ1362">
        <v>0</v>
      </c>
      <c r="BK1362">
        <v>8</v>
      </c>
      <c r="BL1362">
        <v>8</v>
      </c>
      <c r="BM1362">
        <v>8</v>
      </c>
      <c r="BN1362">
        <v>8</v>
      </c>
      <c r="BO1362">
        <v>8</v>
      </c>
      <c r="BP1362">
        <v>0</v>
      </c>
      <c r="BQ1362" t="str">
        <f>"8:00 AM"</f>
        <v>8:00 AM</v>
      </c>
      <c r="BR1362" t="str">
        <f>"5:00 PM"</f>
        <v>5:00 PM</v>
      </c>
      <c r="BS1362" t="s">
        <v>131</v>
      </c>
      <c r="BT1362">
        <v>0</v>
      </c>
      <c r="BU1362">
        <v>0</v>
      </c>
      <c r="BV1362" t="s">
        <v>114</v>
      </c>
      <c r="BX1362" t="s">
        <v>946</v>
      </c>
      <c r="BY1362" t="s">
        <v>4351</v>
      </c>
      <c r="CA1362" t="s">
        <v>4353</v>
      </c>
      <c r="CB1362" t="s">
        <v>140</v>
      </c>
      <c r="CC1362" s="8" t="str">
        <f>"33598"</f>
        <v>33598</v>
      </c>
      <c r="CD1362" t="s">
        <v>781</v>
      </c>
      <c r="CE1362" t="s">
        <v>467</v>
      </c>
      <c r="CF1362" s="12">
        <v>16.29</v>
      </c>
      <c r="CG1362" s="12">
        <v>16.29</v>
      </c>
      <c r="CH1362" s="12">
        <v>0</v>
      </c>
      <c r="CI1362" s="12">
        <v>0</v>
      </c>
      <c r="CJ1362" t="s">
        <v>135</v>
      </c>
      <c r="CK1362" t="s">
        <v>342</v>
      </c>
      <c r="CL1362" t="s">
        <v>4356</v>
      </c>
      <c r="CO1362" t="s">
        <v>132</v>
      </c>
      <c r="CP1362" t="s">
        <v>114</v>
      </c>
      <c r="CQ1362" t="s">
        <v>136</v>
      </c>
      <c r="CR1362" t="s">
        <v>114</v>
      </c>
      <c r="CS1362" t="s">
        <v>136</v>
      </c>
      <c r="CT1362" t="s">
        <v>136</v>
      </c>
      <c r="CU1362" t="s">
        <v>136</v>
      </c>
      <c r="CV1362" t="s">
        <v>4357</v>
      </c>
      <c r="CW1362" s="10" t="str">
        <f>"+18133407395"</f>
        <v>+18133407395</v>
      </c>
      <c r="CX1362" t="s">
        <v>4355</v>
      </c>
      <c r="CY1362" t="s">
        <v>132</v>
      </c>
      <c r="CZ1362" t="s">
        <v>137</v>
      </c>
      <c r="DA1362" t="s">
        <v>114</v>
      </c>
      <c r="DB1362" t="s">
        <v>136</v>
      </c>
      <c r="DC1362" t="s">
        <v>136</v>
      </c>
      <c r="DD1362" t="s">
        <v>114</v>
      </c>
    </row>
    <row r="1363" spans="1:108" ht="15" customHeight="1" x14ac:dyDescent="0.25">
      <c r="A1363" t="s">
        <v>20484</v>
      </c>
      <c r="B1363" t="s">
        <v>152</v>
      </c>
      <c r="C1363" s="1">
        <v>45156.41334363426</v>
      </c>
      <c r="D1363" s="1">
        <v>45217</v>
      </c>
      <c r="E1363" t="s">
        <v>114</v>
      </c>
      <c r="F1363" t="s">
        <v>449</v>
      </c>
      <c r="G1363" t="str">
        <f>"37-2012.00"</f>
        <v>37-2012.00</v>
      </c>
      <c r="H1363" t="s">
        <v>205</v>
      </c>
      <c r="I1363">
        <v>30</v>
      </c>
      <c r="J1363">
        <v>30</v>
      </c>
      <c r="K1363" s="1">
        <v>45246</v>
      </c>
      <c r="L1363" s="1">
        <v>45550</v>
      </c>
      <c r="M1363" s="1">
        <v>45246</v>
      </c>
      <c r="N1363" s="1">
        <v>45550</v>
      </c>
      <c r="O1363" t="s">
        <v>116</v>
      </c>
      <c r="P1363" t="s">
        <v>3521</v>
      </c>
      <c r="R1363" t="s">
        <v>3522</v>
      </c>
      <c r="T1363" t="s">
        <v>3523</v>
      </c>
      <c r="U1363" t="s">
        <v>127</v>
      </c>
      <c r="V1363" s="8" t="str">
        <f>"78620"</f>
        <v>78620</v>
      </c>
      <c r="W1363" t="s">
        <v>118</v>
      </c>
      <c r="Y1363" s="10">
        <v>15124781888</v>
      </c>
      <c r="AA1363">
        <v>561720</v>
      </c>
      <c r="AB1363" t="s">
        <v>3581</v>
      </c>
      <c r="AC1363" t="s">
        <v>1348</v>
      </c>
      <c r="AE1363" t="s">
        <v>20485</v>
      </c>
      <c r="AF1363" t="s">
        <v>3522</v>
      </c>
      <c r="AH1363" t="s">
        <v>3523</v>
      </c>
      <c r="AI1363" t="s">
        <v>127</v>
      </c>
      <c r="AJ1363" s="8" t="str">
        <f>"78620"</f>
        <v>78620</v>
      </c>
      <c r="AK1363" t="s">
        <v>118</v>
      </c>
      <c r="AM1363" s="10">
        <v>15124781888</v>
      </c>
      <c r="AO1363" t="s">
        <v>18070</v>
      </c>
      <c r="AP1363" t="s">
        <v>248</v>
      </c>
      <c r="AQ1363" t="s">
        <v>960</v>
      </c>
      <c r="AR1363" t="s">
        <v>961</v>
      </c>
      <c r="AS1363" t="s">
        <v>962</v>
      </c>
      <c r="AT1363" t="s">
        <v>963</v>
      </c>
      <c r="AU1363" t="s">
        <v>296</v>
      </c>
      <c r="AV1363" t="s">
        <v>964</v>
      </c>
      <c r="AW1363" t="s">
        <v>127</v>
      </c>
      <c r="AX1363" s="8" t="str">
        <f>"75033"</f>
        <v>75033</v>
      </c>
      <c r="AY1363" t="s">
        <v>118</v>
      </c>
      <c r="BA1363" s="10">
        <v>19727789690</v>
      </c>
      <c r="BC1363" t="s">
        <v>1919</v>
      </c>
      <c r="BD1363" t="s">
        <v>966</v>
      </c>
      <c r="BG1363" t="s">
        <v>967</v>
      </c>
      <c r="BH1363" s="1">
        <v>45155.833333333336</v>
      </c>
      <c r="BI1363">
        <v>40</v>
      </c>
      <c r="BJ1363">
        <v>8</v>
      </c>
      <c r="BK1363">
        <v>0</v>
      </c>
      <c r="BL1363">
        <v>0</v>
      </c>
      <c r="BM1363">
        <v>8</v>
      </c>
      <c r="BN1363">
        <v>8</v>
      </c>
      <c r="BO1363">
        <v>8</v>
      </c>
      <c r="BP1363">
        <v>8</v>
      </c>
      <c r="BQ1363" t="str">
        <f>"9:00 AM"</f>
        <v>9:00 AM</v>
      </c>
      <c r="BR1363" t="str">
        <f>"5:30 PM"</f>
        <v>5:30 PM</v>
      </c>
      <c r="BS1363" t="s">
        <v>131</v>
      </c>
      <c r="BT1363">
        <v>0</v>
      </c>
      <c r="BU1363">
        <v>0</v>
      </c>
      <c r="BV1363" t="s">
        <v>114</v>
      </c>
      <c r="BX1363" s="2" t="s">
        <v>20486</v>
      </c>
      <c r="BY1363" t="s">
        <v>20487</v>
      </c>
      <c r="CA1363" t="s">
        <v>20488</v>
      </c>
      <c r="CB1363" t="s">
        <v>967</v>
      </c>
      <c r="CC1363" s="8" t="str">
        <f>"89449"</f>
        <v>89449</v>
      </c>
      <c r="CD1363" t="s">
        <v>971</v>
      </c>
      <c r="CE1363" t="s">
        <v>972</v>
      </c>
      <c r="CF1363" s="12">
        <v>15</v>
      </c>
      <c r="CG1363" s="12">
        <v>18</v>
      </c>
      <c r="CH1363" s="12">
        <v>22.5</v>
      </c>
      <c r="CI1363" s="12">
        <v>27</v>
      </c>
      <c r="CJ1363" t="s">
        <v>135</v>
      </c>
      <c r="CK1363" t="s">
        <v>20489</v>
      </c>
      <c r="CL1363" t="s">
        <v>20490</v>
      </c>
      <c r="CO1363" t="s">
        <v>132</v>
      </c>
      <c r="CP1363" t="s">
        <v>136</v>
      </c>
      <c r="CQ1363" t="s">
        <v>114</v>
      </c>
      <c r="CR1363" t="s">
        <v>136</v>
      </c>
      <c r="CS1363" t="s">
        <v>136</v>
      </c>
      <c r="CT1363" t="s">
        <v>136</v>
      </c>
      <c r="CU1363" t="s">
        <v>136</v>
      </c>
      <c r="CV1363" s="2" t="s">
        <v>20491</v>
      </c>
      <c r="CW1363" s="10" t="str">
        <f>"+15124781888"</f>
        <v>+15124781888</v>
      </c>
      <c r="CX1363" t="s">
        <v>132</v>
      </c>
      <c r="CY1363" t="s">
        <v>20492</v>
      </c>
      <c r="CZ1363" t="s">
        <v>137</v>
      </c>
      <c r="DA1363" t="s">
        <v>114</v>
      </c>
      <c r="DB1363" t="s">
        <v>114</v>
      </c>
      <c r="DC1363" t="s">
        <v>136</v>
      </c>
      <c r="DD1363" t="s">
        <v>114</v>
      </c>
    </row>
    <row r="1364" spans="1:108" ht="15" customHeight="1" x14ac:dyDescent="0.25">
      <c r="A1364" t="s">
        <v>17211</v>
      </c>
      <c r="B1364" t="s">
        <v>152</v>
      </c>
      <c r="C1364" s="1">
        <v>45156.402978240738</v>
      </c>
      <c r="D1364" s="1">
        <v>45217</v>
      </c>
      <c r="E1364" t="s">
        <v>136</v>
      </c>
      <c r="F1364" t="s">
        <v>17212</v>
      </c>
      <c r="G1364" t="str">
        <f>"37-2011.00"</f>
        <v>37-2011.00</v>
      </c>
      <c r="H1364" t="s">
        <v>1089</v>
      </c>
      <c r="I1364">
        <v>6</v>
      </c>
      <c r="J1364">
        <v>6</v>
      </c>
      <c r="K1364" s="1">
        <v>45240</v>
      </c>
      <c r="L1364" s="1">
        <v>45412</v>
      </c>
      <c r="M1364" s="1">
        <v>45240</v>
      </c>
      <c r="N1364" s="1">
        <v>45412</v>
      </c>
      <c r="O1364" t="s">
        <v>116</v>
      </c>
      <c r="P1364" t="s">
        <v>4391</v>
      </c>
      <c r="Q1364" t="s">
        <v>4392</v>
      </c>
      <c r="R1364" t="s">
        <v>4393</v>
      </c>
      <c r="T1364" t="s">
        <v>4394</v>
      </c>
      <c r="U1364" t="s">
        <v>903</v>
      </c>
      <c r="V1364" s="8" t="str">
        <f>"04947"</f>
        <v>04947</v>
      </c>
      <c r="W1364" t="s">
        <v>118</v>
      </c>
      <c r="Y1364" s="10">
        <v>12072377000</v>
      </c>
      <c r="AA1364">
        <v>721110</v>
      </c>
      <c r="AB1364" t="s">
        <v>4395</v>
      </c>
      <c r="AC1364" t="s">
        <v>4396</v>
      </c>
      <c r="AE1364" t="s">
        <v>1104</v>
      </c>
      <c r="AF1364" t="s">
        <v>4397</v>
      </c>
      <c r="AH1364" t="s">
        <v>4394</v>
      </c>
      <c r="AI1364" t="s">
        <v>903</v>
      </c>
      <c r="AJ1364" s="8" t="str">
        <f>"04947"</f>
        <v>04947</v>
      </c>
      <c r="AK1364" t="s">
        <v>118</v>
      </c>
      <c r="AM1364" s="10">
        <v>12072376932</v>
      </c>
      <c r="AO1364" t="s">
        <v>4398</v>
      </c>
      <c r="AP1364" t="s">
        <v>121</v>
      </c>
      <c r="AQ1364" t="s">
        <v>1192</v>
      </c>
      <c r="AR1364" t="s">
        <v>1193</v>
      </c>
      <c r="AS1364" t="s">
        <v>1194</v>
      </c>
      <c r="AT1364" t="s">
        <v>1195</v>
      </c>
      <c r="AU1364" t="s">
        <v>1196</v>
      </c>
      <c r="AV1364" t="s">
        <v>1197</v>
      </c>
      <c r="AW1364" t="s">
        <v>140</v>
      </c>
      <c r="AX1364" s="8" t="str">
        <f>"33316"</f>
        <v>33316</v>
      </c>
      <c r="AY1364" t="s">
        <v>118</v>
      </c>
      <c r="BA1364" s="10">
        <v>15613228604</v>
      </c>
      <c r="BC1364" t="s">
        <v>1198</v>
      </c>
      <c r="BD1364" t="s">
        <v>1199</v>
      </c>
      <c r="BE1364" t="s">
        <v>402</v>
      </c>
      <c r="BF1364" t="s">
        <v>4399</v>
      </c>
      <c r="BG1364" t="s">
        <v>903</v>
      </c>
      <c r="BH1364" s="1">
        <v>45155.833333333336</v>
      </c>
      <c r="BI1364">
        <v>35</v>
      </c>
      <c r="BJ1364">
        <v>7</v>
      </c>
      <c r="BK1364">
        <v>7</v>
      </c>
      <c r="BL1364">
        <v>0</v>
      </c>
      <c r="BM1364">
        <v>0</v>
      </c>
      <c r="BN1364">
        <v>7</v>
      </c>
      <c r="BO1364">
        <v>7</v>
      </c>
      <c r="BP1364">
        <v>7</v>
      </c>
      <c r="BQ1364" t="str">
        <f>"7:00 AM"</f>
        <v>7:00 AM</v>
      </c>
      <c r="BR1364" t="str">
        <f>"5:00 PM"</f>
        <v>5:00 PM</v>
      </c>
      <c r="BS1364" t="s">
        <v>131</v>
      </c>
      <c r="BT1364">
        <v>0</v>
      </c>
      <c r="BU1364">
        <v>3</v>
      </c>
      <c r="BV1364" t="s">
        <v>114</v>
      </c>
      <c r="BX1364" s="2" t="s">
        <v>17213</v>
      </c>
      <c r="BY1364" t="s">
        <v>4393</v>
      </c>
      <c r="CA1364" t="s">
        <v>4394</v>
      </c>
      <c r="CB1364" t="s">
        <v>903</v>
      </c>
      <c r="CC1364" s="8" t="str">
        <f>"04947"</f>
        <v>04947</v>
      </c>
      <c r="CD1364" t="s">
        <v>4401</v>
      </c>
      <c r="CE1364" t="s">
        <v>2185</v>
      </c>
      <c r="CF1364" s="12">
        <v>16.440000000000001</v>
      </c>
      <c r="CG1364" s="12">
        <v>16.440000000000001</v>
      </c>
      <c r="CH1364" s="12">
        <v>24.66</v>
      </c>
      <c r="CI1364" s="12">
        <v>24.66</v>
      </c>
      <c r="CJ1364" t="s">
        <v>135</v>
      </c>
      <c r="CL1364" t="s">
        <v>17214</v>
      </c>
      <c r="CO1364" t="s">
        <v>132</v>
      </c>
      <c r="CP1364" t="s">
        <v>114</v>
      </c>
      <c r="CQ1364" t="s">
        <v>136</v>
      </c>
      <c r="CR1364" t="s">
        <v>136</v>
      </c>
      <c r="CS1364" t="s">
        <v>136</v>
      </c>
      <c r="CT1364" t="s">
        <v>136</v>
      </c>
      <c r="CU1364" t="s">
        <v>136</v>
      </c>
      <c r="CV1364" s="2" t="s">
        <v>17215</v>
      </c>
      <c r="CW1364" s="10" t="str">
        <f>"+12072376932"</f>
        <v>+12072376932</v>
      </c>
      <c r="CX1364" t="s">
        <v>4404</v>
      </c>
      <c r="CY1364" t="s">
        <v>132</v>
      </c>
      <c r="CZ1364" t="s">
        <v>137</v>
      </c>
      <c r="DA1364" t="s">
        <v>114</v>
      </c>
      <c r="DB1364" t="s">
        <v>114</v>
      </c>
      <c r="DC1364" t="s">
        <v>136</v>
      </c>
      <c r="DD1364" t="s">
        <v>114</v>
      </c>
    </row>
    <row r="1365" spans="1:108" ht="15" customHeight="1" x14ac:dyDescent="0.25">
      <c r="A1365" t="s">
        <v>19723</v>
      </c>
      <c r="B1365" t="s">
        <v>152</v>
      </c>
      <c r="C1365" s="1">
        <v>45155.669996875004</v>
      </c>
      <c r="D1365" s="1">
        <v>45217</v>
      </c>
      <c r="E1365" t="s">
        <v>114</v>
      </c>
      <c r="F1365" t="s">
        <v>4218</v>
      </c>
      <c r="G1365" t="str">
        <f>"49-9098.00"</f>
        <v>49-9098.00</v>
      </c>
      <c r="H1365" t="s">
        <v>945</v>
      </c>
      <c r="I1365">
        <v>3</v>
      </c>
      <c r="J1365">
        <v>3</v>
      </c>
      <c r="K1365" s="1">
        <v>45245</v>
      </c>
      <c r="L1365" s="1">
        <v>45397</v>
      </c>
      <c r="M1365" s="1">
        <v>45245</v>
      </c>
      <c r="N1365" s="1">
        <v>45397</v>
      </c>
      <c r="O1365" t="s">
        <v>238</v>
      </c>
      <c r="P1365" t="s">
        <v>14770</v>
      </c>
      <c r="R1365" t="s">
        <v>14774</v>
      </c>
      <c r="S1365" t="s">
        <v>19724</v>
      </c>
      <c r="T1365" t="s">
        <v>12237</v>
      </c>
      <c r="U1365" t="s">
        <v>434</v>
      </c>
      <c r="V1365" s="8" t="str">
        <f>"18428"</f>
        <v>18428</v>
      </c>
      <c r="W1365" t="s">
        <v>118</v>
      </c>
      <c r="Y1365" s="10">
        <v>15708406476</v>
      </c>
      <c r="AA1365">
        <v>72233</v>
      </c>
      <c r="AB1365" t="s">
        <v>12667</v>
      </c>
      <c r="AC1365" t="s">
        <v>14772</v>
      </c>
      <c r="AE1365" t="s">
        <v>629</v>
      </c>
      <c r="AF1365" t="s">
        <v>14771</v>
      </c>
      <c r="AH1365" t="s">
        <v>12237</v>
      </c>
      <c r="AI1365" t="s">
        <v>434</v>
      </c>
      <c r="AJ1365" s="8" t="str">
        <f>"18428"</f>
        <v>18428</v>
      </c>
      <c r="AK1365" t="s">
        <v>118</v>
      </c>
      <c r="AM1365" s="10">
        <v>15708406476</v>
      </c>
      <c r="AO1365" t="s">
        <v>14773</v>
      </c>
      <c r="AP1365" t="s">
        <v>121</v>
      </c>
      <c r="AQ1365" t="s">
        <v>1718</v>
      </c>
      <c r="AR1365" t="s">
        <v>708</v>
      </c>
      <c r="AS1365" t="s">
        <v>1719</v>
      </c>
      <c r="AT1365" t="s">
        <v>1720</v>
      </c>
      <c r="AU1365" t="s">
        <v>799</v>
      </c>
      <c r="AV1365" t="s">
        <v>1721</v>
      </c>
      <c r="AW1365" t="s">
        <v>1722</v>
      </c>
      <c r="AX1365" s="8" t="str">
        <f>"21401"</f>
        <v>21401</v>
      </c>
      <c r="AY1365" t="s">
        <v>118</v>
      </c>
      <c r="BA1365" s="10">
        <v>14105739955</v>
      </c>
      <c r="BB1365">
        <v>0</v>
      </c>
      <c r="BC1365" t="s">
        <v>1723</v>
      </c>
      <c r="BD1365" t="s">
        <v>1724</v>
      </c>
      <c r="BE1365" t="s">
        <v>1722</v>
      </c>
      <c r="BF1365" t="s">
        <v>1990</v>
      </c>
      <c r="BG1365" t="s">
        <v>434</v>
      </c>
      <c r="BH1365" s="1">
        <v>45154.833333333336</v>
      </c>
      <c r="BI1365">
        <v>35</v>
      </c>
      <c r="BJ1365">
        <v>0</v>
      </c>
      <c r="BK1365">
        <v>7</v>
      </c>
      <c r="BL1365">
        <v>7</v>
      </c>
      <c r="BM1365">
        <v>7</v>
      </c>
      <c r="BN1365">
        <v>7</v>
      </c>
      <c r="BO1365">
        <v>7</v>
      </c>
      <c r="BP1365">
        <v>0</v>
      </c>
      <c r="BQ1365" t="str">
        <f>"8:00 AM"</f>
        <v>8:00 AM</v>
      </c>
      <c r="BR1365" t="str">
        <f>"5:00 PM"</f>
        <v>5:00 PM</v>
      </c>
      <c r="BS1365" t="s">
        <v>131</v>
      </c>
      <c r="BT1365">
        <v>0</v>
      </c>
      <c r="BU1365">
        <v>0</v>
      </c>
      <c r="BV1365" t="s">
        <v>114</v>
      </c>
      <c r="BX1365" s="2" t="s">
        <v>4319</v>
      </c>
      <c r="BY1365" t="s">
        <v>14774</v>
      </c>
      <c r="CA1365" t="s">
        <v>12237</v>
      </c>
      <c r="CB1365" t="s">
        <v>434</v>
      </c>
      <c r="CC1365" s="8" t="str">
        <f>"18428"</f>
        <v>18428</v>
      </c>
      <c r="CD1365" t="s">
        <v>1735</v>
      </c>
      <c r="CE1365" t="s">
        <v>4887</v>
      </c>
      <c r="CF1365" s="12">
        <v>14.79</v>
      </c>
      <c r="CG1365" s="12">
        <v>14.79</v>
      </c>
      <c r="CJ1365" t="s">
        <v>135</v>
      </c>
      <c r="CK1365" t="s">
        <v>19725</v>
      </c>
      <c r="CL1365" t="s">
        <v>19726</v>
      </c>
      <c r="CO1365" t="s">
        <v>132</v>
      </c>
      <c r="CP1365" t="s">
        <v>114</v>
      </c>
      <c r="CQ1365" t="s">
        <v>114</v>
      </c>
      <c r="CR1365" t="s">
        <v>114</v>
      </c>
      <c r="CS1365" t="s">
        <v>114</v>
      </c>
      <c r="CT1365" t="s">
        <v>136</v>
      </c>
      <c r="CU1365" t="s">
        <v>136</v>
      </c>
      <c r="CV1365" s="2" t="s">
        <v>4324</v>
      </c>
      <c r="CW1365" s="10" t="str">
        <f>"+15708406476"</f>
        <v>+15708406476</v>
      </c>
      <c r="CX1365" t="s">
        <v>14773</v>
      </c>
      <c r="CY1365" t="s">
        <v>132</v>
      </c>
      <c r="CZ1365" t="s">
        <v>137</v>
      </c>
      <c r="DA1365" t="s">
        <v>114</v>
      </c>
      <c r="DB1365" t="s">
        <v>114</v>
      </c>
      <c r="DC1365" t="s">
        <v>136</v>
      </c>
      <c r="DD1365" t="s">
        <v>114</v>
      </c>
    </row>
    <row r="1366" spans="1:108" ht="15" customHeight="1" x14ac:dyDescent="0.25">
      <c r="A1366" t="s">
        <v>4313</v>
      </c>
      <c r="B1366" t="s">
        <v>152</v>
      </c>
      <c r="C1366" s="1">
        <v>45155.655072222224</v>
      </c>
      <c r="D1366" s="1">
        <v>45217</v>
      </c>
      <c r="E1366" t="s">
        <v>114</v>
      </c>
      <c r="F1366" t="s">
        <v>4218</v>
      </c>
      <c r="G1366" t="str">
        <f>"49-9098.00"</f>
        <v>49-9098.00</v>
      </c>
      <c r="H1366" t="s">
        <v>945</v>
      </c>
      <c r="I1366">
        <v>8</v>
      </c>
      <c r="J1366">
        <v>8</v>
      </c>
      <c r="K1366" s="1">
        <v>45245</v>
      </c>
      <c r="L1366" s="1">
        <v>45397</v>
      </c>
      <c r="M1366" s="1">
        <v>45245</v>
      </c>
      <c r="N1366" s="1">
        <v>45397</v>
      </c>
      <c r="O1366" t="s">
        <v>238</v>
      </c>
      <c r="P1366" t="s">
        <v>4314</v>
      </c>
      <c r="R1366" t="s">
        <v>4315</v>
      </c>
      <c r="T1366" t="s">
        <v>3494</v>
      </c>
      <c r="U1366" t="s">
        <v>188</v>
      </c>
      <c r="V1366" s="8" t="str">
        <f>"80754"</f>
        <v>80754</v>
      </c>
      <c r="W1366" t="s">
        <v>118</v>
      </c>
      <c r="Y1366" s="10">
        <v>19702312307</v>
      </c>
      <c r="Z1366">
        <v>0</v>
      </c>
      <c r="AA1366">
        <v>71399</v>
      </c>
      <c r="AB1366" t="s">
        <v>4316</v>
      </c>
      <c r="AC1366" t="s">
        <v>746</v>
      </c>
      <c r="AE1366" t="s">
        <v>378</v>
      </c>
      <c r="AF1366" t="s">
        <v>4317</v>
      </c>
      <c r="AH1366" t="s">
        <v>3494</v>
      </c>
      <c r="AI1366" t="s">
        <v>188</v>
      </c>
      <c r="AJ1366" s="8" t="str">
        <f>"80754"</f>
        <v>80754</v>
      </c>
      <c r="AK1366" t="s">
        <v>118</v>
      </c>
      <c r="AM1366" s="10">
        <v>19702312307</v>
      </c>
      <c r="AN1366">
        <v>0</v>
      </c>
      <c r="AO1366" t="s">
        <v>4318</v>
      </c>
      <c r="AP1366" t="s">
        <v>121</v>
      </c>
      <c r="AQ1366" t="s">
        <v>1718</v>
      </c>
      <c r="AR1366" t="s">
        <v>708</v>
      </c>
      <c r="AS1366" t="s">
        <v>1719</v>
      </c>
      <c r="AT1366" t="s">
        <v>1720</v>
      </c>
      <c r="AU1366" t="s">
        <v>799</v>
      </c>
      <c r="AV1366" t="s">
        <v>1721</v>
      </c>
      <c r="AW1366" t="s">
        <v>1722</v>
      </c>
      <c r="AX1366" s="8" t="str">
        <f>"21401"</f>
        <v>21401</v>
      </c>
      <c r="AY1366" t="s">
        <v>118</v>
      </c>
      <c r="BA1366" s="10">
        <v>14105739955</v>
      </c>
      <c r="BB1366">
        <v>0</v>
      </c>
      <c r="BC1366" t="s">
        <v>1723</v>
      </c>
      <c r="BD1366" t="s">
        <v>1724</v>
      </c>
      <c r="BE1366" t="s">
        <v>1722</v>
      </c>
      <c r="BF1366" t="s">
        <v>1725</v>
      </c>
      <c r="BG1366" t="s">
        <v>188</v>
      </c>
      <c r="BH1366" s="1">
        <v>45154.833333333336</v>
      </c>
      <c r="BI1366">
        <v>35</v>
      </c>
      <c r="BJ1366">
        <v>0</v>
      </c>
      <c r="BK1366">
        <v>7</v>
      </c>
      <c r="BL1366">
        <v>7</v>
      </c>
      <c r="BM1366">
        <v>7</v>
      </c>
      <c r="BN1366">
        <v>7</v>
      </c>
      <c r="BO1366">
        <v>7</v>
      </c>
      <c r="BP1366">
        <v>0</v>
      </c>
      <c r="BQ1366" t="str">
        <f>"8:00 AM"</f>
        <v>8:00 AM</v>
      </c>
      <c r="BR1366" t="str">
        <f>"5:00 PM"</f>
        <v>5:00 PM</v>
      </c>
      <c r="BS1366" t="s">
        <v>131</v>
      </c>
      <c r="BT1366">
        <v>0</v>
      </c>
      <c r="BU1366">
        <v>0</v>
      </c>
      <c r="BV1366" t="s">
        <v>114</v>
      </c>
      <c r="BX1366" s="2" t="s">
        <v>4319</v>
      </c>
      <c r="BY1366" t="s">
        <v>4320</v>
      </c>
      <c r="CA1366" t="s">
        <v>3494</v>
      </c>
      <c r="CB1366" t="s">
        <v>188</v>
      </c>
      <c r="CC1366" s="8" t="str">
        <f>"80751"</f>
        <v>80751</v>
      </c>
      <c r="CD1366" t="s">
        <v>4321</v>
      </c>
      <c r="CE1366" t="s">
        <v>4322</v>
      </c>
      <c r="CF1366" s="12">
        <v>18.36</v>
      </c>
      <c r="CG1366" s="12">
        <v>18.36</v>
      </c>
      <c r="CJ1366" t="s">
        <v>135</v>
      </c>
      <c r="CK1366" t="s">
        <v>1731</v>
      </c>
      <c r="CL1366" t="s">
        <v>4323</v>
      </c>
      <c r="CO1366" t="s">
        <v>132</v>
      </c>
      <c r="CP1366" t="s">
        <v>114</v>
      </c>
      <c r="CQ1366" t="s">
        <v>114</v>
      </c>
      <c r="CR1366" t="s">
        <v>114</v>
      </c>
      <c r="CS1366" t="s">
        <v>114</v>
      </c>
      <c r="CT1366" t="s">
        <v>136</v>
      </c>
      <c r="CU1366" t="s">
        <v>136</v>
      </c>
      <c r="CV1366" s="2" t="s">
        <v>4324</v>
      </c>
      <c r="CW1366" s="10" t="str">
        <f>"+19702312307"</f>
        <v>+19702312307</v>
      </c>
      <c r="CX1366" t="s">
        <v>4325</v>
      </c>
      <c r="CY1366" t="s">
        <v>132</v>
      </c>
      <c r="CZ1366" t="s">
        <v>137</v>
      </c>
      <c r="DA1366" t="s">
        <v>114</v>
      </c>
      <c r="DB1366" t="s">
        <v>114</v>
      </c>
      <c r="DC1366" t="s">
        <v>136</v>
      </c>
      <c r="DD1366" t="s">
        <v>114</v>
      </c>
    </row>
    <row r="1367" spans="1:108" ht="15" customHeight="1" x14ac:dyDescent="0.25">
      <c r="A1367" t="s">
        <v>8995</v>
      </c>
      <c r="B1367" t="s">
        <v>152</v>
      </c>
      <c r="C1367" s="1">
        <v>45155.497373495367</v>
      </c>
      <c r="D1367" s="1">
        <v>45217</v>
      </c>
      <c r="E1367" t="s">
        <v>136</v>
      </c>
      <c r="F1367" t="s">
        <v>8996</v>
      </c>
      <c r="G1367" t="str">
        <f>"35-3031.00"</f>
        <v>35-3031.00</v>
      </c>
      <c r="H1367" t="s">
        <v>347</v>
      </c>
      <c r="I1367">
        <v>35</v>
      </c>
      <c r="J1367">
        <v>35</v>
      </c>
      <c r="K1367" s="1">
        <v>45231</v>
      </c>
      <c r="L1367" s="1">
        <v>45410</v>
      </c>
      <c r="M1367" s="1">
        <v>45231</v>
      </c>
      <c r="N1367" s="1">
        <v>45410</v>
      </c>
      <c r="O1367" t="s">
        <v>116</v>
      </c>
      <c r="P1367" t="s">
        <v>8997</v>
      </c>
      <c r="Q1367" t="s">
        <v>8998</v>
      </c>
      <c r="R1367" t="s">
        <v>8999</v>
      </c>
      <c r="T1367" t="s">
        <v>9000</v>
      </c>
      <c r="U1367" t="s">
        <v>211</v>
      </c>
      <c r="V1367" s="8" t="str">
        <f>"84092"</f>
        <v>84092</v>
      </c>
      <c r="W1367" t="s">
        <v>118</v>
      </c>
      <c r="Y1367" s="10">
        <v>18019478240</v>
      </c>
      <c r="AA1367">
        <v>721110</v>
      </c>
      <c r="AB1367" t="s">
        <v>9001</v>
      </c>
      <c r="AC1367" t="s">
        <v>9002</v>
      </c>
      <c r="AE1367" t="s">
        <v>9003</v>
      </c>
      <c r="AF1367" t="s">
        <v>8999</v>
      </c>
      <c r="AH1367" t="s">
        <v>9000</v>
      </c>
      <c r="AI1367" t="s">
        <v>211</v>
      </c>
      <c r="AJ1367" s="8" t="str">
        <f>"84092"</f>
        <v>84092</v>
      </c>
      <c r="AK1367" t="s">
        <v>118</v>
      </c>
      <c r="AM1367" s="10">
        <v>18019478240</v>
      </c>
      <c r="AO1367" t="s">
        <v>9004</v>
      </c>
      <c r="AP1367" t="s">
        <v>121</v>
      </c>
      <c r="AQ1367" t="s">
        <v>276</v>
      </c>
      <c r="AR1367" t="s">
        <v>277</v>
      </c>
      <c r="AS1367" t="s">
        <v>278</v>
      </c>
      <c r="AT1367" t="s">
        <v>279</v>
      </c>
      <c r="AU1367" t="s">
        <v>280</v>
      </c>
      <c r="AV1367" t="s">
        <v>281</v>
      </c>
      <c r="AW1367" t="s">
        <v>222</v>
      </c>
      <c r="AX1367" s="8" t="str">
        <f>"01701"</f>
        <v>01701</v>
      </c>
      <c r="AY1367" t="s">
        <v>118</v>
      </c>
      <c r="BA1367" s="10">
        <v>16179399444</v>
      </c>
      <c r="BC1367" t="s">
        <v>282</v>
      </c>
      <c r="BD1367" t="s">
        <v>283</v>
      </c>
      <c r="BE1367" t="s">
        <v>222</v>
      </c>
      <c r="BF1367" t="s">
        <v>284</v>
      </c>
      <c r="BG1367" t="s">
        <v>211</v>
      </c>
      <c r="BH1367" s="1">
        <v>45154.833333333336</v>
      </c>
      <c r="BI1367">
        <v>35</v>
      </c>
      <c r="BJ1367">
        <v>0</v>
      </c>
      <c r="BK1367">
        <v>7</v>
      </c>
      <c r="BL1367">
        <v>7</v>
      </c>
      <c r="BM1367">
        <v>7</v>
      </c>
      <c r="BN1367">
        <v>7</v>
      </c>
      <c r="BO1367">
        <v>7</v>
      </c>
      <c r="BP1367">
        <v>0</v>
      </c>
      <c r="BQ1367" t="str">
        <f>"6:00 AM"</f>
        <v>6:00 AM</v>
      </c>
      <c r="BR1367" t="str">
        <f>"1:00 PM"</f>
        <v>1:00 PM</v>
      </c>
      <c r="BS1367" t="s">
        <v>131</v>
      </c>
      <c r="BT1367">
        <v>0</v>
      </c>
      <c r="BU1367">
        <v>0</v>
      </c>
      <c r="BV1367" t="s">
        <v>114</v>
      </c>
      <c r="BX1367" t="s">
        <v>132</v>
      </c>
      <c r="BY1367" t="s">
        <v>8999</v>
      </c>
      <c r="CA1367" t="s">
        <v>9000</v>
      </c>
      <c r="CB1367" t="s">
        <v>211</v>
      </c>
      <c r="CC1367" s="8" t="str">
        <f>"84092"</f>
        <v>84092</v>
      </c>
      <c r="CD1367" t="s">
        <v>1567</v>
      </c>
      <c r="CE1367" t="s">
        <v>1568</v>
      </c>
      <c r="CF1367" s="12">
        <v>17.8</v>
      </c>
      <c r="CH1367" s="12">
        <v>26.7</v>
      </c>
      <c r="CJ1367" t="s">
        <v>135</v>
      </c>
      <c r="CK1367" t="s">
        <v>9005</v>
      </c>
      <c r="CL1367" t="s">
        <v>9006</v>
      </c>
      <c r="CO1367" t="s">
        <v>132</v>
      </c>
      <c r="CP1367" t="s">
        <v>114</v>
      </c>
      <c r="CQ1367" t="s">
        <v>136</v>
      </c>
      <c r="CR1367" t="s">
        <v>136</v>
      </c>
      <c r="CS1367" t="s">
        <v>136</v>
      </c>
      <c r="CT1367" t="s">
        <v>136</v>
      </c>
      <c r="CU1367" t="s">
        <v>114</v>
      </c>
      <c r="CV1367" s="2" t="s">
        <v>9007</v>
      </c>
      <c r="CW1367" s="10" t="str">
        <f>"+18019478240"</f>
        <v>+18019478240</v>
      </c>
      <c r="CX1367" t="s">
        <v>9004</v>
      </c>
      <c r="CY1367" t="s">
        <v>132</v>
      </c>
      <c r="CZ1367" t="s">
        <v>137</v>
      </c>
      <c r="DA1367" t="s">
        <v>114</v>
      </c>
      <c r="DB1367" t="s">
        <v>114</v>
      </c>
      <c r="DC1367" t="s">
        <v>136</v>
      </c>
      <c r="DD1367" t="s">
        <v>114</v>
      </c>
    </row>
    <row r="1368" spans="1:108" ht="15" customHeight="1" x14ac:dyDescent="0.25">
      <c r="A1368" t="s">
        <v>23402</v>
      </c>
      <c r="B1368" t="s">
        <v>152</v>
      </c>
      <c r="C1368" s="1">
        <v>45155.419559722221</v>
      </c>
      <c r="D1368" s="1">
        <v>45217</v>
      </c>
      <c r="E1368" t="s">
        <v>136</v>
      </c>
      <c r="F1368" t="s">
        <v>5261</v>
      </c>
      <c r="G1368" t="str">
        <f>"35-3023.01"</f>
        <v>35-3023.01</v>
      </c>
      <c r="H1368" t="s">
        <v>1365</v>
      </c>
      <c r="I1368">
        <v>12</v>
      </c>
      <c r="J1368">
        <v>12</v>
      </c>
      <c r="K1368" s="1">
        <v>45245</v>
      </c>
      <c r="L1368" s="1">
        <v>45402</v>
      </c>
      <c r="M1368" s="1">
        <v>45245</v>
      </c>
      <c r="N1368" s="1">
        <v>45402</v>
      </c>
      <c r="O1368" t="s">
        <v>238</v>
      </c>
      <c r="P1368" t="s">
        <v>12979</v>
      </c>
      <c r="Q1368" t="s">
        <v>12980</v>
      </c>
      <c r="R1368" t="s">
        <v>12981</v>
      </c>
      <c r="S1368" t="s">
        <v>16867</v>
      </c>
      <c r="T1368" t="s">
        <v>891</v>
      </c>
      <c r="U1368" t="s">
        <v>892</v>
      </c>
      <c r="V1368" s="8" t="str">
        <f>"59716"</f>
        <v>59716</v>
      </c>
      <c r="W1368" t="s">
        <v>118</v>
      </c>
      <c r="Y1368" s="10">
        <v>14069957909</v>
      </c>
      <c r="AA1368">
        <v>721110</v>
      </c>
      <c r="AB1368" t="s">
        <v>12983</v>
      </c>
      <c r="AC1368" t="s">
        <v>7478</v>
      </c>
      <c r="AE1368" t="s">
        <v>12984</v>
      </c>
      <c r="AF1368" t="s">
        <v>12981</v>
      </c>
      <c r="AG1368" t="s">
        <v>16867</v>
      </c>
      <c r="AH1368" t="s">
        <v>891</v>
      </c>
      <c r="AI1368" t="s">
        <v>892</v>
      </c>
      <c r="AJ1368" s="8" t="str">
        <f>"59716"</f>
        <v>59716</v>
      </c>
      <c r="AK1368" t="s">
        <v>118</v>
      </c>
      <c r="AM1368" s="10">
        <v>14069957909</v>
      </c>
      <c r="AN1368">
        <v>1304</v>
      </c>
      <c r="AO1368" t="s">
        <v>12986</v>
      </c>
      <c r="AP1368" t="s">
        <v>121</v>
      </c>
      <c r="AQ1368" t="s">
        <v>276</v>
      </c>
      <c r="AR1368" t="s">
        <v>277</v>
      </c>
      <c r="AS1368" t="s">
        <v>278</v>
      </c>
      <c r="AT1368" t="s">
        <v>279</v>
      </c>
      <c r="AU1368" t="s">
        <v>280</v>
      </c>
      <c r="AV1368" t="s">
        <v>281</v>
      </c>
      <c r="AW1368" t="s">
        <v>222</v>
      </c>
      <c r="AX1368" s="8" t="str">
        <f>"01701"</f>
        <v>01701</v>
      </c>
      <c r="AY1368" t="s">
        <v>118</v>
      </c>
      <c r="BA1368" s="10">
        <v>16179399444</v>
      </c>
      <c r="BC1368" t="s">
        <v>282</v>
      </c>
      <c r="BD1368" t="s">
        <v>283</v>
      </c>
      <c r="BE1368" t="s">
        <v>222</v>
      </c>
      <c r="BF1368" t="s">
        <v>284</v>
      </c>
      <c r="BG1368" t="s">
        <v>892</v>
      </c>
      <c r="BH1368" s="1">
        <v>45154.833333333336</v>
      </c>
      <c r="BI1368">
        <v>40</v>
      </c>
      <c r="BJ1368">
        <v>0</v>
      </c>
      <c r="BK1368">
        <v>8</v>
      </c>
      <c r="BL1368">
        <v>8</v>
      </c>
      <c r="BM1368">
        <v>8</v>
      </c>
      <c r="BN1368">
        <v>8</v>
      </c>
      <c r="BO1368">
        <v>8</v>
      </c>
      <c r="BP1368">
        <v>0</v>
      </c>
      <c r="BQ1368" t="str">
        <f>"7:00 AM"</f>
        <v>7:00 AM</v>
      </c>
      <c r="BR1368" t="str">
        <f>"3:00 PM"</f>
        <v>3:00 PM</v>
      </c>
      <c r="BS1368" t="s">
        <v>131</v>
      </c>
      <c r="BT1368">
        <v>0</v>
      </c>
      <c r="BU1368">
        <v>3</v>
      </c>
      <c r="BV1368" t="s">
        <v>114</v>
      </c>
      <c r="BX1368" s="2" t="s">
        <v>23403</v>
      </c>
      <c r="BY1368" t="s">
        <v>12981</v>
      </c>
      <c r="CA1368" t="s">
        <v>891</v>
      </c>
      <c r="CB1368" t="s">
        <v>892</v>
      </c>
      <c r="CC1368" s="8" t="str">
        <f>"59716"</f>
        <v>59716</v>
      </c>
      <c r="CD1368" t="s">
        <v>908</v>
      </c>
      <c r="CE1368" t="s">
        <v>909</v>
      </c>
      <c r="CF1368" s="12">
        <v>17</v>
      </c>
      <c r="CG1368" s="12">
        <v>22</v>
      </c>
      <c r="CH1368" s="12">
        <v>25.5</v>
      </c>
      <c r="CI1368" s="12">
        <v>33</v>
      </c>
      <c r="CJ1368" t="s">
        <v>135</v>
      </c>
      <c r="CK1368" t="s">
        <v>21547</v>
      </c>
      <c r="CL1368" t="s">
        <v>23404</v>
      </c>
      <c r="CO1368" t="s">
        <v>132</v>
      </c>
      <c r="CP1368" t="s">
        <v>136</v>
      </c>
      <c r="CQ1368" t="s">
        <v>136</v>
      </c>
      <c r="CR1368" t="s">
        <v>136</v>
      </c>
      <c r="CS1368" t="s">
        <v>136</v>
      </c>
      <c r="CT1368" t="s">
        <v>136</v>
      </c>
      <c r="CU1368" t="s">
        <v>136</v>
      </c>
      <c r="CV1368" t="s">
        <v>17139</v>
      </c>
      <c r="CW1368" s="10" t="str">
        <f>"+14069957909"</f>
        <v>+14069957909</v>
      </c>
      <c r="CX1368" t="s">
        <v>12986</v>
      </c>
      <c r="CY1368" t="s">
        <v>132</v>
      </c>
      <c r="CZ1368" t="s">
        <v>137</v>
      </c>
      <c r="DA1368" t="s">
        <v>114</v>
      </c>
      <c r="DB1368" t="s">
        <v>136</v>
      </c>
      <c r="DC1368" t="s">
        <v>136</v>
      </c>
      <c r="DD1368" t="s">
        <v>114</v>
      </c>
    </row>
    <row r="1369" spans="1:108" ht="15" customHeight="1" x14ac:dyDescent="0.25">
      <c r="A1369" t="s">
        <v>20537</v>
      </c>
      <c r="B1369" t="s">
        <v>152</v>
      </c>
      <c r="C1369" s="1">
        <v>45155.41789409722</v>
      </c>
      <c r="D1369" s="1">
        <v>45217</v>
      </c>
      <c r="E1369" t="s">
        <v>136</v>
      </c>
      <c r="F1369" t="s">
        <v>2310</v>
      </c>
      <c r="G1369" t="str">
        <f>"35-2014.00"</f>
        <v>35-2014.00</v>
      </c>
      <c r="H1369" t="s">
        <v>154</v>
      </c>
      <c r="I1369">
        <v>60</v>
      </c>
      <c r="J1369">
        <v>60</v>
      </c>
      <c r="K1369" s="1">
        <v>45245</v>
      </c>
      <c r="L1369" s="1">
        <v>45402</v>
      </c>
      <c r="M1369" s="1">
        <v>45245</v>
      </c>
      <c r="N1369" s="1">
        <v>45402</v>
      </c>
      <c r="O1369" t="s">
        <v>238</v>
      </c>
      <c r="P1369" t="s">
        <v>12979</v>
      </c>
      <c r="Q1369" t="s">
        <v>12980</v>
      </c>
      <c r="R1369" t="s">
        <v>12981</v>
      </c>
      <c r="S1369" t="s">
        <v>12982</v>
      </c>
      <c r="T1369" t="s">
        <v>891</v>
      </c>
      <c r="U1369" t="s">
        <v>892</v>
      </c>
      <c r="V1369" s="8" t="str">
        <f>"59716"</f>
        <v>59716</v>
      </c>
      <c r="W1369" t="s">
        <v>118</v>
      </c>
      <c r="Y1369" s="10">
        <v>14069957909</v>
      </c>
      <c r="AA1369">
        <v>721110</v>
      </c>
      <c r="AB1369" t="s">
        <v>12983</v>
      </c>
      <c r="AC1369" t="s">
        <v>7478</v>
      </c>
      <c r="AE1369" t="s">
        <v>12984</v>
      </c>
      <c r="AF1369" t="s">
        <v>12981</v>
      </c>
      <c r="AG1369" t="s">
        <v>12982</v>
      </c>
      <c r="AH1369" t="s">
        <v>891</v>
      </c>
      <c r="AI1369" t="s">
        <v>892</v>
      </c>
      <c r="AJ1369" s="8" t="str">
        <f>"59716"</f>
        <v>59716</v>
      </c>
      <c r="AK1369" t="s">
        <v>118</v>
      </c>
      <c r="AM1369" s="10">
        <v>14069957909</v>
      </c>
      <c r="AN1369">
        <v>1304</v>
      </c>
      <c r="AO1369" t="s">
        <v>12986</v>
      </c>
      <c r="AP1369" t="s">
        <v>121</v>
      </c>
      <c r="AQ1369" t="s">
        <v>276</v>
      </c>
      <c r="AR1369" t="s">
        <v>277</v>
      </c>
      <c r="AS1369" t="s">
        <v>278</v>
      </c>
      <c r="AT1369" t="s">
        <v>279</v>
      </c>
      <c r="AU1369" t="s">
        <v>280</v>
      </c>
      <c r="AV1369" t="s">
        <v>281</v>
      </c>
      <c r="AW1369" t="s">
        <v>222</v>
      </c>
      <c r="AX1369" s="8" t="str">
        <f>"01701"</f>
        <v>01701</v>
      </c>
      <c r="AY1369" t="s">
        <v>118</v>
      </c>
      <c r="BA1369" s="10">
        <v>16179399444</v>
      </c>
      <c r="BC1369" t="s">
        <v>282</v>
      </c>
      <c r="BD1369" t="s">
        <v>283</v>
      </c>
      <c r="BE1369" t="s">
        <v>222</v>
      </c>
      <c r="BF1369" t="s">
        <v>284</v>
      </c>
      <c r="BG1369" t="s">
        <v>892</v>
      </c>
      <c r="BH1369" s="1">
        <v>45154.833333333336</v>
      </c>
      <c r="BI1369">
        <v>40</v>
      </c>
      <c r="BJ1369">
        <v>0</v>
      </c>
      <c r="BK1369">
        <v>8</v>
      </c>
      <c r="BL1369">
        <v>8</v>
      </c>
      <c r="BM1369">
        <v>8</v>
      </c>
      <c r="BN1369">
        <v>8</v>
      </c>
      <c r="BO1369">
        <v>8</v>
      </c>
      <c r="BP1369">
        <v>0</v>
      </c>
      <c r="BQ1369" t="str">
        <f>"7:00 AM"</f>
        <v>7:00 AM</v>
      </c>
      <c r="BR1369" t="str">
        <f>"3:00 PM"</f>
        <v>3:00 PM</v>
      </c>
      <c r="BS1369" t="s">
        <v>131</v>
      </c>
      <c r="BT1369">
        <v>0</v>
      </c>
      <c r="BU1369">
        <v>12</v>
      </c>
      <c r="BV1369" t="s">
        <v>114</v>
      </c>
      <c r="BX1369" s="2" t="s">
        <v>20538</v>
      </c>
      <c r="BY1369" t="s">
        <v>12981</v>
      </c>
      <c r="CA1369" t="s">
        <v>891</v>
      </c>
      <c r="CB1369" t="s">
        <v>892</v>
      </c>
      <c r="CC1369" s="8" t="str">
        <f>"59716"</f>
        <v>59716</v>
      </c>
      <c r="CD1369" t="s">
        <v>908</v>
      </c>
      <c r="CE1369" t="s">
        <v>909</v>
      </c>
      <c r="CF1369" s="12">
        <v>25</v>
      </c>
      <c r="CG1369" s="12">
        <v>30</v>
      </c>
      <c r="CH1369" s="12">
        <v>37.5</v>
      </c>
      <c r="CI1369" s="12">
        <v>45</v>
      </c>
      <c r="CJ1369" t="s">
        <v>135</v>
      </c>
      <c r="CK1369" t="s">
        <v>20539</v>
      </c>
      <c r="CL1369" t="s">
        <v>20540</v>
      </c>
      <c r="CO1369" t="s">
        <v>132</v>
      </c>
      <c r="CP1369" t="s">
        <v>136</v>
      </c>
      <c r="CQ1369" t="s">
        <v>136</v>
      </c>
      <c r="CR1369" t="s">
        <v>136</v>
      </c>
      <c r="CS1369" t="s">
        <v>136</v>
      </c>
      <c r="CT1369" t="s">
        <v>136</v>
      </c>
      <c r="CU1369" t="s">
        <v>136</v>
      </c>
      <c r="CV1369" t="s">
        <v>12990</v>
      </c>
      <c r="CW1369" s="10" t="str">
        <f>"+14069957909"</f>
        <v>+14069957909</v>
      </c>
      <c r="CX1369" t="s">
        <v>12986</v>
      </c>
      <c r="CY1369" t="s">
        <v>132</v>
      </c>
      <c r="CZ1369" t="s">
        <v>137</v>
      </c>
      <c r="DA1369" t="s">
        <v>114</v>
      </c>
      <c r="DB1369" t="s">
        <v>136</v>
      </c>
      <c r="DC1369" t="s">
        <v>136</v>
      </c>
      <c r="DD1369" t="s">
        <v>114</v>
      </c>
    </row>
    <row r="1370" spans="1:108" ht="15" customHeight="1" x14ac:dyDescent="0.25">
      <c r="A1370" t="s">
        <v>21522</v>
      </c>
      <c r="B1370" t="s">
        <v>152</v>
      </c>
      <c r="C1370" s="1">
        <v>45155.416306712963</v>
      </c>
      <c r="D1370" s="1">
        <v>45217</v>
      </c>
      <c r="E1370" t="s">
        <v>136</v>
      </c>
      <c r="F1370" t="s">
        <v>21523</v>
      </c>
      <c r="G1370" t="str">
        <f>"53-3053.00"</f>
        <v>53-3053.00</v>
      </c>
      <c r="H1370" t="s">
        <v>7819</v>
      </c>
      <c r="I1370">
        <v>5</v>
      </c>
      <c r="J1370">
        <v>5</v>
      </c>
      <c r="K1370" s="1">
        <v>45245</v>
      </c>
      <c r="L1370" s="1">
        <v>45402</v>
      </c>
      <c r="M1370" s="1">
        <v>45245</v>
      </c>
      <c r="N1370" s="1">
        <v>45402</v>
      </c>
      <c r="O1370" t="s">
        <v>116</v>
      </c>
      <c r="P1370" t="s">
        <v>12979</v>
      </c>
      <c r="Q1370" t="s">
        <v>12980</v>
      </c>
      <c r="R1370" t="s">
        <v>12981</v>
      </c>
      <c r="S1370" t="s">
        <v>12982</v>
      </c>
      <c r="T1370" t="s">
        <v>891</v>
      </c>
      <c r="U1370" t="s">
        <v>892</v>
      </c>
      <c r="V1370" s="8" t="str">
        <f>"59716"</f>
        <v>59716</v>
      </c>
      <c r="W1370" t="s">
        <v>118</v>
      </c>
      <c r="Y1370" s="10">
        <v>14069957909</v>
      </c>
      <c r="AA1370">
        <v>721110</v>
      </c>
      <c r="AB1370" t="s">
        <v>12983</v>
      </c>
      <c r="AC1370" t="s">
        <v>7478</v>
      </c>
      <c r="AE1370" t="s">
        <v>12984</v>
      </c>
      <c r="AF1370" t="s">
        <v>12981</v>
      </c>
      <c r="AG1370" t="s">
        <v>12982</v>
      </c>
      <c r="AH1370" t="s">
        <v>891</v>
      </c>
      <c r="AI1370" t="s">
        <v>892</v>
      </c>
      <c r="AJ1370" s="8" t="str">
        <f>"59716"</f>
        <v>59716</v>
      </c>
      <c r="AK1370" t="s">
        <v>118</v>
      </c>
      <c r="AM1370" s="10">
        <v>14069957909</v>
      </c>
      <c r="AN1370">
        <v>1304</v>
      </c>
      <c r="AO1370" t="s">
        <v>12986</v>
      </c>
      <c r="AP1370" t="s">
        <v>121</v>
      </c>
      <c r="AQ1370" t="s">
        <v>276</v>
      </c>
      <c r="AR1370" t="s">
        <v>277</v>
      </c>
      <c r="AS1370" t="s">
        <v>278</v>
      </c>
      <c r="AT1370" t="s">
        <v>279</v>
      </c>
      <c r="AU1370" t="s">
        <v>280</v>
      </c>
      <c r="AV1370" t="s">
        <v>281</v>
      </c>
      <c r="AW1370" t="s">
        <v>222</v>
      </c>
      <c r="AX1370" s="8" t="str">
        <f>"01701"</f>
        <v>01701</v>
      </c>
      <c r="AY1370" t="s">
        <v>118</v>
      </c>
      <c r="BA1370" s="10">
        <v>16179399444</v>
      </c>
      <c r="BC1370" t="s">
        <v>282</v>
      </c>
      <c r="BD1370" t="s">
        <v>283</v>
      </c>
      <c r="BE1370" t="s">
        <v>222</v>
      </c>
      <c r="BF1370" t="s">
        <v>284</v>
      </c>
      <c r="BG1370" t="s">
        <v>892</v>
      </c>
      <c r="BH1370" s="1">
        <v>45154.833333333336</v>
      </c>
      <c r="BI1370">
        <v>40</v>
      </c>
      <c r="BJ1370">
        <v>0</v>
      </c>
      <c r="BK1370">
        <v>8</v>
      </c>
      <c r="BL1370">
        <v>8</v>
      </c>
      <c r="BM1370">
        <v>8</v>
      </c>
      <c r="BN1370">
        <v>8</v>
      </c>
      <c r="BO1370">
        <v>8</v>
      </c>
      <c r="BP1370">
        <v>0</v>
      </c>
      <c r="BQ1370" t="str">
        <f>"4:00 AM"</f>
        <v>4:00 AM</v>
      </c>
      <c r="BR1370" t="str">
        <f>"12:00 PM"</f>
        <v>12:00 PM</v>
      </c>
      <c r="BS1370" t="s">
        <v>131</v>
      </c>
      <c r="BT1370">
        <v>0</v>
      </c>
      <c r="BU1370">
        <v>6</v>
      </c>
      <c r="BV1370" t="s">
        <v>114</v>
      </c>
      <c r="BX1370" s="2" t="s">
        <v>21524</v>
      </c>
      <c r="BY1370" t="s">
        <v>12981</v>
      </c>
      <c r="CA1370" t="s">
        <v>891</v>
      </c>
      <c r="CB1370" t="s">
        <v>892</v>
      </c>
      <c r="CC1370" s="8" t="str">
        <f>"59716"</f>
        <v>59716</v>
      </c>
      <c r="CD1370" t="s">
        <v>908</v>
      </c>
      <c r="CE1370" t="s">
        <v>909</v>
      </c>
      <c r="CF1370" s="12">
        <v>24</v>
      </c>
      <c r="CG1370" s="12">
        <v>29</v>
      </c>
      <c r="CH1370" s="12">
        <v>36</v>
      </c>
      <c r="CI1370" s="12">
        <v>43.5</v>
      </c>
      <c r="CJ1370" t="s">
        <v>135</v>
      </c>
      <c r="CK1370" t="s">
        <v>21525</v>
      </c>
      <c r="CL1370" t="s">
        <v>21526</v>
      </c>
      <c r="CO1370" t="s">
        <v>132</v>
      </c>
      <c r="CP1370" t="s">
        <v>136</v>
      </c>
      <c r="CQ1370" t="s">
        <v>136</v>
      </c>
      <c r="CR1370" t="s">
        <v>136</v>
      </c>
      <c r="CS1370" t="s">
        <v>136</v>
      </c>
      <c r="CT1370" t="s">
        <v>136</v>
      </c>
      <c r="CU1370" t="s">
        <v>136</v>
      </c>
      <c r="CV1370" t="s">
        <v>21527</v>
      </c>
      <c r="CW1370" s="10" t="str">
        <f>"+14069957909"</f>
        <v>+14069957909</v>
      </c>
      <c r="CX1370" t="s">
        <v>12986</v>
      </c>
      <c r="CY1370" t="s">
        <v>132</v>
      </c>
      <c r="CZ1370" t="s">
        <v>137</v>
      </c>
      <c r="DA1370" t="s">
        <v>114</v>
      </c>
      <c r="DB1370" t="s">
        <v>136</v>
      </c>
      <c r="DC1370" t="s">
        <v>136</v>
      </c>
      <c r="DD1370" t="s">
        <v>114</v>
      </c>
    </row>
    <row r="1371" spans="1:108" ht="15" customHeight="1" x14ac:dyDescent="0.25">
      <c r="A1371" t="s">
        <v>12978</v>
      </c>
      <c r="B1371" t="s">
        <v>152</v>
      </c>
      <c r="C1371" s="1">
        <v>45155.413528124998</v>
      </c>
      <c r="D1371" s="1">
        <v>45217</v>
      </c>
      <c r="E1371" t="s">
        <v>136</v>
      </c>
      <c r="F1371" t="s">
        <v>11324</v>
      </c>
      <c r="G1371" t="str">
        <f>"35-9011.00"</f>
        <v>35-9011.00</v>
      </c>
      <c r="H1371" t="s">
        <v>1512</v>
      </c>
      <c r="I1371">
        <v>18</v>
      </c>
      <c r="J1371">
        <v>18</v>
      </c>
      <c r="K1371" s="1">
        <v>45245</v>
      </c>
      <c r="L1371" s="1">
        <v>45402</v>
      </c>
      <c r="M1371" s="1">
        <v>45245</v>
      </c>
      <c r="N1371" s="1">
        <v>45402</v>
      </c>
      <c r="O1371" t="s">
        <v>238</v>
      </c>
      <c r="P1371" t="s">
        <v>12979</v>
      </c>
      <c r="Q1371" t="s">
        <v>12980</v>
      </c>
      <c r="R1371" t="s">
        <v>12981</v>
      </c>
      <c r="S1371" t="s">
        <v>12982</v>
      </c>
      <c r="T1371" t="s">
        <v>891</v>
      </c>
      <c r="U1371" t="s">
        <v>892</v>
      </c>
      <c r="V1371" s="8" t="str">
        <f>"59716"</f>
        <v>59716</v>
      </c>
      <c r="W1371" t="s">
        <v>118</v>
      </c>
      <c r="Y1371" s="10">
        <v>14069957909</v>
      </c>
      <c r="AA1371">
        <v>721110</v>
      </c>
      <c r="AB1371" t="s">
        <v>12983</v>
      </c>
      <c r="AC1371" t="s">
        <v>7478</v>
      </c>
      <c r="AE1371" t="s">
        <v>12984</v>
      </c>
      <c r="AF1371" t="s">
        <v>12985</v>
      </c>
      <c r="AG1371" t="s">
        <v>12982</v>
      </c>
      <c r="AH1371" t="s">
        <v>891</v>
      </c>
      <c r="AI1371" t="s">
        <v>892</v>
      </c>
      <c r="AJ1371" s="8" t="str">
        <f>"59716"</f>
        <v>59716</v>
      </c>
      <c r="AK1371" t="s">
        <v>118</v>
      </c>
      <c r="AM1371" s="10">
        <v>14069957909</v>
      </c>
      <c r="AN1371">
        <v>1304</v>
      </c>
      <c r="AO1371" t="s">
        <v>12986</v>
      </c>
      <c r="AP1371" t="s">
        <v>121</v>
      </c>
      <c r="AQ1371" t="s">
        <v>276</v>
      </c>
      <c r="AR1371" t="s">
        <v>277</v>
      </c>
      <c r="AS1371" t="s">
        <v>278</v>
      </c>
      <c r="AT1371" t="s">
        <v>279</v>
      </c>
      <c r="AU1371" t="s">
        <v>280</v>
      </c>
      <c r="AV1371" t="s">
        <v>281</v>
      </c>
      <c r="AW1371" t="s">
        <v>222</v>
      </c>
      <c r="AX1371" s="8" t="str">
        <f>"01701"</f>
        <v>01701</v>
      </c>
      <c r="AY1371" t="s">
        <v>118</v>
      </c>
      <c r="BA1371" s="10">
        <v>16179399444</v>
      </c>
      <c r="BC1371" t="s">
        <v>282</v>
      </c>
      <c r="BD1371" t="s">
        <v>283</v>
      </c>
      <c r="BE1371" t="s">
        <v>222</v>
      </c>
      <c r="BF1371" t="s">
        <v>284</v>
      </c>
      <c r="BG1371" t="s">
        <v>892</v>
      </c>
      <c r="BH1371" s="1">
        <v>45154.833333333336</v>
      </c>
      <c r="BI1371">
        <v>40</v>
      </c>
      <c r="BJ1371">
        <v>0</v>
      </c>
      <c r="BK1371">
        <v>8</v>
      </c>
      <c r="BL1371">
        <v>8</v>
      </c>
      <c r="BM1371">
        <v>8</v>
      </c>
      <c r="BN1371">
        <v>8</v>
      </c>
      <c r="BO1371">
        <v>8</v>
      </c>
      <c r="BP1371">
        <v>0</v>
      </c>
      <c r="BQ1371" t="str">
        <f>"11:00 AM"</f>
        <v>11:00 AM</v>
      </c>
      <c r="BR1371" t="str">
        <f>"7:00 PM"</f>
        <v>7:00 PM</v>
      </c>
      <c r="BS1371" t="s">
        <v>131</v>
      </c>
      <c r="BT1371">
        <v>0</v>
      </c>
      <c r="BU1371">
        <v>3</v>
      </c>
      <c r="BV1371" t="s">
        <v>114</v>
      </c>
      <c r="BX1371" s="2" t="s">
        <v>12987</v>
      </c>
      <c r="BY1371" t="s">
        <v>12981</v>
      </c>
      <c r="CA1371" t="s">
        <v>891</v>
      </c>
      <c r="CB1371" t="s">
        <v>892</v>
      </c>
      <c r="CC1371" s="8" t="str">
        <f>"59716"</f>
        <v>59716</v>
      </c>
      <c r="CD1371" t="s">
        <v>908</v>
      </c>
      <c r="CE1371" t="s">
        <v>909</v>
      </c>
      <c r="CF1371" s="12">
        <v>17</v>
      </c>
      <c r="CG1371" s="12">
        <v>22</v>
      </c>
      <c r="CH1371" s="12">
        <v>25.5</v>
      </c>
      <c r="CI1371" s="12">
        <v>33</v>
      </c>
      <c r="CJ1371" t="s">
        <v>135</v>
      </c>
      <c r="CK1371" t="s">
        <v>12988</v>
      </c>
      <c r="CL1371" t="s">
        <v>12989</v>
      </c>
      <c r="CO1371" t="s">
        <v>132</v>
      </c>
      <c r="CP1371" t="s">
        <v>136</v>
      </c>
      <c r="CQ1371" t="s">
        <v>136</v>
      </c>
      <c r="CR1371" t="s">
        <v>136</v>
      </c>
      <c r="CS1371" t="s">
        <v>136</v>
      </c>
      <c r="CT1371" t="s">
        <v>136</v>
      </c>
      <c r="CU1371" t="s">
        <v>136</v>
      </c>
      <c r="CV1371" t="s">
        <v>12990</v>
      </c>
      <c r="CW1371" s="10" t="str">
        <f>"+14069957909"</f>
        <v>+14069957909</v>
      </c>
      <c r="CX1371" t="s">
        <v>12986</v>
      </c>
      <c r="CY1371" t="s">
        <v>132</v>
      </c>
      <c r="CZ1371" t="s">
        <v>137</v>
      </c>
      <c r="DA1371" t="s">
        <v>114</v>
      </c>
      <c r="DB1371" t="s">
        <v>136</v>
      </c>
      <c r="DC1371" t="s">
        <v>136</v>
      </c>
      <c r="DD1371" t="s">
        <v>114</v>
      </c>
    </row>
    <row r="1372" spans="1:108" ht="15" customHeight="1" x14ac:dyDescent="0.25">
      <c r="A1372" t="s">
        <v>17156</v>
      </c>
      <c r="B1372" t="s">
        <v>152</v>
      </c>
      <c r="C1372" s="1">
        <v>45155.409499884256</v>
      </c>
      <c r="D1372" s="1">
        <v>45217</v>
      </c>
      <c r="E1372" t="s">
        <v>136</v>
      </c>
      <c r="F1372" t="s">
        <v>12220</v>
      </c>
      <c r="G1372" t="str">
        <f>"35-3031.00"</f>
        <v>35-3031.00</v>
      </c>
      <c r="H1372" t="s">
        <v>347</v>
      </c>
      <c r="I1372">
        <v>60</v>
      </c>
      <c r="J1372">
        <v>60</v>
      </c>
      <c r="K1372" s="1">
        <v>45245</v>
      </c>
      <c r="L1372" s="1">
        <v>45402</v>
      </c>
      <c r="M1372" s="1">
        <v>45245</v>
      </c>
      <c r="N1372" s="1">
        <v>45402</v>
      </c>
      <c r="O1372" t="s">
        <v>238</v>
      </c>
      <c r="P1372" t="s">
        <v>12979</v>
      </c>
      <c r="Q1372" t="s">
        <v>12980</v>
      </c>
      <c r="R1372" t="s">
        <v>12981</v>
      </c>
      <c r="S1372" t="s">
        <v>12982</v>
      </c>
      <c r="T1372" t="s">
        <v>891</v>
      </c>
      <c r="U1372" t="s">
        <v>892</v>
      </c>
      <c r="V1372" s="8" t="str">
        <f>"59716"</f>
        <v>59716</v>
      </c>
      <c r="W1372" t="s">
        <v>118</v>
      </c>
      <c r="Y1372" s="10">
        <v>14069957909</v>
      </c>
      <c r="AA1372">
        <v>721110</v>
      </c>
      <c r="AB1372" t="s">
        <v>12983</v>
      </c>
      <c r="AC1372" t="s">
        <v>7478</v>
      </c>
      <c r="AE1372" t="s">
        <v>12984</v>
      </c>
      <c r="AF1372" t="s">
        <v>12981</v>
      </c>
      <c r="AG1372" t="s">
        <v>12982</v>
      </c>
      <c r="AH1372" t="s">
        <v>891</v>
      </c>
      <c r="AI1372" t="s">
        <v>892</v>
      </c>
      <c r="AJ1372" s="8" t="str">
        <f>"59716"</f>
        <v>59716</v>
      </c>
      <c r="AK1372" t="s">
        <v>118</v>
      </c>
      <c r="AM1372" s="10">
        <v>14069957909</v>
      </c>
      <c r="AN1372">
        <v>1304</v>
      </c>
      <c r="AO1372" t="s">
        <v>12986</v>
      </c>
      <c r="AP1372" t="s">
        <v>121</v>
      </c>
      <c r="AQ1372" t="s">
        <v>276</v>
      </c>
      <c r="AR1372" t="s">
        <v>277</v>
      </c>
      <c r="AS1372" t="s">
        <v>278</v>
      </c>
      <c r="AT1372" t="s">
        <v>279</v>
      </c>
      <c r="AU1372" t="s">
        <v>280</v>
      </c>
      <c r="AV1372" t="s">
        <v>281</v>
      </c>
      <c r="AW1372" t="s">
        <v>222</v>
      </c>
      <c r="AX1372" s="8" t="str">
        <f>"01701"</f>
        <v>01701</v>
      </c>
      <c r="AY1372" t="s">
        <v>118</v>
      </c>
      <c r="BA1372" s="10">
        <v>16179399444</v>
      </c>
      <c r="BC1372" t="s">
        <v>282</v>
      </c>
      <c r="BD1372" t="s">
        <v>283</v>
      </c>
      <c r="BE1372" t="s">
        <v>222</v>
      </c>
      <c r="BF1372" t="s">
        <v>284</v>
      </c>
      <c r="BG1372" t="s">
        <v>892</v>
      </c>
      <c r="BH1372" s="1">
        <v>45154.833333333336</v>
      </c>
      <c r="BI1372">
        <v>40</v>
      </c>
      <c r="BJ1372">
        <v>0</v>
      </c>
      <c r="BK1372">
        <v>8</v>
      </c>
      <c r="BL1372">
        <v>8</v>
      </c>
      <c r="BM1372">
        <v>8</v>
      </c>
      <c r="BN1372">
        <v>8</v>
      </c>
      <c r="BO1372">
        <v>8</v>
      </c>
      <c r="BP1372">
        <v>0</v>
      </c>
      <c r="BQ1372" t="str">
        <f>"11:00 AM"</f>
        <v>11:00 AM</v>
      </c>
      <c r="BR1372" t="str">
        <f>"7:00 PM"</f>
        <v>7:00 PM</v>
      </c>
      <c r="BS1372" t="s">
        <v>131</v>
      </c>
      <c r="BT1372">
        <v>0</v>
      </c>
      <c r="BU1372">
        <v>6</v>
      </c>
      <c r="BV1372" t="s">
        <v>114</v>
      </c>
      <c r="BX1372" s="2" t="s">
        <v>17157</v>
      </c>
      <c r="BY1372" t="s">
        <v>12981</v>
      </c>
      <c r="CA1372" t="s">
        <v>891</v>
      </c>
      <c r="CB1372" t="s">
        <v>892</v>
      </c>
      <c r="CC1372" s="8" t="str">
        <f>"59716"</f>
        <v>59716</v>
      </c>
      <c r="CD1372" t="s">
        <v>908</v>
      </c>
      <c r="CE1372" t="s">
        <v>909</v>
      </c>
      <c r="CF1372" s="12">
        <v>12</v>
      </c>
      <c r="CG1372" s="12">
        <v>17</v>
      </c>
      <c r="CH1372" s="12">
        <v>18</v>
      </c>
      <c r="CI1372" s="12">
        <v>25.5</v>
      </c>
      <c r="CJ1372" t="s">
        <v>135</v>
      </c>
      <c r="CK1372" t="s">
        <v>17158</v>
      </c>
      <c r="CL1372" t="s">
        <v>17159</v>
      </c>
      <c r="CO1372" t="s">
        <v>132</v>
      </c>
      <c r="CP1372" t="s">
        <v>136</v>
      </c>
      <c r="CQ1372" t="s">
        <v>136</v>
      </c>
      <c r="CR1372" t="s">
        <v>136</v>
      </c>
      <c r="CS1372" t="s">
        <v>136</v>
      </c>
      <c r="CT1372" t="s">
        <v>136</v>
      </c>
      <c r="CU1372" t="s">
        <v>136</v>
      </c>
      <c r="CV1372" t="s">
        <v>17139</v>
      </c>
      <c r="CW1372" s="10" t="str">
        <f>"+14069957909"</f>
        <v>+14069957909</v>
      </c>
      <c r="CX1372" t="s">
        <v>12986</v>
      </c>
      <c r="CY1372" t="s">
        <v>132</v>
      </c>
      <c r="CZ1372" t="s">
        <v>137</v>
      </c>
      <c r="DA1372" t="s">
        <v>114</v>
      </c>
      <c r="DB1372" t="s">
        <v>136</v>
      </c>
      <c r="DC1372" t="s">
        <v>136</v>
      </c>
      <c r="DD1372" t="s">
        <v>114</v>
      </c>
    </row>
    <row r="1373" spans="1:108" ht="15" customHeight="1" x14ac:dyDescent="0.25">
      <c r="A1373" t="s">
        <v>21546</v>
      </c>
      <c r="B1373" t="s">
        <v>152</v>
      </c>
      <c r="C1373" s="1">
        <v>45155.40762928241</v>
      </c>
      <c r="D1373" s="1">
        <v>45217</v>
      </c>
      <c r="E1373" t="s">
        <v>136</v>
      </c>
      <c r="F1373" t="s">
        <v>9507</v>
      </c>
      <c r="G1373" t="str">
        <f>"35-9031.00"</f>
        <v>35-9031.00</v>
      </c>
      <c r="H1373" t="s">
        <v>916</v>
      </c>
      <c r="I1373">
        <v>21</v>
      </c>
      <c r="J1373">
        <v>21</v>
      </c>
      <c r="K1373" s="1">
        <v>45245</v>
      </c>
      <c r="L1373" s="1">
        <v>45402</v>
      </c>
      <c r="M1373" s="1">
        <v>45245</v>
      </c>
      <c r="N1373" s="1">
        <v>45402</v>
      </c>
      <c r="O1373" t="s">
        <v>238</v>
      </c>
      <c r="P1373" t="s">
        <v>12979</v>
      </c>
      <c r="Q1373" t="s">
        <v>12980</v>
      </c>
      <c r="R1373" t="s">
        <v>12981</v>
      </c>
      <c r="S1373" t="s">
        <v>12982</v>
      </c>
      <c r="T1373" t="s">
        <v>891</v>
      </c>
      <c r="U1373" t="s">
        <v>892</v>
      </c>
      <c r="V1373" s="8" t="str">
        <f>"59716"</f>
        <v>59716</v>
      </c>
      <c r="W1373" t="s">
        <v>118</v>
      </c>
      <c r="Y1373" s="10">
        <v>14069957909</v>
      </c>
      <c r="AA1373">
        <v>721110</v>
      </c>
      <c r="AB1373" t="s">
        <v>12983</v>
      </c>
      <c r="AC1373" t="s">
        <v>7478</v>
      </c>
      <c r="AE1373" t="s">
        <v>12984</v>
      </c>
      <c r="AF1373" t="s">
        <v>12981</v>
      </c>
      <c r="AG1373" t="s">
        <v>12982</v>
      </c>
      <c r="AH1373" t="s">
        <v>891</v>
      </c>
      <c r="AI1373" t="s">
        <v>892</v>
      </c>
      <c r="AJ1373" s="8" t="str">
        <f>"59716"</f>
        <v>59716</v>
      </c>
      <c r="AK1373" t="s">
        <v>118</v>
      </c>
      <c r="AM1373" s="10">
        <v>14069957909</v>
      </c>
      <c r="AN1373">
        <v>1304</v>
      </c>
      <c r="AO1373" t="s">
        <v>12986</v>
      </c>
      <c r="AP1373" t="s">
        <v>121</v>
      </c>
      <c r="AQ1373" t="s">
        <v>276</v>
      </c>
      <c r="AR1373" t="s">
        <v>277</v>
      </c>
      <c r="AS1373" t="s">
        <v>278</v>
      </c>
      <c r="AT1373" t="s">
        <v>279</v>
      </c>
      <c r="AU1373" t="s">
        <v>280</v>
      </c>
      <c r="AV1373" t="s">
        <v>281</v>
      </c>
      <c r="AW1373" t="s">
        <v>222</v>
      </c>
      <c r="AX1373" s="8" t="str">
        <f>"01701"</f>
        <v>01701</v>
      </c>
      <c r="AY1373" t="s">
        <v>118</v>
      </c>
      <c r="BA1373" s="10">
        <v>16179399444</v>
      </c>
      <c r="BC1373" t="s">
        <v>282</v>
      </c>
      <c r="BD1373" t="s">
        <v>283</v>
      </c>
      <c r="BE1373" t="s">
        <v>222</v>
      </c>
      <c r="BF1373" t="s">
        <v>284</v>
      </c>
      <c r="BG1373" t="s">
        <v>892</v>
      </c>
      <c r="BH1373" s="1">
        <v>45154.833333333336</v>
      </c>
      <c r="BI1373">
        <v>40</v>
      </c>
      <c r="BJ1373">
        <v>0</v>
      </c>
      <c r="BK1373">
        <v>8</v>
      </c>
      <c r="BL1373">
        <v>8</v>
      </c>
      <c r="BM1373">
        <v>8</v>
      </c>
      <c r="BN1373">
        <v>8</v>
      </c>
      <c r="BO1373">
        <v>8</v>
      </c>
      <c r="BP1373">
        <v>0</v>
      </c>
      <c r="BQ1373" t="str">
        <f>"11:00 AM"</f>
        <v>11:00 AM</v>
      </c>
      <c r="BR1373" t="str">
        <f>"7:00 PM"</f>
        <v>7:00 PM</v>
      </c>
      <c r="BS1373" t="s">
        <v>131</v>
      </c>
      <c r="BT1373">
        <v>0</v>
      </c>
      <c r="BU1373">
        <v>6</v>
      </c>
      <c r="BV1373" t="s">
        <v>114</v>
      </c>
      <c r="BX1373" s="2" t="s">
        <v>17157</v>
      </c>
      <c r="BY1373" t="s">
        <v>12981</v>
      </c>
      <c r="CA1373" t="s">
        <v>891</v>
      </c>
      <c r="CB1373" t="s">
        <v>892</v>
      </c>
      <c r="CC1373" s="8" t="str">
        <f>"59716"</f>
        <v>59716</v>
      </c>
      <c r="CD1373" t="s">
        <v>908</v>
      </c>
      <c r="CE1373" t="s">
        <v>909</v>
      </c>
      <c r="CF1373" s="12">
        <v>17</v>
      </c>
      <c r="CG1373" s="12">
        <v>22</v>
      </c>
      <c r="CH1373" s="12">
        <v>25.5</v>
      </c>
      <c r="CI1373" s="12">
        <v>33</v>
      </c>
      <c r="CJ1373" t="s">
        <v>135</v>
      </c>
      <c r="CK1373" t="s">
        <v>21547</v>
      </c>
      <c r="CL1373" t="s">
        <v>21548</v>
      </c>
      <c r="CO1373" t="s">
        <v>132</v>
      </c>
      <c r="CP1373" t="s">
        <v>136</v>
      </c>
      <c r="CQ1373" t="s">
        <v>136</v>
      </c>
      <c r="CR1373" t="s">
        <v>136</v>
      </c>
      <c r="CS1373" t="s">
        <v>136</v>
      </c>
      <c r="CT1373" t="s">
        <v>136</v>
      </c>
      <c r="CU1373" t="s">
        <v>136</v>
      </c>
      <c r="CV1373" t="s">
        <v>17139</v>
      </c>
      <c r="CW1373" s="10" t="str">
        <f>"+14069957909"</f>
        <v>+14069957909</v>
      </c>
      <c r="CX1373" t="s">
        <v>12986</v>
      </c>
      <c r="CY1373" t="s">
        <v>132</v>
      </c>
      <c r="CZ1373" t="s">
        <v>137</v>
      </c>
      <c r="DA1373" t="s">
        <v>114</v>
      </c>
      <c r="DB1373" t="s">
        <v>136</v>
      </c>
      <c r="DC1373" t="s">
        <v>136</v>
      </c>
      <c r="DD1373" t="s">
        <v>114</v>
      </c>
    </row>
    <row r="1374" spans="1:108" ht="15" customHeight="1" x14ac:dyDescent="0.25">
      <c r="A1374" t="s">
        <v>18605</v>
      </c>
      <c r="B1374" t="s">
        <v>152</v>
      </c>
      <c r="C1374" s="1">
        <v>45155.404429861112</v>
      </c>
      <c r="D1374" s="1">
        <v>45217</v>
      </c>
      <c r="E1374" t="s">
        <v>136</v>
      </c>
      <c r="F1374" t="s">
        <v>18606</v>
      </c>
      <c r="G1374" t="str">
        <f>"43-4171.00"</f>
        <v>43-4171.00</v>
      </c>
      <c r="H1374" t="s">
        <v>9790</v>
      </c>
      <c r="I1374">
        <v>9</v>
      </c>
      <c r="J1374">
        <v>9</v>
      </c>
      <c r="K1374" s="1">
        <v>45245</v>
      </c>
      <c r="L1374" s="1">
        <v>45402</v>
      </c>
      <c r="M1374" s="1">
        <v>45245</v>
      </c>
      <c r="N1374" s="1">
        <v>45402</v>
      </c>
      <c r="O1374" t="s">
        <v>238</v>
      </c>
      <c r="P1374" t="s">
        <v>12979</v>
      </c>
      <c r="Q1374" t="s">
        <v>12980</v>
      </c>
      <c r="R1374" t="s">
        <v>12981</v>
      </c>
      <c r="S1374" t="s">
        <v>12982</v>
      </c>
      <c r="T1374" t="s">
        <v>891</v>
      </c>
      <c r="U1374" t="s">
        <v>892</v>
      </c>
      <c r="V1374" s="8" t="str">
        <f>"59716"</f>
        <v>59716</v>
      </c>
      <c r="W1374" t="s">
        <v>118</v>
      </c>
      <c r="Y1374" s="10">
        <v>14069957909</v>
      </c>
      <c r="AA1374">
        <v>721110</v>
      </c>
      <c r="AB1374" t="s">
        <v>12983</v>
      </c>
      <c r="AC1374" t="s">
        <v>7478</v>
      </c>
      <c r="AE1374" t="s">
        <v>12984</v>
      </c>
      <c r="AF1374" t="s">
        <v>12981</v>
      </c>
      <c r="AG1374" t="s">
        <v>12982</v>
      </c>
      <c r="AH1374" t="s">
        <v>891</v>
      </c>
      <c r="AI1374" t="s">
        <v>892</v>
      </c>
      <c r="AJ1374" s="8" t="str">
        <f>"59716"</f>
        <v>59716</v>
      </c>
      <c r="AK1374" t="s">
        <v>118</v>
      </c>
      <c r="AM1374" s="10">
        <v>14069957909</v>
      </c>
      <c r="AN1374">
        <v>1304</v>
      </c>
      <c r="AO1374" t="s">
        <v>12986</v>
      </c>
      <c r="AP1374" t="s">
        <v>121</v>
      </c>
      <c r="AQ1374" t="s">
        <v>276</v>
      </c>
      <c r="AR1374" t="s">
        <v>277</v>
      </c>
      <c r="AS1374" t="s">
        <v>278</v>
      </c>
      <c r="AT1374" t="s">
        <v>279</v>
      </c>
      <c r="AU1374" t="s">
        <v>280</v>
      </c>
      <c r="AV1374" t="s">
        <v>281</v>
      </c>
      <c r="AW1374" t="s">
        <v>222</v>
      </c>
      <c r="AX1374" s="8" t="str">
        <f>"01701"</f>
        <v>01701</v>
      </c>
      <c r="AY1374" t="s">
        <v>118</v>
      </c>
      <c r="BA1374" s="10">
        <v>16179399444</v>
      </c>
      <c r="BC1374" t="s">
        <v>282</v>
      </c>
      <c r="BD1374" t="s">
        <v>283</v>
      </c>
      <c r="BE1374" t="s">
        <v>222</v>
      </c>
      <c r="BF1374" t="s">
        <v>284</v>
      </c>
      <c r="BG1374" t="s">
        <v>892</v>
      </c>
      <c r="BH1374" s="1">
        <v>45154.833333333336</v>
      </c>
      <c r="BI1374">
        <v>40</v>
      </c>
      <c r="BJ1374">
        <v>0</v>
      </c>
      <c r="BK1374">
        <v>8</v>
      </c>
      <c r="BL1374">
        <v>8</v>
      </c>
      <c r="BM1374">
        <v>8</v>
      </c>
      <c r="BN1374">
        <v>8</v>
      </c>
      <c r="BO1374">
        <v>8</v>
      </c>
      <c r="BP1374">
        <v>0</v>
      </c>
      <c r="BQ1374" t="str">
        <f>"8:30 AM"</f>
        <v>8:30 AM</v>
      </c>
      <c r="BR1374" t="str">
        <f>"4:30 PM"</f>
        <v>4:30 PM</v>
      </c>
      <c r="BS1374" t="s">
        <v>131</v>
      </c>
      <c r="BT1374">
        <v>0</v>
      </c>
      <c r="BU1374">
        <v>6</v>
      </c>
      <c r="BV1374" t="s">
        <v>114</v>
      </c>
      <c r="BX1374" s="2" t="s">
        <v>18607</v>
      </c>
      <c r="BY1374" t="s">
        <v>12981</v>
      </c>
      <c r="CA1374" t="s">
        <v>891</v>
      </c>
      <c r="CB1374" t="s">
        <v>892</v>
      </c>
      <c r="CC1374" s="8" t="str">
        <f>"59716"</f>
        <v>59716</v>
      </c>
      <c r="CD1374" t="s">
        <v>908</v>
      </c>
      <c r="CE1374" t="s">
        <v>909</v>
      </c>
      <c r="CF1374" s="12">
        <v>18</v>
      </c>
      <c r="CG1374" s="12">
        <v>23</v>
      </c>
      <c r="CH1374" s="12">
        <v>27</v>
      </c>
      <c r="CI1374" s="12">
        <v>34.5</v>
      </c>
      <c r="CJ1374" t="s">
        <v>135</v>
      </c>
      <c r="CK1374" t="s">
        <v>18608</v>
      </c>
      <c r="CL1374" t="s">
        <v>18609</v>
      </c>
      <c r="CO1374" t="s">
        <v>132</v>
      </c>
      <c r="CP1374" t="s">
        <v>136</v>
      </c>
      <c r="CQ1374" t="s">
        <v>136</v>
      </c>
      <c r="CR1374" t="s">
        <v>136</v>
      </c>
      <c r="CS1374" t="s">
        <v>136</v>
      </c>
      <c r="CT1374" t="s">
        <v>136</v>
      </c>
      <c r="CU1374" t="s">
        <v>136</v>
      </c>
      <c r="CV1374" t="s">
        <v>17139</v>
      </c>
      <c r="CW1374" s="10" t="str">
        <f>"+14069957909"</f>
        <v>+14069957909</v>
      </c>
      <c r="CX1374" t="s">
        <v>12986</v>
      </c>
      <c r="CY1374" t="s">
        <v>132</v>
      </c>
      <c r="CZ1374" t="s">
        <v>137</v>
      </c>
      <c r="DA1374" t="s">
        <v>114</v>
      </c>
      <c r="DB1374" t="s">
        <v>136</v>
      </c>
      <c r="DC1374" t="s">
        <v>136</v>
      </c>
      <c r="DD1374" t="s">
        <v>114</v>
      </c>
    </row>
    <row r="1375" spans="1:108" ht="15" customHeight="1" x14ac:dyDescent="0.25">
      <c r="A1375" t="s">
        <v>21617</v>
      </c>
      <c r="B1375" t="s">
        <v>152</v>
      </c>
      <c r="C1375" s="1">
        <v>45155.391604282406</v>
      </c>
      <c r="D1375" s="1">
        <v>45217</v>
      </c>
      <c r="E1375" t="s">
        <v>136</v>
      </c>
      <c r="F1375" t="s">
        <v>12699</v>
      </c>
      <c r="G1375" t="str">
        <f>"35-2021.00"</f>
        <v>35-2021.00</v>
      </c>
      <c r="H1375" t="s">
        <v>2303</v>
      </c>
      <c r="I1375">
        <v>38</v>
      </c>
      <c r="J1375">
        <v>38</v>
      </c>
      <c r="K1375" s="1">
        <v>45245</v>
      </c>
      <c r="L1375" s="1">
        <v>45402</v>
      </c>
      <c r="M1375" s="1">
        <v>45245</v>
      </c>
      <c r="N1375" s="1">
        <v>45402</v>
      </c>
      <c r="O1375" t="s">
        <v>238</v>
      </c>
      <c r="P1375" t="s">
        <v>12979</v>
      </c>
      <c r="Q1375" t="s">
        <v>12980</v>
      </c>
      <c r="R1375" t="s">
        <v>12981</v>
      </c>
      <c r="S1375" t="s">
        <v>12982</v>
      </c>
      <c r="T1375" t="s">
        <v>891</v>
      </c>
      <c r="U1375" t="s">
        <v>892</v>
      </c>
      <c r="V1375" s="8" t="str">
        <f>"59716"</f>
        <v>59716</v>
      </c>
      <c r="W1375" t="s">
        <v>118</v>
      </c>
      <c r="Y1375" s="10">
        <v>14069957909</v>
      </c>
      <c r="AA1375">
        <v>721110</v>
      </c>
      <c r="AB1375" t="s">
        <v>12983</v>
      </c>
      <c r="AC1375" t="s">
        <v>21618</v>
      </c>
      <c r="AE1375" t="s">
        <v>12984</v>
      </c>
      <c r="AF1375" t="s">
        <v>12981</v>
      </c>
      <c r="AG1375" t="s">
        <v>12982</v>
      </c>
      <c r="AH1375" t="s">
        <v>891</v>
      </c>
      <c r="AI1375" t="s">
        <v>892</v>
      </c>
      <c r="AJ1375" s="8" t="str">
        <f>"59716"</f>
        <v>59716</v>
      </c>
      <c r="AK1375" t="s">
        <v>118</v>
      </c>
      <c r="AM1375" s="10">
        <v>14069957909</v>
      </c>
      <c r="AN1375">
        <v>1304</v>
      </c>
      <c r="AO1375" t="s">
        <v>12986</v>
      </c>
      <c r="AP1375" t="s">
        <v>121</v>
      </c>
      <c r="AQ1375" t="s">
        <v>276</v>
      </c>
      <c r="AR1375" t="s">
        <v>277</v>
      </c>
      <c r="AS1375" t="s">
        <v>278</v>
      </c>
      <c r="AT1375" t="s">
        <v>279</v>
      </c>
      <c r="AU1375" t="s">
        <v>280</v>
      </c>
      <c r="AV1375" t="s">
        <v>281</v>
      </c>
      <c r="AW1375" t="s">
        <v>222</v>
      </c>
      <c r="AX1375" s="8" t="str">
        <f>"01701"</f>
        <v>01701</v>
      </c>
      <c r="AY1375" t="s">
        <v>118</v>
      </c>
      <c r="BA1375" s="10">
        <v>16179399444</v>
      </c>
      <c r="BC1375" t="s">
        <v>282</v>
      </c>
      <c r="BD1375" t="s">
        <v>283</v>
      </c>
      <c r="BE1375" t="s">
        <v>222</v>
      </c>
      <c r="BF1375" t="s">
        <v>284</v>
      </c>
      <c r="BG1375" t="s">
        <v>892</v>
      </c>
      <c r="BH1375" s="1">
        <v>45154.833333333336</v>
      </c>
      <c r="BI1375">
        <v>40</v>
      </c>
      <c r="BJ1375">
        <v>0</v>
      </c>
      <c r="BK1375">
        <v>8</v>
      </c>
      <c r="BL1375">
        <v>8</v>
      </c>
      <c r="BM1375">
        <v>8</v>
      </c>
      <c r="BN1375">
        <v>8</v>
      </c>
      <c r="BO1375">
        <v>8</v>
      </c>
      <c r="BP1375">
        <v>0</v>
      </c>
      <c r="BQ1375" t="str">
        <f>"8:00 AM"</f>
        <v>8:00 AM</v>
      </c>
      <c r="BR1375" t="str">
        <f>"4:00 PM"</f>
        <v>4:00 PM</v>
      </c>
      <c r="BS1375" t="s">
        <v>131</v>
      </c>
      <c r="BT1375">
        <v>0</v>
      </c>
      <c r="BU1375">
        <v>3</v>
      </c>
      <c r="BV1375" t="s">
        <v>114</v>
      </c>
      <c r="BX1375" s="2" t="s">
        <v>21619</v>
      </c>
      <c r="BY1375" t="s">
        <v>12981</v>
      </c>
      <c r="CA1375" t="s">
        <v>891</v>
      </c>
      <c r="CB1375" t="s">
        <v>892</v>
      </c>
      <c r="CC1375" s="8" t="str">
        <f>"59716"</f>
        <v>59716</v>
      </c>
      <c r="CD1375" t="s">
        <v>908</v>
      </c>
      <c r="CE1375" t="s">
        <v>909</v>
      </c>
      <c r="CF1375" s="12">
        <v>15</v>
      </c>
      <c r="CG1375" s="12">
        <v>20</v>
      </c>
      <c r="CH1375" s="12">
        <v>22.5</v>
      </c>
      <c r="CI1375" s="12">
        <v>30</v>
      </c>
      <c r="CJ1375" t="s">
        <v>135</v>
      </c>
      <c r="CK1375" t="s">
        <v>21620</v>
      </c>
      <c r="CL1375" t="s">
        <v>21621</v>
      </c>
      <c r="CO1375" t="s">
        <v>132</v>
      </c>
      <c r="CP1375" t="s">
        <v>136</v>
      </c>
      <c r="CQ1375" t="s">
        <v>136</v>
      </c>
      <c r="CR1375" t="s">
        <v>136</v>
      </c>
      <c r="CS1375" t="s">
        <v>136</v>
      </c>
      <c r="CT1375" t="s">
        <v>136</v>
      </c>
      <c r="CU1375" t="s">
        <v>136</v>
      </c>
      <c r="CV1375" t="s">
        <v>17139</v>
      </c>
      <c r="CW1375" s="10" t="str">
        <f>"+14069957909"</f>
        <v>+14069957909</v>
      </c>
      <c r="CX1375" t="s">
        <v>12986</v>
      </c>
      <c r="CY1375" t="s">
        <v>132</v>
      </c>
      <c r="CZ1375" t="s">
        <v>137</v>
      </c>
      <c r="DA1375" t="s">
        <v>114</v>
      </c>
      <c r="DB1375" t="s">
        <v>136</v>
      </c>
      <c r="DC1375" t="s">
        <v>136</v>
      </c>
      <c r="DD1375" t="s">
        <v>114</v>
      </c>
    </row>
    <row r="1376" spans="1:108" ht="15" customHeight="1" x14ac:dyDescent="0.25">
      <c r="A1376" t="s">
        <v>17133</v>
      </c>
      <c r="B1376" t="s">
        <v>152</v>
      </c>
      <c r="C1376" s="1">
        <v>45155.389141666667</v>
      </c>
      <c r="D1376" s="1">
        <v>45217</v>
      </c>
      <c r="E1376" t="s">
        <v>136</v>
      </c>
      <c r="F1376" t="s">
        <v>17134</v>
      </c>
      <c r="G1376" t="str">
        <f>"53-6021.00"</f>
        <v>53-6021.00</v>
      </c>
      <c r="H1376" t="s">
        <v>5958</v>
      </c>
      <c r="I1376">
        <v>25</v>
      </c>
      <c r="J1376">
        <v>25</v>
      </c>
      <c r="K1376" s="1">
        <v>45245</v>
      </c>
      <c r="L1376" s="1">
        <v>45402</v>
      </c>
      <c r="M1376" s="1">
        <v>45245</v>
      </c>
      <c r="N1376" s="1">
        <v>45402</v>
      </c>
      <c r="O1376" t="s">
        <v>238</v>
      </c>
      <c r="P1376" t="s">
        <v>12979</v>
      </c>
      <c r="Q1376" t="s">
        <v>12980</v>
      </c>
      <c r="R1376" t="s">
        <v>12981</v>
      </c>
      <c r="S1376" t="s">
        <v>12982</v>
      </c>
      <c r="T1376" t="s">
        <v>891</v>
      </c>
      <c r="U1376" t="s">
        <v>892</v>
      </c>
      <c r="V1376" s="8" t="str">
        <f>"59716"</f>
        <v>59716</v>
      </c>
      <c r="W1376" t="s">
        <v>118</v>
      </c>
      <c r="Y1376" s="10">
        <v>14069957909</v>
      </c>
      <c r="AA1376">
        <v>721110</v>
      </c>
      <c r="AB1376" t="s">
        <v>12983</v>
      </c>
      <c r="AC1376" t="s">
        <v>7478</v>
      </c>
      <c r="AE1376" t="s">
        <v>12984</v>
      </c>
      <c r="AF1376" t="s">
        <v>12981</v>
      </c>
      <c r="AG1376" t="s">
        <v>17135</v>
      </c>
      <c r="AH1376" t="s">
        <v>891</v>
      </c>
      <c r="AI1376" t="s">
        <v>892</v>
      </c>
      <c r="AJ1376" s="8" t="str">
        <f>"59716"</f>
        <v>59716</v>
      </c>
      <c r="AK1376" t="s">
        <v>118</v>
      </c>
      <c r="AM1376" s="10">
        <v>14069957909</v>
      </c>
      <c r="AN1376">
        <v>1304</v>
      </c>
      <c r="AO1376" t="s">
        <v>12986</v>
      </c>
      <c r="AP1376" t="s">
        <v>121</v>
      </c>
      <c r="AQ1376" t="s">
        <v>276</v>
      </c>
      <c r="AR1376" t="s">
        <v>277</v>
      </c>
      <c r="AS1376" t="s">
        <v>278</v>
      </c>
      <c r="AT1376" t="s">
        <v>279</v>
      </c>
      <c r="AU1376" t="s">
        <v>280</v>
      </c>
      <c r="AV1376" t="s">
        <v>281</v>
      </c>
      <c r="AW1376" t="s">
        <v>222</v>
      </c>
      <c r="AX1376" s="8" t="str">
        <f>"01701"</f>
        <v>01701</v>
      </c>
      <c r="AY1376" t="s">
        <v>118</v>
      </c>
      <c r="BA1376" s="10">
        <v>16179399444</v>
      </c>
      <c r="BC1376" t="s">
        <v>282</v>
      </c>
      <c r="BD1376" t="s">
        <v>283</v>
      </c>
      <c r="BE1376" t="s">
        <v>222</v>
      </c>
      <c r="BF1376" t="s">
        <v>284</v>
      </c>
      <c r="BG1376" t="s">
        <v>892</v>
      </c>
      <c r="BH1376" s="1">
        <v>45154.833333333336</v>
      </c>
      <c r="BI1376">
        <v>40</v>
      </c>
      <c r="BJ1376">
        <v>0</v>
      </c>
      <c r="BK1376">
        <v>8</v>
      </c>
      <c r="BL1376">
        <v>8</v>
      </c>
      <c r="BM1376">
        <v>8</v>
      </c>
      <c r="BN1376">
        <v>8</v>
      </c>
      <c r="BO1376">
        <v>8</v>
      </c>
      <c r="BP1376">
        <v>0</v>
      </c>
      <c r="BQ1376" t="str">
        <f>"7:00 AM"</f>
        <v>7:00 AM</v>
      </c>
      <c r="BR1376" t="str">
        <f>"3:00 PM"</f>
        <v>3:00 PM</v>
      </c>
      <c r="BS1376" t="s">
        <v>131</v>
      </c>
      <c r="BT1376">
        <v>0</v>
      </c>
      <c r="BU1376">
        <v>6</v>
      </c>
      <c r="BV1376" t="s">
        <v>114</v>
      </c>
      <c r="BX1376" s="2" t="s">
        <v>17136</v>
      </c>
      <c r="BY1376" t="s">
        <v>12981</v>
      </c>
      <c r="CA1376" t="s">
        <v>891</v>
      </c>
      <c r="CB1376" t="s">
        <v>892</v>
      </c>
      <c r="CC1376" s="8" t="str">
        <f>"59716"</f>
        <v>59716</v>
      </c>
      <c r="CD1376" t="s">
        <v>908</v>
      </c>
      <c r="CE1376" t="s">
        <v>909</v>
      </c>
      <c r="CF1376" s="12">
        <v>19</v>
      </c>
      <c r="CG1376" s="12">
        <v>24</v>
      </c>
      <c r="CH1376" s="12">
        <v>28.5</v>
      </c>
      <c r="CI1376" s="12">
        <v>36</v>
      </c>
      <c r="CJ1376" t="s">
        <v>135</v>
      </c>
      <c r="CK1376" t="s">
        <v>17137</v>
      </c>
      <c r="CL1376" t="s">
        <v>17138</v>
      </c>
      <c r="CO1376" t="s">
        <v>132</v>
      </c>
      <c r="CP1376" t="s">
        <v>136</v>
      </c>
      <c r="CQ1376" t="s">
        <v>136</v>
      </c>
      <c r="CR1376" t="s">
        <v>136</v>
      </c>
      <c r="CS1376" t="s">
        <v>136</v>
      </c>
      <c r="CT1376" t="s">
        <v>136</v>
      </c>
      <c r="CU1376" t="s">
        <v>136</v>
      </c>
      <c r="CV1376" t="s">
        <v>17139</v>
      </c>
      <c r="CW1376" s="10" t="str">
        <f>"+14069957909"</f>
        <v>+14069957909</v>
      </c>
      <c r="CX1376" t="s">
        <v>12986</v>
      </c>
      <c r="CY1376" t="s">
        <v>132</v>
      </c>
      <c r="CZ1376" t="s">
        <v>137</v>
      </c>
      <c r="DA1376" t="s">
        <v>114</v>
      </c>
      <c r="DB1376" t="s">
        <v>136</v>
      </c>
      <c r="DC1376" t="s">
        <v>136</v>
      </c>
      <c r="DD1376" t="s">
        <v>114</v>
      </c>
    </row>
    <row r="1377" spans="1:113" ht="15" customHeight="1" x14ac:dyDescent="0.25">
      <c r="A1377" t="s">
        <v>10455</v>
      </c>
      <c r="B1377" t="s">
        <v>152</v>
      </c>
      <c r="C1377" s="1">
        <v>45154.706222685185</v>
      </c>
      <c r="D1377" s="1">
        <v>45217</v>
      </c>
      <c r="E1377" t="s">
        <v>114</v>
      </c>
      <c r="F1377" t="s">
        <v>1950</v>
      </c>
      <c r="G1377" t="str">
        <f>"37-2012.00"</f>
        <v>37-2012.00</v>
      </c>
      <c r="H1377" t="s">
        <v>205</v>
      </c>
      <c r="I1377">
        <v>11</v>
      </c>
      <c r="J1377">
        <v>11</v>
      </c>
      <c r="K1377" s="1">
        <v>45240</v>
      </c>
      <c r="L1377" s="1">
        <v>45377</v>
      </c>
      <c r="M1377" s="1">
        <v>45240</v>
      </c>
      <c r="N1377" s="1">
        <v>45377</v>
      </c>
      <c r="O1377" t="s">
        <v>116</v>
      </c>
      <c r="P1377" t="s">
        <v>10456</v>
      </c>
      <c r="Q1377" t="s">
        <v>10457</v>
      </c>
      <c r="R1377" t="s">
        <v>10458</v>
      </c>
      <c r="S1377" t="s">
        <v>10459</v>
      </c>
      <c r="T1377" t="s">
        <v>587</v>
      </c>
      <c r="U1377" t="s">
        <v>584</v>
      </c>
      <c r="V1377" s="8" t="str">
        <f>"83001"</f>
        <v>83001</v>
      </c>
      <c r="W1377" t="s">
        <v>118</v>
      </c>
      <c r="Y1377" s="10">
        <v>13077333121</v>
      </c>
      <c r="AA1377">
        <v>72111</v>
      </c>
      <c r="AB1377" t="s">
        <v>10460</v>
      </c>
      <c r="AC1377" t="s">
        <v>6232</v>
      </c>
      <c r="AE1377" t="s">
        <v>794</v>
      </c>
      <c r="AF1377" t="s">
        <v>10458</v>
      </c>
      <c r="AG1377" t="s">
        <v>10459</v>
      </c>
      <c r="AH1377" t="s">
        <v>587</v>
      </c>
      <c r="AI1377" t="s">
        <v>584</v>
      </c>
      <c r="AJ1377" s="8" t="str">
        <f>"83001"</f>
        <v>83001</v>
      </c>
      <c r="AK1377" t="s">
        <v>118</v>
      </c>
      <c r="AM1377" s="10">
        <v>13077333121</v>
      </c>
      <c r="AN1377">
        <v>149</v>
      </c>
      <c r="AO1377" t="s">
        <v>132</v>
      </c>
      <c r="AP1377" t="s">
        <v>248</v>
      </c>
      <c r="AQ1377" t="s">
        <v>577</v>
      </c>
      <c r="AR1377" t="s">
        <v>578</v>
      </c>
      <c r="AT1377" t="s">
        <v>579</v>
      </c>
      <c r="AV1377" t="s">
        <v>580</v>
      </c>
      <c r="AW1377" t="s">
        <v>581</v>
      </c>
      <c r="AX1377" s="8" t="str">
        <f>"22903"</f>
        <v>22903</v>
      </c>
      <c r="AY1377" t="s">
        <v>118</v>
      </c>
      <c r="BA1377" s="10">
        <v>14342634300</v>
      </c>
      <c r="BC1377" t="s">
        <v>2909</v>
      </c>
      <c r="BD1377" t="s">
        <v>583</v>
      </c>
      <c r="BG1377" t="s">
        <v>584</v>
      </c>
      <c r="BH1377" s="1">
        <v>45153.833333333336</v>
      </c>
      <c r="BI1377">
        <v>35</v>
      </c>
      <c r="BJ1377">
        <v>0</v>
      </c>
      <c r="BK1377">
        <v>7</v>
      </c>
      <c r="BL1377">
        <v>7</v>
      </c>
      <c r="BM1377">
        <v>7</v>
      </c>
      <c r="BN1377">
        <v>7</v>
      </c>
      <c r="BO1377">
        <v>7</v>
      </c>
      <c r="BP1377">
        <v>0</v>
      </c>
      <c r="BQ1377" t="str">
        <f>"8:30 AM"</f>
        <v>8:30 AM</v>
      </c>
      <c r="BR1377" t="str">
        <f>"4:00 PM"</f>
        <v>4:00 PM</v>
      </c>
      <c r="BS1377" t="s">
        <v>131</v>
      </c>
      <c r="BT1377">
        <v>0</v>
      </c>
      <c r="BU1377">
        <v>3</v>
      </c>
      <c r="BV1377" t="s">
        <v>114</v>
      </c>
      <c r="BX1377" s="2" t="s">
        <v>10461</v>
      </c>
      <c r="BY1377" t="s">
        <v>10458</v>
      </c>
      <c r="CA1377" t="s">
        <v>587</v>
      </c>
      <c r="CB1377" t="s">
        <v>584</v>
      </c>
      <c r="CC1377" s="8" t="str">
        <f>"83001"</f>
        <v>83001</v>
      </c>
      <c r="CD1377" t="s">
        <v>588</v>
      </c>
      <c r="CE1377" t="s">
        <v>589</v>
      </c>
      <c r="CF1377" s="12">
        <v>14.28</v>
      </c>
      <c r="CH1377" s="12">
        <v>21.42</v>
      </c>
      <c r="CJ1377" t="s">
        <v>135</v>
      </c>
      <c r="CK1377" t="s">
        <v>590</v>
      </c>
      <c r="CL1377" t="s">
        <v>10462</v>
      </c>
      <c r="CO1377" t="s">
        <v>132</v>
      </c>
      <c r="CP1377" t="s">
        <v>114</v>
      </c>
      <c r="CQ1377" t="s">
        <v>114</v>
      </c>
      <c r="CR1377" t="s">
        <v>136</v>
      </c>
      <c r="CS1377" t="s">
        <v>114</v>
      </c>
      <c r="CT1377" t="s">
        <v>136</v>
      </c>
      <c r="CU1377" t="s">
        <v>136</v>
      </c>
      <c r="CV1377" t="s">
        <v>10463</v>
      </c>
      <c r="CW1377" s="10" t="str">
        <f>"N/A"</f>
        <v>N/A</v>
      </c>
      <c r="CX1377" t="s">
        <v>10464</v>
      </c>
      <c r="CY1377" t="s">
        <v>594</v>
      </c>
      <c r="CZ1377" t="s">
        <v>137</v>
      </c>
      <c r="DA1377" t="s">
        <v>114</v>
      </c>
      <c r="DB1377" t="s">
        <v>136</v>
      </c>
      <c r="DC1377" t="s">
        <v>136</v>
      </c>
      <c r="DD1377" t="s">
        <v>114</v>
      </c>
      <c r="DE1377" t="s">
        <v>2912</v>
      </c>
      <c r="DF1377" t="s">
        <v>2913</v>
      </c>
      <c r="DH1377" t="s">
        <v>583</v>
      </c>
      <c r="DI1377" t="s">
        <v>2909</v>
      </c>
    </row>
    <row r="1378" spans="1:113" ht="15" customHeight="1" x14ac:dyDescent="0.25">
      <c r="A1378" t="s">
        <v>7062</v>
      </c>
      <c r="B1378" t="s">
        <v>152</v>
      </c>
      <c r="C1378" s="1">
        <v>45153.529184722225</v>
      </c>
      <c r="D1378" s="1">
        <v>45217</v>
      </c>
      <c r="E1378" t="s">
        <v>114</v>
      </c>
      <c r="F1378" t="s">
        <v>1113</v>
      </c>
      <c r="G1378" t="str">
        <f>"37-3011.00"</f>
        <v>37-3011.00</v>
      </c>
      <c r="H1378" t="s">
        <v>429</v>
      </c>
      <c r="I1378">
        <v>20</v>
      </c>
      <c r="J1378">
        <v>20</v>
      </c>
      <c r="K1378" s="1">
        <v>45231</v>
      </c>
      <c r="L1378" s="1">
        <v>45389</v>
      </c>
      <c r="M1378" s="1">
        <v>45231</v>
      </c>
      <c r="N1378" s="1">
        <v>45389</v>
      </c>
      <c r="O1378" t="s">
        <v>116</v>
      </c>
      <c r="P1378" t="s">
        <v>7063</v>
      </c>
      <c r="R1378" t="s">
        <v>7064</v>
      </c>
      <c r="S1378" t="s">
        <v>7065</v>
      </c>
      <c r="T1378" t="s">
        <v>7066</v>
      </c>
      <c r="U1378" t="s">
        <v>434</v>
      </c>
      <c r="V1378" s="8" t="str">
        <f>"19017"</f>
        <v>19017</v>
      </c>
      <c r="W1378" t="s">
        <v>118</v>
      </c>
      <c r="Y1378" s="10">
        <v>14847233600</v>
      </c>
      <c r="AA1378">
        <v>56173</v>
      </c>
      <c r="AB1378" t="s">
        <v>7067</v>
      </c>
      <c r="AC1378" t="s">
        <v>1713</v>
      </c>
      <c r="AE1378" t="s">
        <v>629</v>
      </c>
      <c r="AF1378" t="s">
        <v>7064</v>
      </c>
      <c r="AG1378" t="s">
        <v>7065</v>
      </c>
      <c r="AH1378" t="s">
        <v>7066</v>
      </c>
      <c r="AI1378" t="s">
        <v>434</v>
      </c>
      <c r="AJ1378" s="8" t="str">
        <f>"19017"</f>
        <v>19017</v>
      </c>
      <c r="AK1378" t="s">
        <v>118</v>
      </c>
      <c r="AM1378" s="10">
        <v>14847233600</v>
      </c>
      <c r="AO1378" t="s">
        <v>132</v>
      </c>
      <c r="AP1378" t="s">
        <v>248</v>
      </c>
      <c r="AQ1378" t="s">
        <v>577</v>
      </c>
      <c r="AR1378" t="s">
        <v>578</v>
      </c>
      <c r="AT1378" t="s">
        <v>579</v>
      </c>
      <c r="AV1378" t="s">
        <v>580</v>
      </c>
      <c r="AW1378" t="s">
        <v>581</v>
      </c>
      <c r="AX1378" s="8" t="str">
        <f>"22903"</f>
        <v>22903</v>
      </c>
      <c r="AY1378" t="s">
        <v>118</v>
      </c>
      <c r="BA1378" s="10">
        <v>14342634300</v>
      </c>
      <c r="BC1378" t="s">
        <v>2271</v>
      </c>
      <c r="BD1378" t="s">
        <v>583</v>
      </c>
      <c r="BG1378" t="s">
        <v>434</v>
      </c>
      <c r="BH1378" s="1">
        <v>45152.833333333336</v>
      </c>
      <c r="BI1378">
        <v>35</v>
      </c>
      <c r="BJ1378">
        <v>0</v>
      </c>
      <c r="BK1378">
        <v>7</v>
      </c>
      <c r="BL1378">
        <v>7</v>
      </c>
      <c r="BM1378">
        <v>7</v>
      </c>
      <c r="BN1378">
        <v>7</v>
      </c>
      <c r="BO1378">
        <v>7</v>
      </c>
      <c r="BP1378">
        <v>0</v>
      </c>
      <c r="BQ1378" t="str">
        <f>"7:30 AM"</f>
        <v>7:30 AM</v>
      </c>
      <c r="BR1378" t="str">
        <f>"3:00 PM"</f>
        <v>3:00 PM</v>
      </c>
      <c r="BS1378" t="s">
        <v>131</v>
      </c>
      <c r="BT1378">
        <v>0</v>
      </c>
      <c r="BU1378">
        <v>3</v>
      </c>
      <c r="BV1378" t="s">
        <v>114</v>
      </c>
      <c r="BX1378" s="2" t="s">
        <v>7068</v>
      </c>
      <c r="BY1378" t="s">
        <v>7069</v>
      </c>
      <c r="CA1378" t="s">
        <v>7066</v>
      </c>
      <c r="CB1378" t="s">
        <v>434</v>
      </c>
      <c r="CC1378" s="8" t="str">
        <f>"19017"</f>
        <v>19017</v>
      </c>
      <c r="CD1378" t="s">
        <v>442</v>
      </c>
      <c r="CE1378" t="s">
        <v>443</v>
      </c>
      <c r="CF1378" s="12">
        <v>18.71</v>
      </c>
      <c r="CH1378" s="12">
        <v>28.07</v>
      </c>
      <c r="CJ1378" t="s">
        <v>135</v>
      </c>
      <c r="CK1378" t="s">
        <v>590</v>
      </c>
      <c r="CL1378" t="s">
        <v>7070</v>
      </c>
      <c r="CO1378" t="s">
        <v>132</v>
      </c>
      <c r="CP1378" t="s">
        <v>136</v>
      </c>
      <c r="CQ1378" t="s">
        <v>136</v>
      </c>
      <c r="CR1378" t="s">
        <v>136</v>
      </c>
      <c r="CS1378" t="s">
        <v>114</v>
      </c>
      <c r="CT1378" t="s">
        <v>136</v>
      </c>
      <c r="CU1378" t="s">
        <v>136</v>
      </c>
      <c r="CV1378" t="s">
        <v>5439</v>
      </c>
      <c r="CW1378" s="10" t="str">
        <f>"N/A"</f>
        <v>N/A</v>
      </c>
      <c r="CX1378" t="s">
        <v>7071</v>
      </c>
      <c r="CY1378" t="s">
        <v>1997</v>
      </c>
      <c r="CZ1378" t="s">
        <v>137</v>
      </c>
      <c r="DA1378" t="s">
        <v>114</v>
      </c>
      <c r="DB1378" t="s">
        <v>136</v>
      </c>
      <c r="DC1378" t="s">
        <v>136</v>
      </c>
      <c r="DD1378" t="s">
        <v>114</v>
      </c>
      <c r="DE1378" t="s">
        <v>2273</v>
      </c>
      <c r="DF1378" t="s">
        <v>1069</v>
      </c>
      <c r="DH1378" t="s">
        <v>583</v>
      </c>
      <c r="DI1378" t="s">
        <v>2271</v>
      </c>
    </row>
    <row r="1379" spans="1:113" ht="15" customHeight="1" x14ac:dyDescent="0.25">
      <c r="A1379" t="s">
        <v>18515</v>
      </c>
      <c r="B1379" t="s">
        <v>152</v>
      </c>
      <c r="C1379" s="1">
        <v>45124.113261226848</v>
      </c>
      <c r="D1379" s="1">
        <v>45217</v>
      </c>
      <c r="E1379" t="s">
        <v>114</v>
      </c>
      <c r="F1379" t="s">
        <v>18516</v>
      </c>
      <c r="G1379" t="str">
        <f>"39-9011.00"</f>
        <v>39-9011.00</v>
      </c>
      <c r="H1379" t="s">
        <v>183</v>
      </c>
      <c r="I1379">
        <v>10</v>
      </c>
      <c r="J1379">
        <v>10</v>
      </c>
      <c r="K1379" s="1">
        <v>45200</v>
      </c>
      <c r="L1379" s="1">
        <v>45474</v>
      </c>
      <c r="M1379" s="1">
        <v>45200</v>
      </c>
      <c r="N1379" s="1">
        <v>45474</v>
      </c>
      <c r="O1379" t="s">
        <v>238</v>
      </c>
      <c r="P1379" t="s">
        <v>18517</v>
      </c>
      <c r="Q1379" t="s">
        <v>18518</v>
      </c>
      <c r="R1379" t="s">
        <v>18519</v>
      </c>
      <c r="T1379" t="s">
        <v>11388</v>
      </c>
      <c r="U1379" t="s">
        <v>358</v>
      </c>
      <c r="V1379" s="8" t="str">
        <f>"12605"</f>
        <v>12605</v>
      </c>
      <c r="W1379" t="s">
        <v>118</v>
      </c>
      <c r="Y1379" s="10">
        <v>15183713722</v>
      </c>
      <c r="AA1379">
        <v>624410</v>
      </c>
      <c r="AB1379" t="s">
        <v>18520</v>
      </c>
      <c r="AC1379" t="s">
        <v>18521</v>
      </c>
      <c r="AE1379" t="s">
        <v>561</v>
      </c>
      <c r="AF1379" t="s">
        <v>18522</v>
      </c>
      <c r="AH1379" t="s">
        <v>18523</v>
      </c>
      <c r="AI1379" t="s">
        <v>358</v>
      </c>
      <c r="AJ1379" s="8" t="str">
        <f>"10960"</f>
        <v>10960</v>
      </c>
      <c r="AK1379" t="s">
        <v>118</v>
      </c>
      <c r="AM1379" s="10">
        <v>18456891540</v>
      </c>
      <c r="AO1379" t="s">
        <v>18524</v>
      </c>
      <c r="AX1379" s="8" t="str">
        <f>""</f>
        <v/>
      </c>
      <c r="BG1379" t="s">
        <v>358</v>
      </c>
      <c r="BH1379" s="1">
        <v>45123.833333333336</v>
      </c>
      <c r="BI1379">
        <v>40</v>
      </c>
      <c r="BJ1379">
        <v>0</v>
      </c>
      <c r="BK1379">
        <v>8</v>
      </c>
      <c r="BL1379">
        <v>8</v>
      </c>
      <c r="BM1379">
        <v>8</v>
      </c>
      <c r="BN1379">
        <v>8</v>
      </c>
      <c r="BO1379">
        <v>8</v>
      </c>
      <c r="BP1379">
        <v>0</v>
      </c>
      <c r="BQ1379" t="str">
        <f>"7:15 AM"</f>
        <v>7:15 AM</v>
      </c>
      <c r="BR1379" t="str">
        <f>"4:15 PM"</f>
        <v>4:15 PM</v>
      </c>
      <c r="BS1379" t="s">
        <v>1506</v>
      </c>
      <c r="BT1379">
        <v>1</v>
      </c>
      <c r="BU1379">
        <v>6</v>
      </c>
      <c r="BV1379" t="s">
        <v>136</v>
      </c>
      <c r="BW1379">
        <v>1</v>
      </c>
      <c r="BX1379" s="2" t="s">
        <v>18525</v>
      </c>
      <c r="BY1379" t="s">
        <v>18519</v>
      </c>
      <c r="CA1379" t="s">
        <v>18526</v>
      </c>
      <c r="CB1379" t="s">
        <v>358</v>
      </c>
      <c r="CC1379" s="8" t="str">
        <f>"12065"</f>
        <v>12065</v>
      </c>
      <c r="CD1379" t="s">
        <v>3060</v>
      </c>
      <c r="CE1379" t="s">
        <v>2318</v>
      </c>
      <c r="CF1379" s="12">
        <v>16.02</v>
      </c>
      <c r="CG1379" s="12">
        <v>18</v>
      </c>
      <c r="CH1379" s="12">
        <v>24.03</v>
      </c>
      <c r="CI1379" s="12">
        <v>27</v>
      </c>
      <c r="CJ1379" t="s">
        <v>5501</v>
      </c>
      <c r="CL1379" t="s">
        <v>18527</v>
      </c>
      <c r="CO1379" t="s">
        <v>136</v>
      </c>
      <c r="CP1379" t="s">
        <v>114</v>
      </c>
      <c r="CQ1379" t="s">
        <v>114</v>
      </c>
      <c r="CR1379" t="s">
        <v>114</v>
      </c>
      <c r="CS1379" t="s">
        <v>136</v>
      </c>
      <c r="CT1379" t="s">
        <v>136</v>
      </c>
      <c r="CU1379" t="s">
        <v>114</v>
      </c>
      <c r="CV1379" t="s">
        <v>131</v>
      </c>
      <c r="CW1379" s="10" t="str">
        <f>"N/A"</f>
        <v>N/A</v>
      </c>
      <c r="CX1379" t="s">
        <v>18524</v>
      </c>
      <c r="CY1379" t="s">
        <v>18528</v>
      </c>
      <c r="CZ1379" t="s">
        <v>137</v>
      </c>
      <c r="DA1379" t="s">
        <v>114</v>
      </c>
      <c r="DB1379" t="s">
        <v>114</v>
      </c>
      <c r="DC1379" t="s">
        <v>136</v>
      </c>
      <c r="DD1379" t="s">
        <v>114</v>
      </c>
    </row>
    <row r="1380" spans="1:113" ht="15" customHeight="1" x14ac:dyDescent="0.25">
      <c r="A1380" t="s">
        <v>11970</v>
      </c>
      <c r="B1380" t="s">
        <v>152</v>
      </c>
      <c r="C1380" s="1">
        <v>45120.56048414352</v>
      </c>
      <c r="D1380" s="1">
        <v>45217</v>
      </c>
      <c r="E1380" t="s">
        <v>114</v>
      </c>
      <c r="F1380" t="s">
        <v>944</v>
      </c>
      <c r="G1380" t="str">
        <f>"49-9098.00"</f>
        <v>49-9098.00</v>
      </c>
      <c r="H1380" t="s">
        <v>945</v>
      </c>
      <c r="I1380">
        <v>4</v>
      </c>
      <c r="J1380">
        <v>4</v>
      </c>
      <c r="K1380" s="1">
        <v>45200</v>
      </c>
      <c r="L1380" s="1">
        <v>45383</v>
      </c>
      <c r="M1380" s="1">
        <v>45200</v>
      </c>
      <c r="N1380" s="1">
        <v>45383</v>
      </c>
      <c r="O1380" t="s">
        <v>238</v>
      </c>
      <c r="P1380" t="s">
        <v>11971</v>
      </c>
      <c r="Q1380" t="s">
        <v>11972</v>
      </c>
      <c r="R1380" t="s">
        <v>11973</v>
      </c>
      <c r="T1380" t="s">
        <v>11974</v>
      </c>
      <c r="U1380" t="s">
        <v>402</v>
      </c>
      <c r="V1380" s="8" t="str">
        <f>"93622"</f>
        <v>93622</v>
      </c>
      <c r="W1380" t="s">
        <v>118</v>
      </c>
      <c r="Y1380" s="10">
        <v>14157981537</v>
      </c>
      <c r="Z1380" s="3" t="s">
        <v>256</v>
      </c>
      <c r="AA1380">
        <v>71399</v>
      </c>
      <c r="AB1380" t="s">
        <v>8126</v>
      </c>
      <c r="AC1380" t="s">
        <v>1328</v>
      </c>
      <c r="AE1380" t="s">
        <v>1580</v>
      </c>
      <c r="AF1380" t="s">
        <v>11975</v>
      </c>
      <c r="AH1380" t="s">
        <v>11974</v>
      </c>
      <c r="AI1380" t="s">
        <v>402</v>
      </c>
      <c r="AJ1380" s="8" t="str">
        <f>"93622"</f>
        <v>93622</v>
      </c>
      <c r="AK1380" t="s">
        <v>118</v>
      </c>
      <c r="AM1380" s="10">
        <v>14157981537</v>
      </c>
      <c r="AO1380" t="s">
        <v>11976</v>
      </c>
      <c r="AP1380" t="s">
        <v>248</v>
      </c>
      <c r="AQ1380" t="s">
        <v>249</v>
      </c>
      <c r="AR1380" t="s">
        <v>250</v>
      </c>
      <c r="AS1380" t="s">
        <v>251</v>
      </c>
      <c r="AT1380" t="s">
        <v>252</v>
      </c>
      <c r="AU1380" t="s">
        <v>253</v>
      </c>
      <c r="AV1380" t="s">
        <v>254</v>
      </c>
      <c r="AW1380" t="s">
        <v>127</v>
      </c>
      <c r="AX1380" s="8" t="str">
        <f>"78550"</f>
        <v>78550</v>
      </c>
      <c r="AY1380" t="s">
        <v>118</v>
      </c>
      <c r="AZ1380" t="s">
        <v>255</v>
      </c>
      <c r="BA1380" s="10">
        <v>19564408720</v>
      </c>
      <c r="BB1380" s="3" t="s">
        <v>256</v>
      </c>
      <c r="BC1380" t="s">
        <v>338</v>
      </c>
      <c r="BD1380" t="s">
        <v>258</v>
      </c>
      <c r="BG1380" t="s">
        <v>402</v>
      </c>
      <c r="BH1380" s="1">
        <v>45119.833333333336</v>
      </c>
      <c r="BI1380">
        <v>40</v>
      </c>
      <c r="BJ1380">
        <v>8</v>
      </c>
      <c r="BK1380">
        <v>0</v>
      </c>
      <c r="BL1380">
        <v>0</v>
      </c>
      <c r="BM1380">
        <v>8</v>
      </c>
      <c r="BN1380">
        <v>8</v>
      </c>
      <c r="BO1380">
        <v>8</v>
      </c>
      <c r="BP1380">
        <v>8</v>
      </c>
      <c r="BQ1380" t="str">
        <f>"1:00 PM"</f>
        <v>1:00 PM</v>
      </c>
      <c r="BR1380" t="str">
        <f>"10:00 PM"</f>
        <v>10:00 PM</v>
      </c>
      <c r="BS1380" t="s">
        <v>131</v>
      </c>
      <c r="BT1380">
        <v>0</v>
      </c>
      <c r="BU1380">
        <v>0</v>
      </c>
      <c r="BV1380" t="s">
        <v>114</v>
      </c>
      <c r="BX1380" t="s">
        <v>11977</v>
      </c>
      <c r="BY1380" t="s">
        <v>11978</v>
      </c>
      <c r="CA1380" t="s">
        <v>11974</v>
      </c>
      <c r="CB1380" t="s">
        <v>402</v>
      </c>
      <c r="CC1380" s="8" t="str">
        <f>"93622"</f>
        <v>93622</v>
      </c>
      <c r="CD1380" t="s">
        <v>3277</v>
      </c>
      <c r="CE1380" t="s">
        <v>3278</v>
      </c>
      <c r="CF1380" s="12">
        <v>17.350000000000001</v>
      </c>
      <c r="CH1380" s="12">
        <v>0</v>
      </c>
      <c r="CI1380" s="12">
        <v>0</v>
      </c>
      <c r="CJ1380" t="s">
        <v>135</v>
      </c>
      <c r="CK1380" t="s">
        <v>342</v>
      </c>
      <c r="CL1380" t="s">
        <v>11979</v>
      </c>
      <c r="CO1380" t="s">
        <v>132</v>
      </c>
      <c r="CP1380" t="s">
        <v>114</v>
      </c>
      <c r="CQ1380" t="s">
        <v>136</v>
      </c>
      <c r="CR1380" t="s">
        <v>114</v>
      </c>
      <c r="CS1380" t="s">
        <v>136</v>
      </c>
      <c r="CT1380" t="s">
        <v>136</v>
      </c>
      <c r="CU1380" t="s">
        <v>136</v>
      </c>
      <c r="CV1380" t="s">
        <v>4970</v>
      </c>
      <c r="CW1380" s="10" t="str">
        <f>"+14157981537"</f>
        <v>+14157981537</v>
      </c>
      <c r="CX1380" t="s">
        <v>11976</v>
      </c>
      <c r="CY1380" t="s">
        <v>132</v>
      </c>
      <c r="CZ1380" t="s">
        <v>137</v>
      </c>
      <c r="DA1380" t="s">
        <v>114</v>
      </c>
      <c r="DB1380" t="s">
        <v>114</v>
      </c>
      <c r="DC1380" t="s">
        <v>136</v>
      </c>
      <c r="DD1380" t="s">
        <v>114</v>
      </c>
    </row>
    <row r="1381" spans="1:113" ht="15" customHeight="1" x14ac:dyDescent="0.25">
      <c r="A1381" t="s">
        <v>17393</v>
      </c>
      <c r="B1381" t="s">
        <v>152</v>
      </c>
      <c r="C1381" s="1">
        <v>45112.81832766204</v>
      </c>
      <c r="D1381" s="1">
        <v>45217</v>
      </c>
      <c r="E1381" t="s">
        <v>114</v>
      </c>
      <c r="F1381" t="s">
        <v>1261</v>
      </c>
      <c r="G1381" t="str">
        <f>"47-3012.00"</f>
        <v>47-3012.00</v>
      </c>
      <c r="H1381" t="s">
        <v>979</v>
      </c>
      <c r="I1381">
        <v>20</v>
      </c>
      <c r="J1381">
        <v>20</v>
      </c>
      <c r="K1381" s="1">
        <v>45200</v>
      </c>
      <c r="L1381" s="1">
        <v>45291</v>
      </c>
      <c r="M1381" s="1">
        <v>45200</v>
      </c>
      <c r="N1381" s="1">
        <v>45291</v>
      </c>
      <c r="O1381" t="s">
        <v>238</v>
      </c>
      <c r="P1381" t="s">
        <v>14857</v>
      </c>
      <c r="R1381" t="s">
        <v>14858</v>
      </c>
      <c r="T1381" t="s">
        <v>14859</v>
      </c>
      <c r="U1381" t="s">
        <v>993</v>
      </c>
      <c r="V1381" s="8" t="str">
        <f>"54727"</f>
        <v>54727</v>
      </c>
      <c r="W1381" t="s">
        <v>118</v>
      </c>
      <c r="Y1381" s="10">
        <v>17152893966</v>
      </c>
      <c r="AA1381">
        <v>23811</v>
      </c>
      <c r="AB1381" t="s">
        <v>14860</v>
      </c>
      <c r="AC1381" t="s">
        <v>9431</v>
      </c>
      <c r="AE1381" t="s">
        <v>629</v>
      </c>
      <c r="AF1381" t="s">
        <v>14858</v>
      </c>
      <c r="AH1381" t="s">
        <v>14859</v>
      </c>
      <c r="AI1381" t="s">
        <v>993</v>
      </c>
      <c r="AJ1381" s="8" t="str">
        <f>"54727"</f>
        <v>54727</v>
      </c>
      <c r="AK1381" t="s">
        <v>118</v>
      </c>
      <c r="AM1381" s="10">
        <v>17152893966</v>
      </c>
      <c r="AO1381" t="s">
        <v>14861</v>
      </c>
      <c r="AP1381" t="s">
        <v>121</v>
      </c>
      <c r="AQ1381" t="s">
        <v>929</v>
      </c>
      <c r="AR1381" t="s">
        <v>930</v>
      </c>
      <c r="AS1381" t="s">
        <v>931</v>
      </c>
      <c r="AT1381" t="s">
        <v>932</v>
      </c>
      <c r="AU1381" t="s">
        <v>132</v>
      </c>
      <c r="AV1381" t="s">
        <v>933</v>
      </c>
      <c r="AW1381" t="s">
        <v>740</v>
      </c>
      <c r="AX1381" s="8" t="str">
        <f>"50010"</f>
        <v>50010</v>
      </c>
      <c r="AY1381" t="s">
        <v>118</v>
      </c>
      <c r="BA1381" s="10">
        <v>15152324444</v>
      </c>
      <c r="BB1381">
        <v>0</v>
      </c>
      <c r="BC1381" t="s">
        <v>934</v>
      </c>
      <c r="BD1381" t="s">
        <v>935</v>
      </c>
      <c r="BE1381" t="s">
        <v>740</v>
      </c>
      <c r="BF1381" t="s">
        <v>172</v>
      </c>
      <c r="BG1381" t="s">
        <v>993</v>
      </c>
      <c r="BH1381" s="1">
        <v>45111.833333333336</v>
      </c>
      <c r="BI1381">
        <v>48</v>
      </c>
      <c r="BJ1381">
        <v>0</v>
      </c>
      <c r="BK1381">
        <v>8</v>
      </c>
      <c r="BL1381">
        <v>8</v>
      </c>
      <c r="BM1381">
        <v>8</v>
      </c>
      <c r="BN1381">
        <v>8</v>
      </c>
      <c r="BO1381">
        <v>8</v>
      </c>
      <c r="BP1381">
        <v>8</v>
      </c>
      <c r="BQ1381" t="str">
        <f>"6:00 AM"</f>
        <v>6:00 AM</v>
      </c>
      <c r="BR1381" t="str">
        <f>"6:00 PM"</f>
        <v>6:00 PM</v>
      </c>
      <c r="BS1381" t="s">
        <v>131</v>
      </c>
      <c r="BT1381">
        <v>0</v>
      </c>
      <c r="BU1381">
        <v>0</v>
      </c>
      <c r="BV1381" t="s">
        <v>114</v>
      </c>
      <c r="BX1381" s="2" t="s">
        <v>14862</v>
      </c>
      <c r="BY1381" t="s">
        <v>17394</v>
      </c>
      <c r="CA1381" t="s">
        <v>17395</v>
      </c>
      <c r="CB1381" t="s">
        <v>993</v>
      </c>
      <c r="CC1381" s="8" t="str">
        <f>"54848"</f>
        <v>54848</v>
      </c>
      <c r="CD1381" t="s">
        <v>15399</v>
      </c>
      <c r="CE1381" t="s">
        <v>8032</v>
      </c>
      <c r="CF1381" s="12">
        <v>19.04</v>
      </c>
      <c r="CH1381" s="12">
        <v>28.56</v>
      </c>
      <c r="CJ1381" t="s">
        <v>135</v>
      </c>
      <c r="CK1381" t="s">
        <v>14443</v>
      </c>
      <c r="CL1381" t="s">
        <v>17396</v>
      </c>
      <c r="CO1381" t="s">
        <v>132</v>
      </c>
      <c r="CP1381" t="s">
        <v>136</v>
      </c>
      <c r="CQ1381" t="s">
        <v>136</v>
      </c>
      <c r="CR1381" t="s">
        <v>136</v>
      </c>
      <c r="CS1381" t="s">
        <v>136</v>
      </c>
      <c r="CT1381" t="s">
        <v>136</v>
      </c>
      <c r="CU1381" t="s">
        <v>136</v>
      </c>
      <c r="CV1381" s="2" t="s">
        <v>17397</v>
      </c>
      <c r="CW1381" s="10" t="str">
        <f>"+17152893966"</f>
        <v>+17152893966</v>
      </c>
      <c r="CX1381" t="s">
        <v>14861</v>
      </c>
      <c r="CY1381" t="s">
        <v>132</v>
      </c>
      <c r="CZ1381" t="s">
        <v>137</v>
      </c>
      <c r="DA1381" t="s">
        <v>114</v>
      </c>
      <c r="DB1381" t="s">
        <v>136</v>
      </c>
      <c r="DC1381" t="s">
        <v>136</v>
      </c>
      <c r="DD1381" t="s">
        <v>114</v>
      </c>
    </row>
    <row r="1382" spans="1:113" ht="15" customHeight="1" x14ac:dyDescent="0.25">
      <c r="A1382" t="s">
        <v>12912</v>
      </c>
      <c r="B1382" t="s">
        <v>152</v>
      </c>
      <c r="C1382" s="1">
        <v>45162.713463657405</v>
      </c>
      <c r="D1382" s="1">
        <v>45216</v>
      </c>
      <c r="E1382" t="s">
        <v>114</v>
      </c>
      <c r="F1382" t="s">
        <v>154</v>
      </c>
      <c r="G1382" t="str">
        <f>"35-2014.00"</f>
        <v>35-2014.00</v>
      </c>
      <c r="H1382" t="s">
        <v>154</v>
      </c>
      <c r="I1382">
        <v>6</v>
      </c>
      <c r="J1382">
        <v>6</v>
      </c>
      <c r="K1382" s="1">
        <v>45251</v>
      </c>
      <c r="L1382" s="1">
        <v>45395</v>
      </c>
      <c r="M1382" s="1">
        <v>45251</v>
      </c>
      <c r="N1382" s="1">
        <v>45395</v>
      </c>
      <c r="O1382" t="s">
        <v>238</v>
      </c>
      <c r="P1382" t="s">
        <v>6777</v>
      </c>
      <c r="Q1382" t="s">
        <v>6778</v>
      </c>
      <c r="R1382" t="s">
        <v>6779</v>
      </c>
      <c r="S1382" t="s">
        <v>10544</v>
      </c>
      <c r="T1382" t="s">
        <v>6781</v>
      </c>
      <c r="U1382" t="s">
        <v>584</v>
      </c>
      <c r="V1382" s="8" t="str">
        <f>"83025"</f>
        <v>83025</v>
      </c>
      <c r="W1382" t="s">
        <v>118</v>
      </c>
      <c r="Y1382" s="10">
        <v>14018450900</v>
      </c>
      <c r="AA1382">
        <v>72111</v>
      </c>
      <c r="AB1382" t="s">
        <v>6782</v>
      </c>
      <c r="AC1382" t="s">
        <v>2167</v>
      </c>
      <c r="AD1382" t="s">
        <v>1217</v>
      </c>
      <c r="AE1382" t="s">
        <v>6783</v>
      </c>
      <c r="AF1382" t="s">
        <v>6779</v>
      </c>
      <c r="AG1382" t="s">
        <v>10544</v>
      </c>
      <c r="AH1382" t="s">
        <v>6781</v>
      </c>
      <c r="AI1382" t="s">
        <v>584</v>
      </c>
      <c r="AJ1382" s="8" t="str">
        <f>"83025"</f>
        <v>83025</v>
      </c>
      <c r="AK1382" t="s">
        <v>118</v>
      </c>
      <c r="AM1382" s="10">
        <v>14018450900</v>
      </c>
      <c r="AO1382" t="s">
        <v>6784</v>
      </c>
      <c r="AP1382" t="s">
        <v>248</v>
      </c>
      <c r="AQ1382" t="s">
        <v>577</v>
      </c>
      <c r="AR1382" t="s">
        <v>578</v>
      </c>
      <c r="AT1382" t="s">
        <v>579</v>
      </c>
      <c r="AV1382" t="s">
        <v>580</v>
      </c>
      <c r="AW1382" t="s">
        <v>581</v>
      </c>
      <c r="AX1382" s="8" t="str">
        <f>"22903"</f>
        <v>22903</v>
      </c>
      <c r="AY1382" t="s">
        <v>118</v>
      </c>
      <c r="BA1382" s="10">
        <v>14342634300</v>
      </c>
      <c r="BC1382" t="s">
        <v>2271</v>
      </c>
      <c r="BD1382" t="s">
        <v>583</v>
      </c>
      <c r="BG1382" t="s">
        <v>584</v>
      </c>
      <c r="BH1382" s="1">
        <v>45161.833333333336</v>
      </c>
      <c r="BI1382">
        <v>35</v>
      </c>
      <c r="BJ1382">
        <v>0</v>
      </c>
      <c r="BK1382">
        <v>7</v>
      </c>
      <c r="BL1382">
        <v>7</v>
      </c>
      <c r="BM1382">
        <v>7</v>
      </c>
      <c r="BN1382">
        <v>7</v>
      </c>
      <c r="BO1382">
        <v>7</v>
      </c>
      <c r="BP1382">
        <v>0</v>
      </c>
      <c r="BQ1382" t="str">
        <f>"7:00 AM"</f>
        <v>7:00 AM</v>
      </c>
      <c r="BR1382" t="str">
        <f>"2:30 PM"</f>
        <v>2:30 PM</v>
      </c>
      <c r="BS1382" t="s">
        <v>131</v>
      </c>
      <c r="BT1382">
        <v>0</v>
      </c>
      <c r="BU1382">
        <v>3</v>
      </c>
      <c r="BV1382" t="s">
        <v>114</v>
      </c>
      <c r="BX1382" t="s">
        <v>12913</v>
      </c>
      <c r="BY1382" t="s">
        <v>6786</v>
      </c>
      <c r="CA1382" t="s">
        <v>6781</v>
      </c>
      <c r="CB1382" t="s">
        <v>584</v>
      </c>
      <c r="CC1382" s="8" t="str">
        <f>"83025"</f>
        <v>83025</v>
      </c>
      <c r="CD1382" t="s">
        <v>588</v>
      </c>
      <c r="CE1382" t="s">
        <v>589</v>
      </c>
      <c r="CF1382" s="12">
        <v>25</v>
      </c>
      <c r="CH1382" s="12">
        <v>37.5</v>
      </c>
      <c r="CJ1382" t="s">
        <v>135</v>
      </c>
      <c r="CK1382" t="s">
        <v>590</v>
      </c>
      <c r="CL1382" t="s">
        <v>12914</v>
      </c>
      <c r="CO1382" t="s">
        <v>132</v>
      </c>
      <c r="CP1382" t="s">
        <v>136</v>
      </c>
      <c r="CQ1382" t="s">
        <v>136</v>
      </c>
      <c r="CR1382" t="s">
        <v>136</v>
      </c>
      <c r="CS1382" t="s">
        <v>114</v>
      </c>
      <c r="CT1382" t="s">
        <v>136</v>
      </c>
      <c r="CU1382" t="s">
        <v>136</v>
      </c>
      <c r="CV1382" t="s">
        <v>12915</v>
      </c>
      <c r="CW1382" s="10" t="str">
        <f>"N/A"</f>
        <v>N/A</v>
      </c>
      <c r="CX1382" t="s">
        <v>6789</v>
      </c>
      <c r="CY1382" t="s">
        <v>594</v>
      </c>
      <c r="CZ1382" t="s">
        <v>137</v>
      </c>
      <c r="DA1382" t="s">
        <v>114</v>
      </c>
      <c r="DB1382" t="s">
        <v>136</v>
      </c>
      <c r="DC1382" t="s">
        <v>136</v>
      </c>
      <c r="DD1382" t="s">
        <v>114</v>
      </c>
      <c r="DE1382" t="s">
        <v>2273</v>
      </c>
      <c r="DF1382" t="s">
        <v>1069</v>
      </c>
      <c r="DH1382" t="s">
        <v>583</v>
      </c>
      <c r="DI1382" t="s">
        <v>2271</v>
      </c>
    </row>
    <row r="1383" spans="1:113" ht="15" customHeight="1" x14ac:dyDescent="0.25">
      <c r="A1383" t="s">
        <v>6906</v>
      </c>
      <c r="B1383" t="s">
        <v>152</v>
      </c>
      <c r="C1383" s="1">
        <v>45157.794586805554</v>
      </c>
      <c r="D1383" s="1">
        <v>45216</v>
      </c>
      <c r="E1383" t="s">
        <v>114</v>
      </c>
      <c r="F1383" t="s">
        <v>6907</v>
      </c>
      <c r="G1383" t="str">
        <f>"35-9011.00"</f>
        <v>35-9011.00</v>
      </c>
      <c r="H1383" t="s">
        <v>1512</v>
      </c>
      <c r="I1383">
        <v>2</v>
      </c>
      <c r="J1383">
        <v>2</v>
      </c>
      <c r="K1383" s="1">
        <v>45240</v>
      </c>
      <c r="L1383" s="1">
        <v>45513</v>
      </c>
      <c r="M1383" s="1">
        <v>45240</v>
      </c>
      <c r="N1383" s="1">
        <v>45513</v>
      </c>
      <c r="O1383" t="s">
        <v>116</v>
      </c>
      <c r="P1383" t="s">
        <v>6908</v>
      </c>
      <c r="Q1383" t="s">
        <v>6909</v>
      </c>
      <c r="R1383" t="s">
        <v>6910</v>
      </c>
      <c r="S1383" t="s">
        <v>132</v>
      </c>
      <c r="T1383" t="s">
        <v>6911</v>
      </c>
      <c r="U1383" t="s">
        <v>892</v>
      </c>
      <c r="V1383" s="8" t="str">
        <f>"59716"</f>
        <v>59716</v>
      </c>
      <c r="W1383" t="s">
        <v>118</v>
      </c>
      <c r="X1383" t="s">
        <v>132</v>
      </c>
      <c r="Y1383" s="10">
        <v>14069959000</v>
      </c>
      <c r="AA1383">
        <v>72111</v>
      </c>
      <c r="AB1383" t="s">
        <v>6912</v>
      </c>
      <c r="AC1383" t="s">
        <v>6913</v>
      </c>
      <c r="AD1383" t="s">
        <v>132</v>
      </c>
      <c r="AE1383" t="s">
        <v>6914</v>
      </c>
      <c r="AF1383" t="s">
        <v>6910</v>
      </c>
      <c r="AG1383" t="s">
        <v>132</v>
      </c>
      <c r="AH1383" t="s">
        <v>6911</v>
      </c>
      <c r="AI1383" t="s">
        <v>892</v>
      </c>
      <c r="AJ1383" s="8" t="str">
        <f>"59716"</f>
        <v>59716</v>
      </c>
      <c r="AK1383" t="s">
        <v>118</v>
      </c>
      <c r="AM1383" s="10">
        <v>14069959000</v>
      </c>
      <c r="AO1383" t="s">
        <v>6915</v>
      </c>
      <c r="AP1383" t="s">
        <v>248</v>
      </c>
      <c r="AQ1383" t="s">
        <v>6916</v>
      </c>
      <c r="AR1383" t="s">
        <v>3625</v>
      </c>
      <c r="AS1383" t="s">
        <v>132</v>
      </c>
      <c r="AT1383" t="s">
        <v>6917</v>
      </c>
      <c r="AU1383" t="s">
        <v>6918</v>
      </c>
      <c r="AV1383" t="s">
        <v>6919</v>
      </c>
      <c r="AW1383" t="s">
        <v>127</v>
      </c>
      <c r="AX1383" s="8" t="str">
        <f>"78266"</f>
        <v>78266</v>
      </c>
      <c r="AY1383" t="s">
        <v>118</v>
      </c>
      <c r="BA1383" s="10">
        <v>18305844555</v>
      </c>
      <c r="BC1383" t="s">
        <v>6920</v>
      </c>
      <c r="BD1383" t="s">
        <v>6921</v>
      </c>
      <c r="BG1383" t="s">
        <v>892</v>
      </c>
      <c r="BH1383" s="1">
        <v>45156.833333333336</v>
      </c>
      <c r="BI1383">
        <v>40</v>
      </c>
      <c r="BJ1383">
        <v>0</v>
      </c>
      <c r="BK1383">
        <v>8</v>
      </c>
      <c r="BL1383">
        <v>8</v>
      </c>
      <c r="BM1383">
        <v>8</v>
      </c>
      <c r="BN1383">
        <v>8</v>
      </c>
      <c r="BO1383">
        <v>8</v>
      </c>
      <c r="BP1383">
        <v>0</v>
      </c>
      <c r="BQ1383" t="str">
        <f>"5:00 AM"</f>
        <v>5:00 AM</v>
      </c>
      <c r="BR1383" t="str">
        <f>"1:00 PM"</f>
        <v>1:00 PM</v>
      </c>
      <c r="BS1383" t="s">
        <v>131</v>
      </c>
      <c r="BT1383">
        <v>0</v>
      </c>
      <c r="BU1383">
        <v>0</v>
      </c>
      <c r="BV1383" t="s">
        <v>114</v>
      </c>
      <c r="BX1383" t="s">
        <v>1480</v>
      </c>
      <c r="BY1383" t="s">
        <v>6910</v>
      </c>
      <c r="BZ1383" t="s">
        <v>132</v>
      </c>
      <c r="CA1383" t="s">
        <v>6911</v>
      </c>
      <c r="CB1383" t="s">
        <v>892</v>
      </c>
      <c r="CC1383" s="8" t="str">
        <f>"59716"</f>
        <v>59716</v>
      </c>
      <c r="CD1383" t="s">
        <v>1957</v>
      </c>
      <c r="CE1383" t="s">
        <v>909</v>
      </c>
      <c r="CF1383" s="12">
        <v>17.5</v>
      </c>
      <c r="CG1383" s="12">
        <v>17.5</v>
      </c>
      <c r="CH1383" s="12">
        <v>26.25</v>
      </c>
      <c r="CI1383" s="12">
        <v>26.25</v>
      </c>
      <c r="CJ1383" t="s">
        <v>135</v>
      </c>
      <c r="CK1383" t="s">
        <v>6922</v>
      </c>
      <c r="CL1383" t="s">
        <v>6923</v>
      </c>
      <c r="CO1383" t="s">
        <v>132</v>
      </c>
      <c r="CP1383" t="s">
        <v>114</v>
      </c>
      <c r="CQ1383" t="s">
        <v>114</v>
      </c>
      <c r="CR1383" t="s">
        <v>136</v>
      </c>
      <c r="CS1383" t="s">
        <v>136</v>
      </c>
      <c r="CT1383" t="s">
        <v>136</v>
      </c>
      <c r="CU1383" t="s">
        <v>136</v>
      </c>
      <c r="CV1383" t="s">
        <v>6924</v>
      </c>
      <c r="CW1383" s="10" t="str">
        <f>"+14069959000"</f>
        <v>+14069959000</v>
      </c>
      <c r="CX1383" t="s">
        <v>6925</v>
      </c>
      <c r="CY1383" t="s">
        <v>132</v>
      </c>
      <c r="CZ1383" t="s">
        <v>137</v>
      </c>
      <c r="DA1383" t="s">
        <v>114</v>
      </c>
      <c r="DB1383" t="s">
        <v>136</v>
      </c>
      <c r="DC1383" t="s">
        <v>136</v>
      </c>
      <c r="DD1383" t="s">
        <v>114</v>
      </c>
    </row>
    <row r="1384" spans="1:113" ht="15" customHeight="1" x14ac:dyDescent="0.25">
      <c r="A1384" t="s">
        <v>18549</v>
      </c>
      <c r="B1384" t="s">
        <v>152</v>
      </c>
      <c r="C1384" s="1">
        <v>45156.681995370367</v>
      </c>
      <c r="D1384" s="1">
        <v>45216</v>
      </c>
      <c r="E1384" t="s">
        <v>114</v>
      </c>
      <c r="F1384" t="s">
        <v>1059</v>
      </c>
      <c r="G1384" t="str">
        <f>"35-2014.00"</f>
        <v>35-2014.00</v>
      </c>
      <c r="H1384" t="s">
        <v>154</v>
      </c>
      <c r="I1384">
        <v>8</v>
      </c>
      <c r="J1384">
        <v>8</v>
      </c>
      <c r="K1384" s="1">
        <v>45243</v>
      </c>
      <c r="L1384" s="1">
        <v>45385</v>
      </c>
      <c r="M1384" s="1">
        <v>45243</v>
      </c>
      <c r="N1384" s="1">
        <v>45385</v>
      </c>
      <c r="O1384" t="s">
        <v>116</v>
      </c>
      <c r="P1384" t="s">
        <v>18550</v>
      </c>
      <c r="Q1384" t="s">
        <v>18551</v>
      </c>
      <c r="R1384" t="s">
        <v>18552</v>
      </c>
      <c r="T1384" t="s">
        <v>3615</v>
      </c>
      <c r="U1384" t="s">
        <v>434</v>
      </c>
      <c r="V1384" s="8" t="str">
        <f>"19103"</f>
        <v>19103</v>
      </c>
      <c r="W1384" t="s">
        <v>118</v>
      </c>
      <c r="Y1384" s="10">
        <v>19376604708</v>
      </c>
      <c r="AA1384">
        <v>72231</v>
      </c>
      <c r="AB1384" t="s">
        <v>18553</v>
      </c>
      <c r="AC1384" t="s">
        <v>3016</v>
      </c>
      <c r="AE1384" t="s">
        <v>13484</v>
      </c>
      <c r="AF1384" t="s">
        <v>18552</v>
      </c>
      <c r="AH1384" t="s">
        <v>3615</v>
      </c>
      <c r="AI1384" t="s">
        <v>434</v>
      </c>
      <c r="AJ1384" s="8" t="str">
        <f>"19103"</f>
        <v>19103</v>
      </c>
      <c r="AK1384" t="s">
        <v>118</v>
      </c>
      <c r="AM1384" s="10">
        <v>19376604708</v>
      </c>
      <c r="AO1384" t="s">
        <v>132</v>
      </c>
      <c r="AP1384" t="s">
        <v>248</v>
      </c>
      <c r="AQ1384" t="s">
        <v>577</v>
      </c>
      <c r="AR1384" t="s">
        <v>578</v>
      </c>
      <c r="AT1384" t="s">
        <v>579</v>
      </c>
      <c r="AV1384" t="s">
        <v>580</v>
      </c>
      <c r="AW1384" t="s">
        <v>581</v>
      </c>
      <c r="AX1384" s="8" t="str">
        <f>"22903"</f>
        <v>22903</v>
      </c>
      <c r="AY1384" t="s">
        <v>118</v>
      </c>
      <c r="BA1384" s="10">
        <v>14342634300</v>
      </c>
      <c r="BC1384" t="s">
        <v>6249</v>
      </c>
      <c r="BD1384" t="s">
        <v>583</v>
      </c>
      <c r="BG1384" t="s">
        <v>584</v>
      </c>
      <c r="BH1384" s="1">
        <v>45152.833333333336</v>
      </c>
      <c r="BI1384">
        <v>40</v>
      </c>
      <c r="BJ1384">
        <v>0</v>
      </c>
      <c r="BK1384">
        <v>8</v>
      </c>
      <c r="BL1384">
        <v>8</v>
      </c>
      <c r="BM1384">
        <v>8</v>
      </c>
      <c r="BN1384">
        <v>8</v>
      </c>
      <c r="BO1384">
        <v>8</v>
      </c>
      <c r="BP1384">
        <v>0</v>
      </c>
      <c r="BQ1384" t="str">
        <f>"6:00 AM"</f>
        <v>6:00 AM</v>
      </c>
      <c r="BR1384" t="str">
        <f>"2:00 PM"</f>
        <v>2:00 PM</v>
      </c>
      <c r="BS1384" t="s">
        <v>131</v>
      </c>
      <c r="BT1384">
        <v>0</v>
      </c>
      <c r="BU1384">
        <v>3</v>
      </c>
      <c r="BV1384" t="s">
        <v>114</v>
      </c>
      <c r="BX1384" s="2" t="s">
        <v>18554</v>
      </c>
      <c r="BY1384" t="s">
        <v>18555</v>
      </c>
      <c r="CA1384" t="s">
        <v>6839</v>
      </c>
      <c r="CB1384" t="s">
        <v>584</v>
      </c>
      <c r="CC1384" s="8" t="str">
        <f>"83013"</f>
        <v>83013</v>
      </c>
      <c r="CD1384" t="s">
        <v>588</v>
      </c>
      <c r="CE1384" t="s">
        <v>589</v>
      </c>
      <c r="CF1384" s="12">
        <v>16.75</v>
      </c>
      <c r="CH1384" s="12">
        <v>25.13</v>
      </c>
      <c r="CJ1384" t="s">
        <v>135</v>
      </c>
      <c r="CK1384" t="s">
        <v>590</v>
      </c>
      <c r="CL1384" t="s">
        <v>18556</v>
      </c>
      <c r="CO1384" t="s">
        <v>132</v>
      </c>
      <c r="CP1384" t="s">
        <v>114</v>
      </c>
      <c r="CQ1384" t="s">
        <v>114</v>
      </c>
      <c r="CR1384" t="s">
        <v>136</v>
      </c>
      <c r="CS1384" t="s">
        <v>114</v>
      </c>
      <c r="CT1384" t="s">
        <v>136</v>
      </c>
      <c r="CU1384" t="s">
        <v>136</v>
      </c>
      <c r="CV1384" t="s">
        <v>17167</v>
      </c>
      <c r="CW1384" s="10" t="str">
        <f>"N/A"</f>
        <v>N/A</v>
      </c>
      <c r="CX1384" t="s">
        <v>18557</v>
      </c>
      <c r="CY1384" t="s">
        <v>594</v>
      </c>
      <c r="CZ1384" t="s">
        <v>137</v>
      </c>
      <c r="DA1384" t="s">
        <v>114</v>
      </c>
      <c r="DB1384" t="s">
        <v>136</v>
      </c>
      <c r="DC1384" t="s">
        <v>136</v>
      </c>
      <c r="DD1384" t="s">
        <v>114</v>
      </c>
      <c r="DE1384" t="s">
        <v>5698</v>
      </c>
      <c r="DF1384" t="s">
        <v>3175</v>
      </c>
      <c r="DH1384" t="s">
        <v>583</v>
      </c>
      <c r="DI1384" t="s">
        <v>6249</v>
      </c>
    </row>
    <row r="1385" spans="1:113" ht="15" customHeight="1" x14ac:dyDescent="0.25">
      <c r="A1385" t="s">
        <v>11652</v>
      </c>
      <c r="B1385" t="s">
        <v>152</v>
      </c>
      <c r="C1385" s="1">
        <v>45156.539185995367</v>
      </c>
      <c r="D1385" s="1">
        <v>45216</v>
      </c>
      <c r="E1385" t="s">
        <v>114</v>
      </c>
      <c r="F1385" t="s">
        <v>449</v>
      </c>
      <c r="G1385" t="str">
        <f>"39-6011.00"</f>
        <v>39-6011.00</v>
      </c>
      <c r="H1385" t="s">
        <v>3333</v>
      </c>
      <c r="I1385">
        <v>8</v>
      </c>
      <c r="J1385">
        <v>8</v>
      </c>
      <c r="K1385" s="1">
        <v>45240</v>
      </c>
      <c r="L1385" s="1">
        <v>45513</v>
      </c>
      <c r="M1385" s="1">
        <v>45240</v>
      </c>
      <c r="N1385" s="1">
        <v>45513</v>
      </c>
      <c r="O1385" t="s">
        <v>116</v>
      </c>
      <c r="P1385" t="s">
        <v>6908</v>
      </c>
      <c r="Q1385" t="s">
        <v>6909</v>
      </c>
      <c r="R1385" t="s">
        <v>6910</v>
      </c>
      <c r="S1385" t="s">
        <v>132</v>
      </c>
      <c r="T1385" t="s">
        <v>6911</v>
      </c>
      <c r="U1385" t="s">
        <v>892</v>
      </c>
      <c r="V1385" s="8" t="str">
        <f>"59716"</f>
        <v>59716</v>
      </c>
      <c r="W1385" t="s">
        <v>118</v>
      </c>
      <c r="X1385" t="s">
        <v>132</v>
      </c>
      <c r="Y1385" s="10">
        <v>14069959000</v>
      </c>
      <c r="AA1385">
        <v>72111</v>
      </c>
      <c r="AB1385" t="s">
        <v>6912</v>
      </c>
      <c r="AC1385" t="s">
        <v>6913</v>
      </c>
      <c r="AD1385" t="s">
        <v>132</v>
      </c>
      <c r="AE1385" t="s">
        <v>11653</v>
      </c>
      <c r="AF1385" t="s">
        <v>6910</v>
      </c>
      <c r="AG1385" t="s">
        <v>132</v>
      </c>
      <c r="AH1385" t="s">
        <v>6911</v>
      </c>
      <c r="AI1385" t="s">
        <v>892</v>
      </c>
      <c r="AJ1385" s="8" t="str">
        <f>"59716"</f>
        <v>59716</v>
      </c>
      <c r="AK1385" t="s">
        <v>118</v>
      </c>
      <c r="AM1385" s="10">
        <v>14069959000</v>
      </c>
      <c r="AO1385" t="s">
        <v>6915</v>
      </c>
      <c r="AP1385" t="s">
        <v>248</v>
      </c>
      <c r="AQ1385" t="s">
        <v>6916</v>
      </c>
      <c r="AR1385" t="s">
        <v>3625</v>
      </c>
      <c r="AS1385" t="s">
        <v>132</v>
      </c>
      <c r="AT1385" t="s">
        <v>6917</v>
      </c>
      <c r="AU1385" t="s">
        <v>6918</v>
      </c>
      <c r="AV1385" t="s">
        <v>6919</v>
      </c>
      <c r="AW1385" t="s">
        <v>127</v>
      </c>
      <c r="AX1385" s="8" t="str">
        <f>"78266"</f>
        <v>78266</v>
      </c>
      <c r="AY1385" t="s">
        <v>118</v>
      </c>
      <c r="BA1385" s="10">
        <v>18305844555</v>
      </c>
      <c r="BC1385" t="s">
        <v>6920</v>
      </c>
      <c r="BD1385" t="s">
        <v>6921</v>
      </c>
      <c r="BG1385" t="s">
        <v>892</v>
      </c>
      <c r="BH1385" s="1">
        <v>45154.833333333336</v>
      </c>
      <c r="BI1385">
        <v>40</v>
      </c>
      <c r="BJ1385">
        <v>0</v>
      </c>
      <c r="BK1385">
        <v>8</v>
      </c>
      <c r="BL1385">
        <v>8</v>
      </c>
      <c r="BM1385">
        <v>8</v>
      </c>
      <c r="BN1385">
        <v>8</v>
      </c>
      <c r="BO1385">
        <v>8</v>
      </c>
      <c r="BP1385">
        <v>0</v>
      </c>
      <c r="BQ1385" t="str">
        <f>"8:00 AM"</f>
        <v>8:00 AM</v>
      </c>
      <c r="BR1385" t="str">
        <f>"5:00 PM"</f>
        <v>5:00 PM</v>
      </c>
      <c r="BS1385" t="s">
        <v>131</v>
      </c>
      <c r="BT1385">
        <v>0</v>
      </c>
      <c r="BU1385">
        <v>3</v>
      </c>
      <c r="BV1385" t="s">
        <v>114</v>
      </c>
      <c r="BX1385" t="s">
        <v>11654</v>
      </c>
      <c r="BY1385" t="s">
        <v>6910</v>
      </c>
      <c r="BZ1385" t="s">
        <v>132</v>
      </c>
      <c r="CA1385" t="s">
        <v>6911</v>
      </c>
      <c r="CB1385" t="s">
        <v>892</v>
      </c>
      <c r="CC1385" s="8" t="str">
        <f>"59716"</f>
        <v>59716</v>
      </c>
      <c r="CD1385" t="s">
        <v>1957</v>
      </c>
      <c r="CE1385" t="s">
        <v>909</v>
      </c>
      <c r="CF1385" s="12">
        <v>18.5</v>
      </c>
      <c r="CG1385" s="12">
        <v>18.5</v>
      </c>
      <c r="CH1385" s="12">
        <v>27.75</v>
      </c>
      <c r="CI1385" s="12">
        <v>27.75</v>
      </c>
      <c r="CJ1385" t="s">
        <v>135</v>
      </c>
      <c r="CK1385" t="s">
        <v>6922</v>
      </c>
      <c r="CL1385" t="s">
        <v>11655</v>
      </c>
      <c r="CO1385" t="s">
        <v>132</v>
      </c>
      <c r="CP1385" t="s">
        <v>114</v>
      </c>
      <c r="CQ1385" t="s">
        <v>114</v>
      </c>
      <c r="CR1385" t="s">
        <v>136</v>
      </c>
      <c r="CS1385" t="s">
        <v>136</v>
      </c>
      <c r="CT1385" t="s">
        <v>136</v>
      </c>
      <c r="CU1385" t="s">
        <v>136</v>
      </c>
      <c r="CV1385" t="s">
        <v>6924</v>
      </c>
      <c r="CW1385" s="10" t="str">
        <f>"+14069959000"</f>
        <v>+14069959000</v>
      </c>
      <c r="CX1385" t="s">
        <v>6925</v>
      </c>
      <c r="CY1385" t="s">
        <v>132</v>
      </c>
      <c r="CZ1385" t="s">
        <v>137</v>
      </c>
      <c r="DA1385" t="s">
        <v>114</v>
      </c>
      <c r="DB1385" t="s">
        <v>136</v>
      </c>
      <c r="DC1385" t="s">
        <v>136</v>
      </c>
      <c r="DD1385" t="s">
        <v>114</v>
      </c>
    </row>
    <row r="1386" spans="1:113" ht="15" customHeight="1" x14ac:dyDescent="0.25">
      <c r="A1386" t="s">
        <v>15768</v>
      </c>
      <c r="B1386" t="s">
        <v>152</v>
      </c>
      <c r="C1386" s="1">
        <v>45156.531015972221</v>
      </c>
      <c r="D1386" s="1">
        <v>45216</v>
      </c>
      <c r="E1386" t="s">
        <v>114</v>
      </c>
      <c r="F1386" t="s">
        <v>293</v>
      </c>
      <c r="G1386" t="str">
        <f>"37-2012.00"</f>
        <v>37-2012.00</v>
      </c>
      <c r="H1386" t="s">
        <v>205</v>
      </c>
      <c r="I1386">
        <v>73</v>
      </c>
      <c r="J1386">
        <v>73</v>
      </c>
      <c r="K1386" s="1">
        <v>45245</v>
      </c>
      <c r="L1386" s="1">
        <v>45398</v>
      </c>
      <c r="M1386" s="1">
        <v>45245</v>
      </c>
      <c r="N1386" s="1">
        <v>45398</v>
      </c>
      <c r="O1386" t="s">
        <v>116</v>
      </c>
      <c r="P1386" t="s">
        <v>4608</v>
      </c>
      <c r="Q1386" t="s">
        <v>4609</v>
      </c>
      <c r="R1386" t="s">
        <v>4610</v>
      </c>
      <c r="T1386" t="s">
        <v>1084</v>
      </c>
      <c r="U1386" t="s">
        <v>188</v>
      </c>
      <c r="V1386" s="8" t="str">
        <f>"81657"</f>
        <v>81657</v>
      </c>
      <c r="W1386" t="s">
        <v>118</v>
      </c>
      <c r="Y1386" s="10">
        <v>19708276645</v>
      </c>
      <c r="AA1386">
        <v>7211</v>
      </c>
      <c r="AB1386" t="s">
        <v>4611</v>
      </c>
      <c r="AC1386" t="s">
        <v>4612</v>
      </c>
      <c r="AE1386" t="s">
        <v>4613</v>
      </c>
      <c r="AF1386" t="s">
        <v>4610</v>
      </c>
      <c r="AH1386" t="s">
        <v>1084</v>
      </c>
      <c r="AI1386" t="s">
        <v>188</v>
      </c>
      <c r="AJ1386" s="8" t="str">
        <f>"81657"</f>
        <v>81657</v>
      </c>
      <c r="AK1386" t="s">
        <v>118</v>
      </c>
      <c r="AM1386" s="10">
        <v>19708276645</v>
      </c>
      <c r="AO1386" t="s">
        <v>4614</v>
      </c>
      <c r="AP1386" t="s">
        <v>121</v>
      </c>
      <c r="AQ1386" t="s">
        <v>4615</v>
      </c>
      <c r="AR1386" t="s">
        <v>1069</v>
      </c>
      <c r="AT1386" t="s">
        <v>4616</v>
      </c>
      <c r="AU1386" t="s">
        <v>4617</v>
      </c>
      <c r="AV1386" t="s">
        <v>2096</v>
      </c>
      <c r="AW1386" t="s">
        <v>2090</v>
      </c>
      <c r="AX1386" s="8" t="str">
        <f>"68114"</f>
        <v>68114</v>
      </c>
      <c r="AY1386" t="s">
        <v>118</v>
      </c>
      <c r="BA1386" s="10">
        <v>14023911991</v>
      </c>
      <c r="BC1386" t="s">
        <v>4618</v>
      </c>
      <c r="BD1386" t="s">
        <v>4619</v>
      </c>
      <c r="BE1386" t="s">
        <v>2090</v>
      </c>
      <c r="BF1386" t="s">
        <v>2099</v>
      </c>
      <c r="BG1386" t="s">
        <v>188</v>
      </c>
      <c r="BH1386" s="1">
        <v>45154.833333333336</v>
      </c>
      <c r="BI1386">
        <v>40</v>
      </c>
      <c r="BJ1386">
        <v>8</v>
      </c>
      <c r="BK1386">
        <v>8</v>
      </c>
      <c r="BL1386">
        <v>8</v>
      </c>
      <c r="BM1386">
        <v>0</v>
      </c>
      <c r="BN1386">
        <v>0</v>
      </c>
      <c r="BO1386">
        <v>8</v>
      </c>
      <c r="BP1386">
        <v>8</v>
      </c>
      <c r="BQ1386" t="str">
        <f>"8:00 AM"</f>
        <v>8:00 AM</v>
      </c>
      <c r="BR1386" t="str">
        <f>"4:30 PM"</f>
        <v>4:30 PM</v>
      </c>
      <c r="BS1386" t="s">
        <v>131</v>
      </c>
      <c r="BT1386">
        <v>0</v>
      </c>
      <c r="BU1386">
        <v>0</v>
      </c>
      <c r="BV1386" t="s">
        <v>114</v>
      </c>
      <c r="BX1386" s="2" t="s">
        <v>15769</v>
      </c>
      <c r="BY1386" t="s">
        <v>4610</v>
      </c>
      <c r="CA1386" t="s">
        <v>1084</v>
      </c>
      <c r="CB1386" t="s">
        <v>188</v>
      </c>
      <c r="CC1386" s="8" t="str">
        <f>"81657"</f>
        <v>81657</v>
      </c>
      <c r="CD1386" t="s">
        <v>1037</v>
      </c>
      <c r="CE1386" t="s">
        <v>1038</v>
      </c>
      <c r="CF1386" s="12">
        <v>17</v>
      </c>
      <c r="CH1386" s="12">
        <v>25.5</v>
      </c>
      <c r="CJ1386" t="s">
        <v>135</v>
      </c>
      <c r="CL1386" t="s">
        <v>15770</v>
      </c>
      <c r="CO1386" t="s">
        <v>132</v>
      </c>
      <c r="CP1386" t="s">
        <v>136</v>
      </c>
      <c r="CQ1386" t="s">
        <v>136</v>
      </c>
      <c r="CR1386" t="s">
        <v>136</v>
      </c>
      <c r="CS1386" t="s">
        <v>136</v>
      </c>
      <c r="CT1386" t="s">
        <v>136</v>
      </c>
      <c r="CU1386" t="s">
        <v>136</v>
      </c>
      <c r="CV1386" t="s">
        <v>15771</v>
      </c>
      <c r="CW1386" s="10" t="str">
        <f>"N/A"</f>
        <v>N/A</v>
      </c>
      <c r="CX1386" t="s">
        <v>4614</v>
      </c>
      <c r="CY1386" t="s">
        <v>4623</v>
      </c>
      <c r="CZ1386" t="s">
        <v>137</v>
      </c>
      <c r="DA1386" t="s">
        <v>114</v>
      </c>
      <c r="DB1386" t="s">
        <v>114</v>
      </c>
      <c r="DC1386" t="s">
        <v>136</v>
      </c>
      <c r="DD1386" t="s">
        <v>114</v>
      </c>
      <c r="DE1386" t="s">
        <v>4624</v>
      </c>
      <c r="DF1386" t="s">
        <v>931</v>
      </c>
      <c r="DG1386" t="s">
        <v>1738</v>
      </c>
      <c r="DH1386" t="s">
        <v>4625</v>
      </c>
      <c r="DI1386" t="s">
        <v>4626</v>
      </c>
    </row>
    <row r="1387" spans="1:113" ht="15" customHeight="1" x14ac:dyDescent="0.25">
      <c r="A1387" t="s">
        <v>4606</v>
      </c>
      <c r="B1387" t="s">
        <v>152</v>
      </c>
      <c r="C1387" s="1">
        <v>45156.529274189816</v>
      </c>
      <c r="D1387" s="1">
        <v>45216</v>
      </c>
      <c r="E1387" t="s">
        <v>114</v>
      </c>
      <c r="F1387" t="s">
        <v>4607</v>
      </c>
      <c r="G1387" t="str">
        <f>"35-9011.00"</f>
        <v>35-9011.00</v>
      </c>
      <c r="H1387" t="s">
        <v>1512</v>
      </c>
      <c r="I1387">
        <v>15</v>
      </c>
      <c r="J1387">
        <v>15</v>
      </c>
      <c r="K1387" s="1">
        <v>45245</v>
      </c>
      <c r="L1387" s="1">
        <v>45398</v>
      </c>
      <c r="M1387" s="1">
        <v>45245</v>
      </c>
      <c r="N1387" s="1">
        <v>45398</v>
      </c>
      <c r="O1387" t="s">
        <v>116</v>
      </c>
      <c r="P1387" t="s">
        <v>4608</v>
      </c>
      <c r="Q1387" t="s">
        <v>4609</v>
      </c>
      <c r="R1387" t="s">
        <v>4610</v>
      </c>
      <c r="T1387" t="s">
        <v>1084</v>
      </c>
      <c r="U1387" t="s">
        <v>188</v>
      </c>
      <c r="V1387" s="8" t="str">
        <f>"81657"</f>
        <v>81657</v>
      </c>
      <c r="W1387" t="s">
        <v>118</v>
      </c>
      <c r="Y1387" s="10">
        <v>19708276645</v>
      </c>
      <c r="AA1387">
        <v>7211</v>
      </c>
      <c r="AB1387" t="s">
        <v>4611</v>
      </c>
      <c r="AC1387" t="s">
        <v>4612</v>
      </c>
      <c r="AE1387" t="s">
        <v>4613</v>
      </c>
      <c r="AF1387" t="s">
        <v>4610</v>
      </c>
      <c r="AH1387" t="s">
        <v>1084</v>
      </c>
      <c r="AI1387" t="s">
        <v>188</v>
      </c>
      <c r="AJ1387" s="8" t="str">
        <f>"81657"</f>
        <v>81657</v>
      </c>
      <c r="AK1387" t="s">
        <v>118</v>
      </c>
      <c r="AM1387" s="10">
        <v>19708276645</v>
      </c>
      <c r="AO1387" t="s">
        <v>4614</v>
      </c>
      <c r="AP1387" t="s">
        <v>121</v>
      </c>
      <c r="AQ1387" t="s">
        <v>4615</v>
      </c>
      <c r="AR1387" t="s">
        <v>1069</v>
      </c>
      <c r="AT1387" t="s">
        <v>4616</v>
      </c>
      <c r="AU1387" t="s">
        <v>4617</v>
      </c>
      <c r="AV1387" t="s">
        <v>2096</v>
      </c>
      <c r="AW1387" t="s">
        <v>2090</v>
      </c>
      <c r="AX1387" s="8" t="str">
        <f>"68114"</f>
        <v>68114</v>
      </c>
      <c r="AY1387" t="s">
        <v>118</v>
      </c>
      <c r="BA1387" s="10">
        <v>14023911991</v>
      </c>
      <c r="BC1387" t="s">
        <v>4618</v>
      </c>
      <c r="BD1387" t="s">
        <v>4619</v>
      </c>
      <c r="BE1387" t="s">
        <v>2090</v>
      </c>
      <c r="BF1387" t="s">
        <v>2099</v>
      </c>
      <c r="BG1387" t="s">
        <v>188</v>
      </c>
      <c r="BH1387" s="1">
        <v>45154.833333333336</v>
      </c>
      <c r="BI1387">
        <v>40</v>
      </c>
      <c r="BJ1387">
        <v>8</v>
      </c>
      <c r="BK1387">
        <v>8</v>
      </c>
      <c r="BL1387">
        <v>0</v>
      </c>
      <c r="BM1387">
        <v>8</v>
      </c>
      <c r="BN1387">
        <v>0</v>
      </c>
      <c r="BO1387">
        <v>8</v>
      </c>
      <c r="BP1387">
        <v>8</v>
      </c>
      <c r="BQ1387" t="str">
        <f>"8:00 AM"</f>
        <v>8:00 AM</v>
      </c>
      <c r="BR1387" t="str">
        <f>"4:30 PM"</f>
        <v>4:30 PM</v>
      </c>
      <c r="BS1387" t="s">
        <v>131</v>
      </c>
      <c r="BT1387">
        <v>0</v>
      </c>
      <c r="BU1387">
        <v>0</v>
      </c>
      <c r="BV1387" t="s">
        <v>114</v>
      </c>
      <c r="BX1387" s="2" t="s">
        <v>4620</v>
      </c>
      <c r="BY1387" t="s">
        <v>4610</v>
      </c>
      <c r="CA1387" t="s">
        <v>1084</v>
      </c>
      <c r="CB1387" t="s">
        <v>188</v>
      </c>
      <c r="CC1387" s="8" t="str">
        <f>"81657"</f>
        <v>81657</v>
      </c>
      <c r="CD1387" t="s">
        <v>1037</v>
      </c>
      <c r="CE1387" t="s">
        <v>1038</v>
      </c>
      <c r="CF1387" s="12">
        <v>15.5</v>
      </c>
      <c r="CH1387" s="12">
        <v>23.25</v>
      </c>
      <c r="CJ1387" t="s">
        <v>135</v>
      </c>
      <c r="CL1387" t="s">
        <v>4621</v>
      </c>
      <c r="CO1387" t="s">
        <v>132</v>
      </c>
      <c r="CP1387" t="s">
        <v>136</v>
      </c>
      <c r="CQ1387" t="s">
        <v>136</v>
      </c>
      <c r="CR1387" t="s">
        <v>136</v>
      </c>
      <c r="CS1387" t="s">
        <v>136</v>
      </c>
      <c r="CT1387" t="s">
        <v>136</v>
      </c>
      <c r="CU1387" t="s">
        <v>136</v>
      </c>
      <c r="CV1387" t="s">
        <v>4622</v>
      </c>
      <c r="CW1387" s="10" t="str">
        <f>"N/A"</f>
        <v>N/A</v>
      </c>
      <c r="CX1387" t="s">
        <v>4614</v>
      </c>
      <c r="CY1387" t="s">
        <v>4623</v>
      </c>
      <c r="CZ1387" t="s">
        <v>137</v>
      </c>
      <c r="DA1387" t="s">
        <v>114</v>
      </c>
      <c r="DB1387" t="s">
        <v>114</v>
      </c>
      <c r="DC1387" t="s">
        <v>136</v>
      </c>
      <c r="DD1387" t="s">
        <v>114</v>
      </c>
      <c r="DE1387" t="s">
        <v>4624</v>
      </c>
      <c r="DF1387" t="s">
        <v>931</v>
      </c>
      <c r="DG1387" t="s">
        <v>1738</v>
      </c>
      <c r="DH1387" t="s">
        <v>4625</v>
      </c>
      <c r="DI1387" t="s">
        <v>4626</v>
      </c>
    </row>
    <row r="1388" spans="1:113" ht="15" customHeight="1" x14ac:dyDescent="0.25">
      <c r="A1388" t="s">
        <v>7058</v>
      </c>
      <c r="B1388" t="s">
        <v>152</v>
      </c>
      <c r="C1388" s="1">
        <v>45156.527170486108</v>
      </c>
      <c r="D1388" s="1">
        <v>45216</v>
      </c>
      <c r="E1388" t="s">
        <v>114</v>
      </c>
      <c r="F1388" t="s">
        <v>3746</v>
      </c>
      <c r="G1388" t="str">
        <f>"35-2021.00"</f>
        <v>35-2021.00</v>
      </c>
      <c r="H1388" t="s">
        <v>2303</v>
      </c>
      <c r="I1388">
        <v>23</v>
      </c>
      <c r="J1388">
        <v>23</v>
      </c>
      <c r="K1388" s="1">
        <v>45245</v>
      </c>
      <c r="L1388" s="1">
        <v>45398</v>
      </c>
      <c r="M1388" s="1">
        <v>45245</v>
      </c>
      <c r="N1388" s="1">
        <v>45398</v>
      </c>
      <c r="O1388" t="s">
        <v>116</v>
      </c>
      <c r="P1388" t="s">
        <v>4608</v>
      </c>
      <c r="Q1388" t="s">
        <v>4609</v>
      </c>
      <c r="R1388" t="s">
        <v>4610</v>
      </c>
      <c r="T1388" t="s">
        <v>1084</v>
      </c>
      <c r="U1388" t="s">
        <v>188</v>
      </c>
      <c r="V1388" s="8" t="str">
        <f>"81657"</f>
        <v>81657</v>
      </c>
      <c r="W1388" t="s">
        <v>118</v>
      </c>
      <c r="Y1388" s="10">
        <v>19708276645</v>
      </c>
      <c r="AA1388">
        <v>7211</v>
      </c>
      <c r="AB1388" t="s">
        <v>4611</v>
      </c>
      <c r="AC1388" t="s">
        <v>4612</v>
      </c>
      <c r="AE1388" t="s">
        <v>4613</v>
      </c>
      <c r="AF1388" t="s">
        <v>4610</v>
      </c>
      <c r="AH1388" t="s">
        <v>1084</v>
      </c>
      <c r="AI1388" t="s">
        <v>188</v>
      </c>
      <c r="AJ1388" s="8" t="str">
        <f>"81657"</f>
        <v>81657</v>
      </c>
      <c r="AK1388" t="s">
        <v>118</v>
      </c>
      <c r="AM1388" s="10">
        <v>19708276645</v>
      </c>
      <c r="AO1388" t="s">
        <v>4614</v>
      </c>
      <c r="AP1388" t="s">
        <v>121</v>
      </c>
      <c r="AQ1388" t="s">
        <v>4615</v>
      </c>
      <c r="AR1388" t="s">
        <v>1069</v>
      </c>
      <c r="AT1388" t="s">
        <v>4616</v>
      </c>
      <c r="AU1388" t="s">
        <v>4617</v>
      </c>
      <c r="AV1388" t="s">
        <v>2096</v>
      </c>
      <c r="AW1388" t="s">
        <v>2090</v>
      </c>
      <c r="AX1388" s="8" t="str">
        <f>"68114"</f>
        <v>68114</v>
      </c>
      <c r="AY1388" t="s">
        <v>118</v>
      </c>
      <c r="BA1388" s="10">
        <v>14023911991</v>
      </c>
      <c r="BC1388" t="s">
        <v>4618</v>
      </c>
      <c r="BD1388" t="s">
        <v>4619</v>
      </c>
      <c r="BE1388" t="s">
        <v>2090</v>
      </c>
      <c r="BF1388" t="s">
        <v>2099</v>
      </c>
      <c r="BG1388" t="s">
        <v>188</v>
      </c>
      <c r="BH1388" s="1">
        <v>45154.833333333336</v>
      </c>
      <c r="BI1388">
        <v>40</v>
      </c>
      <c r="BJ1388">
        <v>8</v>
      </c>
      <c r="BK1388">
        <v>0</v>
      </c>
      <c r="BL1388">
        <v>8</v>
      </c>
      <c r="BM1388">
        <v>0</v>
      </c>
      <c r="BN1388">
        <v>8</v>
      </c>
      <c r="BO1388">
        <v>8</v>
      </c>
      <c r="BP1388">
        <v>8</v>
      </c>
      <c r="BQ1388" t="str">
        <f>"6:00 AM"</f>
        <v>6:00 AM</v>
      </c>
      <c r="BR1388" t="str">
        <f>"2:30 PM"</f>
        <v>2:30 PM</v>
      </c>
      <c r="BS1388" t="s">
        <v>131</v>
      </c>
      <c r="BT1388">
        <v>0</v>
      </c>
      <c r="BU1388">
        <v>0</v>
      </c>
      <c r="BV1388" t="s">
        <v>114</v>
      </c>
      <c r="BX1388" t="s">
        <v>7059</v>
      </c>
      <c r="BY1388" t="s">
        <v>4610</v>
      </c>
      <c r="CA1388" t="s">
        <v>1084</v>
      </c>
      <c r="CB1388" t="s">
        <v>188</v>
      </c>
      <c r="CC1388" s="8" t="str">
        <f>"81657"</f>
        <v>81657</v>
      </c>
      <c r="CD1388" t="s">
        <v>1037</v>
      </c>
      <c r="CE1388" t="s">
        <v>1038</v>
      </c>
      <c r="CF1388" s="12">
        <v>17.21</v>
      </c>
      <c r="CH1388" s="12">
        <v>25.82</v>
      </c>
      <c r="CJ1388" t="s">
        <v>135</v>
      </c>
      <c r="CL1388" t="s">
        <v>7060</v>
      </c>
      <c r="CO1388" t="s">
        <v>132</v>
      </c>
      <c r="CP1388" t="s">
        <v>136</v>
      </c>
      <c r="CQ1388" t="s">
        <v>136</v>
      </c>
      <c r="CR1388" t="s">
        <v>136</v>
      </c>
      <c r="CS1388" t="s">
        <v>136</v>
      </c>
      <c r="CT1388" t="s">
        <v>136</v>
      </c>
      <c r="CU1388" t="s">
        <v>136</v>
      </c>
      <c r="CV1388" t="s">
        <v>4622</v>
      </c>
      <c r="CW1388" s="10" t="str">
        <f>"N/A"</f>
        <v>N/A</v>
      </c>
      <c r="CX1388" t="s">
        <v>4614</v>
      </c>
      <c r="CY1388" t="s">
        <v>7061</v>
      </c>
      <c r="CZ1388" t="s">
        <v>137</v>
      </c>
      <c r="DA1388" t="s">
        <v>114</v>
      </c>
      <c r="DB1388" t="s">
        <v>114</v>
      </c>
      <c r="DC1388" t="s">
        <v>136</v>
      </c>
      <c r="DD1388" t="s">
        <v>114</v>
      </c>
      <c r="DE1388" t="s">
        <v>4624</v>
      </c>
      <c r="DF1388" t="s">
        <v>931</v>
      </c>
      <c r="DG1388" t="s">
        <v>1738</v>
      </c>
      <c r="DH1388" t="s">
        <v>4625</v>
      </c>
      <c r="DI1388" t="s">
        <v>4626</v>
      </c>
    </row>
    <row r="1389" spans="1:113" ht="15" customHeight="1" x14ac:dyDescent="0.25">
      <c r="A1389" t="s">
        <v>14453</v>
      </c>
      <c r="B1389" t="s">
        <v>152</v>
      </c>
      <c r="C1389" s="1">
        <v>45155.700744560185</v>
      </c>
      <c r="D1389" s="1">
        <v>45216</v>
      </c>
      <c r="E1389" t="s">
        <v>114</v>
      </c>
      <c r="F1389" t="s">
        <v>9455</v>
      </c>
      <c r="G1389" t="str">
        <f>"37-3011.00"</f>
        <v>37-3011.00</v>
      </c>
      <c r="H1389" t="s">
        <v>429</v>
      </c>
      <c r="I1389">
        <v>20</v>
      </c>
      <c r="J1389">
        <v>20</v>
      </c>
      <c r="K1389" s="1">
        <v>45245</v>
      </c>
      <c r="L1389" s="1">
        <v>45350</v>
      </c>
      <c r="M1389" s="1">
        <v>45245</v>
      </c>
      <c r="N1389" s="1">
        <v>45350</v>
      </c>
      <c r="O1389" t="s">
        <v>116</v>
      </c>
      <c r="P1389" t="s">
        <v>14454</v>
      </c>
      <c r="R1389" t="s">
        <v>14455</v>
      </c>
      <c r="T1389" t="s">
        <v>14456</v>
      </c>
      <c r="U1389" t="s">
        <v>127</v>
      </c>
      <c r="V1389" s="8" t="str">
        <f>"76877"</f>
        <v>76877</v>
      </c>
      <c r="W1389" t="s">
        <v>118</v>
      </c>
      <c r="Y1389" s="10">
        <v>13253723031</v>
      </c>
      <c r="AA1389">
        <v>212311</v>
      </c>
      <c r="AB1389" t="s">
        <v>12249</v>
      </c>
      <c r="AC1389" t="s">
        <v>8817</v>
      </c>
      <c r="AD1389" t="s">
        <v>132</v>
      </c>
      <c r="AE1389" t="s">
        <v>3519</v>
      </c>
      <c r="AF1389" t="s">
        <v>14455</v>
      </c>
      <c r="AG1389" t="s">
        <v>132</v>
      </c>
      <c r="AH1389" t="s">
        <v>14456</v>
      </c>
      <c r="AI1389" t="s">
        <v>127</v>
      </c>
      <c r="AJ1389" s="8" t="str">
        <f>"76877"</f>
        <v>76877</v>
      </c>
      <c r="AK1389" t="s">
        <v>118</v>
      </c>
      <c r="AM1389" s="10">
        <v>13253723031</v>
      </c>
      <c r="AO1389" t="s">
        <v>14457</v>
      </c>
      <c r="AP1389" t="s">
        <v>121</v>
      </c>
      <c r="AQ1389" t="s">
        <v>10709</v>
      </c>
      <c r="AR1389" t="s">
        <v>10710</v>
      </c>
      <c r="AS1389" t="s">
        <v>4494</v>
      </c>
      <c r="AT1389" t="s">
        <v>991</v>
      </c>
      <c r="AV1389" t="s">
        <v>992</v>
      </c>
      <c r="AW1389" t="s">
        <v>993</v>
      </c>
      <c r="AX1389" s="8" t="str">
        <f>"54301"</f>
        <v>54301</v>
      </c>
      <c r="AY1389" t="s">
        <v>118</v>
      </c>
      <c r="BA1389" s="10">
        <v>19202649475</v>
      </c>
      <c r="BC1389" t="s">
        <v>10711</v>
      </c>
      <c r="BD1389" t="s">
        <v>995</v>
      </c>
      <c r="BE1389" t="s">
        <v>402</v>
      </c>
      <c r="BF1389" t="s">
        <v>4644</v>
      </c>
      <c r="BG1389" t="s">
        <v>127</v>
      </c>
      <c r="BH1389" s="1">
        <v>45151.833333333336</v>
      </c>
      <c r="BI1389">
        <v>40</v>
      </c>
      <c r="BJ1389">
        <v>0</v>
      </c>
      <c r="BK1389">
        <v>8</v>
      </c>
      <c r="BL1389">
        <v>8</v>
      </c>
      <c r="BM1389">
        <v>8</v>
      </c>
      <c r="BN1389">
        <v>8</v>
      </c>
      <c r="BO1389">
        <v>8</v>
      </c>
      <c r="BP1389">
        <v>0</v>
      </c>
      <c r="BQ1389" t="str">
        <f>"8:00 AM"</f>
        <v>8:00 AM</v>
      </c>
      <c r="BR1389" t="str">
        <f>"5:00 PM"</f>
        <v>5:00 PM</v>
      </c>
      <c r="BS1389" t="s">
        <v>131</v>
      </c>
      <c r="BT1389">
        <v>0</v>
      </c>
      <c r="BU1389">
        <v>0</v>
      </c>
      <c r="BV1389" t="s">
        <v>114</v>
      </c>
      <c r="BX1389" s="2" t="s">
        <v>10712</v>
      </c>
      <c r="BY1389" t="s">
        <v>14455</v>
      </c>
      <c r="CA1389" t="s">
        <v>14456</v>
      </c>
      <c r="CB1389" t="s">
        <v>127</v>
      </c>
      <c r="CC1389" s="8" t="str">
        <f>"76877"</f>
        <v>76877</v>
      </c>
      <c r="CD1389" t="s">
        <v>14456</v>
      </c>
      <c r="CE1389" t="s">
        <v>619</v>
      </c>
      <c r="CF1389" s="12">
        <v>14.23</v>
      </c>
      <c r="CH1389" s="12">
        <v>21.35</v>
      </c>
      <c r="CJ1389" t="s">
        <v>135</v>
      </c>
      <c r="CK1389" t="s">
        <v>131</v>
      </c>
      <c r="CL1389" t="s">
        <v>14458</v>
      </c>
      <c r="CO1389" t="s">
        <v>132</v>
      </c>
      <c r="CP1389" t="s">
        <v>114</v>
      </c>
      <c r="CQ1389" t="s">
        <v>136</v>
      </c>
      <c r="CR1389" t="s">
        <v>136</v>
      </c>
      <c r="CS1389" t="s">
        <v>136</v>
      </c>
      <c r="CT1389" t="s">
        <v>136</v>
      </c>
      <c r="CU1389" t="s">
        <v>136</v>
      </c>
      <c r="CV1389" t="s">
        <v>14459</v>
      </c>
      <c r="CW1389" s="10" t="str">
        <f>"+13253723031"</f>
        <v>+13253723031</v>
      </c>
      <c r="CX1389" t="s">
        <v>14460</v>
      </c>
      <c r="CY1389" t="s">
        <v>132</v>
      </c>
      <c r="CZ1389" t="s">
        <v>137</v>
      </c>
      <c r="DA1389" t="s">
        <v>114</v>
      </c>
      <c r="DB1389" t="s">
        <v>114</v>
      </c>
      <c r="DC1389" t="s">
        <v>136</v>
      </c>
      <c r="DD1389" t="s">
        <v>114</v>
      </c>
    </row>
    <row r="1390" spans="1:113" ht="15" customHeight="1" x14ac:dyDescent="0.25">
      <c r="A1390" t="s">
        <v>10703</v>
      </c>
      <c r="B1390" t="s">
        <v>152</v>
      </c>
      <c r="C1390" s="1">
        <v>45155.699724537037</v>
      </c>
      <c r="D1390" s="1">
        <v>45216</v>
      </c>
      <c r="E1390" t="s">
        <v>114</v>
      </c>
      <c r="F1390" t="s">
        <v>9455</v>
      </c>
      <c r="G1390" t="str">
        <f>"37-3011.00"</f>
        <v>37-3011.00</v>
      </c>
      <c r="H1390" t="s">
        <v>429</v>
      </c>
      <c r="I1390">
        <v>20</v>
      </c>
      <c r="J1390">
        <v>20</v>
      </c>
      <c r="K1390" s="1">
        <v>45245</v>
      </c>
      <c r="L1390" s="1">
        <v>45350</v>
      </c>
      <c r="M1390" s="1">
        <v>45245</v>
      </c>
      <c r="N1390" s="1">
        <v>45350</v>
      </c>
      <c r="O1390" t="s">
        <v>116</v>
      </c>
      <c r="P1390" t="s">
        <v>10704</v>
      </c>
      <c r="R1390" t="s">
        <v>10705</v>
      </c>
      <c r="T1390" t="s">
        <v>10706</v>
      </c>
      <c r="U1390" t="s">
        <v>127</v>
      </c>
      <c r="V1390" s="8" t="str">
        <f>"79533"</f>
        <v>79533</v>
      </c>
      <c r="W1390" t="s">
        <v>118</v>
      </c>
      <c r="Y1390" s="10">
        <v>13252284915</v>
      </c>
      <c r="AA1390">
        <v>212311</v>
      </c>
      <c r="AB1390" t="s">
        <v>9813</v>
      </c>
      <c r="AC1390" t="s">
        <v>8523</v>
      </c>
      <c r="AD1390" t="s">
        <v>132</v>
      </c>
      <c r="AE1390" t="s">
        <v>561</v>
      </c>
      <c r="AF1390" t="s">
        <v>10707</v>
      </c>
      <c r="AG1390" t="s">
        <v>132</v>
      </c>
      <c r="AH1390" t="s">
        <v>10706</v>
      </c>
      <c r="AI1390" t="s">
        <v>127</v>
      </c>
      <c r="AJ1390" s="8" t="str">
        <f>"79533"</f>
        <v>79533</v>
      </c>
      <c r="AK1390" t="s">
        <v>118</v>
      </c>
      <c r="AM1390" s="10">
        <v>13252284915</v>
      </c>
      <c r="AO1390" t="s">
        <v>10708</v>
      </c>
      <c r="AP1390" t="s">
        <v>121</v>
      </c>
      <c r="AQ1390" t="s">
        <v>10709</v>
      </c>
      <c r="AR1390" t="s">
        <v>10710</v>
      </c>
      <c r="AS1390" t="s">
        <v>4494</v>
      </c>
      <c r="AT1390" t="s">
        <v>991</v>
      </c>
      <c r="AV1390" t="s">
        <v>992</v>
      </c>
      <c r="AW1390" t="s">
        <v>993</v>
      </c>
      <c r="AX1390" s="8" t="str">
        <f>"54301"</f>
        <v>54301</v>
      </c>
      <c r="AY1390" t="s">
        <v>118</v>
      </c>
      <c r="BA1390" s="10">
        <v>19202649475</v>
      </c>
      <c r="BC1390" t="s">
        <v>10711</v>
      </c>
      <c r="BD1390" t="s">
        <v>995</v>
      </c>
      <c r="BE1390" t="s">
        <v>402</v>
      </c>
      <c r="BF1390" t="s">
        <v>4644</v>
      </c>
      <c r="BG1390" t="s">
        <v>127</v>
      </c>
      <c r="BH1390" s="1">
        <v>45151.833333333336</v>
      </c>
      <c r="BI1390">
        <v>40</v>
      </c>
      <c r="BJ1390">
        <v>0</v>
      </c>
      <c r="BK1390">
        <v>8</v>
      </c>
      <c r="BL1390">
        <v>8</v>
      </c>
      <c r="BM1390">
        <v>8</v>
      </c>
      <c r="BN1390">
        <v>8</v>
      </c>
      <c r="BO1390">
        <v>8</v>
      </c>
      <c r="BP1390">
        <v>0</v>
      </c>
      <c r="BQ1390" t="str">
        <f>"8:00 AM"</f>
        <v>8:00 AM</v>
      </c>
      <c r="BR1390" t="str">
        <f>"5:00 PM"</f>
        <v>5:00 PM</v>
      </c>
      <c r="BS1390" t="s">
        <v>131</v>
      </c>
      <c r="BT1390">
        <v>0</v>
      </c>
      <c r="BU1390">
        <v>0</v>
      </c>
      <c r="BV1390" t="s">
        <v>114</v>
      </c>
      <c r="BX1390" s="2" t="s">
        <v>10712</v>
      </c>
      <c r="BY1390" t="s">
        <v>10713</v>
      </c>
      <c r="CA1390" t="s">
        <v>10706</v>
      </c>
      <c r="CB1390" t="s">
        <v>127</v>
      </c>
      <c r="CC1390" s="8" t="str">
        <f>"79533"</f>
        <v>79533</v>
      </c>
      <c r="CD1390" t="s">
        <v>10714</v>
      </c>
      <c r="CE1390" t="s">
        <v>660</v>
      </c>
      <c r="CF1390" s="12">
        <v>14.74</v>
      </c>
      <c r="CH1390" s="12">
        <v>22.11</v>
      </c>
      <c r="CJ1390" t="s">
        <v>135</v>
      </c>
      <c r="CK1390" t="s">
        <v>132</v>
      </c>
      <c r="CL1390" t="s">
        <v>10715</v>
      </c>
      <c r="CO1390" t="s">
        <v>132</v>
      </c>
      <c r="CP1390" t="s">
        <v>114</v>
      </c>
      <c r="CQ1390" t="s">
        <v>136</v>
      </c>
      <c r="CR1390" t="s">
        <v>136</v>
      </c>
      <c r="CS1390" t="s">
        <v>136</v>
      </c>
      <c r="CT1390" t="s">
        <v>136</v>
      </c>
      <c r="CU1390" t="s">
        <v>136</v>
      </c>
      <c r="CV1390" t="s">
        <v>10716</v>
      </c>
      <c r="CW1390" s="10" t="str">
        <f>"+13252284915"</f>
        <v>+13252284915</v>
      </c>
      <c r="CX1390" t="s">
        <v>10717</v>
      </c>
      <c r="CY1390" t="s">
        <v>132</v>
      </c>
      <c r="CZ1390" t="s">
        <v>137</v>
      </c>
      <c r="DA1390" t="s">
        <v>114</v>
      </c>
      <c r="DB1390" t="s">
        <v>114</v>
      </c>
      <c r="DC1390" t="s">
        <v>136</v>
      </c>
      <c r="DD1390" t="s">
        <v>114</v>
      </c>
    </row>
    <row r="1391" spans="1:113" ht="15" customHeight="1" x14ac:dyDescent="0.25">
      <c r="A1391" t="s">
        <v>18485</v>
      </c>
      <c r="B1391" t="s">
        <v>152</v>
      </c>
      <c r="C1391" s="1">
        <v>45155.647196527774</v>
      </c>
      <c r="D1391" s="1">
        <v>45216</v>
      </c>
      <c r="E1391" t="s">
        <v>114</v>
      </c>
      <c r="F1391" t="s">
        <v>700</v>
      </c>
      <c r="G1391" t="str">
        <f>"49-9099.00"</f>
        <v>49-9099.00</v>
      </c>
      <c r="H1391" t="s">
        <v>3863</v>
      </c>
      <c r="I1391">
        <v>33</v>
      </c>
      <c r="J1391">
        <v>33</v>
      </c>
      <c r="K1391" s="1">
        <v>45231</v>
      </c>
      <c r="L1391" s="1">
        <v>45412</v>
      </c>
      <c r="M1391" s="1">
        <v>45231</v>
      </c>
      <c r="N1391" s="1">
        <v>45412</v>
      </c>
      <c r="O1391" t="s">
        <v>238</v>
      </c>
      <c r="P1391" t="s">
        <v>18486</v>
      </c>
      <c r="R1391" t="s">
        <v>18487</v>
      </c>
      <c r="T1391" t="s">
        <v>7569</v>
      </c>
      <c r="U1391" t="s">
        <v>211</v>
      </c>
      <c r="V1391" s="8" t="str">
        <f>"84065"</f>
        <v>84065</v>
      </c>
      <c r="W1391" t="s">
        <v>118</v>
      </c>
      <c r="Y1391" s="10">
        <v>13852757590</v>
      </c>
      <c r="AA1391">
        <v>561730</v>
      </c>
      <c r="AB1391" t="s">
        <v>18488</v>
      </c>
      <c r="AC1391" t="s">
        <v>18489</v>
      </c>
      <c r="AD1391" t="s">
        <v>763</v>
      </c>
      <c r="AE1391" t="s">
        <v>1799</v>
      </c>
      <c r="AF1391" t="s">
        <v>18487</v>
      </c>
      <c r="AH1391" t="s">
        <v>7569</v>
      </c>
      <c r="AI1391" t="s">
        <v>211</v>
      </c>
      <c r="AJ1391" s="8" t="str">
        <f>"84065"</f>
        <v>84065</v>
      </c>
      <c r="AK1391" t="s">
        <v>118</v>
      </c>
      <c r="AM1391" s="10">
        <v>13852757590</v>
      </c>
      <c r="AO1391" t="s">
        <v>18490</v>
      </c>
      <c r="AP1391" t="s">
        <v>121</v>
      </c>
      <c r="AQ1391" t="s">
        <v>707</v>
      </c>
      <c r="AR1391" t="s">
        <v>708</v>
      </c>
      <c r="AS1391" t="s">
        <v>709</v>
      </c>
      <c r="AT1391" t="s">
        <v>710</v>
      </c>
      <c r="AU1391" t="s">
        <v>874</v>
      </c>
      <c r="AV1391" t="s">
        <v>603</v>
      </c>
      <c r="AW1391" t="s">
        <v>127</v>
      </c>
      <c r="AX1391" s="8" t="str">
        <f>"78746"</f>
        <v>78746</v>
      </c>
      <c r="AY1391" t="s">
        <v>118</v>
      </c>
      <c r="BA1391" s="10">
        <v>17372040093</v>
      </c>
      <c r="BC1391" t="s">
        <v>711</v>
      </c>
      <c r="BD1391" t="s">
        <v>712</v>
      </c>
      <c r="BE1391" t="s">
        <v>127</v>
      </c>
      <c r="BF1391" t="s">
        <v>713</v>
      </c>
      <c r="BG1391" t="s">
        <v>211</v>
      </c>
      <c r="BH1391" s="1">
        <v>45154.833333333336</v>
      </c>
      <c r="BI1391">
        <v>40</v>
      </c>
      <c r="BJ1391">
        <v>0</v>
      </c>
      <c r="BK1391">
        <v>8</v>
      </c>
      <c r="BL1391">
        <v>8</v>
      </c>
      <c r="BM1391">
        <v>8</v>
      </c>
      <c r="BN1391">
        <v>8</v>
      </c>
      <c r="BO1391">
        <v>8</v>
      </c>
      <c r="BP1391">
        <v>0</v>
      </c>
      <c r="BQ1391" t="str">
        <f>"7:30 AM"</f>
        <v>7:30 AM</v>
      </c>
      <c r="BR1391" t="str">
        <f>"4:00 PM"</f>
        <v>4:00 PM</v>
      </c>
      <c r="BS1391" t="s">
        <v>131</v>
      </c>
      <c r="BT1391">
        <v>0</v>
      </c>
      <c r="BU1391">
        <v>0</v>
      </c>
      <c r="BV1391" t="s">
        <v>114</v>
      </c>
      <c r="BX1391" t="s">
        <v>132</v>
      </c>
      <c r="BY1391" t="s">
        <v>18487</v>
      </c>
      <c r="CA1391" t="s">
        <v>7569</v>
      </c>
      <c r="CB1391" t="s">
        <v>211</v>
      </c>
      <c r="CC1391" s="8" t="str">
        <f>"84096"</f>
        <v>84096</v>
      </c>
      <c r="CD1391" t="s">
        <v>2468</v>
      </c>
      <c r="CE1391" t="s">
        <v>2469</v>
      </c>
      <c r="CF1391" s="12">
        <v>22.59</v>
      </c>
      <c r="CG1391" s="12">
        <v>22.59</v>
      </c>
      <c r="CH1391" s="12">
        <v>33.89</v>
      </c>
      <c r="CI1391" s="12">
        <v>33.89</v>
      </c>
      <c r="CJ1391" t="s">
        <v>135</v>
      </c>
      <c r="CK1391" t="s">
        <v>18491</v>
      </c>
      <c r="CL1391" t="s">
        <v>18492</v>
      </c>
      <c r="CO1391" t="s">
        <v>132</v>
      </c>
      <c r="CP1391" t="s">
        <v>136</v>
      </c>
      <c r="CQ1391" t="s">
        <v>136</v>
      </c>
      <c r="CR1391" t="s">
        <v>136</v>
      </c>
      <c r="CS1391" t="s">
        <v>136</v>
      </c>
      <c r="CT1391" t="s">
        <v>136</v>
      </c>
      <c r="CU1391" t="s">
        <v>114</v>
      </c>
      <c r="CV1391" t="s">
        <v>131</v>
      </c>
      <c r="CW1391" s="10" t="str">
        <f>"+13852757590"</f>
        <v>+13852757590</v>
      </c>
      <c r="CX1391" t="s">
        <v>18490</v>
      </c>
      <c r="CY1391" t="s">
        <v>132</v>
      </c>
      <c r="CZ1391" t="s">
        <v>137</v>
      </c>
      <c r="DA1391" t="s">
        <v>114</v>
      </c>
      <c r="DB1391" t="s">
        <v>114</v>
      </c>
      <c r="DC1391" t="s">
        <v>136</v>
      </c>
      <c r="DD1391" t="s">
        <v>114</v>
      </c>
    </row>
    <row r="1392" spans="1:113" ht="15" customHeight="1" x14ac:dyDescent="0.25">
      <c r="A1392" t="s">
        <v>14499</v>
      </c>
      <c r="B1392" t="s">
        <v>152</v>
      </c>
      <c r="C1392" s="1">
        <v>45155.608858680556</v>
      </c>
      <c r="D1392" s="1">
        <v>45216</v>
      </c>
      <c r="E1392" t="s">
        <v>136</v>
      </c>
      <c r="F1392" t="s">
        <v>7033</v>
      </c>
      <c r="G1392" t="str">
        <f>"43-4081.00"</f>
        <v>43-4081.00</v>
      </c>
      <c r="H1392" t="s">
        <v>952</v>
      </c>
      <c r="I1392">
        <v>5</v>
      </c>
      <c r="J1392">
        <v>5</v>
      </c>
      <c r="K1392" s="1">
        <v>45245</v>
      </c>
      <c r="L1392" s="1">
        <v>45413</v>
      </c>
      <c r="M1392" s="1">
        <v>45245</v>
      </c>
      <c r="N1392" s="1">
        <v>45413</v>
      </c>
      <c r="O1392" t="s">
        <v>116</v>
      </c>
      <c r="P1392" t="s">
        <v>1099</v>
      </c>
      <c r="Q1392" t="s">
        <v>1100</v>
      </c>
      <c r="R1392" t="s">
        <v>1101</v>
      </c>
      <c r="T1392" t="s">
        <v>487</v>
      </c>
      <c r="U1392" t="s">
        <v>506</v>
      </c>
      <c r="V1392" s="8" t="str">
        <f>"05859"</f>
        <v>05859</v>
      </c>
      <c r="W1392" t="s">
        <v>118</v>
      </c>
      <c r="Y1392" s="10">
        <v>18029882611</v>
      </c>
      <c r="AA1392">
        <v>721110</v>
      </c>
      <c r="AB1392" t="s">
        <v>1102</v>
      </c>
      <c r="AC1392" t="s">
        <v>1103</v>
      </c>
      <c r="AE1392" t="s">
        <v>1104</v>
      </c>
      <c r="AF1392" t="s">
        <v>1101</v>
      </c>
      <c r="AH1392" t="s">
        <v>487</v>
      </c>
      <c r="AI1392" t="s">
        <v>506</v>
      </c>
      <c r="AJ1392" s="8" t="str">
        <f>"05859"</f>
        <v>05859</v>
      </c>
      <c r="AK1392" t="s">
        <v>118</v>
      </c>
      <c r="AM1392" s="10">
        <v>18029882611</v>
      </c>
      <c r="AO1392" t="s">
        <v>1105</v>
      </c>
      <c r="AP1392" t="s">
        <v>121</v>
      </c>
      <c r="AQ1392" t="s">
        <v>276</v>
      </c>
      <c r="AR1392" t="s">
        <v>277</v>
      </c>
      <c r="AS1392" t="s">
        <v>278</v>
      </c>
      <c r="AT1392" t="s">
        <v>279</v>
      </c>
      <c r="AU1392" t="s">
        <v>280</v>
      </c>
      <c r="AV1392" t="s">
        <v>281</v>
      </c>
      <c r="AW1392" t="s">
        <v>222</v>
      </c>
      <c r="AX1392" s="8" t="str">
        <f>"01701"</f>
        <v>01701</v>
      </c>
      <c r="AY1392" t="s">
        <v>118</v>
      </c>
      <c r="BA1392" s="10">
        <v>16179399444</v>
      </c>
      <c r="BC1392" t="s">
        <v>282</v>
      </c>
      <c r="BD1392" t="s">
        <v>283</v>
      </c>
      <c r="BE1392" t="s">
        <v>222</v>
      </c>
      <c r="BF1392" t="s">
        <v>284</v>
      </c>
      <c r="BG1392" t="s">
        <v>506</v>
      </c>
      <c r="BH1392" s="1">
        <v>45154.833333333336</v>
      </c>
      <c r="BI1392">
        <v>35</v>
      </c>
      <c r="BJ1392">
        <v>0</v>
      </c>
      <c r="BK1392">
        <v>7</v>
      </c>
      <c r="BL1392">
        <v>7</v>
      </c>
      <c r="BM1392">
        <v>7</v>
      </c>
      <c r="BN1392">
        <v>7</v>
      </c>
      <c r="BO1392">
        <v>7</v>
      </c>
      <c r="BP1392">
        <v>0</v>
      </c>
      <c r="BQ1392" t="str">
        <f>"7:00 AM"</f>
        <v>7:00 AM</v>
      </c>
      <c r="BR1392" t="str">
        <f>"2:00 PM"</f>
        <v>2:00 PM</v>
      </c>
      <c r="BS1392" t="s">
        <v>131</v>
      </c>
      <c r="BT1392">
        <v>0</v>
      </c>
      <c r="BU1392">
        <v>3</v>
      </c>
      <c r="BV1392" t="s">
        <v>114</v>
      </c>
      <c r="BX1392" s="2" t="s">
        <v>1106</v>
      </c>
      <c r="BY1392" t="s">
        <v>1101</v>
      </c>
      <c r="CA1392" t="s">
        <v>487</v>
      </c>
      <c r="CB1392" t="s">
        <v>506</v>
      </c>
      <c r="CC1392" s="8" t="str">
        <f>"05859"</f>
        <v>05859</v>
      </c>
      <c r="CD1392" t="s">
        <v>1107</v>
      </c>
      <c r="CE1392" t="s">
        <v>1108</v>
      </c>
      <c r="CF1392" s="12">
        <v>17</v>
      </c>
      <c r="CG1392" s="12">
        <v>17.510000000000002</v>
      </c>
      <c r="CH1392" s="12">
        <v>25.5</v>
      </c>
      <c r="CI1392" s="12">
        <v>26.27</v>
      </c>
      <c r="CJ1392" t="s">
        <v>135</v>
      </c>
      <c r="CK1392" t="s">
        <v>14500</v>
      </c>
      <c r="CL1392" t="s">
        <v>14501</v>
      </c>
      <c r="CO1392" t="s">
        <v>132</v>
      </c>
      <c r="CP1392" t="s">
        <v>114</v>
      </c>
      <c r="CQ1392" t="s">
        <v>136</v>
      </c>
      <c r="CR1392" t="s">
        <v>136</v>
      </c>
      <c r="CS1392" t="s">
        <v>136</v>
      </c>
      <c r="CT1392" t="s">
        <v>136</v>
      </c>
      <c r="CU1392" t="s">
        <v>136</v>
      </c>
      <c r="CV1392" s="2" t="s">
        <v>1111</v>
      </c>
      <c r="CW1392" s="10" t="str">
        <f>"+18023272416"</f>
        <v>+18023272416</v>
      </c>
      <c r="CX1392" t="s">
        <v>1105</v>
      </c>
      <c r="CY1392" t="s">
        <v>132</v>
      </c>
      <c r="CZ1392" t="s">
        <v>137</v>
      </c>
      <c r="DA1392" t="s">
        <v>114</v>
      </c>
      <c r="DB1392" t="s">
        <v>114</v>
      </c>
      <c r="DC1392" t="s">
        <v>136</v>
      </c>
      <c r="DD1392" t="s">
        <v>114</v>
      </c>
    </row>
    <row r="1393" spans="1:113" ht="15" customHeight="1" x14ac:dyDescent="0.25">
      <c r="A1393" t="s">
        <v>1097</v>
      </c>
      <c r="B1393" t="s">
        <v>152</v>
      </c>
      <c r="C1393" s="1">
        <v>45155.608547569442</v>
      </c>
      <c r="D1393" s="1">
        <v>45216</v>
      </c>
      <c r="E1393" t="s">
        <v>136</v>
      </c>
      <c r="F1393" t="s">
        <v>1098</v>
      </c>
      <c r="G1393" t="str">
        <f>"43-4081.00"</f>
        <v>43-4081.00</v>
      </c>
      <c r="H1393" t="s">
        <v>952</v>
      </c>
      <c r="I1393">
        <v>6</v>
      </c>
      <c r="J1393">
        <v>6</v>
      </c>
      <c r="K1393" s="1">
        <v>45245</v>
      </c>
      <c r="L1393" s="1">
        <v>45413</v>
      </c>
      <c r="M1393" s="1">
        <v>45245</v>
      </c>
      <c r="N1393" s="1">
        <v>45413</v>
      </c>
      <c r="O1393" t="s">
        <v>116</v>
      </c>
      <c r="P1393" t="s">
        <v>1099</v>
      </c>
      <c r="Q1393" t="s">
        <v>1100</v>
      </c>
      <c r="R1393" t="s">
        <v>1101</v>
      </c>
      <c r="T1393" t="s">
        <v>487</v>
      </c>
      <c r="U1393" t="s">
        <v>506</v>
      </c>
      <c r="V1393" s="8" t="str">
        <f>"05859"</f>
        <v>05859</v>
      </c>
      <c r="W1393" t="s">
        <v>118</v>
      </c>
      <c r="Y1393" s="10">
        <v>18029882611</v>
      </c>
      <c r="AA1393">
        <v>721110</v>
      </c>
      <c r="AB1393" t="s">
        <v>1102</v>
      </c>
      <c r="AC1393" t="s">
        <v>1103</v>
      </c>
      <c r="AE1393" t="s">
        <v>1104</v>
      </c>
      <c r="AF1393" t="s">
        <v>1101</v>
      </c>
      <c r="AH1393" t="s">
        <v>487</v>
      </c>
      <c r="AI1393" t="s">
        <v>506</v>
      </c>
      <c r="AJ1393" s="8" t="str">
        <f>"05859"</f>
        <v>05859</v>
      </c>
      <c r="AK1393" t="s">
        <v>118</v>
      </c>
      <c r="AM1393" s="10">
        <v>18029882611</v>
      </c>
      <c r="AO1393" t="s">
        <v>1105</v>
      </c>
      <c r="AP1393" t="s">
        <v>121</v>
      </c>
      <c r="AQ1393" t="s">
        <v>276</v>
      </c>
      <c r="AR1393" t="s">
        <v>277</v>
      </c>
      <c r="AS1393" t="s">
        <v>278</v>
      </c>
      <c r="AT1393" t="s">
        <v>279</v>
      </c>
      <c r="AU1393" t="s">
        <v>280</v>
      </c>
      <c r="AV1393" t="s">
        <v>281</v>
      </c>
      <c r="AW1393" t="s">
        <v>222</v>
      </c>
      <c r="AX1393" s="8" t="str">
        <f>"01701"</f>
        <v>01701</v>
      </c>
      <c r="AY1393" t="s">
        <v>118</v>
      </c>
      <c r="BA1393" s="10">
        <v>16179399444</v>
      </c>
      <c r="BC1393" t="s">
        <v>282</v>
      </c>
      <c r="BD1393" t="s">
        <v>283</v>
      </c>
      <c r="BE1393" t="s">
        <v>222</v>
      </c>
      <c r="BF1393" t="s">
        <v>284</v>
      </c>
      <c r="BG1393" t="s">
        <v>506</v>
      </c>
      <c r="BH1393" s="1">
        <v>45154.833333333336</v>
      </c>
      <c r="BI1393">
        <v>35</v>
      </c>
      <c r="BJ1393">
        <v>0</v>
      </c>
      <c r="BK1393">
        <v>7</v>
      </c>
      <c r="BL1393">
        <v>7</v>
      </c>
      <c r="BM1393">
        <v>7</v>
      </c>
      <c r="BN1393">
        <v>7</v>
      </c>
      <c r="BO1393">
        <v>7</v>
      </c>
      <c r="BP1393">
        <v>0</v>
      </c>
      <c r="BQ1393" t="str">
        <f>"7:00 AM"</f>
        <v>7:00 AM</v>
      </c>
      <c r="BR1393" t="str">
        <f>"2:00 PM"</f>
        <v>2:00 PM</v>
      </c>
      <c r="BS1393" t="s">
        <v>131</v>
      </c>
      <c r="BT1393">
        <v>0</v>
      </c>
      <c r="BU1393">
        <v>3</v>
      </c>
      <c r="BV1393" t="s">
        <v>114</v>
      </c>
      <c r="BX1393" s="2" t="s">
        <v>1106</v>
      </c>
      <c r="BY1393" t="s">
        <v>1101</v>
      </c>
      <c r="CA1393" t="s">
        <v>487</v>
      </c>
      <c r="CB1393" t="s">
        <v>506</v>
      </c>
      <c r="CC1393" s="8" t="str">
        <f>"05859"</f>
        <v>05859</v>
      </c>
      <c r="CD1393" t="s">
        <v>1107</v>
      </c>
      <c r="CE1393" t="s">
        <v>1108</v>
      </c>
      <c r="CF1393" s="12">
        <v>17.170000000000002</v>
      </c>
      <c r="CG1393" s="12">
        <v>17.690000000000001</v>
      </c>
      <c r="CH1393" s="12">
        <v>25.76</v>
      </c>
      <c r="CI1393" s="12">
        <v>26.54</v>
      </c>
      <c r="CJ1393" t="s">
        <v>135</v>
      </c>
      <c r="CK1393" t="s">
        <v>1109</v>
      </c>
      <c r="CL1393" t="s">
        <v>1110</v>
      </c>
      <c r="CO1393" t="s">
        <v>132</v>
      </c>
      <c r="CP1393" t="s">
        <v>114</v>
      </c>
      <c r="CQ1393" t="s">
        <v>136</v>
      </c>
      <c r="CR1393" t="s">
        <v>136</v>
      </c>
      <c r="CS1393" t="s">
        <v>136</v>
      </c>
      <c r="CT1393" t="s">
        <v>136</v>
      </c>
      <c r="CU1393" t="s">
        <v>136</v>
      </c>
      <c r="CV1393" s="2" t="s">
        <v>1111</v>
      </c>
      <c r="CW1393" s="10" t="str">
        <f>"+18023272416"</f>
        <v>+18023272416</v>
      </c>
      <c r="CX1393" t="s">
        <v>1105</v>
      </c>
      <c r="CY1393" t="s">
        <v>132</v>
      </c>
      <c r="CZ1393" t="s">
        <v>137</v>
      </c>
      <c r="DA1393" t="s">
        <v>114</v>
      </c>
      <c r="DB1393" t="s">
        <v>114</v>
      </c>
      <c r="DC1393" t="s">
        <v>136</v>
      </c>
      <c r="DD1393" t="s">
        <v>114</v>
      </c>
    </row>
    <row r="1394" spans="1:113" ht="15" customHeight="1" x14ac:dyDescent="0.25">
      <c r="A1394" t="s">
        <v>18693</v>
      </c>
      <c r="B1394" t="s">
        <v>152</v>
      </c>
      <c r="C1394" s="1">
        <v>45155.608332523145</v>
      </c>
      <c r="D1394" s="1">
        <v>45216</v>
      </c>
      <c r="E1394" t="s">
        <v>136</v>
      </c>
      <c r="F1394" t="s">
        <v>1689</v>
      </c>
      <c r="G1394" t="str">
        <f>"37-2012.00"</f>
        <v>37-2012.00</v>
      </c>
      <c r="H1394" t="s">
        <v>205</v>
      </c>
      <c r="I1394">
        <v>50</v>
      </c>
      <c r="J1394">
        <v>50</v>
      </c>
      <c r="K1394" s="1">
        <v>45245</v>
      </c>
      <c r="L1394" s="1">
        <v>45413</v>
      </c>
      <c r="M1394" s="1">
        <v>45245</v>
      </c>
      <c r="N1394" s="1">
        <v>45413</v>
      </c>
      <c r="O1394" t="s">
        <v>116</v>
      </c>
      <c r="P1394" t="s">
        <v>1099</v>
      </c>
      <c r="Q1394" t="s">
        <v>1100</v>
      </c>
      <c r="R1394" t="s">
        <v>1101</v>
      </c>
      <c r="T1394" t="s">
        <v>487</v>
      </c>
      <c r="U1394" t="s">
        <v>506</v>
      </c>
      <c r="V1394" s="8" t="str">
        <f>"05859"</f>
        <v>05859</v>
      </c>
      <c r="W1394" t="s">
        <v>118</v>
      </c>
      <c r="Y1394" s="10">
        <v>18029882611</v>
      </c>
      <c r="AA1394">
        <v>721110</v>
      </c>
      <c r="AB1394" t="s">
        <v>1102</v>
      </c>
      <c r="AC1394" t="s">
        <v>1103</v>
      </c>
      <c r="AE1394" t="s">
        <v>1104</v>
      </c>
      <c r="AF1394" t="s">
        <v>1101</v>
      </c>
      <c r="AH1394" t="s">
        <v>487</v>
      </c>
      <c r="AI1394" t="s">
        <v>506</v>
      </c>
      <c r="AJ1394" s="8" t="str">
        <f>"05859"</f>
        <v>05859</v>
      </c>
      <c r="AK1394" t="s">
        <v>118</v>
      </c>
      <c r="AM1394" s="10">
        <v>18029882611</v>
      </c>
      <c r="AO1394" t="s">
        <v>1105</v>
      </c>
      <c r="AP1394" t="s">
        <v>121</v>
      </c>
      <c r="AQ1394" t="s">
        <v>276</v>
      </c>
      <c r="AR1394" t="s">
        <v>277</v>
      </c>
      <c r="AS1394" t="s">
        <v>278</v>
      </c>
      <c r="AT1394" t="s">
        <v>279</v>
      </c>
      <c r="AU1394" t="s">
        <v>280</v>
      </c>
      <c r="AV1394" t="s">
        <v>281</v>
      </c>
      <c r="AW1394" t="s">
        <v>222</v>
      </c>
      <c r="AX1394" s="8" t="str">
        <f>"01701"</f>
        <v>01701</v>
      </c>
      <c r="AY1394" t="s">
        <v>118</v>
      </c>
      <c r="BA1394" s="10">
        <v>16179399444</v>
      </c>
      <c r="BC1394" t="s">
        <v>282</v>
      </c>
      <c r="BD1394" t="s">
        <v>283</v>
      </c>
      <c r="BE1394" t="s">
        <v>222</v>
      </c>
      <c r="BF1394" t="s">
        <v>284</v>
      </c>
      <c r="BG1394" t="s">
        <v>506</v>
      </c>
      <c r="BH1394" s="1">
        <v>45154.833333333336</v>
      </c>
      <c r="BI1394">
        <v>35</v>
      </c>
      <c r="BJ1394">
        <v>0</v>
      </c>
      <c r="BK1394">
        <v>7</v>
      </c>
      <c r="BL1394">
        <v>7</v>
      </c>
      <c r="BM1394">
        <v>7</v>
      </c>
      <c r="BN1394">
        <v>7</v>
      </c>
      <c r="BO1394">
        <v>7</v>
      </c>
      <c r="BP1394">
        <v>0</v>
      </c>
      <c r="BQ1394" t="str">
        <f>"7:00 AM"</f>
        <v>7:00 AM</v>
      </c>
      <c r="BR1394" t="str">
        <f>"2:00 PM"</f>
        <v>2:00 PM</v>
      </c>
      <c r="BS1394" t="s">
        <v>131</v>
      </c>
      <c r="BT1394">
        <v>0</v>
      </c>
      <c r="BU1394">
        <v>3</v>
      </c>
      <c r="BV1394" t="s">
        <v>114</v>
      </c>
      <c r="BX1394" s="2" t="s">
        <v>18694</v>
      </c>
      <c r="BY1394" t="s">
        <v>1101</v>
      </c>
      <c r="CA1394" t="s">
        <v>487</v>
      </c>
      <c r="CB1394" t="s">
        <v>506</v>
      </c>
      <c r="CC1394" s="8" t="str">
        <f>"05859"</f>
        <v>05859</v>
      </c>
      <c r="CD1394" t="s">
        <v>1107</v>
      </c>
      <c r="CE1394" t="s">
        <v>1108</v>
      </c>
      <c r="CF1394" s="12">
        <v>17</v>
      </c>
      <c r="CG1394" s="12">
        <v>18.23</v>
      </c>
      <c r="CH1394" s="12">
        <v>25.5</v>
      </c>
      <c r="CI1394" s="12">
        <v>27.35</v>
      </c>
      <c r="CJ1394" t="s">
        <v>135</v>
      </c>
      <c r="CK1394" t="s">
        <v>18695</v>
      </c>
      <c r="CL1394" t="s">
        <v>18696</v>
      </c>
      <c r="CO1394" t="s">
        <v>132</v>
      </c>
      <c r="CP1394" t="s">
        <v>114</v>
      </c>
      <c r="CQ1394" t="s">
        <v>136</v>
      </c>
      <c r="CR1394" t="s">
        <v>136</v>
      </c>
      <c r="CS1394" t="s">
        <v>136</v>
      </c>
      <c r="CT1394" t="s">
        <v>136</v>
      </c>
      <c r="CU1394" t="s">
        <v>136</v>
      </c>
      <c r="CV1394" s="2" t="s">
        <v>1111</v>
      </c>
      <c r="CW1394" s="10" t="str">
        <f>"+18023272416"</f>
        <v>+18023272416</v>
      </c>
      <c r="CX1394" t="s">
        <v>1105</v>
      </c>
      <c r="CY1394" t="s">
        <v>132</v>
      </c>
      <c r="CZ1394" t="s">
        <v>137</v>
      </c>
      <c r="DA1394" t="s">
        <v>114</v>
      </c>
      <c r="DB1394" t="s">
        <v>114</v>
      </c>
      <c r="DC1394" t="s">
        <v>136</v>
      </c>
      <c r="DD1394" t="s">
        <v>114</v>
      </c>
    </row>
    <row r="1395" spans="1:113" ht="15" customHeight="1" x14ac:dyDescent="0.25">
      <c r="A1395" t="s">
        <v>20898</v>
      </c>
      <c r="B1395" t="s">
        <v>152</v>
      </c>
      <c r="C1395" s="1">
        <v>45155.575265509258</v>
      </c>
      <c r="D1395" s="1">
        <v>45216</v>
      </c>
      <c r="E1395" t="s">
        <v>136</v>
      </c>
      <c r="F1395" t="s">
        <v>20899</v>
      </c>
      <c r="G1395" t="str">
        <f>"35-9011.00"</f>
        <v>35-9011.00</v>
      </c>
      <c r="H1395" t="s">
        <v>1512</v>
      </c>
      <c r="I1395">
        <v>25</v>
      </c>
      <c r="J1395">
        <v>25</v>
      </c>
      <c r="K1395" s="1">
        <v>45245</v>
      </c>
      <c r="L1395" s="1">
        <v>45392</v>
      </c>
      <c r="M1395" s="1">
        <v>45245</v>
      </c>
      <c r="N1395" s="1">
        <v>45392</v>
      </c>
      <c r="O1395" t="s">
        <v>116</v>
      </c>
      <c r="P1395" t="s">
        <v>206</v>
      </c>
      <c r="Q1395" t="s">
        <v>207</v>
      </c>
      <c r="R1395" t="s">
        <v>208</v>
      </c>
      <c r="S1395" t="s">
        <v>209</v>
      </c>
      <c r="T1395" t="s">
        <v>210</v>
      </c>
      <c r="U1395" t="s">
        <v>211</v>
      </c>
      <c r="V1395" s="8" t="str">
        <f>"84060"</f>
        <v>84060</v>
      </c>
      <c r="W1395" t="s">
        <v>118</v>
      </c>
      <c r="Y1395" s="10">
        <v>14356493700</v>
      </c>
      <c r="AA1395">
        <v>7211</v>
      </c>
      <c r="AB1395" t="s">
        <v>212</v>
      </c>
      <c r="AC1395" t="s">
        <v>213</v>
      </c>
      <c r="AE1395" t="s">
        <v>214</v>
      </c>
      <c r="AF1395" t="s">
        <v>208</v>
      </c>
      <c r="AG1395" t="s">
        <v>215</v>
      </c>
      <c r="AH1395" t="s">
        <v>210</v>
      </c>
      <c r="AI1395" t="s">
        <v>211</v>
      </c>
      <c r="AJ1395" s="8" t="str">
        <f>"84060"</f>
        <v>84060</v>
      </c>
      <c r="AK1395" t="s">
        <v>118</v>
      </c>
      <c r="AM1395" s="10">
        <v>14356456469</v>
      </c>
      <c r="AO1395" t="s">
        <v>216</v>
      </c>
      <c r="AP1395" t="s">
        <v>121</v>
      </c>
      <c r="AQ1395" t="s">
        <v>217</v>
      </c>
      <c r="AR1395" t="s">
        <v>218</v>
      </c>
      <c r="AT1395" t="s">
        <v>219</v>
      </c>
      <c r="AU1395" t="s">
        <v>220</v>
      </c>
      <c r="AV1395" t="s">
        <v>221</v>
      </c>
      <c r="AW1395" t="s">
        <v>222</v>
      </c>
      <c r="AX1395" s="8" t="str">
        <f>"02632"</f>
        <v>02632</v>
      </c>
      <c r="AY1395" t="s">
        <v>118</v>
      </c>
      <c r="BA1395" s="10">
        <v>15087901181</v>
      </c>
      <c r="BC1395" t="s">
        <v>223</v>
      </c>
      <c r="BD1395" t="s">
        <v>224</v>
      </c>
      <c r="BE1395" t="s">
        <v>222</v>
      </c>
      <c r="BF1395" t="s">
        <v>225</v>
      </c>
      <c r="BG1395" t="s">
        <v>211</v>
      </c>
      <c r="BH1395" s="1">
        <v>45155.833333333336</v>
      </c>
      <c r="BI1395">
        <v>35</v>
      </c>
      <c r="BJ1395">
        <v>7</v>
      </c>
      <c r="BK1395">
        <v>0</v>
      </c>
      <c r="BL1395">
        <v>0</v>
      </c>
      <c r="BM1395">
        <v>7</v>
      </c>
      <c r="BN1395">
        <v>7</v>
      </c>
      <c r="BO1395">
        <v>7</v>
      </c>
      <c r="BP1395">
        <v>7</v>
      </c>
      <c r="BQ1395" t="str">
        <f>"6:30 AM"</f>
        <v>6:30 AM</v>
      </c>
      <c r="BR1395" t="str">
        <f>"2:30 PM"</f>
        <v>2:30 PM</v>
      </c>
      <c r="BS1395" t="s">
        <v>131</v>
      </c>
      <c r="BT1395">
        <v>0</v>
      </c>
      <c r="BU1395">
        <v>0</v>
      </c>
      <c r="BV1395" t="s">
        <v>114</v>
      </c>
      <c r="BX1395" s="2" t="s">
        <v>10092</v>
      </c>
      <c r="BY1395" t="s">
        <v>227</v>
      </c>
      <c r="BZ1395" t="s">
        <v>208</v>
      </c>
      <c r="CA1395" t="s">
        <v>210</v>
      </c>
      <c r="CB1395" t="s">
        <v>211</v>
      </c>
      <c r="CC1395" s="8" t="str">
        <f>"84060"</f>
        <v>84060</v>
      </c>
      <c r="CD1395" t="s">
        <v>228</v>
      </c>
      <c r="CE1395" t="s">
        <v>229</v>
      </c>
      <c r="CF1395" s="12">
        <v>12.65</v>
      </c>
      <c r="CG1395" s="12">
        <v>12.65</v>
      </c>
      <c r="CH1395" s="12">
        <v>18.98</v>
      </c>
      <c r="CI1395" s="12">
        <v>18.98</v>
      </c>
      <c r="CJ1395" t="s">
        <v>135</v>
      </c>
      <c r="CK1395" t="s">
        <v>230</v>
      </c>
      <c r="CL1395" t="s">
        <v>20900</v>
      </c>
      <c r="CO1395" t="s">
        <v>132</v>
      </c>
      <c r="CP1395" t="s">
        <v>136</v>
      </c>
      <c r="CQ1395" t="s">
        <v>136</v>
      </c>
      <c r="CR1395" t="s">
        <v>136</v>
      </c>
      <c r="CS1395" t="s">
        <v>136</v>
      </c>
      <c r="CT1395" t="s">
        <v>136</v>
      </c>
      <c r="CU1395" t="s">
        <v>136</v>
      </c>
      <c r="CV1395" t="s">
        <v>10094</v>
      </c>
      <c r="CW1395" s="10" t="str">
        <f>"+14356493700"</f>
        <v>+14356493700</v>
      </c>
      <c r="CX1395" t="s">
        <v>233</v>
      </c>
      <c r="CY1395" t="s">
        <v>234</v>
      </c>
      <c r="CZ1395" t="s">
        <v>137</v>
      </c>
      <c r="DA1395" t="s">
        <v>114</v>
      </c>
      <c r="DB1395" t="s">
        <v>114</v>
      </c>
      <c r="DC1395" t="s">
        <v>136</v>
      </c>
      <c r="DD1395" t="s">
        <v>114</v>
      </c>
    </row>
    <row r="1396" spans="1:113" ht="15" customHeight="1" x14ac:dyDescent="0.25">
      <c r="A1396" t="s">
        <v>18175</v>
      </c>
      <c r="B1396" t="s">
        <v>152</v>
      </c>
      <c r="C1396" s="1">
        <v>45155.574540046298</v>
      </c>
      <c r="D1396" s="1">
        <v>45216</v>
      </c>
      <c r="E1396" t="s">
        <v>136</v>
      </c>
      <c r="F1396" t="s">
        <v>7924</v>
      </c>
      <c r="G1396" t="str">
        <f>"35-3031.00"</f>
        <v>35-3031.00</v>
      </c>
      <c r="H1396" t="s">
        <v>347</v>
      </c>
      <c r="I1396">
        <v>32</v>
      </c>
      <c r="J1396">
        <v>32</v>
      </c>
      <c r="K1396" s="1">
        <v>45245</v>
      </c>
      <c r="L1396" s="1">
        <v>45392</v>
      </c>
      <c r="M1396" s="1">
        <v>45245</v>
      </c>
      <c r="N1396" s="1">
        <v>45392</v>
      </c>
      <c r="O1396" t="s">
        <v>116</v>
      </c>
      <c r="P1396" t="s">
        <v>206</v>
      </c>
      <c r="Q1396" t="s">
        <v>207</v>
      </c>
      <c r="R1396" t="s">
        <v>208</v>
      </c>
      <c r="S1396" t="s">
        <v>209</v>
      </c>
      <c r="T1396" t="s">
        <v>210</v>
      </c>
      <c r="U1396" t="s">
        <v>211</v>
      </c>
      <c r="V1396" s="8" t="str">
        <f>"84060"</f>
        <v>84060</v>
      </c>
      <c r="W1396" t="s">
        <v>118</v>
      </c>
      <c r="Y1396" s="10">
        <v>14356493700</v>
      </c>
      <c r="AA1396">
        <v>7211</v>
      </c>
      <c r="AB1396" t="s">
        <v>212</v>
      </c>
      <c r="AC1396" t="s">
        <v>213</v>
      </c>
      <c r="AE1396" t="s">
        <v>214</v>
      </c>
      <c r="AF1396" t="s">
        <v>208</v>
      </c>
      <c r="AG1396" t="s">
        <v>215</v>
      </c>
      <c r="AH1396" t="s">
        <v>210</v>
      </c>
      <c r="AI1396" t="s">
        <v>211</v>
      </c>
      <c r="AJ1396" s="8" t="str">
        <f>"84060"</f>
        <v>84060</v>
      </c>
      <c r="AK1396" t="s">
        <v>118</v>
      </c>
      <c r="AM1396" s="10">
        <v>14356456469</v>
      </c>
      <c r="AO1396" t="s">
        <v>216</v>
      </c>
      <c r="AP1396" t="s">
        <v>121</v>
      </c>
      <c r="AQ1396" t="s">
        <v>217</v>
      </c>
      <c r="AR1396" t="s">
        <v>218</v>
      </c>
      <c r="AT1396" t="s">
        <v>219</v>
      </c>
      <c r="AU1396" t="s">
        <v>220</v>
      </c>
      <c r="AV1396" t="s">
        <v>221</v>
      </c>
      <c r="AW1396" t="s">
        <v>222</v>
      </c>
      <c r="AX1396" s="8" t="str">
        <f>"02632"</f>
        <v>02632</v>
      </c>
      <c r="AY1396" t="s">
        <v>118</v>
      </c>
      <c r="BA1396" s="10">
        <v>15087901181</v>
      </c>
      <c r="BC1396" t="s">
        <v>223</v>
      </c>
      <c r="BD1396" t="s">
        <v>224</v>
      </c>
      <c r="BE1396" t="s">
        <v>222</v>
      </c>
      <c r="BF1396" t="s">
        <v>225</v>
      </c>
      <c r="BG1396" t="s">
        <v>211</v>
      </c>
      <c r="BH1396" s="1">
        <v>45155.833333333336</v>
      </c>
      <c r="BI1396">
        <v>35</v>
      </c>
      <c r="BJ1396">
        <v>7</v>
      </c>
      <c r="BK1396">
        <v>0</v>
      </c>
      <c r="BL1396">
        <v>0</v>
      </c>
      <c r="BM1396">
        <v>7</v>
      </c>
      <c r="BN1396">
        <v>7</v>
      </c>
      <c r="BO1396">
        <v>7</v>
      </c>
      <c r="BP1396">
        <v>7</v>
      </c>
      <c r="BQ1396" t="str">
        <f>"5:00 AM"</f>
        <v>5:00 AM</v>
      </c>
      <c r="BR1396" t="str">
        <f>"1:00 PM"</f>
        <v>1:00 PM</v>
      </c>
      <c r="BS1396" t="s">
        <v>131</v>
      </c>
      <c r="BT1396">
        <v>0</v>
      </c>
      <c r="BU1396">
        <v>2</v>
      </c>
      <c r="BV1396" t="s">
        <v>114</v>
      </c>
      <c r="BX1396" s="2" t="s">
        <v>10092</v>
      </c>
      <c r="BY1396" t="s">
        <v>227</v>
      </c>
      <c r="BZ1396" t="s">
        <v>208</v>
      </c>
      <c r="CA1396" t="s">
        <v>210</v>
      </c>
      <c r="CB1396" t="s">
        <v>211</v>
      </c>
      <c r="CC1396" s="8" t="str">
        <f>"84060"</f>
        <v>84060</v>
      </c>
      <c r="CD1396" t="s">
        <v>228</v>
      </c>
      <c r="CE1396" t="s">
        <v>229</v>
      </c>
      <c r="CF1396" s="12">
        <v>16.399999999999999</v>
      </c>
      <c r="CG1396" s="12">
        <v>16.399999999999999</v>
      </c>
      <c r="CH1396" s="12">
        <v>24.6</v>
      </c>
      <c r="CI1396" s="12">
        <v>24.6</v>
      </c>
      <c r="CJ1396" t="s">
        <v>135</v>
      </c>
      <c r="CK1396" t="s">
        <v>230</v>
      </c>
      <c r="CL1396" t="s">
        <v>18176</v>
      </c>
      <c r="CO1396" t="s">
        <v>132</v>
      </c>
      <c r="CP1396" t="s">
        <v>136</v>
      </c>
      <c r="CQ1396" t="s">
        <v>136</v>
      </c>
      <c r="CR1396" t="s">
        <v>136</v>
      </c>
      <c r="CS1396" t="s">
        <v>114</v>
      </c>
      <c r="CT1396" t="s">
        <v>136</v>
      </c>
      <c r="CU1396" t="s">
        <v>136</v>
      </c>
      <c r="CV1396" t="s">
        <v>10094</v>
      </c>
      <c r="CW1396" s="10" t="str">
        <f>"+14356493700"</f>
        <v>+14356493700</v>
      </c>
      <c r="CX1396" t="s">
        <v>233</v>
      </c>
      <c r="CY1396" t="s">
        <v>234</v>
      </c>
      <c r="CZ1396" t="s">
        <v>137</v>
      </c>
      <c r="DA1396" t="s">
        <v>114</v>
      </c>
      <c r="DB1396" t="s">
        <v>114</v>
      </c>
      <c r="DC1396" t="s">
        <v>136</v>
      </c>
      <c r="DD1396" t="s">
        <v>114</v>
      </c>
    </row>
    <row r="1397" spans="1:113" ht="15" customHeight="1" x14ac:dyDescent="0.25">
      <c r="A1397" t="s">
        <v>203</v>
      </c>
      <c r="B1397" t="s">
        <v>152</v>
      </c>
      <c r="C1397" s="1">
        <v>45155.573710648147</v>
      </c>
      <c r="D1397" s="1">
        <v>45216</v>
      </c>
      <c r="E1397" t="s">
        <v>136</v>
      </c>
      <c r="F1397" t="s">
        <v>204</v>
      </c>
      <c r="G1397" t="str">
        <f>"37-2012.00"</f>
        <v>37-2012.00</v>
      </c>
      <c r="H1397" t="s">
        <v>205</v>
      </c>
      <c r="I1397">
        <v>29</v>
      </c>
      <c r="J1397">
        <v>29</v>
      </c>
      <c r="K1397" s="1">
        <v>45245</v>
      </c>
      <c r="L1397" s="1">
        <v>45392</v>
      </c>
      <c r="M1397" s="1">
        <v>45245</v>
      </c>
      <c r="N1397" s="1">
        <v>45392</v>
      </c>
      <c r="O1397" t="s">
        <v>116</v>
      </c>
      <c r="P1397" t="s">
        <v>206</v>
      </c>
      <c r="Q1397" t="s">
        <v>207</v>
      </c>
      <c r="R1397" t="s">
        <v>208</v>
      </c>
      <c r="S1397" t="s">
        <v>209</v>
      </c>
      <c r="T1397" t="s">
        <v>210</v>
      </c>
      <c r="U1397" t="s">
        <v>211</v>
      </c>
      <c r="V1397" s="8" t="str">
        <f>"84060"</f>
        <v>84060</v>
      </c>
      <c r="W1397" t="s">
        <v>118</v>
      </c>
      <c r="Y1397" s="10">
        <v>14356493700</v>
      </c>
      <c r="AA1397">
        <v>7211</v>
      </c>
      <c r="AB1397" t="s">
        <v>212</v>
      </c>
      <c r="AC1397" t="s">
        <v>213</v>
      </c>
      <c r="AE1397" t="s">
        <v>214</v>
      </c>
      <c r="AF1397" t="s">
        <v>208</v>
      </c>
      <c r="AG1397" t="s">
        <v>215</v>
      </c>
      <c r="AH1397" t="s">
        <v>210</v>
      </c>
      <c r="AI1397" t="s">
        <v>211</v>
      </c>
      <c r="AJ1397" s="8" t="str">
        <f>"84060"</f>
        <v>84060</v>
      </c>
      <c r="AK1397" t="s">
        <v>118</v>
      </c>
      <c r="AM1397" s="10">
        <v>14356456469</v>
      </c>
      <c r="AO1397" t="s">
        <v>216</v>
      </c>
      <c r="AP1397" t="s">
        <v>121</v>
      </c>
      <c r="AQ1397" t="s">
        <v>217</v>
      </c>
      <c r="AR1397" t="s">
        <v>218</v>
      </c>
      <c r="AT1397" t="s">
        <v>219</v>
      </c>
      <c r="AU1397" t="s">
        <v>220</v>
      </c>
      <c r="AV1397" t="s">
        <v>221</v>
      </c>
      <c r="AW1397" t="s">
        <v>222</v>
      </c>
      <c r="AX1397" s="8" t="str">
        <f>"02632"</f>
        <v>02632</v>
      </c>
      <c r="AY1397" t="s">
        <v>118</v>
      </c>
      <c r="BA1397" s="10">
        <v>15087901181</v>
      </c>
      <c r="BC1397" t="s">
        <v>223</v>
      </c>
      <c r="BD1397" t="s">
        <v>224</v>
      </c>
      <c r="BE1397" t="s">
        <v>222</v>
      </c>
      <c r="BF1397" t="s">
        <v>225</v>
      </c>
      <c r="BG1397" t="s">
        <v>211</v>
      </c>
      <c r="BH1397" s="1">
        <v>45155.833333333336</v>
      </c>
      <c r="BI1397">
        <v>35</v>
      </c>
      <c r="BJ1397">
        <v>7</v>
      </c>
      <c r="BK1397">
        <v>0</v>
      </c>
      <c r="BL1397">
        <v>0</v>
      </c>
      <c r="BM1397">
        <v>7</v>
      </c>
      <c r="BN1397">
        <v>7</v>
      </c>
      <c r="BO1397">
        <v>7</v>
      </c>
      <c r="BP1397">
        <v>7</v>
      </c>
      <c r="BQ1397" t="str">
        <f>"7:00 AM"</f>
        <v>7:00 AM</v>
      </c>
      <c r="BR1397" t="str">
        <f>"3:00 PM"</f>
        <v>3:00 PM</v>
      </c>
      <c r="BS1397" t="s">
        <v>131</v>
      </c>
      <c r="BT1397">
        <v>0</v>
      </c>
      <c r="BU1397">
        <v>0</v>
      </c>
      <c r="BV1397" t="s">
        <v>114</v>
      </c>
      <c r="BX1397" s="2" t="s">
        <v>226</v>
      </c>
      <c r="BY1397" t="s">
        <v>227</v>
      </c>
      <c r="BZ1397" t="s">
        <v>208</v>
      </c>
      <c r="CA1397" t="s">
        <v>210</v>
      </c>
      <c r="CB1397" t="s">
        <v>211</v>
      </c>
      <c r="CC1397" s="8" t="str">
        <f>"84060"</f>
        <v>84060</v>
      </c>
      <c r="CD1397" t="s">
        <v>228</v>
      </c>
      <c r="CE1397" t="s">
        <v>229</v>
      </c>
      <c r="CF1397" s="12">
        <v>15.58</v>
      </c>
      <c r="CG1397" s="12">
        <v>20</v>
      </c>
      <c r="CH1397" s="12">
        <v>23.37</v>
      </c>
      <c r="CI1397" s="12">
        <v>30</v>
      </c>
      <c r="CJ1397" t="s">
        <v>135</v>
      </c>
      <c r="CK1397" t="s">
        <v>230</v>
      </c>
      <c r="CL1397" t="s">
        <v>231</v>
      </c>
      <c r="CO1397" t="s">
        <v>132</v>
      </c>
      <c r="CP1397" t="s">
        <v>136</v>
      </c>
      <c r="CQ1397" t="s">
        <v>136</v>
      </c>
      <c r="CR1397" t="s">
        <v>136</v>
      </c>
      <c r="CS1397" t="s">
        <v>136</v>
      </c>
      <c r="CT1397" t="s">
        <v>136</v>
      </c>
      <c r="CU1397" t="s">
        <v>136</v>
      </c>
      <c r="CV1397" t="s">
        <v>232</v>
      </c>
      <c r="CW1397" s="10" t="str">
        <f>"+14356493700"</f>
        <v>+14356493700</v>
      </c>
      <c r="CX1397" t="s">
        <v>233</v>
      </c>
      <c r="CY1397" t="s">
        <v>234</v>
      </c>
      <c r="CZ1397" t="s">
        <v>137</v>
      </c>
      <c r="DA1397" t="s">
        <v>114</v>
      </c>
      <c r="DB1397" t="s">
        <v>114</v>
      </c>
      <c r="DC1397" t="s">
        <v>136</v>
      </c>
      <c r="DD1397" t="s">
        <v>114</v>
      </c>
    </row>
    <row r="1398" spans="1:113" ht="15" customHeight="1" x14ac:dyDescent="0.25">
      <c r="A1398" t="s">
        <v>21785</v>
      </c>
      <c r="B1398" t="s">
        <v>152</v>
      </c>
      <c r="C1398" s="1">
        <v>45155.572798379631</v>
      </c>
      <c r="D1398" s="1">
        <v>45216</v>
      </c>
      <c r="E1398" t="s">
        <v>136</v>
      </c>
      <c r="F1398" t="s">
        <v>17190</v>
      </c>
      <c r="G1398" t="str">
        <f>"51-6011.00"</f>
        <v>51-6011.00</v>
      </c>
      <c r="H1398" t="s">
        <v>2015</v>
      </c>
      <c r="I1398">
        <v>9</v>
      </c>
      <c r="J1398">
        <v>9</v>
      </c>
      <c r="K1398" s="1">
        <v>45245</v>
      </c>
      <c r="L1398" s="1">
        <v>45392</v>
      </c>
      <c r="M1398" s="1">
        <v>45245</v>
      </c>
      <c r="N1398" s="1">
        <v>45392</v>
      </c>
      <c r="O1398" t="s">
        <v>116</v>
      </c>
      <c r="P1398" t="s">
        <v>206</v>
      </c>
      <c r="Q1398" t="s">
        <v>207</v>
      </c>
      <c r="R1398" t="s">
        <v>208</v>
      </c>
      <c r="S1398" t="s">
        <v>209</v>
      </c>
      <c r="T1398" t="s">
        <v>210</v>
      </c>
      <c r="U1398" t="s">
        <v>211</v>
      </c>
      <c r="V1398" s="8" t="str">
        <f>"84060"</f>
        <v>84060</v>
      </c>
      <c r="W1398" t="s">
        <v>118</v>
      </c>
      <c r="Y1398" s="10">
        <v>14356493700</v>
      </c>
      <c r="AA1398">
        <v>72111</v>
      </c>
      <c r="AB1398" t="s">
        <v>212</v>
      </c>
      <c r="AC1398" t="s">
        <v>213</v>
      </c>
      <c r="AE1398" t="s">
        <v>214</v>
      </c>
      <c r="AF1398" t="s">
        <v>208</v>
      </c>
      <c r="AG1398" t="s">
        <v>215</v>
      </c>
      <c r="AH1398" t="s">
        <v>210</v>
      </c>
      <c r="AI1398" t="s">
        <v>211</v>
      </c>
      <c r="AJ1398" s="8" t="str">
        <f>"84060"</f>
        <v>84060</v>
      </c>
      <c r="AK1398" t="s">
        <v>118</v>
      </c>
      <c r="AM1398" s="10">
        <v>14356456469</v>
      </c>
      <c r="AO1398" t="s">
        <v>216</v>
      </c>
      <c r="AP1398" t="s">
        <v>121</v>
      </c>
      <c r="AQ1398" t="s">
        <v>217</v>
      </c>
      <c r="AR1398" t="s">
        <v>218</v>
      </c>
      <c r="AT1398" t="s">
        <v>219</v>
      </c>
      <c r="AU1398" t="s">
        <v>220</v>
      </c>
      <c r="AV1398" t="s">
        <v>221</v>
      </c>
      <c r="AW1398" t="s">
        <v>222</v>
      </c>
      <c r="AX1398" s="8" t="str">
        <f>"02632"</f>
        <v>02632</v>
      </c>
      <c r="AY1398" t="s">
        <v>118</v>
      </c>
      <c r="BA1398" s="10">
        <v>15087901181</v>
      </c>
      <c r="BC1398" t="s">
        <v>223</v>
      </c>
      <c r="BD1398" t="s">
        <v>224</v>
      </c>
      <c r="BE1398" t="s">
        <v>222</v>
      </c>
      <c r="BF1398" t="s">
        <v>225</v>
      </c>
      <c r="BG1398" t="s">
        <v>211</v>
      </c>
      <c r="BH1398" s="1">
        <v>45155.833333333336</v>
      </c>
      <c r="BI1398">
        <v>35</v>
      </c>
      <c r="BJ1398">
        <v>7</v>
      </c>
      <c r="BK1398">
        <v>0</v>
      </c>
      <c r="BL1398">
        <v>0</v>
      </c>
      <c r="BM1398">
        <v>7</v>
      </c>
      <c r="BN1398">
        <v>7</v>
      </c>
      <c r="BO1398">
        <v>7</v>
      </c>
      <c r="BP1398">
        <v>7</v>
      </c>
      <c r="BQ1398" t="str">
        <f>"7:00 AM"</f>
        <v>7:00 AM</v>
      </c>
      <c r="BR1398" t="str">
        <f>"3:00 PM"</f>
        <v>3:00 PM</v>
      </c>
      <c r="BS1398" t="s">
        <v>131</v>
      </c>
      <c r="BT1398">
        <v>0</v>
      </c>
      <c r="BU1398">
        <v>0</v>
      </c>
      <c r="BV1398" t="s">
        <v>114</v>
      </c>
      <c r="BX1398" s="2" t="s">
        <v>226</v>
      </c>
      <c r="BY1398" t="s">
        <v>21786</v>
      </c>
      <c r="BZ1398" t="s">
        <v>208</v>
      </c>
      <c r="CA1398" t="s">
        <v>210</v>
      </c>
      <c r="CB1398" t="s">
        <v>211</v>
      </c>
      <c r="CC1398" s="8" t="str">
        <f>"84060"</f>
        <v>84060</v>
      </c>
      <c r="CD1398" t="s">
        <v>228</v>
      </c>
      <c r="CE1398" t="s">
        <v>229</v>
      </c>
      <c r="CF1398" s="12">
        <v>12.51</v>
      </c>
      <c r="CG1398" s="12">
        <v>21</v>
      </c>
      <c r="CH1398" s="12">
        <v>18.77</v>
      </c>
      <c r="CI1398" s="12">
        <v>31.5</v>
      </c>
      <c r="CJ1398" t="s">
        <v>135</v>
      </c>
      <c r="CK1398" t="s">
        <v>230</v>
      </c>
      <c r="CL1398" t="s">
        <v>21787</v>
      </c>
      <c r="CO1398" t="s">
        <v>132</v>
      </c>
      <c r="CP1398" t="s">
        <v>136</v>
      </c>
      <c r="CQ1398" t="s">
        <v>136</v>
      </c>
      <c r="CR1398" t="s">
        <v>136</v>
      </c>
      <c r="CS1398" t="s">
        <v>136</v>
      </c>
      <c r="CT1398" t="s">
        <v>136</v>
      </c>
      <c r="CU1398" t="s">
        <v>136</v>
      </c>
      <c r="CV1398" t="s">
        <v>10094</v>
      </c>
      <c r="CW1398" s="10" t="str">
        <f>"+14356493700"</f>
        <v>+14356493700</v>
      </c>
      <c r="CX1398" t="s">
        <v>233</v>
      </c>
      <c r="CY1398" t="s">
        <v>234</v>
      </c>
      <c r="CZ1398" t="s">
        <v>137</v>
      </c>
      <c r="DA1398" t="s">
        <v>114</v>
      </c>
      <c r="DB1398" t="s">
        <v>114</v>
      </c>
      <c r="DC1398" t="s">
        <v>136</v>
      </c>
      <c r="DD1398" t="s">
        <v>114</v>
      </c>
    </row>
    <row r="1399" spans="1:113" ht="15" customHeight="1" x14ac:dyDescent="0.25">
      <c r="A1399" t="s">
        <v>18124</v>
      </c>
      <c r="B1399" t="s">
        <v>152</v>
      </c>
      <c r="C1399" s="1">
        <v>45155.571811921298</v>
      </c>
      <c r="D1399" s="1">
        <v>45216</v>
      </c>
      <c r="E1399" t="s">
        <v>136</v>
      </c>
      <c r="F1399" t="s">
        <v>18125</v>
      </c>
      <c r="G1399" t="str">
        <f>"37-2011.00"</f>
        <v>37-2011.00</v>
      </c>
      <c r="H1399" t="s">
        <v>1089</v>
      </c>
      <c r="I1399">
        <v>9</v>
      </c>
      <c r="J1399">
        <v>9</v>
      </c>
      <c r="K1399" s="1">
        <v>45245</v>
      </c>
      <c r="L1399" s="1">
        <v>45392</v>
      </c>
      <c r="M1399" s="1">
        <v>45245</v>
      </c>
      <c r="N1399" s="1">
        <v>45392</v>
      </c>
      <c r="O1399" t="s">
        <v>116</v>
      </c>
      <c r="P1399" t="s">
        <v>206</v>
      </c>
      <c r="Q1399" t="s">
        <v>207</v>
      </c>
      <c r="R1399" t="s">
        <v>208</v>
      </c>
      <c r="S1399" t="s">
        <v>209</v>
      </c>
      <c r="T1399" t="s">
        <v>210</v>
      </c>
      <c r="U1399" t="s">
        <v>211</v>
      </c>
      <c r="V1399" s="8" t="str">
        <f>"84060"</f>
        <v>84060</v>
      </c>
      <c r="W1399" t="s">
        <v>118</v>
      </c>
      <c r="Y1399" s="10">
        <v>14356493700</v>
      </c>
      <c r="AA1399">
        <v>72111</v>
      </c>
      <c r="AB1399" t="s">
        <v>212</v>
      </c>
      <c r="AC1399" t="s">
        <v>213</v>
      </c>
      <c r="AE1399" t="s">
        <v>214</v>
      </c>
      <c r="AF1399" t="s">
        <v>208</v>
      </c>
      <c r="AG1399" t="s">
        <v>215</v>
      </c>
      <c r="AH1399" t="s">
        <v>210</v>
      </c>
      <c r="AI1399" t="s">
        <v>211</v>
      </c>
      <c r="AJ1399" s="8" t="str">
        <f>"84060"</f>
        <v>84060</v>
      </c>
      <c r="AK1399" t="s">
        <v>118</v>
      </c>
      <c r="AM1399" s="10">
        <v>14356456469</v>
      </c>
      <c r="AO1399" t="s">
        <v>216</v>
      </c>
      <c r="AP1399" t="s">
        <v>121</v>
      </c>
      <c r="AQ1399" t="s">
        <v>217</v>
      </c>
      <c r="AR1399" t="s">
        <v>218</v>
      </c>
      <c r="AT1399" t="s">
        <v>219</v>
      </c>
      <c r="AU1399" t="s">
        <v>220</v>
      </c>
      <c r="AV1399" t="s">
        <v>221</v>
      </c>
      <c r="AW1399" t="s">
        <v>222</v>
      </c>
      <c r="AX1399" s="8" t="str">
        <f>"02632"</f>
        <v>02632</v>
      </c>
      <c r="AY1399" t="s">
        <v>118</v>
      </c>
      <c r="BA1399" s="10">
        <v>15087901181</v>
      </c>
      <c r="BC1399" t="s">
        <v>223</v>
      </c>
      <c r="BD1399" t="s">
        <v>224</v>
      </c>
      <c r="BE1399" t="s">
        <v>222</v>
      </c>
      <c r="BF1399" t="s">
        <v>225</v>
      </c>
      <c r="BG1399" t="s">
        <v>211</v>
      </c>
      <c r="BH1399" s="1">
        <v>45155.833333333336</v>
      </c>
      <c r="BI1399">
        <v>35</v>
      </c>
      <c r="BJ1399">
        <v>7</v>
      </c>
      <c r="BK1399">
        <v>0</v>
      </c>
      <c r="BL1399">
        <v>0</v>
      </c>
      <c r="BM1399">
        <v>7</v>
      </c>
      <c r="BN1399">
        <v>7</v>
      </c>
      <c r="BO1399">
        <v>7</v>
      </c>
      <c r="BP1399">
        <v>7</v>
      </c>
      <c r="BQ1399" t="str">
        <f>"7:00 AM"</f>
        <v>7:00 AM</v>
      </c>
      <c r="BR1399" t="str">
        <f>"3:00 PM"</f>
        <v>3:00 PM</v>
      </c>
      <c r="BS1399" t="s">
        <v>131</v>
      </c>
      <c r="BT1399">
        <v>0</v>
      </c>
      <c r="BU1399">
        <v>0</v>
      </c>
      <c r="BV1399" t="s">
        <v>114</v>
      </c>
      <c r="BX1399" s="2" t="s">
        <v>226</v>
      </c>
      <c r="BY1399" t="s">
        <v>227</v>
      </c>
      <c r="BZ1399" t="s">
        <v>208</v>
      </c>
      <c r="CA1399" t="s">
        <v>210</v>
      </c>
      <c r="CB1399" t="s">
        <v>211</v>
      </c>
      <c r="CC1399" s="8" t="str">
        <f>"84060"</f>
        <v>84060</v>
      </c>
      <c r="CD1399" t="s">
        <v>228</v>
      </c>
      <c r="CE1399" t="s">
        <v>229</v>
      </c>
      <c r="CF1399" s="12">
        <v>15.45</v>
      </c>
      <c r="CG1399" s="12">
        <v>20</v>
      </c>
      <c r="CH1399" s="12">
        <v>23.18</v>
      </c>
      <c r="CI1399" s="12">
        <v>30</v>
      </c>
      <c r="CJ1399" t="s">
        <v>135</v>
      </c>
      <c r="CK1399" t="s">
        <v>230</v>
      </c>
      <c r="CL1399" t="s">
        <v>18126</v>
      </c>
      <c r="CO1399" t="s">
        <v>132</v>
      </c>
      <c r="CP1399" t="s">
        <v>136</v>
      </c>
      <c r="CQ1399" t="s">
        <v>136</v>
      </c>
      <c r="CR1399" t="s">
        <v>136</v>
      </c>
      <c r="CS1399" t="s">
        <v>136</v>
      </c>
      <c r="CT1399" t="s">
        <v>136</v>
      </c>
      <c r="CU1399" t="s">
        <v>136</v>
      </c>
      <c r="CV1399" t="s">
        <v>10094</v>
      </c>
      <c r="CW1399" s="10" t="str">
        <f>"+14356493700"</f>
        <v>+14356493700</v>
      </c>
      <c r="CX1399" t="s">
        <v>233</v>
      </c>
      <c r="CY1399" t="s">
        <v>234</v>
      </c>
      <c r="CZ1399" t="s">
        <v>137</v>
      </c>
      <c r="DA1399" t="s">
        <v>114</v>
      </c>
      <c r="DB1399" t="s">
        <v>114</v>
      </c>
      <c r="DC1399" t="s">
        <v>136</v>
      </c>
      <c r="DD1399" t="s">
        <v>114</v>
      </c>
    </row>
    <row r="1400" spans="1:113" ht="15" customHeight="1" x14ac:dyDescent="0.25">
      <c r="A1400" t="s">
        <v>10090</v>
      </c>
      <c r="B1400" t="s">
        <v>152</v>
      </c>
      <c r="C1400" s="1">
        <v>45155.570982060184</v>
      </c>
      <c r="D1400" s="1">
        <v>45216</v>
      </c>
      <c r="E1400" t="s">
        <v>136</v>
      </c>
      <c r="F1400" t="s">
        <v>10091</v>
      </c>
      <c r="G1400" t="str">
        <f>"35-9031.00"</f>
        <v>35-9031.00</v>
      </c>
      <c r="H1400" t="s">
        <v>916</v>
      </c>
      <c r="I1400">
        <v>6</v>
      </c>
      <c r="J1400">
        <v>6</v>
      </c>
      <c r="K1400" s="1">
        <v>45245</v>
      </c>
      <c r="L1400" s="1">
        <v>45392</v>
      </c>
      <c r="M1400" s="1">
        <v>45245</v>
      </c>
      <c r="N1400" s="1">
        <v>45392</v>
      </c>
      <c r="O1400" t="s">
        <v>116</v>
      </c>
      <c r="P1400" t="s">
        <v>206</v>
      </c>
      <c r="Q1400" t="s">
        <v>207</v>
      </c>
      <c r="R1400" t="s">
        <v>208</v>
      </c>
      <c r="S1400" t="s">
        <v>209</v>
      </c>
      <c r="T1400" t="s">
        <v>210</v>
      </c>
      <c r="U1400" t="s">
        <v>211</v>
      </c>
      <c r="V1400" s="8" t="str">
        <f>"84060"</f>
        <v>84060</v>
      </c>
      <c r="W1400" t="s">
        <v>118</v>
      </c>
      <c r="Y1400" s="10">
        <v>14356493700</v>
      </c>
      <c r="AA1400">
        <v>7211</v>
      </c>
      <c r="AB1400" t="s">
        <v>212</v>
      </c>
      <c r="AC1400" t="s">
        <v>213</v>
      </c>
      <c r="AE1400" t="s">
        <v>214</v>
      </c>
      <c r="AF1400" t="s">
        <v>208</v>
      </c>
      <c r="AG1400" t="s">
        <v>215</v>
      </c>
      <c r="AH1400" t="s">
        <v>210</v>
      </c>
      <c r="AI1400" t="s">
        <v>211</v>
      </c>
      <c r="AJ1400" s="8" t="str">
        <f>"84060"</f>
        <v>84060</v>
      </c>
      <c r="AK1400" t="s">
        <v>118</v>
      </c>
      <c r="AM1400" s="10">
        <v>14356456469</v>
      </c>
      <c r="AO1400" t="s">
        <v>216</v>
      </c>
      <c r="AP1400" t="s">
        <v>121</v>
      </c>
      <c r="AQ1400" t="s">
        <v>217</v>
      </c>
      <c r="AR1400" t="s">
        <v>218</v>
      </c>
      <c r="AT1400" t="s">
        <v>219</v>
      </c>
      <c r="AU1400" t="s">
        <v>220</v>
      </c>
      <c r="AV1400" t="s">
        <v>221</v>
      </c>
      <c r="AW1400" t="s">
        <v>222</v>
      </c>
      <c r="AX1400" s="8" t="str">
        <f>"02632"</f>
        <v>02632</v>
      </c>
      <c r="AY1400" t="s">
        <v>118</v>
      </c>
      <c r="BA1400" s="10">
        <v>15087901181</v>
      </c>
      <c r="BC1400" t="s">
        <v>223</v>
      </c>
      <c r="BD1400" t="s">
        <v>224</v>
      </c>
      <c r="BE1400" t="s">
        <v>222</v>
      </c>
      <c r="BF1400" t="s">
        <v>225</v>
      </c>
      <c r="BG1400" t="s">
        <v>211</v>
      </c>
      <c r="BH1400" s="1">
        <v>45155.833333333336</v>
      </c>
      <c r="BI1400">
        <v>35</v>
      </c>
      <c r="BJ1400">
        <v>7</v>
      </c>
      <c r="BK1400">
        <v>0</v>
      </c>
      <c r="BL1400">
        <v>0</v>
      </c>
      <c r="BM1400">
        <v>7</v>
      </c>
      <c r="BN1400">
        <v>7</v>
      </c>
      <c r="BO1400">
        <v>7</v>
      </c>
      <c r="BP1400">
        <v>7</v>
      </c>
      <c r="BQ1400" t="str">
        <f>"7:00 AM"</f>
        <v>7:00 AM</v>
      </c>
      <c r="BR1400" t="str">
        <f>"3:00 PM"</f>
        <v>3:00 PM</v>
      </c>
      <c r="BS1400" t="s">
        <v>131</v>
      </c>
      <c r="BT1400">
        <v>0</v>
      </c>
      <c r="BU1400">
        <v>0</v>
      </c>
      <c r="BV1400" t="s">
        <v>114</v>
      </c>
      <c r="BX1400" s="2" t="s">
        <v>10092</v>
      </c>
      <c r="BY1400" t="s">
        <v>227</v>
      </c>
      <c r="BZ1400" t="s">
        <v>208</v>
      </c>
      <c r="CA1400" t="s">
        <v>210</v>
      </c>
      <c r="CB1400" t="s">
        <v>211</v>
      </c>
      <c r="CC1400" s="8" t="str">
        <f>"84060"</f>
        <v>84060</v>
      </c>
      <c r="CD1400" t="s">
        <v>228</v>
      </c>
      <c r="CE1400" t="s">
        <v>229</v>
      </c>
      <c r="CF1400" s="12">
        <v>14.34</v>
      </c>
      <c r="CG1400" s="12">
        <v>16.73</v>
      </c>
      <c r="CH1400" s="12">
        <v>21.51</v>
      </c>
      <c r="CI1400" s="12">
        <v>25.1</v>
      </c>
      <c r="CJ1400" t="s">
        <v>135</v>
      </c>
      <c r="CK1400" t="s">
        <v>230</v>
      </c>
      <c r="CL1400" t="s">
        <v>10093</v>
      </c>
      <c r="CO1400" t="s">
        <v>132</v>
      </c>
      <c r="CP1400" t="s">
        <v>136</v>
      </c>
      <c r="CQ1400" t="s">
        <v>136</v>
      </c>
      <c r="CR1400" t="s">
        <v>136</v>
      </c>
      <c r="CS1400" t="s">
        <v>136</v>
      </c>
      <c r="CT1400" t="s">
        <v>136</v>
      </c>
      <c r="CU1400" t="s">
        <v>136</v>
      </c>
      <c r="CV1400" t="s">
        <v>10094</v>
      </c>
      <c r="CW1400" s="10" t="str">
        <f>"+14356493700"</f>
        <v>+14356493700</v>
      </c>
      <c r="CX1400" t="s">
        <v>233</v>
      </c>
      <c r="CY1400" t="s">
        <v>234</v>
      </c>
      <c r="CZ1400" t="s">
        <v>137</v>
      </c>
      <c r="DA1400" t="s">
        <v>114</v>
      </c>
      <c r="DB1400" t="s">
        <v>114</v>
      </c>
      <c r="DC1400" t="s">
        <v>136</v>
      </c>
      <c r="DD1400" t="s">
        <v>114</v>
      </c>
    </row>
    <row r="1401" spans="1:113" ht="15" customHeight="1" x14ac:dyDescent="0.25">
      <c r="A1401" t="s">
        <v>23285</v>
      </c>
      <c r="B1401" t="s">
        <v>152</v>
      </c>
      <c r="C1401" s="1">
        <v>45155.569830902779</v>
      </c>
      <c r="D1401" s="1">
        <v>45216</v>
      </c>
      <c r="E1401" t="s">
        <v>136</v>
      </c>
      <c r="F1401" t="s">
        <v>23286</v>
      </c>
      <c r="G1401" t="str">
        <f>"43-4081.00"</f>
        <v>43-4081.00</v>
      </c>
      <c r="H1401" t="s">
        <v>952</v>
      </c>
      <c r="I1401">
        <v>8</v>
      </c>
      <c r="J1401">
        <v>8</v>
      </c>
      <c r="K1401" s="1">
        <v>45245</v>
      </c>
      <c r="L1401" s="1">
        <v>45392</v>
      </c>
      <c r="M1401" s="1">
        <v>45245</v>
      </c>
      <c r="N1401" s="1">
        <v>45392</v>
      </c>
      <c r="O1401" t="s">
        <v>116</v>
      </c>
      <c r="P1401" t="s">
        <v>206</v>
      </c>
      <c r="Q1401" t="s">
        <v>207</v>
      </c>
      <c r="R1401" t="s">
        <v>208</v>
      </c>
      <c r="S1401" t="s">
        <v>209</v>
      </c>
      <c r="T1401" t="s">
        <v>210</v>
      </c>
      <c r="U1401" t="s">
        <v>211</v>
      </c>
      <c r="V1401" s="8" t="str">
        <f>"84060"</f>
        <v>84060</v>
      </c>
      <c r="W1401" t="s">
        <v>118</v>
      </c>
      <c r="Y1401" s="10">
        <v>14356493700</v>
      </c>
      <c r="AA1401">
        <v>7211</v>
      </c>
      <c r="AB1401" t="s">
        <v>212</v>
      </c>
      <c r="AC1401" t="s">
        <v>213</v>
      </c>
      <c r="AE1401" t="s">
        <v>214</v>
      </c>
      <c r="AF1401" t="s">
        <v>208</v>
      </c>
      <c r="AG1401" t="s">
        <v>215</v>
      </c>
      <c r="AH1401" t="s">
        <v>210</v>
      </c>
      <c r="AI1401" t="s">
        <v>211</v>
      </c>
      <c r="AJ1401" s="8" t="str">
        <f>"84060"</f>
        <v>84060</v>
      </c>
      <c r="AK1401" t="s">
        <v>118</v>
      </c>
      <c r="AM1401" s="10">
        <v>14356456469</v>
      </c>
      <c r="AO1401" t="s">
        <v>216</v>
      </c>
      <c r="AP1401" t="s">
        <v>121</v>
      </c>
      <c r="AQ1401" t="s">
        <v>217</v>
      </c>
      <c r="AR1401" t="s">
        <v>218</v>
      </c>
      <c r="AT1401" t="s">
        <v>219</v>
      </c>
      <c r="AU1401" t="s">
        <v>220</v>
      </c>
      <c r="AV1401" t="s">
        <v>221</v>
      </c>
      <c r="AW1401" t="s">
        <v>222</v>
      </c>
      <c r="AX1401" s="8" t="str">
        <f>"02632"</f>
        <v>02632</v>
      </c>
      <c r="AY1401" t="s">
        <v>118</v>
      </c>
      <c r="BA1401" s="10">
        <v>15087901181</v>
      </c>
      <c r="BC1401" t="s">
        <v>223</v>
      </c>
      <c r="BD1401" t="s">
        <v>224</v>
      </c>
      <c r="BE1401" t="s">
        <v>222</v>
      </c>
      <c r="BF1401" t="s">
        <v>225</v>
      </c>
      <c r="BG1401" t="s">
        <v>211</v>
      </c>
      <c r="BH1401" s="1">
        <v>45155.833333333336</v>
      </c>
      <c r="BI1401">
        <v>35</v>
      </c>
      <c r="BJ1401">
        <v>7</v>
      </c>
      <c r="BK1401">
        <v>0</v>
      </c>
      <c r="BL1401">
        <v>0</v>
      </c>
      <c r="BM1401">
        <v>7</v>
      </c>
      <c r="BN1401">
        <v>7</v>
      </c>
      <c r="BO1401">
        <v>7</v>
      </c>
      <c r="BP1401">
        <v>7</v>
      </c>
      <c r="BQ1401" t="str">
        <f>"7:00 AM"</f>
        <v>7:00 AM</v>
      </c>
      <c r="BR1401" t="str">
        <f>"3:00 PM"</f>
        <v>3:00 PM</v>
      </c>
      <c r="BS1401" t="s">
        <v>131</v>
      </c>
      <c r="BT1401">
        <v>0</v>
      </c>
      <c r="BU1401">
        <v>0</v>
      </c>
      <c r="BV1401" t="s">
        <v>114</v>
      </c>
      <c r="BX1401" s="2" t="s">
        <v>226</v>
      </c>
      <c r="BY1401" t="s">
        <v>227</v>
      </c>
      <c r="BZ1401" t="s">
        <v>208</v>
      </c>
      <c r="CA1401" t="s">
        <v>210</v>
      </c>
      <c r="CB1401" t="s">
        <v>211</v>
      </c>
      <c r="CC1401" s="8" t="str">
        <f>"84060"</f>
        <v>84060</v>
      </c>
      <c r="CD1401" t="s">
        <v>228</v>
      </c>
      <c r="CE1401" t="s">
        <v>229</v>
      </c>
      <c r="CF1401" s="12">
        <v>14.58</v>
      </c>
      <c r="CG1401" s="12">
        <v>21</v>
      </c>
      <c r="CH1401" s="12">
        <v>21.87</v>
      </c>
      <c r="CI1401" s="12">
        <v>31.5</v>
      </c>
      <c r="CJ1401" t="s">
        <v>135</v>
      </c>
      <c r="CK1401" t="s">
        <v>230</v>
      </c>
      <c r="CL1401" t="s">
        <v>23287</v>
      </c>
      <c r="CO1401" t="s">
        <v>132</v>
      </c>
      <c r="CP1401" t="s">
        <v>136</v>
      </c>
      <c r="CQ1401" t="s">
        <v>136</v>
      </c>
      <c r="CR1401" t="s">
        <v>136</v>
      </c>
      <c r="CS1401" t="s">
        <v>136</v>
      </c>
      <c r="CT1401" t="s">
        <v>136</v>
      </c>
      <c r="CU1401" t="s">
        <v>136</v>
      </c>
      <c r="CV1401" t="s">
        <v>10094</v>
      </c>
      <c r="CW1401" s="10" t="str">
        <f>"+14356493700"</f>
        <v>+14356493700</v>
      </c>
      <c r="CX1401" t="s">
        <v>233</v>
      </c>
      <c r="CY1401" t="s">
        <v>234</v>
      </c>
      <c r="CZ1401" t="s">
        <v>137</v>
      </c>
      <c r="DA1401" t="s">
        <v>114</v>
      </c>
      <c r="DB1401" t="s">
        <v>114</v>
      </c>
      <c r="DC1401" t="s">
        <v>136</v>
      </c>
      <c r="DD1401" t="s">
        <v>114</v>
      </c>
    </row>
    <row r="1402" spans="1:113" ht="15" customHeight="1" x14ac:dyDescent="0.25">
      <c r="A1402" t="s">
        <v>23310</v>
      </c>
      <c r="B1402" t="s">
        <v>152</v>
      </c>
      <c r="C1402" s="1">
        <v>45155.568090162036</v>
      </c>
      <c r="D1402" s="1">
        <v>45216</v>
      </c>
      <c r="E1402" t="s">
        <v>136</v>
      </c>
      <c r="F1402" t="s">
        <v>501</v>
      </c>
      <c r="G1402" t="str">
        <f>"35-9021.00"</f>
        <v>35-9021.00</v>
      </c>
      <c r="H1402" t="s">
        <v>501</v>
      </c>
      <c r="I1402">
        <v>10</v>
      </c>
      <c r="J1402">
        <v>10</v>
      </c>
      <c r="K1402" s="1">
        <v>45245</v>
      </c>
      <c r="L1402" s="1">
        <v>45392</v>
      </c>
      <c r="M1402" s="1">
        <v>45245</v>
      </c>
      <c r="N1402" s="1">
        <v>45392</v>
      </c>
      <c r="O1402" t="s">
        <v>116</v>
      </c>
      <c r="P1402" t="s">
        <v>206</v>
      </c>
      <c r="Q1402" t="s">
        <v>207</v>
      </c>
      <c r="R1402" t="s">
        <v>208</v>
      </c>
      <c r="S1402" t="s">
        <v>209</v>
      </c>
      <c r="T1402" t="s">
        <v>210</v>
      </c>
      <c r="U1402" t="s">
        <v>211</v>
      </c>
      <c r="V1402" s="8" t="str">
        <f>"84060"</f>
        <v>84060</v>
      </c>
      <c r="W1402" t="s">
        <v>118</v>
      </c>
      <c r="Y1402" s="10">
        <v>14356493700</v>
      </c>
      <c r="AA1402">
        <v>7211</v>
      </c>
      <c r="AB1402" t="s">
        <v>212</v>
      </c>
      <c r="AC1402" t="s">
        <v>213</v>
      </c>
      <c r="AE1402" t="s">
        <v>214</v>
      </c>
      <c r="AF1402" t="s">
        <v>208</v>
      </c>
      <c r="AG1402" t="s">
        <v>215</v>
      </c>
      <c r="AH1402" t="s">
        <v>210</v>
      </c>
      <c r="AI1402" t="s">
        <v>211</v>
      </c>
      <c r="AJ1402" s="8" t="str">
        <f>"84060"</f>
        <v>84060</v>
      </c>
      <c r="AK1402" t="s">
        <v>118</v>
      </c>
      <c r="AM1402" s="10">
        <v>14356456469</v>
      </c>
      <c r="AO1402" t="s">
        <v>216</v>
      </c>
      <c r="AP1402" t="s">
        <v>121</v>
      </c>
      <c r="AQ1402" t="s">
        <v>217</v>
      </c>
      <c r="AR1402" t="s">
        <v>218</v>
      </c>
      <c r="AT1402" t="s">
        <v>219</v>
      </c>
      <c r="AU1402" t="s">
        <v>220</v>
      </c>
      <c r="AV1402" t="s">
        <v>221</v>
      </c>
      <c r="AW1402" t="s">
        <v>222</v>
      </c>
      <c r="AX1402" s="8" t="str">
        <f>"02632"</f>
        <v>02632</v>
      </c>
      <c r="AY1402" t="s">
        <v>118</v>
      </c>
      <c r="BA1402" s="10">
        <v>15087901181</v>
      </c>
      <c r="BC1402" t="s">
        <v>223</v>
      </c>
      <c r="BD1402" t="s">
        <v>224</v>
      </c>
      <c r="BE1402" t="s">
        <v>222</v>
      </c>
      <c r="BF1402" t="s">
        <v>225</v>
      </c>
      <c r="BG1402" t="s">
        <v>211</v>
      </c>
      <c r="BH1402" s="1">
        <v>45155.833333333336</v>
      </c>
      <c r="BI1402">
        <v>35</v>
      </c>
      <c r="BJ1402">
        <v>7</v>
      </c>
      <c r="BK1402">
        <v>0</v>
      </c>
      <c r="BL1402">
        <v>0</v>
      </c>
      <c r="BM1402">
        <v>7</v>
      </c>
      <c r="BN1402">
        <v>7</v>
      </c>
      <c r="BO1402">
        <v>7</v>
      </c>
      <c r="BP1402">
        <v>7</v>
      </c>
      <c r="BQ1402" t="str">
        <f>"7:00 AM"</f>
        <v>7:00 AM</v>
      </c>
      <c r="BR1402" t="str">
        <f>"3:00 PM"</f>
        <v>3:00 PM</v>
      </c>
      <c r="BS1402" t="s">
        <v>131</v>
      </c>
      <c r="BT1402">
        <v>0</v>
      </c>
      <c r="BU1402">
        <v>0</v>
      </c>
      <c r="BV1402" t="s">
        <v>114</v>
      </c>
      <c r="BX1402" s="2" t="s">
        <v>10092</v>
      </c>
      <c r="BY1402" t="s">
        <v>227</v>
      </c>
      <c r="BZ1402" t="s">
        <v>208</v>
      </c>
      <c r="CA1402" t="s">
        <v>210</v>
      </c>
      <c r="CB1402" t="s">
        <v>211</v>
      </c>
      <c r="CC1402" s="8" t="str">
        <f>"84060"</f>
        <v>84060</v>
      </c>
      <c r="CD1402" t="s">
        <v>228</v>
      </c>
      <c r="CE1402" t="s">
        <v>229</v>
      </c>
      <c r="CF1402" s="12">
        <v>11.61</v>
      </c>
      <c r="CG1402" s="12">
        <v>20</v>
      </c>
      <c r="CH1402" s="12">
        <v>17.420000000000002</v>
      </c>
      <c r="CI1402" s="12">
        <v>30</v>
      </c>
      <c r="CJ1402" t="s">
        <v>135</v>
      </c>
      <c r="CK1402" t="s">
        <v>230</v>
      </c>
      <c r="CL1402" t="s">
        <v>23311</v>
      </c>
      <c r="CO1402" t="s">
        <v>132</v>
      </c>
      <c r="CP1402" t="s">
        <v>136</v>
      </c>
      <c r="CQ1402" t="s">
        <v>136</v>
      </c>
      <c r="CR1402" t="s">
        <v>136</v>
      </c>
      <c r="CS1402" t="s">
        <v>136</v>
      </c>
      <c r="CT1402" t="s">
        <v>136</v>
      </c>
      <c r="CU1402" t="s">
        <v>136</v>
      </c>
      <c r="CV1402" t="s">
        <v>10094</v>
      </c>
      <c r="CW1402" s="10" t="str">
        <f>"+14356493700"</f>
        <v>+14356493700</v>
      </c>
      <c r="CX1402" t="s">
        <v>233</v>
      </c>
      <c r="CY1402" t="s">
        <v>234</v>
      </c>
      <c r="CZ1402" t="s">
        <v>137</v>
      </c>
      <c r="DA1402" t="s">
        <v>114</v>
      </c>
      <c r="DB1402" t="s">
        <v>114</v>
      </c>
      <c r="DC1402" t="s">
        <v>136</v>
      </c>
      <c r="DD1402" t="s">
        <v>114</v>
      </c>
    </row>
    <row r="1403" spans="1:113" ht="15" customHeight="1" x14ac:dyDescent="0.25">
      <c r="A1403" t="s">
        <v>21809</v>
      </c>
      <c r="B1403" t="s">
        <v>152</v>
      </c>
      <c r="C1403" s="1">
        <v>45155.565859606482</v>
      </c>
      <c r="D1403" s="1">
        <v>45216</v>
      </c>
      <c r="E1403" t="s">
        <v>136</v>
      </c>
      <c r="F1403" t="s">
        <v>2310</v>
      </c>
      <c r="G1403" t="str">
        <f>"35-2014.00"</f>
        <v>35-2014.00</v>
      </c>
      <c r="H1403" t="s">
        <v>154</v>
      </c>
      <c r="I1403">
        <v>22</v>
      </c>
      <c r="J1403">
        <v>22</v>
      </c>
      <c r="K1403" s="1">
        <v>45245</v>
      </c>
      <c r="L1403" s="1">
        <v>45392</v>
      </c>
      <c r="M1403" s="1">
        <v>45245</v>
      </c>
      <c r="N1403" s="1">
        <v>45392</v>
      </c>
      <c r="O1403" t="s">
        <v>116</v>
      </c>
      <c r="P1403" t="s">
        <v>206</v>
      </c>
      <c r="Q1403" t="s">
        <v>207</v>
      </c>
      <c r="R1403" t="s">
        <v>208</v>
      </c>
      <c r="S1403" t="s">
        <v>209</v>
      </c>
      <c r="T1403" t="s">
        <v>210</v>
      </c>
      <c r="U1403" t="s">
        <v>211</v>
      </c>
      <c r="V1403" s="8" t="str">
        <f>"84060"</f>
        <v>84060</v>
      </c>
      <c r="W1403" t="s">
        <v>118</v>
      </c>
      <c r="Y1403" s="10">
        <v>14356493700</v>
      </c>
      <c r="AA1403">
        <v>7211</v>
      </c>
      <c r="AB1403" t="s">
        <v>212</v>
      </c>
      <c r="AC1403" t="s">
        <v>213</v>
      </c>
      <c r="AE1403" t="s">
        <v>214</v>
      </c>
      <c r="AF1403" t="s">
        <v>208</v>
      </c>
      <c r="AG1403" t="s">
        <v>215</v>
      </c>
      <c r="AH1403" t="s">
        <v>210</v>
      </c>
      <c r="AI1403" t="s">
        <v>211</v>
      </c>
      <c r="AJ1403" s="8" t="str">
        <f>"84060"</f>
        <v>84060</v>
      </c>
      <c r="AK1403" t="s">
        <v>118</v>
      </c>
      <c r="AM1403" s="10">
        <v>14356456469</v>
      </c>
      <c r="AO1403" t="s">
        <v>216</v>
      </c>
      <c r="AP1403" t="s">
        <v>121</v>
      </c>
      <c r="AQ1403" t="s">
        <v>217</v>
      </c>
      <c r="AR1403" t="s">
        <v>218</v>
      </c>
      <c r="AT1403" t="s">
        <v>219</v>
      </c>
      <c r="AU1403" t="s">
        <v>220</v>
      </c>
      <c r="AV1403" t="s">
        <v>221</v>
      </c>
      <c r="AW1403" t="s">
        <v>222</v>
      </c>
      <c r="AX1403" s="8" t="str">
        <f>"02632"</f>
        <v>02632</v>
      </c>
      <c r="AY1403" t="s">
        <v>118</v>
      </c>
      <c r="BA1403" s="10">
        <v>15087901181</v>
      </c>
      <c r="BC1403" t="s">
        <v>223</v>
      </c>
      <c r="BD1403" t="s">
        <v>224</v>
      </c>
      <c r="BE1403" t="s">
        <v>222</v>
      </c>
      <c r="BF1403" t="s">
        <v>225</v>
      </c>
      <c r="BG1403" t="s">
        <v>211</v>
      </c>
      <c r="BH1403" s="1">
        <v>45155.833333333336</v>
      </c>
      <c r="BI1403">
        <v>35</v>
      </c>
      <c r="BJ1403">
        <v>7</v>
      </c>
      <c r="BK1403">
        <v>0</v>
      </c>
      <c r="BL1403">
        <v>0</v>
      </c>
      <c r="BM1403">
        <v>7</v>
      </c>
      <c r="BN1403">
        <v>7</v>
      </c>
      <c r="BO1403">
        <v>7</v>
      </c>
      <c r="BP1403">
        <v>7</v>
      </c>
      <c r="BQ1403" t="str">
        <f>"5:00 AM"</f>
        <v>5:00 AM</v>
      </c>
      <c r="BR1403" t="str">
        <f>"2:00 PM"</f>
        <v>2:00 PM</v>
      </c>
      <c r="BS1403" t="s">
        <v>131</v>
      </c>
      <c r="BT1403">
        <v>0</v>
      </c>
      <c r="BU1403">
        <v>2</v>
      </c>
      <c r="BV1403" t="s">
        <v>114</v>
      </c>
      <c r="BX1403" s="2" t="s">
        <v>10092</v>
      </c>
      <c r="BY1403" t="s">
        <v>227</v>
      </c>
      <c r="BZ1403" t="s">
        <v>21810</v>
      </c>
      <c r="CA1403" t="s">
        <v>210</v>
      </c>
      <c r="CB1403" t="s">
        <v>211</v>
      </c>
      <c r="CC1403" s="8" t="str">
        <f>"84060"</f>
        <v>84060</v>
      </c>
      <c r="CD1403" t="s">
        <v>228</v>
      </c>
      <c r="CE1403" t="s">
        <v>229</v>
      </c>
      <c r="CF1403" s="12">
        <v>15.88</v>
      </c>
      <c r="CG1403" s="12">
        <v>21</v>
      </c>
      <c r="CH1403" s="12">
        <v>23.82</v>
      </c>
      <c r="CI1403" s="12">
        <v>31.5</v>
      </c>
      <c r="CJ1403" t="s">
        <v>135</v>
      </c>
      <c r="CK1403" t="s">
        <v>230</v>
      </c>
      <c r="CL1403" t="s">
        <v>21811</v>
      </c>
      <c r="CO1403" t="s">
        <v>132</v>
      </c>
      <c r="CP1403" t="s">
        <v>136</v>
      </c>
      <c r="CQ1403" t="s">
        <v>136</v>
      </c>
      <c r="CR1403" t="s">
        <v>136</v>
      </c>
      <c r="CS1403" t="s">
        <v>114</v>
      </c>
      <c r="CT1403" t="s">
        <v>136</v>
      </c>
      <c r="CU1403" t="s">
        <v>136</v>
      </c>
      <c r="CV1403" t="s">
        <v>10094</v>
      </c>
      <c r="CW1403" s="10" t="str">
        <f>"+14356493700"</f>
        <v>+14356493700</v>
      </c>
      <c r="CX1403" t="s">
        <v>233</v>
      </c>
      <c r="CY1403" t="s">
        <v>234</v>
      </c>
      <c r="CZ1403" t="s">
        <v>137</v>
      </c>
      <c r="DA1403" t="s">
        <v>114</v>
      </c>
      <c r="DB1403" t="s">
        <v>114</v>
      </c>
      <c r="DC1403" t="s">
        <v>136</v>
      </c>
      <c r="DD1403" t="s">
        <v>114</v>
      </c>
    </row>
    <row r="1404" spans="1:113" ht="15" customHeight="1" x14ac:dyDescent="0.25">
      <c r="A1404" t="s">
        <v>20852</v>
      </c>
      <c r="B1404" t="s">
        <v>152</v>
      </c>
      <c r="C1404" s="1">
        <v>45155.564549768518</v>
      </c>
      <c r="D1404" s="1">
        <v>45216</v>
      </c>
      <c r="E1404" t="s">
        <v>114</v>
      </c>
      <c r="F1404" t="s">
        <v>20853</v>
      </c>
      <c r="G1404" t="str">
        <f>"37-2012.00"</f>
        <v>37-2012.00</v>
      </c>
      <c r="H1404" t="s">
        <v>205</v>
      </c>
      <c r="I1404">
        <v>25</v>
      </c>
      <c r="J1404">
        <v>25</v>
      </c>
      <c r="K1404" s="1">
        <v>45245</v>
      </c>
      <c r="L1404" s="1">
        <v>45396</v>
      </c>
      <c r="M1404" s="1">
        <v>45245</v>
      </c>
      <c r="N1404" s="1">
        <v>45396</v>
      </c>
      <c r="O1404" t="s">
        <v>116</v>
      </c>
      <c r="P1404" t="s">
        <v>1081</v>
      </c>
      <c r="R1404" t="s">
        <v>510</v>
      </c>
      <c r="T1404" t="s">
        <v>16571</v>
      </c>
      <c r="U1404" t="s">
        <v>188</v>
      </c>
      <c r="V1404" s="8" t="str">
        <f>"80021"</f>
        <v>80021</v>
      </c>
      <c r="W1404" t="s">
        <v>118</v>
      </c>
      <c r="Y1404" s="10">
        <v>13034041800</v>
      </c>
      <c r="AA1404">
        <v>713920</v>
      </c>
      <c r="AB1404" t="s">
        <v>507</v>
      </c>
      <c r="AC1404" t="s">
        <v>508</v>
      </c>
      <c r="AE1404" t="s">
        <v>509</v>
      </c>
      <c r="AF1404" t="s">
        <v>510</v>
      </c>
      <c r="AH1404" t="s">
        <v>511</v>
      </c>
      <c r="AI1404" t="s">
        <v>188</v>
      </c>
      <c r="AJ1404" s="8" t="str">
        <f>"80021"</f>
        <v>80021</v>
      </c>
      <c r="AK1404" t="s">
        <v>118</v>
      </c>
      <c r="AM1404" s="10">
        <v>13034041800</v>
      </c>
      <c r="AO1404" t="s">
        <v>512</v>
      </c>
      <c r="AP1404" t="s">
        <v>121</v>
      </c>
      <c r="AQ1404" t="s">
        <v>513</v>
      </c>
      <c r="AR1404" t="s">
        <v>514</v>
      </c>
      <c r="AS1404" t="s">
        <v>515</v>
      </c>
      <c r="AT1404" t="s">
        <v>516</v>
      </c>
      <c r="AU1404" t="s">
        <v>517</v>
      </c>
      <c r="AV1404" t="s">
        <v>518</v>
      </c>
      <c r="AW1404" t="s">
        <v>402</v>
      </c>
      <c r="AX1404" s="8" t="str">
        <f>"90071"</f>
        <v>90071</v>
      </c>
      <c r="AY1404" t="s">
        <v>118</v>
      </c>
      <c r="BA1404" s="10">
        <v>13108203322</v>
      </c>
      <c r="BC1404" t="s">
        <v>519</v>
      </c>
      <c r="BD1404" t="s">
        <v>520</v>
      </c>
      <c r="BE1404" t="s">
        <v>188</v>
      </c>
      <c r="BF1404" t="s">
        <v>172</v>
      </c>
      <c r="BG1404" t="s">
        <v>188</v>
      </c>
      <c r="BH1404" s="1">
        <v>45140.833333333336</v>
      </c>
      <c r="BI1404">
        <v>35</v>
      </c>
      <c r="BJ1404">
        <v>5</v>
      </c>
      <c r="BK1404">
        <v>5</v>
      </c>
      <c r="BL1404">
        <v>5</v>
      </c>
      <c r="BM1404">
        <v>5</v>
      </c>
      <c r="BN1404">
        <v>5</v>
      </c>
      <c r="BO1404">
        <v>5</v>
      </c>
      <c r="BP1404">
        <v>5</v>
      </c>
      <c r="BQ1404" t="str">
        <f>"8:00 AM"</f>
        <v>8:00 AM</v>
      </c>
      <c r="BR1404" t="str">
        <f>"9:00 PM"</f>
        <v>9:00 PM</v>
      </c>
      <c r="BS1404" t="s">
        <v>131</v>
      </c>
      <c r="BT1404">
        <v>0</v>
      </c>
      <c r="BU1404">
        <v>12</v>
      </c>
      <c r="BV1404" t="s">
        <v>114</v>
      </c>
      <c r="BX1404" s="2" t="s">
        <v>20854</v>
      </c>
      <c r="BY1404" t="s">
        <v>20855</v>
      </c>
      <c r="CA1404" t="s">
        <v>1093</v>
      </c>
      <c r="CB1404" t="s">
        <v>188</v>
      </c>
      <c r="CC1404" s="8" t="str">
        <f>"80435"</f>
        <v>80435</v>
      </c>
      <c r="CD1404" t="s">
        <v>228</v>
      </c>
      <c r="CE1404" t="s">
        <v>1038</v>
      </c>
      <c r="CF1404" s="12">
        <v>22</v>
      </c>
      <c r="CH1404" s="12">
        <v>33</v>
      </c>
      <c r="CJ1404" t="s">
        <v>135</v>
      </c>
      <c r="CK1404" t="s">
        <v>1094</v>
      </c>
      <c r="CL1404" t="s">
        <v>20856</v>
      </c>
      <c r="CO1404" t="s">
        <v>132</v>
      </c>
      <c r="CP1404" t="s">
        <v>136</v>
      </c>
      <c r="CQ1404" t="s">
        <v>114</v>
      </c>
      <c r="CR1404" t="s">
        <v>136</v>
      </c>
      <c r="CS1404" t="s">
        <v>114</v>
      </c>
      <c r="CT1404" t="s">
        <v>136</v>
      </c>
      <c r="CU1404" t="s">
        <v>136</v>
      </c>
      <c r="CV1404" t="s">
        <v>20857</v>
      </c>
      <c r="CW1404" s="10" t="str">
        <f>"+13034041800"</f>
        <v>+13034041800</v>
      </c>
      <c r="CX1404" t="s">
        <v>512</v>
      </c>
      <c r="CY1404" t="s">
        <v>132</v>
      </c>
      <c r="CZ1404" t="s">
        <v>137</v>
      </c>
      <c r="DA1404" t="s">
        <v>114</v>
      </c>
      <c r="DB1404" t="s">
        <v>114</v>
      </c>
      <c r="DC1404" t="s">
        <v>136</v>
      </c>
      <c r="DD1404" t="s">
        <v>114</v>
      </c>
      <c r="DE1404" t="s">
        <v>527</v>
      </c>
      <c r="DF1404" t="s">
        <v>528</v>
      </c>
      <c r="DG1404" t="s">
        <v>732</v>
      </c>
      <c r="DH1404" t="s">
        <v>11829</v>
      </c>
      <c r="DI1404" t="s">
        <v>529</v>
      </c>
    </row>
    <row r="1405" spans="1:113" ht="15" customHeight="1" x14ac:dyDescent="0.25">
      <c r="A1405" t="s">
        <v>6766</v>
      </c>
      <c r="B1405" t="s">
        <v>152</v>
      </c>
      <c r="C1405" s="1">
        <v>45155.514452777781</v>
      </c>
      <c r="D1405" s="1">
        <v>45216</v>
      </c>
      <c r="E1405" t="s">
        <v>114</v>
      </c>
      <c r="F1405" t="s">
        <v>6521</v>
      </c>
      <c r="G1405" t="str">
        <f>"37-2011.00"</f>
        <v>37-2011.00</v>
      </c>
      <c r="H1405" t="s">
        <v>1089</v>
      </c>
      <c r="I1405">
        <v>73</v>
      </c>
      <c r="J1405">
        <v>73</v>
      </c>
      <c r="K1405" s="1">
        <v>45245</v>
      </c>
      <c r="L1405" s="1">
        <v>45382</v>
      </c>
      <c r="M1405" s="1">
        <v>45245</v>
      </c>
      <c r="N1405" s="1">
        <v>45382</v>
      </c>
      <c r="O1405" t="s">
        <v>238</v>
      </c>
      <c r="P1405" t="s">
        <v>6767</v>
      </c>
      <c r="R1405" t="s">
        <v>6768</v>
      </c>
      <c r="T1405" t="s">
        <v>6769</v>
      </c>
      <c r="U1405" t="s">
        <v>211</v>
      </c>
      <c r="V1405" s="8" t="str">
        <f>"84047"</f>
        <v>84047</v>
      </c>
      <c r="W1405" t="s">
        <v>118</v>
      </c>
      <c r="Y1405" s="10">
        <v>18015692383</v>
      </c>
      <c r="AA1405">
        <v>561730</v>
      </c>
      <c r="AB1405" t="s">
        <v>6770</v>
      </c>
      <c r="AC1405" t="s">
        <v>1955</v>
      </c>
      <c r="AE1405" t="s">
        <v>6771</v>
      </c>
      <c r="AF1405" t="s">
        <v>6768</v>
      </c>
      <c r="AH1405" t="s">
        <v>6769</v>
      </c>
      <c r="AI1405" t="s">
        <v>211</v>
      </c>
      <c r="AJ1405" s="8" t="str">
        <f>"84047"</f>
        <v>84047</v>
      </c>
      <c r="AK1405" t="s">
        <v>118</v>
      </c>
      <c r="AM1405" s="10">
        <v>18015692383</v>
      </c>
      <c r="AO1405" t="s">
        <v>6772</v>
      </c>
      <c r="AP1405" t="s">
        <v>121</v>
      </c>
      <c r="AQ1405" t="s">
        <v>707</v>
      </c>
      <c r="AR1405" t="s">
        <v>708</v>
      </c>
      <c r="AS1405" t="s">
        <v>709</v>
      </c>
      <c r="AT1405" t="s">
        <v>3568</v>
      </c>
      <c r="AU1405" t="s">
        <v>874</v>
      </c>
      <c r="AV1405" t="s">
        <v>603</v>
      </c>
      <c r="AW1405" t="s">
        <v>127</v>
      </c>
      <c r="AX1405" s="8" t="str">
        <f>"78746"</f>
        <v>78746</v>
      </c>
      <c r="AY1405" t="s">
        <v>118</v>
      </c>
      <c r="BA1405" s="10">
        <v>17372040093</v>
      </c>
      <c r="BC1405" t="s">
        <v>2632</v>
      </c>
      <c r="BD1405" t="s">
        <v>712</v>
      </c>
      <c r="BE1405" t="s">
        <v>127</v>
      </c>
      <c r="BF1405" t="s">
        <v>713</v>
      </c>
      <c r="BG1405" t="s">
        <v>211</v>
      </c>
      <c r="BH1405" s="1">
        <v>45154.833333333336</v>
      </c>
      <c r="BI1405">
        <v>40</v>
      </c>
      <c r="BJ1405">
        <v>0</v>
      </c>
      <c r="BK1405">
        <v>8</v>
      </c>
      <c r="BL1405">
        <v>8</v>
      </c>
      <c r="BM1405">
        <v>8</v>
      </c>
      <c r="BN1405">
        <v>8</v>
      </c>
      <c r="BO1405">
        <v>8</v>
      </c>
      <c r="BP1405">
        <v>0</v>
      </c>
      <c r="BQ1405" t="str">
        <f>"8:00 AM"</f>
        <v>8:00 AM</v>
      </c>
      <c r="BR1405" t="str">
        <f>"5:00 PM"</f>
        <v>5:00 PM</v>
      </c>
      <c r="BS1405" t="s">
        <v>131</v>
      </c>
      <c r="BT1405">
        <v>0</v>
      </c>
      <c r="BU1405">
        <v>0</v>
      </c>
      <c r="BV1405" t="s">
        <v>114</v>
      </c>
      <c r="BX1405" t="s">
        <v>131</v>
      </c>
      <c r="BY1405" t="s">
        <v>6768</v>
      </c>
      <c r="CA1405" t="s">
        <v>6769</v>
      </c>
      <c r="CB1405" t="s">
        <v>211</v>
      </c>
      <c r="CC1405" s="8" t="str">
        <f>"84047"</f>
        <v>84047</v>
      </c>
      <c r="CD1405" t="s">
        <v>1567</v>
      </c>
      <c r="CE1405" t="s">
        <v>1568</v>
      </c>
      <c r="CF1405" s="12">
        <v>13.94</v>
      </c>
      <c r="CG1405" s="12">
        <v>19</v>
      </c>
      <c r="CH1405" s="12">
        <v>20.91</v>
      </c>
      <c r="CI1405" s="12">
        <v>28.5</v>
      </c>
      <c r="CJ1405" t="s">
        <v>135</v>
      </c>
      <c r="CK1405" t="s">
        <v>6773</v>
      </c>
      <c r="CL1405" t="s">
        <v>6774</v>
      </c>
      <c r="CO1405" t="s">
        <v>132</v>
      </c>
      <c r="CP1405" t="s">
        <v>136</v>
      </c>
      <c r="CQ1405" t="s">
        <v>136</v>
      </c>
      <c r="CR1405" t="s">
        <v>136</v>
      </c>
      <c r="CS1405" t="s">
        <v>136</v>
      </c>
      <c r="CT1405" t="s">
        <v>136</v>
      </c>
      <c r="CU1405" t="s">
        <v>114</v>
      </c>
      <c r="CV1405" t="s">
        <v>131</v>
      </c>
      <c r="CW1405" s="10" t="str">
        <f>"+18015692383"</f>
        <v>+18015692383</v>
      </c>
      <c r="CX1405" t="s">
        <v>6772</v>
      </c>
      <c r="CY1405" t="s">
        <v>132</v>
      </c>
      <c r="CZ1405" t="s">
        <v>137</v>
      </c>
      <c r="DA1405" t="s">
        <v>114</v>
      </c>
      <c r="DB1405" t="s">
        <v>114</v>
      </c>
      <c r="DC1405" t="s">
        <v>136</v>
      </c>
      <c r="DD1405" t="s">
        <v>114</v>
      </c>
    </row>
    <row r="1406" spans="1:113" ht="15" customHeight="1" x14ac:dyDescent="0.25">
      <c r="A1406" t="s">
        <v>15434</v>
      </c>
      <c r="B1406" t="s">
        <v>152</v>
      </c>
      <c r="C1406" s="1">
        <v>45155.503544907406</v>
      </c>
      <c r="D1406" s="1">
        <v>45216</v>
      </c>
      <c r="E1406" t="s">
        <v>114</v>
      </c>
      <c r="F1406" t="s">
        <v>700</v>
      </c>
      <c r="G1406" t="str">
        <f>"37-3011.00"</f>
        <v>37-3011.00</v>
      </c>
      <c r="H1406" t="s">
        <v>429</v>
      </c>
      <c r="I1406">
        <v>17</v>
      </c>
      <c r="J1406">
        <v>17</v>
      </c>
      <c r="K1406" s="1">
        <v>45237</v>
      </c>
      <c r="L1406" s="1">
        <v>45389</v>
      </c>
      <c r="M1406" s="1">
        <v>45237</v>
      </c>
      <c r="N1406" s="1">
        <v>45389</v>
      </c>
      <c r="O1406" t="s">
        <v>238</v>
      </c>
      <c r="P1406" t="s">
        <v>15435</v>
      </c>
      <c r="R1406" t="s">
        <v>15436</v>
      </c>
      <c r="T1406" t="s">
        <v>15437</v>
      </c>
      <c r="U1406" t="s">
        <v>984</v>
      </c>
      <c r="V1406" s="8" t="str">
        <f>"63376"</f>
        <v>63376</v>
      </c>
      <c r="W1406" t="s">
        <v>118</v>
      </c>
      <c r="Y1406" s="10">
        <v>13142651608</v>
      </c>
      <c r="AA1406">
        <v>561730</v>
      </c>
      <c r="AB1406" t="s">
        <v>3411</v>
      </c>
      <c r="AC1406" t="s">
        <v>9791</v>
      </c>
      <c r="AE1406" t="s">
        <v>743</v>
      </c>
      <c r="AF1406" t="s">
        <v>15436</v>
      </c>
      <c r="AH1406" t="s">
        <v>15437</v>
      </c>
      <c r="AI1406" t="s">
        <v>984</v>
      </c>
      <c r="AJ1406" s="8" t="str">
        <f>"63376"</f>
        <v>63376</v>
      </c>
      <c r="AK1406" t="s">
        <v>118</v>
      </c>
      <c r="AM1406" s="10">
        <v>13142651608</v>
      </c>
      <c r="AO1406" t="s">
        <v>15438</v>
      </c>
      <c r="AP1406" t="s">
        <v>121</v>
      </c>
      <c r="AQ1406" t="s">
        <v>707</v>
      </c>
      <c r="AR1406" t="s">
        <v>708</v>
      </c>
      <c r="AS1406" t="s">
        <v>709</v>
      </c>
      <c r="AT1406" t="s">
        <v>710</v>
      </c>
      <c r="AU1406" t="s">
        <v>874</v>
      </c>
      <c r="AV1406" t="s">
        <v>603</v>
      </c>
      <c r="AW1406" t="s">
        <v>127</v>
      </c>
      <c r="AX1406" s="8" t="str">
        <f>"78746"</f>
        <v>78746</v>
      </c>
      <c r="AY1406" t="s">
        <v>118</v>
      </c>
      <c r="BA1406" s="10">
        <v>17372040093</v>
      </c>
      <c r="BC1406" t="s">
        <v>711</v>
      </c>
      <c r="BD1406" t="s">
        <v>712</v>
      </c>
      <c r="BE1406" t="s">
        <v>127</v>
      </c>
      <c r="BF1406" t="s">
        <v>713</v>
      </c>
      <c r="BG1406" t="s">
        <v>984</v>
      </c>
      <c r="BH1406" s="1">
        <v>45154.833333333336</v>
      </c>
      <c r="BI1406">
        <v>40</v>
      </c>
      <c r="BJ1406">
        <v>0</v>
      </c>
      <c r="BK1406">
        <v>8</v>
      </c>
      <c r="BL1406">
        <v>8</v>
      </c>
      <c r="BM1406">
        <v>8</v>
      </c>
      <c r="BN1406">
        <v>8</v>
      </c>
      <c r="BO1406">
        <v>8</v>
      </c>
      <c r="BP1406">
        <v>0</v>
      </c>
      <c r="BQ1406" t="str">
        <f>"8:00 AM"</f>
        <v>8:00 AM</v>
      </c>
      <c r="BR1406" t="str">
        <f>"4:30 PM"</f>
        <v>4:30 PM</v>
      </c>
      <c r="BS1406" t="s">
        <v>131</v>
      </c>
      <c r="BT1406">
        <v>0</v>
      </c>
      <c r="BU1406">
        <v>0</v>
      </c>
      <c r="BV1406" t="s">
        <v>114</v>
      </c>
      <c r="BX1406" t="s">
        <v>132</v>
      </c>
      <c r="BY1406" t="s">
        <v>15439</v>
      </c>
      <c r="CA1406" t="s">
        <v>15440</v>
      </c>
      <c r="CB1406" t="s">
        <v>984</v>
      </c>
      <c r="CC1406" s="8" t="str">
        <f>"63304"</f>
        <v>63304</v>
      </c>
      <c r="CD1406" t="s">
        <v>1855</v>
      </c>
      <c r="CE1406" t="s">
        <v>1856</v>
      </c>
      <c r="CF1406" s="12">
        <v>17.579999999999998</v>
      </c>
      <c r="CG1406" s="12">
        <v>18.829999999999998</v>
      </c>
      <c r="CH1406" s="12">
        <v>26.37</v>
      </c>
      <c r="CI1406" s="12">
        <v>28.25</v>
      </c>
      <c r="CJ1406" t="s">
        <v>135</v>
      </c>
      <c r="CK1406" t="s">
        <v>15441</v>
      </c>
      <c r="CL1406" t="s">
        <v>15442</v>
      </c>
      <c r="CO1406" t="s">
        <v>132</v>
      </c>
      <c r="CP1406" t="s">
        <v>136</v>
      </c>
      <c r="CQ1406" t="s">
        <v>136</v>
      </c>
      <c r="CR1406" t="s">
        <v>136</v>
      </c>
      <c r="CS1406" t="s">
        <v>136</v>
      </c>
      <c r="CT1406" t="s">
        <v>136</v>
      </c>
      <c r="CU1406" t="s">
        <v>114</v>
      </c>
      <c r="CV1406" t="s">
        <v>131</v>
      </c>
      <c r="CW1406" s="10" t="str">
        <f>"+13142651608"</f>
        <v>+13142651608</v>
      </c>
      <c r="CX1406" t="s">
        <v>15438</v>
      </c>
      <c r="CY1406" t="s">
        <v>132</v>
      </c>
      <c r="CZ1406" t="s">
        <v>137</v>
      </c>
      <c r="DA1406" t="s">
        <v>114</v>
      </c>
      <c r="DB1406" t="s">
        <v>114</v>
      </c>
      <c r="DC1406" t="s">
        <v>136</v>
      </c>
      <c r="DD1406" t="s">
        <v>114</v>
      </c>
    </row>
    <row r="1407" spans="1:113" ht="15" customHeight="1" x14ac:dyDescent="0.25">
      <c r="A1407" t="s">
        <v>8876</v>
      </c>
      <c r="B1407" t="s">
        <v>152</v>
      </c>
      <c r="C1407" s="1">
        <v>45155.470410300928</v>
      </c>
      <c r="D1407" s="1">
        <v>45216</v>
      </c>
      <c r="E1407" t="s">
        <v>136</v>
      </c>
      <c r="F1407" t="s">
        <v>3075</v>
      </c>
      <c r="G1407" t="str">
        <f>"35-2014.00"</f>
        <v>35-2014.00</v>
      </c>
      <c r="H1407" t="s">
        <v>154</v>
      </c>
      <c r="I1407">
        <v>6</v>
      </c>
      <c r="J1407">
        <v>6</v>
      </c>
      <c r="K1407" s="1">
        <v>45245</v>
      </c>
      <c r="L1407" s="1">
        <v>45397</v>
      </c>
      <c r="M1407" s="1">
        <v>45245</v>
      </c>
      <c r="N1407" s="1">
        <v>45397</v>
      </c>
      <c r="O1407" t="s">
        <v>116</v>
      </c>
      <c r="P1407" t="s">
        <v>8877</v>
      </c>
      <c r="R1407" t="s">
        <v>8878</v>
      </c>
      <c r="T1407" t="s">
        <v>6781</v>
      </c>
      <c r="U1407" t="s">
        <v>584</v>
      </c>
      <c r="V1407" s="8" t="str">
        <f>"83025"</f>
        <v>83025</v>
      </c>
      <c r="W1407" t="s">
        <v>118</v>
      </c>
      <c r="Y1407" s="10">
        <v>13077392728</v>
      </c>
      <c r="AA1407">
        <v>721110</v>
      </c>
      <c r="AB1407" t="s">
        <v>8879</v>
      </c>
      <c r="AC1407" t="s">
        <v>8880</v>
      </c>
      <c r="AE1407" t="s">
        <v>895</v>
      </c>
      <c r="AF1407" t="s">
        <v>8878</v>
      </c>
      <c r="AH1407" t="s">
        <v>6781</v>
      </c>
      <c r="AI1407" t="s">
        <v>584</v>
      </c>
      <c r="AJ1407" s="8" t="str">
        <f>"83025"</f>
        <v>83025</v>
      </c>
      <c r="AK1407" t="s">
        <v>118</v>
      </c>
      <c r="AM1407" s="10">
        <v>13077392728</v>
      </c>
      <c r="AO1407" t="s">
        <v>8881</v>
      </c>
      <c r="AP1407" t="s">
        <v>121</v>
      </c>
      <c r="AQ1407" t="s">
        <v>276</v>
      </c>
      <c r="AR1407" t="s">
        <v>277</v>
      </c>
      <c r="AS1407" t="s">
        <v>278</v>
      </c>
      <c r="AT1407" t="s">
        <v>279</v>
      </c>
      <c r="AU1407" t="s">
        <v>280</v>
      </c>
      <c r="AV1407" t="s">
        <v>281</v>
      </c>
      <c r="AW1407" t="s">
        <v>222</v>
      </c>
      <c r="AX1407" s="8" t="str">
        <f>"01701"</f>
        <v>01701</v>
      </c>
      <c r="AY1407" t="s">
        <v>118</v>
      </c>
      <c r="BA1407" s="10">
        <v>16179399444</v>
      </c>
      <c r="BC1407" t="s">
        <v>282</v>
      </c>
      <c r="BD1407" t="s">
        <v>283</v>
      </c>
      <c r="BE1407" t="s">
        <v>222</v>
      </c>
      <c r="BF1407" t="s">
        <v>284</v>
      </c>
      <c r="BG1407" t="s">
        <v>584</v>
      </c>
      <c r="BH1407" s="1">
        <v>45154.833333333336</v>
      </c>
      <c r="BI1407">
        <v>35</v>
      </c>
      <c r="BJ1407">
        <v>0</v>
      </c>
      <c r="BK1407">
        <v>7</v>
      </c>
      <c r="BL1407">
        <v>7</v>
      </c>
      <c r="BM1407">
        <v>7</v>
      </c>
      <c r="BN1407">
        <v>7</v>
      </c>
      <c r="BO1407">
        <v>7</v>
      </c>
      <c r="BP1407">
        <v>0</v>
      </c>
      <c r="BQ1407" t="str">
        <f>"10:00 AM"</f>
        <v>10:00 AM</v>
      </c>
      <c r="BR1407" t="str">
        <f>"5:00 PM"</f>
        <v>5:00 PM</v>
      </c>
      <c r="BS1407" t="s">
        <v>131</v>
      </c>
      <c r="BT1407">
        <v>0</v>
      </c>
      <c r="BU1407">
        <v>12</v>
      </c>
      <c r="BV1407" t="s">
        <v>114</v>
      </c>
      <c r="BX1407" s="2" t="s">
        <v>8882</v>
      </c>
      <c r="BY1407" t="s">
        <v>8878</v>
      </c>
      <c r="CA1407" t="s">
        <v>6781</v>
      </c>
      <c r="CB1407" t="s">
        <v>584</v>
      </c>
      <c r="CC1407" s="8" t="str">
        <f>"83025"</f>
        <v>83025</v>
      </c>
      <c r="CD1407" t="s">
        <v>588</v>
      </c>
      <c r="CE1407" t="s">
        <v>589</v>
      </c>
      <c r="CF1407" s="12">
        <v>26.92</v>
      </c>
      <c r="CG1407" s="12">
        <v>30.6</v>
      </c>
      <c r="CH1407" s="12">
        <v>40.380000000000003</v>
      </c>
      <c r="CI1407" s="12">
        <v>45.9</v>
      </c>
      <c r="CJ1407" t="s">
        <v>135</v>
      </c>
      <c r="CK1407" t="s">
        <v>8883</v>
      </c>
      <c r="CL1407" t="s">
        <v>8884</v>
      </c>
      <c r="CO1407" t="s">
        <v>132</v>
      </c>
      <c r="CP1407" t="s">
        <v>114</v>
      </c>
      <c r="CQ1407" t="s">
        <v>136</v>
      </c>
      <c r="CR1407" t="s">
        <v>136</v>
      </c>
      <c r="CS1407" t="s">
        <v>136</v>
      </c>
      <c r="CT1407" t="s">
        <v>136</v>
      </c>
      <c r="CU1407" t="s">
        <v>136</v>
      </c>
      <c r="CV1407" t="s">
        <v>8885</v>
      </c>
      <c r="CW1407" s="10" t="str">
        <f>"+13077392728"</f>
        <v>+13077392728</v>
      </c>
      <c r="CX1407" t="s">
        <v>8886</v>
      </c>
      <c r="CY1407" t="s">
        <v>132</v>
      </c>
      <c r="CZ1407" t="s">
        <v>137</v>
      </c>
      <c r="DA1407" t="s">
        <v>114</v>
      </c>
      <c r="DB1407" t="s">
        <v>114</v>
      </c>
      <c r="DC1407" t="s">
        <v>136</v>
      </c>
      <c r="DD1407" t="s">
        <v>114</v>
      </c>
    </row>
    <row r="1408" spans="1:113" ht="15" customHeight="1" x14ac:dyDescent="0.25">
      <c r="A1408" t="s">
        <v>20164</v>
      </c>
      <c r="B1408" t="s">
        <v>152</v>
      </c>
      <c r="C1408" s="1">
        <v>45155.374159606479</v>
      </c>
      <c r="D1408" s="1">
        <v>45216</v>
      </c>
      <c r="E1408" t="s">
        <v>114</v>
      </c>
      <c r="F1408" t="s">
        <v>4218</v>
      </c>
      <c r="G1408" t="str">
        <f>"49-9098.00"</f>
        <v>49-9098.00</v>
      </c>
      <c r="H1408" t="s">
        <v>945</v>
      </c>
      <c r="I1408">
        <v>15</v>
      </c>
      <c r="J1408">
        <v>15</v>
      </c>
      <c r="K1408" s="1">
        <v>45244</v>
      </c>
      <c r="L1408" s="1">
        <v>45323</v>
      </c>
      <c r="M1408" s="1">
        <v>45244</v>
      </c>
      <c r="N1408" s="1">
        <v>45323</v>
      </c>
      <c r="O1408" t="s">
        <v>238</v>
      </c>
      <c r="P1408" t="s">
        <v>20165</v>
      </c>
      <c r="R1408" t="s">
        <v>8296</v>
      </c>
      <c r="T1408" t="s">
        <v>8297</v>
      </c>
      <c r="U1408" t="s">
        <v>169</v>
      </c>
      <c r="V1408" s="8" t="str">
        <f>"55021"</f>
        <v>55021</v>
      </c>
      <c r="W1408" t="s">
        <v>118</v>
      </c>
      <c r="Y1408" s="10">
        <v>16123251608</v>
      </c>
      <c r="Z1408">
        <v>0</v>
      </c>
      <c r="AA1408">
        <v>7139</v>
      </c>
      <c r="AB1408" t="s">
        <v>8298</v>
      </c>
      <c r="AC1408" t="s">
        <v>1826</v>
      </c>
      <c r="AE1408" t="s">
        <v>629</v>
      </c>
      <c r="AF1408" t="s">
        <v>8296</v>
      </c>
      <c r="AH1408" t="s">
        <v>8297</v>
      </c>
      <c r="AI1408" t="s">
        <v>169</v>
      </c>
      <c r="AJ1408" s="8" t="str">
        <f>"55021"</f>
        <v>55021</v>
      </c>
      <c r="AK1408" t="s">
        <v>118</v>
      </c>
      <c r="AM1408" s="10">
        <v>17722152225</v>
      </c>
      <c r="AN1408">
        <v>0</v>
      </c>
      <c r="AO1408" t="s">
        <v>20166</v>
      </c>
      <c r="AP1408" t="s">
        <v>121</v>
      </c>
      <c r="AQ1408" t="s">
        <v>1718</v>
      </c>
      <c r="AR1408" t="s">
        <v>708</v>
      </c>
      <c r="AS1408" t="s">
        <v>1719</v>
      </c>
      <c r="AT1408" t="s">
        <v>1720</v>
      </c>
      <c r="AU1408" t="s">
        <v>799</v>
      </c>
      <c r="AV1408" t="s">
        <v>1721</v>
      </c>
      <c r="AW1408" t="s">
        <v>1722</v>
      </c>
      <c r="AX1408" s="8" t="str">
        <f>"21401"</f>
        <v>21401</v>
      </c>
      <c r="AY1408" t="s">
        <v>118</v>
      </c>
      <c r="BA1408" s="10">
        <v>14105739955</v>
      </c>
      <c r="BB1408">
        <v>0</v>
      </c>
      <c r="BC1408" t="s">
        <v>1723</v>
      </c>
      <c r="BD1408" t="s">
        <v>1724</v>
      </c>
      <c r="BE1408" t="s">
        <v>1722</v>
      </c>
      <c r="BF1408" t="s">
        <v>1725</v>
      </c>
      <c r="BG1408" t="s">
        <v>169</v>
      </c>
      <c r="BH1408" s="1">
        <v>45134.833333333336</v>
      </c>
      <c r="BI1408">
        <v>35</v>
      </c>
      <c r="BJ1408">
        <v>0</v>
      </c>
      <c r="BK1408">
        <v>7</v>
      </c>
      <c r="BL1408">
        <v>7</v>
      </c>
      <c r="BM1408">
        <v>7</v>
      </c>
      <c r="BN1408">
        <v>7</v>
      </c>
      <c r="BO1408">
        <v>7</v>
      </c>
      <c r="BP1408">
        <v>0</v>
      </c>
      <c r="BQ1408" t="str">
        <f>"8:00 AM"</f>
        <v>8:00 AM</v>
      </c>
      <c r="BR1408" t="str">
        <f>"4:30 PM"</f>
        <v>4:30 PM</v>
      </c>
      <c r="BS1408" t="s">
        <v>131</v>
      </c>
      <c r="BT1408">
        <v>0</v>
      </c>
      <c r="BU1408">
        <v>0</v>
      </c>
      <c r="BV1408" t="s">
        <v>114</v>
      </c>
      <c r="BX1408" s="2" t="s">
        <v>20167</v>
      </c>
      <c r="BY1408" t="s">
        <v>20168</v>
      </c>
      <c r="CA1408" t="s">
        <v>20169</v>
      </c>
      <c r="CB1408" t="s">
        <v>169</v>
      </c>
      <c r="CC1408" s="8" t="str">
        <f>"55021-6204"</f>
        <v>55021-6204</v>
      </c>
      <c r="CD1408" t="s">
        <v>9028</v>
      </c>
      <c r="CE1408" t="s">
        <v>18008</v>
      </c>
      <c r="CF1408" s="12">
        <v>15.7</v>
      </c>
      <c r="CG1408" s="12">
        <v>15.7</v>
      </c>
      <c r="CJ1408" t="s">
        <v>135</v>
      </c>
      <c r="CK1408" t="s">
        <v>4224</v>
      </c>
      <c r="CL1408" t="s">
        <v>20170</v>
      </c>
      <c r="CO1408" t="s">
        <v>132</v>
      </c>
      <c r="CP1408" t="s">
        <v>114</v>
      </c>
      <c r="CQ1408" t="s">
        <v>114</v>
      </c>
      <c r="CR1408" t="s">
        <v>114</v>
      </c>
      <c r="CS1408" t="s">
        <v>114</v>
      </c>
      <c r="CT1408" t="s">
        <v>136</v>
      </c>
      <c r="CU1408" t="s">
        <v>136</v>
      </c>
      <c r="CV1408" t="s">
        <v>20171</v>
      </c>
      <c r="CW1408" s="10" t="str">
        <f>"N/A"</f>
        <v>N/A</v>
      </c>
      <c r="CX1408" t="s">
        <v>20172</v>
      </c>
      <c r="CY1408" t="s">
        <v>20173</v>
      </c>
      <c r="CZ1408" t="s">
        <v>137</v>
      </c>
      <c r="DA1408" t="s">
        <v>114</v>
      </c>
      <c r="DB1408" t="s">
        <v>114</v>
      </c>
      <c r="DC1408" t="s">
        <v>136</v>
      </c>
      <c r="DD1408" t="s">
        <v>114</v>
      </c>
    </row>
    <row r="1409" spans="1:113" ht="15" customHeight="1" x14ac:dyDescent="0.25">
      <c r="A1409" t="s">
        <v>17233</v>
      </c>
      <c r="B1409" t="s">
        <v>152</v>
      </c>
      <c r="C1409" s="1">
        <v>45154.591083564817</v>
      </c>
      <c r="D1409" s="1">
        <v>45216</v>
      </c>
      <c r="E1409" t="s">
        <v>114</v>
      </c>
      <c r="F1409" t="s">
        <v>17234</v>
      </c>
      <c r="G1409" t="str">
        <f>"35-2015.00"</f>
        <v>35-2015.00</v>
      </c>
      <c r="H1409" t="s">
        <v>2075</v>
      </c>
      <c r="I1409">
        <v>10</v>
      </c>
      <c r="J1409">
        <v>10</v>
      </c>
      <c r="K1409" s="1">
        <v>45229</v>
      </c>
      <c r="L1409" s="1">
        <v>45453</v>
      </c>
      <c r="M1409" s="1">
        <v>45229</v>
      </c>
      <c r="N1409" s="1">
        <v>45453</v>
      </c>
      <c r="O1409" t="s">
        <v>116</v>
      </c>
      <c r="P1409" t="s">
        <v>17235</v>
      </c>
      <c r="R1409" t="s">
        <v>17236</v>
      </c>
      <c r="T1409" t="s">
        <v>17237</v>
      </c>
      <c r="U1409" t="s">
        <v>333</v>
      </c>
      <c r="V1409" s="8" t="str">
        <f>"70037"</f>
        <v>70037</v>
      </c>
      <c r="W1409" t="s">
        <v>118</v>
      </c>
      <c r="Y1409" s="10">
        <v>15043937303</v>
      </c>
      <c r="AA1409">
        <v>72251</v>
      </c>
      <c r="AB1409" t="s">
        <v>17238</v>
      </c>
      <c r="AC1409" t="s">
        <v>11209</v>
      </c>
      <c r="AE1409" t="s">
        <v>7868</v>
      </c>
      <c r="AF1409" t="s">
        <v>17236</v>
      </c>
      <c r="AH1409" t="s">
        <v>17237</v>
      </c>
      <c r="AI1409" t="s">
        <v>333</v>
      </c>
      <c r="AJ1409" s="8" t="str">
        <f>"70037"</f>
        <v>70037</v>
      </c>
      <c r="AK1409" t="s">
        <v>118</v>
      </c>
      <c r="AM1409" s="10">
        <v>15043937303</v>
      </c>
      <c r="AO1409" t="s">
        <v>796</v>
      </c>
      <c r="AP1409" t="s">
        <v>248</v>
      </c>
      <c r="AQ1409" t="s">
        <v>8046</v>
      </c>
      <c r="AR1409" t="s">
        <v>1802</v>
      </c>
      <c r="AT1409" t="s">
        <v>8047</v>
      </c>
      <c r="AV1409" t="s">
        <v>8048</v>
      </c>
      <c r="AW1409" t="s">
        <v>550</v>
      </c>
      <c r="AX1409" s="8" t="str">
        <f>"31606"</f>
        <v>31606</v>
      </c>
      <c r="AY1409" t="s">
        <v>118</v>
      </c>
      <c r="BA1409" s="10">
        <v>12295590241</v>
      </c>
      <c r="BC1409" t="s">
        <v>8049</v>
      </c>
      <c r="BD1409" t="s">
        <v>8050</v>
      </c>
      <c r="BG1409" t="s">
        <v>333</v>
      </c>
      <c r="BH1409" s="1">
        <v>45153.833333333336</v>
      </c>
      <c r="BI1409">
        <v>40</v>
      </c>
      <c r="BJ1409">
        <v>0</v>
      </c>
      <c r="BK1409">
        <v>0</v>
      </c>
      <c r="BL1409">
        <v>8</v>
      </c>
      <c r="BM1409">
        <v>8</v>
      </c>
      <c r="BN1409">
        <v>8</v>
      </c>
      <c r="BO1409">
        <v>8</v>
      </c>
      <c r="BP1409">
        <v>8</v>
      </c>
      <c r="BQ1409" t="str">
        <f>"8:00 AM"</f>
        <v>8:00 AM</v>
      </c>
      <c r="BR1409" t="str">
        <f>"11:00 PM"</f>
        <v>11:00 PM</v>
      </c>
      <c r="BS1409" t="s">
        <v>131</v>
      </c>
      <c r="BT1409">
        <v>0</v>
      </c>
      <c r="BU1409">
        <v>6</v>
      </c>
      <c r="BV1409" t="s">
        <v>114</v>
      </c>
      <c r="BX1409" t="s">
        <v>17239</v>
      </c>
      <c r="BY1409" t="s">
        <v>17236</v>
      </c>
      <c r="CA1409" t="s">
        <v>17237</v>
      </c>
      <c r="CB1409" t="s">
        <v>333</v>
      </c>
      <c r="CC1409" s="8" t="str">
        <f>"70037"</f>
        <v>70037</v>
      </c>
      <c r="CD1409" t="s">
        <v>17240</v>
      </c>
      <c r="CE1409" t="s">
        <v>341</v>
      </c>
      <c r="CF1409" s="12">
        <v>13.05</v>
      </c>
      <c r="CJ1409" t="s">
        <v>135</v>
      </c>
      <c r="CL1409" t="s">
        <v>17241</v>
      </c>
      <c r="CO1409" t="s">
        <v>132</v>
      </c>
      <c r="CP1409" t="s">
        <v>114</v>
      </c>
      <c r="CQ1409" t="s">
        <v>114</v>
      </c>
      <c r="CR1409" t="s">
        <v>114</v>
      </c>
      <c r="CS1409" t="s">
        <v>114</v>
      </c>
      <c r="CT1409" t="s">
        <v>136</v>
      </c>
      <c r="CU1409" t="s">
        <v>114</v>
      </c>
      <c r="CV1409" t="s">
        <v>8052</v>
      </c>
      <c r="CW1409" s="10" t="str">
        <f>"+15043937303"</f>
        <v>+15043937303</v>
      </c>
      <c r="CX1409" t="s">
        <v>17242</v>
      </c>
      <c r="CY1409" t="s">
        <v>132</v>
      </c>
      <c r="CZ1409" t="s">
        <v>137</v>
      </c>
      <c r="DA1409" t="s">
        <v>114</v>
      </c>
      <c r="DB1409" t="s">
        <v>114</v>
      </c>
      <c r="DC1409" t="s">
        <v>136</v>
      </c>
      <c r="DD1409" t="s">
        <v>114</v>
      </c>
    </row>
    <row r="1410" spans="1:113" ht="15" customHeight="1" x14ac:dyDescent="0.25">
      <c r="A1410" t="s">
        <v>18127</v>
      </c>
      <c r="B1410" t="s">
        <v>152</v>
      </c>
      <c r="C1410" s="1">
        <v>45154.533686342591</v>
      </c>
      <c r="D1410" s="1">
        <v>45216</v>
      </c>
      <c r="E1410" t="s">
        <v>114</v>
      </c>
      <c r="F1410" t="s">
        <v>500</v>
      </c>
      <c r="G1410" t="str">
        <f>"35-9021.00"</f>
        <v>35-9021.00</v>
      </c>
      <c r="H1410" t="s">
        <v>501</v>
      </c>
      <c r="I1410">
        <v>10</v>
      </c>
      <c r="J1410">
        <v>10</v>
      </c>
      <c r="K1410" s="1">
        <v>45244</v>
      </c>
      <c r="L1410" s="1">
        <v>45395</v>
      </c>
      <c r="M1410" s="1">
        <v>45244</v>
      </c>
      <c r="N1410" s="1">
        <v>45395</v>
      </c>
      <c r="O1410" t="s">
        <v>116</v>
      </c>
      <c r="P1410" t="s">
        <v>18128</v>
      </c>
      <c r="Q1410" t="s">
        <v>18129</v>
      </c>
      <c r="R1410" t="s">
        <v>18130</v>
      </c>
      <c r="T1410" t="s">
        <v>1672</v>
      </c>
      <c r="U1410" t="s">
        <v>506</v>
      </c>
      <c r="V1410" s="8" t="str">
        <f>"05672"</f>
        <v>05672</v>
      </c>
      <c r="W1410" t="s">
        <v>118</v>
      </c>
      <c r="Y1410" s="10">
        <v>18022533559</v>
      </c>
      <c r="AA1410">
        <v>713920</v>
      </c>
      <c r="AB1410" t="s">
        <v>507</v>
      </c>
      <c r="AC1410" t="s">
        <v>508</v>
      </c>
      <c r="AE1410" t="s">
        <v>509</v>
      </c>
      <c r="AF1410" t="s">
        <v>510</v>
      </c>
      <c r="AH1410" t="s">
        <v>511</v>
      </c>
      <c r="AI1410" t="s">
        <v>188</v>
      </c>
      <c r="AJ1410" s="8" t="str">
        <f>"80021"</f>
        <v>80021</v>
      </c>
      <c r="AK1410" t="s">
        <v>118</v>
      </c>
      <c r="AM1410" s="10">
        <v>13034041800</v>
      </c>
      <c r="AO1410" t="s">
        <v>512</v>
      </c>
      <c r="AP1410" t="s">
        <v>121</v>
      </c>
      <c r="AQ1410" t="s">
        <v>513</v>
      </c>
      <c r="AR1410" t="s">
        <v>514</v>
      </c>
      <c r="AS1410" t="s">
        <v>515</v>
      </c>
      <c r="AT1410" t="s">
        <v>516</v>
      </c>
      <c r="AU1410" t="s">
        <v>517</v>
      </c>
      <c r="AV1410" t="s">
        <v>518</v>
      </c>
      <c r="AW1410" t="s">
        <v>402</v>
      </c>
      <c r="AX1410" s="8" t="str">
        <f>"90071"</f>
        <v>90071</v>
      </c>
      <c r="AY1410" t="s">
        <v>118</v>
      </c>
      <c r="BA1410" s="10">
        <v>13108203322</v>
      </c>
      <c r="BC1410" t="s">
        <v>519</v>
      </c>
      <c r="BD1410" t="s">
        <v>520</v>
      </c>
      <c r="BE1410" t="s">
        <v>188</v>
      </c>
      <c r="BF1410" t="s">
        <v>172</v>
      </c>
      <c r="BG1410" t="s">
        <v>506</v>
      </c>
      <c r="BH1410" s="1">
        <v>45140.833333333336</v>
      </c>
      <c r="BI1410">
        <v>35</v>
      </c>
      <c r="BJ1410">
        <v>5</v>
      </c>
      <c r="BK1410">
        <v>5</v>
      </c>
      <c r="BL1410">
        <v>5</v>
      </c>
      <c r="BM1410">
        <v>5</v>
      </c>
      <c r="BN1410">
        <v>5</v>
      </c>
      <c r="BO1410">
        <v>5</v>
      </c>
      <c r="BP1410">
        <v>5</v>
      </c>
      <c r="BQ1410" t="str">
        <f>"8:00 AM"</f>
        <v>8:00 AM</v>
      </c>
      <c r="BR1410" t="str">
        <f>"11:00 PM"</f>
        <v>11:00 PM</v>
      </c>
      <c r="BS1410" t="s">
        <v>131</v>
      </c>
      <c r="BT1410">
        <v>0</v>
      </c>
      <c r="BU1410">
        <v>0</v>
      </c>
      <c r="BV1410" t="s">
        <v>114</v>
      </c>
      <c r="BX1410" s="2" t="s">
        <v>18131</v>
      </c>
      <c r="BY1410" t="s">
        <v>18132</v>
      </c>
      <c r="CA1410" t="s">
        <v>1672</v>
      </c>
      <c r="CB1410" t="s">
        <v>506</v>
      </c>
      <c r="CC1410" s="8" t="str">
        <f>"05672"</f>
        <v>05672</v>
      </c>
      <c r="CD1410" t="s">
        <v>1683</v>
      </c>
      <c r="CE1410" t="s">
        <v>1108</v>
      </c>
      <c r="CF1410" s="12">
        <v>20</v>
      </c>
      <c r="CH1410" s="12">
        <v>30</v>
      </c>
      <c r="CJ1410" t="s">
        <v>135</v>
      </c>
      <c r="CK1410" t="s">
        <v>524</v>
      </c>
      <c r="CL1410" t="s">
        <v>18133</v>
      </c>
      <c r="CO1410" t="s">
        <v>132</v>
      </c>
      <c r="CP1410" t="s">
        <v>114</v>
      </c>
      <c r="CQ1410" t="s">
        <v>114</v>
      </c>
      <c r="CR1410" t="s">
        <v>136</v>
      </c>
      <c r="CS1410" t="s">
        <v>114</v>
      </c>
      <c r="CT1410" t="s">
        <v>136</v>
      </c>
      <c r="CU1410" t="s">
        <v>136</v>
      </c>
      <c r="CV1410" t="s">
        <v>18134</v>
      </c>
      <c r="CW1410" s="10" t="str">
        <f>"+13034041800"</f>
        <v>+13034041800</v>
      </c>
      <c r="CX1410" t="s">
        <v>512</v>
      </c>
      <c r="CY1410" t="s">
        <v>132</v>
      </c>
      <c r="CZ1410" t="s">
        <v>137</v>
      </c>
      <c r="DA1410" t="s">
        <v>114</v>
      </c>
      <c r="DB1410" t="s">
        <v>114</v>
      </c>
      <c r="DC1410" t="s">
        <v>136</v>
      </c>
      <c r="DD1410" t="s">
        <v>114</v>
      </c>
      <c r="DE1410" t="s">
        <v>527</v>
      </c>
      <c r="DF1410" t="s">
        <v>528</v>
      </c>
      <c r="DG1410" t="s">
        <v>732</v>
      </c>
      <c r="DH1410" t="s">
        <v>520</v>
      </c>
      <c r="DI1410" t="s">
        <v>529</v>
      </c>
    </row>
    <row r="1411" spans="1:113" ht="15" customHeight="1" x14ac:dyDescent="0.25">
      <c r="A1411" t="s">
        <v>23795</v>
      </c>
      <c r="B1411" t="s">
        <v>152</v>
      </c>
      <c r="C1411" s="1">
        <v>45154.412944328702</v>
      </c>
      <c r="D1411" s="1">
        <v>45216</v>
      </c>
      <c r="E1411" t="s">
        <v>114</v>
      </c>
      <c r="F1411" t="s">
        <v>8427</v>
      </c>
      <c r="G1411" t="str">
        <f>"37-3011.00"</f>
        <v>37-3011.00</v>
      </c>
      <c r="H1411" t="s">
        <v>429</v>
      </c>
      <c r="I1411">
        <v>55</v>
      </c>
      <c r="J1411">
        <v>55</v>
      </c>
      <c r="K1411" s="1">
        <v>45244</v>
      </c>
      <c r="L1411" s="1">
        <v>45472</v>
      </c>
      <c r="M1411" s="1">
        <v>45244</v>
      </c>
      <c r="N1411" s="1">
        <v>45472</v>
      </c>
      <c r="O1411" t="s">
        <v>238</v>
      </c>
      <c r="P1411" t="s">
        <v>23796</v>
      </c>
      <c r="R1411" t="s">
        <v>23797</v>
      </c>
      <c r="S1411" t="s">
        <v>23798</v>
      </c>
      <c r="T1411" t="s">
        <v>8431</v>
      </c>
      <c r="U1411" t="s">
        <v>140</v>
      </c>
      <c r="V1411" s="8" t="str">
        <f>"33880"</f>
        <v>33880</v>
      </c>
      <c r="W1411" t="s">
        <v>118</v>
      </c>
      <c r="Y1411" s="10">
        <v>18632241620</v>
      </c>
      <c r="AA1411">
        <v>56173</v>
      </c>
      <c r="AB1411" t="s">
        <v>3450</v>
      </c>
      <c r="AC1411" t="s">
        <v>3674</v>
      </c>
      <c r="AE1411" t="s">
        <v>987</v>
      </c>
      <c r="AF1411" t="s">
        <v>23797</v>
      </c>
      <c r="AG1411" t="s">
        <v>23798</v>
      </c>
      <c r="AH1411" t="s">
        <v>8431</v>
      </c>
      <c r="AI1411" t="s">
        <v>140</v>
      </c>
      <c r="AJ1411" s="8" t="str">
        <f>"33880"</f>
        <v>33880</v>
      </c>
      <c r="AK1411" t="s">
        <v>118</v>
      </c>
      <c r="AM1411" s="10">
        <v>18632241620</v>
      </c>
      <c r="AO1411" t="s">
        <v>132</v>
      </c>
      <c r="AP1411" t="s">
        <v>248</v>
      </c>
      <c r="AQ1411" t="s">
        <v>18579</v>
      </c>
      <c r="AR1411" t="s">
        <v>1945</v>
      </c>
      <c r="AT1411" t="s">
        <v>579</v>
      </c>
      <c r="AV1411" t="s">
        <v>580</v>
      </c>
      <c r="AW1411" t="s">
        <v>581</v>
      </c>
      <c r="AX1411" s="8" t="str">
        <f>"22903"</f>
        <v>22903</v>
      </c>
      <c r="AY1411" t="s">
        <v>118</v>
      </c>
      <c r="BA1411" s="10">
        <v>14342634300</v>
      </c>
      <c r="BC1411" t="s">
        <v>1874</v>
      </c>
      <c r="BD1411" t="s">
        <v>583</v>
      </c>
      <c r="BG1411" t="s">
        <v>140</v>
      </c>
      <c r="BH1411" s="1">
        <v>45153.833333333336</v>
      </c>
      <c r="BI1411">
        <v>40</v>
      </c>
      <c r="BJ1411">
        <v>0</v>
      </c>
      <c r="BK1411">
        <v>10</v>
      </c>
      <c r="BL1411">
        <v>10</v>
      </c>
      <c r="BM1411">
        <v>10</v>
      </c>
      <c r="BN1411">
        <v>10</v>
      </c>
      <c r="BO1411">
        <v>0</v>
      </c>
      <c r="BP1411">
        <v>0</v>
      </c>
      <c r="BQ1411" t="str">
        <f>"7:00 AM"</f>
        <v>7:00 AM</v>
      </c>
      <c r="BR1411" t="str">
        <f>"5:30 PM"</f>
        <v>5:30 PM</v>
      </c>
      <c r="BS1411" t="s">
        <v>131</v>
      </c>
      <c r="BT1411">
        <v>0</v>
      </c>
      <c r="BU1411">
        <v>0</v>
      </c>
      <c r="BV1411" t="s">
        <v>114</v>
      </c>
      <c r="BX1411" s="2" t="s">
        <v>23799</v>
      </c>
      <c r="BY1411" t="s">
        <v>23800</v>
      </c>
      <c r="CA1411" t="s">
        <v>23801</v>
      </c>
      <c r="CB1411" t="s">
        <v>140</v>
      </c>
      <c r="CC1411" s="8" t="str">
        <f>"33076"</f>
        <v>33076</v>
      </c>
      <c r="CD1411" t="s">
        <v>287</v>
      </c>
      <c r="CE1411" t="s">
        <v>149</v>
      </c>
      <c r="CF1411" s="12">
        <v>15.67</v>
      </c>
      <c r="CG1411" s="12">
        <v>15.67</v>
      </c>
      <c r="CH1411" s="12">
        <v>23.51</v>
      </c>
      <c r="CI1411" s="12">
        <v>23.51</v>
      </c>
      <c r="CJ1411" t="s">
        <v>135</v>
      </c>
      <c r="CK1411" t="s">
        <v>590</v>
      </c>
      <c r="CL1411" t="s">
        <v>23802</v>
      </c>
      <c r="CO1411" t="s">
        <v>132</v>
      </c>
      <c r="CP1411" t="s">
        <v>136</v>
      </c>
      <c r="CQ1411" t="s">
        <v>136</v>
      </c>
      <c r="CR1411" t="s">
        <v>136</v>
      </c>
      <c r="CS1411" t="s">
        <v>136</v>
      </c>
      <c r="CT1411" t="s">
        <v>136</v>
      </c>
      <c r="CU1411" t="s">
        <v>136</v>
      </c>
      <c r="CV1411" t="s">
        <v>23803</v>
      </c>
      <c r="CW1411" s="10" t="str">
        <f>"N/A"</f>
        <v>N/A</v>
      </c>
      <c r="CX1411" t="s">
        <v>23804</v>
      </c>
      <c r="CY1411" t="s">
        <v>1876</v>
      </c>
      <c r="CZ1411" t="s">
        <v>137</v>
      </c>
      <c r="DA1411" t="s">
        <v>114</v>
      </c>
      <c r="DB1411" t="s">
        <v>136</v>
      </c>
      <c r="DC1411" t="s">
        <v>136</v>
      </c>
      <c r="DD1411" t="s">
        <v>114</v>
      </c>
      <c r="DE1411" t="s">
        <v>1877</v>
      </c>
      <c r="DF1411" t="s">
        <v>1069</v>
      </c>
      <c r="DH1411" t="s">
        <v>583</v>
      </c>
      <c r="DI1411" t="s">
        <v>1874</v>
      </c>
    </row>
    <row r="1412" spans="1:113" ht="15" customHeight="1" x14ac:dyDescent="0.25">
      <c r="A1412" t="s">
        <v>14012</v>
      </c>
      <c r="B1412" t="s">
        <v>152</v>
      </c>
      <c r="C1412" s="1">
        <v>45153.799385416663</v>
      </c>
      <c r="D1412" s="1">
        <v>45216</v>
      </c>
      <c r="E1412" t="s">
        <v>114</v>
      </c>
      <c r="F1412" t="s">
        <v>5950</v>
      </c>
      <c r="G1412" t="str">
        <f>"37-3011.00"</f>
        <v>37-3011.00</v>
      </c>
      <c r="H1412" t="s">
        <v>429</v>
      </c>
      <c r="I1412">
        <v>115</v>
      </c>
      <c r="J1412">
        <v>115</v>
      </c>
      <c r="K1412" s="1">
        <v>45231</v>
      </c>
      <c r="L1412" s="1">
        <v>45501</v>
      </c>
      <c r="M1412" s="1">
        <v>45231</v>
      </c>
      <c r="N1412" s="1">
        <v>45501</v>
      </c>
      <c r="O1412" t="s">
        <v>238</v>
      </c>
      <c r="P1412" t="s">
        <v>14013</v>
      </c>
      <c r="R1412" t="s">
        <v>14014</v>
      </c>
      <c r="T1412" t="s">
        <v>5951</v>
      </c>
      <c r="U1412" t="s">
        <v>402</v>
      </c>
      <c r="V1412" s="8" t="str">
        <f>"95470"</f>
        <v>95470</v>
      </c>
      <c r="W1412" t="s">
        <v>118</v>
      </c>
      <c r="Y1412" s="10">
        <v>17074892248</v>
      </c>
      <c r="AA1412">
        <v>115310</v>
      </c>
      <c r="AB1412" t="s">
        <v>14015</v>
      </c>
      <c r="AC1412" t="s">
        <v>1474</v>
      </c>
      <c r="AE1412" t="s">
        <v>3519</v>
      </c>
      <c r="AF1412" t="s">
        <v>14014</v>
      </c>
      <c r="AH1412" t="s">
        <v>5951</v>
      </c>
      <c r="AI1412" t="s">
        <v>402</v>
      </c>
      <c r="AJ1412" s="8" t="str">
        <f>"95470"</f>
        <v>95470</v>
      </c>
      <c r="AK1412" t="s">
        <v>118</v>
      </c>
      <c r="AM1412" s="10">
        <v>15416218327</v>
      </c>
      <c r="AO1412" t="s">
        <v>14016</v>
      </c>
      <c r="AP1412" t="s">
        <v>248</v>
      </c>
      <c r="AQ1412" t="s">
        <v>5378</v>
      </c>
      <c r="AR1412" t="s">
        <v>5379</v>
      </c>
      <c r="AT1412" t="s">
        <v>5380</v>
      </c>
      <c r="AV1412" t="s">
        <v>2539</v>
      </c>
      <c r="AW1412" t="s">
        <v>854</v>
      </c>
      <c r="AX1412" s="8" t="str">
        <f>"83815"</f>
        <v>83815</v>
      </c>
      <c r="AY1412" t="s">
        <v>118</v>
      </c>
      <c r="BA1412" s="10">
        <v>12089303246</v>
      </c>
      <c r="BC1412" t="s">
        <v>2549</v>
      </c>
      <c r="BD1412" t="s">
        <v>3122</v>
      </c>
      <c r="BG1412" t="s">
        <v>402</v>
      </c>
      <c r="BH1412" s="1">
        <v>45152.833333333336</v>
      </c>
      <c r="BI1412">
        <v>35</v>
      </c>
      <c r="BJ1412">
        <v>0</v>
      </c>
      <c r="BK1412">
        <v>7</v>
      </c>
      <c r="BL1412">
        <v>7</v>
      </c>
      <c r="BM1412">
        <v>7</v>
      </c>
      <c r="BN1412">
        <v>7</v>
      </c>
      <c r="BO1412">
        <v>7</v>
      </c>
      <c r="BP1412">
        <v>0</v>
      </c>
      <c r="BQ1412" t="str">
        <f>"7:00 AM"</f>
        <v>7:00 AM</v>
      </c>
      <c r="BR1412" t="str">
        <f>"4:00 PM"</f>
        <v>4:00 PM</v>
      </c>
      <c r="BS1412" t="s">
        <v>131</v>
      </c>
      <c r="BT1412">
        <v>0</v>
      </c>
      <c r="BU1412">
        <v>0</v>
      </c>
      <c r="BV1412" t="s">
        <v>114</v>
      </c>
      <c r="BX1412" s="2" t="s">
        <v>14017</v>
      </c>
      <c r="BY1412" t="s">
        <v>14014</v>
      </c>
      <c r="CA1412" t="s">
        <v>5951</v>
      </c>
      <c r="CB1412" t="s">
        <v>402</v>
      </c>
      <c r="CC1412" s="8" t="str">
        <f>"95470"</f>
        <v>95470</v>
      </c>
      <c r="CD1412" t="s">
        <v>5952</v>
      </c>
      <c r="CE1412" t="s">
        <v>5953</v>
      </c>
      <c r="CF1412" s="12">
        <v>18.68</v>
      </c>
      <c r="CG1412" s="12">
        <v>21.42</v>
      </c>
      <c r="CH1412" s="12">
        <v>28.02</v>
      </c>
      <c r="CI1412" s="12">
        <v>32.130000000000003</v>
      </c>
      <c r="CJ1412" t="s">
        <v>135</v>
      </c>
      <c r="CK1412" t="s">
        <v>2554</v>
      </c>
      <c r="CL1412" t="s">
        <v>14018</v>
      </c>
      <c r="CO1412" t="s">
        <v>132</v>
      </c>
      <c r="CP1412" t="s">
        <v>136</v>
      </c>
      <c r="CQ1412" t="s">
        <v>136</v>
      </c>
      <c r="CR1412" t="s">
        <v>136</v>
      </c>
      <c r="CS1412" t="s">
        <v>136</v>
      </c>
      <c r="CT1412" t="s">
        <v>136</v>
      </c>
      <c r="CU1412" t="s">
        <v>114</v>
      </c>
      <c r="CV1412" t="s">
        <v>10586</v>
      </c>
      <c r="CW1412" s="10" t="str">
        <f>"+15416218327"</f>
        <v>+15416218327</v>
      </c>
      <c r="CX1412" t="s">
        <v>14016</v>
      </c>
      <c r="CY1412" t="s">
        <v>132</v>
      </c>
      <c r="CZ1412" t="s">
        <v>137</v>
      </c>
      <c r="DA1412" t="s">
        <v>114</v>
      </c>
      <c r="DB1412" t="s">
        <v>114</v>
      </c>
      <c r="DC1412" t="s">
        <v>136</v>
      </c>
      <c r="DD1412" t="s">
        <v>114</v>
      </c>
    </row>
    <row r="1413" spans="1:113" ht="15" customHeight="1" x14ac:dyDescent="0.25">
      <c r="A1413" t="s">
        <v>20493</v>
      </c>
      <c r="B1413" t="s">
        <v>152</v>
      </c>
      <c r="C1413" s="1">
        <v>45153.688154976851</v>
      </c>
      <c r="D1413" s="1">
        <v>45216</v>
      </c>
      <c r="E1413" t="s">
        <v>114</v>
      </c>
      <c r="F1413" t="s">
        <v>2738</v>
      </c>
      <c r="G1413" t="str">
        <f>"37-3011.00"</f>
        <v>37-3011.00</v>
      </c>
      <c r="H1413" t="s">
        <v>429</v>
      </c>
      <c r="I1413">
        <v>6</v>
      </c>
      <c r="J1413">
        <v>6</v>
      </c>
      <c r="K1413" s="1">
        <v>45230</v>
      </c>
      <c r="L1413" s="1">
        <v>45275</v>
      </c>
      <c r="M1413" s="1">
        <v>45230</v>
      </c>
      <c r="N1413" s="1">
        <v>45275</v>
      </c>
      <c r="O1413" t="s">
        <v>238</v>
      </c>
      <c r="P1413" t="s">
        <v>9511</v>
      </c>
      <c r="Q1413" t="s">
        <v>9512</v>
      </c>
      <c r="R1413" t="s">
        <v>9513</v>
      </c>
      <c r="T1413" t="s">
        <v>859</v>
      </c>
      <c r="U1413" t="s">
        <v>386</v>
      </c>
      <c r="V1413" s="8" t="str">
        <f>"38305"</f>
        <v>38305</v>
      </c>
      <c r="W1413" t="s">
        <v>118</v>
      </c>
      <c r="Y1413" s="10">
        <v>17312340823</v>
      </c>
      <c r="AA1413">
        <v>56173</v>
      </c>
      <c r="AB1413" t="s">
        <v>6275</v>
      </c>
      <c r="AC1413" t="s">
        <v>9514</v>
      </c>
      <c r="AE1413" t="s">
        <v>438</v>
      </c>
      <c r="AF1413" t="s">
        <v>9515</v>
      </c>
      <c r="AH1413" t="s">
        <v>859</v>
      </c>
      <c r="AI1413" t="s">
        <v>386</v>
      </c>
      <c r="AJ1413" s="8" t="str">
        <f>"38305"</f>
        <v>38305</v>
      </c>
      <c r="AK1413" t="s">
        <v>118</v>
      </c>
      <c r="AM1413" s="10">
        <v>17312340823</v>
      </c>
      <c r="AO1413" t="s">
        <v>9516</v>
      </c>
      <c r="AP1413" t="s">
        <v>121</v>
      </c>
      <c r="AQ1413" t="s">
        <v>2173</v>
      </c>
      <c r="AR1413" t="s">
        <v>2174</v>
      </c>
      <c r="AS1413" t="s">
        <v>1829</v>
      </c>
      <c r="AT1413" t="s">
        <v>2175</v>
      </c>
      <c r="AV1413" t="s">
        <v>2176</v>
      </c>
      <c r="AW1413" t="s">
        <v>386</v>
      </c>
      <c r="AX1413" s="8" t="str">
        <f>"37110"</f>
        <v>37110</v>
      </c>
      <c r="AY1413" t="s">
        <v>118</v>
      </c>
      <c r="BA1413" s="10">
        <v>19312747811</v>
      </c>
      <c r="BC1413" t="s">
        <v>2177</v>
      </c>
      <c r="BD1413" t="s">
        <v>2178</v>
      </c>
      <c r="BE1413" t="s">
        <v>386</v>
      </c>
      <c r="BF1413" t="s">
        <v>2179</v>
      </c>
      <c r="BG1413" t="s">
        <v>386</v>
      </c>
      <c r="BH1413" s="1">
        <v>45152.833333333336</v>
      </c>
      <c r="BI1413">
        <v>40</v>
      </c>
      <c r="BJ1413">
        <v>0</v>
      </c>
      <c r="BK1413">
        <v>8</v>
      </c>
      <c r="BL1413">
        <v>8</v>
      </c>
      <c r="BM1413">
        <v>8</v>
      </c>
      <c r="BN1413">
        <v>8</v>
      </c>
      <c r="BO1413">
        <v>8</v>
      </c>
      <c r="BP1413">
        <v>0</v>
      </c>
      <c r="BQ1413" t="str">
        <f>"7:00 AM"</f>
        <v>7:00 AM</v>
      </c>
      <c r="BR1413" t="str">
        <f>"4:00 PM"</f>
        <v>4:00 PM</v>
      </c>
      <c r="BS1413" t="s">
        <v>131</v>
      </c>
      <c r="BT1413">
        <v>0</v>
      </c>
      <c r="BU1413">
        <v>3</v>
      </c>
      <c r="BV1413" t="s">
        <v>114</v>
      </c>
      <c r="BX1413" s="2" t="s">
        <v>20494</v>
      </c>
      <c r="BY1413" t="s">
        <v>9513</v>
      </c>
      <c r="CA1413" t="s">
        <v>859</v>
      </c>
      <c r="CB1413" t="s">
        <v>386</v>
      </c>
      <c r="CC1413" s="8" t="str">
        <f>"38305"</f>
        <v>38305</v>
      </c>
      <c r="CD1413" t="s">
        <v>908</v>
      </c>
      <c r="CE1413" t="s">
        <v>2180</v>
      </c>
      <c r="CF1413" s="12">
        <v>15.16</v>
      </c>
      <c r="CH1413" s="12">
        <v>22.74</v>
      </c>
      <c r="CJ1413" t="s">
        <v>135</v>
      </c>
      <c r="CK1413" t="s">
        <v>2181</v>
      </c>
      <c r="CL1413" t="s">
        <v>9517</v>
      </c>
      <c r="CO1413" t="s">
        <v>132</v>
      </c>
      <c r="CP1413" t="s">
        <v>136</v>
      </c>
      <c r="CQ1413" t="s">
        <v>136</v>
      </c>
      <c r="CR1413" t="s">
        <v>136</v>
      </c>
      <c r="CS1413" t="s">
        <v>114</v>
      </c>
      <c r="CT1413" t="s">
        <v>136</v>
      </c>
      <c r="CU1413" t="s">
        <v>114</v>
      </c>
      <c r="CV1413" t="s">
        <v>132</v>
      </c>
      <c r="CW1413" s="10" t="str">
        <f>"+17317361515"</f>
        <v>+17317361515</v>
      </c>
      <c r="CX1413" t="s">
        <v>9516</v>
      </c>
      <c r="CY1413" t="s">
        <v>132</v>
      </c>
      <c r="CZ1413" t="s">
        <v>137</v>
      </c>
      <c r="DA1413" t="s">
        <v>114</v>
      </c>
      <c r="DB1413" t="s">
        <v>114</v>
      </c>
      <c r="DC1413" t="s">
        <v>136</v>
      </c>
      <c r="DD1413" t="s">
        <v>114</v>
      </c>
    </row>
    <row r="1414" spans="1:113" ht="15" customHeight="1" x14ac:dyDescent="0.25">
      <c r="A1414" t="s">
        <v>23298</v>
      </c>
      <c r="B1414" t="s">
        <v>152</v>
      </c>
      <c r="C1414" s="1">
        <v>45150.648041435183</v>
      </c>
      <c r="D1414" s="1">
        <v>45216</v>
      </c>
      <c r="E1414" t="s">
        <v>114</v>
      </c>
      <c r="F1414" t="s">
        <v>2866</v>
      </c>
      <c r="G1414" t="str">
        <f>"35-9021.00"</f>
        <v>35-9021.00</v>
      </c>
      <c r="H1414" t="s">
        <v>501</v>
      </c>
      <c r="I1414">
        <v>1</v>
      </c>
      <c r="J1414">
        <v>1</v>
      </c>
      <c r="K1414" s="1">
        <v>45231</v>
      </c>
      <c r="L1414" s="1">
        <v>45535</v>
      </c>
      <c r="M1414" s="1">
        <v>45231</v>
      </c>
      <c r="N1414" s="1">
        <v>45535</v>
      </c>
      <c r="O1414" t="s">
        <v>116</v>
      </c>
      <c r="P1414" t="s">
        <v>2041</v>
      </c>
      <c r="R1414" t="s">
        <v>954</v>
      </c>
      <c r="T1414" t="s">
        <v>955</v>
      </c>
      <c r="U1414" t="s">
        <v>140</v>
      </c>
      <c r="V1414" s="8" t="str">
        <f>"32819"</f>
        <v>32819</v>
      </c>
      <c r="W1414" t="s">
        <v>118</v>
      </c>
      <c r="Y1414" s="10">
        <v>17755883553</v>
      </c>
      <c r="AA1414">
        <v>72111</v>
      </c>
      <c r="AB1414" t="s">
        <v>956</v>
      </c>
      <c r="AC1414" t="s">
        <v>957</v>
      </c>
      <c r="AE1414" t="s">
        <v>15617</v>
      </c>
      <c r="AF1414" t="s">
        <v>954</v>
      </c>
      <c r="AH1414" t="s">
        <v>955</v>
      </c>
      <c r="AI1414" t="s">
        <v>140</v>
      </c>
      <c r="AJ1414" s="8" t="str">
        <f>"32819"</f>
        <v>32819</v>
      </c>
      <c r="AK1414" t="s">
        <v>118</v>
      </c>
      <c r="AM1414" s="10">
        <v>14073956456</v>
      </c>
      <c r="AO1414" t="s">
        <v>959</v>
      </c>
      <c r="AP1414" t="s">
        <v>248</v>
      </c>
      <c r="AQ1414" t="s">
        <v>960</v>
      </c>
      <c r="AR1414" t="s">
        <v>961</v>
      </c>
      <c r="AS1414" t="s">
        <v>962</v>
      </c>
      <c r="AT1414" t="s">
        <v>963</v>
      </c>
      <c r="AU1414" t="s">
        <v>296</v>
      </c>
      <c r="AV1414" t="s">
        <v>964</v>
      </c>
      <c r="AW1414" t="s">
        <v>127</v>
      </c>
      <c r="AX1414" s="8" t="str">
        <f>"75033"</f>
        <v>75033</v>
      </c>
      <c r="AY1414" t="s">
        <v>118</v>
      </c>
      <c r="BA1414" s="10">
        <v>19727789690</v>
      </c>
      <c r="BC1414" t="s">
        <v>965</v>
      </c>
      <c r="BD1414" t="s">
        <v>966</v>
      </c>
      <c r="BG1414" t="s">
        <v>967</v>
      </c>
      <c r="BH1414" s="1">
        <v>45149.833333333336</v>
      </c>
      <c r="BI1414">
        <v>40</v>
      </c>
      <c r="BJ1414">
        <v>8</v>
      </c>
      <c r="BK1414">
        <v>0</v>
      </c>
      <c r="BL1414">
        <v>8</v>
      </c>
      <c r="BM1414">
        <v>8</v>
      </c>
      <c r="BN1414">
        <v>0</v>
      </c>
      <c r="BO1414">
        <v>8</v>
      </c>
      <c r="BP1414">
        <v>8</v>
      </c>
      <c r="BQ1414" t="str">
        <f>"7:00 AM"</f>
        <v>7:00 AM</v>
      </c>
      <c r="BR1414" t="str">
        <f>"3:30 PM"</f>
        <v>3:30 PM</v>
      </c>
      <c r="BS1414" t="s">
        <v>131</v>
      </c>
      <c r="BT1414">
        <v>0</v>
      </c>
      <c r="BU1414">
        <v>0</v>
      </c>
      <c r="BV1414" t="s">
        <v>114</v>
      </c>
      <c r="BX1414" s="2" t="s">
        <v>23299</v>
      </c>
      <c r="BY1414" t="s">
        <v>969</v>
      </c>
      <c r="CA1414" t="s">
        <v>970</v>
      </c>
      <c r="CB1414" t="s">
        <v>967</v>
      </c>
      <c r="CC1414" s="8" t="str">
        <f>"89449"</f>
        <v>89449</v>
      </c>
      <c r="CD1414" t="s">
        <v>971</v>
      </c>
      <c r="CE1414" t="s">
        <v>972</v>
      </c>
      <c r="CF1414" s="12">
        <v>15.5</v>
      </c>
      <c r="CG1414" s="12">
        <v>15.5</v>
      </c>
      <c r="CH1414" s="12">
        <v>23.25</v>
      </c>
      <c r="CI1414" s="12">
        <v>23.25</v>
      </c>
      <c r="CJ1414" t="s">
        <v>135</v>
      </c>
      <c r="CK1414" t="s">
        <v>973</v>
      </c>
      <c r="CL1414" t="s">
        <v>23300</v>
      </c>
      <c r="CO1414" t="s">
        <v>132</v>
      </c>
      <c r="CP1414" t="s">
        <v>136</v>
      </c>
      <c r="CQ1414" t="s">
        <v>114</v>
      </c>
      <c r="CR1414" t="s">
        <v>136</v>
      </c>
      <c r="CS1414" t="s">
        <v>136</v>
      </c>
      <c r="CT1414" t="s">
        <v>136</v>
      </c>
      <c r="CU1414" t="s">
        <v>136</v>
      </c>
      <c r="CV1414" t="s">
        <v>23301</v>
      </c>
      <c r="CW1414" s="10" t="str">
        <f>"+17755883553"</f>
        <v>+17755883553</v>
      </c>
      <c r="CX1414" t="s">
        <v>132</v>
      </c>
      <c r="CY1414" t="s">
        <v>16998</v>
      </c>
      <c r="CZ1414" t="s">
        <v>137</v>
      </c>
      <c r="DA1414" t="s">
        <v>114</v>
      </c>
      <c r="DB1414" t="s">
        <v>114</v>
      </c>
      <c r="DC1414" t="s">
        <v>136</v>
      </c>
      <c r="DD1414" t="s">
        <v>114</v>
      </c>
    </row>
    <row r="1415" spans="1:113" ht="15" customHeight="1" x14ac:dyDescent="0.25">
      <c r="A1415" t="s">
        <v>16993</v>
      </c>
      <c r="B1415" t="s">
        <v>152</v>
      </c>
      <c r="C1415" s="1">
        <v>45150.592794791664</v>
      </c>
      <c r="D1415" s="1">
        <v>45216</v>
      </c>
      <c r="E1415" t="s">
        <v>114</v>
      </c>
      <c r="F1415" t="s">
        <v>16994</v>
      </c>
      <c r="G1415" t="str">
        <f>"35-3031.00"</f>
        <v>35-3031.00</v>
      </c>
      <c r="H1415" t="s">
        <v>347</v>
      </c>
      <c r="I1415">
        <v>3</v>
      </c>
      <c r="J1415">
        <v>3</v>
      </c>
      <c r="K1415" s="1">
        <v>45231</v>
      </c>
      <c r="L1415" s="1">
        <v>45535</v>
      </c>
      <c r="M1415" s="1">
        <v>45231</v>
      </c>
      <c r="N1415" s="1">
        <v>45535</v>
      </c>
      <c r="O1415" t="s">
        <v>116</v>
      </c>
      <c r="P1415" t="s">
        <v>2041</v>
      </c>
      <c r="R1415" t="s">
        <v>954</v>
      </c>
      <c r="T1415" t="s">
        <v>955</v>
      </c>
      <c r="U1415" t="s">
        <v>140</v>
      </c>
      <c r="V1415" s="8" t="str">
        <f>"32819"</f>
        <v>32819</v>
      </c>
      <c r="W1415" t="s">
        <v>118</v>
      </c>
      <c r="Y1415" s="10">
        <v>17755883553</v>
      </c>
      <c r="AA1415">
        <v>72111</v>
      </c>
      <c r="AB1415" t="s">
        <v>956</v>
      </c>
      <c r="AC1415" t="s">
        <v>957</v>
      </c>
      <c r="AE1415" t="s">
        <v>15617</v>
      </c>
      <c r="AF1415" t="s">
        <v>954</v>
      </c>
      <c r="AH1415" t="s">
        <v>955</v>
      </c>
      <c r="AI1415" t="s">
        <v>140</v>
      </c>
      <c r="AJ1415" s="8" t="str">
        <f>"32819"</f>
        <v>32819</v>
      </c>
      <c r="AK1415" t="s">
        <v>118</v>
      </c>
      <c r="AM1415" s="10">
        <v>14073956456</v>
      </c>
      <c r="AO1415" t="s">
        <v>959</v>
      </c>
      <c r="AP1415" t="s">
        <v>248</v>
      </c>
      <c r="AQ1415" t="s">
        <v>960</v>
      </c>
      <c r="AR1415" t="s">
        <v>961</v>
      </c>
      <c r="AS1415" t="s">
        <v>962</v>
      </c>
      <c r="AT1415" t="s">
        <v>963</v>
      </c>
      <c r="AU1415" t="s">
        <v>296</v>
      </c>
      <c r="AV1415" t="s">
        <v>964</v>
      </c>
      <c r="AW1415" t="s">
        <v>127</v>
      </c>
      <c r="AX1415" s="8" t="str">
        <f>"75033"</f>
        <v>75033</v>
      </c>
      <c r="AY1415" t="s">
        <v>118</v>
      </c>
      <c r="BA1415" s="10">
        <v>19727789690</v>
      </c>
      <c r="BC1415" t="s">
        <v>965</v>
      </c>
      <c r="BD1415" t="s">
        <v>966</v>
      </c>
      <c r="BG1415" t="s">
        <v>967</v>
      </c>
      <c r="BH1415" s="1">
        <v>45149.833333333336</v>
      </c>
      <c r="BI1415">
        <v>40</v>
      </c>
      <c r="BJ1415">
        <v>8</v>
      </c>
      <c r="BK1415">
        <v>0</v>
      </c>
      <c r="BL1415">
        <v>8</v>
      </c>
      <c r="BM1415">
        <v>8</v>
      </c>
      <c r="BN1415">
        <v>0</v>
      </c>
      <c r="BO1415">
        <v>8</v>
      </c>
      <c r="BP1415">
        <v>8</v>
      </c>
      <c r="BQ1415" t="str">
        <f>"7:00 AM"</f>
        <v>7:00 AM</v>
      </c>
      <c r="BR1415" t="str">
        <f>"3:30 PM"</f>
        <v>3:30 PM</v>
      </c>
      <c r="BS1415" t="s">
        <v>131</v>
      </c>
      <c r="BT1415">
        <v>0</v>
      </c>
      <c r="BU1415">
        <v>0</v>
      </c>
      <c r="BV1415" t="s">
        <v>114</v>
      </c>
      <c r="BX1415" s="2" t="s">
        <v>16995</v>
      </c>
      <c r="BY1415" t="s">
        <v>969</v>
      </c>
      <c r="CA1415" t="s">
        <v>970</v>
      </c>
      <c r="CB1415" t="s">
        <v>967</v>
      </c>
      <c r="CC1415" s="8" t="str">
        <f>"89449"</f>
        <v>89449</v>
      </c>
      <c r="CD1415" t="s">
        <v>971</v>
      </c>
      <c r="CE1415" t="s">
        <v>972</v>
      </c>
      <c r="CF1415" s="12">
        <v>12</v>
      </c>
      <c r="CG1415" s="12">
        <v>12</v>
      </c>
      <c r="CH1415" s="12">
        <v>18</v>
      </c>
      <c r="CI1415" s="12">
        <v>18</v>
      </c>
      <c r="CJ1415" t="s">
        <v>135</v>
      </c>
      <c r="CK1415" t="s">
        <v>973</v>
      </c>
      <c r="CL1415" t="s">
        <v>16996</v>
      </c>
      <c r="CO1415" t="s">
        <v>132</v>
      </c>
      <c r="CP1415" t="s">
        <v>136</v>
      </c>
      <c r="CQ1415" t="s">
        <v>114</v>
      </c>
      <c r="CR1415" t="s">
        <v>136</v>
      </c>
      <c r="CS1415" t="s">
        <v>136</v>
      </c>
      <c r="CT1415" t="s">
        <v>136</v>
      </c>
      <c r="CU1415" t="s">
        <v>136</v>
      </c>
      <c r="CV1415" s="2" t="s">
        <v>16997</v>
      </c>
      <c r="CW1415" s="10" t="str">
        <f>"+17755883553"</f>
        <v>+17755883553</v>
      </c>
      <c r="CX1415" t="s">
        <v>132</v>
      </c>
      <c r="CY1415" t="s">
        <v>16998</v>
      </c>
      <c r="CZ1415" t="s">
        <v>137</v>
      </c>
      <c r="DA1415" t="s">
        <v>114</v>
      </c>
      <c r="DB1415" t="s">
        <v>114</v>
      </c>
      <c r="DC1415" t="s">
        <v>136</v>
      </c>
      <c r="DD1415" t="s">
        <v>114</v>
      </c>
    </row>
    <row r="1416" spans="1:113" ht="15" customHeight="1" x14ac:dyDescent="0.25">
      <c r="A1416" t="s">
        <v>3862</v>
      </c>
      <c r="B1416" t="s">
        <v>152</v>
      </c>
      <c r="C1416" s="1">
        <v>45148.424232523146</v>
      </c>
      <c r="D1416" s="1">
        <v>45216</v>
      </c>
      <c r="E1416" t="s">
        <v>114</v>
      </c>
      <c r="F1416" t="s">
        <v>700</v>
      </c>
      <c r="G1416" t="str">
        <f>"49-9099.00"</f>
        <v>49-9099.00</v>
      </c>
      <c r="H1416" t="s">
        <v>3863</v>
      </c>
      <c r="I1416">
        <v>18</v>
      </c>
      <c r="J1416">
        <v>18</v>
      </c>
      <c r="K1416" s="1">
        <v>45237</v>
      </c>
      <c r="L1416" s="1">
        <v>45396</v>
      </c>
      <c r="M1416" s="1">
        <v>45237</v>
      </c>
      <c r="N1416" s="1">
        <v>45396</v>
      </c>
      <c r="O1416" t="s">
        <v>238</v>
      </c>
      <c r="P1416" t="s">
        <v>3864</v>
      </c>
      <c r="R1416" t="s">
        <v>3865</v>
      </c>
      <c r="T1416" t="s">
        <v>3866</v>
      </c>
      <c r="U1416" t="s">
        <v>434</v>
      </c>
      <c r="V1416" s="8" t="str">
        <f>"19054"</f>
        <v>19054</v>
      </c>
      <c r="W1416" t="s">
        <v>118</v>
      </c>
      <c r="Y1416" s="10">
        <v>1215991104</v>
      </c>
      <c r="AA1416">
        <v>561730</v>
      </c>
      <c r="AB1416" t="s">
        <v>3867</v>
      </c>
      <c r="AC1416" t="s">
        <v>3868</v>
      </c>
      <c r="AD1416" t="s">
        <v>1738</v>
      </c>
      <c r="AE1416" t="s">
        <v>561</v>
      </c>
      <c r="AF1416" t="s">
        <v>3865</v>
      </c>
      <c r="AH1416" t="s">
        <v>3866</v>
      </c>
      <c r="AI1416" t="s">
        <v>434</v>
      </c>
      <c r="AJ1416" s="8" t="str">
        <f>"19054"</f>
        <v>19054</v>
      </c>
      <c r="AK1416" t="s">
        <v>118</v>
      </c>
      <c r="AM1416" s="10">
        <v>12159491104</v>
      </c>
      <c r="AO1416" t="s">
        <v>132</v>
      </c>
      <c r="AP1416" t="s">
        <v>121</v>
      </c>
      <c r="AQ1416" t="s">
        <v>1172</v>
      </c>
      <c r="AR1416" t="s">
        <v>1173</v>
      </c>
      <c r="AS1416" t="s">
        <v>708</v>
      </c>
      <c r="AT1416" t="s">
        <v>3620</v>
      </c>
      <c r="AV1416" t="s">
        <v>603</v>
      </c>
      <c r="AW1416" t="s">
        <v>127</v>
      </c>
      <c r="AX1416" s="8" t="str">
        <f>"78705"</f>
        <v>78705</v>
      </c>
      <c r="AY1416" t="s">
        <v>118</v>
      </c>
      <c r="BA1416" s="10">
        <v>15123470007</v>
      </c>
      <c r="BC1416" t="s">
        <v>3621</v>
      </c>
      <c r="BD1416" t="s">
        <v>3869</v>
      </c>
      <c r="BE1416" t="s">
        <v>127</v>
      </c>
      <c r="BF1416" t="s">
        <v>750</v>
      </c>
      <c r="BG1416" t="s">
        <v>434</v>
      </c>
      <c r="BH1416" s="1">
        <v>45138.833333333336</v>
      </c>
      <c r="BI1416">
        <v>40</v>
      </c>
      <c r="BJ1416">
        <v>0</v>
      </c>
      <c r="BK1416">
        <v>8</v>
      </c>
      <c r="BL1416">
        <v>8</v>
      </c>
      <c r="BM1416">
        <v>8</v>
      </c>
      <c r="BN1416">
        <v>8</v>
      </c>
      <c r="BO1416">
        <v>8</v>
      </c>
      <c r="BP1416">
        <v>0</v>
      </c>
      <c r="BQ1416" t="str">
        <f>"8:00 AM"</f>
        <v>8:00 AM</v>
      </c>
      <c r="BR1416" t="str">
        <f>"5:00 PM"</f>
        <v>5:00 PM</v>
      </c>
      <c r="BS1416" t="s">
        <v>131</v>
      </c>
      <c r="BT1416">
        <v>0</v>
      </c>
      <c r="BU1416">
        <v>0</v>
      </c>
      <c r="BV1416" t="s">
        <v>114</v>
      </c>
      <c r="BX1416" t="s">
        <v>132</v>
      </c>
      <c r="BY1416" t="s">
        <v>3870</v>
      </c>
      <c r="CA1416" t="s">
        <v>3866</v>
      </c>
      <c r="CB1416" t="s">
        <v>434</v>
      </c>
      <c r="CC1416" s="8" t="str">
        <f>"19057"</f>
        <v>19057</v>
      </c>
      <c r="CD1416" t="s">
        <v>3073</v>
      </c>
      <c r="CE1416" t="s">
        <v>443</v>
      </c>
      <c r="CF1416" s="12">
        <v>27.21</v>
      </c>
      <c r="CG1416" s="12">
        <v>27.21</v>
      </c>
      <c r="CH1416" s="12">
        <v>40.909999999999997</v>
      </c>
      <c r="CI1416" s="12">
        <v>40.909999999999997</v>
      </c>
      <c r="CJ1416" t="s">
        <v>135</v>
      </c>
      <c r="CK1416" t="s">
        <v>132</v>
      </c>
      <c r="CL1416" t="s">
        <v>3871</v>
      </c>
      <c r="CO1416" t="s">
        <v>132</v>
      </c>
      <c r="CP1416" t="s">
        <v>136</v>
      </c>
      <c r="CQ1416" t="s">
        <v>136</v>
      </c>
      <c r="CR1416" t="s">
        <v>136</v>
      </c>
      <c r="CS1416" t="s">
        <v>114</v>
      </c>
      <c r="CT1416" t="s">
        <v>136</v>
      </c>
      <c r="CU1416" t="s">
        <v>114</v>
      </c>
      <c r="CV1416" t="s">
        <v>3872</v>
      </c>
      <c r="CW1416" s="10" t="str">
        <f>"+12159491104"</f>
        <v>+12159491104</v>
      </c>
      <c r="CX1416" t="s">
        <v>132</v>
      </c>
      <c r="CY1416" t="s">
        <v>3873</v>
      </c>
      <c r="CZ1416" t="s">
        <v>137</v>
      </c>
      <c r="DA1416" t="s">
        <v>114</v>
      </c>
      <c r="DB1416" t="s">
        <v>114</v>
      </c>
      <c r="DC1416" t="s">
        <v>136</v>
      </c>
      <c r="DD1416" t="s">
        <v>114</v>
      </c>
    </row>
    <row r="1417" spans="1:113" ht="15" customHeight="1" x14ac:dyDescent="0.25">
      <c r="A1417" t="s">
        <v>20156</v>
      </c>
      <c r="B1417" t="s">
        <v>152</v>
      </c>
      <c r="C1417" s="1">
        <v>45147.552738310187</v>
      </c>
      <c r="D1417" s="1">
        <v>45216</v>
      </c>
      <c r="E1417" t="s">
        <v>114</v>
      </c>
      <c r="F1417" t="s">
        <v>700</v>
      </c>
      <c r="G1417" t="str">
        <f>"49-9099.00"</f>
        <v>49-9099.00</v>
      </c>
      <c r="H1417" t="s">
        <v>3863</v>
      </c>
      <c r="I1417">
        <v>33</v>
      </c>
      <c r="J1417">
        <v>33</v>
      </c>
      <c r="K1417" s="1">
        <v>45231</v>
      </c>
      <c r="L1417" s="1">
        <v>45396</v>
      </c>
      <c r="M1417" s="1">
        <v>45231</v>
      </c>
      <c r="N1417" s="1">
        <v>45396</v>
      </c>
      <c r="O1417" t="s">
        <v>238</v>
      </c>
      <c r="P1417" t="s">
        <v>20157</v>
      </c>
      <c r="R1417" t="s">
        <v>20158</v>
      </c>
      <c r="T1417" t="s">
        <v>2464</v>
      </c>
      <c r="U1417" t="s">
        <v>211</v>
      </c>
      <c r="V1417" s="8" t="str">
        <f>"84059"</f>
        <v>84059</v>
      </c>
      <c r="W1417" t="s">
        <v>118</v>
      </c>
      <c r="Y1417" s="10">
        <v>18013300273</v>
      </c>
      <c r="AA1417">
        <v>561730</v>
      </c>
      <c r="AB1417" t="s">
        <v>1329</v>
      </c>
      <c r="AC1417" t="s">
        <v>4921</v>
      </c>
      <c r="AD1417" t="s">
        <v>3451</v>
      </c>
      <c r="AE1417" t="s">
        <v>1836</v>
      </c>
      <c r="AF1417" t="s">
        <v>20158</v>
      </c>
      <c r="AH1417" t="s">
        <v>2464</v>
      </c>
      <c r="AI1417" t="s">
        <v>211</v>
      </c>
      <c r="AJ1417" s="8" t="str">
        <f>"84059"</f>
        <v>84059</v>
      </c>
      <c r="AK1417" t="s">
        <v>118</v>
      </c>
      <c r="AM1417" s="10">
        <v>18013300273</v>
      </c>
      <c r="AO1417" t="s">
        <v>20159</v>
      </c>
      <c r="AP1417" t="s">
        <v>121</v>
      </c>
      <c r="AQ1417" t="s">
        <v>707</v>
      </c>
      <c r="AR1417" t="s">
        <v>708</v>
      </c>
      <c r="AS1417" t="s">
        <v>709</v>
      </c>
      <c r="AT1417" t="s">
        <v>710</v>
      </c>
      <c r="AU1417" t="s">
        <v>874</v>
      </c>
      <c r="AV1417" t="s">
        <v>603</v>
      </c>
      <c r="AW1417" t="s">
        <v>127</v>
      </c>
      <c r="AX1417" s="8" t="str">
        <f>"78746"</f>
        <v>78746</v>
      </c>
      <c r="AY1417" t="s">
        <v>118</v>
      </c>
      <c r="BA1417" s="10">
        <v>17372040093</v>
      </c>
      <c r="BC1417" t="s">
        <v>711</v>
      </c>
      <c r="BD1417" t="s">
        <v>712</v>
      </c>
      <c r="BE1417" t="s">
        <v>127</v>
      </c>
      <c r="BF1417" t="s">
        <v>713</v>
      </c>
      <c r="BG1417" t="s">
        <v>211</v>
      </c>
      <c r="BH1417" s="1">
        <v>45146.833333333336</v>
      </c>
      <c r="BI1417">
        <v>40</v>
      </c>
      <c r="BJ1417">
        <v>0</v>
      </c>
      <c r="BK1417">
        <v>8</v>
      </c>
      <c r="BL1417">
        <v>8</v>
      </c>
      <c r="BM1417">
        <v>8</v>
      </c>
      <c r="BN1417">
        <v>8</v>
      </c>
      <c r="BO1417">
        <v>8</v>
      </c>
      <c r="BP1417">
        <v>0</v>
      </c>
      <c r="BQ1417" t="str">
        <f>"8:00 AM"</f>
        <v>8:00 AM</v>
      </c>
      <c r="BR1417" t="str">
        <f>"5:00 PM"</f>
        <v>5:00 PM</v>
      </c>
      <c r="BS1417" t="s">
        <v>131</v>
      </c>
      <c r="BT1417">
        <v>0</v>
      </c>
      <c r="BU1417">
        <v>0</v>
      </c>
      <c r="BV1417" t="s">
        <v>114</v>
      </c>
      <c r="BX1417" t="s">
        <v>20160</v>
      </c>
      <c r="BY1417" t="s">
        <v>20161</v>
      </c>
      <c r="CA1417" t="s">
        <v>2464</v>
      </c>
      <c r="CB1417" t="s">
        <v>211</v>
      </c>
      <c r="CC1417" s="8" t="str">
        <f>"84097"</f>
        <v>84097</v>
      </c>
      <c r="CD1417" t="s">
        <v>2468</v>
      </c>
      <c r="CE1417" t="s">
        <v>2469</v>
      </c>
      <c r="CF1417" s="12">
        <v>20.09</v>
      </c>
      <c r="CG1417" s="12">
        <v>20.09</v>
      </c>
      <c r="CH1417" s="12">
        <v>30.14</v>
      </c>
      <c r="CI1417" s="12">
        <v>30.14</v>
      </c>
      <c r="CJ1417" t="s">
        <v>135</v>
      </c>
      <c r="CK1417" t="s">
        <v>20162</v>
      </c>
      <c r="CL1417" t="s">
        <v>20163</v>
      </c>
      <c r="CO1417" t="s">
        <v>132</v>
      </c>
      <c r="CP1417" t="s">
        <v>136</v>
      </c>
      <c r="CQ1417" t="s">
        <v>136</v>
      </c>
      <c r="CR1417" t="s">
        <v>136</v>
      </c>
      <c r="CS1417" t="s">
        <v>136</v>
      </c>
      <c r="CT1417" t="s">
        <v>136</v>
      </c>
      <c r="CU1417" t="s">
        <v>114</v>
      </c>
      <c r="CV1417" t="s">
        <v>131</v>
      </c>
      <c r="CW1417" s="10" t="str">
        <f>"+18013300273"</f>
        <v>+18013300273</v>
      </c>
      <c r="CX1417" t="s">
        <v>20159</v>
      </c>
      <c r="CY1417" t="s">
        <v>132</v>
      </c>
      <c r="CZ1417" t="s">
        <v>137</v>
      </c>
      <c r="DA1417" t="s">
        <v>114</v>
      </c>
      <c r="DB1417" t="s">
        <v>114</v>
      </c>
      <c r="DC1417" t="s">
        <v>136</v>
      </c>
      <c r="DD1417" t="s">
        <v>114</v>
      </c>
    </row>
    <row r="1418" spans="1:113" ht="15" customHeight="1" x14ac:dyDescent="0.25">
      <c r="A1418" t="s">
        <v>18529</v>
      </c>
      <c r="B1418" t="s">
        <v>152</v>
      </c>
      <c r="C1418" s="1">
        <v>45146.518916203706</v>
      </c>
      <c r="D1418" s="1">
        <v>45216</v>
      </c>
      <c r="E1418" t="s">
        <v>114</v>
      </c>
      <c r="F1418" t="s">
        <v>700</v>
      </c>
      <c r="G1418" t="str">
        <f>"49-9099.00"</f>
        <v>49-9099.00</v>
      </c>
      <c r="H1418" t="s">
        <v>3863</v>
      </c>
      <c r="I1418">
        <v>40</v>
      </c>
      <c r="J1418">
        <v>40</v>
      </c>
      <c r="K1418" s="1">
        <v>45222</v>
      </c>
      <c r="L1418" s="1">
        <v>45382</v>
      </c>
      <c r="M1418" s="1">
        <v>45222</v>
      </c>
      <c r="N1418" s="1">
        <v>45382</v>
      </c>
      <c r="O1418" t="s">
        <v>238</v>
      </c>
      <c r="P1418" t="s">
        <v>18530</v>
      </c>
      <c r="R1418" t="s">
        <v>18531</v>
      </c>
      <c r="T1418" t="s">
        <v>2161</v>
      </c>
      <c r="U1418" t="s">
        <v>127</v>
      </c>
      <c r="V1418" s="8" t="str">
        <f>"78414"</f>
        <v>78414</v>
      </c>
      <c r="W1418" t="s">
        <v>118</v>
      </c>
      <c r="Y1418" s="10">
        <v>13618260680</v>
      </c>
      <c r="AA1418">
        <v>424930</v>
      </c>
      <c r="AB1418" t="s">
        <v>18532</v>
      </c>
      <c r="AC1418" t="s">
        <v>18533</v>
      </c>
      <c r="AD1418" t="s">
        <v>6232</v>
      </c>
      <c r="AE1418" t="s">
        <v>561</v>
      </c>
      <c r="AF1418" t="s">
        <v>18531</v>
      </c>
      <c r="AH1418" t="s">
        <v>2161</v>
      </c>
      <c r="AI1418" t="s">
        <v>127</v>
      </c>
      <c r="AJ1418" s="8" t="str">
        <f>"78414"</f>
        <v>78414</v>
      </c>
      <c r="AK1418" t="s">
        <v>118</v>
      </c>
      <c r="AM1418" s="10">
        <v>13618260680</v>
      </c>
      <c r="AO1418" t="s">
        <v>132</v>
      </c>
      <c r="AP1418" t="s">
        <v>121</v>
      </c>
      <c r="AQ1418" t="s">
        <v>1172</v>
      </c>
      <c r="AR1418" t="s">
        <v>1173</v>
      </c>
      <c r="AS1418" t="s">
        <v>708</v>
      </c>
      <c r="AT1418" t="s">
        <v>3325</v>
      </c>
      <c r="AV1418" t="s">
        <v>603</v>
      </c>
      <c r="AW1418" t="s">
        <v>127</v>
      </c>
      <c r="AX1418" s="8" t="str">
        <f>"78705"</f>
        <v>78705</v>
      </c>
      <c r="AY1418" t="s">
        <v>118</v>
      </c>
      <c r="BA1418" s="10">
        <v>15123470007</v>
      </c>
      <c r="BC1418" t="s">
        <v>1175</v>
      </c>
      <c r="BD1418" t="s">
        <v>1176</v>
      </c>
      <c r="BE1418" t="s">
        <v>127</v>
      </c>
      <c r="BF1418" t="s">
        <v>750</v>
      </c>
      <c r="BG1418" t="s">
        <v>127</v>
      </c>
      <c r="BH1418" s="1">
        <v>45145.833333333336</v>
      </c>
      <c r="BI1418">
        <v>40</v>
      </c>
      <c r="BJ1418">
        <v>0</v>
      </c>
      <c r="BK1418">
        <v>8</v>
      </c>
      <c r="BL1418">
        <v>8</v>
      </c>
      <c r="BM1418">
        <v>8</v>
      </c>
      <c r="BN1418">
        <v>8</v>
      </c>
      <c r="BO1418">
        <v>8</v>
      </c>
      <c r="BP1418">
        <v>0</v>
      </c>
      <c r="BQ1418" t="str">
        <f>"8:00 AM"</f>
        <v>8:00 AM</v>
      </c>
      <c r="BR1418" t="str">
        <f>"5:00 PM"</f>
        <v>5:00 PM</v>
      </c>
      <c r="BS1418" t="s">
        <v>131</v>
      </c>
      <c r="BT1418">
        <v>0</v>
      </c>
      <c r="BU1418">
        <v>0</v>
      </c>
      <c r="BV1418" t="s">
        <v>114</v>
      </c>
      <c r="BX1418" t="s">
        <v>131</v>
      </c>
      <c r="BY1418" t="s">
        <v>18531</v>
      </c>
      <c r="CA1418" t="s">
        <v>2161</v>
      </c>
      <c r="CB1418" t="s">
        <v>127</v>
      </c>
      <c r="CC1418" s="8" t="str">
        <f>"78414"</f>
        <v>78414</v>
      </c>
      <c r="CD1418" t="s">
        <v>2162</v>
      </c>
      <c r="CE1418" t="s">
        <v>2163</v>
      </c>
      <c r="CF1418" s="12">
        <v>24.35</v>
      </c>
      <c r="CG1418" s="12">
        <v>24.35</v>
      </c>
      <c r="CH1418" s="12">
        <v>36.53</v>
      </c>
      <c r="CI1418" s="12">
        <v>36.53</v>
      </c>
      <c r="CJ1418" t="s">
        <v>135</v>
      </c>
      <c r="CL1418" t="s">
        <v>18534</v>
      </c>
      <c r="CO1418" t="s">
        <v>132</v>
      </c>
      <c r="CP1418" t="s">
        <v>136</v>
      </c>
      <c r="CQ1418" t="s">
        <v>136</v>
      </c>
      <c r="CR1418" t="s">
        <v>136</v>
      </c>
      <c r="CS1418" t="s">
        <v>136</v>
      </c>
      <c r="CT1418" t="s">
        <v>136</v>
      </c>
      <c r="CU1418" t="s">
        <v>136</v>
      </c>
      <c r="CV1418" t="s">
        <v>18535</v>
      </c>
      <c r="CW1418" s="10" t="str">
        <f>"+13618260680"</f>
        <v>+13618260680</v>
      </c>
      <c r="CX1418" t="s">
        <v>18536</v>
      </c>
      <c r="CY1418" t="s">
        <v>132</v>
      </c>
      <c r="CZ1418" t="s">
        <v>137</v>
      </c>
      <c r="DA1418" t="s">
        <v>114</v>
      </c>
      <c r="DB1418" t="s">
        <v>114</v>
      </c>
      <c r="DC1418" t="s">
        <v>136</v>
      </c>
      <c r="DD1418" t="s">
        <v>114</v>
      </c>
    </row>
    <row r="1419" spans="1:113" ht="15" customHeight="1" x14ac:dyDescent="0.25">
      <c r="A1419" t="s">
        <v>13434</v>
      </c>
      <c r="B1419" t="s">
        <v>152</v>
      </c>
      <c r="C1419" s="1">
        <v>45145.519785648146</v>
      </c>
      <c r="D1419" s="1">
        <v>45216</v>
      </c>
      <c r="E1419" t="s">
        <v>114</v>
      </c>
      <c r="F1419" t="s">
        <v>13435</v>
      </c>
      <c r="G1419" t="str">
        <f>"35-2014.00"</f>
        <v>35-2014.00</v>
      </c>
      <c r="H1419" t="s">
        <v>154</v>
      </c>
      <c r="I1419">
        <v>5</v>
      </c>
      <c r="J1419">
        <v>5</v>
      </c>
      <c r="K1419" s="1">
        <v>45235</v>
      </c>
      <c r="L1419" s="1">
        <v>45453</v>
      </c>
      <c r="M1419" s="1">
        <v>45235</v>
      </c>
      <c r="N1419" s="1">
        <v>45453</v>
      </c>
      <c r="O1419" t="s">
        <v>116</v>
      </c>
      <c r="P1419" t="s">
        <v>13436</v>
      </c>
      <c r="Q1419" t="s">
        <v>13437</v>
      </c>
      <c r="R1419" t="s">
        <v>13438</v>
      </c>
      <c r="T1419" t="s">
        <v>2189</v>
      </c>
      <c r="U1419" t="s">
        <v>333</v>
      </c>
      <c r="V1419" s="8" t="str">
        <f>"70503"</f>
        <v>70503</v>
      </c>
      <c r="W1419" t="s">
        <v>118</v>
      </c>
      <c r="Y1419" s="10">
        <v>13379843706</v>
      </c>
      <c r="Z1419" s="3" t="s">
        <v>256</v>
      </c>
      <c r="AA1419">
        <v>72251</v>
      </c>
      <c r="AB1419" t="s">
        <v>13439</v>
      </c>
      <c r="AC1419" t="s">
        <v>11207</v>
      </c>
      <c r="AE1419" t="s">
        <v>13440</v>
      </c>
      <c r="AF1419" t="s">
        <v>13441</v>
      </c>
      <c r="AH1419" t="s">
        <v>2189</v>
      </c>
      <c r="AI1419" t="s">
        <v>333</v>
      </c>
      <c r="AJ1419" s="8" t="str">
        <f>"70503"</f>
        <v>70503</v>
      </c>
      <c r="AK1419" t="s">
        <v>118</v>
      </c>
      <c r="AM1419" s="10">
        <v>13372785762</v>
      </c>
      <c r="AN1419" s="3" t="s">
        <v>256</v>
      </c>
      <c r="AO1419" t="s">
        <v>13442</v>
      </c>
      <c r="AP1419" t="s">
        <v>248</v>
      </c>
      <c r="AQ1419" t="s">
        <v>249</v>
      </c>
      <c r="AR1419" t="s">
        <v>250</v>
      </c>
      <c r="AS1419" t="s">
        <v>251</v>
      </c>
      <c r="AT1419" t="s">
        <v>252</v>
      </c>
      <c r="AU1419" t="s">
        <v>253</v>
      </c>
      <c r="AV1419" t="s">
        <v>254</v>
      </c>
      <c r="AW1419" t="s">
        <v>127</v>
      </c>
      <c r="AX1419" s="8" t="str">
        <f>"78550"</f>
        <v>78550</v>
      </c>
      <c r="AY1419" t="s">
        <v>118</v>
      </c>
      <c r="AZ1419" t="s">
        <v>255</v>
      </c>
      <c r="BA1419" s="10">
        <v>19564408720</v>
      </c>
      <c r="BB1419" s="3" t="s">
        <v>256</v>
      </c>
      <c r="BC1419" t="s">
        <v>338</v>
      </c>
      <c r="BD1419" t="s">
        <v>258</v>
      </c>
      <c r="BG1419" t="s">
        <v>333</v>
      </c>
      <c r="BH1419" s="1">
        <v>45144.833333333336</v>
      </c>
      <c r="BI1419">
        <v>40</v>
      </c>
      <c r="BJ1419">
        <v>8</v>
      </c>
      <c r="BK1419">
        <v>0</v>
      </c>
      <c r="BL1419">
        <v>0</v>
      </c>
      <c r="BM1419">
        <v>8</v>
      </c>
      <c r="BN1419">
        <v>8</v>
      </c>
      <c r="BO1419">
        <v>8</v>
      </c>
      <c r="BP1419">
        <v>8</v>
      </c>
      <c r="BQ1419" t="str">
        <f>"8:00 AM"</f>
        <v>8:00 AM</v>
      </c>
      <c r="BR1419" t="str">
        <f>"10:00 PM"</f>
        <v>10:00 PM</v>
      </c>
      <c r="BS1419" t="s">
        <v>131</v>
      </c>
      <c r="BT1419">
        <v>0</v>
      </c>
      <c r="BU1419">
        <v>0</v>
      </c>
      <c r="BV1419" t="s">
        <v>114</v>
      </c>
      <c r="BX1419" s="2" t="s">
        <v>2396</v>
      </c>
      <c r="BY1419" t="s">
        <v>13441</v>
      </c>
      <c r="CA1419" t="s">
        <v>2189</v>
      </c>
      <c r="CB1419" t="s">
        <v>333</v>
      </c>
      <c r="CC1419" s="8" t="str">
        <f>"70503"</f>
        <v>70503</v>
      </c>
      <c r="CD1419" t="s">
        <v>2900</v>
      </c>
      <c r="CE1419" t="s">
        <v>1818</v>
      </c>
      <c r="CF1419" s="12">
        <v>12.87</v>
      </c>
      <c r="CG1419" s="12">
        <v>12.87</v>
      </c>
      <c r="CH1419" s="12">
        <v>19.3</v>
      </c>
      <c r="CI1419" s="12">
        <v>19.3</v>
      </c>
      <c r="CJ1419" t="s">
        <v>135</v>
      </c>
      <c r="CK1419" t="s">
        <v>342</v>
      </c>
      <c r="CL1419" t="s">
        <v>13443</v>
      </c>
      <c r="CO1419" t="s">
        <v>132</v>
      </c>
      <c r="CP1419" t="s">
        <v>114</v>
      </c>
      <c r="CQ1419" t="s">
        <v>136</v>
      </c>
      <c r="CR1419" t="s">
        <v>114</v>
      </c>
      <c r="CS1419" t="s">
        <v>136</v>
      </c>
      <c r="CT1419" t="s">
        <v>136</v>
      </c>
      <c r="CU1419" t="s">
        <v>114</v>
      </c>
      <c r="CV1419" t="s">
        <v>13444</v>
      </c>
      <c r="CW1419" s="10" t="str">
        <f>"+13379843706"</f>
        <v>+13379843706</v>
      </c>
      <c r="CX1419" t="s">
        <v>13442</v>
      </c>
      <c r="CY1419" t="s">
        <v>132</v>
      </c>
      <c r="CZ1419" t="s">
        <v>137</v>
      </c>
      <c r="DA1419" t="s">
        <v>114</v>
      </c>
      <c r="DB1419" t="s">
        <v>136</v>
      </c>
      <c r="DC1419" t="s">
        <v>136</v>
      </c>
      <c r="DD1419" t="s">
        <v>114</v>
      </c>
    </row>
    <row r="1420" spans="1:113" ht="15" customHeight="1" x14ac:dyDescent="0.25">
      <c r="A1420" t="s">
        <v>23661</v>
      </c>
      <c r="B1420" t="s">
        <v>152</v>
      </c>
      <c r="C1420" s="1">
        <v>45139.784059027777</v>
      </c>
      <c r="D1420" s="1">
        <v>45216</v>
      </c>
      <c r="E1420" t="s">
        <v>114</v>
      </c>
      <c r="F1420" t="s">
        <v>23662</v>
      </c>
      <c r="G1420" t="str">
        <f>"53-7064.00"</f>
        <v>53-7064.00</v>
      </c>
      <c r="H1420" t="s">
        <v>3138</v>
      </c>
      <c r="I1420">
        <v>75</v>
      </c>
      <c r="J1420">
        <v>75</v>
      </c>
      <c r="K1420" s="1">
        <v>45214</v>
      </c>
      <c r="L1420" s="1">
        <v>45420</v>
      </c>
      <c r="M1420" s="1">
        <v>45214</v>
      </c>
      <c r="N1420" s="1">
        <v>45420</v>
      </c>
      <c r="O1420" t="s">
        <v>116</v>
      </c>
      <c r="P1420" t="s">
        <v>21941</v>
      </c>
      <c r="R1420" t="s">
        <v>21942</v>
      </c>
      <c r="S1420" t="s">
        <v>21943</v>
      </c>
      <c r="T1420" t="s">
        <v>21944</v>
      </c>
      <c r="U1420" t="s">
        <v>984</v>
      </c>
      <c r="V1420" s="8" t="str">
        <f>"63601"</f>
        <v>63601</v>
      </c>
      <c r="W1420" t="s">
        <v>118</v>
      </c>
      <c r="Y1420" s="10">
        <v>15734310625</v>
      </c>
      <c r="AA1420">
        <v>42448</v>
      </c>
      <c r="AB1420" t="s">
        <v>21945</v>
      </c>
      <c r="AC1420" t="s">
        <v>21946</v>
      </c>
      <c r="AE1420" t="s">
        <v>629</v>
      </c>
      <c r="AF1420" t="s">
        <v>21942</v>
      </c>
      <c r="AG1420" t="s">
        <v>21943</v>
      </c>
      <c r="AH1420" t="s">
        <v>21944</v>
      </c>
      <c r="AI1420" t="s">
        <v>984</v>
      </c>
      <c r="AJ1420" s="8" t="str">
        <f>"63601"</f>
        <v>63601</v>
      </c>
      <c r="AK1420" t="s">
        <v>118</v>
      </c>
      <c r="AM1420" s="10">
        <v>15734310625</v>
      </c>
      <c r="AO1420" t="s">
        <v>132</v>
      </c>
      <c r="AP1420" t="s">
        <v>248</v>
      </c>
      <c r="AQ1420" t="s">
        <v>577</v>
      </c>
      <c r="AR1420" t="s">
        <v>578</v>
      </c>
      <c r="AT1420" t="s">
        <v>579</v>
      </c>
      <c r="AV1420" t="s">
        <v>580</v>
      </c>
      <c r="AW1420" t="s">
        <v>581</v>
      </c>
      <c r="AX1420" s="8" t="str">
        <f>"22903"</f>
        <v>22903</v>
      </c>
      <c r="AY1420" t="s">
        <v>118</v>
      </c>
      <c r="BA1420" s="10">
        <v>14342634300</v>
      </c>
      <c r="BC1420" t="s">
        <v>1996</v>
      </c>
      <c r="BD1420" t="s">
        <v>583</v>
      </c>
      <c r="BG1420" t="s">
        <v>984</v>
      </c>
      <c r="BH1420" s="1">
        <v>45138.833333333336</v>
      </c>
      <c r="BI1420">
        <v>40</v>
      </c>
      <c r="BJ1420">
        <v>0</v>
      </c>
      <c r="BK1420">
        <v>8</v>
      </c>
      <c r="BL1420">
        <v>8</v>
      </c>
      <c r="BM1420">
        <v>8</v>
      </c>
      <c r="BN1420">
        <v>8</v>
      </c>
      <c r="BO1420">
        <v>8</v>
      </c>
      <c r="BP1420">
        <v>0</v>
      </c>
      <c r="BQ1420" t="str">
        <f>"8:00 AM"</f>
        <v>8:00 AM</v>
      </c>
      <c r="BR1420" t="str">
        <f>"4:30 PM"</f>
        <v>4:30 PM</v>
      </c>
      <c r="BS1420" t="s">
        <v>131</v>
      </c>
      <c r="BT1420">
        <v>0</v>
      </c>
      <c r="BU1420">
        <v>0</v>
      </c>
      <c r="BV1420" t="s">
        <v>114</v>
      </c>
      <c r="BX1420" s="2" t="s">
        <v>23663</v>
      </c>
      <c r="BY1420" t="s">
        <v>21948</v>
      </c>
      <c r="CA1420" t="s">
        <v>21944</v>
      </c>
      <c r="CB1420" t="s">
        <v>984</v>
      </c>
      <c r="CC1420" s="8" t="str">
        <f>"63601"</f>
        <v>63601</v>
      </c>
      <c r="CD1420" t="s">
        <v>21949</v>
      </c>
      <c r="CE1420" t="s">
        <v>9896</v>
      </c>
      <c r="CF1420" s="12">
        <v>15.25</v>
      </c>
      <c r="CH1420" s="12">
        <v>22.88</v>
      </c>
      <c r="CJ1420" t="s">
        <v>135</v>
      </c>
      <c r="CL1420" t="s">
        <v>23664</v>
      </c>
      <c r="CO1420" t="s">
        <v>132</v>
      </c>
      <c r="CP1420" t="s">
        <v>114</v>
      </c>
      <c r="CQ1420" t="s">
        <v>136</v>
      </c>
      <c r="CR1420" t="s">
        <v>136</v>
      </c>
      <c r="CS1420" t="s">
        <v>136</v>
      </c>
      <c r="CT1420" t="s">
        <v>136</v>
      </c>
      <c r="CU1420" t="s">
        <v>136</v>
      </c>
      <c r="CV1420" t="s">
        <v>7233</v>
      </c>
      <c r="CW1420" s="10" t="str">
        <f>"N/A"</f>
        <v>N/A</v>
      </c>
      <c r="CX1420" t="s">
        <v>21952</v>
      </c>
      <c r="CY1420" t="s">
        <v>6109</v>
      </c>
      <c r="CZ1420" t="s">
        <v>137</v>
      </c>
      <c r="DA1420" t="s">
        <v>114</v>
      </c>
      <c r="DB1420" t="s">
        <v>136</v>
      </c>
      <c r="DC1420" t="s">
        <v>136</v>
      </c>
      <c r="DD1420" t="s">
        <v>114</v>
      </c>
      <c r="DE1420" t="s">
        <v>1998</v>
      </c>
      <c r="DF1420" t="s">
        <v>1999</v>
      </c>
      <c r="DH1420" t="s">
        <v>583</v>
      </c>
      <c r="DI1420" t="s">
        <v>1996</v>
      </c>
    </row>
    <row r="1421" spans="1:113" ht="15" customHeight="1" x14ac:dyDescent="0.25">
      <c r="A1421" t="s">
        <v>8684</v>
      </c>
      <c r="B1421" t="s">
        <v>152</v>
      </c>
      <c r="C1421" s="1">
        <v>45130.980904050928</v>
      </c>
      <c r="D1421" s="1">
        <v>45216</v>
      </c>
      <c r="E1421" t="s">
        <v>114</v>
      </c>
      <c r="F1421" t="s">
        <v>2078</v>
      </c>
      <c r="G1421" t="str">
        <f>"53-7062.00"</f>
        <v>53-7062.00</v>
      </c>
      <c r="H1421" t="s">
        <v>2078</v>
      </c>
      <c r="I1421">
        <v>25</v>
      </c>
      <c r="J1421">
        <v>25</v>
      </c>
      <c r="K1421" s="1">
        <v>45220</v>
      </c>
      <c r="L1421" s="1">
        <v>45473</v>
      </c>
      <c r="M1421" s="1">
        <v>45220</v>
      </c>
      <c r="N1421" s="1">
        <v>45473</v>
      </c>
      <c r="O1421" t="s">
        <v>116</v>
      </c>
      <c r="P1421" t="s">
        <v>8685</v>
      </c>
      <c r="R1421" t="s">
        <v>8686</v>
      </c>
      <c r="S1421" t="s">
        <v>132</v>
      </c>
      <c r="T1421" t="s">
        <v>8687</v>
      </c>
      <c r="U1421" t="s">
        <v>358</v>
      </c>
      <c r="V1421" s="8" t="str">
        <f>"12887"</f>
        <v>12887</v>
      </c>
      <c r="W1421" t="s">
        <v>118</v>
      </c>
      <c r="X1421" t="s">
        <v>132</v>
      </c>
      <c r="Y1421" s="10">
        <v>15184990099</v>
      </c>
      <c r="AA1421">
        <v>321211</v>
      </c>
      <c r="AB1421" t="s">
        <v>2008</v>
      </c>
      <c r="AC1421" t="s">
        <v>7259</v>
      </c>
      <c r="AE1421" t="s">
        <v>1799</v>
      </c>
      <c r="AF1421" t="s">
        <v>8686</v>
      </c>
      <c r="AG1421" t="s">
        <v>132</v>
      </c>
      <c r="AH1421" t="s">
        <v>8687</v>
      </c>
      <c r="AI1421" t="s">
        <v>358</v>
      </c>
      <c r="AJ1421" s="8" t="str">
        <f>"12887"</f>
        <v>12887</v>
      </c>
      <c r="AK1421" t="s">
        <v>118</v>
      </c>
      <c r="AM1421" s="10">
        <v>15184990099</v>
      </c>
      <c r="AO1421" t="s">
        <v>8688</v>
      </c>
      <c r="AP1421" t="s">
        <v>248</v>
      </c>
      <c r="AQ1421" t="s">
        <v>8689</v>
      </c>
      <c r="AR1421" t="s">
        <v>8690</v>
      </c>
      <c r="AS1421" t="s">
        <v>2291</v>
      </c>
      <c r="AT1421" t="s">
        <v>8691</v>
      </c>
      <c r="AU1421" t="s">
        <v>132</v>
      </c>
      <c r="AV1421" t="s">
        <v>8687</v>
      </c>
      <c r="AW1421" t="s">
        <v>358</v>
      </c>
      <c r="AX1421" s="8" t="str">
        <f>"12887"</f>
        <v>12887</v>
      </c>
      <c r="AY1421" t="s">
        <v>118</v>
      </c>
      <c r="BA1421" s="10">
        <v>15183619567</v>
      </c>
      <c r="BC1421" t="s">
        <v>8692</v>
      </c>
      <c r="BD1421" t="s">
        <v>8693</v>
      </c>
      <c r="BG1421" t="s">
        <v>358</v>
      </c>
      <c r="BH1421" s="1">
        <v>45129.833333333336</v>
      </c>
      <c r="BI1421">
        <v>40</v>
      </c>
      <c r="BJ1421">
        <v>0</v>
      </c>
      <c r="BK1421">
        <v>8</v>
      </c>
      <c r="BL1421">
        <v>8</v>
      </c>
      <c r="BM1421">
        <v>8</v>
      </c>
      <c r="BN1421">
        <v>8</v>
      </c>
      <c r="BO1421">
        <v>8</v>
      </c>
      <c r="BP1421">
        <v>0</v>
      </c>
      <c r="BQ1421" t="str">
        <f>"6:00 AM"</f>
        <v>6:00 AM</v>
      </c>
      <c r="BR1421" t="str">
        <f>"2:30 PM"</f>
        <v>2:30 PM</v>
      </c>
      <c r="BS1421" t="s">
        <v>131</v>
      </c>
      <c r="BT1421">
        <v>0</v>
      </c>
      <c r="BU1421">
        <v>0</v>
      </c>
      <c r="BV1421" t="s">
        <v>114</v>
      </c>
      <c r="BX1421" t="s">
        <v>8694</v>
      </c>
      <c r="BY1421" t="s">
        <v>8686</v>
      </c>
      <c r="BZ1421" t="s">
        <v>132</v>
      </c>
      <c r="CA1421" t="s">
        <v>8687</v>
      </c>
      <c r="CB1421" t="s">
        <v>358</v>
      </c>
      <c r="CC1421" s="8" t="str">
        <f>"12887"</f>
        <v>12887</v>
      </c>
      <c r="CD1421" t="s">
        <v>806</v>
      </c>
      <c r="CE1421" t="s">
        <v>3626</v>
      </c>
      <c r="CF1421" s="12">
        <v>18.43</v>
      </c>
      <c r="CG1421" s="12">
        <v>18.43</v>
      </c>
      <c r="CH1421" s="12">
        <v>27.65</v>
      </c>
      <c r="CI1421" s="12">
        <v>27.65</v>
      </c>
      <c r="CJ1421" t="s">
        <v>135</v>
      </c>
      <c r="CK1421" t="s">
        <v>132</v>
      </c>
      <c r="CL1421" t="s">
        <v>8695</v>
      </c>
      <c r="CO1421" t="s">
        <v>132</v>
      </c>
      <c r="CP1421" t="s">
        <v>114</v>
      </c>
      <c r="CQ1421" t="s">
        <v>114</v>
      </c>
      <c r="CR1421" t="s">
        <v>136</v>
      </c>
      <c r="CS1421" t="s">
        <v>114</v>
      </c>
      <c r="CT1421" t="s">
        <v>136</v>
      </c>
      <c r="CU1421" t="s">
        <v>114</v>
      </c>
      <c r="CV1421" t="s">
        <v>8696</v>
      </c>
      <c r="CW1421" s="10" t="str">
        <f>"+15184990099"</f>
        <v>+15184990099</v>
      </c>
      <c r="CX1421" t="s">
        <v>8697</v>
      </c>
      <c r="CY1421" t="s">
        <v>132</v>
      </c>
      <c r="CZ1421" t="s">
        <v>137</v>
      </c>
      <c r="DA1421" t="s">
        <v>114</v>
      </c>
      <c r="DB1421" t="s">
        <v>136</v>
      </c>
      <c r="DC1421" t="s">
        <v>136</v>
      </c>
      <c r="DD1421" t="s">
        <v>114</v>
      </c>
    </row>
    <row r="1422" spans="1:113" ht="15" customHeight="1" x14ac:dyDescent="0.25">
      <c r="A1422" t="s">
        <v>6674</v>
      </c>
      <c r="B1422" t="s">
        <v>152</v>
      </c>
      <c r="C1422" s="1">
        <v>45122.654166203705</v>
      </c>
      <c r="D1422" s="1">
        <v>45216</v>
      </c>
      <c r="E1422" t="s">
        <v>114</v>
      </c>
      <c r="F1422" t="s">
        <v>3583</v>
      </c>
      <c r="G1422" t="str">
        <f>"47-2061.00"</f>
        <v>47-2061.00</v>
      </c>
      <c r="H1422" t="s">
        <v>570</v>
      </c>
      <c r="I1422">
        <v>45</v>
      </c>
      <c r="J1422">
        <v>45</v>
      </c>
      <c r="K1422" s="1">
        <v>45200</v>
      </c>
      <c r="L1422" s="1">
        <v>45473</v>
      </c>
      <c r="M1422" s="1">
        <v>45200</v>
      </c>
      <c r="N1422" s="1">
        <v>45473</v>
      </c>
      <c r="O1422" t="s">
        <v>116</v>
      </c>
      <c r="P1422" t="s">
        <v>6675</v>
      </c>
      <c r="R1422" t="s">
        <v>6676</v>
      </c>
      <c r="T1422" t="s">
        <v>6677</v>
      </c>
      <c r="U1422" t="s">
        <v>375</v>
      </c>
      <c r="V1422" s="8" t="str">
        <f>"27529"</f>
        <v>27529</v>
      </c>
      <c r="W1422" t="s">
        <v>118</v>
      </c>
      <c r="Y1422" s="10">
        <v>19199348911</v>
      </c>
      <c r="AA1422">
        <v>23713</v>
      </c>
      <c r="AB1422" t="s">
        <v>6678</v>
      </c>
      <c r="AC1422" t="s">
        <v>6679</v>
      </c>
      <c r="AE1422" t="s">
        <v>537</v>
      </c>
      <c r="AF1422" t="s">
        <v>6676</v>
      </c>
      <c r="AH1422" t="s">
        <v>6677</v>
      </c>
      <c r="AI1422" t="s">
        <v>375</v>
      </c>
      <c r="AJ1422" s="8" t="str">
        <f>"27529"</f>
        <v>27529</v>
      </c>
      <c r="AK1422" t="s">
        <v>118</v>
      </c>
      <c r="AM1422" s="10">
        <v>19199348911</v>
      </c>
      <c r="AO1422" t="s">
        <v>6680</v>
      </c>
      <c r="AP1422" t="s">
        <v>248</v>
      </c>
      <c r="AQ1422" t="s">
        <v>3000</v>
      </c>
      <c r="AR1422" t="s">
        <v>3001</v>
      </c>
      <c r="AS1422" t="s">
        <v>3002</v>
      </c>
      <c r="AT1422" t="s">
        <v>3003</v>
      </c>
      <c r="AV1422" t="s">
        <v>3004</v>
      </c>
      <c r="AW1422" t="s">
        <v>127</v>
      </c>
      <c r="AX1422" s="8" t="str">
        <f>"78640"</f>
        <v>78640</v>
      </c>
      <c r="AY1422" t="s">
        <v>118</v>
      </c>
      <c r="BA1422" s="10">
        <v>15127405256</v>
      </c>
      <c r="BC1422" t="s">
        <v>3005</v>
      </c>
      <c r="BD1422" t="s">
        <v>3006</v>
      </c>
      <c r="BG1422" t="s">
        <v>375</v>
      </c>
      <c r="BH1422" s="1">
        <v>45121.833333333336</v>
      </c>
      <c r="BI1422">
        <v>40</v>
      </c>
      <c r="BJ1422">
        <v>0</v>
      </c>
      <c r="BK1422">
        <v>8</v>
      </c>
      <c r="BL1422">
        <v>8</v>
      </c>
      <c r="BM1422">
        <v>8</v>
      </c>
      <c r="BN1422">
        <v>8</v>
      </c>
      <c r="BO1422">
        <v>8</v>
      </c>
      <c r="BP1422">
        <v>0</v>
      </c>
      <c r="BQ1422" t="str">
        <f>"8:00 AM"</f>
        <v>8:00 AM</v>
      </c>
      <c r="BR1422" t="str">
        <f>"4:00 PM"</f>
        <v>4:00 PM</v>
      </c>
      <c r="BS1422" t="s">
        <v>131</v>
      </c>
      <c r="BT1422">
        <v>0</v>
      </c>
      <c r="BU1422">
        <v>0</v>
      </c>
      <c r="BV1422" t="s">
        <v>114</v>
      </c>
      <c r="BX1422" t="s">
        <v>132</v>
      </c>
      <c r="BY1422" t="s">
        <v>6681</v>
      </c>
      <c r="CA1422" t="s">
        <v>3114</v>
      </c>
      <c r="CB1422" t="s">
        <v>375</v>
      </c>
      <c r="CC1422" s="8" t="str">
        <f>"28277"</f>
        <v>28277</v>
      </c>
      <c r="CD1422" t="s">
        <v>3275</v>
      </c>
      <c r="CE1422" t="s">
        <v>2940</v>
      </c>
      <c r="CF1422" s="12">
        <v>17.38</v>
      </c>
      <c r="CG1422" s="12">
        <v>19</v>
      </c>
      <c r="CH1422" s="12">
        <v>26.07</v>
      </c>
      <c r="CI1422" s="12">
        <v>28.5</v>
      </c>
      <c r="CJ1422" t="s">
        <v>135</v>
      </c>
      <c r="CK1422" t="s">
        <v>132</v>
      </c>
      <c r="CL1422" t="s">
        <v>6682</v>
      </c>
      <c r="CO1422" t="s">
        <v>132</v>
      </c>
      <c r="CP1422" t="s">
        <v>136</v>
      </c>
      <c r="CQ1422" t="s">
        <v>136</v>
      </c>
      <c r="CR1422" t="s">
        <v>136</v>
      </c>
      <c r="CS1422" t="s">
        <v>114</v>
      </c>
      <c r="CT1422" t="s">
        <v>136</v>
      </c>
      <c r="CU1422" t="s">
        <v>114</v>
      </c>
      <c r="CV1422" t="s">
        <v>3007</v>
      </c>
      <c r="CW1422" s="10" t="str">
        <f>"+17045656865"</f>
        <v>+17045656865</v>
      </c>
      <c r="CX1422" t="s">
        <v>132</v>
      </c>
      <c r="CY1422" t="s">
        <v>6683</v>
      </c>
      <c r="CZ1422" t="s">
        <v>137</v>
      </c>
      <c r="DA1422" t="s">
        <v>114</v>
      </c>
      <c r="DB1422" t="s">
        <v>114</v>
      </c>
      <c r="DC1422" t="s">
        <v>136</v>
      </c>
      <c r="DD1422" t="s">
        <v>114</v>
      </c>
    </row>
    <row r="1423" spans="1:113" ht="15" customHeight="1" x14ac:dyDescent="0.25">
      <c r="A1423" t="s">
        <v>18357</v>
      </c>
      <c r="B1423" t="s">
        <v>152</v>
      </c>
      <c r="C1423" s="1">
        <v>45120.740132407409</v>
      </c>
      <c r="D1423" s="1">
        <v>45216</v>
      </c>
      <c r="E1423" t="s">
        <v>114</v>
      </c>
      <c r="F1423" t="s">
        <v>1689</v>
      </c>
      <c r="G1423" t="str">
        <f>"37-2012.00"</f>
        <v>37-2012.00</v>
      </c>
      <c r="H1423" t="s">
        <v>205</v>
      </c>
      <c r="I1423">
        <v>20</v>
      </c>
      <c r="J1423">
        <v>20</v>
      </c>
      <c r="K1423" s="1">
        <v>45200</v>
      </c>
      <c r="L1423" s="1">
        <v>45413</v>
      </c>
      <c r="M1423" s="1">
        <v>45200</v>
      </c>
      <c r="N1423" s="1">
        <v>45413</v>
      </c>
      <c r="O1423" t="s">
        <v>116</v>
      </c>
      <c r="P1423" t="s">
        <v>18358</v>
      </c>
      <c r="R1423" t="s">
        <v>18359</v>
      </c>
      <c r="T1423" t="s">
        <v>401</v>
      </c>
      <c r="U1423" t="s">
        <v>402</v>
      </c>
      <c r="V1423" s="8" t="str">
        <f>"92008"</f>
        <v>92008</v>
      </c>
      <c r="W1423" t="s">
        <v>118</v>
      </c>
      <c r="X1423" t="s">
        <v>12356</v>
      </c>
      <c r="Y1423" s="10">
        <v>17604318500</v>
      </c>
      <c r="AA1423">
        <v>72111</v>
      </c>
      <c r="AB1423" t="s">
        <v>11772</v>
      </c>
      <c r="AC1423" t="s">
        <v>12336</v>
      </c>
      <c r="AE1423" t="s">
        <v>11034</v>
      </c>
      <c r="AF1423" t="s">
        <v>18359</v>
      </c>
      <c r="AH1423" t="s">
        <v>401</v>
      </c>
      <c r="AI1423" t="s">
        <v>402</v>
      </c>
      <c r="AJ1423" s="8" t="str">
        <f>"92008"</f>
        <v>92008</v>
      </c>
      <c r="AK1423" t="s">
        <v>118</v>
      </c>
      <c r="AL1423" t="s">
        <v>12356</v>
      </c>
      <c r="AM1423" s="10">
        <v>17604318500</v>
      </c>
      <c r="AO1423" t="s">
        <v>18360</v>
      </c>
      <c r="AP1423" t="s">
        <v>121</v>
      </c>
      <c r="AQ1423" t="s">
        <v>1327</v>
      </c>
      <c r="AR1423" t="s">
        <v>1328</v>
      </c>
      <c r="AS1423" t="s">
        <v>1329</v>
      </c>
      <c r="AT1423" t="s">
        <v>1330</v>
      </c>
      <c r="AU1423" t="s">
        <v>1331</v>
      </c>
      <c r="AV1423" t="s">
        <v>142</v>
      </c>
      <c r="AW1423" t="s">
        <v>140</v>
      </c>
      <c r="AX1423" s="8" t="str">
        <f>"33126"</f>
        <v>33126</v>
      </c>
      <c r="AY1423" t="s">
        <v>118</v>
      </c>
      <c r="BA1423" s="10">
        <v>13057745800</v>
      </c>
      <c r="BC1423" t="s">
        <v>1332</v>
      </c>
      <c r="BD1423" t="s">
        <v>1333</v>
      </c>
      <c r="BE1423" t="s">
        <v>140</v>
      </c>
      <c r="BF1423" t="s">
        <v>172</v>
      </c>
      <c r="BG1423" t="s">
        <v>402</v>
      </c>
      <c r="BH1423" s="1">
        <v>45116.833333333336</v>
      </c>
      <c r="BI1423">
        <v>35</v>
      </c>
      <c r="BJ1423">
        <v>0</v>
      </c>
      <c r="BK1423">
        <v>8</v>
      </c>
      <c r="BL1423">
        <v>8</v>
      </c>
      <c r="BM1423">
        <v>8</v>
      </c>
      <c r="BN1423">
        <v>8</v>
      </c>
      <c r="BO1423">
        <v>3</v>
      </c>
      <c r="BP1423">
        <v>0</v>
      </c>
      <c r="BQ1423" t="str">
        <f>"8:30 AM"</f>
        <v>8:30 AM</v>
      </c>
      <c r="BR1423" t="str">
        <f>"4:00 PM"</f>
        <v>4:00 PM</v>
      </c>
      <c r="BS1423" t="s">
        <v>131</v>
      </c>
      <c r="BT1423">
        <v>0</v>
      </c>
      <c r="BU1423">
        <v>0</v>
      </c>
      <c r="BV1423" t="s">
        <v>114</v>
      </c>
      <c r="BX1423" s="2" t="s">
        <v>18361</v>
      </c>
      <c r="BY1423" t="s">
        <v>18362</v>
      </c>
      <c r="CA1423" t="s">
        <v>4738</v>
      </c>
      <c r="CB1423" t="s">
        <v>402</v>
      </c>
      <c r="CC1423" s="8" t="str">
        <f>"96146"</f>
        <v>96146</v>
      </c>
      <c r="CD1423" t="s">
        <v>4745</v>
      </c>
      <c r="CE1423" t="s">
        <v>728</v>
      </c>
      <c r="CF1423" s="12">
        <v>20.36</v>
      </c>
      <c r="CH1423" s="12">
        <v>30.54</v>
      </c>
      <c r="CJ1423" t="s">
        <v>135</v>
      </c>
      <c r="CL1423" t="s">
        <v>18363</v>
      </c>
      <c r="CO1423" t="s">
        <v>132</v>
      </c>
      <c r="CP1423" t="s">
        <v>136</v>
      </c>
      <c r="CQ1423" t="s">
        <v>114</v>
      </c>
      <c r="CR1423" t="s">
        <v>136</v>
      </c>
      <c r="CS1423" t="s">
        <v>114</v>
      </c>
      <c r="CT1423" t="s">
        <v>136</v>
      </c>
      <c r="CU1423" t="s">
        <v>136</v>
      </c>
      <c r="CV1423" s="2" t="s">
        <v>18364</v>
      </c>
      <c r="CW1423" s="10" t="str">
        <f>"+17604318500"</f>
        <v>+17604318500</v>
      </c>
      <c r="CX1423" t="s">
        <v>18360</v>
      </c>
      <c r="CY1423" t="s">
        <v>18365</v>
      </c>
      <c r="CZ1423" t="s">
        <v>137</v>
      </c>
      <c r="DA1423" t="s">
        <v>114</v>
      </c>
      <c r="DB1423" t="s">
        <v>136</v>
      </c>
      <c r="DC1423" t="s">
        <v>136</v>
      </c>
      <c r="DD1423" t="s">
        <v>114</v>
      </c>
    </row>
    <row r="1424" spans="1:113" ht="15" customHeight="1" x14ac:dyDescent="0.25">
      <c r="A1424" t="s">
        <v>10571</v>
      </c>
      <c r="B1424" t="s">
        <v>152</v>
      </c>
      <c r="C1424" s="1">
        <v>45112.696230555557</v>
      </c>
      <c r="D1424" s="1">
        <v>45216</v>
      </c>
      <c r="E1424" t="s">
        <v>114</v>
      </c>
      <c r="F1424" t="s">
        <v>10572</v>
      </c>
      <c r="G1424" t="str">
        <f>"49-1011.00"</f>
        <v>49-1011.00</v>
      </c>
      <c r="H1424" t="s">
        <v>10573</v>
      </c>
      <c r="I1424">
        <v>5</v>
      </c>
      <c r="J1424">
        <v>5</v>
      </c>
      <c r="K1424" s="1">
        <v>45200</v>
      </c>
      <c r="L1424" s="1">
        <v>45565</v>
      </c>
      <c r="M1424" s="1">
        <v>45200</v>
      </c>
      <c r="N1424" s="1">
        <v>45565</v>
      </c>
      <c r="O1424" t="s">
        <v>184</v>
      </c>
      <c r="P1424" t="s">
        <v>8643</v>
      </c>
      <c r="R1424" t="s">
        <v>8644</v>
      </c>
      <c r="T1424" t="s">
        <v>8645</v>
      </c>
      <c r="U1424" t="s">
        <v>550</v>
      </c>
      <c r="V1424" s="8" t="str">
        <f>"30019"</f>
        <v>30019</v>
      </c>
      <c r="W1424" t="s">
        <v>118</v>
      </c>
      <c r="Y1424" s="10">
        <v>17705605687</v>
      </c>
      <c r="AA1424">
        <v>81111</v>
      </c>
      <c r="AB1424" t="s">
        <v>8646</v>
      </c>
      <c r="AC1424" t="s">
        <v>8647</v>
      </c>
      <c r="AE1424" t="s">
        <v>1836</v>
      </c>
      <c r="AF1424" t="s">
        <v>8644</v>
      </c>
      <c r="AH1424" t="s">
        <v>8645</v>
      </c>
      <c r="AI1424" t="s">
        <v>550</v>
      </c>
      <c r="AJ1424" s="8" t="str">
        <f>"30019"</f>
        <v>30019</v>
      </c>
      <c r="AK1424" t="s">
        <v>118</v>
      </c>
      <c r="AM1424" s="10">
        <v>17705605687</v>
      </c>
      <c r="AO1424" t="s">
        <v>8648</v>
      </c>
      <c r="AP1424" t="s">
        <v>121</v>
      </c>
      <c r="AQ1424" t="s">
        <v>8649</v>
      </c>
      <c r="AR1424" t="s">
        <v>8650</v>
      </c>
      <c r="AT1424" t="s">
        <v>8651</v>
      </c>
      <c r="AU1424" t="s">
        <v>8652</v>
      </c>
      <c r="AV1424" t="s">
        <v>8653</v>
      </c>
      <c r="AW1424" t="s">
        <v>581</v>
      </c>
      <c r="AX1424" s="8" t="str">
        <f>"22030"</f>
        <v>22030</v>
      </c>
      <c r="AY1424" t="s">
        <v>118</v>
      </c>
      <c r="BA1424" s="10">
        <v>17032565050</v>
      </c>
      <c r="BC1424" t="s">
        <v>8654</v>
      </c>
      <c r="BD1424" t="s">
        <v>8655</v>
      </c>
      <c r="BE1424" t="s">
        <v>581</v>
      </c>
      <c r="BF1424" t="s">
        <v>172</v>
      </c>
      <c r="BG1424" t="s">
        <v>1434</v>
      </c>
      <c r="BH1424" s="1">
        <v>45111.833333333336</v>
      </c>
      <c r="BI1424">
        <v>40</v>
      </c>
      <c r="BJ1424">
        <v>0</v>
      </c>
      <c r="BK1424">
        <v>8</v>
      </c>
      <c r="BL1424">
        <v>8</v>
      </c>
      <c r="BM1424">
        <v>8</v>
      </c>
      <c r="BN1424">
        <v>8</v>
      </c>
      <c r="BO1424">
        <v>8</v>
      </c>
      <c r="BP1424">
        <v>0</v>
      </c>
      <c r="BQ1424" t="str">
        <f>"8:00 AM"</f>
        <v>8:00 AM</v>
      </c>
      <c r="BR1424" t="str">
        <f>"5:00 PM"</f>
        <v>5:00 PM</v>
      </c>
      <c r="BS1424" t="s">
        <v>147</v>
      </c>
      <c r="BT1424">
        <v>0</v>
      </c>
      <c r="BU1424">
        <v>36</v>
      </c>
      <c r="BV1424" t="s">
        <v>136</v>
      </c>
      <c r="BW1424">
        <v>30</v>
      </c>
      <c r="BX1424" t="s">
        <v>10574</v>
      </c>
      <c r="BY1424" t="s">
        <v>8657</v>
      </c>
      <c r="CA1424" t="s">
        <v>1437</v>
      </c>
      <c r="CB1424" t="s">
        <v>1434</v>
      </c>
      <c r="CC1424" s="8" t="str">
        <f>"42740"</f>
        <v>42740</v>
      </c>
      <c r="CD1424" t="s">
        <v>1438</v>
      </c>
      <c r="CE1424" t="s">
        <v>1439</v>
      </c>
      <c r="CF1424" s="12">
        <v>32.1</v>
      </c>
      <c r="CG1424" s="12">
        <v>33</v>
      </c>
      <c r="CH1424" s="12">
        <v>48.15</v>
      </c>
      <c r="CI1424" s="12">
        <v>50</v>
      </c>
      <c r="CJ1424" t="s">
        <v>135</v>
      </c>
      <c r="CK1424" t="s">
        <v>8658</v>
      </c>
      <c r="CL1424" t="s">
        <v>10575</v>
      </c>
      <c r="CO1424" t="s">
        <v>132</v>
      </c>
      <c r="CP1424" t="s">
        <v>114</v>
      </c>
      <c r="CQ1424" t="s">
        <v>136</v>
      </c>
      <c r="CR1424" t="s">
        <v>136</v>
      </c>
      <c r="CS1424" t="s">
        <v>136</v>
      </c>
      <c r="CT1424" t="s">
        <v>136</v>
      </c>
      <c r="CU1424" t="s">
        <v>136</v>
      </c>
      <c r="CV1424" t="s">
        <v>8660</v>
      </c>
      <c r="CW1424" s="10" t="str">
        <f>"+17705605687"</f>
        <v>+17705605687</v>
      </c>
      <c r="CX1424" t="s">
        <v>8648</v>
      </c>
      <c r="CY1424" t="s">
        <v>132</v>
      </c>
      <c r="CZ1424" t="s">
        <v>137</v>
      </c>
      <c r="DA1424" t="s">
        <v>114</v>
      </c>
      <c r="DB1424" t="s">
        <v>114</v>
      </c>
      <c r="DC1424" t="s">
        <v>136</v>
      </c>
      <c r="DD1424" t="s">
        <v>114</v>
      </c>
      <c r="DE1424" t="s">
        <v>8649</v>
      </c>
      <c r="DF1424" t="s">
        <v>8650</v>
      </c>
      <c r="DH1424" t="s">
        <v>8655</v>
      </c>
      <c r="DI1424" t="s">
        <v>8654</v>
      </c>
    </row>
    <row r="1425" spans="1:113" ht="15" customHeight="1" x14ac:dyDescent="0.25">
      <c r="A1425" t="s">
        <v>8640</v>
      </c>
      <c r="B1425" t="s">
        <v>152</v>
      </c>
      <c r="C1425" s="1">
        <v>45112.673915624997</v>
      </c>
      <c r="D1425" s="1">
        <v>45216</v>
      </c>
      <c r="E1425" t="s">
        <v>114</v>
      </c>
      <c r="F1425" t="s">
        <v>8641</v>
      </c>
      <c r="G1425" t="str">
        <f>"49-9041.00"</f>
        <v>49-9041.00</v>
      </c>
      <c r="H1425" t="s">
        <v>8642</v>
      </c>
      <c r="I1425">
        <v>30</v>
      </c>
      <c r="J1425">
        <v>30</v>
      </c>
      <c r="K1425" s="1">
        <v>45200</v>
      </c>
      <c r="L1425" s="1">
        <v>45565</v>
      </c>
      <c r="M1425" s="1">
        <v>45200</v>
      </c>
      <c r="N1425" s="1">
        <v>45565</v>
      </c>
      <c r="O1425" t="s">
        <v>184</v>
      </c>
      <c r="P1425" t="s">
        <v>8643</v>
      </c>
      <c r="R1425" t="s">
        <v>8644</v>
      </c>
      <c r="T1425" t="s">
        <v>8645</v>
      </c>
      <c r="U1425" t="s">
        <v>550</v>
      </c>
      <c r="V1425" s="8" t="str">
        <f>"30019"</f>
        <v>30019</v>
      </c>
      <c r="W1425" t="s">
        <v>118</v>
      </c>
      <c r="Y1425" s="10">
        <v>17705605687</v>
      </c>
      <c r="AA1425">
        <v>81111</v>
      </c>
      <c r="AB1425" t="s">
        <v>8646</v>
      </c>
      <c r="AC1425" t="s">
        <v>8647</v>
      </c>
      <c r="AE1425" t="s">
        <v>1836</v>
      </c>
      <c r="AF1425" t="s">
        <v>8644</v>
      </c>
      <c r="AH1425" t="s">
        <v>8645</v>
      </c>
      <c r="AI1425" t="s">
        <v>550</v>
      </c>
      <c r="AJ1425" s="8" t="str">
        <f>"30019"</f>
        <v>30019</v>
      </c>
      <c r="AK1425" t="s">
        <v>118</v>
      </c>
      <c r="AM1425" s="10">
        <v>17705605687</v>
      </c>
      <c r="AO1425" t="s">
        <v>8648</v>
      </c>
      <c r="AP1425" t="s">
        <v>121</v>
      </c>
      <c r="AQ1425" t="s">
        <v>8649</v>
      </c>
      <c r="AR1425" t="s">
        <v>8650</v>
      </c>
      <c r="AT1425" t="s">
        <v>8651</v>
      </c>
      <c r="AU1425" t="s">
        <v>8652</v>
      </c>
      <c r="AV1425" t="s">
        <v>8653</v>
      </c>
      <c r="AW1425" t="s">
        <v>581</v>
      </c>
      <c r="AX1425" s="8" t="str">
        <f>"22030"</f>
        <v>22030</v>
      </c>
      <c r="AY1425" t="s">
        <v>118</v>
      </c>
      <c r="BA1425" s="10">
        <v>17032565050</v>
      </c>
      <c r="BC1425" t="s">
        <v>8654</v>
      </c>
      <c r="BD1425" t="s">
        <v>8655</v>
      </c>
      <c r="BE1425" t="s">
        <v>581</v>
      </c>
      <c r="BF1425" t="s">
        <v>172</v>
      </c>
      <c r="BG1425" t="s">
        <v>1434</v>
      </c>
      <c r="BH1425" s="1">
        <v>45111.833333333336</v>
      </c>
      <c r="BI1425">
        <v>40</v>
      </c>
      <c r="BJ1425">
        <v>0</v>
      </c>
      <c r="BK1425">
        <v>8</v>
      </c>
      <c r="BL1425">
        <v>8</v>
      </c>
      <c r="BM1425">
        <v>8</v>
      </c>
      <c r="BN1425">
        <v>8</v>
      </c>
      <c r="BO1425">
        <v>8</v>
      </c>
      <c r="BP1425">
        <v>0</v>
      </c>
      <c r="BQ1425" t="str">
        <f>"8:00 AM"</f>
        <v>8:00 AM</v>
      </c>
      <c r="BR1425" t="str">
        <f>"5:00 PM"</f>
        <v>5:00 PM</v>
      </c>
      <c r="BS1425" t="s">
        <v>147</v>
      </c>
      <c r="BT1425">
        <v>0</v>
      </c>
      <c r="BU1425">
        <v>24</v>
      </c>
      <c r="BV1425" t="s">
        <v>114</v>
      </c>
      <c r="BX1425" t="s">
        <v>8656</v>
      </c>
      <c r="BY1425" t="s">
        <v>8657</v>
      </c>
      <c r="CA1425" t="s">
        <v>1437</v>
      </c>
      <c r="CB1425" t="s">
        <v>1434</v>
      </c>
      <c r="CC1425" s="8" t="str">
        <f>"42740"</f>
        <v>42740</v>
      </c>
      <c r="CD1425" t="s">
        <v>1438</v>
      </c>
      <c r="CE1425" t="s">
        <v>1439</v>
      </c>
      <c r="CF1425" s="12">
        <v>25.95</v>
      </c>
      <c r="CG1425" s="12">
        <v>26</v>
      </c>
      <c r="CH1425" s="12">
        <v>38.93</v>
      </c>
      <c r="CI1425" s="12">
        <v>40</v>
      </c>
      <c r="CJ1425" t="s">
        <v>135</v>
      </c>
      <c r="CK1425" t="s">
        <v>8658</v>
      </c>
      <c r="CL1425" t="s">
        <v>8659</v>
      </c>
      <c r="CO1425" t="s">
        <v>132</v>
      </c>
      <c r="CP1425" t="s">
        <v>114</v>
      </c>
      <c r="CQ1425" t="s">
        <v>136</v>
      </c>
      <c r="CR1425" t="s">
        <v>136</v>
      </c>
      <c r="CS1425" t="s">
        <v>136</v>
      </c>
      <c r="CT1425" t="s">
        <v>136</v>
      </c>
      <c r="CU1425" t="s">
        <v>136</v>
      </c>
      <c r="CV1425" t="s">
        <v>8660</v>
      </c>
      <c r="CW1425" s="10" t="str">
        <f>"+17705605687"</f>
        <v>+17705605687</v>
      </c>
      <c r="CX1425" t="s">
        <v>8648</v>
      </c>
      <c r="CY1425" t="s">
        <v>132</v>
      </c>
      <c r="CZ1425" t="s">
        <v>137</v>
      </c>
      <c r="DA1425" t="s">
        <v>114</v>
      </c>
      <c r="DB1425" t="s">
        <v>114</v>
      </c>
      <c r="DC1425" t="s">
        <v>136</v>
      </c>
      <c r="DD1425" t="s">
        <v>114</v>
      </c>
      <c r="DE1425" t="s">
        <v>8649</v>
      </c>
      <c r="DF1425" t="s">
        <v>8650</v>
      </c>
      <c r="DH1425" t="s">
        <v>8655</v>
      </c>
      <c r="DI1425" t="s">
        <v>8654</v>
      </c>
    </row>
    <row r="1426" spans="1:113" ht="15" customHeight="1" x14ac:dyDescent="0.25">
      <c r="A1426" t="s">
        <v>4179</v>
      </c>
      <c r="B1426" t="s">
        <v>152</v>
      </c>
      <c r="C1426" s="1">
        <v>45111.105235648145</v>
      </c>
      <c r="D1426" s="1">
        <v>45216</v>
      </c>
      <c r="E1426" t="s">
        <v>114</v>
      </c>
      <c r="F1426" t="s">
        <v>4180</v>
      </c>
      <c r="G1426" t="str">
        <f>"51-9198.00"</f>
        <v>51-9198.00</v>
      </c>
      <c r="H1426" t="s">
        <v>1892</v>
      </c>
      <c r="I1426">
        <v>20</v>
      </c>
      <c r="J1426">
        <v>20</v>
      </c>
      <c r="K1426" s="1">
        <v>45200</v>
      </c>
      <c r="L1426" s="1">
        <v>45473</v>
      </c>
      <c r="M1426" s="1">
        <v>45200</v>
      </c>
      <c r="N1426" s="1">
        <v>45473</v>
      </c>
      <c r="O1426" t="s">
        <v>116</v>
      </c>
      <c r="P1426" t="s">
        <v>4181</v>
      </c>
      <c r="R1426" t="s">
        <v>4182</v>
      </c>
      <c r="T1426" t="s">
        <v>4183</v>
      </c>
      <c r="U1426" t="s">
        <v>127</v>
      </c>
      <c r="V1426" s="8" t="str">
        <f>"78503"</f>
        <v>78503</v>
      </c>
      <c r="W1426" t="s">
        <v>118</v>
      </c>
      <c r="Y1426" s="10">
        <v>19566303500</v>
      </c>
      <c r="AA1426">
        <v>33299</v>
      </c>
      <c r="AB1426" t="s">
        <v>4184</v>
      </c>
      <c r="AC1426" t="s">
        <v>2404</v>
      </c>
      <c r="AE1426" t="s">
        <v>2729</v>
      </c>
      <c r="AF1426" t="s">
        <v>4185</v>
      </c>
      <c r="AH1426" t="s">
        <v>4183</v>
      </c>
      <c r="AI1426" t="s">
        <v>127</v>
      </c>
      <c r="AJ1426" s="8" t="str">
        <f>"78503"</f>
        <v>78503</v>
      </c>
      <c r="AK1426" t="s">
        <v>118</v>
      </c>
      <c r="AM1426" s="10">
        <v>19566303500</v>
      </c>
      <c r="AO1426" t="s">
        <v>4186</v>
      </c>
      <c r="AX1426" s="8" t="str">
        <f>""</f>
        <v/>
      </c>
      <c r="BG1426" t="s">
        <v>127</v>
      </c>
      <c r="BH1426" s="1">
        <v>45110.833333333336</v>
      </c>
      <c r="BI1426">
        <v>40</v>
      </c>
      <c r="BJ1426">
        <v>0</v>
      </c>
      <c r="BK1426">
        <v>8</v>
      </c>
      <c r="BL1426">
        <v>8</v>
      </c>
      <c r="BM1426">
        <v>8</v>
      </c>
      <c r="BN1426">
        <v>8</v>
      </c>
      <c r="BO1426">
        <v>8</v>
      </c>
      <c r="BP1426">
        <v>0</v>
      </c>
      <c r="BQ1426" t="str">
        <f>"7:30 AM"</f>
        <v>7:30 AM</v>
      </c>
      <c r="BR1426" t="str">
        <f>"4:30 PM"</f>
        <v>4:30 PM</v>
      </c>
      <c r="BS1426" t="s">
        <v>131</v>
      </c>
      <c r="BT1426">
        <v>0</v>
      </c>
      <c r="BU1426">
        <v>3</v>
      </c>
      <c r="BV1426" t="s">
        <v>114</v>
      </c>
      <c r="BX1426" s="2" t="s">
        <v>4187</v>
      </c>
      <c r="BY1426" t="s">
        <v>4182</v>
      </c>
      <c r="CA1426" t="s">
        <v>4183</v>
      </c>
      <c r="CB1426" t="s">
        <v>127</v>
      </c>
      <c r="CC1426" s="8" t="str">
        <f>"78503"</f>
        <v>78503</v>
      </c>
      <c r="CD1426" t="s">
        <v>4188</v>
      </c>
      <c r="CE1426" t="s">
        <v>4189</v>
      </c>
      <c r="CF1426" s="12">
        <v>13.39</v>
      </c>
      <c r="CG1426" s="12">
        <v>13.39</v>
      </c>
      <c r="CJ1426" t="s">
        <v>135</v>
      </c>
      <c r="CL1426" t="s">
        <v>4190</v>
      </c>
      <c r="CO1426" t="s">
        <v>132</v>
      </c>
      <c r="CP1426" t="s">
        <v>114</v>
      </c>
      <c r="CQ1426" t="s">
        <v>114</v>
      </c>
      <c r="CR1426" t="s">
        <v>114</v>
      </c>
      <c r="CS1426" t="s">
        <v>114</v>
      </c>
      <c r="CT1426" t="s">
        <v>136</v>
      </c>
      <c r="CU1426" t="s">
        <v>114</v>
      </c>
      <c r="CV1426" t="s">
        <v>4191</v>
      </c>
      <c r="CW1426" s="10" t="str">
        <f>"+19566303500"</f>
        <v>+19566303500</v>
      </c>
      <c r="CX1426" t="s">
        <v>4186</v>
      </c>
      <c r="CY1426" t="s">
        <v>132</v>
      </c>
      <c r="CZ1426" t="s">
        <v>137</v>
      </c>
      <c r="DA1426" t="s">
        <v>114</v>
      </c>
      <c r="DB1426" t="s">
        <v>136</v>
      </c>
      <c r="DC1426" t="s">
        <v>136</v>
      </c>
      <c r="DD1426" t="s">
        <v>114</v>
      </c>
    </row>
    <row r="1427" spans="1:113" ht="15" customHeight="1" x14ac:dyDescent="0.25">
      <c r="A1427" t="s">
        <v>20696</v>
      </c>
      <c r="B1427" t="s">
        <v>152</v>
      </c>
      <c r="C1427" s="1">
        <v>45110.540050578704</v>
      </c>
      <c r="D1427" s="1">
        <v>45216</v>
      </c>
      <c r="E1427" t="s">
        <v>114</v>
      </c>
      <c r="F1427" t="s">
        <v>20697</v>
      </c>
      <c r="G1427" t="str">
        <f>"49-9071.00"</f>
        <v>49-9071.00</v>
      </c>
      <c r="H1427" t="s">
        <v>5714</v>
      </c>
      <c r="I1427">
        <v>3</v>
      </c>
      <c r="J1427">
        <v>3</v>
      </c>
      <c r="K1427" s="1">
        <v>45200</v>
      </c>
      <c r="L1427" s="1">
        <v>45565</v>
      </c>
      <c r="M1427" s="1">
        <v>45200</v>
      </c>
      <c r="N1427" s="1">
        <v>45565</v>
      </c>
      <c r="O1427" t="s">
        <v>184</v>
      </c>
      <c r="P1427" t="s">
        <v>20698</v>
      </c>
      <c r="R1427" t="s">
        <v>20699</v>
      </c>
      <c r="T1427" t="s">
        <v>20700</v>
      </c>
      <c r="U1427" t="s">
        <v>7263</v>
      </c>
      <c r="V1427" s="8" t="str">
        <f>"97654"</f>
        <v>97654</v>
      </c>
      <c r="W1427" t="s">
        <v>118</v>
      </c>
      <c r="Y1427" s="10">
        <v>17204804930</v>
      </c>
      <c r="AA1427">
        <v>531311</v>
      </c>
      <c r="AB1427" t="s">
        <v>20701</v>
      </c>
      <c r="AC1427" t="s">
        <v>4060</v>
      </c>
      <c r="AD1427" t="s">
        <v>2904</v>
      </c>
      <c r="AE1427" t="s">
        <v>3519</v>
      </c>
      <c r="AF1427" t="s">
        <v>20699</v>
      </c>
      <c r="AH1427" t="s">
        <v>20702</v>
      </c>
      <c r="AI1427" t="s">
        <v>7263</v>
      </c>
      <c r="AJ1427" s="8" t="str">
        <f>"97654"</f>
        <v>97654</v>
      </c>
      <c r="AK1427" t="s">
        <v>118</v>
      </c>
      <c r="AM1427" s="10">
        <v>17204804930</v>
      </c>
      <c r="AO1427" t="s">
        <v>20703</v>
      </c>
      <c r="AP1427" t="s">
        <v>121</v>
      </c>
      <c r="AQ1427" t="s">
        <v>15228</v>
      </c>
      <c r="AR1427" t="s">
        <v>14176</v>
      </c>
      <c r="AT1427" t="s">
        <v>20704</v>
      </c>
      <c r="AU1427" t="s">
        <v>20705</v>
      </c>
      <c r="AV1427" t="s">
        <v>2435</v>
      </c>
      <c r="AW1427" t="s">
        <v>402</v>
      </c>
      <c r="AX1427" s="8" t="str">
        <f>"92101"</f>
        <v>92101</v>
      </c>
      <c r="AY1427" t="s">
        <v>118</v>
      </c>
      <c r="BA1427" s="10">
        <v>16198198648</v>
      </c>
      <c r="BC1427" t="s">
        <v>20706</v>
      </c>
      <c r="BD1427" t="s">
        <v>20707</v>
      </c>
      <c r="BE1427" t="s">
        <v>402</v>
      </c>
      <c r="BF1427" t="s">
        <v>20708</v>
      </c>
      <c r="BG1427" t="s">
        <v>7263</v>
      </c>
      <c r="BH1427" s="1">
        <v>45109.833333333336</v>
      </c>
      <c r="BI1427">
        <v>40</v>
      </c>
      <c r="BJ1427">
        <v>0</v>
      </c>
      <c r="BK1427">
        <v>8</v>
      </c>
      <c r="BL1427">
        <v>8</v>
      </c>
      <c r="BM1427">
        <v>8</v>
      </c>
      <c r="BN1427">
        <v>8</v>
      </c>
      <c r="BO1427">
        <v>8</v>
      </c>
      <c r="BP1427">
        <v>0</v>
      </c>
      <c r="BQ1427" t="str">
        <f>"7:00 AM"</f>
        <v>7:00 AM</v>
      </c>
      <c r="BR1427" t="str">
        <f>"3:00 PM"</f>
        <v>3:00 PM</v>
      </c>
      <c r="BS1427" t="s">
        <v>147</v>
      </c>
      <c r="BT1427">
        <v>0</v>
      </c>
      <c r="BU1427">
        <v>12</v>
      </c>
      <c r="BV1427" t="s">
        <v>114</v>
      </c>
      <c r="BX1427" t="s">
        <v>1480</v>
      </c>
      <c r="BY1427" t="s">
        <v>20699</v>
      </c>
      <c r="CA1427" t="s">
        <v>20700</v>
      </c>
      <c r="CB1427" t="s">
        <v>7263</v>
      </c>
      <c r="CC1427" s="8" t="str">
        <f>"96754"</f>
        <v>96754</v>
      </c>
      <c r="CD1427" t="s">
        <v>7842</v>
      </c>
      <c r="CE1427" t="s">
        <v>7266</v>
      </c>
      <c r="CF1427" s="12">
        <v>26</v>
      </c>
      <c r="CH1427" s="12">
        <v>0</v>
      </c>
      <c r="CJ1427" t="s">
        <v>135</v>
      </c>
      <c r="CL1427" t="s">
        <v>20709</v>
      </c>
      <c r="CO1427" t="s">
        <v>132</v>
      </c>
      <c r="CP1427" t="s">
        <v>136</v>
      </c>
      <c r="CQ1427" t="s">
        <v>114</v>
      </c>
      <c r="CR1427" t="s">
        <v>114</v>
      </c>
      <c r="CS1427" t="s">
        <v>114</v>
      </c>
      <c r="CT1427" t="s">
        <v>136</v>
      </c>
      <c r="CU1427" t="s">
        <v>114</v>
      </c>
      <c r="CV1427" t="s">
        <v>1480</v>
      </c>
      <c r="CW1427" s="10" t="str">
        <f>"+17204804930"</f>
        <v>+17204804930</v>
      </c>
      <c r="CX1427" t="s">
        <v>20703</v>
      </c>
      <c r="CY1427" t="s">
        <v>132</v>
      </c>
      <c r="CZ1427" t="s">
        <v>137</v>
      </c>
      <c r="DA1427" t="s">
        <v>114</v>
      </c>
      <c r="DB1427" t="s">
        <v>114</v>
      </c>
      <c r="DC1427" t="s">
        <v>136</v>
      </c>
      <c r="DD1427" t="s">
        <v>114</v>
      </c>
    </row>
    <row r="1428" spans="1:113" ht="15" customHeight="1" x14ac:dyDescent="0.25">
      <c r="A1428" t="s">
        <v>12158</v>
      </c>
      <c r="B1428" t="s">
        <v>152</v>
      </c>
      <c r="C1428" s="1">
        <v>45110.001947453704</v>
      </c>
      <c r="D1428" s="1">
        <v>45216</v>
      </c>
      <c r="E1428" t="s">
        <v>136</v>
      </c>
      <c r="F1428" t="s">
        <v>1668</v>
      </c>
      <c r="G1428" t="str">
        <f>"35-9021.00"</f>
        <v>35-9021.00</v>
      </c>
      <c r="H1428" t="s">
        <v>501</v>
      </c>
      <c r="I1428">
        <v>10</v>
      </c>
      <c r="J1428">
        <v>10</v>
      </c>
      <c r="K1428" s="1">
        <v>45200</v>
      </c>
      <c r="L1428" s="1">
        <v>45473</v>
      </c>
      <c r="M1428" s="1">
        <v>45200</v>
      </c>
      <c r="N1428" s="1">
        <v>45473</v>
      </c>
      <c r="O1428" t="s">
        <v>116</v>
      </c>
      <c r="P1428" t="s">
        <v>12159</v>
      </c>
      <c r="R1428" t="s">
        <v>12160</v>
      </c>
      <c r="T1428" t="s">
        <v>12161</v>
      </c>
      <c r="U1428" t="s">
        <v>7263</v>
      </c>
      <c r="V1428" s="8" t="str">
        <f>"96815"</f>
        <v>96815</v>
      </c>
      <c r="W1428" t="s">
        <v>118</v>
      </c>
      <c r="Y1428" s="10">
        <v>18089561111</v>
      </c>
      <c r="AA1428">
        <v>721110</v>
      </c>
      <c r="AB1428" t="s">
        <v>12162</v>
      </c>
      <c r="AC1428" t="s">
        <v>2203</v>
      </c>
      <c r="AE1428" t="s">
        <v>12163</v>
      </c>
      <c r="AF1428" t="s">
        <v>12160</v>
      </c>
      <c r="AH1428" t="s">
        <v>12161</v>
      </c>
      <c r="AI1428" t="s">
        <v>7263</v>
      </c>
      <c r="AJ1428" s="8" t="str">
        <f>"96815"</f>
        <v>96815</v>
      </c>
      <c r="AK1428" t="s">
        <v>118</v>
      </c>
      <c r="AM1428" s="10">
        <v>18089443245</v>
      </c>
      <c r="AO1428" t="s">
        <v>12164</v>
      </c>
      <c r="AP1428" t="s">
        <v>121</v>
      </c>
      <c r="AQ1428" t="s">
        <v>12165</v>
      </c>
      <c r="AR1428" t="s">
        <v>11309</v>
      </c>
      <c r="AS1428" t="s">
        <v>12166</v>
      </c>
      <c r="AT1428" t="s">
        <v>12167</v>
      </c>
      <c r="AV1428" t="s">
        <v>6481</v>
      </c>
      <c r="AW1428" t="s">
        <v>993</v>
      </c>
      <c r="AX1428" s="8" t="str">
        <f>"53233"</f>
        <v>53233</v>
      </c>
      <c r="AY1428" t="s">
        <v>118</v>
      </c>
      <c r="BA1428" s="10">
        <v>14143423000</v>
      </c>
      <c r="BC1428" t="s">
        <v>12168</v>
      </c>
      <c r="BD1428" t="s">
        <v>12169</v>
      </c>
      <c r="BE1428" t="s">
        <v>993</v>
      </c>
      <c r="BF1428" t="s">
        <v>12170</v>
      </c>
      <c r="BG1428" t="s">
        <v>7263</v>
      </c>
      <c r="BH1428" s="1">
        <v>45099.833333333336</v>
      </c>
      <c r="BI1428">
        <v>40</v>
      </c>
      <c r="BJ1428">
        <v>8</v>
      </c>
      <c r="BK1428">
        <v>8</v>
      </c>
      <c r="BL1428">
        <v>8</v>
      </c>
      <c r="BM1428">
        <v>0</v>
      </c>
      <c r="BN1428">
        <v>0</v>
      </c>
      <c r="BO1428">
        <v>8</v>
      </c>
      <c r="BP1428">
        <v>8</v>
      </c>
      <c r="BQ1428" t="str">
        <f>"4:00 PM"</f>
        <v>4:00 PM</v>
      </c>
      <c r="BR1428" t="str">
        <f>"12:00 AM"</f>
        <v>12:00 AM</v>
      </c>
      <c r="BS1428" t="s">
        <v>131</v>
      </c>
      <c r="BT1428">
        <v>0</v>
      </c>
      <c r="BU1428">
        <v>0</v>
      </c>
      <c r="BV1428" t="s">
        <v>114</v>
      </c>
      <c r="BX1428" s="2" t="s">
        <v>12171</v>
      </c>
      <c r="BY1428" t="s">
        <v>12172</v>
      </c>
      <c r="CA1428" t="s">
        <v>12173</v>
      </c>
      <c r="CB1428" t="s">
        <v>7263</v>
      </c>
      <c r="CC1428" s="8" t="str">
        <f>"96743"</f>
        <v>96743</v>
      </c>
      <c r="CD1428" t="s">
        <v>7265</v>
      </c>
      <c r="CE1428" t="s">
        <v>7266</v>
      </c>
      <c r="CF1428" s="12">
        <v>22.15</v>
      </c>
      <c r="CH1428" s="12">
        <v>33.229999999999997</v>
      </c>
      <c r="CJ1428" t="s">
        <v>135</v>
      </c>
      <c r="CK1428" t="s">
        <v>12174</v>
      </c>
      <c r="CL1428" t="s">
        <v>12175</v>
      </c>
      <c r="CO1428" t="s">
        <v>132</v>
      </c>
      <c r="CP1428" t="s">
        <v>114</v>
      </c>
      <c r="CQ1428" t="s">
        <v>114</v>
      </c>
      <c r="CR1428" t="s">
        <v>136</v>
      </c>
      <c r="CS1428" t="s">
        <v>136</v>
      </c>
      <c r="CT1428" t="s">
        <v>136</v>
      </c>
      <c r="CU1428" t="s">
        <v>136</v>
      </c>
      <c r="CV1428" t="s">
        <v>12176</v>
      </c>
      <c r="CW1428" s="10" t="str">
        <f>"+18089443211"</f>
        <v>+18089443211</v>
      </c>
      <c r="CX1428" t="s">
        <v>12177</v>
      </c>
      <c r="CY1428" t="s">
        <v>132</v>
      </c>
      <c r="CZ1428" t="s">
        <v>137</v>
      </c>
      <c r="DA1428" t="s">
        <v>114</v>
      </c>
      <c r="DB1428" t="s">
        <v>136</v>
      </c>
      <c r="DC1428" t="s">
        <v>136</v>
      </c>
      <c r="DD1428" t="s">
        <v>114</v>
      </c>
    </row>
    <row r="1429" spans="1:113" ht="15" customHeight="1" x14ac:dyDescent="0.25">
      <c r="A1429" t="s">
        <v>18193</v>
      </c>
      <c r="B1429" t="s">
        <v>152</v>
      </c>
      <c r="C1429" s="1">
        <v>45157.806642013886</v>
      </c>
      <c r="D1429" s="1">
        <v>45215</v>
      </c>
      <c r="E1429" t="s">
        <v>114</v>
      </c>
      <c r="F1429" t="s">
        <v>449</v>
      </c>
      <c r="G1429" t="str">
        <f>"37-2012.00"</f>
        <v>37-2012.00</v>
      </c>
      <c r="H1429" t="s">
        <v>205</v>
      </c>
      <c r="I1429">
        <v>15</v>
      </c>
      <c r="J1429">
        <v>15</v>
      </c>
      <c r="K1429" s="1">
        <v>45246</v>
      </c>
      <c r="L1429" s="1">
        <v>45398</v>
      </c>
      <c r="M1429" s="1">
        <v>45246</v>
      </c>
      <c r="N1429" s="1">
        <v>45398</v>
      </c>
      <c r="O1429" t="s">
        <v>116</v>
      </c>
      <c r="P1429" t="s">
        <v>10264</v>
      </c>
      <c r="Q1429" t="s">
        <v>132</v>
      </c>
      <c r="R1429" t="s">
        <v>10265</v>
      </c>
      <c r="S1429" t="s">
        <v>132</v>
      </c>
      <c r="T1429" t="s">
        <v>10266</v>
      </c>
      <c r="U1429" t="s">
        <v>169</v>
      </c>
      <c r="V1429" s="8" t="str">
        <f>"55612"</f>
        <v>55612</v>
      </c>
      <c r="W1429" t="s">
        <v>118</v>
      </c>
      <c r="Y1429" s="10">
        <v>12184061330</v>
      </c>
      <c r="AA1429">
        <v>72111</v>
      </c>
      <c r="AB1429" t="s">
        <v>10267</v>
      </c>
      <c r="AC1429" t="s">
        <v>10268</v>
      </c>
      <c r="AD1429" t="s">
        <v>132</v>
      </c>
      <c r="AE1429" t="s">
        <v>4572</v>
      </c>
      <c r="AF1429" t="s">
        <v>10265</v>
      </c>
      <c r="AG1429" t="s">
        <v>132</v>
      </c>
      <c r="AH1429" t="s">
        <v>10266</v>
      </c>
      <c r="AI1429" t="s">
        <v>169</v>
      </c>
      <c r="AJ1429" s="8" t="str">
        <f>"55612"</f>
        <v>55612</v>
      </c>
      <c r="AK1429" t="s">
        <v>118</v>
      </c>
      <c r="AM1429" s="10">
        <v>12184061330</v>
      </c>
      <c r="AO1429" t="s">
        <v>10269</v>
      </c>
      <c r="AP1429" t="s">
        <v>248</v>
      </c>
      <c r="AQ1429" t="s">
        <v>6916</v>
      </c>
      <c r="AR1429" t="s">
        <v>3625</v>
      </c>
      <c r="AS1429" t="s">
        <v>132</v>
      </c>
      <c r="AT1429" t="s">
        <v>6917</v>
      </c>
      <c r="AU1429" t="s">
        <v>6918</v>
      </c>
      <c r="AV1429" t="s">
        <v>6919</v>
      </c>
      <c r="AW1429" t="s">
        <v>127</v>
      </c>
      <c r="AX1429" s="8" t="str">
        <f>"78266"</f>
        <v>78266</v>
      </c>
      <c r="AY1429" t="s">
        <v>118</v>
      </c>
      <c r="BA1429" s="10">
        <v>18305844555</v>
      </c>
      <c r="BC1429" t="s">
        <v>6920</v>
      </c>
      <c r="BD1429" t="s">
        <v>6921</v>
      </c>
      <c r="BG1429" t="s">
        <v>169</v>
      </c>
      <c r="BH1429" s="1">
        <v>45156.833333333336</v>
      </c>
      <c r="BI1429">
        <v>40</v>
      </c>
      <c r="BJ1429">
        <v>0</v>
      </c>
      <c r="BK1429">
        <v>8</v>
      </c>
      <c r="BL1429">
        <v>8</v>
      </c>
      <c r="BM1429">
        <v>8</v>
      </c>
      <c r="BN1429">
        <v>8</v>
      </c>
      <c r="BO1429">
        <v>8</v>
      </c>
      <c r="BP1429">
        <v>0</v>
      </c>
      <c r="BQ1429" t="str">
        <f>"8:00 AM"</f>
        <v>8:00 AM</v>
      </c>
      <c r="BR1429" t="str">
        <f>"5:00 PM"</f>
        <v>5:00 PM</v>
      </c>
      <c r="BS1429" t="s">
        <v>131</v>
      </c>
      <c r="BT1429">
        <v>0</v>
      </c>
      <c r="BU1429">
        <v>0</v>
      </c>
      <c r="BV1429" t="s">
        <v>114</v>
      </c>
      <c r="BX1429" s="2" t="s">
        <v>18194</v>
      </c>
      <c r="BY1429" t="s">
        <v>10265</v>
      </c>
      <c r="BZ1429" t="s">
        <v>132</v>
      </c>
      <c r="CA1429" t="s">
        <v>10266</v>
      </c>
      <c r="CB1429" t="s">
        <v>169</v>
      </c>
      <c r="CC1429" s="8" t="str">
        <f>"55612"</f>
        <v>55612</v>
      </c>
      <c r="CD1429" t="s">
        <v>5756</v>
      </c>
      <c r="CE1429" t="s">
        <v>10271</v>
      </c>
      <c r="CF1429" s="12">
        <v>14.97</v>
      </c>
      <c r="CG1429" s="12">
        <v>14.97</v>
      </c>
      <c r="CH1429" s="12">
        <v>0</v>
      </c>
      <c r="CI1429" s="12">
        <v>0</v>
      </c>
      <c r="CJ1429" t="s">
        <v>135</v>
      </c>
      <c r="CK1429" t="s">
        <v>6922</v>
      </c>
      <c r="CL1429" t="s">
        <v>18195</v>
      </c>
      <c r="CO1429" t="s">
        <v>132</v>
      </c>
      <c r="CP1429" t="s">
        <v>114</v>
      </c>
      <c r="CQ1429" t="s">
        <v>114</v>
      </c>
      <c r="CR1429" t="s">
        <v>114</v>
      </c>
      <c r="CS1429" t="s">
        <v>136</v>
      </c>
      <c r="CT1429" t="s">
        <v>136</v>
      </c>
      <c r="CU1429" t="s">
        <v>136</v>
      </c>
      <c r="CV1429" t="s">
        <v>12852</v>
      </c>
      <c r="CW1429" s="10" t="str">
        <f>"+12184061330"</f>
        <v>+12184061330</v>
      </c>
      <c r="CX1429" t="s">
        <v>10269</v>
      </c>
      <c r="CY1429" t="s">
        <v>132</v>
      </c>
      <c r="CZ1429" t="s">
        <v>137</v>
      </c>
      <c r="DA1429" t="s">
        <v>114</v>
      </c>
      <c r="DB1429" t="s">
        <v>136</v>
      </c>
      <c r="DC1429" t="s">
        <v>136</v>
      </c>
      <c r="DD1429" t="s">
        <v>114</v>
      </c>
    </row>
    <row r="1430" spans="1:113" ht="15" customHeight="1" x14ac:dyDescent="0.25">
      <c r="A1430" t="s">
        <v>12849</v>
      </c>
      <c r="B1430" t="s">
        <v>152</v>
      </c>
      <c r="C1430" s="1">
        <v>45157.800360532405</v>
      </c>
      <c r="D1430" s="1">
        <v>45215</v>
      </c>
      <c r="E1430" t="s">
        <v>114</v>
      </c>
      <c r="F1430" t="s">
        <v>12850</v>
      </c>
      <c r="G1430" t="str">
        <f>"35-2021.00"</f>
        <v>35-2021.00</v>
      </c>
      <c r="H1430" t="s">
        <v>2303</v>
      </c>
      <c r="I1430">
        <v>10</v>
      </c>
      <c r="J1430">
        <v>10</v>
      </c>
      <c r="K1430" s="1">
        <v>45245</v>
      </c>
      <c r="L1430" s="1">
        <v>45397</v>
      </c>
      <c r="M1430" s="1">
        <v>45245</v>
      </c>
      <c r="N1430" s="1">
        <v>45397</v>
      </c>
      <c r="O1430" t="s">
        <v>116</v>
      </c>
      <c r="P1430" t="s">
        <v>10264</v>
      </c>
      <c r="Q1430" t="s">
        <v>132</v>
      </c>
      <c r="R1430" t="s">
        <v>10265</v>
      </c>
      <c r="S1430" t="s">
        <v>132</v>
      </c>
      <c r="T1430" t="s">
        <v>10266</v>
      </c>
      <c r="U1430" t="s">
        <v>169</v>
      </c>
      <c r="V1430" s="8" t="str">
        <f>"55612"</f>
        <v>55612</v>
      </c>
      <c r="W1430" t="s">
        <v>118</v>
      </c>
      <c r="Y1430" s="10">
        <v>12184061330</v>
      </c>
      <c r="AA1430">
        <v>72111</v>
      </c>
      <c r="AB1430" t="s">
        <v>10267</v>
      </c>
      <c r="AC1430" t="s">
        <v>10268</v>
      </c>
      <c r="AD1430" t="s">
        <v>132</v>
      </c>
      <c r="AE1430" t="s">
        <v>4572</v>
      </c>
      <c r="AF1430" t="s">
        <v>10265</v>
      </c>
      <c r="AG1430" t="s">
        <v>132</v>
      </c>
      <c r="AH1430" t="s">
        <v>10266</v>
      </c>
      <c r="AI1430" t="s">
        <v>169</v>
      </c>
      <c r="AJ1430" s="8" t="str">
        <f>"55612"</f>
        <v>55612</v>
      </c>
      <c r="AK1430" t="s">
        <v>118</v>
      </c>
      <c r="AM1430" s="10">
        <v>12184061330</v>
      </c>
      <c r="AO1430" t="s">
        <v>10269</v>
      </c>
      <c r="AP1430" t="s">
        <v>248</v>
      </c>
      <c r="AQ1430" t="s">
        <v>6916</v>
      </c>
      <c r="AR1430" t="s">
        <v>3625</v>
      </c>
      <c r="AS1430" t="s">
        <v>132</v>
      </c>
      <c r="AT1430" t="s">
        <v>6917</v>
      </c>
      <c r="AU1430" t="s">
        <v>6918</v>
      </c>
      <c r="AV1430" t="s">
        <v>6919</v>
      </c>
      <c r="AW1430" t="s">
        <v>127</v>
      </c>
      <c r="AX1430" s="8" t="str">
        <f>"78266"</f>
        <v>78266</v>
      </c>
      <c r="AY1430" t="s">
        <v>118</v>
      </c>
      <c r="BA1430" s="10">
        <v>18305844555</v>
      </c>
      <c r="BC1430" t="s">
        <v>6920</v>
      </c>
      <c r="BD1430" t="s">
        <v>6921</v>
      </c>
      <c r="BG1430" t="s">
        <v>169</v>
      </c>
      <c r="BH1430" s="1">
        <v>45156.833333333336</v>
      </c>
      <c r="BI1430">
        <v>40</v>
      </c>
      <c r="BJ1430">
        <v>0</v>
      </c>
      <c r="BK1430">
        <v>8</v>
      </c>
      <c r="BL1430">
        <v>8</v>
      </c>
      <c r="BM1430">
        <v>8</v>
      </c>
      <c r="BN1430">
        <v>8</v>
      </c>
      <c r="BO1430">
        <v>8</v>
      </c>
      <c r="BP1430">
        <v>0</v>
      </c>
      <c r="BQ1430" t="str">
        <f>"2:00 PM"</f>
        <v>2:00 PM</v>
      </c>
      <c r="BR1430" t="str">
        <f>"10:00 PM"</f>
        <v>10:00 PM</v>
      </c>
      <c r="BS1430" t="s">
        <v>131</v>
      </c>
      <c r="BT1430">
        <v>0</v>
      </c>
      <c r="BU1430">
        <v>3</v>
      </c>
      <c r="BV1430" t="s">
        <v>114</v>
      </c>
      <c r="BX1430" t="s">
        <v>11223</v>
      </c>
      <c r="BY1430" t="s">
        <v>10265</v>
      </c>
      <c r="BZ1430" t="s">
        <v>132</v>
      </c>
      <c r="CA1430" t="s">
        <v>10266</v>
      </c>
      <c r="CB1430" t="s">
        <v>169</v>
      </c>
      <c r="CC1430" s="8" t="str">
        <f>"55612"</f>
        <v>55612</v>
      </c>
      <c r="CD1430" t="s">
        <v>5756</v>
      </c>
      <c r="CE1430" t="s">
        <v>10271</v>
      </c>
      <c r="CF1430" s="12">
        <v>15.37</v>
      </c>
      <c r="CG1430" s="12">
        <v>15.37</v>
      </c>
      <c r="CH1430" s="12">
        <v>0</v>
      </c>
      <c r="CI1430" s="12">
        <v>0</v>
      </c>
      <c r="CJ1430" t="s">
        <v>135</v>
      </c>
      <c r="CK1430" t="s">
        <v>6922</v>
      </c>
      <c r="CL1430" t="s">
        <v>12851</v>
      </c>
      <c r="CO1430" t="s">
        <v>132</v>
      </c>
      <c r="CP1430" t="s">
        <v>114</v>
      </c>
      <c r="CQ1430" t="s">
        <v>114</v>
      </c>
      <c r="CR1430" t="s">
        <v>114</v>
      </c>
      <c r="CS1430" t="s">
        <v>136</v>
      </c>
      <c r="CT1430" t="s">
        <v>136</v>
      </c>
      <c r="CU1430" t="s">
        <v>136</v>
      </c>
      <c r="CV1430" t="s">
        <v>12852</v>
      </c>
      <c r="CW1430" s="10" t="str">
        <f>"+12184061330"</f>
        <v>+12184061330</v>
      </c>
      <c r="CX1430" t="s">
        <v>10269</v>
      </c>
      <c r="CY1430" t="s">
        <v>132</v>
      </c>
      <c r="CZ1430" t="s">
        <v>137</v>
      </c>
      <c r="DA1430" t="s">
        <v>114</v>
      </c>
      <c r="DB1430" t="s">
        <v>136</v>
      </c>
      <c r="DC1430" t="s">
        <v>136</v>
      </c>
      <c r="DD1430" t="s">
        <v>114</v>
      </c>
    </row>
    <row r="1431" spans="1:113" ht="15" customHeight="1" x14ac:dyDescent="0.25">
      <c r="A1431" t="s">
        <v>20495</v>
      </c>
      <c r="B1431" t="s">
        <v>152</v>
      </c>
      <c r="C1431" s="1">
        <v>45157.534361226855</v>
      </c>
      <c r="D1431" s="1">
        <v>45215</v>
      </c>
      <c r="E1431" t="s">
        <v>114</v>
      </c>
      <c r="F1431" t="s">
        <v>719</v>
      </c>
      <c r="G1431" t="str">
        <f>"25-3021.00"</f>
        <v>25-3021.00</v>
      </c>
      <c r="H1431" t="s">
        <v>720</v>
      </c>
      <c r="I1431">
        <v>40</v>
      </c>
      <c r="J1431">
        <v>40</v>
      </c>
      <c r="K1431" s="1">
        <v>45247</v>
      </c>
      <c r="L1431" s="1">
        <v>45389</v>
      </c>
      <c r="M1431" s="1">
        <v>45247</v>
      </c>
      <c r="N1431" s="1">
        <v>45389</v>
      </c>
      <c r="O1431" t="s">
        <v>238</v>
      </c>
      <c r="P1431" t="s">
        <v>1081</v>
      </c>
      <c r="R1431" t="s">
        <v>510</v>
      </c>
      <c r="T1431" t="s">
        <v>511</v>
      </c>
      <c r="U1431" t="s">
        <v>188</v>
      </c>
      <c r="V1431" s="8" t="str">
        <f>"80021"</f>
        <v>80021</v>
      </c>
      <c r="W1431" t="s">
        <v>118</v>
      </c>
      <c r="Y1431" s="10">
        <v>13034041800</v>
      </c>
      <c r="AA1431">
        <v>713920</v>
      </c>
      <c r="AB1431" t="s">
        <v>507</v>
      </c>
      <c r="AC1431" t="s">
        <v>508</v>
      </c>
      <c r="AE1431" t="s">
        <v>725</v>
      </c>
      <c r="AF1431" t="s">
        <v>20496</v>
      </c>
      <c r="AH1431" t="s">
        <v>511</v>
      </c>
      <c r="AI1431" t="s">
        <v>188</v>
      </c>
      <c r="AJ1431" s="8" t="str">
        <f>"80021"</f>
        <v>80021</v>
      </c>
      <c r="AK1431" t="s">
        <v>118</v>
      </c>
      <c r="AM1431" s="10">
        <v>13034041800</v>
      </c>
      <c r="AO1431" t="s">
        <v>512</v>
      </c>
      <c r="AP1431" t="s">
        <v>121</v>
      </c>
      <c r="AQ1431" t="s">
        <v>513</v>
      </c>
      <c r="AR1431" t="s">
        <v>514</v>
      </c>
      <c r="AS1431" t="s">
        <v>515</v>
      </c>
      <c r="AT1431" t="s">
        <v>516</v>
      </c>
      <c r="AU1431" t="s">
        <v>517</v>
      </c>
      <c r="AV1431" t="s">
        <v>518</v>
      </c>
      <c r="AW1431" t="s">
        <v>402</v>
      </c>
      <c r="AX1431" s="8" t="str">
        <f>"90071"</f>
        <v>90071</v>
      </c>
      <c r="AY1431" t="s">
        <v>118</v>
      </c>
      <c r="BA1431" s="10">
        <v>13108203322</v>
      </c>
      <c r="BC1431" t="s">
        <v>519</v>
      </c>
      <c r="BD1431" t="s">
        <v>520</v>
      </c>
      <c r="BE1431" t="s">
        <v>188</v>
      </c>
      <c r="BF1431" t="s">
        <v>172</v>
      </c>
      <c r="BG1431" t="s">
        <v>188</v>
      </c>
      <c r="BH1431" s="1">
        <v>45153.833333333336</v>
      </c>
      <c r="BI1431">
        <v>35</v>
      </c>
      <c r="BJ1431">
        <v>5</v>
      </c>
      <c r="BK1431">
        <v>5</v>
      </c>
      <c r="BL1431">
        <v>5</v>
      </c>
      <c r="BM1431">
        <v>5</v>
      </c>
      <c r="BN1431">
        <v>5</v>
      </c>
      <c r="BO1431">
        <v>5</v>
      </c>
      <c r="BP1431">
        <v>5</v>
      </c>
      <c r="BQ1431" t="str">
        <f>"8:30 AM"</f>
        <v>8:30 AM</v>
      </c>
      <c r="BR1431" t="str">
        <f>"4:00 PM"</f>
        <v>4:00 PM</v>
      </c>
      <c r="BS1431" t="s">
        <v>131</v>
      </c>
      <c r="BT1431">
        <v>0</v>
      </c>
      <c r="BU1431">
        <v>0</v>
      </c>
      <c r="BV1431" t="s">
        <v>114</v>
      </c>
      <c r="BX1431" s="2" t="s">
        <v>20497</v>
      </c>
      <c r="BY1431" t="s">
        <v>20498</v>
      </c>
      <c r="CA1431" t="s">
        <v>1084</v>
      </c>
      <c r="CB1431" t="s">
        <v>188</v>
      </c>
      <c r="CC1431" s="8" t="str">
        <f>"81657"</f>
        <v>81657</v>
      </c>
      <c r="CD1431" t="s">
        <v>1037</v>
      </c>
      <c r="CE1431" t="s">
        <v>1038</v>
      </c>
      <c r="CF1431" s="12">
        <v>27</v>
      </c>
      <c r="CH1431" s="12">
        <v>40.5</v>
      </c>
      <c r="CJ1431" t="s">
        <v>135</v>
      </c>
      <c r="CK1431" t="s">
        <v>524</v>
      </c>
      <c r="CL1431" t="s">
        <v>20499</v>
      </c>
      <c r="CO1431" t="s">
        <v>132</v>
      </c>
      <c r="CP1431" t="s">
        <v>136</v>
      </c>
      <c r="CQ1431" t="s">
        <v>114</v>
      </c>
      <c r="CR1431" t="s">
        <v>136</v>
      </c>
      <c r="CS1431" t="s">
        <v>114</v>
      </c>
      <c r="CT1431" t="s">
        <v>136</v>
      </c>
      <c r="CU1431" t="s">
        <v>136</v>
      </c>
      <c r="CV1431" t="s">
        <v>20500</v>
      </c>
      <c r="CW1431" s="10" t="str">
        <f>"+13034041800"</f>
        <v>+13034041800</v>
      </c>
      <c r="CX1431" t="s">
        <v>512</v>
      </c>
      <c r="CY1431" t="s">
        <v>132</v>
      </c>
      <c r="CZ1431" t="s">
        <v>137</v>
      </c>
      <c r="DA1431" t="s">
        <v>114</v>
      </c>
      <c r="DB1431" t="s">
        <v>114</v>
      </c>
      <c r="DC1431" t="s">
        <v>136</v>
      </c>
      <c r="DD1431" t="s">
        <v>114</v>
      </c>
      <c r="DE1431" t="s">
        <v>527</v>
      </c>
      <c r="DF1431" t="s">
        <v>528</v>
      </c>
      <c r="DG1431" t="s">
        <v>732</v>
      </c>
      <c r="DH1431" t="s">
        <v>520</v>
      </c>
      <c r="DI1431" t="s">
        <v>529</v>
      </c>
    </row>
    <row r="1432" spans="1:113" ht="15" customHeight="1" x14ac:dyDescent="0.25">
      <c r="A1432" t="s">
        <v>18670</v>
      </c>
      <c r="B1432" t="s">
        <v>152</v>
      </c>
      <c r="C1432" s="1">
        <v>45155.82278101852</v>
      </c>
      <c r="D1432" s="1">
        <v>45215</v>
      </c>
      <c r="E1432" t="s">
        <v>114</v>
      </c>
      <c r="F1432" t="s">
        <v>14051</v>
      </c>
      <c r="G1432" t="str">
        <f>"37-2012.00"</f>
        <v>37-2012.00</v>
      </c>
      <c r="H1432" t="s">
        <v>205</v>
      </c>
      <c r="I1432">
        <v>10</v>
      </c>
      <c r="J1432">
        <v>10</v>
      </c>
      <c r="K1432" s="1">
        <v>45245</v>
      </c>
      <c r="L1432" s="1">
        <v>45397</v>
      </c>
      <c r="M1432" s="1">
        <v>45245</v>
      </c>
      <c r="N1432" s="1">
        <v>45397</v>
      </c>
      <c r="O1432" t="s">
        <v>116</v>
      </c>
      <c r="P1432" t="s">
        <v>18671</v>
      </c>
      <c r="R1432" t="s">
        <v>18672</v>
      </c>
      <c r="S1432" t="s">
        <v>18673</v>
      </c>
      <c r="T1432" t="s">
        <v>3595</v>
      </c>
      <c r="U1432" t="s">
        <v>188</v>
      </c>
      <c r="V1432" s="8" t="str">
        <f>"81637"</f>
        <v>81637</v>
      </c>
      <c r="W1432" t="s">
        <v>118</v>
      </c>
      <c r="Y1432" s="10">
        <v>19704715020</v>
      </c>
      <c r="AA1432">
        <v>561720</v>
      </c>
      <c r="AB1432" t="s">
        <v>18674</v>
      </c>
      <c r="AC1432" t="s">
        <v>3733</v>
      </c>
      <c r="AE1432" t="s">
        <v>561</v>
      </c>
      <c r="AF1432" t="s">
        <v>18672</v>
      </c>
      <c r="AG1432" t="s">
        <v>18673</v>
      </c>
      <c r="AH1432" t="s">
        <v>3595</v>
      </c>
      <c r="AI1432" t="s">
        <v>188</v>
      </c>
      <c r="AJ1432" s="8" t="str">
        <f>"81637"</f>
        <v>81637</v>
      </c>
      <c r="AK1432" t="s">
        <v>118</v>
      </c>
      <c r="AM1432" s="10">
        <v>19704715020</v>
      </c>
      <c r="AO1432" t="s">
        <v>18675</v>
      </c>
      <c r="AP1432" t="s">
        <v>121</v>
      </c>
      <c r="AQ1432" t="s">
        <v>1523</v>
      </c>
      <c r="AR1432" t="s">
        <v>1524</v>
      </c>
      <c r="AS1432" t="s">
        <v>1525</v>
      </c>
      <c r="AT1432" t="s">
        <v>1526</v>
      </c>
      <c r="AU1432" t="s">
        <v>1527</v>
      </c>
      <c r="AV1432" t="s">
        <v>1084</v>
      </c>
      <c r="AW1432" t="s">
        <v>188</v>
      </c>
      <c r="AX1432" s="8" t="str">
        <f>"81657"</f>
        <v>81657</v>
      </c>
      <c r="AY1432" t="s">
        <v>118</v>
      </c>
      <c r="BA1432" s="10">
        <v>19703066476</v>
      </c>
      <c r="BC1432" t="s">
        <v>1528</v>
      </c>
      <c r="BD1432" t="s">
        <v>1529</v>
      </c>
      <c r="BE1432" t="s">
        <v>188</v>
      </c>
      <c r="BF1432" t="s">
        <v>1530</v>
      </c>
      <c r="BG1432" t="s">
        <v>188</v>
      </c>
      <c r="BH1432" s="1">
        <v>45154.833333333336</v>
      </c>
      <c r="BI1432">
        <v>40</v>
      </c>
      <c r="BJ1432">
        <v>0</v>
      </c>
      <c r="BK1432">
        <v>8</v>
      </c>
      <c r="BL1432">
        <v>8</v>
      </c>
      <c r="BM1432">
        <v>8</v>
      </c>
      <c r="BN1432">
        <v>8</v>
      </c>
      <c r="BO1432">
        <v>8</v>
      </c>
      <c r="BP1432">
        <v>0</v>
      </c>
      <c r="BQ1432" t="str">
        <f>"8:00 AM"</f>
        <v>8:00 AM</v>
      </c>
      <c r="BR1432" t="str">
        <f>"4:00 PM"</f>
        <v>4:00 PM</v>
      </c>
      <c r="BS1432" t="s">
        <v>131</v>
      </c>
      <c r="BT1432">
        <v>0</v>
      </c>
      <c r="BU1432">
        <v>0</v>
      </c>
      <c r="BV1432" t="s">
        <v>114</v>
      </c>
      <c r="BX1432" s="2" t="s">
        <v>18676</v>
      </c>
      <c r="BY1432" t="s">
        <v>18677</v>
      </c>
      <c r="CA1432" t="s">
        <v>3595</v>
      </c>
      <c r="CB1432" t="s">
        <v>188</v>
      </c>
      <c r="CC1432" s="8" t="str">
        <f>"81637"</f>
        <v>81637</v>
      </c>
      <c r="CD1432" t="s">
        <v>1037</v>
      </c>
      <c r="CE1432" t="s">
        <v>1038</v>
      </c>
      <c r="CF1432" s="12">
        <v>18.29</v>
      </c>
      <c r="CH1432" s="12">
        <v>27.44</v>
      </c>
      <c r="CJ1432" t="s">
        <v>135</v>
      </c>
      <c r="CK1432" t="e">
        <f>+DOE. Eagle County Bus pass reimbursement.</f>
        <v>#NAME?</v>
      </c>
      <c r="CL1432" t="s">
        <v>18678</v>
      </c>
      <c r="CO1432" t="s">
        <v>132</v>
      </c>
      <c r="CP1432" t="s">
        <v>136</v>
      </c>
      <c r="CQ1432" t="s">
        <v>136</v>
      </c>
      <c r="CR1432" t="s">
        <v>136</v>
      </c>
      <c r="CS1432" t="s">
        <v>136</v>
      </c>
      <c r="CT1432" t="s">
        <v>136</v>
      </c>
      <c r="CU1432" t="s">
        <v>114</v>
      </c>
      <c r="CV1432" t="s">
        <v>4015</v>
      </c>
      <c r="CW1432" s="10" t="str">
        <f>"+19704715020"</f>
        <v>+19704715020</v>
      </c>
      <c r="CX1432" t="s">
        <v>18679</v>
      </c>
      <c r="CY1432" t="s">
        <v>132</v>
      </c>
      <c r="CZ1432" t="s">
        <v>137</v>
      </c>
      <c r="DA1432" t="s">
        <v>114</v>
      </c>
      <c r="DB1432" t="s">
        <v>114</v>
      </c>
      <c r="DC1432" t="s">
        <v>136</v>
      </c>
      <c r="DD1432" t="s">
        <v>114</v>
      </c>
    </row>
    <row r="1433" spans="1:113" ht="15" customHeight="1" x14ac:dyDescent="0.25">
      <c r="A1433" t="s">
        <v>14050</v>
      </c>
      <c r="B1433" t="s">
        <v>152</v>
      </c>
      <c r="C1433" s="1">
        <v>45155.732673032406</v>
      </c>
      <c r="D1433" s="1">
        <v>45215</v>
      </c>
      <c r="E1433" t="s">
        <v>114</v>
      </c>
      <c r="F1433" t="s">
        <v>14051</v>
      </c>
      <c r="G1433" t="str">
        <f>"37-2012.00"</f>
        <v>37-2012.00</v>
      </c>
      <c r="H1433" t="s">
        <v>205</v>
      </c>
      <c r="I1433">
        <v>35</v>
      </c>
      <c r="J1433">
        <v>35</v>
      </c>
      <c r="K1433" s="1">
        <v>45238</v>
      </c>
      <c r="L1433" s="1">
        <v>45542</v>
      </c>
      <c r="M1433" s="1">
        <v>45238</v>
      </c>
      <c r="N1433" s="1">
        <v>45542</v>
      </c>
      <c r="O1433" t="s">
        <v>116</v>
      </c>
      <c r="P1433" t="s">
        <v>14052</v>
      </c>
      <c r="R1433" t="s">
        <v>14053</v>
      </c>
      <c r="S1433" t="s">
        <v>14054</v>
      </c>
      <c r="T1433" t="s">
        <v>1457</v>
      </c>
      <c r="U1433" t="s">
        <v>188</v>
      </c>
      <c r="V1433" s="8" t="str">
        <f>"81620"</f>
        <v>81620</v>
      </c>
      <c r="W1433" t="s">
        <v>118</v>
      </c>
      <c r="Y1433" s="10">
        <v>19707486908</v>
      </c>
      <c r="AA1433">
        <v>561720</v>
      </c>
      <c r="AB1433" t="s">
        <v>143</v>
      </c>
      <c r="AC1433" t="s">
        <v>14055</v>
      </c>
      <c r="AE1433" t="s">
        <v>561</v>
      </c>
      <c r="AF1433" t="s">
        <v>14056</v>
      </c>
      <c r="AG1433" t="s">
        <v>14057</v>
      </c>
      <c r="AH1433" t="s">
        <v>1084</v>
      </c>
      <c r="AI1433" t="s">
        <v>188</v>
      </c>
      <c r="AJ1433" s="8" t="str">
        <f>"81657"</f>
        <v>81657</v>
      </c>
      <c r="AK1433" t="s">
        <v>118</v>
      </c>
      <c r="AM1433" s="10">
        <v>19707486908</v>
      </c>
      <c r="AO1433" t="s">
        <v>14058</v>
      </c>
      <c r="AP1433" t="s">
        <v>121</v>
      </c>
      <c r="AQ1433" t="s">
        <v>1523</v>
      </c>
      <c r="AR1433" t="s">
        <v>1524</v>
      </c>
      <c r="AS1433" t="s">
        <v>1525</v>
      </c>
      <c r="AT1433" t="s">
        <v>1526</v>
      </c>
      <c r="AU1433" t="s">
        <v>1527</v>
      </c>
      <c r="AV1433" t="s">
        <v>1084</v>
      </c>
      <c r="AW1433" t="s">
        <v>188</v>
      </c>
      <c r="AX1433" s="8" t="str">
        <f>"81657"</f>
        <v>81657</v>
      </c>
      <c r="AY1433" t="s">
        <v>118</v>
      </c>
      <c r="BA1433" s="10">
        <v>19703066476</v>
      </c>
      <c r="BC1433" t="s">
        <v>1528</v>
      </c>
      <c r="BD1433" t="s">
        <v>1529</v>
      </c>
      <c r="BE1433" t="s">
        <v>188</v>
      </c>
      <c r="BF1433" t="s">
        <v>1530</v>
      </c>
      <c r="BG1433" t="s">
        <v>188</v>
      </c>
      <c r="BH1433" s="1">
        <v>45147.833333333336</v>
      </c>
      <c r="BI1433">
        <v>35</v>
      </c>
      <c r="BJ1433">
        <v>0</v>
      </c>
      <c r="BK1433">
        <v>7</v>
      </c>
      <c r="BL1433">
        <v>7</v>
      </c>
      <c r="BM1433">
        <v>7</v>
      </c>
      <c r="BN1433">
        <v>7</v>
      </c>
      <c r="BO1433">
        <v>7</v>
      </c>
      <c r="BP1433">
        <v>0</v>
      </c>
      <c r="BQ1433" t="str">
        <f>"9:00 AM"</f>
        <v>9:00 AM</v>
      </c>
      <c r="BR1433" t="str">
        <f>"5:00 PM"</f>
        <v>5:00 PM</v>
      </c>
      <c r="BS1433" t="s">
        <v>131</v>
      </c>
      <c r="BT1433">
        <v>0</v>
      </c>
      <c r="BU1433">
        <v>0</v>
      </c>
      <c r="BV1433" t="s">
        <v>114</v>
      </c>
      <c r="BX1433" s="2" t="s">
        <v>14059</v>
      </c>
      <c r="BY1433" t="s">
        <v>14060</v>
      </c>
      <c r="CA1433" t="s">
        <v>1457</v>
      </c>
      <c r="CB1433" t="s">
        <v>188</v>
      </c>
      <c r="CC1433" s="8" t="str">
        <f>"81620"</f>
        <v>81620</v>
      </c>
      <c r="CD1433" t="s">
        <v>1037</v>
      </c>
      <c r="CE1433" t="s">
        <v>1038</v>
      </c>
      <c r="CF1433" s="12">
        <v>18.29</v>
      </c>
      <c r="CH1433" s="12">
        <v>27.44</v>
      </c>
      <c r="CJ1433" t="s">
        <v>135</v>
      </c>
      <c r="CK1433" t="e">
        <f>+DOE.</f>
        <v>#NAME?</v>
      </c>
      <c r="CL1433" t="s">
        <v>14061</v>
      </c>
      <c r="CO1433" t="s">
        <v>132</v>
      </c>
      <c r="CP1433" t="s">
        <v>136</v>
      </c>
      <c r="CQ1433" t="s">
        <v>136</v>
      </c>
      <c r="CR1433" t="s">
        <v>114</v>
      </c>
      <c r="CS1433" t="s">
        <v>114</v>
      </c>
      <c r="CT1433" t="s">
        <v>136</v>
      </c>
      <c r="CU1433" t="s">
        <v>114</v>
      </c>
      <c r="CV1433" t="s">
        <v>4015</v>
      </c>
      <c r="CW1433" s="10" t="str">
        <f>"+19707486908"</f>
        <v>+19707486908</v>
      </c>
      <c r="CX1433" t="s">
        <v>14058</v>
      </c>
      <c r="CY1433" t="s">
        <v>132</v>
      </c>
      <c r="CZ1433" t="s">
        <v>137</v>
      </c>
      <c r="DA1433" t="s">
        <v>114</v>
      </c>
      <c r="DB1433" t="s">
        <v>114</v>
      </c>
      <c r="DC1433" t="s">
        <v>136</v>
      </c>
      <c r="DD1433" t="s">
        <v>114</v>
      </c>
    </row>
    <row r="1434" spans="1:113" ht="15" customHeight="1" x14ac:dyDescent="0.25">
      <c r="A1434" t="s">
        <v>12811</v>
      </c>
      <c r="B1434" t="s">
        <v>152</v>
      </c>
      <c r="C1434" s="1">
        <v>45155.609268865737</v>
      </c>
      <c r="D1434" s="1">
        <v>45215</v>
      </c>
      <c r="E1434" t="s">
        <v>136</v>
      </c>
      <c r="F1434" t="s">
        <v>2014</v>
      </c>
      <c r="G1434" t="str">
        <f>"37-2012.00"</f>
        <v>37-2012.00</v>
      </c>
      <c r="H1434" t="s">
        <v>205</v>
      </c>
      <c r="I1434">
        <v>8</v>
      </c>
      <c r="J1434">
        <v>8</v>
      </c>
      <c r="K1434" s="1">
        <v>45245</v>
      </c>
      <c r="L1434" s="1">
        <v>45413</v>
      </c>
      <c r="M1434" s="1">
        <v>45245</v>
      </c>
      <c r="N1434" s="1">
        <v>45413</v>
      </c>
      <c r="O1434" t="s">
        <v>116</v>
      </c>
      <c r="P1434" t="s">
        <v>1099</v>
      </c>
      <c r="Q1434" t="s">
        <v>7104</v>
      </c>
      <c r="R1434" t="s">
        <v>1101</v>
      </c>
      <c r="T1434" t="s">
        <v>487</v>
      </c>
      <c r="U1434" t="s">
        <v>506</v>
      </c>
      <c r="V1434" s="8" t="str">
        <f>"05859"</f>
        <v>05859</v>
      </c>
      <c r="W1434" t="s">
        <v>118</v>
      </c>
      <c r="Y1434" s="10">
        <v>18029882611</v>
      </c>
      <c r="AA1434">
        <v>721110</v>
      </c>
      <c r="AB1434" t="s">
        <v>1102</v>
      </c>
      <c r="AC1434" t="s">
        <v>1103</v>
      </c>
      <c r="AE1434" t="s">
        <v>1104</v>
      </c>
      <c r="AF1434" t="s">
        <v>1101</v>
      </c>
      <c r="AH1434" t="s">
        <v>487</v>
      </c>
      <c r="AI1434" t="s">
        <v>506</v>
      </c>
      <c r="AJ1434" s="8" t="str">
        <f>"05859"</f>
        <v>05859</v>
      </c>
      <c r="AK1434" t="s">
        <v>118</v>
      </c>
      <c r="AM1434" s="10">
        <v>18029882611</v>
      </c>
      <c r="AO1434" t="s">
        <v>1105</v>
      </c>
      <c r="AP1434" t="s">
        <v>121</v>
      </c>
      <c r="AQ1434" t="s">
        <v>276</v>
      </c>
      <c r="AR1434" t="s">
        <v>277</v>
      </c>
      <c r="AS1434" t="s">
        <v>278</v>
      </c>
      <c r="AT1434" t="s">
        <v>279</v>
      </c>
      <c r="AU1434" t="s">
        <v>280</v>
      </c>
      <c r="AV1434" t="s">
        <v>281</v>
      </c>
      <c r="AW1434" t="s">
        <v>222</v>
      </c>
      <c r="AX1434" s="8" t="str">
        <f>"01701"</f>
        <v>01701</v>
      </c>
      <c r="AY1434" t="s">
        <v>118</v>
      </c>
      <c r="BA1434" s="10">
        <v>16179399444</v>
      </c>
      <c r="BC1434" t="s">
        <v>282</v>
      </c>
      <c r="BD1434" t="s">
        <v>283</v>
      </c>
      <c r="BE1434" t="s">
        <v>222</v>
      </c>
      <c r="BF1434" t="s">
        <v>284</v>
      </c>
      <c r="BG1434" t="s">
        <v>506</v>
      </c>
      <c r="BH1434" s="1">
        <v>45154.833333333336</v>
      </c>
      <c r="BI1434">
        <v>35</v>
      </c>
      <c r="BJ1434">
        <v>0</v>
      </c>
      <c r="BK1434">
        <v>7</v>
      </c>
      <c r="BL1434">
        <v>7</v>
      </c>
      <c r="BM1434">
        <v>7</v>
      </c>
      <c r="BN1434">
        <v>7</v>
      </c>
      <c r="BO1434">
        <v>7</v>
      </c>
      <c r="BP1434">
        <v>0</v>
      </c>
      <c r="BQ1434" t="str">
        <f>"7:00 AM"</f>
        <v>7:00 AM</v>
      </c>
      <c r="BR1434" t="str">
        <f>"2:00 PM"</f>
        <v>2:00 PM</v>
      </c>
      <c r="BS1434" t="s">
        <v>131</v>
      </c>
      <c r="BT1434">
        <v>0</v>
      </c>
      <c r="BU1434">
        <v>3</v>
      </c>
      <c r="BV1434" t="s">
        <v>114</v>
      </c>
      <c r="BX1434" s="2" t="s">
        <v>12812</v>
      </c>
      <c r="BY1434" t="s">
        <v>1101</v>
      </c>
      <c r="CA1434" t="s">
        <v>487</v>
      </c>
      <c r="CB1434" t="s">
        <v>506</v>
      </c>
      <c r="CC1434" s="8" t="str">
        <f>"05859"</f>
        <v>05859</v>
      </c>
      <c r="CD1434" t="s">
        <v>1107</v>
      </c>
      <c r="CE1434" t="s">
        <v>1108</v>
      </c>
      <c r="CF1434" s="12">
        <v>17</v>
      </c>
      <c r="CG1434" s="12">
        <v>17.510000000000002</v>
      </c>
      <c r="CH1434" s="12">
        <v>25.5</v>
      </c>
      <c r="CI1434" s="12">
        <v>26.27</v>
      </c>
      <c r="CJ1434" t="s">
        <v>135</v>
      </c>
      <c r="CK1434" t="s">
        <v>12813</v>
      </c>
      <c r="CL1434" t="s">
        <v>12814</v>
      </c>
      <c r="CO1434" t="s">
        <v>132</v>
      </c>
      <c r="CP1434" t="s">
        <v>114</v>
      </c>
      <c r="CQ1434" t="s">
        <v>136</v>
      </c>
      <c r="CR1434" t="s">
        <v>136</v>
      </c>
      <c r="CS1434" t="s">
        <v>136</v>
      </c>
      <c r="CT1434" t="s">
        <v>136</v>
      </c>
      <c r="CU1434" t="s">
        <v>136</v>
      </c>
      <c r="CV1434" s="2" t="s">
        <v>1111</v>
      </c>
      <c r="CW1434" s="10" t="str">
        <f>"+18023272416"</f>
        <v>+18023272416</v>
      </c>
      <c r="CX1434" t="s">
        <v>1105</v>
      </c>
      <c r="CY1434" t="s">
        <v>132</v>
      </c>
      <c r="CZ1434" t="s">
        <v>137</v>
      </c>
      <c r="DA1434" t="s">
        <v>114</v>
      </c>
      <c r="DB1434" t="s">
        <v>114</v>
      </c>
      <c r="DC1434" t="s">
        <v>136</v>
      </c>
      <c r="DD1434" t="s">
        <v>114</v>
      </c>
    </row>
    <row r="1435" spans="1:113" ht="15" customHeight="1" x14ac:dyDescent="0.25">
      <c r="A1435" t="s">
        <v>11601</v>
      </c>
      <c r="B1435" t="s">
        <v>152</v>
      </c>
      <c r="C1435" s="1">
        <v>45155.609045717596</v>
      </c>
      <c r="D1435" s="1">
        <v>45215</v>
      </c>
      <c r="E1435" t="s">
        <v>136</v>
      </c>
      <c r="F1435" t="s">
        <v>11602</v>
      </c>
      <c r="G1435" t="str">
        <f>"37-2011.00"</f>
        <v>37-2011.00</v>
      </c>
      <c r="H1435" t="s">
        <v>1089</v>
      </c>
      <c r="I1435">
        <v>6</v>
      </c>
      <c r="J1435">
        <v>6</v>
      </c>
      <c r="K1435" s="1">
        <v>45245</v>
      </c>
      <c r="L1435" s="1">
        <v>45413</v>
      </c>
      <c r="M1435" s="1">
        <v>45245</v>
      </c>
      <c r="N1435" s="1">
        <v>45413</v>
      </c>
      <c r="O1435" t="s">
        <v>116</v>
      </c>
      <c r="P1435" t="s">
        <v>11603</v>
      </c>
      <c r="Q1435" t="s">
        <v>1100</v>
      </c>
      <c r="R1435" t="s">
        <v>1101</v>
      </c>
      <c r="T1435" t="s">
        <v>487</v>
      </c>
      <c r="U1435" t="s">
        <v>506</v>
      </c>
      <c r="V1435" s="8" t="str">
        <f>"05859"</f>
        <v>05859</v>
      </c>
      <c r="W1435" t="s">
        <v>118</v>
      </c>
      <c r="Y1435" s="10">
        <v>18029882611</v>
      </c>
      <c r="AA1435">
        <v>721110</v>
      </c>
      <c r="AB1435" t="s">
        <v>1102</v>
      </c>
      <c r="AC1435" t="s">
        <v>1103</v>
      </c>
      <c r="AE1435" t="s">
        <v>1104</v>
      </c>
      <c r="AF1435" t="s">
        <v>1101</v>
      </c>
      <c r="AH1435" t="s">
        <v>487</v>
      </c>
      <c r="AI1435" t="s">
        <v>506</v>
      </c>
      <c r="AJ1435" s="8" t="str">
        <f>"05859"</f>
        <v>05859</v>
      </c>
      <c r="AK1435" t="s">
        <v>118</v>
      </c>
      <c r="AM1435" s="10">
        <v>18029882611</v>
      </c>
      <c r="AO1435" t="s">
        <v>1105</v>
      </c>
      <c r="AP1435" t="s">
        <v>121</v>
      </c>
      <c r="AQ1435" t="s">
        <v>276</v>
      </c>
      <c r="AR1435" t="s">
        <v>277</v>
      </c>
      <c r="AS1435" t="s">
        <v>278</v>
      </c>
      <c r="AT1435" t="s">
        <v>279</v>
      </c>
      <c r="AU1435" t="s">
        <v>280</v>
      </c>
      <c r="AV1435" t="s">
        <v>281</v>
      </c>
      <c r="AW1435" t="s">
        <v>222</v>
      </c>
      <c r="AX1435" s="8" t="str">
        <f>"01701"</f>
        <v>01701</v>
      </c>
      <c r="AY1435" t="s">
        <v>118</v>
      </c>
      <c r="BA1435" s="10">
        <v>16179399444</v>
      </c>
      <c r="BC1435" t="s">
        <v>282</v>
      </c>
      <c r="BD1435" t="s">
        <v>283</v>
      </c>
      <c r="BE1435" t="s">
        <v>222</v>
      </c>
      <c r="BF1435" t="s">
        <v>284</v>
      </c>
      <c r="BG1435" t="s">
        <v>506</v>
      </c>
      <c r="BH1435" s="1">
        <v>45154.833333333336</v>
      </c>
      <c r="BI1435">
        <v>35</v>
      </c>
      <c r="BJ1435">
        <v>0</v>
      </c>
      <c r="BK1435">
        <v>7</v>
      </c>
      <c r="BL1435">
        <v>7</v>
      </c>
      <c r="BM1435">
        <v>7</v>
      </c>
      <c r="BN1435">
        <v>7</v>
      </c>
      <c r="BO1435">
        <v>7</v>
      </c>
      <c r="BP1435">
        <v>0</v>
      </c>
      <c r="BQ1435" t="str">
        <f>"7:00 AM"</f>
        <v>7:00 AM</v>
      </c>
      <c r="BR1435" t="str">
        <f>"2:00 PM"</f>
        <v>2:00 PM</v>
      </c>
      <c r="BS1435" t="s">
        <v>131</v>
      </c>
      <c r="BT1435">
        <v>0</v>
      </c>
      <c r="BU1435">
        <v>3</v>
      </c>
      <c r="BV1435" t="s">
        <v>114</v>
      </c>
      <c r="BX1435" s="2" t="s">
        <v>11604</v>
      </c>
      <c r="BY1435" t="s">
        <v>1101</v>
      </c>
      <c r="CA1435" t="s">
        <v>487</v>
      </c>
      <c r="CB1435" t="s">
        <v>506</v>
      </c>
      <c r="CC1435" s="8" t="str">
        <f>"05859"</f>
        <v>05859</v>
      </c>
      <c r="CD1435" t="s">
        <v>1107</v>
      </c>
      <c r="CE1435" t="s">
        <v>1108</v>
      </c>
      <c r="CF1435" s="12">
        <v>17.600000000000001</v>
      </c>
      <c r="CG1435" s="12">
        <v>20.09</v>
      </c>
      <c r="CH1435" s="12">
        <v>26.4</v>
      </c>
      <c r="CI1435" s="12">
        <v>30.14</v>
      </c>
      <c r="CJ1435" t="s">
        <v>135</v>
      </c>
      <c r="CK1435" t="s">
        <v>11605</v>
      </c>
      <c r="CL1435" t="s">
        <v>11606</v>
      </c>
      <c r="CO1435" t="s">
        <v>132</v>
      </c>
      <c r="CP1435" t="s">
        <v>114</v>
      </c>
      <c r="CQ1435" t="s">
        <v>136</v>
      </c>
      <c r="CR1435" t="s">
        <v>136</v>
      </c>
      <c r="CS1435" t="s">
        <v>136</v>
      </c>
      <c r="CT1435" t="s">
        <v>136</v>
      </c>
      <c r="CU1435" t="s">
        <v>136</v>
      </c>
      <c r="CV1435" s="2" t="s">
        <v>11607</v>
      </c>
      <c r="CW1435" s="10" t="str">
        <f>"+18023272416"</f>
        <v>+18023272416</v>
      </c>
      <c r="CX1435" t="s">
        <v>1105</v>
      </c>
      <c r="CY1435" t="s">
        <v>132</v>
      </c>
      <c r="CZ1435" t="s">
        <v>137</v>
      </c>
      <c r="DA1435" t="s">
        <v>114</v>
      </c>
      <c r="DB1435" t="s">
        <v>114</v>
      </c>
      <c r="DC1435" t="s">
        <v>136</v>
      </c>
      <c r="DD1435" t="s">
        <v>114</v>
      </c>
    </row>
    <row r="1436" spans="1:113" ht="15" customHeight="1" x14ac:dyDescent="0.25">
      <c r="A1436" t="s">
        <v>4717</v>
      </c>
      <c r="B1436" t="s">
        <v>152</v>
      </c>
      <c r="C1436" s="1">
        <v>45155.54996365741</v>
      </c>
      <c r="D1436" s="1">
        <v>45215</v>
      </c>
      <c r="E1436" t="s">
        <v>114</v>
      </c>
      <c r="F1436" t="s">
        <v>4718</v>
      </c>
      <c r="G1436" t="str">
        <f>"37-2012.00"</f>
        <v>37-2012.00</v>
      </c>
      <c r="H1436" t="s">
        <v>205</v>
      </c>
      <c r="I1436">
        <v>13</v>
      </c>
      <c r="J1436">
        <v>13</v>
      </c>
      <c r="K1436" s="1">
        <v>45245</v>
      </c>
      <c r="L1436" s="1">
        <v>45395</v>
      </c>
      <c r="M1436" s="1">
        <v>45245</v>
      </c>
      <c r="N1436" s="1">
        <v>45395</v>
      </c>
      <c r="O1436" t="s">
        <v>116</v>
      </c>
      <c r="P1436" t="s">
        <v>1081</v>
      </c>
      <c r="Q1436" t="s">
        <v>4719</v>
      </c>
      <c r="R1436" t="s">
        <v>510</v>
      </c>
      <c r="T1436" t="s">
        <v>511</v>
      </c>
      <c r="U1436" t="s">
        <v>188</v>
      </c>
      <c r="V1436" s="8" t="str">
        <f>"80021"</f>
        <v>80021</v>
      </c>
      <c r="W1436" t="s">
        <v>118</v>
      </c>
      <c r="Y1436" s="10">
        <v>13034041800</v>
      </c>
      <c r="AA1436">
        <v>713920</v>
      </c>
      <c r="AB1436" t="s">
        <v>507</v>
      </c>
      <c r="AC1436" t="s">
        <v>508</v>
      </c>
      <c r="AE1436" t="s">
        <v>509</v>
      </c>
      <c r="AF1436" t="s">
        <v>510</v>
      </c>
      <c r="AH1436" t="s">
        <v>511</v>
      </c>
      <c r="AI1436" t="s">
        <v>188</v>
      </c>
      <c r="AJ1436" s="8" t="str">
        <f>"80021"</f>
        <v>80021</v>
      </c>
      <c r="AK1436" t="s">
        <v>118</v>
      </c>
      <c r="AM1436" s="10">
        <v>13034041800</v>
      </c>
      <c r="AO1436" t="s">
        <v>512</v>
      </c>
      <c r="AP1436" t="s">
        <v>121</v>
      </c>
      <c r="AQ1436" t="s">
        <v>513</v>
      </c>
      <c r="AR1436" t="s">
        <v>514</v>
      </c>
      <c r="AS1436" t="s">
        <v>515</v>
      </c>
      <c r="AT1436" t="s">
        <v>516</v>
      </c>
      <c r="AU1436" t="s">
        <v>517</v>
      </c>
      <c r="AV1436" t="s">
        <v>518</v>
      </c>
      <c r="AW1436" t="s">
        <v>402</v>
      </c>
      <c r="AX1436" s="8" t="str">
        <f>"90071"</f>
        <v>90071</v>
      </c>
      <c r="AY1436" t="s">
        <v>118</v>
      </c>
      <c r="BA1436" s="10">
        <v>13108203322</v>
      </c>
      <c r="BC1436" t="s">
        <v>519</v>
      </c>
      <c r="BD1436" t="s">
        <v>520</v>
      </c>
      <c r="BE1436" t="s">
        <v>188</v>
      </c>
      <c r="BF1436" t="s">
        <v>172</v>
      </c>
      <c r="BG1436" t="s">
        <v>188</v>
      </c>
      <c r="BH1436" s="1">
        <v>45140.833333333336</v>
      </c>
      <c r="BI1436">
        <v>35</v>
      </c>
      <c r="BJ1436">
        <v>5</v>
      </c>
      <c r="BK1436">
        <v>5</v>
      </c>
      <c r="BL1436">
        <v>5</v>
      </c>
      <c r="BM1436">
        <v>5</v>
      </c>
      <c r="BN1436">
        <v>5</v>
      </c>
      <c r="BO1436">
        <v>5</v>
      </c>
      <c r="BP1436">
        <v>5</v>
      </c>
      <c r="BQ1436" t="str">
        <f>"8:00 AM"</f>
        <v>8:00 AM</v>
      </c>
      <c r="BR1436" t="str">
        <f>"9:00 PM"</f>
        <v>9:00 PM</v>
      </c>
      <c r="BS1436" t="s">
        <v>131</v>
      </c>
      <c r="BT1436">
        <v>0</v>
      </c>
      <c r="BU1436">
        <v>12</v>
      </c>
      <c r="BV1436" t="s">
        <v>114</v>
      </c>
      <c r="BX1436" s="2" t="s">
        <v>4720</v>
      </c>
      <c r="BY1436" t="s">
        <v>4721</v>
      </c>
      <c r="CA1436" t="s">
        <v>4722</v>
      </c>
      <c r="CB1436" t="s">
        <v>188</v>
      </c>
      <c r="CC1436" s="8" t="str">
        <f>"81225"</f>
        <v>81225</v>
      </c>
      <c r="CD1436" t="s">
        <v>4723</v>
      </c>
      <c r="CE1436" t="s">
        <v>4724</v>
      </c>
      <c r="CF1436" s="12">
        <v>22</v>
      </c>
      <c r="CH1436" s="12">
        <v>33</v>
      </c>
      <c r="CJ1436" t="s">
        <v>135</v>
      </c>
      <c r="CK1436" t="s">
        <v>1094</v>
      </c>
      <c r="CL1436" t="s">
        <v>4725</v>
      </c>
      <c r="CO1436" t="s">
        <v>132</v>
      </c>
      <c r="CP1436" t="s">
        <v>136</v>
      </c>
      <c r="CQ1436" t="s">
        <v>114</v>
      </c>
      <c r="CR1436" t="s">
        <v>136</v>
      </c>
      <c r="CS1436" t="s">
        <v>114</v>
      </c>
      <c r="CT1436" t="s">
        <v>136</v>
      </c>
      <c r="CU1436" t="s">
        <v>136</v>
      </c>
      <c r="CV1436" t="s">
        <v>4726</v>
      </c>
      <c r="CW1436" s="10" t="str">
        <f>"+13034041800"</f>
        <v>+13034041800</v>
      </c>
      <c r="CX1436" t="s">
        <v>512</v>
      </c>
      <c r="CY1436" t="s">
        <v>132</v>
      </c>
      <c r="CZ1436" t="s">
        <v>137</v>
      </c>
      <c r="DA1436" t="s">
        <v>114</v>
      </c>
      <c r="DB1436" t="s">
        <v>114</v>
      </c>
      <c r="DC1436" t="s">
        <v>136</v>
      </c>
      <c r="DD1436" t="s">
        <v>114</v>
      </c>
      <c r="DE1436" t="s">
        <v>527</v>
      </c>
      <c r="DF1436" t="s">
        <v>528</v>
      </c>
      <c r="DG1436" t="s">
        <v>732</v>
      </c>
      <c r="DH1436" t="s">
        <v>4727</v>
      </c>
      <c r="DI1436" t="s">
        <v>529</v>
      </c>
    </row>
    <row r="1437" spans="1:113" ht="15" customHeight="1" x14ac:dyDescent="0.25">
      <c r="A1437" t="s">
        <v>14167</v>
      </c>
      <c r="B1437" t="s">
        <v>152</v>
      </c>
      <c r="C1437" s="1">
        <v>45155.538198842594</v>
      </c>
      <c r="D1437" s="1">
        <v>45215</v>
      </c>
      <c r="E1437" t="s">
        <v>114</v>
      </c>
      <c r="F1437" t="s">
        <v>1088</v>
      </c>
      <c r="G1437" t="str">
        <f>"37-2011.00"</f>
        <v>37-2011.00</v>
      </c>
      <c r="H1437" t="s">
        <v>1089</v>
      </c>
      <c r="I1437">
        <v>16</v>
      </c>
      <c r="J1437">
        <v>16</v>
      </c>
      <c r="K1437" s="1">
        <v>45245</v>
      </c>
      <c r="L1437" s="1">
        <v>45392</v>
      </c>
      <c r="M1437" s="1">
        <v>45245</v>
      </c>
      <c r="N1437" s="1">
        <v>45392</v>
      </c>
      <c r="O1437" t="s">
        <v>116</v>
      </c>
      <c r="P1437" t="s">
        <v>1081</v>
      </c>
      <c r="R1437" t="s">
        <v>510</v>
      </c>
      <c r="T1437" t="s">
        <v>511</v>
      </c>
      <c r="U1437" t="s">
        <v>188</v>
      </c>
      <c r="V1437" s="8" t="str">
        <f>"80021"</f>
        <v>80021</v>
      </c>
      <c r="W1437" t="s">
        <v>118</v>
      </c>
      <c r="Y1437" s="10">
        <v>13034041800</v>
      </c>
      <c r="AA1437">
        <v>713920</v>
      </c>
      <c r="AB1437" t="s">
        <v>507</v>
      </c>
      <c r="AC1437" t="s">
        <v>508</v>
      </c>
      <c r="AE1437" t="s">
        <v>725</v>
      </c>
      <c r="AF1437" t="s">
        <v>510</v>
      </c>
      <c r="AH1437" t="s">
        <v>511</v>
      </c>
      <c r="AI1437" t="s">
        <v>188</v>
      </c>
      <c r="AJ1437" s="8" t="str">
        <f>"80021"</f>
        <v>80021</v>
      </c>
      <c r="AK1437" t="s">
        <v>118</v>
      </c>
      <c r="AM1437" s="10">
        <v>13034041800</v>
      </c>
      <c r="AO1437" t="s">
        <v>512</v>
      </c>
      <c r="AP1437" t="s">
        <v>121</v>
      </c>
      <c r="AQ1437" t="s">
        <v>513</v>
      </c>
      <c r="AR1437" t="s">
        <v>514</v>
      </c>
      <c r="AS1437" t="s">
        <v>515</v>
      </c>
      <c r="AT1437" t="s">
        <v>516</v>
      </c>
      <c r="AU1437" t="s">
        <v>517</v>
      </c>
      <c r="AV1437" t="s">
        <v>518</v>
      </c>
      <c r="AW1437" t="s">
        <v>402</v>
      </c>
      <c r="AX1437" s="8" t="str">
        <f>"90071"</f>
        <v>90071</v>
      </c>
      <c r="AY1437" t="s">
        <v>118</v>
      </c>
      <c r="BA1437" s="10">
        <v>13108203322</v>
      </c>
      <c r="BC1437" t="s">
        <v>519</v>
      </c>
      <c r="BD1437" t="s">
        <v>520</v>
      </c>
      <c r="BE1437" t="s">
        <v>188</v>
      </c>
      <c r="BF1437" t="s">
        <v>172</v>
      </c>
      <c r="BG1437" t="s">
        <v>188</v>
      </c>
      <c r="BH1437" s="1">
        <v>45153.833333333336</v>
      </c>
      <c r="BI1437">
        <v>35</v>
      </c>
      <c r="BJ1437">
        <v>5</v>
      </c>
      <c r="BK1437">
        <v>5</v>
      </c>
      <c r="BL1437">
        <v>5</v>
      </c>
      <c r="BM1437">
        <v>5</v>
      </c>
      <c r="BN1437">
        <v>5</v>
      </c>
      <c r="BO1437">
        <v>5</v>
      </c>
      <c r="BP1437">
        <v>5</v>
      </c>
      <c r="BQ1437" t="str">
        <f>"8:00 AM"</f>
        <v>8:00 AM</v>
      </c>
      <c r="BR1437" t="str">
        <f>"8:00 PM"</f>
        <v>8:00 PM</v>
      </c>
      <c r="BS1437" t="s">
        <v>131</v>
      </c>
      <c r="BT1437">
        <v>0</v>
      </c>
      <c r="BU1437">
        <v>0</v>
      </c>
      <c r="BV1437" t="s">
        <v>114</v>
      </c>
      <c r="BX1437" s="2" t="s">
        <v>1091</v>
      </c>
      <c r="BY1437" t="s">
        <v>14168</v>
      </c>
      <c r="CA1437" t="s">
        <v>1084</v>
      </c>
      <c r="CB1437" t="s">
        <v>188</v>
      </c>
      <c r="CC1437" s="8" t="str">
        <f>"81657"</f>
        <v>81657</v>
      </c>
      <c r="CD1437" t="s">
        <v>1037</v>
      </c>
      <c r="CE1437" t="s">
        <v>1038</v>
      </c>
      <c r="CF1437" s="12">
        <v>20</v>
      </c>
      <c r="CH1437" s="12">
        <v>30</v>
      </c>
      <c r="CJ1437" t="s">
        <v>135</v>
      </c>
      <c r="CK1437" t="s">
        <v>524</v>
      </c>
      <c r="CL1437" t="s">
        <v>14169</v>
      </c>
      <c r="CO1437" t="s">
        <v>132</v>
      </c>
      <c r="CP1437" t="s">
        <v>136</v>
      </c>
      <c r="CQ1437" t="s">
        <v>114</v>
      </c>
      <c r="CR1437" t="s">
        <v>136</v>
      </c>
      <c r="CS1437" t="s">
        <v>114</v>
      </c>
      <c r="CT1437" t="s">
        <v>136</v>
      </c>
      <c r="CU1437" t="s">
        <v>136</v>
      </c>
      <c r="CV1437" t="s">
        <v>14170</v>
      </c>
      <c r="CW1437" s="10" t="str">
        <f>"+13034041800"</f>
        <v>+13034041800</v>
      </c>
      <c r="CX1437" t="s">
        <v>512</v>
      </c>
      <c r="CY1437" t="s">
        <v>132</v>
      </c>
      <c r="CZ1437" t="s">
        <v>137</v>
      </c>
      <c r="DA1437" t="s">
        <v>114</v>
      </c>
      <c r="DB1437" t="s">
        <v>114</v>
      </c>
      <c r="DC1437" t="s">
        <v>136</v>
      </c>
      <c r="DD1437" t="s">
        <v>114</v>
      </c>
      <c r="DE1437" t="s">
        <v>527</v>
      </c>
      <c r="DF1437" t="s">
        <v>528</v>
      </c>
      <c r="DG1437" t="s">
        <v>732</v>
      </c>
      <c r="DH1437" t="s">
        <v>520</v>
      </c>
      <c r="DI1437" t="s">
        <v>529</v>
      </c>
    </row>
    <row r="1438" spans="1:113" ht="15" customHeight="1" x14ac:dyDescent="0.25">
      <c r="A1438" t="s">
        <v>20912</v>
      </c>
      <c r="B1438" t="s">
        <v>152</v>
      </c>
      <c r="C1438" s="1">
        <v>45155.466051388888</v>
      </c>
      <c r="D1438" s="1">
        <v>45215</v>
      </c>
      <c r="E1438" t="s">
        <v>136</v>
      </c>
      <c r="F1438" t="s">
        <v>1059</v>
      </c>
      <c r="G1438" t="str">
        <f>"35-2014.00"</f>
        <v>35-2014.00</v>
      </c>
      <c r="H1438" t="s">
        <v>154</v>
      </c>
      <c r="I1438">
        <v>6</v>
      </c>
      <c r="J1438">
        <v>6</v>
      </c>
      <c r="K1438" s="1">
        <v>45245</v>
      </c>
      <c r="L1438" s="1">
        <v>45443</v>
      </c>
      <c r="M1438" s="1">
        <v>45245</v>
      </c>
      <c r="N1438" s="1">
        <v>45443</v>
      </c>
      <c r="O1438" t="s">
        <v>116</v>
      </c>
      <c r="P1438" t="s">
        <v>19182</v>
      </c>
      <c r="Q1438" t="s">
        <v>19183</v>
      </c>
      <c r="R1438" t="s">
        <v>19184</v>
      </c>
      <c r="T1438" t="s">
        <v>9917</v>
      </c>
      <c r="U1438" t="s">
        <v>140</v>
      </c>
      <c r="V1438" s="8" t="str">
        <f>"34285"</f>
        <v>34285</v>
      </c>
      <c r="W1438" t="s">
        <v>118</v>
      </c>
      <c r="Y1438" s="10">
        <v>19414847362</v>
      </c>
      <c r="AA1438">
        <v>722511</v>
      </c>
      <c r="AB1438" t="s">
        <v>19185</v>
      </c>
      <c r="AC1438" t="s">
        <v>4686</v>
      </c>
      <c r="AE1438" t="s">
        <v>629</v>
      </c>
      <c r="AF1438" t="s">
        <v>19184</v>
      </c>
      <c r="AH1438" t="s">
        <v>9917</v>
      </c>
      <c r="AI1438" t="s">
        <v>140</v>
      </c>
      <c r="AJ1438" s="8" t="str">
        <f>"34285"</f>
        <v>34285</v>
      </c>
      <c r="AK1438" t="s">
        <v>118</v>
      </c>
      <c r="AM1438" s="10">
        <v>19414847362</v>
      </c>
      <c r="AO1438" t="s">
        <v>19186</v>
      </c>
      <c r="AP1438" t="s">
        <v>121</v>
      </c>
      <c r="AQ1438" t="s">
        <v>276</v>
      </c>
      <c r="AR1438" t="s">
        <v>277</v>
      </c>
      <c r="AS1438" t="s">
        <v>278</v>
      </c>
      <c r="AT1438" t="s">
        <v>279</v>
      </c>
      <c r="AU1438" t="s">
        <v>280</v>
      </c>
      <c r="AV1438" t="s">
        <v>281</v>
      </c>
      <c r="AW1438" t="s">
        <v>222</v>
      </c>
      <c r="AX1438" s="8" t="str">
        <f>"01701"</f>
        <v>01701</v>
      </c>
      <c r="AY1438" t="s">
        <v>118</v>
      </c>
      <c r="BA1438" s="10">
        <v>16179399444</v>
      </c>
      <c r="BC1438" t="s">
        <v>282</v>
      </c>
      <c r="BD1438" t="s">
        <v>283</v>
      </c>
      <c r="BE1438" t="s">
        <v>222</v>
      </c>
      <c r="BF1438" t="s">
        <v>284</v>
      </c>
      <c r="BG1438" t="s">
        <v>140</v>
      </c>
      <c r="BH1438" s="1">
        <v>45154.833333333336</v>
      </c>
      <c r="BI1438">
        <v>35</v>
      </c>
      <c r="BJ1438">
        <v>0</v>
      </c>
      <c r="BK1438">
        <v>7</v>
      </c>
      <c r="BL1438">
        <v>7</v>
      </c>
      <c r="BM1438">
        <v>7</v>
      </c>
      <c r="BN1438">
        <v>7</v>
      </c>
      <c r="BO1438">
        <v>7</v>
      </c>
      <c r="BP1438">
        <v>0</v>
      </c>
      <c r="BQ1438" t="str">
        <f>"7:00 AM"</f>
        <v>7:00 AM</v>
      </c>
      <c r="BR1438" t="str">
        <f>"2:00 PM"</f>
        <v>2:00 PM</v>
      </c>
      <c r="BS1438" t="s">
        <v>131</v>
      </c>
      <c r="BT1438">
        <v>0</v>
      </c>
      <c r="BU1438">
        <v>6</v>
      </c>
      <c r="BV1438" t="s">
        <v>114</v>
      </c>
      <c r="BX1438" s="2" t="s">
        <v>20913</v>
      </c>
      <c r="BY1438" t="s">
        <v>19188</v>
      </c>
      <c r="CA1438" t="s">
        <v>9917</v>
      </c>
      <c r="CB1438" t="s">
        <v>140</v>
      </c>
      <c r="CC1438" s="8" t="str">
        <f>"34285"</f>
        <v>34285</v>
      </c>
      <c r="CD1438" t="s">
        <v>6059</v>
      </c>
      <c r="CE1438" t="s">
        <v>1730</v>
      </c>
      <c r="CF1438" s="12">
        <v>15.48</v>
      </c>
      <c r="CG1438" s="12">
        <v>23</v>
      </c>
      <c r="CH1438" s="12">
        <v>23.22</v>
      </c>
      <c r="CI1438" s="12">
        <v>34.5</v>
      </c>
      <c r="CJ1438" t="s">
        <v>135</v>
      </c>
      <c r="CK1438" t="s">
        <v>20914</v>
      </c>
      <c r="CL1438" t="s">
        <v>20915</v>
      </c>
      <c r="CO1438" t="s">
        <v>132</v>
      </c>
      <c r="CP1438" t="s">
        <v>114</v>
      </c>
      <c r="CQ1438" t="s">
        <v>114</v>
      </c>
      <c r="CR1438" t="s">
        <v>136</v>
      </c>
      <c r="CS1438" t="s">
        <v>136</v>
      </c>
      <c r="CT1438" t="s">
        <v>136</v>
      </c>
      <c r="CU1438" t="s">
        <v>136</v>
      </c>
      <c r="CV1438" t="s">
        <v>19191</v>
      </c>
      <c r="CW1438" s="10" t="str">
        <f>"+19414847362"</f>
        <v>+19414847362</v>
      </c>
      <c r="CX1438" t="s">
        <v>19186</v>
      </c>
      <c r="CY1438" t="s">
        <v>132</v>
      </c>
      <c r="CZ1438" t="s">
        <v>137</v>
      </c>
      <c r="DA1438" t="s">
        <v>114</v>
      </c>
      <c r="DB1438" t="s">
        <v>114</v>
      </c>
      <c r="DC1438" t="s">
        <v>136</v>
      </c>
      <c r="DD1438" t="s">
        <v>114</v>
      </c>
    </row>
    <row r="1439" spans="1:113" ht="15" customHeight="1" x14ac:dyDescent="0.25">
      <c r="A1439" t="s">
        <v>22800</v>
      </c>
      <c r="B1439" t="s">
        <v>152</v>
      </c>
      <c r="C1439" s="1">
        <v>45155.456459143519</v>
      </c>
      <c r="D1439" s="1">
        <v>45215</v>
      </c>
      <c r="E1439" t="s">
        <v>136</v>
      </c>
      <c r="F1439" t="s">
        <v>2512</v>
      </c>
      <c r="G1439" t="str">
        <f>"35-3031.00"</f>
        <v>35-3031.00</v>
      </c>
      <c r="H1439" t="s">
        <v>347</v>
      </c>
      <c r="I1439">
        <v>7</v>
      </c>
      <c r="J1439">
        <v>7</v>
      </c>
      <c r="K1439" s="1">
        <v>45245</v>
      </c>
      <c r="L1439" s="1">
        <v>45443</v>
      </c>
      <c r="M1439" s="1">
        <v>45245</v>
      </c>
      <c r="N1439" s="1">
        <v>45443</v>
      </c>
      <c r="O1439" t="s">
        <v>116</v>
      </c>
      <c r="P1439" t="s">
        <v>19182</v>
      </c>
      <c r="Q1439" t="s">
        <v>19183</v>
      </c>
      <c r="R1439" t="s">
        <v>19184</v>
      </c>
      <c r="T1439" t="s">
        <v>9917</v>
      </c>
      <c r="U1439" t="s">
        <v>140</v>
      </c>
      <c r="V1439" s="8" t="str">
        <f>"34285"</f>
        <v>34285</v>
      </c>
      <c r="W1439" t="s">
        <v>118</v>
      </c>
      <c r="Y1439" s="10">
        <v>19414847362</v>
      </c>
      <c r="AA1439">
        <v>722511</v>
      </c>
      <c r="AB1439" t="s">
        <v>19185</v>
      </c>
      <c r="AC1439" t="s">
        <v>4686</v>
      </c>
      <c r="AE1439" t="s">
        <v>629</v>
      </c>
      <c r="AF1439" t="s">
        <v>22801</v>
      </c>
      <c r="AH1439" t="s">
        <v>9917</v>
      </c>
      <c r="AI1439" t="s">
        <v>140</v>
      </c>
      <c r="AJ1439" s="8" t="str">
        <f>"34285"</f>
        <v>34285</v>
      </c>
      <c r="AK1439" t="s">
        <v>118</v>
      </c>
      <c r="AM1439" s="10">
        <v>19414847362</v>
      </c>
      <c r="AO1439" t="s">
        <v>19186</v>
      </c>
      <c r="AP1439" t="s">
        <v>121</v>
      </c>
      <c r="AQ1439" t="s">
        <v>276</v>
      </c>
      <c r="AR1439" t="s">
        <v>277</v>
      </c>
      <c r="AS1439" t="s">
        <v>278</v>
      </c>
      <c r="AT1439" t="s">
        <v>279</v>
      </c>
      <c r="AU1439" t="s">
        <v>280</v>
      </c>
      <c r="AV1439" t="s">
        <v>281</v>
      </c>
      <c r="AW1439" t="s">
        <v>222</v>
      </c>
      <c r="AX1439" s="8" t="str">
        <f>"01701"</f>
        <v>01701</v>
      </c>
      <c r="AY1439" t="s">
        <v>118</v>
      </c>
      <c r="BA1439" s="10">
        <v>16179399444</v>
      </c>
      <c r="BC1439" t="s">
        <v>282</v>
      </c>
      <c r="BD1439" t="s">
        <v>283</v>
      </c>
      <c r="BE1439" t="s">
        <v>222</v>
      </c>
      <c r="BF1439" t="s">
        <v>284</v>
      </c>
      <c r="BG1439" t="s">
        <v>140</v>
      </c>
      <c r="BH1439" s="1">
        <v>45154.833333333336</v>
      </c>
      <c r="BI1439">
        <v>35</v>
      </c>
      <c r="BJ1439">
        <v>0</v>
      </c>
      <c r="BK1439">
        <v>7</v>
      </c>
      <c r="BL1439">
        <v>7</v>
      </c>
      <c r="BM1439">
        <v>7</v>
      </c>
      <c r="BN1439">
        <v>7</v>
      </c>
      <c r="BO1439">
        <v>7</v>
      </c>
      <c r="BP1439">
        <v>0</v>
      </c>
      <c r="BQ1439" t="str">
        <f>"9:00 AM"</f>
        <v>9:00 AM</v>
      </c>
      <c r="BR1439" t="str">
        <f>"4:00 PM"</f>
        <v>4:00 PM</v>
      </c>
      <c r="BS1439" t="s">
        <v>131</v>
      </c>
      <c r="BT1439">
        <v>0</v>
      </c>
      <c r="BU1439">
        <v>3</v>
      </c>
      <c r="BV1439" t="s">
        <v>114</v>
      </c>
      <c r="BX1439" s="2" t="s">
        <v>19187</v>
      </c>
      <c r="BY1439" t="s">
        <v>19188</v>
      </c>
      <c r="CA1439" t="s">
        <v>22802</v>
      </c>
      <c r="CB1439" t="s">
        <v>140</v>
      </c>
      <c r="CC1439" s="8" t="str">
        <f>"34285"</f>
        <v>34285</v>
      </c>
      <c r="CD1439" t="s">
        <v>6059</v>
      </c>
      <c r="CE1439" t="s">
        <v>1730</v>
      </c>
      <c r="CF1439" s="12">
        <v>13.84</v>
      </c>
      <c r="CH1439" s="12">
        <v>20.76</v>
      </c>
      <c r="CJ1439" t="s">
        <v>135</v>
      </c>
      <c r="CK1439" t="s">
        <v>22803</v>
      </c>
      <c r="CL1439" t="s">
        <v>22804</v>
      </c>
      <c r="CO1439" t="s">
        <v>132</v>
      </c>
      <c r="CP1439" t="s">
        <v>114</v>
      </c>
      <c r="CQ1439" t="s">
        <v>114</v>
      </c>
      <c r="CR1439" t="s">
        <v>136</v>
      </c>
      <c r="CS1439" t="s">
        <v>136</v>
      </c>
      <c r="CT1439" t="s">
        <v>136</v>
      </c>
      <c r="CU1439" t="s">
        <v>136</v>
      </c>
      <c r="CV1439" t="s">
        <v>19191</v>
      </c>
      <c r="CW1439" s="10" t="str">
        <f>"+19414847362"</f>
        <v>+19414847362</v>
      </c>
      <c r="CX1439" t="s">
        <v>19186</v>
      </c>
      <c r="CY1439" t="s">
        <v>132</v>
      </c>
      <c r="CZ1439" t="s">
        <v>137</v>
      </c>
      <c r="DA1439" t="s">
        <v>114</v>
      </c>
      <c r="DB1439" t="s">
        <v>114</v>
      </c>
      <c r="DC1439" t="s">
        <v>136</v>
      </c>
      <c r="DD1439" t="s">
        <v>114</v>
      </c>
    </row>
    <row r="1440" spans="1:113" ht="15" customHeight="1" x14ac:dyDescent="0.25">
      <c r="A1440" t="s">
        <v>10262</v>
      </c>
      <c r="B1440" t="s">
        <v>152</v>
      </c>
      <c r="C1440" s="1">
        <v>45154.981286226852</v>
      </c>
      <c r="D1440" s="1">
        <v>45215</v>
      </c>
      <c r="E1440" t="s">
        <v>114</v>
      </c>
      <c r="F1440" t="s">
        <v>10263</v>
      </c>
      <c r="G1440" t="str">
        <f>"39-3091.00"</f>
        <v>39-3091.00</v>
      </c>
      <c r="H1440" t="s">
        <v>237</v>
      </c>
      <c r="I1440">
        <v>28</v>
      </c>
      <c r="J1440">
        <v>28</v>
      </c>
      <c r="K1440" s="1">
        <v>45240</v>
      </c>
      <c r="L1440" s="1">
        <v>45396</v>
      </c>
      <c r="M1440" s="1">
        <v>45240</v>
      </c>
      <c r="N1440" s="1">
        <v>45396</v>
      </c>
      <c r="O1440" t="s">
        <v>238</v>
      </c>
      <c r="P1440" t="s">
        <v>10264</v>
      </c>
      <c r="Q1440" t="s">
        <v>132</v>
      </c>
      <c r="R1440" t="s">
        <v>10265</v>
      </c>
      <c r="S1440" t="s">
        <v>132</v>
      </c>
      <c r="T1440" t="s">
        <v>10266</v>
      </c>
      <c r="U1440" t="s">
        <v>169</v>
      </c>
      <c r="V1440" s="8" t="str">
        <f>"55612"</f>
        <v>55612</v>
      </c>
      <c r="W1440" t="s">
        <v>118</v>
      </c>
      <c r="X1440" t="s">
        <v>132</v>
      </c>
      <c r="Y1440" s="10">
        <v>12184061330</v>
      </c>
      <c r="AA1440">
        <v>72111</v>
      </c>
      <c r="AB1440" t="s">
        <v>10267</v>
      </c>
      <c r="AC1440" t="s">
        <v>10268</v>
      </c>
      <c r="AD1440" t="s">
        <v>132</v>
      </c>
      <c r="AE1440" t="s">
        <v>4572</v>
      </c>
      <c r="AF1440" t="s">
        <v>10265</v>
      </c>
      <c r="AG1440" t="s">
        <v>132</v>
      </c>
      <c r="AH1440" t="s">
        <v>10266</v>
      </c>
      <c r="AI1440" t="s">
        <v>169</v>
      </c>
      <c r="AJ1440" s="8" t="str">
        <f>"55612"</f>
        <v>55612</v>
      </c>
      <c r="AK1440" t="s">
        <v>118</v>
      </c>
      <c r="AM1440" s="10">
        <v>12184061330</v>
      </c>
      <c r="AO1440" t="s">
        <v>10269</v>
      </c>
      <c r="AP1440" t="s">
        <v>248</v>
      </c>
      <c r="AQ1440" t="s">
        <v>6916</v>
      </c>
      <c r="AR1440" t="s">
        <v>3625</v>
      </c>
      <c r="AS1440" t="s">
        <v>132</v>
      </c>
      <c r="AT1440" t="s">
        <v>6917</v>
      </c>
      <c r="AU1440" t="s">
        <v>6918</v>
      </c>
      <c r="AV1440" t="s">
        <v>6919</v>
      </c>
      <c r="AW1440" t="s">
        <v>127</v>
      </c>
      <c r="AX1440" s="8" t="str">
        <f>"78266"</f>
        <v>78266</v>
      </c>
      <c r="AY1440" t="s">
        <v>118</v>
      </c>
      <c r="BA1440" s="10">
        <v>18305844555</v>
      </c>
      <c r="BC1440" t="s">
        <v>6920</v>
      </c>
      <c r="BD1440" t="s">
        <v>6921</v>
      </c>
      <c r="BG1440" t="s">
        <v>169</v>
      </c>
      <c r="BH1440" s="1">
        <v>45153.833333333336</v>
      </c>
      <c r="BI1440">
        <v>40</v>
      </c>
      <c r="BJ1440">
        <v>0</v>
      </c>
      <c r="BK1440">
        <v>8</v>
      </c>
      <c r="BL1440">
        <v>8</v>
      </c>
      <c r="BM1440">
        <v>8</v>
      </c>
      <c r="BN1440">
        <v>8</v>
      </c>
      <c r="BO1440">
        <v>8</v>
      </c>
      <c r="BP1440">
        <v>0</v>
      </c>
      <c r="BQ1440" t="str">
        <f>"8:00 AM"</f>
        <v>8:00 AM</v>
      </c>
      <c r="BR1440" t="str">
        <f>"5:00 PM"</f>
        <v>5:00 PM</v>
      </c>
      <c r="BS1440" t="s">
        <v>131</v>
      </c>
      <c r="BT1440">
        <v>0</v>
      </c>
      <c r="BU1440">
        <v>0</v>
      </c>
      <c r="BV1440" t="s">
        <v>114</v>
      </c>
      <c r="BX1440" s="2" t="s">
        <v>10270</v>
      </c>
      <c r="BY1440" t="s">
        <v>10265</v>
      </c>
      <c r="BZ1440" t="s">
        <v>132</v>
      </c>
      <c r="CA1440" t="s">
        <v>10266</v>
      </c>
      <c r="CB1440" t="s">
        <v>169</v>
      </c>
      <c r="CC1440" s="8" t="str">
        <f>"55612"</f>
        <v>55612</v>
      </c>
      <c r="CD1440" t="s">
        <v>5756</v>
      </c>
      <c r="CE1440" t="s">
        <v>10271</v>
      </c>
      <c r="CF1440" s="12">
        <v>13.95</v>
      </c>
      <c r="CG1440" s="12">
        <v>13.95</v>
      </c>
      <c r="CH1440" s="12">
        <v>0</v>
      </c>
      <c r="CI1440" s="12">
        <v>0</v>
      </c>
      <c r="CJ1440" t="s">
        <v>135</v>
      </c>
      <c r="CK1440" t="s">
        <v>6922</v>
      </c>
      <c r="CL1440" t="s">
        <v>10272</v>
      </c>
      <c r="CO1440" t="s">
        <v>132</v>
      </c>
      <c r="CP1440" t="s">
        <v>114</v>
      </c>
      <c r="CQ1440" t="s">
        <v>114</v>
      </c>
      <c r="CR1440" t="s">
        <v>114</v>
      </c>
      <c r="CS1440" t="s">
        <v>136</v>
      </c>
      <c r="CT1440" t="s">
        <v>136</v>
      </c>
      <c r="CU1440" t="s">
        <v>136</v>
      </c>
      <c r="CV1440" t="s">
        <v>10273</v>
      </c>
      <c r="CW1440" s="10" t="str">
        <f>"+12184061330"</f>
        <v>+12184061330</v>
      </c>
      <c r="CX1440" t="s">
        <v>10269</v>
      </c>
      <c r="CY1440" t="s">
        <v>132</v>
      </c>
      <c r="CZ1440" t="s">
        <v>137</v>
      </c>
      <c r="DA1440" t="s">
        <v>114</v>
      </c>
      <c r="DB1440" t="s">
        <v>136</v>
      </c>
      <c r="DC1440" t="s">
        <v>136</v>
      </c>
      <c r="DD1440" t="s">
        <v>114</v>
      </c>
    </row>
    <row r="1441" spans="1:113" ht="15" customHeight="1" x14ac:dyDescent="0.25">
      <c r="A1441" t="s">
        <v>19268</v>
      </c>
      <c r="B1441" t="s">
        <v>152</v>
      </c>
      <c r="C1441" s="1">
        <v>45154.686552314815</v>
      </c>
      <c r="D1441" s="1">
        <v>45215</v>
      </c>
      <c r="E1441" t="s">
        <v>114</v>
      </c>
      <c r="F1441" t="s">
        <v>19269</v>
      </c>
      <c r="G1441" t="str">
        <f>"37-2012.00"</f>
        <v>37-2012.00</v>
      </c>
      <c r="H1441" t="s">
        <v>205</v>
      </c>
      <c r="I1441">
        <v>5</v>
      </c>
      <c r="J1441">
        <v>5</v>
      </c>
      <c r="K1441" s="1">
        <v>45244</v>
      </c>
      <c r="L1441" s="1">
        <v>45392</v>
      </c>
      <c r="M1441" s="1">
        <v>45244</v>
      </c>
      <c r="N1441" s="1">
        <v>45392</v>
      </c>
      <c r="O1441" t="s">
        <v>116</v>
      </c>
      <c r="P1441" t="s">
        <v>19270</v>
      </c>
      <c r="R1441" t="s">
        <v>19271</v>
      </c>
      <c r="S1441" t="s">
        <v>19272</v>
      </c>
      <c r="T1441" t="s">
        <v>1457</v>
      </c>
      <c r="U1441" t="s">
        <v>188</v>
      </c>
      <c r="V1441" s="8" t="str">
        <f>"86201"</f>
        <v>86201</v>
      </c>
      <c r="W1441" t="s">
        <v>118</v>
      </c>
      <c r="Y1441" s="10">
        <v>19702091014</v>
      </c>
      <c r="AA1441">
        <v>561720</v>
      </c>
      <c r="AB1441" t="s">
        <v>19273</v>
      </c>
      <c r="AC1441" t="s">
        <v>19274</v>
      </c>
      <c r="AE1441" t="s">
        <v>561</v>
      </c>
      <c r="AF1441" t="s">
        <v>19271</v>
      </c>
      <c r="AG1441" t="s">
        <v>19272</v>
      </c>
      <c r="AH1441" t="s">
        <v>1457</v>
      </c>
      <c r="AI1441" t="s">
        <v>188</v>
      </c>
      <c r="AJ1441" s="8" t="str">
        <f>"86201"</f>
        <v>86201</v>
      </c>
      <c r="AK1441" t="s">
        <v>118</v>
      </c>
      <c r="AM1441" s="10">
        <v>19702091014</v>
      </c>
      <c r="AO1441" t="s">
        <v>19275</v>
      </c>
      <c r="AP1441" t="s">
        <v>248</v>
      </c>
      <c r="AQ1441" t="s">
        <v>1601</v>
      </c>
      <c r="AR1441" t="s">
        <v>1602</v>
      </c>
      <c r="AT1441" t="s">
        <v>851</v>
      </c>
      <c r="AU1441" t="s">
        <v>852</v>
      </c>
      <c r="AV1441" t="s">
        <v>853</v>
      </c>
      <c r="AW1441" t="s">
        <v>854</v>
      </c>
      <c r="AX1441" s="8" t="str">
        <f>"83814"</f>
        <v>83814</v>
      </c>
      <c r="AY1441" t="s">
        <v>118</v>
      </c>
      <c r="BA1441" s="10">
        <v>12087772654</v>
      </c>
      <c r="BC1441" t="s">
        <v>1603</v>
      </c>
      <c r="BD1441" t="s">
        <v>856</v>
      </c>
      <c r="BG1441" t="s">
        <v>188</v>
      </c>
      <c r="BH1441" s="1">
        <v>45153.833333333336</v>
      </c>
      <c r="BI1441">
        <v>40</v>
      </c>
      <c r="BJ1441">
        <v>0</v>
      </c>
      <c r="BK1441">
        <v>8</v>
      </c>
      <c r="BL1441">
        <v>8</v>
      </c>
      <c r="BM1441">
        <v>8</v>
      </c>
      <c r="BN1441">
        <v>8</v>
      </c>
      <c r="BO1441">
        <v>8</v>
      </c>
      <c r="BP1441">
        <v>0</v>
      </c>
      <c r="BQ1441" t="str">
        <f>"8:30 AM"</f>
        <v>8:30 AM</v>
      </c>
      <c r="BR1441" t="str">
        <f>"5:00 PM"</f>
        <v>5:00 PM</v>
      </c>
      <c r="BS1441" t="s">
        <v>131</v>
      </c>
      <c r="BT1441">
        <v>0</v>
      </c>
      <c r="BU1441">
        <v>0</v>
      </c>
      <c r="BV1441" t="s">
        <v>114</v>
      </c>
      <c r="BX1441" t="s">
        <v>19276</v>
      </c>
      <c r="BY1441" t="s">
        <v>19277</v>
      </c>
      <c r="BZ1441" t="s">
        <v>19272</v>
      </c>
      <c r="CA1441" t="s">
        <v>1457</v>
      </c>
      <c r="CB1441" t="s">
        <v>188</v>
      </c>
      <c r="CC1441" s="8" t="str">
        <f>"86201"</f>
        <v>86201</v>
      </c>
      <c r="CD1441" t="s">
        <v>1037</v>
      </c>
      <c r="CE1441" t="s">
        <v>1038</v>
      </c>
      <c r="CF1441" s="12">
        <v>16.649999999999999</v>
      </c>
      <c r="CH1441" s="12">
        <v>24.98</v>
      </c>
      <c r="CJ1441" t="s">
        <v>135</v>
      </c>
      <c r="CK1441" t="s">
        <v>132</v>
      </c>
      <c r="CL1441" t="s">
        <v>19278</v>
      </c>
      <c r="CO1441" t="s">
        <v>132</v>
      </c>
      <c r="CP1441" t="s">
        <v>136</v>
      </c>
      <c r="CQ1441" t="s">
        <v>136</v>
      </c>
      <c r="CR1441" t="s">
        <v>136</v>
      </c>
      <c r="CS1441" t="s">
        <v>136</v>
      </c>
      <c r="CT1441" t="s">
        <v>136</v>
      </c>
      <c r="CU1441" t="s">
        <v>114</v>
      </c>
      <c r="CV1441" t="s">
        <v>1040</v>
      </c>
      <c r="CW1441" s="10" t="str">
        <f>"+19702091014"</f>
        <v>+19702091014</v>
      </c>
      <c r="CX1441" t="s">
        <v>19275</v>
      </c>
      <c r="CY1441" t="s">
        <v>132</v>
      </c>
      <c r="CZ1441" t="s">
        <v>137</v>
      </c>
      <c r="DA1441" t="s">
        <v>114</v>
      </c>
      <c r="DB1441" t="s">
        <v>136</v>
      </c>
      <c r="DC1441" t="s">
        <v>136</v>
      </c>
      <c r="DD1441" t="s">
        <v>114</v>
      </c>
    </row>
    <row r="1442" spans="1:113" ht="15" customHeight="1" x14ac:dyDescent="0.25">
      <c r="A1442" t="s">
        <v>23696</v>
      </c>
      <c r="B1442" t="s">
        <v>152</v>
      </c>
      <c r="C1442" s="1">
        <v>45154.520589583335</v>
      </c>
      <c r="D1442" s="1">
        <v>45215</v>
      </c>
      <c r="E1442" t="s">
        <v>114</v>
      </c>
      <c r="F1442" t="s">
        <v>1059</v>
      </c>
      <c r="G1442" t="str">
        <f>"35-2014.00"</f>
        <v>35-2014.00</v>
      </c>
      <c r="H1442" t="s">
        <v>154</v>
      </c>
      <c r="I1442">
        <v>8</v>
      </c>
      <c r="J1442">
        <v>8</v>
      </c>
      <c r="K1442" s="1">
        <v>45244</v>
      </c>
      <c r="L1442" s="1">
        <v>45397</v>
      </c>
      <c r="M1442" s="1">
        <v>45244</v>
      </c>
      <c r="N1442" s="1">
        <v>45397</v>
      </c>
      <c r="O1442" t="s">
        <v>116</v>
      </c>
      <c r="P1442" t="s">
        <v>721</v>
      </c>
      <c r="Q1442" t="s">
        <v>23697</v>
      </c>
      <c r="R1442" t="s">
        <v>23698</v>
      </c>
      <c r="T1442" t="s">
        <v>17412</v>
      </c>
      <c r="U1442" t="s">
        <v>402</v>
      </c>
      <c r="V1442" s="8" t="str">
        <f>"95646"</f>
        <v>95646</v>
      </c>
      <c r="W1442" t="s">
        <v>118</v>
      </c>
      <c r="Y1442" s="10">
        <v>13034041800</v>
      </c>
      <c r="AA1442">
        <v>713920</v>
      </c>
      <c r="AB1442" t="s">
        <v>507</v>
      </c>
      <c r="AC1442" t="s">
        <v>508</v>
      </c>
      <c r="AE1442" t="s">
        <v>509</v>
      </c>
      <c r="AF1442" t="s">
        <v>510</v>
      </c>
      <c r="AH1442" t="s">
        <v>511</v>
      </c>
      <c r="AI1442" t="s">
        <v>402</v>
      </c>
      <c r="AJ1442" s="8" t="str">
        <f>"80021"</f>
        <v>80021</v>
      </c>
      <c r="AK1442" t="s">
        <v>118</v>
      </c>
      <c r="AM1442" s="10">
        <v>13034041800</v>
      </c>
      <c r="AO1442" t="s">
        <v>512</v>
      </c>
      <c r="AP1442" t="s">
        <v>121</v>
      </c>
      <c r="AQ1442" t="s">
        <v>513</v>
      </c>
      <c r="AR1442" t="s">
        <v>514</v>
      </c>
      <c r="AS1442" t="s">
        <v>515</v>
      </c>
      <c r="AT1442" t="s">
        <v>516</v>
      </c>
      <c r="AU1442" t="s">
        <v>517</v>
      </c>
      <c r="AV1442" t="s">
        <v>518</v>
      </c>
      <c r="AW1442" t="s">
        <v>402</v>
      </c>
      <c r="AX1442" s="8" t="str">
        <f>"90071"</f>
        <v>90071</v>
      </c>
      <c r="AY1442" t="s">
        <v>118</v>
      </c>
      <c r="BA1442" s="10">
        <v>13108203322</v>
      </c>
      <c r="BC1442" t="s">
        <v>519</v>
      </c>
      <c r="BD1442" t="s">
        <v>520</v>
      </c>
      <c r="BE1442" t="s">
        <v>188</v>
      </c>
      <c r="BF1442" t="s">
        <v>172</v>
      </c>
      <c r="BG1442" t="s">
        <v>402</v>
      </c>
      <c r="BH1442" s="1">
        <v>45149.833333333336</v>
      </c>
      <c r="BI1442">
        <v>35</v>
      </c>
      <c r="BJ1442">
        <v>5</v>
      </c>
      <c r="BK1442">
        <v>5</v>
      </c>
      <c r="BL1442">
        <v>5</v>
      </c>
      <c r="BM1442">
        <v>5</v>
      </c>
      <c r="BN1442">
        <v>5</v>
      </c>
      <c r="BO1442">
        <v>5</v>
      </c>
      <c r="BP1442">
        <v>5</v>
      </c>
      <c r="BQ1442" t="str">
        <f>"8:00 AM"</f>
        <v>8:00 AM</v>
      </c>
      <c r="BR1442" t="str">
        <f>"11:00 PM"</f>
        <v>11:00 PM</v>
      </c>
      <c r="BS1442" t="s">
        <v>131</v>
      </c>
      <c r="BT1442">
        <v>0</v>
      </c>
      <c r="BU1442">
        <v>24</v>
      </c>
      <c r="BV1442" t="s">
        <v>114</v>
      </c>
      <c r="BX1442" s="2" t="s">
        <v>1082</v>
      </c>
      <c r="BY1442" t="s">
        <v>23698</v>
      </c>
      <c r="CA1442" t="s">
        <v>17412</v>
      </c>
      <c r="CB1442" t="s">
        <v>402</v>
      </c>
      <c r="CC1442" s="8" t="str">
        <f>"95646"</f>
        <v>95646</v>
      </c>
      <c r="CD1442" t="s">
        <v>23699</v>
      </c>
      <c r="CE1442" t="s">
        <v>1356</v>
      </c>
      <c r="CF1442" s="12">
        <v>22</v>
      </c>
      <c r="CG1442" s="12">
        <v>24.49</v>
      </c>
      <c r="CH1442" s="12">
        <v>33</v>
      </c>
      <c r="CI1442" s="12">
        <v>36.74</v>
      </c>
      <c r="CJ1442" t="s">
        <v>135</v>
      </c>
      <c r="CK1442" t="s">
        <v>1094</v>
      </c>
      <c r="CL1442" t="s">
        <v>23700</v>
      </c>
      <c r="CO1442" t="s">
        <v>132</v>
      </c>
      <c r="CP1442" t="s">
        <v>114</v>
      </c>
      <c r="CQ1442" t="s">
        <v>114</v>
      </c>
      <c r="CR1442" t="s">
        <v>136</v>
      </c>
      <c r="CS1442" t="s">
        <v>114</v>
      </c>
      <c r="CT1442" t="s">
        <v>136</v>
      </c>
      <c r="CU1442" t="s">
        <v>136</v>
      </c>
      <c r="CV1442" t="s">
        <v>23701</v>
      </c>
      <c r="CW1442" s="10" t="str">
        <f>"+13034041800"</f>
        <v>+13034041800</v>
      </c>
      <c r="CX1442" t="s">
        <v>512</v>
      </c>
      <c r="CY1442" t="s">
        <v>132</v>
      </c>
      <c r="CZ1442" t="s">
        <v>137</v>
      </c>
      <c r="DA1442" t="s">
        <v>114</v>
      </c>
      <c r="DB1442" t="s">
        <v>114</v>
      </c>
      <c r="DC1442" t="s">
        <v>136</v>
      </c>
      <c r="DD1442" t="s">
        <v>114</v>
      </c>
      <c r="DE1442" t="s">
        <v>527</v>
      </c>
      <c r="DF1442" t="s">
        <v>528</v>
      </c>
      <c r="DG1442" t="s">
        <v>732</v>
      </c>
      <c r="DH1442" t="s">
        <v>520</v>
      </c>
      <c r="DI1442" t="s">
        <v>529</v>
      </c>
    </row>
    <row r="1443" spans="1:113" ht="15" customHeight="1" x14ac:dyDescent="0.25">
      <c r="A1443" t="s">
        <v>1667</v>
      </c>
      <c r="B1443" t="s">
        <v>152</v>
      </c>
      <c r="C1443" s="1">
        <v>45154.461160069448</v>
      </c>
      <c r="D1443" s="1">
        <v>45215</v>
      </c>
      <c r="E1443" t="s">
        <v>114</v>
      </c>
      <c r="F1443" t="s">
        <v>1668</v>
      </c>
      <c r="G1443" t="str">
        <f>"35-9021.00"</f>
        <v>35-9021.00</v>
      </c>
      <c r="H1443" t="s">
        <v>501</v>
      </c>
      <c r="I1443">
        <v>12</v>
      </c>
      <c r="J1443">
        <v>12</v>
      </c>
      <c r="K1443" s="1">
        <v>45244</v>
      </c>
      <c r="L1443" s="1">
        <v>45397</v>
      </c>
      <c r="M1443" s="1">
        <v>45244</v>
      </c>
      <c r="N1443" s="1">
        <v>45397</v>
      </c>
      <c r="O1443" t="s">
        <v>116</v>
      </c>
      <c r="P1443" t="s">
        <v>1669</v>
      </c>
      <c r="Q1443" t="s">
        <v>1670</v>
      </c>
      <c r="R1443" t="s">
        <v>1671</v>
      </c>
      <c r="T1443" t="s">
        <v>1672</v>
      </c>
      <c r="U1443" t="s">
        <v>506</v>
      </c>
      <c r="V1443" s="8" t="str">
        <f>"05672"</f>
        <v>05672</v>
      </c>
      <c r="W1443" t="s">
        <v>118</v>
      </c>
      <c r="Y1443" s="10">
        <v>18027604701</v>
      </c>
      <c r="Z1443">
        <v>0</v>
      </c>
      <c r="AA1443">
        <v>72111</v>
      </c>
      <c r="AB1443" t="s">
        <v>1673</v>
      </c>
      <c r="AC1443" t="s">
        <v>931</v>
      </c>
      <c r="AE1443" t="s">
        <v>1349</v>
      </c>
      <c r="AF1443" t="s">
        <v>1671</v>
      </c>
      <c r="AH1443" t="s">
        <v>1672</v>
      </c>
      <c r="AI1443" t="s">
        <v>506</v>
      </c>
      <c r="AJ1443" s="8" t="str">
        <f>"05672"</f>
        <v>05672</v>
      </c>
      <c r="AK1443" t="s">
        <v>118</v>
      </c>
      <c r="AM1443" s="10">
        <v>18027604701</v>
      </c>
      <c r="AO1443" t="s">
        <v>1674</v>
      </c>
      <c r="AP1443" t="s">
        <v>121</v>
      </c>
      <c r="AQ1443" t="s">
        <v>1675</v>
      </c>
      <c r="AR1443" t="s">
        <v>1676</v>
      </c>
      <c r="AS1443" t="s">
        <v>1677</v>
      </c>
      <c r="AT1443" t="s">
        <v>1678</v>
      </c>
      <c r="AU1443" t="s">
        <v>296</v>
      </c>
      <c r="AV1443" t="s">
        <v>1679</v>
      </c>
      <c r="AW1443" t="s">
        <v>402</v>
      </c>
      <c r="AX1443" s="8" t="str">
        <f>"91361"</f>
        <v>91361</v>
      </c>
      <c r="AY1443" t="s">
        <v>118</v>
      </c>
      <c r="BA1443" s="10">
        <v>18052611393</v>
      </c>
      <c r="BC1443" t="s">
        <v>1680</v>
      </c>
      <c r="BD1443" t="s">
        <v>1681</v>
      </c>
      <c r="BE1443" t="s">
        <v>140</v>
      </c>
      <c r="BF1443" t="s">
        <v>146</v>
      </c>
      <c r="BG1443" t="s">
        <v>506</v>
      </c>
      <c r="BH1443" s="1">
        <v>45118.833333333336</v>
      </c>
      <c r="BI1443">
        <v>35</v>
      </c>
      <c r="BJ1443">
        <v>5</v>
      </c>
      <c r="BK1443">
        <v>5</v>
      </c>
      <c r="BL1443">
        <v>5</v>
      </c>
      <c r="BM1443">
        <v>5</v>
      </c>
      <c r="BN1443">
        <v>5</v>
      </c>
      <c r="BO1443">
        <v>5</v>
      </c>
      <c r="BP1443">
        <v>5</v>
      </c>
      <c r="BQ1443" t="str">
        <f>"7:00 AM"</f>
        <v>7:00 AM</v>
      </c>
      <c r="BR1443" t="str">
        <f>"3:00 PM"</f>
        <v>3:00 PM</v>
      </c>
      <c r="BS1443" t="s">
        <v>131</v>
      </c>
      <c r="BT1443">
        <v>0</v>
      </c>
      <c r="BU1443">
        <v>0</v>
      </c>
      <c r="BV1443" t="s">
        <v>114</v>
      </c>
      <c r="BX1443" s="2" t="s">
        <v>1682</v>
      </c>
      <c r="BY1443" t="s">
        <v>1671</v>
      </c>
      <c r="CA1443" t="s">
        <v>1672</v>
      </c>
      <c r="CB1443" t="s">
        <v>506</v>
      </c>
      <c r="CC1443" s="8" t="str">
        <f>"05672"</f>
        <v>05672</v>
      </c>
      <c r="CD1443" t="s">
        <v>1683</v>
      </c>
      <c r="CE1443" t="s">
        <v>1108</v>
      </c>
      <c r="CF1443" s="12">
        <v>13.49</v>
      </c>
      <c r="CG1443" s="12">
        <v>22</v>
      </c>
      <c r="CH1443" s="12">
        <v>20.239999999999998</v>
      </c>
      <c r="CI1443" s="12">
        <v>33</v>
      </c>
      <c r="CJ1443" t="s">
        <v>135</v>
      </c>
      <c r="CK1443" t="s">
        <v>1684</v>
      </c>
      <c r="CL1443" t="s">
        <v>1685</v>
      </c>
      <c r="CO1443" t="s">
        <v>132</v>
      </c>
      <c r="CP1443" t="s">
        <v>114</v>
      </c>
      <c r="CQ1443" t="s">
        <v>136</v>
      </c>
      <c r="CR1443" t="s">
        <v>136</v>
      </c>
      <c r="CS1443" t="s">
        <v>136</v>
      </c>
      <c r="CT1443" t="s">
        <v>136</v>
      </c>
      <c r="CU1443" t="s">
        <v>136</v>
      </c>
      <c r="CV1443" s="2" t="s">
        <v>1686</v>
      </c>
      <c r="CW1443" s="10" t="str">
        <f>"N/A"</f>
        <v>N/A</v>
      </c>
      <c r="CX1443" t="s">
        <v>1687</v>
      </c>
      <c r="CY1443" t="s">
        <v>1688</v>
      </c>
      <c r="CZ1443" t="s">
        <v>137</v>
      </c>
      <c r="DA1443" t="s">
        <v>114</v>
      </c>
      <c r="DB1443" t="s">
        <v>136</v>
      </c>
      <c r="DC1443" t="s">
        <v>136</v>
      </c>
      <c r="DD1443" t="s">
        <v>114</v>
      </c>
    </row>
    <row r="1444" spans="1:113" ht="15" customHeight="1" x14ac:dyDescent="0.25">
      <c r="A1444" t="s">
        <v>14602</v>
      </c>
      <c r="B1444" t="s">
        <v>152</v>
      </c>
      <c r="C1444" s="1">
        <v>45153.607679976849</v>
      </c>
      <c r="D1444" s="1">
        <v>45215</v>
      </c>
      <c r="E1444" t="s">
        <v>114</v>
      </c>
      <c r="F1444" t="s">
        <v>1059</v>
      </c>
      <c r="G1444" t="str">
        <f>"35-2014.00"</f>
        <v>35-2014.00</v>
      </c>
      <c r="H1444" t="s">
        <v>154</v>
      </c>
      <c r="I1444">
        <v>12</v>
      </c>
      <c r="J1444">
        <v>12</v>
      </c>
      <c r="K1444" s="1">
        <v>45243</v>
      </c>
      <c r="L1444" s="1">
        <v>45399</v>
      </c>
      <c r="M1444" s="1">
        <v>45243</v>
      </c>
      <c r="N1444" s="1">
        <v>45399</v>
      </c>
      <c r="O1444" t="s">
        <v>116</v>
      </c>
      <c r="P1444" t="s">
        <v>6624</v>
      </c>
      <c r="Q1444" t="s">
        <v>14603</v>
      </c>
      <c r="R1444" t="s">
        <v>6626</v>
      </c>
      <c r="T1444" t="s">
        <v>6627</v>
      </c>
      <c r="U1444" t="s">
        <v>402</v>
      </c>
      <c r="V1444" s="8" t="str">
        <f>"96161"</f>
        <v>96161</v>
      </c>
      <c r="W1444" t="s">
        <v>118</v>
      </c>
      <c r="Y1444" s="10">
        <v>15305621010</v>
      </c>
      <c r="AA1444">
        <v>713920</v>
      </c>
      <c r="AB1444" t="s">
        <v>507</v>
      </c>
      <c r="AC1444" t="s">
        <v>508</v>
      </c>
      <c r="AE1444" t="s">
        <v>509</v>
      </c>
      <c r="AF1444" t="s">
        <v>510</v>
      </c>
      <c r="AH1444" t="s">
        <v>511</v>
      </c>
      <c r="AI1444" t="s">
        <v>402</v>
      </c>
      <c r="AJ1444" s="8" t="str">
        <f>"80021"</f>
        <v>80021</v>
      </c>
      <c r="AK1444" t="s">
        <v>118</v>
      </c>
      <c r="AM1444" s="10">
        <v>13034041800</v>
      </c>
      <c r="AO1444" t="s">
        <v>512</v>
      </c>
      <c r="AP1444" t="s">
        <v>121</v>
      </c>
      <c r="AQ1444" t="s">
        <v>513</v>
      </c>
      <c r="AR1444" t="s">
        <v>514</v>
      </c>
      <c r="AS1444" t="s">
        <v>515</v>
      </c>
      <c r="AT1444" t="s">
        <v>516</v>
      </c>
      <c r="AU1444" t="s">
        <v>517</v>
      </c>
      <c r="AV1444" t="s">
        <v>518</v>
      </c>
      <c r="AW1444" t="s">
        <v>402</v>
      </c>
      <c r="AX1444" s="8" t="str">
        <f>"90071"</f>
        <v>90071</v>
      </c>
      <c r="AY1444" t="s">
        <v>118</v>
      </c>
      <c r="BA1444" s="10">
        <v>13108203322</v>
      </c>
      <c r="BC1444" t="s">
        <v>519</v>
      </c>
      <c r="BD1444" t="s">
        <v>520</v>
      </c>
      <c r="BE1444" t="s">
        <v>188</v>
      </c>
      <c r="BF1444" t="s">
        <v>172</v>
      </c>
      <c r="BG1444" t="s">
        <v>402</v>
      </c>
      <c r="BH1444" s="1">
        <v>45152.833333333336</v>
      </c>
      <c r="BI1444">
        <v>35</v>
      </c>
      <c r="BJ1444">
        <v>5</v>
      </c>
      <c r="BK1444">
        <v>5</v>
      </c>
      <c r="BL1444">
        <v>5</v>
      </c>
      <c r="BM1444">
        <v>5</v>
      </c>
      <c r="BN1444">
        <v>5</v>
      </c>
      <c r="BO1444">
        <v>5</v>
      </c>
      <c r="BP1444">
        <v>5</v>
      </c>
      <c r="BQ1444" t="str">
        <f>"8:00 AM"</f>
        <v>8:00 AM</v>
      </c>
      <c r="BR1444" t="str">
        <f>"11:00 PM"</f>
        <v>11:00 PM</v>
      </c>
      <c r="BS1444" t="s">
        <v>131</v>
      </c>
      <c r="BT1444">
        <v>0</v>
      </c>
      <c r="BU1444">
        <v>24</v>
      </c>
      <c r="BV1444" t="s">
        <v>114</v>
      </c>
      <c r="BX1444" s="2" t="s">
        <v>1082</v>
      </c>
      <c r="BY1444" t="s">
        <v>6628</v>
      </c>
      <c r="CA1444" t="s">
        <v>6627</v>
      </c>
      <c r="CB1444" t="s">
        <v>402</v>
      </c>
      <c r="CC1444" s="8" t="str">
        <f>"96161"</f>
        <v>96161</v>
      </c>
      <c r="CD1444" t="s">
        <v>4745</v>
      </c>
      <c r="CE1444" t="s">
        <v>728</v>
      </c>
      <c r="CF1444" s="12">
        <v>22</v>
      </c>
      <c r="CG1444" s="12">
        <v>24.49</v>
      </c>
      <c r="CH1444" s="12">
        <v>33</v>
      </c>
      <c r="CI1444" s="12">
        <v>36.74</v>
      </c>
      <c r="CJ1444" t="s">
        <v>135</v>
      </c>
      <c r="CK1444" t="s">
        <v>524</v>
      </c>
      <c r="CL1444" t="s">
        <v>14604</v>
      </c>
      <c r="CO1444" t="s">
        <v>132</v>
      </c>
      <c r="CP1444" t="s">
        <v>114</v>
      </c>
      <c r="CQ1444" t="s">
        <v>114</v>
      </c>
      <c r="CR1444" t="s">
        <v>136</v>
      </c>
      <c r="CS1444" t="s">
        <v>114</v>
      </c>
      <c r="CT1444" t="s">
        <v>136</v>
      </c>
      <c r="CU1444" t="s">
        <v>136</v>
      </c>
      <c r="CV1444" t="s">
        <v>14605</v>
      </c>
      <c r="CW1444" s="10" t="str">
        <f>"+13034041800"</f>
        <v>+13034041800</v>
      </c>
      <c r="CX1444" t="s">
        <v>512</v>
      </c>
      <c r="CY1444" t="s">
        <v>132</v>
      </c>
      <c r="CZ1444" t="s">
        <v>137</v>
      </c>
      <c r="DA1444" t="s">
        <v>114</v>
      </c>
      <c r="DB1444" t="s">
        <v>114</v>
      </c>
      <c r="DC1444" t="s">
        <v>136</v>
      </c>
      <c r="DD1444" t="s">
        <v>114</v>
      </c>
      <c r="DE1444" t="s">
        <v>527</v>
      </c>
      <c r="DF1444" t="s">
        <v>528</v>
      </c>
      <c r="DG1444" t="s">
        <v>732</v>
      </c>
      <c r="DH1444" t="s">
        <v>520</v>
      </c>
      <c r="DI1444" t="s">
        <v>529</v>
      </c>
    </row>
    <row r="1445" spans="1:113" ht="15" customHeight="1" x14ac:dyDescent="0.25">
      <c r="A1445" t="s">
        <v>6869</v>
      </c>
      <c r="B1445" t="s">
        <v>152</v>
      </c>
      <c r="C1445" s="1">
        <v>45153.56074108796</v>
      </c>
      <c r="D1445" s="1">
        <v>45215</v>
      </c>
      <c r="E1445" t="s">
        <v>114</v>
      </c>
      <c r="F1445" t="s">
        <v>4718</v>
      </c>
      <c r="G1445" t="str">
        <f>"37-2012.00"</f>
        <v>37-2012.00</v>
      </c>
      <c r="H1445" t="s">
        <v>205</v>
      </c>
      <c r="I1445">
        <v>15</v>
      </c>
      <c r="J1445">
        <v>15</v>
      </c>
      <c r="K1445" s="1">
        <v>45243</v>
      </c>
      <c r="L1445" s="1">
        <v>45390</v>
      </c>
      <c r="M1445" s="1">
        <v>45243</v>
      </c>
      <c r="N1445" s="1">
        <v>45390</v>
      </c>
      <c r="O1445" t="s">
        <v>116</v>
      </c>
      <c r="P1445" t="s">
        <v>502</v>
      </c>
      <c r="Q1445" t="s">
        <v>503</v>
      </c>
      <c r="R1445" t="s">
        <v>504</v>
      </c>
      <c r="T1445" t="s">
        <v>505</v>
      </c>
      <c r="U1445" t="s">
        <v>506</v>
      </c>
      <c r="V1445" s="8" t="str">
        <f>"05356"</f>
        <v>05356</v>
      </c>
      <c r="W1445" t="s">
        <v>118</v>
      </c>
      <c r="Y1445" s="10">
        <v>13034041800</v>
      </c>
      <c r="AA1445">
        <v>713920</v>
      </c>
      <c r="AB1445" t="s">
        <v>507</v>
      </c>
      <c r="AC1445" t="s">
        <v>508</v>
      </c>
      <c r="AE1445" t="s">
        <v>509</v>
      </c>
      <c r="AF1445" t="s">
        <v>510</v>
      </c>
      <c r="AH1445" t="s">
        <v>511</v>
      </c>
      <c r="AI1445" t="s">
        <v>188</v>
      </c>
      <c r="AJ1445" s="8" t="str">
        <f>"80021"</f>
        <v>80021</v>
      </c>
      <c r="AK1445" t="s">
        <v>118</v>
      </c>
      <c r="AM1445" s="10">
        <v>13034041800</v>
      </c>
      <c r="AO1445" t="s">
        <v>512</v>
      </c>
      <c r="AP1445" t="s">
        <v>121</v>
      </c>
      <c r="AQ1445" t="s">
        <v>513</v>
      </c>
      <c r="AR1445" t="s">
        <v>514</v>
      </c>
      <c r="AS1445" t="s">
        <v>515</v>
      </c>
      <c r="AT1445" t="s">
        <v>516</v>
      </c>
      <c r="AU1445" t="s">
        <v>517</v>
      </c>
      <c r="AV1445" t="s">
        <v>518</v>
      </c>
      <c r="AW1445" t="s">
        <v>402</v>
      </c>
      <c r="AX1445" s="8" t="str">
        <f>"90071"</f>
        <v>90071</v>
      </c>
      <c r="AY1445" t="s">
        <v>118</v>
      </c>
      <c r="BA1445" s="10">
        <v>13108203322</v>
      </c>
      <c r="BC1445" t="s">
        <v>519</v>
      </c>
      <c r="BD1445" t="s">
        <v>520</v>
      </c>
      <c r="BE1445" t="s">
        <v>188</v>
      </c>
      <c r="BF1445" t="s">
        <v>172</v>
      </c>
      <c r="BG1445" t="s">
        <v>506</v>
      </c>
      <c r="BH1445" s="1">
        <v>45152.833333333336</v>
      </c>
      <c r="BI1445">
        <v>35</v>
      </c>
      <c r="BJ1445">
        <v>5</v>
      </c>
      <c r="BK1445">
        <v>5</v>
      </c>
      <c r="BL1445">
        <v>5</v>
      </c>
      <c r="BM1445">
        <v>5</v>
      </c>
      <c r="BN1445">
        <v>5</v>
      </c>
      <c r="BO1445">
        <v>5</v>
      </c>
      <c r="BP1445">
        <v>5</v>
      </c>
      <c r="BQ1445" t="str">
        <f>"8:00 AM"</f>
        <v>8:00 AM</v>
      </c>
      <c r="BR1445" t="str">
        <f>"9:00 PM"</f>
        <v>9:00 PM</v>
      </c>
      <c r="BS1445" t="s">
        <v>131</v>
      </c>
      <c r="BT1445">
        <v>0</v>
      </c>
      <c r="BU1445">
        <v>12</v>
      </c>
      <c r="BV1445" t="s">
        <v>114</v>
      </c>
      <c r="BX1445" s="2" t="s">
        <v>6870</v>
      </c>
      <c r="BY1445" t="s">
        <v>504</v>
      </c>
      <c r="CA1445" t="s">
        <v>505</v>
      </c>
      <c r="CB1445" t="s">
        <v>506</v>
      </c>
      <c r="CC1445" s="8" t="str">
        <f>"05356"</f>
        <v>05356</v>
      </c>
      <c r="CD1445" t="s">
        <v>522</v>
      </c>
      <c r="CE1445" t="s">
        <v>523</v>
      </c>
      <c r="CF1445" s="12">
        <v>22</v>
      </c>
      <c r="CH1445" s="12">
        <v>33</v>
      </c>
      <c r="CJ1445" t="s">
        <v>135</v>
      </c>
      <c r="CK1445" t="s">
        <v>524</v>
      </c>
      <c r="CL1445" t="s">
        <v>6871</v>
      </c>
      <c r="CO1445" t="s">
        <v>132</v>
      </c>
      <c r="CP1445" t="s">
        <v>114</v>
      </c>
      <c r="CQ1445" t="s">
        <v>114</v>
      </c>
      <c r="CR1445" t="s">
        <v>136</v>
      </c>
      <c r="CS1445" t="s">
        <v>114</v>
      </c>
      <c r="CT1445" t="s">
        <v>136</v>
      </c>
      <c r="CU1445" t="s">
        <v>136</v>
      </c>
      <c r="CV1445" t="s">
        <v>6872</v>
      </c>
      <c r="CW1445" s="10" t="str">
        <f>"+13034041800"</f>
        <v>+13034041800</v>
      </c>
      <c r="CX1445" t="s">
        <v>512</v>
      </c>
      <c r="CY1445" t="s">
        <v>132</v>
      </c>
      <c r="CZ1445" t="s">
        <v>137</v>
      </c>
      <c r="DA1445" t="s">
        <v>114</v>
      </c>
      <c r="DB1445" t="s">
        <v>114</v>
      </c>
      <c r="DC1445" t="s">
        <v>136</v>
      </c>
      <c r="DD1445" t="s">
        <v>114</v>
      </c>
      <c r="DE1445" t="s">
        <v>527</v>
      </c>
      <c r="DF1445" t="s">
        <v>528</v>
      </c>
      <c r="DG1445" t="s">
        <v>732</v>
      </c>
      <c r="DH1445" t="s">
        <v>520</v>
      </c>
      <c r="DI1445" t="s">
        <v>529</v>
      </c>
    </row>
    <row r="1446" spans="1:113" ht="15" customHeight="1" x14ac:dyDescent="0.25">
      <c r="A1446" t="s">
        <v>950</v>
      </c>
      <c r="B1446" t="s">
        <v>152</v>
      </c>
      <c r="C1446" s="1">
        <v>45150.583297916666</v>
      </c>
      <c r="D1446" s="1">
        <v>45215</v>
      </c>
      <c r="E1446" t="s">
        <v>114</v>
      </c>
      <c r="F1446" t="s">
        <v>951</v>
      </c>
      <c r="G1446" t="str">
        <f>"43-4081.00"</f>
        <v>43-4081.00</v>
      </c>
      <c r="H1446" t="s">
        <v>952</v>
      </c>
      <c r="I1446">
        <v>8</v>
      </c>
      <c r="J1446">
        <v>8</v>
      </c>
      <c r="K1446" s="1">
        <v>45231</v>
      </c>
      <c r="L1446" s="1">
        <v>45535</v>
      </c>
      <c r="M1446" s="1">
        <v>45231</v>
      </c>
      <c r="N1446" s="1">
        <v>45535</v>
      </c>
      <c r="O1446" t="s">
        <v>116</v>
      </c>
      <c r="P1446" t="s">
        <v>953</v>
      </c>
      <c r="R1446" t="s">
        <v>954</v>
      </c>
      <c r="T1446" t="s">
        <v>955</v>
      </c>
      <c r="U1446" t="s">
        <v>140</v>
      </c>
      <c r="V1446" s="8" t="str">
        <f>"32819"</f>
        <v>32819</v>
      </c>
      <c r="W1446" t="s">
        <v>118</v>
      </c>
      <c r="Y1446" s="10">
        <v>17755883553</v>
      </c>
      <c r="AA1446">
        <v>72111</v>
      </c>
      <c r="AB1446" t="s">
        <v>956</v>
      </c>
      <c r="AC1446" t="s">
        <v>957</v>
      </c>
      <c r="AE1446" t="s">
        <v>958</v>
      </c>
      <c r="AF1446" t="s">
        <v>954</v>
      </c>
      <c r="AH1446" t="s">
        <v>955</v>
      </c>
      <c r="AI1446" t="s">
        <v>140</v>
      </c>
      <c r="AJ1446" s="8" t="str">
        <f>"32819"</f>
        <v>32819</v>
      </c>
      <c r="AK1446" t="s">
        <v>118</v>
      </c>
      <c r="AM1446" s="10">
        <v>14073956456</v>
      </c>
      <c r="AO1446" t="s">
        <v>959</v>
      </c>
      <c r="AP1446" t="s">
        <v>248</v>
      </c>
      <c r="AQ1446" t="s">
        <v>960</v>
      </c>
      <c r="AR1446" t="s">
        <v>961</v>
      </c>
      <c r="AS1446" t="s">
        <v>962</v>
      </c>
      <c r="AT1446" t="s">
        <v>963</v>
      </c>
      <c r="AU1446" t="s">
        <v>296</v>
      </c>
      <c r="AV1446" t="s">
        <v>964</v>
      </c>
      <c r="AW1446" t="s">
        <v>127</v>
      </c>
      <c r="AX1446" s="8" t="str">
        <f>"75033"</f>
        <v>75033</v>
      </c>
      <c r="AY1446" t="s">
        <v>118</v>
      </c>
      <c r="BA1446" s="10">
        <v>19727789690</v>
      </c>
      <c r="BC1446" t="s">
        <v>965</v>
      </c>
      <c r="BD1446" t="s">
        <v>966</v>
      </c>
      <c r="BG1446" t="s">
        <v>967</v>
      </c>
      <c r="BH1446" s="1">
        <v>45149.833333333336</v>
      </c>
      <c r="BI1446">
        <v>40</v>
      </c>
      <c r="BJ1446">
        <v>8</v>
      </c>
      <c r="BK1446">
        <v>8</v>
      </c>
      <c r="BL1446">
        <v>0</v>
      </c>
      <c r="BM1446">
        <v>8</v>
      </c>
      <c r="BN1446">
        <v>0</v>
      </c>
      <c r="BO1446">
        <v>8</v>
      </c>
      <c r="BP1446">
        <v>8</v>
      </c>
      <c r="BQ1446" t="str">
        <f>"7:00 AM"</f>
        <v>7:00 AM</v>
      </c>
      <c r="BR1446" t="str">
        <f>"3:30 PM"</f>
        <v>3:30 PM</v>
      </c>
      <c r="BS1446" t="s">
        <v>131</v>
      </c>
      <c r="BT1446">
        <v>0</v>
      </c>
      <c r="BU1446">
        <v>0</v>
      </c>
      <c r="BV1446" t="s">
        <v>114</v>
      </c>
      <c r="BX1446" s="2" t="s">
        <v>968</v>
      </c>
      <c r="BY1446" t="s">
        <v>969</v>
      </c>
      <c r="CA1446" t="s">
        <v>970</v>
      </c>
      <c r="CB1446" t="s">
        <v>967</v>
      </c>
      <c r="CC1446" s="8" t="str">
        <f>"89449"</f>
        <v>89449</v>
      </c>
      <c r="CD1446" t="s">
        <v>971</v>
      </c>
      <c r="CE1446" t="s">
        <v>972</v>
      </c>
      <c r="CF1446" s="12">
        <v>17</v>
      </c>
      <c r="CG1446" s="12">
        <v>17</v>
      </c>
      <c r="CH1446" s="12">
        <v>25.5</v>
      </c>
      <c r="CI1446" s="12">
        <v>25.5</v>
      </c>
      <c r="CJ1446" t="s">
        <v>135</v>
      </c>
      <c r="CK1446" t="s">
        <v>973</v>
      </c>
      <c r="CL1446" t="s">
        <v>974</v>
      </c>
      <c r="CO1446" t="s">
        <v>132</v>
      </c>
      <c r="CP1446" t="s">
        <v>136</v>
      </c>
      <c r="CQ1446" t="s">
        <v>114</v>
      </c>
      <c r="CR1446" t="s">
        <v>136</v>
      </c>
      <c r="CS1446" t="s">
        <v>136</v>
      </c>
      <c r="CT1446" t="s">
        <v>136</v>
      </c>
      <c r="CU1446" t="s">
        <v>136</v>
      </c>
      <c r="CV1446" s="2" t="s">
        <v>975</v>
      </c>
      <c r="CW1446" s="10" t="str">
        <f>"+17755883553"</f>
        <v>+17755883553</v>
      </c>
      <c r="CX1446" t="s">
        <v>132</v>
      </c>
      <c r="CY1446" t="s">
        <v>976</v>
      </c>
      <c r="CZ1446" t="s">
        <v>137</v>
      </c>
      <c r="DA1446" t="s">
        <v>114</v>
      </c>
      <c r="DB1446" t="s">
        <v>114</v>
      </c>
      <c r="DC1446" t="s">
        <v>136</v>
      </c>
      <c r="DD1446" t="s">
        <v>114</v>
      </c>
    </row>
    <row r="1447" spans="1:113" ht="15" customHeight="1" x14ac:dyDescent="0.25">
      <c r="A1447" t="s">
        <v>11830</v>
      </c>
      <c r="B1447" t="s">
        <v>152</v>
      </c>
      <c r="C1447" s="1">
        <v>45150.580995023149</v>
      </c>
      <c r="D1447" s="1">
        <v>45215</v>
      </c>
      <c r="E1447" t="s">
        <v>114</v>
      </c>
      <c r="F1447" t="s">
        <v>2086</v>
      </c>
      <c r="G1447" t="str">
        <f>"37-3011.00"</f>
        <v>37-3011.00</v>
      </c>
      <c r="H1447" t="s">
        <v>429</v>
      </c>
      <c r="I1447">
        <v>8</v>
      </c>
      <c r="J1447">
        <v>8</v>
      </c>
      <c r="K1447" s="1">
        <v>45231</v>
      </c>
      <c r="L1447" s="1">
        <v>45535</v>
      </c>
      <c r="M1447" s="1">
        <v>45231</v>
      </c>
      <c r="N1447" s="1">
        <v>45535</v>
      </c>
      <c r="O1447" t="s">
        <v>116</v>
      </c>
      <c r="P1447" t="s">
        <v>2041</v>
      </c>
      <c r="R1447" t="s">
        <v>954</v>
      </c>
      <c r="T1447" t="s">
        <v>955</v>
      </c>
      <c r="U1447" t="s">
        <v>140</v>
      </c>
      <c r="V1447" s="8" t="str">
        <f>"32819"</f>
        <v>32819</v>
      </c>
      <c r="W1447" t="s">
        <v>118</v>
      </c>
      <c r="Y1447" s="10">
        <v>17755883553</v>
      </c>
      <c r="AA1447">
        <v>72111</v>
      </c>
      <c r="AB1447" t="s">
        <v>956</v>
      </c>
      <c r="AC1447" t="s">
        <v>957</v>
      </c>
      <c r="AE1447" t="s">
        <v>958</v>
      </c>
      <c r="AF1447" t="s">
        <v>954</v>
      </c>
      <c r="AH1447" t="s">
        <v>955</v>
      </c>
      <c r="AI1447" t="s">
        <v>140</v>
      </c>
      <c r="AJ1447" s="8" t="str">
        <f>"32819"</f>
        <v>32819</v>
      </c>
      <c r="AK1447" t="s">
        <v>118</v>
      </c>
      <c r="AM1447" s="10">
        <v>14073956456</v>
      </c>
      <c r="AO1447" t="s">
        <v>959</v>
      </c>
      <c r="AP1447" t="s">
        <v>248</v>
      </c>
      <c r="AQ1447" t="s">
        <v>960</v>
      </c>
      <c r="AR1447" t="s">
        <v>961</v>
      </c>
      <c r="AS1447" t="s">
        <v>962</v>
      </c>
      <c r="AT1447" t="s">
        <v>963</v>
      </c>
      <c r="AU1447" t="s">
        <v>296</v>
      </c>
      <c r="AV1447" t="s">
        <v>964</v>
      </c>
      <c r="AW1447" t="s">
        <v>127</v>
      </c>
      <c r="AX1447" s="8" t="str">
        <f>"75033"</f>
        <v>75033</v>
      </c>
      <c r="AY1447" t="s">
        <v>118</v>
      </c>
      <c r="BA1447" s="10">
        <v>19727789690</v>
      </c>
      <c r="BC1447" t="s">
        <v>1837</v>
      </c>
      <c r="BD1447" t="s">
        <v>966</v>
      </c>
      <c r="BG1447" t="s">
        <v>967</v>
      </c>
      <c r="BH1447" s="1">
        <v>45149.833333333336</v>
      </c>
      <c r="BI1447">
        <v>40</v>
      </c>
      <c r="BJ1447">
        <v>8</v>
      </c>
      <c r="BK1447">
        <v>0</v>
      </c>
      <c r="BL1447">
        <v>8</v>
      </c>
      <c r="BM1447">
        <v>8</v>
      </c>
      <c r="BN1447">
        <v>0</v>
      </c>
      <c r="BO1447">
        <v>8</v>
      </c>
      <c r="BP1447">
        <v>8</v>
      </c>
      <c r="BQ1447" t="str">
        <f>"7:00 AM"</f>
        <v>7:00 AM</v>
      </c>
      <c r="BR1447" t="str">
        <f>"3:30 PM"</f>
        <v>3:30 PM</v>
      </c>
      <c r="BS1447" t="s">
        <v>131</v>
      </c>
      <c r="BT1447">
        <v>0</v>
      </c>
      <c r="BU1447">
        <v>0</v>
      </c>
      <c r="BV1447" t="s">
        <v>114</v>
      </c>
      <c r="BX1447" s="2" t="s">
        <v>11831</v>
      </c>
      <c r="BY1447" t="s">
        <v>969</v>
      </c>
      <c r="CA1447" t="s">
        <v>970</v>
      </c>
      <c r="CB1447" t="s">
        <v>967</v>
      </c>
      <c r="CC1447" s="8" t="str">
        <f>"89449"</f>
        <v>89449</v>
      </c>
      <c r="CD1447" t="s">
        <v>971</v>
      </c>
      <c r="CE1447" t="s">
        <v>972</v>
      </c>
      <c r="CF1447" s="12">
        <v>18</v>
      </c>
      <c r="CG1447" s="12">
        <v>18</v>
      </c>
      <c r="CH1447" s="12">
        <v>27</v>
      </c>
      <c r="CI1447" s="12">
        <v>27</v>
      </c>
      <c r="CJ1447" t="s">
        <v>135</v>
      </c>
      <c r="CK1447" t="s">
        <v>973</v>
      </c>
      <c r="CL1447" t="s">
        <v>11832</v>
      </c>
      <c r="CO1447" t="s">
        <v>132</v>
      </c>
      <c r="CP1447" t="s">
        <v>136</v>
      </c>
      <c r="CQ1447" t="s">
        <v>114</v>
      </c>
      <c r="CR1447" t="s">
        <v>136</v>
      </c>
      <c r="CS1447" t="s">
        <v>136</v>
      </c>
      <c r="CT1447" t="s">
        <v>136</v>
      </c>
      <c r="CU1447" t="s">
        <v>136</v>
      </c>
      <c r="CV1447" s="2" t="s">
        <v>975</v>
      </c>
      <c r="CW1447" s="10" t="str">
        <f>"+17755883553"</f>
        <v>+17755883553</v>
      </c>
      <c r="CX1447" t="s">
        <v>132</v>
      </c>
      <c r="CY1447" t="s">
        <v>976</v>
      </c>
      <c r="CZ1447" t="s">
        <v>137</v>
      </c>
      <c r="DA1447" t="s">
        <v>114</v>
      </c>
      <c r="DB1447" t="s">
        <v>114</v>
      </c>
      <c r="DC1447" t="s">
        <v>136</v>
      </c>
      <c r="DD1447" t="s">
        <v>114</v>
      </c>
    </row>
    <row r="1448" spans="1:113" ht="15" customHeight="1" x14ac:dyDescent="0.25">
      <c r="A1448" t="s">
        <v>6751</v>
      </c>
      <c r="B1448" t="s">
        <v>152</v>
      </c>
      <c r="C1448" s="1">
        <v>45150.570455324072</v>
      </c>
      <c r="D1448" s="1">
        <v>45215</v>
      </c>
      <c r="E1448" t="s">
        <v>114</v>
      </c>
      <c r="F1448" t="s">
        <v>6752</v>
      </c>
      <c r="G1448" t="str">
        <f>"41-2011.00"</f>
        <v>41-2011.00</v>
      </c>
      <c r="H1448" t="s">
        <v>3638</v>
      </c>
      <c r="I1448">
        <v>4</v>
      </c>
      <c r="J1448">
        <v>4</v>
      </c>
      <c r="K1448" s="1">
        <v>45231</v>
      </c>
      <c r="L1448" s="1">
        <v>45535</v>
      </c>
      <c r="M1448" s="1">
        <v>45231</v>
      </c>
      <c r="N1448" s="1">
        <v>45535</v>
      </c>
      <c r="O1448" t="s">
        <v>116</v>
      </c>
      <c r="P1448" t="s">
        <v>953</v>
      </c>
      <c r="R1448" t="s">
        <v>954</v>
      </c>
      <c r="T1448" t="s">
        <v>955</v>
      </c>
      <c r="U1448" t="s">
        <v>140</v>
      </c>
      <c r="V1448" s="8" t="str">
        <f>"32819"</f>
        <v>32819</v>
      </c>
      <c r="W1448" t="s">
        <v>118</v>
      </c>
      <c r="Y1448" s="10">
        <v>17755883553</v>
      </c>
      <c r="AA1448">
        <v>72111</v>
      </c>
      <c r="AB1448" t="s">
        <v>956</v>
      </c>
      <c r="AC1448" t="s">
        <v>957</v>
      </c>
      <c r="AE1448" t="s">
        <v>958</v>
      </c>
      <c r="AF1448" t="s">
        <v>954</v>
      </c>
      <c r="AH1448" t="s">
        <v>955</v>
      </c>
      <c r="AI1448" t="s">
        <v>140</v>
      </c>
      <c r="AJ1448" s="8" t="str">
        <f>"32819"</f>
        <v>32819</v>
      </c>
      <c r="AK1448" t="s">
        <v>118</v>
      </c>
      <c r="AM1448" s="10">
        <v>14073956456</v>
      </c>
      <c r="AO1448" t="s">
        <v>959</v>
      </c>
      <c r="AP1448" t="s">
        <v>248</v>
      </c>
      <c r="AQ1448" t="s">
        <v>960</v>
      </c>
      <c r="AR1448" t="s">
        <v>961</v>
      </c>
      <c r="AS1448" t="s">
        <v>962</v>
      </c>
      <c r="AT1448" t="s">
        <v>963</v>
      </c>
      <c r="AU1448" t="s">
        <v>296</v>
      </c>
      <c r="AV1448" t="s">
        <v>964</v>
      </c>
      <c r="AW1448" t="s">
        <v>127</v>
      </c>
      <c r="AX1448" s="8" t="str">
        <f>"75033"</f>
        <v>75033</v>
      </c>
      <c r="AY1448" t="s">
        <v>118</v>
      </c>
      <c r="BA1448" s="10">
        <v>19727789690</v>
      </c>
      <c r="BC1448" t="s">
        <v>965</v>
      </c>
      <c r="BD1448" t="s">
        <v>966</v>
      </c>
      <c r="BG1448" t="s">
        <v>967</v>
      </c>
      <c r="BH1448" s="1">
        <v>45149.833333333336</v>
      </c>
      <c r="BI1448">
        <v>40</v>
      </c>
      <c r="BJ1448">
        <v>8</v>
      </c>
      <c r="BK1448">
        <v>0</v>
      </c>
      <c r="BL1448">
        <v>8</v>
      </c>
      <c r="BM1448">
        <v>8</v>
      </c>
      <c r="BN1448">
        <v>0</v>
      </c>
      <c r="BO1448">
        <v>8</v>
      </c>
      <c r="BP1448">
        <v>8</v>
      </c>
      <c r="BQ1448" t="str">
        <f>"7:00 AM"</f>
        <v>7:00 AM</v>
      </c>
      <c r="BR1448" t="str">
        <f>"3:30 PM"</f>
        <v>3:30 PM</v>
      </c>
      <c r="BS1448" t="s">
        <v>131</v>
      </c>
      <c r="BT1448">
        <v>0</v>
      </c>
      <c r="BU1448">
        <v>0</v>
      </c>
      <c r="BV1448" t="s">
        <v>114</v>
      </c>
      <c r="BX1448" s="2" t="s">
        <v>6753</v>
      </c>
      <c r="BY1448" t="s">
        <v>969</v>
      </c>
      <c r="CA1448" t="s">
        <v>970</v>
      </c>
      <c r="CB1448" t="s">
        <v>967</v>
      </c>
      <c r="CC1448" s="8" t="str">
        <f>"89449"</f>
        <v>89449</v>
      </c>
      <c r="CD1448" t="s">
        <v>971</v>
      </c>
      <c r="CE1448" t="s">
        <v>972</v>
      </c>
      <c r="CF1448" s="12">
        <v>17</v>
      </c>
      <c r="CG1448" s="12">
        <v>17</v>
      </c>
      <c r="CH1448" s="12">
        <v>25.5</v>
      </c>
      <c r="CI1448" s="12">
        <v>25.5</v>
      </c>
      <c r="CJ1448" t="s">
        <v>135</v>
      </c>
      <c r="CK1448" t="s">
        <v>973</v>
      </c>
      <c r="CL1448" t="s">
        <v>6754</v>
      </c>
      <c r="CO1448" t="s">
        <v>132</v>
      </c>
      <c r="CP1448" t="s">
        <v>136</v>
      </c>
      <c r="CQ1448" t="s">
        <v>114</v>
      </c>
      <c r="CR1448" t="s">
        <v>136</v>
      </c>
      <c r="CS1448" t="s">
        <v>136</v>
      </c>
      <c r="CT1448" t="s">
        <v>136</v>
      </c>
      <c r="CU1448" t="s">
        <v>136</v>
      </c>
      <c r="CV1448" s="2" t="s">
        <v>975</v>
      </c>
      <c r="CW1448" s="10" t="str">
        <f>"+17755883553"</f>
        <v>+17755883553</v>
      </c>
      <c r="CX1448" t="s">
        <v>132</v>
      </c>
      <c r="CY1448" t="s">
        <v>6755</v>
      </c>
      <c r="CZ1448" t="s">
        <v>137</v>
      </c>
      <c r="DA1448" t="s">
        <v>114</v>
      </c>
      <c r="DB1448" t="s">
        <v>114</v>
      </c>
      <c r="DC1448" t="s">
        <v>136</v>
      </c>
      <c r="DD1448" t="s">
        <v>114</v>
      </c>
    </row>
    <row r="1449" spans="1:113" ht="15" customHeight="1" x14ac:dyDescent="0.25">
      <c r="A1449" t="s">
        <v>15633</v>
      </c>
      <c r="B1449" t="s">
        <v>152</v>
      </c>
      <c r="C1449" s="1">
        <v>45150.505694444444</v>
      </c>
      <c r="D1449" s="1">
        <v>45215</v>
      </c>
      <c r="E1449" t="s">
        <v>114</v>
      </c>
      <c r="F1449" t="s">
        <v>15634</v>
      </c>
      <c r="G1449" t="str">
        <f>"49-9071.00"</f>
        <v>49-9071.00</v>
      </c>
      <c r="H1449" t="s">
        <v>5714</v>
      </c>
      <c r="I1449">
        <v>9</v>
      </c>
      <c r="J1449">
        <v>9</v>
      </c>
      <c r="K1449" s="1">
        <v>45231</v>
      </c>
      <c r="L1449" s="1">
        <v>45535</v>
      </c>
      <c r="M1449" s="1">
        <v>45231</v>
      </c>
      <c r="N1449" s="1">
        <v>45535</v>
      </c>
      <c r="O1449" t="s">
        <v>116</v>
      </c>
      <c r="P1449" t="s">
        <v>2041</v>
      </c>
      <c r="R1449" t="s">
        <v>954</v>
      </c>
      <c r="T1449" t="s">
        <v>955</v>
      </c>
      <c r="U1449" t="s">
        <v>140</v>
      </c>
      <c r="V1449" s="8" t="str">
        <f>"32819"</f>
        <v>32819</v>
      </c>
      <c r="W1449" t="s">
        <v>118</v>
      </c>
      <c r="Y1449" s="10">
        <v>17755883553</v>
      </c>
      <c r="AA1449">
        <v>72111</v>
      </c>
      <c r="AB1449" t="s">
        <v>956</v>
      </c>
      <c r="AC1449" t="s">
        <v>957</v>
      </c>
      <c r="AE1449" t="s">
        <v>958</v>
      </c>
      <c r="AF1449" t="s">
        <v>954</v>
      </c>
      <c r="AH1449" t="s">
        <v>955</v>
      </c>
      <c r="AI1449" t="s">
        <v>140</v>
      </c>
      <c r="AJ1449" s="8" t="str">
        <f>"32819"</f>
        <v>32819</v>
      </c>
      <c r="AK1449" t="s">
        <v>118</v>
      </c>
      <c r="AM1449" s="10">
        <v>14073956456</v>
      </c>
      <c r="AO1449" t="s">
        <v>959</v>
      </c>
      <c r="AP1449" t="s">
        <v>248</v>
      </c>
      <c r="AQ1449" t="s">
        <v>960</v>
      </c>
      <c r="AR1449" t="s">
        <v>961</v>
      </c>
      <c r="AS1449" t="s">
        <v>962</v>
      </c>
      <c r="AT1449" t="s">
        <v>963</v>
      </c>
      <c r="AU1449" t="s">
        <v>296</v>
      </c>
      <c r="AV1449" t="s">
        <v>964</v>
      </c>
      <c r="AW1449" t="s">
        <v>127</v>
      </c>
      <c r="AX1449" s="8" t="str">
        <f>"75033"</f>
        <v>75033</v>
      </c>
      <c r="AY1449" t="s">
        <v>118</v>
      </c>
      <c r="BA1449" s="10">
        <v>19727789690</v>
      </c>
      <c r="BC1449" t="s">
        <v>965</v>
      </c>
      <c r="BD1449" t="s">
        <v>966</v>
      </c>
      <c r="BG1449" t="s">
        <v>967</v>
      </c>
      <c r="BH1449" s="1">
        <v>45149.833333333336</v>
      </c>
      <c r="BI1449">
        <v>40</v>
      </c>
      <c r="BJ1449">
        <v>8</v>
      </c>
      <c r="BK1449">
        <v>0</v>
      </c>
      <c r="BL1449">
        <v>8</v>
      </c>
      <c r="BM1449">
        <v>8</v>
      </c>
      <c r="BN1449">
        <v>0</v>
      </c>
      <c r="BO1449">
        <v>8</v>
      </c>
      <c r="BP1449">
        <v>8</v>
      </c>
      <c r="BQ1449" t="str">
        <f>"7:00 AM"</f>
        <v>7:00 AM</v>
      </c>
      <c r="BR1449" t="str">
        <f>"3:30 PM"</f>
        <v>3:30 PM</v>
      </c>
      <c r="BS1449" t="s">
        <v>131</v>
      </c>
      <c r="BT1449">
        <v>0</v>
      </c>
      <c r="BU1449">
        <v>0</v>
      </c>
      <c r="BV1449" t="s">
        <v>114</v>
      </c>
      <c r="BX1449" s="2" t="s">
        <v>15635</v>
      </c>
      <c r="BY1449" t="s">
        <v>969</v>
      </c>
      <c r="CA1449" t="s">
        <v>970</v>
      </c>
      <c r="CB1449" t="s">
        <v>967</v>
      </c>
      <c r="CC1449" s="8" t="str">
        <f>"89449"</f>
        <v>89449</v>
      </c>
      <c r="CD1449" t="s">
        <v>971</v>
      </c>
      <c r="CE1449" t="s">
        <v>972</v>
      </c>
      <c r="CF1449" s="12">
        <v>21.81</v>
      </c>
      <c r="CG1449" s="12">
        <v>21.81</v>
      </c>
      <c r="CH1449" s="12">
        <v>32.72</v>
      </c>
      <c r="CI1449" s="12">
        <v>32.72</v>
      </c>
      <c r="CJ1449" t="s">
        <v>135</v>
      </c>
      <c r="CK1449" t="s">
        <v>973</v>
      </c>
      <c r="CL1449" t="s">
        <v>15636</v>
      </c>
      <c r="CO1449" t="s">
        <v>132</v>
      </c>
      <c r="CP1449" t="s">
        <v>136</v>
      </c>
      <c r="CQ1449" t="s">
        <v>114</v>
      </c>
      <c r="CR1449" t="s">
        <v>136</v>
      </c>
      <c r="CS1449" t="s">
        <v>136</v>
      </c>
      <c r="CT1449" t="s">
        <v>136</v>
      </c>
      <c r="CU1449" t="s">
        <v>136</v>
      </c>
      <c r="CV1449" s="2" t="s">
        <v>975</v>
      </c>
      <c r="CW1449" s="10" t="str">
        <f>"+17755883553"</f>
        <v>+17755883553</v>
      </c>
      <c r="CX1449" t="s">
        <v>132</v>
      </c>
      <c r="CY1449" t="s">
        <v>976</v>
      </c>
      <c r="CZ1449" t="s">
        <v>137</v>
      </c>
      <c r="DA1449" t="s">
        <v>114</v>
      </c>
      <c r="DB1449" t="s">
        <v>114</v>
      </c>
      <c r="DC1449" t="s">
        <v>136</v>
      </c>
      <c r="DD1449" t="s">
        <v>114</v>
      </c>
    </row>
    <row r="1450" spans="1:113" ht="15" customHeight="1" x14ac:dyDescent="0.25">
      <c r="A1450" t="s">
        <v>6965</v>
      </c>
      <c r="B1450" t="s">
        <v>152</v>
      </c>
      <c r="C1450" s="1">
        <v>45150.503320949072</v>
      </c>
      <c r="D1450" s="1">
        <v>45215</v>
      </c>
      <c r="E1450" t="s">
        <v>114</v>
      </c>
      <c r="F1450" t="s">
        <v>1059</v>
      </c>
      <c r="G1450" t="str">
        <f>"35-2014.00"</f>
        <v>35-2014.00</v>
      </c>
      <c r="H1450" t="s">
        <v>154</v>
      </c>
      <c r="I1450">
        <v>4</v>
      </c>
      <c r="J1450">
        <v>4</v>
      </c>
      <c r="K1450" s="1">
        <v>45231</v>
      </c>
      <c r="L1450" s="1">
        <v>45535</v>
      </c>
      <c r="M1450" s="1">
        <v>45231</v>
      </c>
      <c r="N1450" s="1">
        <v>45535</v>
      </c>
      <c r="O1450" t="s">
        <v>116</v>
      </c>
      <c r="P1450" t="s">
        <v>2041</v>
      </c>
      <c r="R1450" t="s">
        <v>954</v>
      </c>
      <c r="T1450" t="s">
        <v>955</v>
      </c>
      <c r="U1450" t="s">
        <v>140</v>
      </c>
      <c r="V1450" s="8" t="str">
        <f>"32819"</f>
        <v>32819</v>
      </c>
      <c r="W1450" t="s">
        <v>118</v>
      </c>
      <c r="Y1450" s="10">
        <v>17755883553</v>
      </c>
      <c r="AA1450">
        <v>72111</v>
      </c>
      <c r="AB1450" t="s">
        <v>956</v>
      </c>
      <c r="AC1450" t="s">
        <v>957</v>
      </c>
      <c r="AE1450" t="s">
        <v>958</v>
      </c>
      <c r="AF1450" t="s">
        <v>954</v>
      </c>
      <c r="AH1450" t="s">
        <v>955</v>
      </c>
      <c r="AI1450" t="s">
        <v>140</v>
      </c>
      <c r="AJ1450" s="8" t="str">
        <f>"32819"</f>
        <v>32819</v>
      </c>
      <c r="AK1450" t="s">
        <v>118</v>
      </c>
      <c r="AM1450" s="10">
        <v>14073956456</v>
      </c>
      <c r="AO1450" t="s">
        <v>959</v>
      </c>
      <c r="AP1450" t="s">
        <v>248</v>
      </c>
      <c r="AQ1450" t="s">
        <v>960</v>
      </c>
      <c r="AR1450" t="s">
        <v>961</v>
      </c>
      <c r="AS1450" t="s">
        <v>962</v>
      </c>
      <c r="AT1450" t="s">
        <v>963</v>
      </c>
      <c r="AU1450" t="s">
        <v>296</v>
      </c>
      <c r="AV1450" t="s">
        <v>964</v>
      </c>
      <c r="AW1450" t="s">
        <v>127</v>
      </c>
      <c r="AX1450" s="8" t="str">
        <f>"75033"</f>
        <v>75033</v>
      </c>
      <c r="AY1450" t="s">
        <v>118</v>
      </c>
      <c r="BA1450" s="10">
        <v>19727789690</v>
      </c>
      <c r="BC1450" t="s">
        <v>965</v>
      </c>
      <c r="BD1450" t="s">
        <v>966</v>
      </c>
      <c r="BG1450" t="s">
        <v>967</v>
      </c>
      <c r="BH1450" s="1">
        <v>45149.833333333336</v>
      </c>
      <c r="BI1450">
        <v>40</v>
      </c>
      <c r="BJ1450">
        <v>8</v>
      </c>
      <c r="BK1450">
        <v>0</v>
      </c>
      <c r="BL1450">
        <v>8</v>
      </c>
      <c r="BM1450">
        <v>8</v>
      </c>
      <c r="BN1450">
        <v>0</v>
      </c>
      <c r="BO1450">
        <v>8</v>
      </c>
      <c r="BP1450">
        <v>8</v>
      </c>
      <c r="BQ1450" t="str">
        <f>"7:00 AM"</f>
        <v>7:00 AM</v>
      </c>
      <c r="BR1450" t="str">
        <f>"3:30 PM"</f>
        <v>3:30 PM</v>
      </c>
      <c r="BS1450" t="s">
        <v>131</v>
      </c>
      <c r="BT1450">
        <v>0</v>
      </c>
      <c r="BU1450">
        <v>0</v>
      </c>
      <c r="BV1450" t="s">
        <v>114</v>
      </c>
      <c r="BX1450" s="2" t="s">
        <v>6966</v>
      </c>
      <c r="BY1450" t="s">
        <v>969</v>
      </c>
      <c r="CA1450" t="s">
        <v>970</v>
      </c>
      <c r="CB1450" t="s">
        <v>967</v>
      </c>
      <c r="CC1450" s="8" t="str">
        <f>"89449"</f>
        <v>89449</v>
      </c>
      <c r="CD1450" t="s">
        <v>971</v>
      </c>
      <c r="CE1450" t="s">
        <v>972</v>
      </c>
      <c r="CF1450" s="12">
        <v>18</v>
      </c>
      <c r="CG1450" s="12">
        <v>18</v>
      </c>
      <c r="CH1450" s="12">
        <v>27</v>
      </c>
      <c r="CI1450" s="12">
        <v>27</v>
      </c>
      <c r="CJ1450" t="s">
        <v>135</v>
      </c>
      <c r="CK1450" t="s">
        <v>973</v>
      </c>
      <c r="CL1450" t="s">
        <v>6967</v>
      </c>
      <c r="CO1450" t="s">
        <v>132</v>
      </c>
      <c r="CP1450" t="s">
        <v>136</v>
      </c>
      <c r="CQ1450" t="s">
        <v>114</v>
      </c>
      <c r="CR1450" t="s">
        <v>136</v>
      </c>
      <c r="CS1450" t="s">
        <v>136</v>
      </c>
      <c r="CT1450" t="s">
        <v>136</v>
      </c>
      <c r="CU1450" t="s">
        <v>136</v>
      </c>
      <c r="CV1450" s="2" t="s">
        <v>975</v>
      </c>
      <c r="CW1450" s="10" t="str">
        <f>"+17755883553"</f>
        <v>+17755883553</v>
      </c>
      <c r="CX1450" t="s">
        <v>132</v>
      </c>
      <c r="CY1450" t="s">
        <v>6968</v>
      </c>
      <c r="CZ1450" t="s">
        <v>137</v>
      </c>
      <c r="DA1450" t="s">
        <v>114</v>
      </c>
      <c r="DB1450" t="s">
        <v>114</v>
      </c>
      <c r="DC1450" t="s">
        <v>136</v>
      </c>
      <c r="DD1450" t="s">
        <v>114</v>
      </c>
    </row>
    <row r="1451" spans="1:113" ht="15" customHeight="1" x14ac:dyDescent="0.25">
      <c r="A1451" t="s">
        <v>20883</v>
      </c>
      <c r="B1451" t="s">
        <v>152</v>
      </c>
      <c r="C1451" s="1">
        <v>45141.619340509256</v>
      </c>
      <c r="D1451" s="1">
        <v>45215</v>
      </c>
      <c r="E1451" t="s">
        <v>136</v>
      </c>
      <c r="F1451" t="s">
        <v>20884</v>
      </c>
      <c r="G1451" t="str">
        <f>"35-2021.00"</f>
        <v>35-2021.00</v>
      </c>
      <c r="H1451" t="s">
        <v>2303</v>
      </c>
      <c r="I1451">
        <v>8</v>
      </c>
      <c r="J1451">
        <v>8</v>
      </c>
      <c r="K1451" s="1">
        <v>45231</v>
      </c>
      <c r="L1451" s="1">
        <v>45503</v>
      </c>
      <c r="M1451" s="1">
        <v>45231</v>
      </c>
      <c r="N1451" s="1">
        <v>45503</v>
      </c>
      <c r="O1451" t="s">
        <v>238</v>
      </c>
      <c r="P1451" t="s">
        <v>20885</v>
      </c>
      <c r="Q1451" t="s">
        <v>132</v>
      </c>
      <c r="R1451" t="s">
        <v>20886</v>
      </c>
      <c r="T1451" t="s">
        <v>20887</v>
      </c>
      <c r="U1451" t="s">
        <v>333</v>
      </c>
      <c r="V1451" s="8" t="str">
        <f>"71037"</f>
        <v>71037</v>
      </c>
      <c r="W1451" t="s">
        <v>118</v>
      </c>
      <c r="X1451" t="s">
        <v>132</v>
      </c>
      <c r="Y1451" s="10">
        <v>13183478905</v>
      </c>
      <c r="AA1451">
        <v>722511</v>
      </c>
      <c r="AB1451" t="s">
        <v>1059</v>
      </c>
      <c r="AC1451" t="s">
        <v>20888</v>
      </c>
      <c r="AD1451" t="s">
        <v>20889</v>
      </c>
      <c r="AE1451" t="s">
        <v>629</v>
      </c>
      <c r="AF1451" t="s">
        <v>20886</v>
      </c>
      <c r="AH1451" t="s">
        <v>20887</v>
      </c>
      <c r="AI1451" t="s">
        <v>333</v>
      </c>
      <c r="AJ1451" s="8" t="str">
        <f>"71037"</f>
        <v>71037</v>
      </c>
      <c r="AK1451" t="s">
        <v>118</v>
      </c>
      <c r="AM1451" s="10">
        <v>13183478905</v>
      </c>
      <c r="AO1451" t="s">
        <v>20890</v>
      </c>
      <c r="AP1451" t="s">
        <v>121</v>
      </c>
      <c r="AQ1451" t="s">
        <v>20891</v>
      </c>
      <c r="AR1451" t="s">
        <v>826</v>
      </c>
      <c r="AS1451" t="s">
        <v>1964</v>
      </c>
      <c r="AT1451" t="s">
        <v>20892</v>
      </c>
      <c r="AU1451" t="s">
        <v>20893</v>
      </c>
      <c r="AV1451" t="s">
        <v>1264</v>
      </c>
      <c r="AW1451" t="s">
        <v>127</v>
      </c>
      <c r="AX1451" s="8" t="str">
        <f>"75252"</f>
        <v>75252</v>
      </c>
      <c r="AY1451" t="s">
        <v>118</v>
      </c>
      <c r="BA1451" s="10">
        <v>19724400868</v>
      </c>
      <c r="BC1451" t="s">
        <v>20894</v>
      </c>
      <c r="BD1451" t="s">
        <v>20895</v>
      </c>
      <c r="BE1451" t="s">
        <v>127</v>
      </c>
      <c r="BF1451" t="s">
        <v>713</v>
      </c>
      <c r="BG1451" t="s">
        <v>333</v>
      </c>
      <c r="BH1451" s="1">
        <v>45140.833333333336</v>
      </c>
      <c r="BI1451">
        <v>40</v>
      </c>
      <c r="BJ1451">
        <v>8</v>
      </c>
      <c r="BK1451">
        <v>0</v>
      </c>
      <c r="BL1451">
        <v>0</v>
      </c>
      <c r="BM1451">
        <v>8</v>
      </c>
      <c r="BN1451">
        <v>8</v>
      </c>
      <c r="BO1451">
        <v>8</v>
      </c>
      <c r="BP1451">
        <v>8</v>
      </c>
      <c r="BQ1451" t="str">
        <f>"3:00 PM"</f>
        <v>3:00 PM</v>
      </c>
      <c r="BR1451" t="str">
        <f>"11:00 PM"</f>
        <v>11:00 PM</v>
      </c>
      <c r="BS1451" t="s">
        <v>131</v>
      </c>
      <c r="BT1451">
        <v>0</v>
      </c>
      <c r="BU1451">
        <v>0</v>
      </c>
      <c r="BV1451" t="s">
        <v>114</v>
      </c>
      <c r="BX1451" t="s">
        <v>132</v>
      </c>
      <c r="BY1451" t="s">
        <v>20886</v>
      </c>
      <c r="BZ1451" t="s">
        <v>132</v>
      </c>
      <c r="CA1451" t="s">
        <v>20887</v>
      </c>
      <c r="CB1451" t="s">
        <v>333</v>
      </c>
      <c r="CC1451" s="8" t="str">
        <f>"71037"</f>
        <v>71037</v>
      </c>
      <c r="CD1451" t="s">
        <v>4040</v>
      </c>
      <c r="CE1451" t="s">
        <v>2751</v>
      </c>
      <c r="CF1451" s="12">
        <v>9.64</v>
      </c>
      <c r="CH1451" s="12">
        <v>14.46</v>
      </c>
      <c r="CJ1451" t="s">
        <v>135</v>
      </c>
      <c r="CK1451" t="s">
        <v>132</v>
      </c>
      <c r="CL1451" t="s">
        <v>20896</v>
      </c>
      <c r="CO1451" t="s">
        <v>132</v>
      </c>
      <c r="CP1451" t="s">
        <v>114</v>
      </c>
      <c r="CQ1451" t="s">
        <v>114</v>
      </c>
      <c r="CR1451" t="s">
        <v>136</v>
      </c>
      <c r="CS1451" t="s">
        <v>114</v>
      </c>
      <c r="CT1451" t="s">
        <v>136</v>
      </c>
      <c r="CU1451" t="s">
        <v>114</v>
      </c>
      <c r="CV1451" t="s">
        <v>20897</v>
      </c>
      <c r="CW1451" s="10" t="str">
        <f>"+13189493799"</f>
        <v>+13189493799</v>
      </c>
      <c r="CX1451" t="s">
        <v>20890</v>
      </c>
      <c r="CY1451" t="s">
        <v>132</v>
      </c>
      <c r="CZ1451" t="s">
        <v>137</v>
      </c>
      <c r="DA1451" t="s">
        <v>114</v>
      </c>
      <c r="DB1451" t="s">
        <v>114</v>
      </c>
      <c r="DC1451" t="s">
        <v>136</v>
      </c>
      <c r="DD1451" t="s">
        <v>114</v>
      </c>
    </row>
    <row r="1452" spans="1:113" ht="15" customHeight="1" x14ac:dyDescent="0.25">
      <c r="A1452" t="s">
        <v>14461</v>
      </c>
      <c r="B1452" t="s">
        <v>152</v>
      </c>
      <c r="C1452" s="1">
        <v>45141.023500694442</v>
      </c>
      <c r="D1452" s="1">
        <v>45215</v>
      </c>
      <c r="E1452" t="s">
        <v>114</v>
      </c>
      <c r="F1452" t="s">
        <v>1689</v>
      </c>
      <c r="G1452" t="str">
        <f>"37-2012.00"</f>
        <v>37-2012.00</v>
      </c>
      <c r="H1452" t="s">
        <v>205</v>
      </c>
      <c r="I1452">
        <v>2</v>
      </c>
      <c r="J1452">
        <v>2</v>
      </c>
      <c r="K1452" s="1">
        <v>45231</v>
      </c>
      <c r="L1452" s="1">
        <v>45413</v>
      </c>
      <c r="M1452" s="1">
        <v>45231</v>
      </c>
      <c r="N1452" s="1">
        <v>45413</v>
      </c>
      <c r="O1452" t="s">
        <v>238</v>
      </c>
      <c r="P1452" t="s">
        <v>14462</v>
      </c>
      <c r="Q1452" t="s">
        <v>14463</v>
      </c>
      <c r="R1452" t="s">
        <v>14464</v>
      </c>
      <c r="T1452" t="s">
        <v>14465</v>
      </c>
      <c r="U1452" t="s">
        <v>211</v>
      </c>
      <c r="V1452" s="8" t="str">
        <f>"84121"</f>
        <v>84121</v>
      </c>
      <c r="W1452" t="s">
        <v>118</v>
      </c>
      <c r="Y1452" s="10">
        <v>18015365755</v>
      </c>
      <c r="AA1452">
        <v>72111</v>
      </c>
      <c r="AB1452" t="s">
        <v>14466</v>
      </c>
      <c r="AC1452" t="s">
        <v>14467</v>
      </c>
      <c r="AE1452" t="s">
        <v>14468</v>
      </c>
      <c r="AF1452" t="s">
        <v>14464</v>
      </c>
      <c r="AH1452" t="s">
        <v>14465</v>
      </c>
      <c r="AI1452" t="s">
        <v>211</v>
      </c>
      <c r="AJ1452" s="8" t="str">
        <f>"84121"</f>
        <v>84121</v>
      </c>
      <c r="AK1452" t="s">
        <v>118</v>
      </c>
      <c r="AM1452" s="10">
        <v>18015365760</v>
      </c>
      <c r="AO1452" t="s">
        <v>14469</v>
      </c>
      <c r="AP1452" t="s">
        <v>121</v>
      </c>
      <c r="AQ1452" t="s">
        <v>1675</v>
      </c>
      <c r="AR1452" t="s">
        <v>1676</v>
      </c>
      <c r="AS1452" t="s">
        <v>1677</v>
      </c>
      <c r="AT1452" t="s">
        <v>1678</v>
      </c>
      <c r="AU1452" t="s">
        <v>296</v>
      </c>
      <c r="AV1452" t="s">
        <v>1679</v>
      </c>
      <c r="AW1452" t="s">
        <v>402</v>
      </c>
      <c r="AX1452" s="8" t="str">
        <f>"91361"</f>
        <v>91361</v>
      </c>
      <c r="AY1452" t="s">
        <v>118</v>
      </c>
      <c r="BA1452" s="10">
        <v>18052611393</v>
      </c>
      <c r="BC1452" t="s">
        <v>1680</v>
      </c>
      <c r="BD1452" t="s">
        <v>1681</v>
      </c>
      <c r="BE1452" t="s">
        <v>140</v>
      </c>
      <c r="BF1452" t="s">
        <v>146</v>
      </c>
      <c r="BG1452" t="s">
        <v>211</v>
      </c>
      <c r="BH1452" s="1">
        <v>45131.833333333336</v>
      </c>
      <c r="BI1452">
        <v>35</v>
      </c>
      <c r="BJ1452">
        <v>5</v>
      </c>
      <c r="BK1452">
        <v>5</v>
      </c>
      <c r="BL1452">
        <v>5</v>
      </c>
      <c r="BM1452">
        <v>5</v>
      </c>
      <c r="BN1452">
        <v>5</v>
      </c>
      <c r="BO1452">
        <v>5</v>
      </c>
      <c r="BP1452">
        <v>5</v>
      </c>
      <c r="BQ1452" t="str">
        <f>"7:00 AM"</f>
        <v>7:00 AM</v>
      </c>
      <c r="BR1452" t="str">
        <f>"3:00 PM"</f>
        <v>3:00 PM</v>
      </c>
      <c r="BS1452" t="s">
        <v>147</v>
      </c>
      <c r="BT1452">
        <v>0</v>
      </c>
      <c r="BU1452">
        <v>12</v>
      </c>
      <c r="BV1452" t="s">
        <v>114</v>
      </c>
      <c r="BX1452" s="2" t="s">
        <v>14470</v>
      </c>
      <c r="BY1452" t="s">
        <v>14471</v>
      </c>
      <c r="CA1452" t="s">
        <v>5823</v>
      </c>
      <c r="CB1452" t="s">
        <v>211</v>
      </c>
      <c r="CC1452" s="8" t="str">
        <f>"84121"</f>
        <v>84121</v>
      </c>
      <c r="CD1452" t="s">
        <v>1567</v>
      </c>
      <c r="CE1452" t="s">
        <v>1568</v>
      </c>
      <c r="CF1452" s="12">
        <v>17.25</v>
      </c>
      <c r="CG1452" s="12">
        <v>21.25</v>
      </c>
      <c r="CH1452" s="12">
        <v>25.88</v>
      </c>
      <c r="CI1452" s="12">
        <v>31.88</v>
      </c>
      <c r="CJ1452" t="s">
        <v>135</v>
      </c>
      <c r="CK1452" t="s">
        <v>11376</v>
      </c>
      <c r="CL1452" t="s">
        <v>14472</v>
      </c>
      <c r="CO1452" t="s">
        <v>132</v>
      </c>
      <c r="CP1452" t="s">
        <v>114</v>
      </c>
      <c r="CQ1452" t="s">
        <v>136</v>
      </c>
      <c r="CR1452" t="s">
        <v>136</v>
      </c>
      <c r="CS1452" t="s">
        <v>136</v>
      </c>
      <c r="CT1452" t="s">
        <v>136</v>
      </c>
      <c r="CU1452" t="s">
        <v>114</v>
      </c>
      <c r="CV1452" s="2" t="s">
        <v>14473</v>
      </c>
      <c r="CW1452" s="10" t="str">
        <f>"+18015365760"</f>
        <v>+18015365760</v>
      </c>
      <c r="CX1452" t="s">
        <v>14469</v>
      </c>
      <c r="CY1452" t="s">
        <v>132</v>
      </c>
      <c r="CZ1452" t="s">
        <v>137</v>
      </c>
      <c r="DA1452" t="s">
        <v>114</v>
      </c>
      <c r="DB1452" t="s">
        <v>114</v>
      </c>
      <c r="DC1452" t="s">
        <v>136</v>
      </c>
      <c r="DD1452" t="s">
        <v>114</v>
      </c>
    </row>
    <row r="1453" spans="1:113" ht="15" customHeight="1" x14ac:dyDescent="0.25">
      <c r="A1453" t="s">
        <v>22732</v>
      </c>
      <c r="B1453" t="s">
        <v>152</v>
      </c>
      <c r="C1453" s="1">
        <v>45141.003728703705</v>
      </c>
      <c r="D1453" s="1">
        <v>45215</v>
      </c>
      <c r="E1453" t="s">
        <v>114</v>
      </c>
      <c r="F1453" t="s">
        <v>293</v>
      </c>
      <c r="G1453" t="str">
        <f>"37-2012.00"</f>
        <v>37-2012.00</v>
      </c>
      <c r="H1453" t="s">
        <v>205</v>
      </c>
      <c r="I1453">
        <v>12</v>
      </c>
      <c r="J1453">
        <v>12</v>
      </c>
      <c r="K1453" s="1">
        <v>45231</v>
      </c>
      <c r="L1453" s="1">
        <v>45382</v>
      </c>
      <c r="M1453" s="1">
        <v>45231</v>
      </c>
      <c r="N1453" s="1">
        <v>45382</v>
      </c>
      <c r="O1453" t="s">
        <v>116</v>
      </c>
      <c r="P1453" t="s">
        <v>11114</v>
      </c>
      <c r="Q1453" t="s">
        <v>11115</v>
      </c>
      <c r="R1453" t="s">
        <v>11116</v>
      </c>
      <c r="T1453" t="s">
        <v>11117</v>
      </c>
      <c r="U1453" t="s">
        <v>169</v>
      </c>
      <c r="V1453" s="8" t="str">
        <f>"56201"</f>
        <v>56201</v>
      </c>
      <c r="W1453" t="s">
        <v>118</v>
      </c>
      <c r="Y1453" s="10">
        <v>13202357202</v>
      </c>
      <c r="AA1453">
        <v>7211</v>
      </c>
      <c r="AB1453" t="s">
        <v>11118</v>
      </c>
      <c r="AC1453" t="s">
        <v>11119</v>
      </c>
      <c r="AE1453" t="s">
        <v>11120</v>
      </c>
      <c r="AF1453" t="s">
        <v>11121</v>
      </c>
      <c r="AH1453" t="s">
        <v>11117</v>
      </c>
      <c r="AI1453" t="s">
        <v>169</v>
      </c>
      <c r="AJ1453" s="8" t="str">
        <f>"56201"</f>
        <v>56201</v>
      </c>
      <c r="AK1453" t="s">
        <v>118</v>
      </c>
      <c r="AM1453" s="10">
        <v>13202357202</v>
      </c>
      <c r="AO1453" t="s">
        <v>11122</v>
      </c>
      <c r="AP1453" t="s">
        <v>248</v>
      </c>
      <c r="AQ1453" t="s">
        <v>960</v>
      </c>
      <c r="AR1453" t="s">
        <v>961</v>
      </c>
      <c r="AS1453" t="s">
        <v>962</v>
      </c>
      <c r="AT1453" t="s">
        <v>963</v>
      </c>
      <c r="AU1453" t="s">
        <v>296</v>
      </c>
      <c r="AV1453" t="s">
        <v>964</v>
      </c>
      <c r="AW1453" t="s">
        <v>127</v>
      </c>
      <c r="AX1453" s="8" t="str">
        <f>"75033"</f>
        <v>75033</v>
      </c>
      <c r="AY1453" t="s">
        <v>118</v>
      </c>
      <c r="BA1453" s="10">
        <v>19727789690</v>
      </c>
      <c r="BC1453" t="s">
        <v>1388</v>
      </c>
      <c r="BD1453" t="s">
        <v>966</v>
      </c>
      <c r="BG1453" t="s">
        <v>140</v>
      </c>
      <c r="BH1453" s="1">
        <v>45140.833333333336</v>
      </c>
      <c r="BI1453">
        <v>40</v>
      </c>
      <c r="BJ1453">
        <v>8</v>
      </c>
      <c r="BK1453">
        <v>8</v>
      </c>
      <c r="BL1453">
        <v>0</v>
      </c>
      <c r="BM1453">
        <v>8</v>
      </c>
      <c r="BN1453">
        <v>0</v>
      </c>
      <c r="BO1453">
        <v>8</v>
      </c>
      <c r="BP1453">
        <v>8</v>
      </c>
      <c r="BQ1453" t="str">
        <f>"7:00 AM"</f>
        <v>7:00 AM</v>
      </c>
      <c r="BR1453" t="str">
        <f>"4:00 PM"</f>
        <v>4:00 PM</v>
      </c>
      <c r="BS1453" t="s">
        <v>131</v>
      </c>
      <c r="BT1453">
        <v>0</v>
      </c>
      <c r="BU1453">
        <v>0</v>
      </c>
      <c r="BV1453" t="s">
        <v>114</v>
      </c>
      <c r="BX1453" s="2" t="s">
        <v>11123</v>
      </c>
      <c r="BY1453" t="s">
        <v>22733</v>
      </c>
      <c r="CA1453" t="s">
        <v>1614</v>
      </c>
      <c r="CB1453" t="s">
        <v>140</v>
      </c>
      <c r="CC1453" s="8" t="str">
        <f>"34103"</f>
        <v>34103</v>
      </c>
      <c r="CD1453" t="s">
        <v>1619</v>
      </c>
      <c r="CE1453" t="s">
        <v>1620</v>
      </c>
      <c r="CF1453" s="12">
        <v>14.15</v>
      </c>
      <c r="CG1453" s="12">
        <v>14.15</v>
      </c>
      <c r="CH1453" s="12">
        <v>21.23</v>
      </c>
      <c r="CI1453" s="12">
        <v>21.23</v>
      </c>
      <c r="CJ1453" t="s">
        <v>135</v>
      </c>
      <c r="CK1453" t="s">
        <v>6405</v>
      </c>
      <c r="CL1453" t="s">
        <v>22734</v>
      </c>
      <c r="CO1453" t="s">
        <v>132</v>
      </c>
      <c r="CP1453" t="s">
        <v>136</v>
      </c>
      <c r="CQ1453" t="s">
        <v>136</v>
      </c>
      <c r="CR1453" t="s">
        <v>136</v>
      </c>
      <c r="CS1453" t="s">
        <v>136</v>
      </c>
      <c r="CT1453" t="s">
        <v>136</v>
      </c>
      <c r="CU1453" t="s">
        <v>136</v>
      </c>
      <c r="CV1453" s="2" t="s">
        <v>22735</v>
      </c>
      <c r="CW1453" s="10" t="str">
        <f>"+13202357202"</f>
        <v>+13202357202</v>
      </c>
      <c r="CX1453" t="s">
        <v>132</v>
      </c>
      <c r="CY1453" t="s">
        <v>1876</v>
      </c>
      <c r="CZ1453" t="s">
        <v>137</v>
      </c>
      <c r="DA1453" t="s">
        <v>114</v>
      </c>
      <c r="DB1453" t="s">
        <v>136</v>
      </c>
      <c r="DC1453" t="s">
        <v>136</v>
      </c>
      <c r="DD1453" t="s">
        <v>114</v>
      </c>
    </row>
    <row r="1454" spans="1:113" ht="15" customHeight="1" x14ac:dyDescent="0.25">
      <c r="A1454" t="s">
        <v>15459</v>
      </c>
      <c r="B1454" t="s">
        <v>152</v>
      </c>
      <c r="C1454" s="1">
        <v>45137.726798379626</v>
      </c>
      <c r="D1454" s="1">
        <v>45215</v>
      </c>
      <c r="E1454" t="s">
        <v>114</v>
      </c>
      <c r="F1454" t="s">
        <v>8348</v>
      </c>
      <c r="G1454" t="str">
        <f>"39-2021.00"</f>
        <v>39-2021.00</v>
      </c>
      <c r="H1454" t="s">
        <v>2895</v>
      </c>
      <c r="I1454">
        <v>7</v>
      </c>
      <c r="J1454">
        <v>7</v>
      </c>
      <c r="K1454" s="1">
        <v>45227</v>
      </c>
      <c r="L1454" s="1">
        <v>45530</v>
      </c>
      <c r="M1454" s="1">
        <v>45227</v>
      </c>
      <c r="N1454" s="1">
        <v>45530</v>
      </c>
      <c r="O1454" t="s">
        <v>116</v>
      </c>
      <c r="P1454" t="s">
        <v>15460</v>
      </c>
      <c r="R1454" t="s">
        <v>15461</v>
      </c>
      <c r="T1454" t="s">
        <v>518</v>
      </c>
      <c r="U1454" t="s">
        <v>402</v>
      </c>
      <c r="V1454" s="8" t="str">
        <f>"90049"</f>
        <v>90049</v>
      </c>
      <c r="W1454" t="s">
        <v>118</v>
      </c>
      <c r="Y1454" s="10">
        <v>13106001967</v>
      </c>
      <c r="AA1454">
        <v>71121</v>
      </c>
      <c r="AB1454" t="s">
        <v>15462</v>
      </c>
      <c r="AC1454" t="s">
        <v>9502</v>
      </c>
      <c r="AE1454" t="s">
        <v>629</v>
      </c>
      <c r="AF1454" t="s">
        <v>15463</v>
      </c>
      <c r="AH1454" t="s">
        <v>518</v>
      </c>
      <c r="AI1454" t="s">
        <v>402</v>
      </c>
      <c r="AJ1454" s="8" t="str">
        <f>"90049"</f>
        <v>90049</v>
      </c>
      <c r="AK1454" t="s">
        <v>118</v>
      </c>
      <c r="AM1454" s="10">
        <v>13106001967</v>
      </c>
      <c r="AO1454" t="s">
        <v>15464</v>
      </c>
      <c r="AP1454" t="s">
        <v>121</v>
      </c>
      <c r="AQ1454" t="s">
        <v>8354</v>
      </c>
      <c r="AR1454" t="s">
        <v>1872</v>
      </c>
      <c r="AS1454" t="s">
        <v>8355</v>
      </c>
      <c r="AT1454" t="s">
        <v>8356</v>
      </c>
      <c r="AU1454" t="s">
        <v>296</v>
      </c>
      <c r="AV1454" t="s">
        <v>401</v>
      </c>
      <c r="AW1454" t="s">
        <v>402</v>
      </c>
      <c r="AX1454" s="8" t="str">
        <f>"92008"</f>
        <v>92008</v>
      </c>
      <c r="AY1454" t="s">
        <v>118</v>
      </c>
      <c r="BA1454" s="10">
        <v>17609185584</v>
      </c>
      <c r="BC1454" t="s">
        <v>8357</v>
      </c>
      <c r="BD1454" t="s">
        <v>8358</v>
      </c>
      <c r="BE1454" t="s">
        <v>402</v>
      </c>
      <c r="BF1454" t="s">
        <v>13409</v>
      </c>
      <c r="BG1454" t="s">
        <v>402</v>
      </c>
      <c r="BH1454" s="1">
        <v>45135.833333333336</v>
      </c>
      <c r="BI1454">
        <v>48</v>
      </c>
      <c r="BJ1454">
        <v>8</v>
      </c>
      <c r="BK1454">
        <v>0</v>
      </c>
      <c r="BL1454">
        <v>8</v>
      </c>
      <c r="BM1454">
        <v>8</v>
      </c>
      <c r="BN1454">
        <v>8</v>
      </c>
      <c r="BO1454">
        <v>8</v>
      </c>
      <c r="BP1454">
        <v>8</v>
      </c>
      <c r="BQ1454" t="str">
        <f>"5:30 AM"</f>
        <v>5:30 AM</v>
      </c>
      <c r="BR1454" t="str">
        <f>"4:00 PM"</f>
        <v>4:00 PM</v>
      </c>
      <c r="BS1454" t="s">
        <v>131</v>
      </c>
      <c r="BT1454">
        <v>0</v>
      </c>
      <c r="BU1454">
        <v>3</v>
      </c>
      <c r="BV1454" t="s">
        <v>114</v>
      </c>
      <c r="BX1454" s="2" t="s">
        <v>15465</v>
      </c>
      <c r="BY1454" t="s">
        <v>8361</v>
      </c>
      <c r="BZ1454" t="s">
        <v>8362</v>
      </c>
      <c r="CA1454" t="s">
        <v>8363</v>
      </c>
      <c r="CB1454" t="s">
        <v>402</v>
      </c>
      <c r="CC1454" s="8" t="str">
        <f>"92274"</f>
        <v>92274</v>
      </c>
      <c r="CD1454" t="s">
        <v>5876</v>
      </c>
      <c r="CE1454" t="s">
        <v>4484</v>
      </c>
      <c r="CF1454" s="12">
        <v>19.12</v>
      </c>
      <c r="CG1454" s="12">
        <v>19.12</v>
      </c>
      <c r="CH1454" s="12">
        <v>28.68</v>
      </c>
      <c r="CI1454" s="12">
        <v>28.68</v>
      </c>
      <c r="CJ1454" t="s">
        <v>135</v>
      </c>
      <c r="CK1454" t="s">
        <v>132</v>
      </c>
      <c r="CL1454" t="s">
        <v>15466</v>
      </c>
      <c r="CO1454" t="s">
        <v>132</v>
      </c>
      <c r="CP1454" t="s">
        <v>136</v>
      </c>
      <c r="CQ1454" t="s">
        <v>136</v>
      </c>
      <c r="CR1454" t="s">
        <v>136</v>
      </c>
      <c r="CS1454" t="s">
        <v>114</v>
      </c>
      <c r="CT1454" t="s">
        <v>136</v>
      </c>
      <c r="CU1454" t="s">
        <v>136</v>
      </c>
      <c r="CV1454" t="s">
        <v>131</v>
      </c>
      <c r="CW1454" s="10" t="str">
        <f>"+13106001967"</f>
        <v>+13106001967</v>
      </c>
      <c r="CX1454" t="s">
        <v>15464</v>
      </c>
      <c r="CY1454" t="s">
        <v>132</v>
      </c>
      <c r="CZ1454" t="s">
        <v>137</v>
      </c>
      <c r="DA1454" t="s">
        <v>114</v>
      </c>
      <c r="DB1454" t="s">
        <v>114</v>
      </c>
      <c r="DC1454" t="s">
        <v>136</v>
      </c>
      <c r="DD1454" t="s">
        <v>114</v>
      </c>
    </row>
    <row r="1455" spans="1:113" ht="15" customHeight="1" x14ac:dyDescent="0.25">
      <c r="A1455" t="s">
        <v>23472</v>
      </c>
      <c r="B1455" t="s">
        <v>152</v>
      </c>
      <c r="C1455" s="1">
        <v>45128.744042245373</v>
      </c>
      <c r="D1455" s="1">
        <v>45215</v>
      </c>
      <c r="E1455" t="s">
        <v>114</v>
      </c>
      <c r="F1455" t="s">
        <v>1595</v>
      </c>
      <c r="G1455" t="str">
        <f>"49-9099.00"</f>
        <v>49-9099.00</v>
      </c>
      <c r="H1455" t="s">
        <v>3863</v>
      </c>
      <c r="I1455">
        <v>14</v>
      </c>
      <c r="J1455">
        <v>14</v>
      </c>
      <c r="K1455" s="1">
        <v>45205</v>
      </c>
      <c r="L1455" s="1">
        <v>45413</v>
      </c>
      <c r="M1455" s="1">
        <v>45205</v>
      </c>
      <c r="N1455" s="1">
        <v>45413</v>
      </c>
      <c r="O1455" t="s">
        <v>116</v>
      </c>
      <c r="P1455" t="s">
        <v>23473</v>
      </c>
      <c r="R1455" t="s">
        <v>867</v>
      </c>
      <c r="T1455" t="s">
        <v>868</v>
      </c>
      <c r="U1455" t="s">
        <v>127</v>
      </c>
      <c r="V1455" s="8" t="str">
        <f>"77316"</f>
        <v>77316</v>
      </c>
      <c r="W1455" t="s">
        <v>118</v>
      </c>
      <c r="Y1455" s="10">
        <v>14695264015</v>
      </c>
      <c r="AA1455">
        <v>561730</v>
      </c>
      <c r="AB1455" t="s">
        <v>869</v>
      </c>
      <c r="AC1455" t="s">
        <v>870</v>
      </c>
      <c r="AE1455" t="s">
        <v>871</v>
      </c>
      <c r="AF1455" t="s">
        <v>867</v>
      </c>
      <c r="AH1455" t="s">
        <v>868</v>
      </c>
      <c r="AI1455" t="s">
        <v>127</v>
      </c>
      <c r="AJ1455" s="8" t="str">
        <f>"77316"</f>
        <v>77316</v>
      </c>
      <c r="AK1455" t="s">
        <v>118</v>
      </c>
      <c r="AM1455" s="10">
        <v>14695264015</v>
      </c>
      <c r="AO1455" t="s">
        <v>872</v>
      </c>
      <c r="AP1455" t="s">
        <v>121</v>
      </c>
      <c r="AQ1455" t="s">
        <v>707</v>
      </c>
      <c r="AR1455" t="s">
        <v>708</v>
      </c>
      <c r="AS1455" t="s">
        <v>709</v>
      </c>
      <c r="AT1455" t="s">
        <v>873</v>
      </c>
      <c r="AU1455" t="s">
        <v>874</v>
      </c>
      <c r="AV1455" t="s">
        <v>603</v>
      </c>
      <c r="AW1455" t="s">
        <v>127</v>
      </c>
      <c r="AX1455" s="8" t="str">
        <f>"78746"</f>
        <v>78746</v>
      </c>
      <c r="AY1455" t="s">
        <v>118</v>
      </c>
      <c r="BA1455" s="10">
        <v>17372040093</v>
      </c>
      <c r="BC1455" t="s">
        <v>875</v>
      </c>
      <c r="BD1455" t="s">
        <v>876</v>
      </c>
      <c r="BE1455" t="s">
        <v>127</v>
      </c>
      <c r="BF1455" t="s">
        <v>713</v>
      </c>
      <c r="BG1455" t="s">
        <v>127</v>
      </c>
      <c r="BH1455" s="1">
        <v>45127.833333333336</v>
      </c>
      <c r="BI1455">
        <v>40</v>
      </c>
      <c r="BJ1455">
        <v>0</v>
      </c>
      <c r="BK1455">
        <v>8</v>
      </c>
      <c r="BL1455">
        <v>8</v>
      </c>
      <c r="BM1455">
        <v>8</v>
      </c>
      <c r="BN1455">
        <v>8</v>
      </c>
      <c r="BO1455">
        <v>8</v>
      </c>
      <c r="BP1455">
        <v>0</v>
      </c>
      <c r="BQ1455" t="str">
        <f>"7:00 AM"</f>
        <v>7:00 AM</v>
      </c>
      <c r="BR1455" t="str">
        <f>"4:00 PM"</f>
        <v>4:00 PM</v>
      </c>
      <c r="BS1455" t="s">
        <v>131</v>
      </c>
      <c r="BT1455">
        <v>0</v>
      </c>
      <c r="BU1455">
        <v>0</v>
      </c>
      <c r="BV1455" t="s">
        <v>114</v>
      </c>
      <c r="BX1455" s="2" t="s">
        <v>877</v>
      </c>
      <c r="BY1455" t="s">
        <v>867</v>
      </c>
      <c r="CA1455" t="s">
        <v>868</v>
      </c>
      <c r="CB1455" t="s">
        <v>127</v>
      </c>
      <c r="CC1455" s="8" t="str">
        <f>"77316"</f>
        <v>77316</v>
      </c>
      <c r="CD1455" t="s">
        <v>878</v>
      </c>
      <c r="CE1455" t="s">
        <v>879</v>
      </c>
      <c r="CF1455" s="12">
        <v>23.47</v>
      </c>
      <c r="CG1455" s="12">
        <v>25.47</v>
      </c>
      <c r="CH1455" s="12">
        <v>35.21</v>
      </c>
      <c r="CI1455" s="12">
        <v>38.21</v>
      </c>
      <c r="CJ1455" t="s">
        <v>135</v>
      </c>
      <c r="CK1455" t="s">
        <v>23474</v>
      </c>
      <c r="CL1455" t="s">
        <v>23475</v>
      </c>
      <c r="CO1455" t="s">
        <v>132</v>
      </c>
      <c r="CP1455" t="s">
        <v>136</v>
      </c>
      <c r="CQ1455" t="s">
        <v>136</v>
      </c>
      <c r="CR1455" t="s">
        <v>136</v>
      </c>
      <c r="CS1455" t="s">
        <v>136</v>
      </c>
      <c r="CT1455" t="s">
        <v>136</v>
      </c>
      <c r="CU1455" t="s">
        <v>136</v>
      </c>
      <c r="CV1455" s="2" t="s">
        <v>23476</v>
      </c>
      <c r="CW1455" s="10" t="str">
        <f>"+14695264015"</f>
        <v>+14695264015</v>
      </c>
      <c r="CX1455" t="s">
        <v>872</v>
      </c>
      <c r="CY1455" t="s">
        <v>132</v>
      </c>
      <c r="CZ1455" t="s">
        <v>137</v>
      </c>
      <c r="DA1455" t="s">
        <v>114</v>
      </c>
      <c r="DB1455" t="s">
        <v>114</v>
      </c>
      <c r="DC1455" t="s">
        <v>136</v>
      </c>
      <c r="DD1455" t="s">
        <v>114</v>
      </c>
    </row>
    <row r="1456" spans="1:113" ht="15" customHeight="1" x14ac:dyDescent="0.25">
      <c r="A1456" t="s">
        <v>23477</v>
      </c>
      <c r="B1456" t="s">
        <v>152</v>
      </c>
      <c r="C1456" s="1">
        <v>45119.764916319444</v>
      </c>
      <c r="D1456" s="1">
        <v>45215</v>
      </c>
      <c r="E1456" t="s">
        <v>114</v>
      </c>
      <c r="F1456" t="s">
        <v>1512</v>
      </c>
      <c r="G1456" t="str">
        <f>"35-9011.00"</f>
        <v>35-9011.00</v>
      </c>
      <c r="H1456" t="s">
        <v>1512</v>
      </c>
      <c r="I1456">
        <v>6</v>
      </c>
      <c r="J1456">
        <v>6</v>
      </c>
      <c r="K1456" s="1">
        <v>45200</v>
      </c>
      <c r="L1456" s="1">
        <v>45473</v>
      </c>
      <c r="M1456" s="1">
        <v>45200</v>
      </c>
      <c r="N1456" s="1">
        <v>45473</v>
      </c>
      <c r="O1456" t="s">
        <v>238</v>
      </c>
      <c r="P1456" t="s">
        <v>23478</v>
      </c>
      <c r="R1456" t="s">
        <v>12306</v>
      </c>
      <c r="T1456" t="s">
        <v>2059</v>
      </c>
      <c r="U1456" t="s">
        <v>854</v>
      </c>
      <c r="V1456" s="8" t="str">
        <f>"83422"</f>
        <v>83422</v>
      </c>
      <c r="W1456" t="s">
        <v>118</v>
      </c>
      <c r="X1456" t="s">
        <v>17590</v>
      </c>
      <c r="Y1456" s="10">
        <v>12083133464</v>
      </c>
      <c r="AA1456">
        <v>72251</v>
      </c>
      <c r="AB1456" t="s">
        <v>634</v>
      </c>
      <c r="AC1456" t="s">
        <v>22023</v>
      </c>
      <c r="AE1456" t="s">
        <v>17951</v>
      </c>
      <c r="AF1456" t="s">
        <v>12306</v>
      </c>
      <c r="AH1456" t="s">
        <v>2059</v>
      </c>
      <c r="AI1456" t="s">
        <v>854</v>
      </c>
      <c r="AJ1456" s="8" t="str">
        <f>"83422"</f>
        <v>83422</v>
      </c>
      <c r="AK1456" t="s">
        <v>118</v>
      </c>
      <c r="AM1456" s="10">
        <v>12083133464</v>
      </c>
      <c r="AO1456" t="s">
        <v>22024</v>
      </c>
      <c r="AP1456" t="s">
        <v>248</v>
      </c>
      <c r="AQ1456" t="s">
        <v>1800</v>
      </c>
      <c r="AR1456" t="s">
        <v>1801</v>
      </c>
      <c r="AS1456" t="s">
        <v>1802</v>
      </c>
      <c r="AT1456" t="s">
        <v>1803</v>
      </c>
      <c r="AU1456" t="s">
        <v>852</v>
      </c>
      <c r="AV1456" t="s">
        <v>1804</v>
      </c>
      <c r="AW1456" t="s">
        <v>188</v>
      </c>
      <c r="AX1456" s="8" t="str">
        <f>"80550"</f>
        <v>80550</v>
      </c>
      <c r="AY1456" t="s">
        <v>118</v>
      </c>
      <c r="BA1456" s="10">
        <v>19706866068</v>
      </c>
      <c r="BC1456" t="s">
        <v>1805</v>
      </c>
      <c r="BD1456" t="s">
        <v>1806</v>
      </c>
      <c r="BG1456" t="s">
        <v>854</v>
      </c>
      <c r="BH1456" s="1">
        <v>45118.833333333336</v>
      </c>
      <c r="BI1456">
        <v>35</v>
      </c>
      <c r="BJ1456">
        <v>0</v>
      </c>
      <c r="BK1456">
        <v>7</v>
      </c>
      <c r="BL1456">
        <v>7</v>
      </c>
      <c r="BM1456">
        <v>7</v>
      </c>
      <c r="BN1456">
        <v>7</v>
      </c>
      <c r="BO1456">
        <v>7</v>
      </c>
      <c r="BP1456">
        <v>0</v>
      </c>
      <c r="BQ1456" t="str">
        <f>"9:00 AM"</f>
        <v>9:00 AM</v>
      </c>
      <c r="BR1456" t="str">
        <f>"5:00 PM"</f>
        <v>5:00 PM</v>
      </c>
      <c r="BS1456" t="s">
        <v>131</v>
      </c>
      <c r="BT1456">
        <v>0</v>
      </c>
      <c r="BU1456">
        <v>0</v>
      </c>
      <c r="BV1456" t="s">
        <v>114</v>
      </c>
      <c r="BX1456" t="s">
        <v>23262</v>
      </c>
      <c r="BY1456" t="s">
        <v>22022</v>
      </c>
      <c r="CA1456" t="s">
        <v>5069</v>
      </c>
      <c r="CB1456" t="s">
        <v>854</v>
      </c>
      <c r="CC1456" s="8" t="str">
        <f>"83422"</f>
        <v>83422</v>
      </c>
      <c r="CD1456" t="s">
        <v>588</v>
      </c>
      <c r="CE1456" t="s">
        <v>2060</v>
      </c>
      <c r="CF1456" s="12">
        <v>11.76</v>
      </c>
      <c r="CG1456" s="12">
        <v>15</v>
      </c>
      <c r="CH1456" s="12">
        <v>17.64</v>
      </c>
      <c r="CI1456" s="12">
        <v>22.5</v>
      </c>
      <c r="CJ1456" t="s">
        <v>135</v>
      </c>
      <c r="CK1456" t="s">
        <v>23479</v>
      </c>
      <c r="CL1456" t="s">
        <v>23480</v>
      </c>
      <c r="CO1456" t="s">
        <v>132</v>
      </c>
      <c r="CP1456" t="s">
        <v>114</v>
      </c>
      <c r="CQ1456" t="s">
        <v>114</v>
      </c>
      <c r="CR1456" t="s">
        <v>136</v>
      </c>
      <c r="CS1456" t="s">
        <v>136</v>
      </c>
      <c r="CT1456" t="s">
        <v>136</v>
      </c>
      <c r="CU1456" t="s">
        <v>114</v>
      </c>
      <c r="CV1456" t="s">
        <v>23481</v>
      </c>
      <c r="CW1456" s="10" t="str">
        <f>"+12087875000"</f>
        <v>+12087875000</v>
      </c>
      <c r="CX1456" t="s">
        <v>22025</v>
      </c>
      <c r="CY1456" t="s">
        <v>132</v>
      </c>
      <c r="CZ1456" t="s">
        <v>137</v>
      </c>
      <c r="DA1456" t="s">
        <v>114</v>
      </c>
      <c r="DB1456" t="s">
        <v>136</v>
      </c>
      <c r="DC1456" t="s">
        <v>136</v>
      </c>
      <c r="DD1456" t="s">
        <v>114</v>
      </c>
    </row>
    <row r="1457" spans="1:113" ht="15" customHeight="1" x14ac:dyDescent="0.25">
      <c r="A1457" t="s">
        <v>1343</v>
      </c>
      <c r="B1457" t="s">
        <v>152</v>
      </c>
      <c r="C1457" s="1">
        <v>45119.717446296294</v>
      </c>
      <c r="D1457" s="1">
        <v>45215</v>
      </c>
      <c r="E1457" t="s">
        <v>114</v>
      </c>
      <c r="F1457" t="s">
        <v>293</v>
      </c>
      <c r="G1457" t="str">
        <f>"37-2012.00"</f>
        <v>37-2012.00</v>
      </c>
      <c r="H1457" t="s">
        <v>205</v>
      </c>
      <c r="I1457">
        <v>6</v>
      </c>
      <c r="J1457">
        <v>6</v>
      </c>
      <c r="K1457" s="1">
        <v>45200</v>
      </c>
      <c r="L1457" s="1">
        <v>45298</v>
      </c>
      <c r="M1457" s="1">
        <v>45200</v>
      </c>
      <c r="N1457" s="1">
        <v>45298</v>
      </c>
      <c r="O1457" t="s">
        <v>116</v>
      </c>
      <c r="P1457" t="s">
        <v>1344</v>
      </c>
      <c r="R1457" t="s">
        <v>1345</v>
      </c>
      <c r="T1457" t="s">
        <v>1346</v>
      </c>
      <c r="U1457" t="s">
        <v>402</v>
      </c>
      <c r="V1457" s="8" t="str">
        <f>"95321"</f>
        <v>95321</v>
      </c>
      <c r="W1457" t="s">
        <v>118</v>
      </c>
      <c r="Y1457" s="10">
        <v>12093792373</v>
      </c>
      <c r="AA1457">
        <v>72111</v>
      </c>
      <c r="AB1457" t="s">
        <v>1347</v>
      </c>
      <c r="AC1457" t="s">
        <v>1348</v>
      </c>
      <c r="AE1457" t="s">
        <v>1349</v>
      </c>
      <c r="AF1457" t="s">
        <v>1345</v>
      </c>
      <c r="AH1457" t="s">
        <v>1346</v>
      </c>
      <c r="AI1457" t="s">
        <v>402</v>
      </c>
      <c r="AJ1457" s="8" t="str">
        <f>"95321"</f>
        <v>95321</v>
      </c>
      <c r="AK1457" t="s">
        <v>118</v>
      </c>
      <c r="AM1457" s="10">
        <v>12093792373</v>
      </c>
      <c r="AO1457" t="s">
        <v>132</v>
      </c>
      <c r="AP1457" t="s">
        <v>248</v>
      </c>
      <c r="AQ1457" t="s">
        <v>577</v>
      </c>
      <c r="AR1457" t="s">
        <v>578</v>
      </c>
      <c r="AT1457" t="s">
        <v>1350</v>
      </c>
      <c r="AU1457" t="s">
        <v>1351</v>
      </c>
      <c r="AV1457" t="s">
        <v>1352</v>
      </c>
      <c r="AW1457" t="s">
        <v>581</v>
      </c>
      <c r="AX1457" s="8" t="str">
        <f>"22949"</f>
        <v>22949</v>
      </c>
      <c r="AY1457" t="s">
        <v>118</v>
      </c>
      <c r="BA1457" s="10">
        <v>14342634300</v>
      </c>
      <c r="BC1457" t="s">
        <v>1353</v>
      </c>
      <c r="BD1457" t="s">
        <v>583</v>
      </c>
      <c r="BG1457" t="s">
        <v>402</v>
      </c>
      <c r="BH1457" s="1">
        <v>45118.833333333336</v>
      </c>
      <c r="BI1457">
        <v>35</v>
      </c>
      <c r="BJ1457">
        <v>0</v>
      </c>
      <c r="BK1457">
        <v>7</v>
      </c>
      <c r="BL1457">
        <v>7</v>
      </c>
      <c r="BM1457">
        <v>7</v>
      </c>
      <c r="BN1457">
        <v>7</v>
      </c>
      <c r="BO1457">
        <v>7</v>
      </c>
      <c r="BP1457">
        <v>0</v>
      </c>
      <c r="BQ1457" t="str">
        <f>"5:00 AM"</f>
        <v>5:00 AM</v>
      </c>
      <c r="BR1457" t="str">
        <f>"1:00 PM"</f>
        <v>1:00 PM</v>
      </c>
      <c r="BS1457" t="s">
        <v>131</v>
      </c>
      <c r="BT1457">
        <v>0</v>
      </c>
      <c r="BU1457">
        <v>0</v>
      </c>
      <c r="BV1457" t="s">
        <v>114</v>
      </c>
      <c r="BX1457" s="2" t="s">
        <v>1354</v>
      </c>
      <c r="BY1457" t="s">
        <v>1345</v>
      </c>
      <c r="CA1457" t="s">
        <v>1346</v>
      </c>
      <c r="CB1457" t="s">
        <v>402</v>
      </c>
      <c r="CC1457" s="8" t="str">
        <f>"95321"</f>
        <v>95321</v>
      </c>
      <c r="CD1457" t="s">
        <v>1355</v>
      </c>
      <c r="CE1457" t="s">
        <v>1356</v>
      </c>
      <c r="CF1457" s="12">
        <v>18</v>
      </c>
      <c r="CH1457" s="12">
        <v>27</v>
      </c>
      <c r="CJ1457" t="s">
        <v>135</v>
      </c>
      <c r="CK1457" t="s">
        <v>590</v>
      </c>
      <c r="CL1457" t="s">
        <v>1357</v>
      </c>
      <c r="CO1457" t="s">
        <v>132</v>
      </c>
      <c r="CP1457" t="s">
        <v>114</v>
      </c>
      <c r="CQ1457" t="s">
        <v>114</v>
      </c>
      <c r="CR1457" t="s">
        <v>136</v>
      </c>
      <c r="CS1457" t="s">
        <v>136</v>
      </c>
      <c r="CT1457" t="s">
        <v>136</v>
      </c>
      <c r="CU1457" t="s">
        <v>136</v>
      </c>
      <c r="CV1457" t="s">
        <v>1358</v>
      </c>
      <c r="CW1457" s="10" t="str">
        <f>"N/A"</f>
        <v>N/A</v>
      </c>
      <c r="CX1457" t="s">
        <v>1359</v>
      </c>
      <c r="CY1457" t="s">
        <v>1360</v>
      </c>
      <c r="CZ1457" t="s">
        <v>137</v>
      </c>
      <c r="DA1457" t="s">
        <v>114</v>
      </c>
      <c r="DB1457" t="s">
        <v>114</v>
      </c>
      <c r="DC1457" t="s">
        <v>136</v>
      </c>
      <c r="DD1457" t="s">
        <v>114</v>
      </c>
      <c r="DE1457" t="s">
        <v>1361</v>
      </c>
      <c r="DF1457" t="s">
        <v>1362</v>
      </c>
      <c r="DH1457" t="s">
        <v>583</v>
      </c>
      <c r="DI1457" t="s">
        <v>1353</v>
      </c>
    </row>
    <row r="1458" spans="1:113" ht="15" customHeight="1" x14ac:dyDescent="0.25">
      <c r="A1458" t="s">
        <v>14671</v>
      </c>
      <c r="B1458" t="s">
        <v>152</v>
      </c>
      <c r="C1458" s="1">
        <v>45118.611880671298</v>
      </c>
      <c r="D1458" s="1">
        <v>45215</v>
      </c>
      <c r="E1458" t="s">
        <v>114</v>
      </c>
      <c r="F1458" t="s">
        <v>700</v>
      </c>
      <c r="G1458" t="str">
        <f>"37-3011.00"</f>
        <v>37-3011.00</v>
      </c>
      <c r="H1458" t="s">
        <v>429</v>
      </c>
      <c r="I1458">
        <v>100</v>
      </c>
      <c r="J1458">
        <v>100</v>
      </c>
      <c r="K1458" s="1">
        <v>45200</v>
      </c>
      <c r="L1458" s="1">
        <v>45382</v>
      </c>
      <c r="M1458" s="1">
        <v>45200</v>
      </c>
      <c r="N1458" s="1">
        <v>45382</v>
      </c>
      <c r="O1458" t="s">
        <v>238</v>
      </c>
      <c r="P1458" t="s">
        <v>4079</v>
      </c>
      <c r="R1458" t="s">
        <v>14672</v>
      </c>
      <c r="T1458" t="s">
        <v>7361</v>
      </c>
      <c r="U1458" t="s">
        <v>188</v>
      </c>
      <c r="V1458" s="8" t="str">
        <f>"80602"</f>
        <v>80602</v>
      </c>
      <c r="W1458" t="s">
        <v>118</v>
      </c>
      <c r="Y1458" s="10">
        <v>18013653333</v>
      </c>
      <c r="AA1458">
        <v>5617</v>
      </c>
      <c r="AB1458" t="s">
        <v>6758</v>
      </c>
      <c r="AC1458" t="s">
        <v>4921</v>
      </c>
      <c r="AE1458" t="s">
        <v>561</v>
      </c>
      <c r="AF1458" t="s">
        <v>14672</v>
      </c>
      <c r="AH1458" t="s">
        <v>7361</v>
      </c>
      <c r="AI1458" t="s">
        <v>188</v>
      </c>
      <c r="AJ1458" s="8" t="str">
        <f>"80602"</f>
        <v>80602</v>
      </c>
      <c r="AK1458" t="s">
        <v>118</v>
      </c>
      <c r="AM1458" s="10">
        <v>18013653333</v>
      </c>
      <c r="AO1458" t="s">
        <v>132</v>
      </c>
      <c r="AP1458" t="s">
        <v>121</v>
      </c>
      <c r="AQ1458" t="s">
        <v>1172</v>
      </c>
      <c r="AR1458" t="s">
        <v>1173</v>
      </c>
      <c r="AS1458" t="s">
        <v>708</v>
      </c>
      <c r="AT1458" t="s">
        <v>6759</v>
      </c>
      <c r="AV1458" t="s">
        <v>603</v>
      </c>
      <c r="AW1458" t="s">
        <v>127</v>
      </c>
      <c r="AX1458" s="8" t="str">
        <f>"78758"</f>
        <v>78758</v>
      </c>
      <c r="AY1458" t="s">
        <v>118</v>
      </c>
      <c r="BA1458" s="10">
        <v>15128722894</v>
      </c>
      <c r="BC1458" t="s">
        <v>1175</v>
      </c>
      <c r="BD1458" t="s">
        <v>4086</v>
      </c>
      <c r="BE1458" t="s">
        <v>127</v>
      </c>
      <c r="BF1458" t="s">
        <v>750</v>
      </c>
      <c r="BG1458" t="s">
        <v>188</v>
      </c>
      <c r="BH1458" s="1">
        <v>45117.833333333336</v>
      </c>
      <c r="BI1458">
        <v>40</v>
      </c>
      <c r="BJ1458">
        <v>0</v>
      </c>
      <c r="BK1458">
        <v>8</v>
      </c>
      <c r="BL1458">
        <v>8</v>
      </c>
      <c r="BM1458">
        <v>8</v>
      </c>
      <c r="BN1458">
        <v>8</v>
      </c>
      <c r="BO1458">
        <v>8</v>
      </c>
      <c r="BP1458">
        <v>0</v>
      </c>
      <c r="BQ1458" t="str">
        <f>"8:00 AM"</f>
        <v>8:00 AM</v>
      </c>
      <c r="BR1458" t="str">
        <f>"5:00 PM"</f>
        <v>5:00 PM</v>
      </c>
      <c r="BS1458" t="s">
        <v>131</v>
      </c>
      <c r="BT1458">
        <v>0</v>
      </c>
      <c r="BU1458">
        <v>0</v>
      </c>
      <c r="BV1458" t="s">
        <v>114</v>
      </c>
      <c r="BX1458" t="s">
        <v>6760</v>
      </c>
      <c r="BY1458" t="s">
        <v>14673</v>
      </c>
      <c r="CA1458" t="s">
        <v>7361</v>
      </c>
      <c r="CB1458" t="s">
        <v>188</v>
      </c>
      <c r="CC1458" s="8" t="str">
        <f>"80602"</f>
        <v>80602</v>
      </c>
      <c r="CD1458" t="s">
        <v>3191</v>
      </c>
      <c r="CE1458" t="s">
        <v>195</v>
      </c>
      <c r="CF1458" s="12">
        <v>21.69</v>
      </c>
      <c r="CG1458" s="12">
        <v>21.69</v>
      </c>
      <c r="CH1458" s="12">
        <v>32.54</v>
      </c>
      <c r="CI1458" s="12">
        <v>32.54</v>
      </c>
      <c r="CJ1458" t="s">
        <v>135</v>
      </c>
      <c r="CL1458" t="s">
        <v>14674</v>
      </c>
      <c r="CO1458" t="s">
        <v>132</v>
      </c>
      <c r="CP1458" t="s">
        <v>136</v>
      </c>
      <c r="CQ1458" t="s">
        <v>136</v>
      </c>
      <c r="CR1458" t="s">
        <v>136</v>
      </c>
      <c r="CS1458" t="s">
        <v>114</v>
      </c>
      <c r="CT1458" t="s">
        <v>136</v>
      </c>
      <c r="CU1458" t="s">
        <v>136</v>
      </c>
      <c r="CV1458" t="s">
        <v>4715</v>
      </c>
      <c r="CW1458" s="10" t="str">
        <f>"+13852282684"</f>
        <v>+13852282684</v>
      </c>
      <c r="CX1458" t="s">
        <v>6765</v>
      </c>
      <c r="CY1458" t="s">
        <v>132</v>
      </c>
      <c r="CZ1458" t="s">
        <v>137</v>
      </c>
      <c r="DA1458" t="s">
        <v>114</v>
      </c>
      <c r="DB1458" t="s">
        <v>114</v>
      </c>
      <c r="DC1458" t="s">
        <v>136</v>
      </c>
      <c r="DD1458" t="s">
        <v>114</v>
      </c>
    </row>
    <row r="1459" spans="1:113" ht="15" customHeight="1" x14ac:dyDescent="0.25">
      <c r="A1459" t="s">
        <v>16872</v>
      </c>
      <c r="B1459" t="s">
        <v>152</v>
      </c>
      <c r="C1459" s="1">
        <v>45113.755863541664</v>
      </c>
      <c r="D1459" s="1">
        <v>45215</v>
      </c>
      <c r="E1459" t="s">
        <v>114</v>
      </c>
      <c r="F1459" t="s">
        <v>16873</v>
      </c>
      <c r="G1459" t="str">
        <f>"51-3092.00"</f>
        <v>51-3092.00</v>
      </c>
      <c r="H1459" t="s">
        <v>2976</v>
      </c>
      <c r="I1459">
        <v>6</v>
      </c>
      <c r="J1459">
        <v>6</v>
      </c>
      <c r="K1459" s="1">
        <v>45200</v>
      </c>
      <c r="L1459" s="1">
        <v>45473</v>
      </c>
      <c r="M1459" s="1">
        <v>45200</v>
      </c>
      <c r="N1459" s="1">
        <v>45473</v>
      </c>
      <c r="O1459" t="s">
        <v>116</v>
      </c>
      <c r="P1459" t="s">
        <v>16874</v>
      </c>
      <c r="Q1459" t="s">
        <v>16875</v>
      </c>
      <c r="R1459" t="s">
        <v>16876</v>
      </c>
      <c r="S1459" t="s">
        <v>16877</v>
      </c>
      <c r="T1459" t="s">
        <v>12161</v>
      </c>
      <c r="U1459" t="s">
        <v>7263</v>
      </c>
      <c r="V1459" s="8" t="str">
        <f>"96819"</f>
        <v>96819</v>
      </c>
      <c r="W1459" t="s">
        <v>118</v>
      </c>
      <c r="Y1459" s="10">
        <v>18088330041</v>
      </c>
      <c r="AA1459">
        <v>31199</v>
      </c>
      <c r="AB1459" t="s">
        <v>16878</v>
      </c>
      <c r="AC1459" t="s">
        <v>16879</v>
      </c>
      <c r="AE1459" t="s">
        <v>1349</v>
      </c>
      <c r="AF1459" t="s">
        <v>16876</v>
      </c>
      <c r="AG1459" t="s">
        <v>16877</v>
      </c>
      <c r="AH1459" t="s">
        <v>12161</v>
      </c>
      <c r="AI1459" t="s">
        <v>7263</v>
      </c>
      <c r="AJ1459" s="8" t="str">
        <f>"96819"</f>
        <v>96819</v>
      </c>
      <c r="AK1459" t="s">
        <v>118</v>
      </c>
      <c r="AM1459" s="10">
        <v>18084651145</v>
      </c>
      <c r="AO1459" t="s">
        <v>16880</v>
      </c>
      <c r="AP1459" t="s">
        <v>248</v>
      </c>
      <c r="AQ1459" t="s">
        <v>16881</v>
      </c>
      <c r="AR1459" t="s">
        <v>16882</v>
      </c>
      <c r="AT1459" t="s">
        <v>16883</v>
      </c>
      <c r="AV1459" t="s">
        <v>12161</v>
      </c>
      <c r="AW1459" t="s">
        <v>7263</v>
      </c>
      <c r="AX1459" s="8" t="str">
        <f>"96825"</f>
        <v>96825</v>
      </c>
      <c r="AY1459" t="s">
        <v>118</v>
      </c>
      <c r="BA1459" s="10">
        <v>18087964595</v>
      </c>
      <c r="BC1459" t="s">
        <v>16884</v>
      </c>
      <c r="BD1459" t="s">
        <v>16885</v>
      </c>
      <c r="BG1459" t="s">
        <v>7263</v>
      </c>
      <c r="BH1459" s="1">
        <v>45112.833333333336</v>
      </c>
      <c r="BI1459">
        <v>40</v>
      </c>
      <c r="BJ1459">
        <v>0</v>
      </c>
      <c r="BK1459">
        <v>8</v>
      </c>
      <c r="BL1459">
        <v>8</v>
      </c>
      <c r="BM1459">
        <v>8</v>
      </c>
      <c r="BN1459">
        <v>8</v>
      </c>
      <c r="BO1459">
        <v>8</v>
      </c>
      <c r="BP1459">
        <v>0</v>
      </c>
      <c r="BQ1459" t="str">
        <f>"7:30 AM"</f>
        <v>7:30 AM</v>
      </c>
      <c r="BR1459" t="str">
        <f>"4:30 PM"</f>
        <v>4:30 PM</v>
      </c>
      <c r="BS1459" t="s">
        <v>131</v>
      </c>
      <c r="BT1459">
        <v>0</v>
      </c>
      <c r="BU1459">
        <v>0</v>
      </c>
      <c r="BV1459" t="s">
        <v>114</v>
      </c>
      <c r="BX1459" t="s">
        <v>132</v>
      </c>
      <c r="BY1459" t="s">
        <v>16886</v>
      </c>
      <c r="BZ1459" t="s">
        <v>16877</v>
      </c>
      <c r="CA1459" t="s">
        <v>12161</v>
      </c>
      <c r="CB1459" t="s">
        <v>7263</v>
      </c>
      <c r="CC1459" s="8" t="str">
        <f>"96819"</f>
        <v>96819</v>
      </c>
      <c r="CD1459" t="s">
        <v>7796</v>
      </c>
      <c r="CE1459" t="s">
        <v>7797</v>
      </c>
      <c r="CF1459" s="12">
        <v>15.3</v>
      </c>
      <c r="CG1459" s="12">
        <v>15.3</v>
      </c>
      <c r="CH1459" s="12">
        <v>22.95</v>
      </c>
      <c r="CI1459" s="12">
        <v>22.95</v>
      </c>
      <c r="CJ1459" t="s">
        <v>135</v>
      </c>
      <c r="CK1459" t="s">
        <v>132</v>
      </c>
      <c r="CL1459" t="s">
        <v>16887</v>
      </c>
      <c r="CO1459" t="s">
        <v>132</v>
      </c>
      <c r="CP1459" t="s">
        <v>114</v>
      </c>
      <c r="CQ1459" t="s">
        <v>136</v>
      </c>
      <c r="CR1459" t="s">
        <v>136</v>
      </c>
      <c r="CS1459" t="s">
        <v>136</v>
      </c>
      <c r="CT1459" t="s">
        <v>136</v>
      </c>
      <c r="CU1459" t="s">
        <v>114</v>
      </c>
      <c r="CV1459" t="s">
        <v>16888</v>
      </c>
      <c r="CW1459" s="10" t="str">
        <f>"+18088330041"</f>
        <v>+18088330041</v>
      </c>
      <c r="CX1459" t="s">
        <v>16889</v>
      </c>
      <c r="CY1459" t="s">
        <v>16890</v>
      </c>
      <c r="CZ1459" t="s">
        <v>137</v>
      </c>
      <c r="DA1459" t="s">
        <v>114</v>
      </c>
      <c r="DB1459" t="s">
        <v>136</v>
      </c>
      <c r="DC1459" t="s">
        <v>136</v>
      </c>
      <c r="DD1459" t="s">
        <v>114</v>
      </c>
    </row>
    <row r="1460" spans="1:113" ht="15" customHeight="1" x14ac:dyDescent="0.25">
      <c r="A1460" t="s">
        <v>20562</v>
      </c>
      <c r="B1460" t="s">
        <v>152</v>
      </c>
      <c r="C1460" s="1">
        <v>45110.669428587964</v>
      </c>
      <c r="D1460" s="1">
        <v>45215</v>
      </c>
      <c r="E1460" t="s">
        <v>114</v>
      </c>
      <c r="F1460" t="s">
        <v>20563</v>
      </c>
      <c r="G1460" t="str">
        <f>"51-3023.00"</f>
        <v>51-3023.00</v>
      </c>
      <c r="H1460" t="s">
        <v>2377</v>
      </c>
      <c r="I1460">
        <v>26</v>
      </c>
      <c r="J1460">
        <v>26</v>
      </c>
      <c r="K1460" s="1">
        <v>45200</v>
      </c>
      <c r="L1460" s="1">
        <v>45473</v>
      </c>
      <c r="M1460" s="1">
        <v>45200</v>
      </c>
      <c r="N1460" s="1">
        <v>45473</v>
      </c>
      <c r="O1460" t="s">
        <v>116</v>
      </c>
      <c r="P1460" t="s">
        <v>20564</v>
      </c>
      <c r="R1460" t="s">
        <v>20565</v>
      </c>
      <c r="T1460" t="s">
        <v>374</v>
      </c>
      <c r="U1460" t="s">
        <v>375</v>
      </c>
      <c r="V1460" s="8" t="str">
        <f>"27529"</f>
        <v>27529</v>
      </c>
      <c r="W1460" t="s">
        <v>118</v>
      </c>
      <c r="Y1460" s="10">
        <v>14174238760</v>
      </c>
      <c r="AA1460">
        <v>311615</v>
      </c>
      <c r="AB1460" t="s">
        <v>20566</v>
      </c>
      <c r="AC1460" t="s">
        <v>16500</v>
      </c>
      <c r="AE1460" t="s">
        <v>20567</v>
      </c>
      <c r="AF1460" t="s">
        <v>20565</v>
      </c>
      <c r="AH1460" t="s">
        <v>374</v>
      </c>
      <c r="AI1460" t="s">
        <v>375</v>
      </c>
      <c r="AJ1460" s="8" t="str">
        <f>"27529"</f>
        <v>27529</v>
      </c>
      <c r="AK1460" t="s">
        <v>118</v>
      </c>
      <c r="AM1460" s="10">
        <v>14174238760</v>
      </c>
      <c r="AO1460" t="s">
        <v>20568</v>
      </c>
      <c r="AP1460" t="s">
        <v>121</v>
      </c>
      <c r="AQ1460" t="s">
        <v>20569</v>
      </c>
      <c r="AR1460" t="s">
        <v>4410</v>
      </c>
      <c r="AS1460" t="s">
        <v>150</v>
      </c>
      <c r="AT1460" t="s">
        <v>20570</v>
      </c>
      <c r="AV1460" t="s">
        <v>20571</v>
      </c>
      <c r="AW1460" t="s">
        <v>984</v>
      </c>
      <c r="AX1460" s="8" t="str">
        <f>"64116"</f>
        <v>64116</v>
      </c>
      <c r="AY1460" t="s">
        <v>118</v>
      </c>
      <c r="BA1460" s="10">
        <v>18162215444</v>
      </c>
      <c r="BC1460" t="s">
        <v>20572</v>
      </c>
      <c r="BD1460" t="s">
        <v>20573</v>
      </c>
      <c r="BE1460" t="s">
        <v>984</v>
      </c>
      <c r="BF1460" t="s">
        <v>20574</v>
      </c>
      <c r="BG1460" t="s">
        <v>1825</v>
      </c>
      <c r="BH1460" s="1">
        <v>45109.833333333336</v>
      </c>
      <c r="BI1460">
        <v>40</v>
      </c>
      <c r="BJ1460">
        <v>0</v>
      </c>
      <c r="BK1460">
        <v>8</v>
      </c>
      <c r="BL1460">
        <v>8</v>
      </c>
      <c r="BM1460">
        <v>8</v>
      </c>
      <c r="BN1460">
        <v>8</v>
      </c>
      <c r="BO1460">
        <v>8</v>
      </c>
      <c r="BP1460">
        <v>0</v>
      </c>
      <c r="BQ1460" t="str">
        <f>"9:00 AM"</f>
        <v>9:00 AM</v>
      </c>
      <c r="BR1460" t="str">
        <f>"7:00 PM"</f>
        <v>7:00 PM</v>
      </c>
      <c r="BS1460" t="s">
        <v>131</v>
      </c>
      <c r="BT1460">
        <v>0</v>
      </c>
      <c r="BU1460">
        <v>0</v>
      </c>
      <c r="BV1460" t="s">
        <v>114</v>
      </c>
      <c r="BX1460" s="2" t="s">
        <v>20575</v>
      </c>
      <c r="BY1460" t="s">
        <v>20576</v>
      </c>
      <c r="CA1460" t="s">
        <v>3345</v>
      </c>
      <c r="CB1460" t="s">
        <v>1825</v>
      </c>
      <c r="CC1460" s="8" t="str">
        <f>"72740"</f>
        <v>72740</v>
      </c>
      <c r="CD1460" t="s">
        <v>908</v>
      </c>
      <c r="CE1460" t="s">
        <v>7765</v>
      </c>
      <c r="CF1460" s="12">
        <v>16.5</v>
      </c>
      <c r="CG1460" s="12">
        <v>18</v>
      </c>
      <c r="CH1460" s="12">
        <v>24.75</v>
      </c>
      <c r="CI1460" s="12">
        <v>27</v>
      </c>
      <c r="CJ1460" t="s">
        <v>135</v>
      </c>
      <c r="CK1460" s="2" t="s">
        <v>20577</v>
      </c>
      <c r="CL1460" t="s">
        <v>20578</v>
      </c>
      <c r="CO1460" t="s">
        <v>132</v>
      </c>
      <c r="CP1460" t="s">
        <v>114</v>
      </c>
      <c r="CQ1460" t="s">
        <v>114</v>
      </c>
      <c r="CR1460" t="s">
        <v>136</v>
      </c>
      <c r="CS1460" t="s">
        <v>136</v>
      </c>
      <c r="CT1460" t="s">
        <v>136</v>
      </c>
      <c r="CU1460" t="s">
        <v>114</v>
      </c>
      <c r="CV1460" t="s">
        <v>20579</v>
      </c>
      <c r="CW1460" s="10" t="str">
        <f>"+14795215730"</f>
        <v>+14795215730</v>
      </c>
      <c r="CX1460" t="s">
        <v>20580</v>
      </c>
      <c r="CY1460" t="s">
        <v>20581</v>
      </c>
      <c r="CZ1460" t="s">
        <v>137</v>
      </c>
      <c r="DA1460" t="s">
        <v>114</v>
      </c>
      <c r="DB1460" t="s">
        <v>114</v>
      </c>
      <c r="DC1460" t="s">
        <v>136</v>
      </c>
      <c r="DD1460" t="s">
        <v>114</v>
      </c>
    </row>
    <row r="1461" spans="1:113" ht="15" customHeight="1" x14ac:dyDescent="0.25">
      <c r="A1461" t="s">
        <v>6980</v>
      </c>
      <c r="B1461" t="s">
        <v>152</v>
      </c>
      <c r="C1461" s="1">
        <v>45110.565889351848</v>
      </c>
      <c r="D1461" s="1">
        <v>45215</v>
      </c>
      <c r="E1461" t="s">
        <v>114</v>
      </c>
      <c r="F1461" t="s">
        <v>6981</v>
      </c>
      <c r="G1461" t="str">
        <f>"49-3031.00"</f>
        <v>49-3031.00</v>
      </c>
      <c r="H1461" t="s">
        <v>3495</v>
      </c>
      <c r="I1461">
        <v>1</v>
      </c>
      <c r="J1461">
        <v>1</v>
      </c>
      <c r="K1461" s="1">
        <v>45200</v>
      </c>
      <c r="L1461" s="1">
        <v>45474</v>
      </c>
      <c r="M1461" s="1">
        <v>45200</v>
      </c>
      <c r="N1461" s="1">
        <v>45474</v>
      </c>
      <c r="O1461" t="s">
        <v>116</v>
      </c>
      <c r="P1461" t="s">
        <v>6982</v>
      </c>
      <c r="R1461" t="s">
        <v>6983</v>
      </c>
      <c r="T1461" t="s">
        <v>6984</v>
      </c>
      <c r="U1461" t="s">
        <v>1776</v>
      </c>
      <c r="V1461" s="8" t="str">
        <f>"07036"</f>
        <v>07036</v>
      </c>
      <c r="W1461" t="s">
        <v>118</v>
      </c>
      <c r="Y1461" s="10">
        <v>17324234824</v>
      </c>
      <c r="AA1461">
        <v>485410</v>
      </c>
      <c r="AB1461" t="s">
        <v>6985</v>
      </c>
      <c r="AC1461" t="s">
        <v>6986</v>
      </c>
      <c r="AE1461" t="s">
        <v>120</v>
      </c>
      <c r="AF1461" t="s">
        <v>6987</v>
      </c>
      <c r="AH1461" t="s">
        <v>6984</v>
      </c>
      <c r="AI1461" t="s">
        <v>1776</v>
      </c>
      <c r="AJ1461" s="8" t="str">
        <f>"07036"</f>
        <v>07036</v>
      </c>
      <c r="AK1461" t="s">
        <v>118</v>
      </c>
      <c r="AM1461" s="10">
        <v>17324238233</v>
      </c>
      <c r="AO1461" t="s">
        <v>6988</v>
      </c>
      <c r="AP1461" t="s">
        <v>121</v>
      </c>
      <c r="AQ1461" t="s">
        <v>6989</v>
      </c>
      <c r="AR1461" t="s">
        <v>6990</v>
      </c>
      <c r="AT1461" t="s">
        <v>6991</v>
      </c>
      <c r="AV1461" t="s">
        <v>1220</v>
      </c>
      <c r="AW1461" t="s">
        <v>358</v>
      </c>
      <c r="AX1461" s="8" t="str">
        <f>"10004"</f>
        <v>10004</v>
      </c>
      <c r="AY1461" t="s">
        <v>118</v>
      </c>
      <c r="BA1461" s="10">
        <v>19174777818</v>
      </c>
      <c r="BC1461" t="s">
        <v>6992</v>
      </c>
      <c r="BD1461" t="s">
        <v>6993</v>
      </c>
      <c r="BE1461" t="s">
        <v>358</v>
      </c>
      <c r="BF1461" t="s">
        <v>2118</v>
      </c>
      <c r="BG1461" t="s">
        <v>1776</v>
      </c>
      <c r="BH1461" s="1">
        <v>45105.833333333336</v>
      </c>
      <c r="BI1461">
        <v>40</v>
      </c>
      <c r="BJ1461">
        <v>0</v>
      </c>
      <c r="BK1461">
        <v>8</v>
      </c>
      <c r="BL1461">
        <v>8</v>
      </c>
      <c r="BM1461">
        <v>8</v>
      </c>
      <c r="BN1461">
        <v>8</v>
      </c>
      <c r="BO1461">
        <v>0</v>
      </c>
      <c r="BP1461">
        <v>8</v>
      </c>
      <c r="BQ1461" t="str">
        <f>"8:00 AM"</f>
        <v>8:00 AM</v>
      </c>
      <c r="BR1461" t="str">
        <f>"4:00 PM"</f>
        <v>4:00 PM</v>
      </c>
      <c r="BS1461" t="s">
        <v>147</v>
      </c>
      <c r="BT1461">
        <v>0</v>
      </c>
      <c r="BU1461">
        <v>24</v>
      </c>
      <c r="BV1461" t="s">
        <v>114</v>
      </c>
      <c r="BX1461" s="2" t="s">
        <v>6994</v>
      </c>
      <c r="BY1461" t="s">
        <v>6995</v>
      </c>
      <c r="CA1461" t="s">
        <v>6996</v>
      </c>
      <c r="CB1461" t="s">
        <v>1776</v>
      </c>
      <c r="CC1461" s="8" t="str">
        <f>"07065"</f>
        <v>07065</v>
      </c>
      <c r="CD1461" t="s">
        <v>3740</v>
      </c>
      <c r="CE1461" t="s">
        <v>1418</v>
      </c>
      <c r="CF1461" s="12">
        <v>31.15</v>
      </c>
      <c r="CG1461" s="12">
        <v>31.15</v>
      </c>
      <c r="CJ1461" t="s">
        <v>135</v>
      </c>
      <c r="CL1461" t="s">
        <v>6997</v>
      </c>
      <c r="CO1461" t="s">
        <v>132</v>
      </c>
      <c r="CP1461" t="s">
        <v>114</v>
      </c>
      <c r="CQ1461" t="s">
        <v>136</v>
      </c>
      <c r="CR1461" t="s">
        <v>114</v>
      </c>
      <c r="CS1461" t="s">
        <v>114</v>
      </c>
      <c r="CT1461" t="s">
        <v>136</v>
      </c>
      <c r="CU1461" t="s">
        <v>136</v>
      </c>
      <c r="CV1461" t="s">
        <v>6998</v>
      </c>
      <c r="CW1461" s="10" t="str">
        <f>"+17324238233"</f>
        <v>+17324238233</v>
      </c>
      <c r="CX1461" t="s">
        <v>6988</v>
      </c>
      <c r="CY1461" t="s">
        <v>132</v>
      </c>
      <c r="CZ1461" t="s">
        <v>137</v>
      </c>
      <c r="DA1461" t="s">
        <v>114</v>
      </c>
      <c r="DB1461" t="s">
        <v>114</v>
      </c>
      <c r="DC1461" t="s">
        <v>136</v>
      </c>
      <c r="DD1461" t="s">
        <v>114</v>
      </c>
    </row>
    <row r="1462" spans="1:113" ht="15" customHeight="1" x14ac:dyDescent="0.25">
      <c r="A1462" t="s">
        <v>19607</v>
      </c>
      <c r="B1462" t="s">
        <v>152</v>
      </c>
      <c r="C1462" s="1">
        <v>45156.702337615738</v>
      </c>
      <c r="D1462" s="1">
        <v>45212</v>
      </c>
      <c r="E1462" t="s">
        <v>136</v>
      </c>
      <c r="F1462" t="s">
        <v>293</v>
      </c>
      <c r="G1462" t="str">
        <f>"37-2012.00"</f>
        <v>37-2012.00</v>
      </c>
      <c r="H1462" t="s">
        <v>205</v>
      </c>
      <c r="I1462">
        <v>25</v>
      </c>
      <c r="J1462">
        <v>25</v>
      </c>
      <c r="K1462" s="1">
        <v>45245</v>
      </c>
      <c r="L1462" s="1">
        <v>45397</v>
      </c>
      <c r="M1462" s="1">
        <v>45245</v>
      </c>
      <c r="N1462" s="1">
        <v>45397</v>
      </c>
      <c r="O1462" t="s">
        <v>116</v>
      </c>
      <c r="P1462" t="s">
        <v>19608</v>
      </c>
      <c r="Q1462" t="s">
        <v>19609</v>
      </c>
      <c r="R1462" t="s">
        <v>19610</v>
      </c>
      <c r="T1462" t="s">
        <v>6714</v>
      </c>
      <c r="U1462" t="s">
        <v>506</v>
      </c>
      <c r="V1462" s="8" t="str">
        <f>"05464"</f>
        <v>05464</v>
      </c>
      <c r="W1462" t="s">
        <v>118</v>
      </c>
      <c r="Y1462" s="10">
        <v>18026448584</v>
      </c>
      <c r="AA1462">
        <v>721110</v>
      </c>
      <c r="AB1462" t="s">
        <v>2414</v>
      </c>
      <c r="AC1462" t="s">
        <v>11310</v>
      </c>
      <c r="AE1462" t="s">
        <v>8165</v>
      </c>
      <c r="AF1462" t="s">
        <v>19610</v>
      </c>
      <c r="AH1462" t="s">
        <v>6714</v>
      </c>
      <c r="AI1462" t="s">
        <v>506</v>
      </c>
      <c r="AJ1462" s="8" t="str">
        <f>"05464"</f>
        <v>05464</v>
      </c>
      <c r="AK1462" t="s">
        <v>118</v>
      </c>
      <c r="AM1462" s="10">
        <v>18026448584</v>
      </c>
      <c r="AO1462" t="s">
        <v>19611</v>
      </c>
      <c r="AP1462" t="s">
        <v>121</v>
      </c>
      <c r="AQ1462" t="s">
        <v>276</v>
      </c>
      <c r="AR1462" t="s">
        <v>277</v>
      </c>
      <c r="AS1462" t="s">
        <v>278</v>
      </c>
      <c r="AT1462" t="s">
        <v>279</v>
      </c>
      <c r="AU1462" t="s">
        <v>280</v>
      </c>
      <c r="AV1462" t="s">
        <v>281</v>
      </c>
      <c r="AW1462" t="s">
        <v>222</v>
      </c>
      <c r="AX1462" s="8" t="str">
        <f>"01701"</f>
        <v>01701</v>
      </c>
      <c r="AY1462" t="s">
        <v>118</v>
      </c>
      <c r="BA1462" s="10">
        <v>16179399444</v>
      </c>
      <c r="BC1462" t="s">
        <v>282</v>
      </c>
      <c r="BD1462" t="s">
        <v>283</v>
      </c>
      <c r="BE1462" t="s">
        <v>222</v>
      </c>
      <c r="BF1462" t="s">
        <v>284</v>
      </c>
      <c r="BG1462" t="s">
        <v>506</v>
      </c>
      <c r="BH1462" s="1">
        <v>45155.833333333336</v>
      </c>
      <c r="BI1462">
        <v>35</v>
      </c>
      <c r="BJ1462">
        <v>0</v>
      </c>
      <c r="BK1462">
        <v>7</v>
      </c>
      <c r="BL1462">
        <v>7</v>
      </c>
      <c r="BM1462">
        <v>7</v>
      </c>
      <c r="BN1462">
        <v>7</v>
      </c>
      <c r="BO1462">
        <v>7</v>
      </c>
      <c r="BP1462">
        <v>0</v>
      </c>
      <c r="BQ1462" t="str">
        <f>"9:00 AM"</f>
        <v>9:00 AM</v>
      </c>
      <c r="BR1462" t="str">
        <f>"4:00 PM"</f>
        <v>4:00 PM</v>
      </c>
      <c r="BS1462" t="s">
        <v>131</v>
      </c>
      <c r="BT1462">
        <v>0</v>
      </c>
      <c r="BU1462">
        <v>3</v>
      </c>
      <c r="BV1462" t="s">
        <v>114</v>
      </c>
      <c r="BX1462" s="2" t="s">
        <v>19612</v>
      </c>
      <c r="BY1462" t="s">
        <v>19610</v>
      </c>
      <c r="CA1462" t="s">
        <v>6714</v>
      </c>
      <c r="CB1462" t="s">
        <v>506</v>
      </c>
      <c r="CC1462" s="8" t="str">
        <f>"05464"</f>
        <v>05464</v>
      </c>
      <c r="CD1462" t="s">
        <v>6719</v>
      </c>
      <c r="CE1462" t="s">
        <v>6720</v>
      </c>
      <c r="CF1462" s="12">
        <v>17.16</v>
      </c>
      <c r="CH1462" s="12">
        <v>25.74</v>
      </c>
      <c r="CJ1462" t="s">
        <v>305</v>
      </c>
      <c r="CK1462" t="s">
        <v>19613</v>
      </c>
      <c r="CL1462" t="s">
        <v>19614</v>
      </c>
      <c r="CO1462" t="s">
        <v>132</v>
      </c>
      <c r="CP1462" t="s">
        <v>114</v>
      </c>
      <c r="CQ1462" t="s">
        <v>136</v>
      </c>
      <c r="CR1462" t="s">
        <v>136</v>
      </c>
      <c r="CS1462" t="s">
        <v>136</v>
      </c>
      <c r="CT1462" t="s">
        <v>136</v>
      </c>
      <c r="CU1462" t="s">
        <v>136</v>
      </c>
      <c r="CV1462" t="s">
        <v>19615</v>
      </c>
      <c r="CW1462" s="10" t="str">
        <f>"+18026441239"</f>
        <v>+18026441239</v>
      </c>
      <c r="CX1462" t="s">
        <v>19611</v>
      </c>
      <c r="CY1462" t="s">
        <v>132</v>
      </c>
      <c r="CZ1462" t="s">
        <v>137</v>
      </c>
      <c r="DA1462" t="s">
        <v>114</v>
      </c>
      <c r="DB1462" t="s">
        <v>114</v>
      </c>
      <c r="DC1462" t="s">
        <v>136</v>
      </c>
      <c r="DD1462" t="s">
        <v>114</v>
      </c>
    </row>
    <row r="1463" spans="1:113" ht="15" customHeight="1" x14ac:dyDescent="0.25">
      <c r="A1463" t="s">
        <v>21528</v>
      </c>
      <c r="B1463" t="s">
        <v>152</v>
      </c>
      <c r="C1463" s="1">
        <v>45156.51981539352</v>
      </c>
      <c r="D1463" s="1">
        <v>45212</v>
      </c>
      <c r="E1463" t="s">
        <v>114</v>
      </c>
      <c r="F1463" t="s">
        <v>3847</v>
      </c>
      <c r="G1463" t="str">
        <f>"39-2021.00"</f>
        <v>39-2021.00</v>
      </c>
      <c r="H1463" t="s">
        <v>2895</v>
      </c>
      <c r="I1463">
        <v>13</v>
      </c>
      <c r="J1463">
        <v>13</v>
      </c>
      <c r="K1463" s="1">
        <v>45231</v>
      </c>
      <c r="L1463" s="1">
        <v>45535</v>
      </c>
      <c r="M1463" s="1">
        <v>45231</v>
      </c>
      <c r="N1463" s="1">
        <v>45535</v>
      </c>
      <c r="O1463" t="s">
        <v>238</v>
      </c>
      <c r="P1463" t="s">
        <v>21529</v>
      </c>
      <c r="R1463" t="s">
        <v>21530</v>
      </c>
      <c r="T1463" t="s">
        <v>1764</v>
      </c>
      <c r="U1463" t="s">
        <v>1434</v>
      </c>
      <c r="V1463" s="8" t="str">
        <f>"40517"</f>
        <v>40517</v>
      </c>
      <c r="W1463" t="s">
        <v>118</v>
      </c>
      <c r="Y1463" s="10">
        <v>18592799915</v>
      </c>
      <c r="AA1463">
        <v>711212</v>
      </c>
      <c r="AB1463" t="s">
        <v>21531</v>
      </c>
      <c r="AC1463" t="s">
        <v>5865</v>
      </c>
      <c r="AE1463" t="s">
        <v>3852</v>
      </c>
      <c r="AF1463" t="s">
        <v>21530</v>
      </c>
      <c r="AH1463" t="s">
        <v>1764</v>
      </c>
      <c r="AI1463" t="s">
        <v>1434</v>
      </c>
      <c r="AJ1463" s="8" t="str">
        <f>"40517"</f>
        <v>40517</v>
      </c>
      <c r="AK1463" t="s">
        <v>118</v>
      </c>
      <c r="AM1463" s="10">
        <v>18592799915</v>
      </c>
      <c r="AO1463" t="s">
        <v>21532</v>
      </c>
      <c r="AP1463" t="s">
        <v>121</v>
      </c>
      <c r="AQ1463" t="s">
        <v>3854</v>
      </c>
      <c r="AR1463" t="s">
        <v>144</v>
      </c>
      <c r="AS1463" t="s">
        <v>3855</v>
      </c>
      <c r="AT1463" t="s">
        <v>2605</v>
      </c>
      <c r="AU1463" t="s">
        <v>2606</v>
      </c>
      <c r="AV1463" t="s">
        <v>2607</v>
      </c>
      <c r="AW1463" t="s">
        <v>2608</v>
      </c>
      <c r="AX1463" s="8" t="str">
        <f>"73069"</f>
        <v>73069</v>
      </c>
      <c r="AY1463" t="s">
        <v>118</v>
      </c>
      <c r="BA1463" s="10">
        <v>14053642525</v>
      </c>
      <c r="BC1463" t="s">
        <v>2609</v>
      </c>
      <c r="BD1463" t="s">
        <v>2610</v>
      </c>
      <c r="BE1463" t="s">
        <v>2608</v>
      </c>
      <c r="BF1463" t="s">
        <v>2611</v>
      </c>
      <c r="BG1463" t="s">
        <v>140</v>
      </c>
      <c r="BH1463" s="1">
        <v>45154.833333333336</v>
      </c>
      <c r="BI1463">
        <v>56</v>
      </c>
      <c r="BJ1463">
        <v>8</v>
      </c>
      <c r="BK1463">
        <v>8</v>
      </c>
      <c r="BL1463">
        <v>8</v>
      </c>
      <c r="BM1463">
        <v>8</v>
      </c>
      <c r="BN1463">
        <v>8</v>
      </c>
      <c r="BO1463">
        <v>8</v>
      </c>
      <c r="BP1463">
        <v>8</v>
      </c>
      <c r="BQ1463" t="str">
        <f>"5:00 AM"</f>
        <v>5:00 AM</v>
      </c>
      <c r="BR1463" t="str">
        <f>"5:00 PM"</f>
        <v>5:00 PM</v>
      </c>
      <c r="BS1463" t="s">
        <v>131</v>
      </c>
      <c r="BT1463">
        <v>0</v>
      </c>
      <c r="BU1463">
        <v>1</v>
      </c>
      <c r="BV1463" t="s">
        <v>114</v>
      </c>
      <c r="BX1463" s="2" t="s">
        <v>2870</v>
      </c>
      <c r="BY1463" t="s">
        <v>4025</v>
      </c>
      <c r="BZ1463" t="s">
        <v>4026</v>
      </c>
      <c r="CA1463" t="s">
        <v>4027</v>
      </c>
      <c r="CB1463" t="s">
        <v>140</v>
      </c>
      <c r="CC1463" s="8" t="str">
        <f>"33009"</f>
        <v>33009</v>
      </c>
      <c r="CD1463" t="s">
        <v>287</v>
      </c>
      <c r="CE1463" t="s">
        <v>149</v>
      </c>
      <c r="CF1463" s="12">
        <v>14.11</v>
      </c>
      <c r="CG1463" s="12">
        <v>14.11</v>
      </c>
      <c r="CH1463" s="12">
        <v>21.17</v>
      </c>
      <c r="CI1463" s="12">
        <v>21.17</v>
      </c>
      <c r="CJ1463" t="s">
        <v>135</v>
      </c>
      <c r="CL1463" t="s">
        <v>21533</v>
      </c>
      <c r="CO1463" t="s">
        <v>132</v>
      </c>
      <c r="CP1463" t="s">
        <v>114</v>
      </c>
      <c r="CQ1463" t="s">
        <v>114</v>
      </c>
      <c r="CR1463" t="s">
        <v>136</v>
      </c>
      <c r="CS1463" t="s">
        <v>114</v>
      </c>
      <c r="CT1463" t="s">
        <v>136</v>
      </c>
      <c r="CU1463" t="s">
        <v>136</v>
      </c>
      <c r="CV1463" t="s">
        <v>13951</v>
      </c>
      <c r="CW1463" s="10" t="str">
        <f>"+18592799915"</f>
        <v>+18592799915</v>
      </c>
      <c r="CX1463" t="s">
        <v>21532</v>
      </c>
      <c r="CY1463" t="s">
        <v>132</v>
      </c>
      <c r="CZ1463" t="s">
        <v>137</v>
      </c>
      <c r="DA1463" t="s">
        <v>114</v>
      </c>
      <c r="DB1463" t="s">
        <v>114</v>
      </c>
      <c r="DC1463" t="s">
        <v>136</v>
      </c>
      <c r="DD1463" t="s">
        <v>114</v>
      </c>
    </row>
    <row r="1464" spans="1:113" ht="15" customHeight="1" x14ac:dyDescent="0.25">
      <c r="A1464" t="s">
        <v>15917</v>
      </c>
      <c r="B1464" t="s">
        <v>152</v>
      </c>
      <c r="C1464" s="1">
        <v>45155.573086689816</v>
      </c>
      <c r="D1464" s="1">
        <v>45212</v>
      </c>
      <c r="E1464" t="s">
        <v>114</v>
      </c>
      <c r="F1464" t="s">
        <v>3847</v>
      </c>
      <c r="G1464" t="str">
        <f>"39-2021.00"</f>
        <v>39-2021.00</v>
      </c>
      <c r="H1464" t="s">
        <v>2895</v>
      </c>
      <c r="I1464">
        <v>6</v>
      </c>
      <c r="J1464">
        <v>6</v>
      </c>
      <c r="K1464" s="1">
        <v>45231</v>
      </c>
      <c r="L1464" s="1">
        <v>45535</v>
      </c>
      <c r="M1464" s="1">
        <v>45231</v>
      </c>
      <c r="N1464" s="1">
        <v>45535</v>
      </c>
      <c r="O1464" t="s">
        <v>238</v>
      </c>
      <c r="P1464" t="s">
        <v>15918</v>
      </c>
      <c r="R1464" t="s">
        <v>15919</v>
      </c>
      <c r="T1464" t="s">
        <v>2908</v>
      </c>
      <c r="U1464" t="s">
        <v>1722</v>
      </c>
      <c r="V1464" s="8" t="str">
        <f>"21029"</f>
        <v>21029</v>
      </c>
      <c r="W1464" t="s">
        <v>118</v>
      </c>
      <c r="Y1464" s="10">
        <v>14107079206</v>
      </c>
      <c r="AA1464">
        <v>711212</v>
      </c>
      <c r="AB1464" t="s">
        <v>985</v>
      </c>
      <c r="AC1464" t="s">
        <v>7760</v>
      </c>
      <c r="AD1464" t="s">
        <v>1738</v>
      </c>
      <c r="AE1464" t="s">
        <v>3852</v>
      </c>
      <c r="AF1464" t="s">
        <v>15919</v>
      </c>
      <c r="AH1464" t="s">
        <v>2908</v>
      </c>
      <c r="AI1464" t="s">
        <v>1722</v>
      </c>
      <c r="AJ1464" s="8" t="str">
        <f>"21029"</f>
        <v>21029</v>
      </c>
      <c r="AK1464" t="s">
        <v>118</v>
      </c>
      <c r="AM1464" s="10">
        <v>14107079206</v>
      </c>
      <c r="AO1464" t="s">
        <v>15920</v>
      </c>
      <c r="AP1464" t="s">
        <v>121</v>
      </c>
      <c r="AQ1464" t="s">
        <v>3854</v>
      </c>
      <c r="AR1464" t="s">
        <v>144</v>
      </c>
      <c r="AS1464" t="s">
        <v>3855</v>
      </c>
      <c r="AT1464" t="s">
        <v>2605</v>
      </c>
      <c r="AU1464" t="s">
        <v>2606</v>
      </c>
      <c r="AV1464" t="s">
        <v>2607</v>
      </c>
      <c r="AW1464" t="s">
        <v>2608</v>
      </c>
      <c r="AX1464" s="8" t="str">
        <f>"73069"</f>
        <v>73069</v>
      </c>
      <c r="AY1464" t="s">
        <v>118</v>
      </c>
      <c r="BA1464" s="10">
        <v>14053642525</v>
      </c>
      <c r="BC1464" t="s">
        <v>2609</v>
      </c>
      <c r="BD1464" t="s">
        <v>2610</v>
      </c>
      <c r="BE1464" t="s">
        <v>2608</v>
      </c>
      <c r="BF1464" t="s">
        <v>2611</v>
      </c>
      <c r="BG1464" t="s">
        <v>1722</v>
      </c>
      <c r="BH1464" s="1">
        <v>45154.833333333336</v>
      </c>
      <c r="BI1464">
        <v>56</v>
      </c>
      <c r="BJ1464">
        <v>8</v>
      </c>
      <c r="BK1464">
        <v>8</v>
      </c>
      <c r="BL1464">
        <v>8</v>
      </c>
      <c r="BM1464">
        <v>8</v>
      </c>
      <c r="BN1464">
        <v>8</v>
      </c>
      <c r="BO1464">
        <v>8</v>
      </c>
      <c r="BP1464">
        <v>8</v>
      </c>
      <c r="BQ1464" t="str">
        <f>"5:00 AM"</f>
        <v>5:00 AM</v>
      </c>
      <c r="BR1464" t="str">
        <f>"5:00 PM"</f>
        <v>5:00 PM</v>
      </c>
      <c r="BS1464" t="s">
        <v>131</v>
      </c>
      <c r="BT1464">
        <v>0</v>
      </c>
      <c r="BU1464">
        <v>1</v>
      </c>
      <c r="BV1464" t="s">
        <v>114</v>
      </c>
      <c r="BX1464" s="2" t="s">
        <v>3116</v>
      </c>
      <c r="BY1464" t="s">
        <v>13010</v>
      </c>
      <c r="BZ1464" t="s">
        <v>13011</v>
      </c>
      <c r="CA1464" t="s">
        <v>13012</v>
      </c>
      <c r="CB1464" t="s">
        <v>1722</v>
      </c>
      <c r="CC1464" s="8" t="str">
        <f>"20724"</f>
        <v>20724</v>
      </c>
      <c r="CD1464" t="s">
        <v>1793</v>
      </c>
      <c r="CE1464" t="s">
        <v>1794</v>
      </c>
      <c r="CF1464" s="12">
        <v>15.56</v>
      </c>
      <c r="CG1464" s="12">
        <v>15.56</v>
      </c>
      <c r="CH1464" s="12">
        <v>23.34</v>
      </c>
      <c r="CI1464" s="12">
        <v>23.34</v>
      </c>
      <c r="CJ1464" t="s">
        <v>135</v>
      </c>
      <c r="CL1464" t="s">
        <v>15921</v>
      </c>
      <c r="CO1464" t="s">
        <v>132</v>
      </c>
      <c r="CP1464" t="s">
        <v>114</v>
      </c>
      <c r="CQ1464" t="s">
        <v>114</v>
      </c>
      <c r="CR1464" t="s">
        <v>136</v>
      </c>
      <c r="CS1464" t="s">
        <v>114</v>
      </c>
      <c r="CT1464" t="s">
        <v>136</v>
      </c>
      <c r="CU1464" t="s">
        <v>136</v>
      </c>
      <c r="CV1464" t="s">
        <v>13951</v>
      </c>
      <c r="CW1464" s="10" t="str">
        <f>"+14107079206"</f>
        <v>+14107079206</v>
      </c>
      <c r="CX1464" t="s">
        <v>15920</v>
      </c>
      <c r="CY1464" t="s">
        <v>132</v>
      </c>
      <c r="CZ1464" t="s">
        <v>137</v>
      </c>
      <c r="DA1464" t="s">
        <v>114</v>
      </c>
      <c r="DB1464" t="s">
        <v>114</v>
      </c>
      <c r="DC1464" t="s">
        <v>136</v>
      </c>
      <c r="DD1464" t="s">
        <v>114</v>
      </c>
    </row>
    <row r="1465" spans="1:113" ht="15" customHeight="1" x14ac:dyDescent="0.25">
      <c r="A1465" t="s">
        <v>18537</v>
      </c>
      <c r="B1465" t="s">
        <v>152</v>
      </c>
      <c r="C1465" s="1">
        <v>45155.381544328702</v>
      </c>
      <c r="D1465" s="1">
        <v>45212</v>
      </c>
      <c r="E1465" t="s">
        <v>136</v>
      </c>
      <c r="F1465" t="s">
        <v>1305</v>
      </c>
      <c r="G1465" t="str">
        <f>"35-2014.00"</f>
        <v>35-2014.00</v>
      </c>
      <c r="H1465" t="s">
        <v>154</v>
      </c>
      <c r="I1465">
        <v>15</v>
      </c>
      <c r="J1465">
        <v>15</v>
      </c>
      <c r="K1465" s="1">
        <v>45245</v>
      </c>
      <c r="L1465" s="1">
        <v>45397</v>
      </c>
      <c r="M1465" s="1">
        <v>45245</v>
      </c>
      <c r="N1465" s="1">
        <v>45397</v>
      </c>
      <c r="O1465" t="s">
        <v>116</v>
      </c>
      <c r="P1465" t="s">
        <v>15869</v>
      </c>
      <c r="R1465" t="s">
        <v>15870</v>
      </c>
      <c r="S1465" t="s">
        <v>15871</v>
      </c>
      <c r="T1465" t="s">
        <v>15872</v>
      </c>
      <c r="U1465" t="s">
        <v>2903</v>
      </c>
      <c r="V1465" s="8" t="str">
        <f>"87525"</f>
        <v>87525</v>
      </c>
      <c r="W1465" t="s">
        <v>118</v>
      </c>
      <c r="Y1465" s="10">
        <v>15757762291</v>
      </c>
      <c r="AA1465">
        <v>721110</v>
      </c>
      <c r="AB1465" t="s">
        <v>10856</v>
      </c>
      <c r="AC1465" t="s">
        <v>3677</v>
      </c>
      <c r="AE1465" t="s">
        <v>15873</v>
      </c>
      <c r="AF1465" t="s">
        <v>15870</v>
      </c>
      <c r="AG1465" t="s">
        <v>15871</v>
      </c>
      <c r="AH1465" t="s">
        <v>15872</v>
      </c>
      <c r="AI1465" t="s">
        <v>2903</v>
      </c>
      <c r="AJ1465" s="8" t="str">
        <f>"87525"</f>
        <v>87525</v>
      </c>
      <c r="AK1465" t="s">
        <v>118</v>
      </c>
      <c r="AM1465" s="10">
        <v>15757762291</v>
      </c>
      <c r="AO1465" t="s">
        <v>15875</v>
      </c>
      <c r="AP1465" t="s">
        <v>121</v>
      </c>
      <c r="AQ1465" t="s">
        <v>276</v>
      </c>
      <c r="AR1465" t="s">
        <v>277</v>
      </c>
      <c r="AS1465" t="s">
        <v>278</v>
      </c>
      <c r="AT1465" t="s">
        <v>279</v>
      </c>
      <c r="AU1465" t="s">
        <v>280</v>
      </c>
      <c r="AV1465" t="s">
        <v>281</v>
      </c>
      <c r="AW1465" t="s">
        <v>222</v>
      </c>
      <c r="AX1465" s="8" t="str">
        <f>"01701"</f>
        <v>01701</v>
      </c>
      <c r="AY1465" t="s">
        <v>118</v>
      </c>
      <c r="AZ1465" s="3" t="s">
        <v>2321</v>
      </c>
      <c r="BA1465" s="10">
        <v>16179399444</v>
      </c>
      <c r="BC1465" t="s">
        <v>282</v>
      </c>
      <c r="BD1465" t="s">
        <v>283</v>
      </c>
      <c r="BE1465" t="s">
        <v>222</v>
      </c>
      <c r="BF1465" t="s">
        <v>284</v>
      </c>
      <c r="BG1465" t="s">
        <v>2903</v>
      </c>
      <c r="BH1465" s="1">
        <v>45154.833333333336</v>
      </c>
      <c r="BI1465">
        <v>35</v>
      </c>
      <c r="BJ1465">
        <v>0</v>
      </c>
      <c r="BK1465">
        <v>7</v>
      </c>
      <c r="BL1465">
        <v>7</v>
      </c>
      <c r="BM1465">
        <v>7</v>
      </c>
      <c r="BN1465">
        <v>7</v>
      </c>
      <c r="BO1465">
        <v>7</v>
      </c>
      <c r="BP1465">
        <v>0</v>
      </c>
      <c r="BQ1465" t="str">
        <f>"7:00 AM"</f>
        <v>7:00 AM</v>
      </c>
      <c r="BR1465" t="str">
        <f>"2:00 PM"</f>
        <v>2:00 PM</v>
      </c>
      <c r="BS1465" t="s">
        <v>131</v>
      </c>
      <c r="BT1465">
        <v>0</v>
      </c>
      <c r="BU1465">
        <v>12</v>
      </c>
      <c r="BV1465" t="s">
        <v>114</v>
      </c>
      <c r="BX1465" s="2" t="s">
        <v>18538</v>
      </c>
      <c r="BY1465" t="s">
        <v>15870</v>
      </c>
      <c r="CA1465" t="s">
        <v>15872</v>
      </c>
      <c r="CB1465" t="s">
        <v>2903</v>
      </c>
      <c r="CC1465" s="8" t="str">
        <f>"87525"</f>
        <v>87525</v>
      </c>
      <c r="CD1465" t="s">
        <v>15877</v>
      </c>
      <c r="CE1465" t="s">
        <v>15878</v>
      </c>
      <c r="CF1465" s="12">
        <v>23</v>
      </c>
      <c r="CG1465" s="12">
        <v>25</v>
      </c>
      <c r="CH1465" s="12">
        <v>34.5</v>
      </c>
      <c r="CI1465" s="12">
        <v>37.5</v>
      </c>
      <c r="CJ1465" t="s">
        <v>135</v>
      </c>
      <c r="CK1465" t="s">
        <v>18539</v>
      </c>
      <c r="CL1465" t="s">
        <v>18540</v>
      </c>
      <c r="CO1465" t="s">
        <v>132</v>
      </c>
      <c r="CP1465" t="s">
        <v>114</v>
      </c>
      <c r="CQ1465" t="s">
        <v>136</v>
      </c>
      <c r="CR1465" t="s">
        <v>136</v>
      </c>
      <c r="CS1465" t="s">
        <v>136</v>
      </c>
      <c r="CT1465" t="s">
        <v>136</v>
      </c>
      <c r="CU1465" t="s">
        <v>136</v>
      </c>
      <c r="CV1465" t="s">
        <v>15881</v>
      </c>
      <c r="CW1465" s="10" t="str">
        <f>"+15757762291"</f>
        <v>+15757762291</v>
      </c>
      <c r="CX1465" t="s">
        <v>15882</v>
      </c>
      <c r="CY1465" t="s">
        <v>132</v>
      </c>
      <c r="CZ1465" t="s">
        <v>137</v>
      </c>
      <c r="DA1465" t="s">
        <v>114</v>
      </c>
      <c r="DB1465" t="s">
        <v>114</v>
      </c>
      <c r="DC1465" t="s">
        <v>136</v>
      </c>
      <c r="DD1465" t="s">
        <v>114</v>
      </c>
    </row>
    <row r="1466" spans="1:113" ht="15" customHeight="1" x14ac:dyDescent="0.25">
      <c r="A1466" t="s">
        <v>15868</v>
      </c>
      <c r="B1466" t="s">
        <v>152</v>
      </c>
      <c r="C1466" s="1">
        <v>45155.378783101849</v>
      </c>
      <c r="D1466" s="1">
        <v>45212</v>
      </c>
      <c r="E1466" t="s">
        <v>136</v>
      </c>
      <c r="F1466" t="s">
        <v>293</v>
      </c>
      <c r="G1466" t="str">
        <f>"37-2012.00"</f>
        <v>37-2012.00</v>
      </c>
      <c r="H1466" t="s">
        <v>205</v>
      </c>
      <c r="I1466">
        <v>15</v>
      </c>
      <c r="J1466">
        <v>15</v>
      </c>
      <c r="K1466" s="1">
        <v>45245</v>
      </c>
      <c r="L1466" s="1">
        <v>45397</v>
      </c>
      <c r="M1466" s="1">
        <v>45245</v>
      </c>
      <c r="N1466" s="1">
        <v>45397</v>
      </c>
      <c r="O1466" t="s">
        <v>116</v>
      </c>
      <c r="P1466" t="s">
        <v>15869</v>
      </c>
      <c r="R1466" t="s">
        <v>15870</v>
      </c>
      <c r="S1466" t="s">
        <v>15871</v>
      </c>
      <c r="T1466" t="s">
        <v>15872</v>
      </c>
      <c r="U1466" t="s">
        <v>2903</v>
      </c>
      <c r="V1466" s="8" t="str">
        <f>"87525"</f>
        <v>87525</v>
      </c>
      <c r="W1466" t="s">
        <v>118</v>
      </c>
      <c r="Y1466" s="10">
        <v>15757762291</v>
      </c>
      <c r="AA1466">
        <v>721110</v>
      </c>
      <c r="AB1466" t="s">
        <v>10856</v>
      </c>
      <c r="AC1466" t="s">
        <v>3677</v>
      </c>
      <c r="AE1466" t="s">
        <v>15873</v>
      </c>
      <c r="AF1466" t="s">
        <v>15874</v>
      </c>
      <c r="AG1466" t="s">
        <v>15871</v>
      </c>
      <c r="AH1466" t="s">
        <v>15872</v>
      </c>
      <c r="AI1466" t="s">
        <v>2903</v>
      </c>
      <c r="AJ1466" s="8" t="str">
        <f>"87525"</f>
        <v>87525</v>
      </c>
      <c r="AK1466" t="s">
        <v>118</v>
      </c>
      <c r="AM1466" s="10">
        <v>15757762291</v>
      </c>
      <c r="AO1466" t="s">
        <v>15875</v>
      </c>
      <c r="AP1466" t="s">
        <v>121</v>
      </c>
      <c r="AQ1466" t="s">
        <v>276</v>
      </c>
      <c r="AR1466" t="s">
        <v>277</v>
      </c>
      <c r="AS1466" t="s">
        <v>278</v>
      </c>
      <c r="AT1466" t="s">
        <v>279</v>
      </c>
      <c r="AU1466" t="s">
        <v>280</v>
      </c>
      <c r="AV1466" t="s">
        <v>281</v>
      </c>
      <c r="AW1466" t="s">
        <v>222</v>
      </c>
      <c r="AX1466" s="8" t="str">
        <f>"01701"</f>
        <v>01701</v>
      </c>
      <c r="AY1466" t="s">
        <v>118</v>
      </c>
      <c r="AZ1466" s="3" t="s">
        <v>2321</v>
      </c>
      <c r="BA1466" s="10">
        <v>16179399444</v>
      </c>
      <c r="BC1466" t="s">
        <v>282</v>
      </c>
      <c r="BD1466" t="s">
        <v>283</v>
      </c>
      <c r="BE1466" t="s">
        <v>222</v>
      </c>
      <c r="BF1466" t="s">
        <v>284</v>
      </c>
      <c r="BG1466" t="s">
        <v>2903</v>
      </c>
      <c r="BH1466" s="1">
        <v>45154.833333333336</v>
      </c>
      <c r="BI1466">
        <v>35</v>
      </c>
      <c r="BJ1466">
        <v>0</v>
      </c>
      <c r="BK1466">
        <v>7</v>
      </c>
      <c r="BL1466">
        <v>7</v>
      </c>
      <c r="BM1466">
        <v>7</v>
      </c>
      <c r="BN1466">
        <v>7</v>
      </c>
      <c r="BO1466">
        <v>7</v>
      </c>
      <c r="BP1466">
        <v>0</v>
      </c>
      <c r="BQ1466" t="str">
        <f>"8:00 AM"</f>
        <v>8:00 AM</v>
      </c>
      <c r="BR1466" t="str">
        <f>"3:00 PM"</f>
        <v>3:00 PM</v>
      </c>
      <c r="BS1466" t="s">
        <v>131</v>
      </c>
      <c r="BT1466">
        <v>0</v>
      </c>
      <c r="BU1466">
        <v>3</v>
      </c>
      <c r="BV1466" t="s">
        <v>114</v>
      </c>
      <c r="BX1466" s="2" t="s">
        <v>15876</v>
      </c>
      <c r="BY1466" t="s">
        <v>15870</v>
      </c>
      <c r="CA1466" t="s">
        <v>15872</v>
      </c>
      <c r="CB1466" t="s">
        <v>2903</v>
      </c>
      <c r="CC1466" s="8" t="str">
        <f>"87525"</f>
        <v>87525</v>
      </c>
      <c r="CD1466" t="s">
        <v>15877</v>
      </c>
      <c r="CE1466" t="s">
        <v>15878</v>
      </c>
      <c r="CF1466" s="12">
        <v>17.100000000000001</v>
      </c>
      <c r="CG1466" s="12">
        <v>19.25</v>
      </c>
      <c r="CH1466" s="12">
        <v>25.65</v>
      </c>
      <c r="CI1466" s="12">
        <v>28.88</v>
      </c>
      <c r="CJ1466" t="s">
        <v>135</v>
      </c>
      <c r="CK1466" t="s">
        <v>15879</v>
      </c>
      <c r="CL1466" t="s">
        <v>15880</v>
      </c>
      <c r="CO1466" t="s">
        <v>132</v>
      </c>
      <c r="CP1466" t="s">
        <v>114</v>
      </c>
      <c r="CQ1466" t="s">
        <v>136</v>
      </c>
      <c r="CR1466" t="s">
        <v>136</v>
      </c>
      <c r="CS1466" t="s">
        <v>136</v>
      </c>
      <c r="CT1466" t="s">
        <v>136</v>
      </c>
      <c r="CU1466" t="s">
        <v>136</v>
      </c>
      <c r="CV1466" t="s">
        <v>15881</v>
      </c>
      <c r="CW1466" s="10" t="str">
        <f>"+15757762291"</f>
        <v>+15757762291</v>
      </c>
      <c r="CX1466" t="s">
        <v>15882</v>
      </c>
      <c r="CY1466" t="s">
        <v>132</v>
      </c>
      <c r="CZ1466" t="s">
        <v>137</v>
      </c>
      <c r="DA1466" t="s">
        <v>114</v>
      </c>
      <c r="DB1466" t="s">
        <v>114</v>
      </c>
      <c r="DC1466" t="s">
        <v>136</v>
      </c>
      <c r="DD1466" t="s">
        <v>114</v>
      </c>
    </row>
    <row r="1467" spans="1:113" ht="15" customHeight="1" x14ac:dyDescent="0.25">
      <c r="A1467" t="s">
        <v>15737</v>
      </c>
      <c r="B1467" t="s">
        <v>152</v>
      </c>
      <c r="C1467" s="1">
        <v>45154.643239930556</v>
      </c>
      <c r="D1467" s="1">
        <v>45212</v>
      </c>
      <c r="E1467" t="s">
        <v>114</v>
      </c>
      <c r="F1467" t="s">
        <v>293</v>
      </c>
      <c r="G1467" t="str">
        <f>"37-2012.00"</f>
        <v>37-2012.00</v>
      </c>
      <c r="H1467" t="s">
        <v>205</v>
      </c>
      <c r="I1467">
        <v>8</v>
      </c>
      <c r="J1467">
        <v>8</v>
      </c>
      <c r="K1467" s="1">
        <v>45240</v>
      </c>
      <c r="L1467" s="1">
        <v>45377</v>
      </c>
      <c r="M1467" s="1">
        <v>45240</v>
      </c>
      <c r="N1467" s="1">
        <v>45377</v>
      </c>
      <c r="O1467" t="s">
        <v>116</v>
      </c>
      <c r="P1467" t="s">
        <v>15738</v>
      </c>
      <c r="Q1467" t="s">
        <v>15739</v>
      </c>
      <c r="R1467" t="s">
        <v>15740</v>
      </c>
      <c r="S1467" t="s">
        <v>15741</v>
      </c>
      <c r="T1467" t="s">
        <v>587</v>
      </c>
      <c r="U1467" t="s">
        <v>584</v>
      </c>
      <c r="V1467" s="8" t="str">
        <f>"83001"</f>
        <v>83001</v>
      </c>
      <c r="W1467" t="s">
        <v>118</v>
      </c>
      <c r="Y1467" s="10">
        <v>13077332535</v>
      </c>
      <c r="AA1467">
        <v>72111</v>
      </c>
      <c r="AB1467" t="s">
        <v>15742</v>
      </c>
      <c r="AC1467" t="s">
        <v>299</v>
      </c>
      <c r="AE1467" t="s">
        <v>2729</v>
      </c>
      <c r="AF1467" t="s">
        <v>15740</v>
      </c>
      <c r="AG1467" t="s">
        <v>15741</v>
      </c>
      <c r="AH1467" t="s">
        <v>587</v>
      </c>
      <c r="AI1467" t="s">
        <v>584</v>
      </c>
      <c r="AJ1467" s="8" t="str">
        <f>"83001"</f>
        <v>83001</v>
      </c>
      <c r="AK1467" t="s">
        <v>118</v>
      </c>
      <c r="AM1467" s="10">
        <v>13077332535</v>
      </c>
      <c r="AO1467" t="s">
        <v>132</v>
      </c>
      <c r="AP1467" t="s">
        <v>248</v>
      </c>
      <c r="AQ1467" t="s">
        <v>577</v>
      </c>
      <c r="AR1467" t="s">
        <v>578</v>
      </c>
      <c r="AT1467" t="s">
        <v>579</v>
      </c>
      <c r="AV1467" t="s">
        <v>580</v>
      </c>
      <c r="AW1467" t="s">
        <v>581</v>
      </c>
      <c r="AX1467" s="8" t="str">
        <f>"22903"</f>
        <v>22903</v>
      </c>
      <c r="AY1467" t="s">
        <v>118</v>
      </c>
      <c r="BA1467" s="10">
        <v>14342634300</v>
      </c>
      <c r="BC1467" t="s">
        <v>2909</v>
      </c>
      <c r="BD1467" t="s">
        <v>583</v>
      </c>
      <c r="BG1467" t="s">
        <v>584</v>
      </c>
      <c r="BH1467" s="1">
        <v>45153.833333333336</v>
      </c>
      <c r="BI1467">
        <v>40</v>
      </c>
      <c r="BJ1467">
        <v>0</v>
      </c>
      <c r="BK1467">
        <v>8</v>
      </c>
      <c r="BL1467">
        <v>8</v>
      </c>
      <c r="BM1467">
        <v>8</v>
      </c>
      <c r="BN1467">
        <v>8</v>
      </c>
      <c r="BO1467">
        <v>8</v>
      </c>
      <c r="BP1467">
        <v>0</v>
      </c>
      <c r="BQ1467" t="str">
        <f>"8:00 AM"</f>
        <v>8:00 AM</v>
      </c>
      <c r="BR1467" t="str">
        <f>"4:30 PM"</f>
        <v>4:30 PM</v>
      </c>
      <c r="BS1467" t="s">
        <v>131</v>
      </c>
      <c r="BT1467">
        <v>0</v>
      </c>
      <c r="BU1467">
        <v>0</v>
      </c>
      <c r="BV1467" t="s">
        <v>114</v>
      </c>
      <c r="BX1467" s="2" t="s">
        <v>15743</v>
      </c>
      <c r="BY1467" t="s">
        <v>15740</v>
      </c>
      <c r="CA1467" t="s">
        <v>587</v>
      </c>
      <c r="CB1467" t="s">
        <v>584</v>
      </c>
      <c r="CC1467" s="8" t="str">
        <f>"83001"</f>
        <v>83001</v>
      </c>
      <c r="CD1467" t="s">
        <v>588</v>
      </c>
      <c r="CE1467" t="s">
        <v>589</v>
      </c>
      <c r="CF1467" s="12">
        <v>14.28</v>
      </c>
      <c r="CH1467" s="12">
        <v>21.42</v>
      </c>
      <c r="CJ1467" t="s">
        <v>135</v>
      </c>
      <c r="CK1467" t="s">
        <v>590</v>
      </c>
      <c r="CL1467" t="s">
        <v>15744</v>
      </c>
      <c r="CO1467" t="s">
        <v>132</v>
      </c>
      <c r="CP1467" t="s">
        <v>114</v>
      </c>
      <c r="CQ1467" t="s">
        <v>114</v>
      </c>
      <c r="CR1467" t="s">
        <v>136</v>
      </c>
      <c r="CS1467" t="s">
        <v>136</v>
      </c>
      <c r="CT1467" t="s">
        <v>136</v>
      </c>
      <c r="CU1467" t="s">
        <v>136</v>
      </c>
      <c r="CV1467" t="s">
        <v>15745</v>
      </c>
      <c r="CW1467" s="10" t="str">
        <f>"N/A"</f>
        <v>N/A</v>
      </c>
      <c r="CX1467" t="s">
        <v>15746</v>
      </c>
      <c r="CY1467" t="s">
        <v>594</v>
      </c>
      <c r="CZ1467" t="s">
        <v>137</v>
      </c>
      <c r="DA1467" t="s">
        <v>114</v>
      </c>
      <c r="DB1467" t="s">
        <v>136</v>
      </c>
      <c r="DC1467" t="s">
        <v>136</v>
      </c>
      <c r="DD1467" t="s">
        <v>114</v>
      </c>
      <c r="DE1467" t="s">
        <v>2912</v>
      </c>
      <c r="DF1467" t="s">
        <v>2913</v>
      </c>
      <c r="DH1467" t="s">
        <v>583</v>
      </c>
      <c r="DI1467" t="s">
        <v>2909</v>
      </c>
    </row>
    <row r="1468" spans="1:113" ht="15" customHeight="1" x14ac:dyDescent="0.25">
      <c r="A1468" t="s">
        <v>16646</v>
      </c>
      <c r="B1468" t="s">
        <v>152</v>
      </c>
      <c r="C1468" s="1">
        <v>45154.452489236108</v>
      </c>
      <c r="D1468" s="1">
        <v>45212</v>
      </c>
      <c r="E1468" t="s">
        <v>114</v>
      </c>
      <c r="F1468" t="s">
        <v>16647</v>
      </c>
      <c r="G1468" t="str">
        <f>"25-3021.00"</f>
        <v>25-3021.00</v>
      </c>
      <c r="H1468" t="s">
        <v>720</v>
      </c>
      <c r="I1468">
        <v>14</v>
      </c>
      <c r="J1468">
        <v>14</v>
      </c>
      <c r="K1468" s="1">
        <v>45242</v>
      </c>
      <c r="L1468" s="1">
        <v>45410</v>
      </c>
      <c r="M1468" s="1">
        <v>45242</v>
      </c>
      <c r="N1468" s="1">
        <v>45410</v>
      </c>
      <c r="O1468" t="s">
        <v>238</v>
      </c>
      <c r="P1468" t="s">
        <v>4735</v>
      </c>
      <c r="Q1468" t="s">
        <v>4736</v>
      </c>
      <c r="R1468" t="s">
        <v>4737</v>
      </c>
      <c r="T1468" t="s">
        <v>4738</v>
      </c>
      <c r="U1468" t="s">
        <v>402</v>
      </c>
      <c r="V1468" s="8" t="str">
        <f>"96146"</f>
        <v>96146</v>
      </c>
      <c r="W1468" t="s">
        <v>118</v>
      </c>
      <c r="Y1468" s="10">
        <v>15304527114</v>
      </c>
      <c r="AA1468">
        <v>72111</v>
      </c>
      <c r="AB1468" t="s">
        <v>5698</v>
      </c>
      <c r="AC1468" t="s">
        <v>4921</v>
      </c>
      <c r="AE1468" t="s">
        <v>405</v>
      </c>
      <c r="AF1468" t="s">
        <v>4740</v>
      </c>
      <c r="AH1468" t="s">
        <v>4738</v>
      </c>
      <c r="AI1468" t="s">
        <v>402</v>
      </c>
      <c r="AJ1468" s="8" t="str">
        <f>"96146"</f>
        <v>96146</v>
      </c>
      <c r="AK1468" t="s">
        <v>118</v>
      </c>
      <c r="AM1468" s="10">
        <v>15304527284</v>
      </c>
      <c r="AO1468" t="s">
        <v>16648</v>
      </c>
      <c r="AP1468" t="s">
        <v>121</v>
      </c>
      <c r="AQ1468" t="s">
        <v>1675</v>
      </c>
      <c r="AR1468" t="s">
        <v>1676</v>
      </c>
      <c r="AS1468" t="s">
        <v>1677</v>
      </c>
      <c r="AT1468" t="s">
        <v>1678</v>
      </c>
      <c r="AU1468" t="s">
        <v>296</v>
      </c>
      <c r="AV1468" t="s">
        <v>1679</v>
      </c>
      <c r="AW1468" t="s">
        <v>402</v>
      </c>
      <c r="AX1468" s="8" t="str">
        <f>"91361"</f>
        <v>91361</v>
      </c>
      <c r="AY1468" t="s">
        <v>118</v>
      </c>
      <c r="BA1468" s="10">
        <v>18052611393</v>
      </c>
      <c r="BC1468" t="s">
        <v>1680</v>
      </c>
      <c r="BD1468" t="s">
        <v>1681</v>
      </c>
      <c r="BE1468" t="s">
        <v>140</v>
      </c>
      <c r="BF1468" t="s">
        <v>146</v>
      </c>
      <c r="BG1468" t="s">
        <v>402</v>
      </c>
      <c r="BH1468" s="1">
        <v>45139.833333333336</v>
      </c>
      <c r="BI1468">
        <v>35</v>
      </c>
      <c r="BJ1468">
        <v>5</v>
      </c>
      <c r="BK1468">
        <v>5</v>
      </c>
      <c r="BL1468">
        <v>5</v>
      </c>
      <c r="BM1468">
        <v>5</v>
      </c>
      <c r="BN1468">
        <v>5</v>
      </c>
      <c r="BO1468">
        <v>5</v>
      </c>
      <c r="BP1468">
        <v>5</v>
      </c>
      <c r="BQ1468" t="str">
        <f>"8:00 AM"</f>
        <v>8:00 AM</v>
      </c>
      <c r="BR1468" t="str">
        <f>"4:00 PM"</f>
        <v>4:00 PM</v>
      </c>
      <c r="BS1468" t="s">
        <v>147</v>
      </c>
      <c r="BT1468">
        <v>0</v>
      </c>
      <c r="BU1468">
        <v>3</v>
      </c>
      <c r="BV1468" t="s">
        <v>114</v>
      </c>
      <c r="BX1468" s="2" t="s">
        <v>16649</v>
      </c>
      <c r="BY1468" t="s">
        <v>16650</v>
      </c>
      <c r="CA1468" t="s">
        <v>4738</v>
      </c>
      <c r="CB1468" t="s">
        <v>402</v>
      </c>
      <c r="CC1468" s="8" t="str">
        <f>"96146"</f>
        <v>96146</v>
      </c>
      <c r="CD1468" t="s">
        <v>4745</v>
      </c>
      <c r="CE1468" t="s">
        <v>728</v>
      </c>
      <c r="CF1468" s="12">
        <v>24.56</v>
      </c>
      <c r="CG1468" s="12">
        <v>35.24</v>
      </c>
      <c r="CH1468" s="12">
        <v>36.840000000000003</v>
      </c>
      <c r="CI1468" s="12">
        <v>52.86</v>
      </c>
      <c r="CJ1468" t="s">
        <v>135</v>
      </c>
      <c r="CK1468" t="s">
        <v>16651</v>
      </c>
      <c r="CL1468" t="s">
        <v>16652</v>
      </c>
      <c r="CO1468" t="s">
        <v>132</v>
      </c>
      <c r="CP1468" t="s">
        <v>114</v>
      </c>
      <c r="CQ1468" t="s">
        <v>114</v>
      </c>
      <c r="CR1468" t="s">
        <v>136</v>
      </c>
      <c r="CS1468" t="s">
        <v>136</v>
      </c>
      <c r="CT1468" t="s">
        <v>136</v>
      </c>
      <c r="CU1468" t="s">
        <v>136</v>
      </c>
      <c r="CV1468" s="2" t="s">
        <v>16653</v>
      </c>
      <c r="CW1468" s="10" t="str">
        <f>"+15304527284"</f>
        <v>+15304527284</v>
      </c>
      <c r="CX1468" t="s">
        <v>16654</v>
      </c>
      <c r="CY1468" t="s">
        <v>132</v>
      </c>
      <c r="CZ1468" t="s">
        <v>137</v>
      </c>
      <c r="DA1468" t="s">
        <v>114</v>
      </c>
      <c r="DB1468" t="s">
        <v>114</v>
      </c>
      <c r="DC1468" t="s">
        <v>136</v>
      </c>
      <c r="DD1468" t="s">
        <v>114</v>
      </c>
    </row>
    <row r="1469" spans="1:113" ht="15" customHeight="1" x14ac:dyDescent="0.25">
      <c r="A1469" t="s">
        <v>22501</v>
      </c>
      <c r="B1469" t="s">
        <v>152</v>
      </c>
      <c r="C1469" s="1">
        <v>45154.445883101849</v>
      </c>
      <c r="D1469" s="1">
        <v>45212</v>
      </c>
      <c r="E1469" t="s">
        <v>114</v>
      </c>
      <c r="F1469" t="s">
        <v>22502</v>
      </c>
      <c r="G1469" t="str">
        <f>"41-2011.00"</f>
        <v>41-2011.00</v>
      </c>
      <c r="H1469" t="s">
        <v>3638</v>
      </c>
      <c r="I1469">
        <v>10</v>
      </c>
      <c r="J1469">
        <v>10</v>
      </c>
      <c r="K1469" s="1">
        <v>45240</v>
      </c>
      <c r="L1469" s="1">
        <v>45397</v>
      </c>
      <c r="M1469" s="1">
        <v>45240</v>
      </c>
      <c r="N1469" s="1">
        <v>45397</v>
      </c>
      <c r="O1469" t="s">
        <v>238</v>
      </c>
      <c r="P1469" t="s">
        <v>6305</v>
      </c>
      <c r="Q1469" t="s">
        <v>6306</v>
      </c>
      <c r="R1469" t="s">
        <v>6307</v>
      </c>
      <c r="T1469" t="s">
        <v>6308</v>
      </c>
      <c r="U1469" t="s">
        <v>506</v>
      </c>
      <c r="V1469" s="8" t="str">
        <f>"05155"</f>
        <v>05155</v>
      </c>
      <c r="W1469" t="s">
        <v>118</v>
      </c>
      <c r="Y1469" s="10">
        <v>18022974103</v>
      </c>
      <c r="AA1469">
        <v>72111</v>
      </c>
      <c r="AB1469" t="s">
        <v>1211</v>
      </c>
      <c r="AC1469" t="s">
        <v>6309</v>
      </c>
      <c r="AE1469" t="s">
        <v>3922</v>
      </c>
      <c r="AF1469" t="s">
        <v>6310</v>
      </c>
      <c r="AH1469" t="s">
        <v>6308</v>
      </c>
      <c r="AI1469" t="s">
        <v>506</v>
      </c>
      <c r="AJ1469" s="8" t="str">
        <f>"05155"</f>
        <v>05155</v>
      </c>
      <c r="AK1469" t="s">
        <v>118</v>
      </c>
      <c r="AM1469" s="10">
        <v>18022974103</v>
      </c>
      <c r="AO1469" t="s">
        <v>6311</v>
      </c>
      <c r="AP1469" t="s">
        <v>121</v>
      </c>
      <c r="AQ1469" t="s">
        <v>1675</v>
      </c>
      <c r="AR1469" t="s">
        <v>1676</v>
      </c>
      <c r="AS1469" t="s">
        <v>1677</v>
      </c>
      <c r="AT1469" t="s">
        <v>1678</v>
      </c>
      <c r="AU1469" t="s">
        <v>296</v>
      </c>
      <c r="AV1469" t="s">
        <v>1679</v>
      </c>
      <c r="AW1469" t="s">
        <v>402</v>
      </c>
      <c r="AX1469" s="8" t="str">
        <f>"91361"</f>
        <v>91361</v>
      </c>
      <c r="AY1469" t="s">
        <v>118</v>
      </c>
      <c r="BA1469" s="10">
        <v>18052611393</v>
      </c>
      <c r="BC1469" t="s">
        <v>1680</v>
      </c>
      <c r="BD1469" t="s">
        <v>1681</v>
      </c>
      <c r="BE1469" t="s">
        <v>140</v>
      </c>
      <c r="BF1469" t="s">
        <v>146</v>
      </c>
      <c r="BG1469" t="s">
        <v>506</v>
      </c>
      <c r="BH1469" s="1">
        <v>45104.833333333336</v>
      </c>
      <c r="BI1469">
        <v>35</v>
      </c>
      <c r="BJ1469">
        <v>5</v>
      </c>
      <c r="BK1469">
        <v>5</v>
      </c>
      <c r="BL1469">
        <v>5</v>
      </c>
      <c r="BM1469">
        <v>5</v>
      </c>
      <c r="BN1469">
        <v>5</v>
      </c>
      <c r="BO1469">
        <v>5</v>
      </c>
      <c r="BP1469">
        <v>5</v>
      </c>
      <c r="BQ1469" t="str">
        <f>"7:00 AM"</f>
        <v>7:00 AM</v>
      </c>
      <c r="BR1469" t="str">
        <f>"2:00 PM"</f>
        <v>2:00 PM</v>
      </c>
      <c r="BS1469" t="s">
        <v>131</v>
      </c>
      <c r="BT1469">
        <v>0</v>
      </c>
      <c r="BU1469">
        <v>3</v>
      </c>
      <c r="BV1469" t="s">
        <v>114</v>
      </c>
      <c r="BX1469" s="2" t="s">
        <v>22503</v>
      </c>
      <c r="BY1469" t="s">
        <v>6310</v>
      </c>
      <c r="CA1469" t="s">
        <v>6313</v>
      </c>
      <c r="CB1469" t="s">
        <v>506</v>
      </c>
      <c r="CC1469" s="8" t="str">
        <f>"05155"</f>
        <v>05155</v>
      </c>
      <c r="CD1469" t="s">
        <v>6314</v>
      </c>
      <c r="CE1469" t="s">
        <v>523</v>
      </c>
      <c r="CF1469" s="12">
        <v>13.31</v>
      </c>
      <c r="CG1469" s="12">
        <v>21</v>
      </c>
      <c r="CH1469" s="12">
        <v>19.97</v>
      </c>
      <c r="CI1469" s="12">
        <v>31.5</v>
      </c>
      <c r="CJ1469" t="s">
        <v>135</v>
      </c>
      <c r="CK1469" t="s">
        <v>6315</v>
      </c>
      <c r="CL1469" t="s">
        <v>22504</v>
      </c>
      <c r="CO1469" t="s">
        <v>132</v>
      </c>
      <c r="CP1469" t="s">
        <v>114</v>
      </c>
      <c r="CQ1469" t="s">
        <v>136</v>
      </c>
      <c r="CR1469" t="s">
        <v>136</v>
      </c>
      <c r="CS1469" t="s">
        <v>136</v>
      </c>
      <c r="CT1469" t="s">
        <v>136</v>
      </c>
      <c r="CU1469" t="s">
        <v>136</v>
      </c>
      <c r="CV1469" s="2" t="s">
        <v>22505</v>
      </c>
      <c r="CW1469" s="10" t="str">
        <f>"+18022974106"</f>
        <v>+18022974106</v>
      </c>
      <c r="CX1469" t="s">
        <v>6318</v>
      </c>
      <c r="CY1469" t="s">
        <v>132</v>
      </c>
      <c r="CZ1469" t="s">
        <v>137</v>
      </c>
      <c r="DA1469" t="s">
        <v>114</v>
      </c>
      <c r="DB1469" t="s">
        <v>114</v>
      </c>
      <c r="DC1469" t="s">
        <v>136</v>
      </c>
      <c r="DD1469" t="s">
        <v>114</v>
      </c>
    </row>
    <row r="1470" spans="1:113" ht="15" customHeight="1" x14ac:dyDescent="0.25">
      <c r="A1470" t="s">
        <v>7103</v>
      </c>
      <c r="B1470" t="s">
        <v>152</v>
      </c>
      <c r="C1470" s="1">
        <v>45152.611684606483</v>
      </c>
      <c r="D1470" s="1">
        <v>45212</v>
      </c>
      <c r="E1470" t="s">
        <v>136</v>
      </c>
      <c r="F1470" t="s">
        <v>153</v>
      </c>
      <c r="G1470" t="str">
        <f>"35-2014.00"</f>
        <v>35-2014.00</v>
      </c>
      <c r="H1470" t="s">
        <v>154</v>
      </c>
      <c r="I1470">
        <v>20</v>
      </c>
      <c r="J1470">
        <v>20</v>
      </c>
      <c r="K1470" s="1">
        <v>45240</v>
      </c>
      <c r="L1470" s="1">
        <v>45413</v>
      </c>
      <c r="M1470" s="1">
        <v>45240</v>
      </c>
      <c r="N1470" s="1">
        <v>45413</v>
      </c>
      <c r="O1470" t="s">
        <v>116</v>
      </c>
      <c r="P1470" t="s">
        <v>1099</v>
      </c>
      <c r="Q1470" t="s">
        <v>7104</v>
      </c>
      <c r="R1470" t="s">
        <v>1101</v>
      </c>
      <c r="T1470" t="s">
        <v>487</v>
      </c>
      <c r="U1470" t="s">
        <v>506</v>
      </c>
      <c r="V1470" s="8" t="str">
        <f>"05859"</f>
        <v>05859</v>
      </c>
      <c r="W1470" t="s">
        <v>118</v>
      </c>
      <c r="Y1470" s="10">
        <v>18029882611</v>
      </c>
      <c r="AA1470">
        <v>721110</v>
      </c>
      <c r="AB1470" t="s">
        <v>1102</v>
      </c>
      <c r="AC1470" t="s">
        <v>1103</v>
      </c>
      <c r="AE1470" t="s">
        <v>1104</v>
      </c>
      <c r="AF1470" t="s">
        <v>1101</v>
      </c>
      <c r="AH1470" t="s">
        <v>487</v>
      </c>
      <c r="AI1470" t="s">
        <v>506</v>
      </c>
      <c r="AJ1470" s="8" t="str">
        <f>"05859"</f>
        <v>05859</v>
      </c>
      <c r="AK1470" t="s">
        <v>118</v>
      </c>
      <c r="AM1470" s="10">
        <v>18029882611</v>
      </c>
      <c r="AO1470" t="s">
        <v>1105</v>
      </c>
      <c r="AP1470" t="s">
        <v>121</v>
      </c>
      <c r="AQ1470" t="s">
        <v>276</v>
      </c>
      <c r="AR1470" t="s">
        <v>277</v>
      </c>
      <c r="AS1470" t="s">
        <v>278</v>
      </c>
      <c r="AT1470" t="s">
        <v>279</v>
      </c>
      <c r="AU1470" t="s">
        <v>280</v>
      </c>
      <c r="AV1470" t="s">
        <v>281</v>
      </c>
      <c r="AW1470" t="s">
        <v>222</v>
      </c>
      <c r="AX1470" s="8" t="str">
        <f>"01701"</f>
        <v>01701</v>
      </c>
      <c r="AY1470" t="s">
        <v>118</v>
      </c>
      <c r="BA1470" s="10">
        <v>16179399444</v>
      </c>
      <c r="BC1470" t="s">
        <v>282</v>
      </c>
      <c r="BD1470" t="s">
        <v>283</v>
      </c>
      <c r="BE1470" t="s">
        <v>222</v>
      </c>
      <c r="BF1470" t="s">
        <v>284</v>
      </c>
      <c r="BG1470" t="s">
        <v>506</v>
      </c>
      <c r="BH1470" s="1">
        <v>45151.833333333336</v>
      </c>
      <c r="BI1470">
        <v>35</v>
      </c>
      <c r="BJ1470">
        <v>0</v>
      </c>
      <c r="BK1470">
        <v>7</v>
      </c>
      <c r="BL1470">
        <v>7</v>
      </c>
      <c r="BM1470">
        <v>7</v>
      </c>
      <c r="BN1470">
        <v>7</v>
      </c>
      <c r="BO1470">
        <v>7</v>
      </c>
      <c r="BP1470">
        <v>0</v>
      </c>
      <c r="BQ1470" t="str">
        <f>"7:00 AM"</f>
        <v>7:00 AM</v>
      </c>
      <c r="BR1470" t="str">
        <f>"2:00 PM"</f>
        <v>2:00 PM</v>
      </c>
      <c r="BS1470" t="s">
        <v>131</v>
      </c>
      <c r="BT1470">
        <v>0</v>
      </c>
      <c r="BU1470">
        <v>6</v>
      </c>
      <c r="BV1470" t="s">
        <v>114</v>
      </c>
      <c r="BX1470" s="2" t="s">
        <v>7105</v>
      </c>
      <c r="BY1470" t="s">
        <v>1101</v>
      </c>
      <c r="CA1470" t="s">
        <v>487</v>
      </c>
      <c r="CB1470" t="s">
        <v>506</v>
      </c>
      <c r="CC1470" s="8" t="str">
        <f>"05859"</f>
        <v>05859</v>
      </c>
      <c r="CD1470" t="s">
        <v>1107</v>
      </c>
      <c r="CE1470" t="s">
        <v>1108</v>
      </c>
      <c r="CF1470" s="12">
        <v>18.64</v>
      </c>
      <c r="CG1470" s="12">
        <v>22.66</v>
      </c>
      <c r="CH1470" s="12">
        <v>27.96</v>
      </c>
      <c r="CI1470" s="12">
        <v>33.99</v>
      </c>
      <c r="CJ1470" t="s">
        <v>135</v>
      </c>
      <c r="CK1470" t="s">
        <v>7106</v>
      </c>
      <c r="CL1470" t="s">
        <v>7107</v>
      </c>
      <c r="CO1470" t="s">
        <v>132</v>
      </c>
      <c r="CP1470" t="s">
        <v>114</v>
      </c>
      <c r="CQ1470" t="s">
        <v>136</v>
      </c>
      <c r="CR1470" t="s">
        <v>136</v>
      </c>
      <c r="CS1470" t="s">
        <v>136</v>
      </c>
      <c r="CT1470" t="s">
        <v>136</v>
      </c>
      <c r="CU1470" t="s">
        <v>136</v>
      </c>
      <c r="CV1470" s="2" t="s">
        <v>1111</v>
      </c>
      <c r="CW1470" s="10" t="str">
        <f>"+18023272416"</f>
        <v>+18023272416</v>
      </c>
      <c r="CX1470" t="s">
        <v>1105</v>
      </c>
      <c r="CY1470" t="s">
        <v>132</v>
      </c>
      <c r="CZ1470" t="s">
        <v>137</v>
      </c>
      <c r="DA1470" t="s">
        <v>114</v>
      </c>
      <c r="DB1470" t="s">
        <v>114</v>
      </c>
      <c r="DC1470" t="s">
        <v>136</v>
      </c>
      <c r="DD1470" t="s">
        <v>114</v>
      </c>
    </row>
    <row r="1471" spans="1:113" ht="15" customHeight="1" x14ac:dyDescent="0.25">
      <c r="A1471" t="s">
        <v>22439</v>
      </c>
      <c r="B1471" t="s">
        <v>152</v>
      </c>
      <c r="C1471" s="1">
        <v>45151.437254976852</v>
      </c>
      <c r="D1471" s="1">
        <v>45212</v>
      </c>
      <c r="E1471" t="s">
        <v>114</v>
      </c>
      <c r="F1471" t="s">
        <v>500</v>
      </c>
      <c r="G1471" t="str">
        <f>"35-9021.00"</f>
        <v>35-9021.00</v>
      </c>
      <c r="H1471" t="s">
        <v>501</v>
      </c>
      <c r="I1471">
        <v>9</v>
      </c>
      <c r="J1471">
        <v>9</v>
      </c>
      <c r="K1471" s="1">
        <v>45241</v>
      </c>
      <c r="L1471" s="1">
        <v>45388</v>
      </c>
      <c r="M1471" s="1">
        <v>45241</v>
      </c>
      <c r="N1471" s="1">
        <v>45388</v>
      </c>
      <c r="O1471" t="s">
        <v>116</v>
      </c>
      <c r="P1471" t="s">
        <v>15428</v>
      </c>
      <c r="Q1471" t="s">
        <v>15429</v>
      </c>
      <c r="R1471" t="s">
        <v>15430</v>
      </c>
      <c r="T1471" t="s">
        <v>9846</v>
      </c>
      <c r="U1471" t="s">
        <v>506</v>
      </c>
      <c r="V1471" s="8" t="str">
        <f>"05149"</f>
        <v>05149</v>
      </c>
      <c r="W1471" t="s">
        <v>118</v>
      </c>
      <c r="Y1471" s="10">
        <v>18022281966</v>
      </c>
      <c r="AA1471">
        <v>7211</v>
      </c>
      <c r="AB1471" t="s">
        <v>507</v>
      </c>
      <c r="AC1471" t="s">
        <v>508</v>
      </c>
      <c r="AE1471" t="s">
        <v>725</v>
      </c>
      <c r="AF1471" t="s">
        <v>510</v>
      </c>
      <c r="AH1471" t="s">
        <v>511</v>
      </c>
      <c r="AI1471" t="s">
        <v>188</v>
      </c>
      <c r="AJ1471" s="8" t="str">
        <f>"80021"</f>
        <v>80021</v>
      </c>
      <c r="AK1471" t="s">
        <v>118</v>
      </c>
      <c r="AM1471" s="10">
        <v>13034041800</v>
      </c>
      <c r="AO1471" t="s">
        <v>512</v>
      </c>
      <c r="AP1471" t="s">
        <v>121</v>
      </c>
      <c r="AQ1471" t="s">
        <v>513</v>
      </c>
      <c r="AR1471" t="s">
        <v>514</v>
      </c>
      <c r="AS1471" t="s">
        <v>515</v>
      </c>
      <c r="AT1471" t="s">
        <v>516</v>
      </c>
      <c r="AU1471" t="s">
        <v>517</v>
      </c>
      <c r="AV1471" t="s">
        <v>518</v>
      </c>
      <c r="AW1471" t="s">
        <v>402</v>
      </c>
      <c r="AX1471" s="8" t="str">
        <f>"90071"</f>
        <v>90071</v>
      </c>
      <c r="AY1471" t="s">
        <v>118</v>
      </c>
      <c r="BA1471" s="10">
        <v>13108203322</v>
      </c>
      <c r="BC1471" t="s">
        <v>519</v>
      </c>
      <c r="BD1471" t="s">
        <v>520</v>
      </c>
      <c r="BE1471" t="s">
        <v>188</v>
      </c>
      <c r="BF1471" t="s">
        <v>172</v>
      </c>
      <c r="BG1471" t="s">
        <v>506</v>
      </c>
      <c r="BH1471" s="1">
        <v>45144.833333333336</v>
      </c>
      <c r="BI1471">
        <v>35</v>
      </c>
      <c r="BJ1471">
        <v>5</v>
      </c>
      <c r="BK1471">
        <v>5</v>
      </c>
      <c r="BL1471">
        <v>5</v>
      </c>
      <c r="BM1471">
        <v>5</v>
      </c>
      <c r="BN1471">
        <v>5</v>
      </c>
      <c r="BO1471">
        <v>5</v>
      </c>
      <c r="BP1471">
        <v>5</v>
      </c>
      <c r="BQ1471" t="str">
        <f>"8:00 AM"</f>
        <v>8:00 AM</v>
      </c>
      <c r="BR1471" t="str">
        <f>"11:00 PM"</f>
        <v>11:00 PM</v>
      </c>
      <c r="BS1471" t="s">
        <v>131</v>
      </c>
      <c r="BT1471">
        <v>0</v>
      </c>
      <c r="BU1471">
        <v>0</v>
      </c>
      <c r="BV1471" t="s">
        <v>114</v>
      </c>
      <c r="BX1471" s="2" t="s">
        <v>22440</v>
      </c>
      <c r="BY1471" t="s">
        <v>15430</v>
      </c>
      <c r="CA1471" t="s">
        <v>9846</v>
      </c>
      <c r="CB1471" t="s">
        <v>506</v>
      </c>
      <c r="CC1471" s="8" t="str">
        <f>"05149"</f>
        <v>05149</v>
      </c>
      <c r="CD1471" t="s">
        <v>15200</v>
      </c>
      <c r="CE1471" t="s">
        <v>523</v>
      </c>
      <c r="CF1471" s="12">
        <v>20</v>
      </c>
      <c r="CH1471" s="12">
        <v>30</v>
      </c>
      <c r="CJ1471" t="s">
        <v>135</v>
      </c>
      <c r="CK1471" t="s">
        <v>1094</v>
      </c>
      <c r="CL1471" t="s">
        <v>22441</v>
      </c>
      <c r="CO1471" t="s">
        <v>132</v>
      </c>
      <c r="CP1471" t="s">
        <v>114</v>
      </c>
      <c r="CQ1471" t="s">
        <v>114</v>
      </c>
      <c r="CR1471" t="s">
        <v>136</v>
      </c>
      <c r="CS1471" t="s">
        <v>114</v>
      </c>
      <c r="CT1471" t="s">
        <v>136</v>
      </c>
      <c r="CU1471" t="s">
        <v>136</v>
      </c>
      <c r="CV1471" t="s">
        <v>15433</v>
      </c>
      <c r="CW1471" s="10" t="str">
        <f>"+13034041800"</f>
        <v>+13034041800</v>
      </c>
      <c r="CX1471" t="s">
        <v>512</v>
      </c>
      <c r="CY1471" t="s">
        <v>132</v>
      </c>
      <c r="CZ1471" t="s">
        <v>137</v>
      </c>
      <c r="DA1471" t="s">
        <v>114</v>
      </c>
      <c r="DB1471" t="s">
        <v>114</v>
      </c>
      <c r="DC1471" t="s">
        <v>136</v>
      </c>
      <c r="DD1471" t="s">
        <v>114</v>
      </c>
      <c r="DE1471" t="s">
        <v>527</v>
      </c>
      <c r="DF1471" t="s">
        <v>528</v>
      </c>
      <c r="DG1471" t="s">
        <v>732</v>
      </c>
      <c r="DH1471" t="s">
        <v>520</v>
      </c>
      <c r="DI1471" t="s">
        <v>529</v>
      </c>
    </row>
    <row r="1472" spans="1:113" ht="15" customHeight="1" x14ac:dyDescent="0.25">
      <c r="A1472" t="s">
        <v>1080</v>
      </c>
      <c r="B1472" t="s">
        <v>152</v>
      </c>
      <c r="C1472" s="1">
        <v>45150.482544791666</v>
      </c>
      <c r="D1472" s="1">
        <v>45212</v>
      </c>
      <c r="E1472" t="s">
        <v>114</v>
      </c>
      <c r="F1472" t="s">
        <v>1059</v>
      </c>
      <c r="G1472" t="str">
        <f>"35-2014.00"</f>
        <v>35-2014.00</v>
      </c>
      <c r="H1472" t="s">
        <v>154</v>
      </c>
      <c r="I1472">
        <v>55</v>
      </c>
      <c r="J1472">
        <v>55</v>
      </c>
      <c r="K1472" s="1">
        <v>45240</v>
      </c>
      <c r="L1472" s="1">
        <v>45396</v>
      </c>
      <c r="M1472" s="1">
        <v>45240</v>
      </c>
      <c r="N1472" s="1">
        <v>45396</v>
      </c>
      <c r="O1472" t="s">
        <v>116</v>
      </c>
      <c r="P1472" t="s">
        <v>1081</v>
      </c>
      <c r="R1472" t="s">
        <v>510</v>
      </c>
      <c r="T1472" t="s">
        <v>511</v>
      </c>
      <c r="U1472" t="s">
        <v>188</v>
      </c>
      <c r="V1472" s="8" t="str">
        <f>"80021"</f>
        <v>80021</v>
      </c>
      <c r="W1472" t="s">
        <v>118</v>
      </c>
      <c r="Y1472" s="10">
        <v>13034041800</v>
      </c>
      <c r="AA1472">
        <v>713920</v>
      </c>
      <c r="AB1472" t="s">
        <v>507</v>
      </c>
      <c r="AC1472" t="s">
        <v>508</v>
      </c>
      <c r="AE1472" t="s">
        <v>509</v>
      </c>
      <c r="AF1472" t="s">
        <v>510</v>
      </c>
      <c r="AH1472" t="s">
        <v>511</v>
      </c>
      <c r="AI1472" t="s">
        <v>188</v>
      </c>
      <c r="AJ1472" s="8" t="str">
        <f>"80021"</f>
        <v>80021</v>
      </c>
      <c r="AK1472" t="s">
        <v>118</v>
      </c>
      <c r="AM1472" s="10">
        <v>13034041800</v>
      </c>
      <c r="AO1472" t="s">
        <v>512</v>
      </c>
      <c r="AP1472" t="s">
        <v>121</v>
      </c>
      <c r="AQ1472" t="s">
        <v>513</v>
      </c>
      <c r="AR1472" t="s">
        <v>514</v>
      </c>
      <c r="AS1472" t="s">
        <v>515</v>
      </c>
      <c r="AT1472" t="s">
        <v>516</v>
      </c>
      <c r="AU1472" t="s">
        <v>517</v>
      </c>
      <c r="AV1472" t="s">
        <v>518</v>
      </c>
      <c r="AW1472" t="s">
        <v>402</v>
      </c>
      <c r="AX1472" s="8" t="str">
        <f>"90071"</f>
        <v>90071</v>
      </c>
      <c r="AY1472" t="s">
        <v>118</v>
      </c>
      <c r="BA1472" s="10">
        <v>13108203322</v>
      </c>
      <c r="BC1472" t="s">
        <v>519</v>
      </c>
      <c r="BD1472" t="s">
        <v>520</v>
      </c>
      <c r="BE1472" t="s">
        <v>188</v>
      </c>
      <c r="BF1472" t="s">
        <v>172</v>
      </c>
      <c r="BG1472" t="s">
        <v>188</v>
      </c>
      <c r="BH1472" s="1">
        <v>45144.833333333336</v>
      </c>
      <c r="BI1472">
        <v>35</v>
      </c>
      <c r="BJ1472">
        <v>5</v>
      </c>
      <c r="BK1472">
        <v>5</v>
      </c>
      <c r="BL1472">
        <v>5</v>
      </c>
      <c r="BM1472">
        <v>5</v>
      </c>
      <c r="BN1472">
        <v>5</v>
      </c>
      <c r="BO1472">
        <v>5</v>
      </c>
      <c r="BP1472">
        <v>5</v>
      </c>
      <c r="BQ1472" t="str">
        <f>"6:00 AM"</f>
        <v>6:00 AM</v>
      </c>
      <c r="BR1472" t="str">
        <f>"11:00 PM"</f>
        <v>11:00 PM</v>
      </c>
      <c r="BS1472" t="s">
        <v>131</v>
      </c>
      <c r="BT1472">
        <v>0</v>
      </c>
      <c r="BU1472">
        <v>24</v>
      </c>
      <c r="BV1472" t="s">
        <v>114</v>
      </c>
      <c r="BX1472" s="2" t="s">
        <v>1082</v>
      </c>
      <c r="BY1472" t="s">
        <v>1083</v>
      </c>
      <c r="CA1472" t="s">
        <v>1084</v>
      </c>
      <c r="CB1472" t="s">
        <v>188</v>
      </c>
      <c r="CC1472" s="8" t="str">
        <f>"81657"</f>
        <v>81657</v>
      </c>
      <c r="CD1472" t="s">
        <v>1037</v>
      </c>
      <c r="CE1472" t="s">
        <v>1038</v>
      </c>
      <c r="CF1472" s="12">
        <v>22</v>
      </c>
      <c r="CH1472" s="12">
        <v>33</v>
      </c>
      <c r="CJ1472" t="s">
        <v>135</v>
      </c>
      <c r="CK1472" t="s">
        <v>524</v>
      </c>
      <c r="CL1472" t="s">
        <v>1085</v>
      </c>
      <c r="CO1472" t="s">
        <v>132</v>
      </c>
      <c r="CP1472" t="s">
        <v>136</v>
      </c>
      <c r="CQ1472" t="s">
        <v>114</v>
      </c>
      <c r="CR1472" t="s">
        <v>136</v>
      </c>
      <c r="CS1472" t="s">
        <v>114</v>
      </c>
      <c r="CT1472" t="s">
        <v>136</v>
      </c>
      <c r="CU1472" t="s">
        <v>136</v>
      </c>
      <c r="CV1472" t="s">
        <v>1086</v>
      </c>
      <c r="CW1472" s="10" t="str">
        <f>"+13034041800"</f>
        <v>+13034041800</v>
      </c>
      <c r="CX1472" t="s">
        <v>512</v>
      </c>
      <c r="CY1472" t="s">
        <v>132</v>
      </c>
      <c r="CZ1472" t="s">
        <v>137</v>
      </c>
      <c r="DA1472" t="s">
        <v>114</v>
      </c>
      <c r="DB1472" t="s">
        <v>114</v>
      </c>
      <c r="DC1472" t="s">
        <v>136</v>
      </c>
      <c r="DD1472" t="s">
        <v>114</v>
      </c>
      <c r="DE1472" t="s">
        <v>527</v>
      </c>
      <c r="DF1472" t="s">
        <v>528</v>
      </c>
      <c r="DG1472" t="s">
        <v>732</v>
      </c>
      <c r="DH1472" t="s">
        <v>520</v>
      </c>
      <c r="DI1472" t="s">
        <v>529</v>
      </c>
    </row>
    <row r="1473" spans="1:113" ht="15" customHeight="1" x14ac:dyDescent="0.25">
      <c r="A1473" t="s">
        <v>9093</v>
      </c>
      <c r="B1473" t="s">
        <v>152</v>
      </c>
      <c r="C1473" s="1">
        <v>45150.326041203705</v>
      </c>
      <c r="D1473" s="1">
        <v>45212</v>
      </c>
      <c r="E1473" t="s">
        <v>114</v>
      </c>
      <c r="F1473" t="s">
        <v>1950</v>
      </c>
      <c r="G1473" t="str">
        <f>"37-2012.00"</f>
        <v>37-2012.00</v>
      </c>
      <c r="H1473" t="s">
        <v>205</v>
      </c>
      <c r="I1473">
        <v>5</v>
      </c>
      <c r="J1473">
        <v>5</v>
      </c>
      <c r="K1473" s="1">
        <v>45240</v>
      </c>
      <c r="L1473" s="1">
        <v>45394</v>
      </c>
      <c r="M1473" s="1">
        <v>45240</v>
      </c>
      <c r="N1473" s="1">
        <v>45394</v>
      </c>
      <c r="O1473" t="s">
        <v>116</v>
      </c>
      <c r="P1473" t="s">
        <v>9094</v>
      </c>
      <c r="R1473" t="s">
        <v>9095</v>
      </c>
      <c r="S1473" t="s">
        <v>9096</v>
      </c>
      <c r="T1473" t="s">
        <v>4867</v>
      </c>
      <c r="U1473" t="s">
        <v>211</v>
      </c>
      <c r="V1473" s="8" t="str">
        <f>"84032"</f>
        <v>84032</v>
      </c>
      <c r="W1473" t="s">
        <v>118</v>
      </c>
      <c r="Y1473" s="10">
        <v>13077331620</v>
      </c>
      <c r="AA1473">
        <v>72111</v>
      </c>
      <c r="AB1473" t="s">
        <v>3023</v>
      </c>
      <c r="AC1473" t="s">
        <v>7473</v>
      </c>
      <c r="AE1473" t="s">
        <v>9097</v>
      </c>
      <c r="AF1473" t="s">
        <v>9095</v>
      </c>
      <c r="AG1473" t="s">
        <v>9096</v>
      </c>
      <c r="AH1473" t="s">
        <v>4867</v>
      </c>
      <c r="AI1473" t="s">
        <v>211</v>
      </c>
      <c r="AJ1473" s="8" t="str">
        <f>"84032"</f>
        <v>84032</v>
      </c>
      <c r="AK1473" t="s">
        <v>118</v>
      </c>
      <c r="AM1473" s="10">
        <v>13077331620</v>
      </c>
      <c r="AO1473" t="s">
        <v>132</v>
      </c>
      <c r="AP1473" t="s">
        <v>248</v>
      </c>
      <c r="AQ1473" t="s">
        <v>673</v>
      </c>
      <c r="AR1473" t="s">
        <v>674</v>
      </c>
      <c r="AT1473" t="s">
        <v>579</v>
      </c>
      <c r="AV1473" t="s">
        <v>580</v>
      </c>
      <c r="AW1473" t="s">
        <v>581</v>
      </c>
      <c r="AX1473" s="8" t="str">
        <f>"22903"</f>
        <v>22903</v>
      </c>
      <c r="AY1473" t="s">
        <v>118</v>
      </c>
      <c r="BA1473" s="10">
        <v>14342634300</v>
      </c>
      <c r="BC1473" t="s">
        <v>675</v>
      </c>
      <c r="BD1473" t="s">
        <v>583</v>
      </c>
      <c r="BG1473" t="s">
        <v>584</v>
      </c>
      <c r="BH1473" s="1">
        <v>45149.833333333336</v>
      </c>
      <c r="BI1473">
        <v>35</v>
      </c>
      <c r="BJ1473">
        <v>0</v>
      </c>
      <c r="BK1473">
        <v>7</v>
      </c>
      <c r="BL1473">
        <v>7</v>
      </c>
      <c r="BM1473">
        <v>7</v>
      </c>
      <c r="BN1473">
        <v>7</v>
      </c>
      <c r="BO1473">
        <v>7</v>
      </c>
      <c r="BP1473">
        <v>0</v>
      </c>
      <c r="BQ1473" t="str">
        <f>"8:30 AM"</f>
        <v>8:30 AM</v>
      </c>
      <c r="BR1473" t="str">
        <f>"4:30 PM"</f>
        <v>4:30 PM</v>
      </c>
      <c r="BS1473" t="s">
        <v>131</v>
      </c>
      <c r="BT1473">
        <v>0</v>
      </c>
      <c r="BU1473">
        <v>0</v>
      </c>
      <c r="BV1473" t="s">
        <v>114</v>
      </c>
      <c r="BX1473" s="2" t="s">
        <v>9098</v>
      </c>
      <c r="BY1473" t="s">
        <v>9099</v>
      </c>
      <c r="CA1473" t="s">
        <v>587</v>
      </c>
      <c r="CB1473" t="s">
        <v>584</v>
      </c>
      <c r="CC1473" s="8" t="str">
        <f>"83001"</f>
        <v>83001</v>
      </c>
      <c r="CD1473" t="s">
        <v>588</v>
      </c>
      <c r="CE1473" t="s">
        <v>589</v>
      </c>
      <c r="CF1473" s="12">
        <v>14.28</v>
      </c>
      <c r="CG1473" s="12">
        <v>14.28</v>
      </c>
      <c r="CH1473" s="12">
        <v>21.42</v>
      </c>
      <c r="CI1473" s="12">
        <v>21.42</v>
      </c>
      <c r="CJ1473" t="s">
        <v>135</v>
      </c>
      <c r="CK1473" t="s">
        <v>590</v>
      </c>
      <c r="CL1473" t="s">
        <v>9100</v>
      </c>
      <c r="CO1473" t="s">
        <v>132</v>
      </c>
      <c r="CP1473" t="s">
        <v>136</v>
      </c>
      <c r="CQ1473" t="s">
        <v>114</v>
      </c>
      <c r="CR1473" t="s">
        <v>136</v>
      </c>
      <c r="CS1473" t="s">
        <v>136</v>
      </c>
      <c r="CT1473" t="s">
        <v>136</v>
      </c>
      <c r="CU1473" t="s">
        <v>136</v>
      </c>
      <c r="CV1473" t="s">
        <v>9101</v>
      </c>
      <c r="CW1473" s="10" t="str">
        <f>"N/A"</f>
        <v>N/A</v>
      </c>
      <c r="CX1473" t="s">
        <v>9102</v>
      </c>
      <c r="CY1473" t="s">
        <v>9103</v>
      </c>
      <c r="CZ1473" t="s">
        <v>137</v>
      </c>
      <c r="DA1473" t="s">
        <v>114</v>
      </c>
      <c r="DB1473" t="s">
        <v>136</v>
      </c>
      <c r="DC1473" t="s">
        <v>136</v>
      </c>
      <c r="DD1473" t="s">
        <v>114</v>
      </c>
      <c r="DE1473" t="s">
        <v>673</v>
      </c>
      <c r="DF1473" t="s">
        <v>674</v>
      </c>
      <c r="DH1473" t="s">
        <v>583</v>
      </c>
      <c r="DI1473" t="s">
        <v>675</v>
      </c>
    </row>
    <row r="1474" spans="1:113" ht="15" customHeight="1" x14ac:dyDescent="0.25">
      <c r="A1474" t="s">
        <v>18233</v>
      </c>
      <c r="B1474" t="s">
        <v>152</v>
      </c>
      <c r="C1474" s="1">
        <v>45147.585997222224</v>
      </c>
      <c r="D1474" s="1">
        <v>45212</v>
      </c>
      <c r="E1474" t="s">
        <v>114</v>
      </c>
      <c r="F1474" t="s">
        <v>1247</v>
      </c>
      <c r="G1474" t="str">
        <f>"45-4011.00"</f>
        <v>45-4011.00</v>
      </c>
      <c r="H1474" t="s">
        <v>842</v>
      </c>
      <c r="I1474">
        <v>75</v>
      </c>
      <c r="J1474">
        <v>75</v>
      </c>
      <c r="K1474" s="1">
        <v>45231</v>
      </c>
      <c r="L1474" s="1">
        <v>45504</v>
      </c>
      <c r="M1474" s="1">
        <v>45231</v>
      </c>
      <c r="N1474" s="1">
        <v>45504</v>
      </c>
      <c r="O1474" t="s">
        <v>116</v>
      </c>
      <c r="P1474" t="s">
        <v>18234</v>
      </c>
      <c r="R1474" t="s">
        <v>18235</v>
      </c>
      <c r="T1474" t="s">
        <v>2906</v>
      </c>
      <c r="U1474" t="s">
        <v>479</v>
      </c>
      <c r="V1474" s="8" t="str">
        <f>"97501"</f>
        <v>97501</v>
      </c>
      <c r="W1474" t="s">
        <v>118</v>
      </c>
      <c r="Y1474" s="10">
        <v>15416017112</v>
      </c>
      <c r="AA1474">
        <v>11531</v>
      </c>
      <c r="AB1474" t="s">
        <v>8972</v>
      </c>
      <c r="AC1474" t="s">
        <v>5285</v>
      </c>
      <c r="AD1474" t="s">
        <v>132</v>
      </c>
      <c r="AE1474" t="s">
        <v>629</v>
      </c>
      <c r="AF1474" t="s">
        <v>18236</v>
      </c>
      <c r="AH1474" t="s">
        <v>2906</v>
      </c>
      <c r="AI1474" t="s">
        <v>479</v>
      </c>
      <c r="AJ1474" s="8" t="str">
        <f>"97501"</f>
        <v>97501</v>
      </c>
      <c r="AK1474" t="s">
        <v>118</v>
      </c>
      <c r="AM1474" s="10">
        <v>15416017112</v>
      </c>
      <c r="AO1474" t="s">
        <v>18237</v>
      </c>
      <c r="AP1474" t="s">
        <v>248</v>
      </c>
      <c r="AQ1474" t="s">
        <v>4335</v>
      </c>
      <c r="AR1474" t="s">
        <v>4336</v>
      </c>
      <c r="AS1474" t="s">
        <v>1798</v>
      </c>
      <c r="AT1474" t="s">
        <v>3080</v>
      </c>
      <c r="AU1474" t="s">
        <v>3081</v>
      </c>
      <c r="AV1474" t="s">
        <v>3082</v>
      </c>
      <c r="AW1474" t="s">
        <v>854</v>
      </c>
      <c r="AX1474" s="8" t="str">
        <f>"83814"</f>
        <v>83814</v>
      </c>
      <c r="AY1474" t="s">
        <v>118</v>
      </c>
      <c r="BA1474" s="10">
        <v>12087772654</v>
      </c>
      <c r="BC1474" t="s">
        <v>2154</v>
      </c>
      <c r="BD1474" t="s">
        <v>856</v>
      </c>
      <c r="BG1474" t="s">
        <v>479</v>
      </c>
      <c r="BH1474" s="1">
        <v>45146.833333333336</v>
      </c>
      <c r="BI1474">
        <v>40</v>
      </c>
      <c r="BJ1474">
        <v>0</v>
      </c>
      <c r="BK1474">
        <v>8</v>
      </c>
      <c r="BL1474">
        <v>8</v>
      </c>
      <c r="BM1474">
        <v>8</v>
      </c>
      <c r="BN1474">
        <v>8</v>
      </c>
      <c r="BO1474">
        <v>8</v>
      </c>
      <c r="BP1474">
        <v>0</v>
      </c>
      <c r="BQ1474" t="str">
        <f>"6:00 AM"</f>
        <v>6:00 AM</v>
      </c>
      <c r="BR1474" t="str">
        <f>"3:00 PM"</f>
        <v>3:00 PM</v>
      </c>
      <c r="BS1474" t="s">
        <v>131</v>
      </c>
      <c r="BT1474">
        <v>0</v>
      </c>
      <c r="BU1474">
        <v>3</v>
      </c>
      <c r="BV1474" t="s">
        <v>114</v>
      </c>
      <c r="BX1474" s="2" t="s">
        <v>18238</v>
      </c>
      <c r="BY1474" t="s">
        <v>18239</v>
      </c>
      <c r="CA1474" t="s">
        <v>2906</v>
      </c>
      <c r="CB1474" t="s">
        <v>479</v>
      </c>
      <c r="CC1474" s="8" t="str">
        <f>"97501"</f>
        <v>97501</v>
      </c>
      <c r="CD1474" t="s">
        <v>859</v>
      </c>
      <c r="CE1474" t="s">
        <v>860</v>
      </c>
      <c r="CF1474" s="12">
        <v>12</v>
      </c>
      <c r="CG1474" s="12">
        <v>27</v>
      </c>
      <c r="CH1474" s="12">
        <v>18</v>
      </c>
      <c r="CI1474" s="12">
        <v>40.5</v>
      </c>
      <c r="CJ1474" t="s">
        <v>135</v>
      </c>
      <c r="CK1474" t="s">
        <v>861</v>
      </c>
      <c r="CL1474" t="s">
        <v>18240</v>
      </c>
      <c r="CO1474" t="s">
        <v>132</v>
      </c>
      <c r="CP1474" t="s">
        <v>136</v>
      </c>
      <c r="CQ1474" t="s">
        <v>136</v>
      </c>
      <c r="CR1474" t="s">
        <v>136</v>
      </c>
      <c r="CS1474" t="s">
        <v>114</v>
      </c>
      <c r="CT1474" t="s">
        <v>136</v>
      </c>
      <c r="CU1474" t="s">
        <v>136</v>
      </c>
      <c r="CV1474" t="s">
        <v>1040</v>
      </c>
      <c r="CW1474" s="10" t="str">
        <f>"+15416017112"</f>
        <v>+15416017112</v>
      </c>
      <c r="CX1474" t="s">
        <v>18237</v>
      </c>
      <c r="CY1474" t="s">
        <v>132</v>
      </c>
      <c r="CZ1474" t="s">
        <v>137</v>
      </c>
      <c r="DA1474" t="s">
        <v>114</v>
      </c>
      <c r="DB1474" t="s">
        <v>136</v>
      </c>
      <c r="DC1474" t="s">
        <v>136</v>
      </c>
      <c r="DD1474" t="s">
        <v>114</v>
      </c>
    </row>
    <row r="1475" spans="1:113" ht="15" customHeight="1" x14ac:dyDescent="0.25">
      <c r="A1475" t="s">
        <v>1304</v>
      </c>
      <c r="B1475" t="s">
        <v>152</v>
      </c>
      <c r="C1475" s="1">
        <v>45141.624382175927</v>
      </c>
      <c r="D1475" s="1">
        <v>45212</v>
      </c>
      <c r="E1475" t="s">
        <v>136</v>
      </c>
      <c r="F1475" t="s">
        <v>1305</v>
      </c>
      <c r="G1475" t="str">
        <f>"35-2014.00"</f>
        <v>35-2014.00</v>
      </c>
      <c r="H1475" t="s">
        <v>154</v>
      </c>
      <c r="I1475">
        <v>10</v>
      </c>
      <c r="J1475">
        <v>10</v>
      </c>
      <c r="K1475" s="1">
        <v>45231</v>
      </c>
      <c r="L1475" s="1">
        <v>45504</v>
      </c>
      <c r="M1475" s="1">
        <v>45231</v>
      </c>
      <c r="N1475" s="1">
        <v>45504</v>
      </c>
      <c r="O1475" t="s">
        <v>116</v>
      </c>
      <c r="P1475" t="s">
        <v>1306</v>
      </c>
      <c r="Q1475" t="s">
        <v>1307</v>
      </c>
      <c r="R1475" t="s">
        <v>1308</v>
      </c>
      <c r="T1475" t="s">
        <v>1309</v>
      </c>
      <c r="U1475" t="s">
        <v>140</v>
      </c>
      <c r="V1475" s="8" t="str">
        <f>"33139"</f>
        <v>33139</v>
      </c>
      <c r="W1475" t="s">
        <v>118</v>
      </c>
      <c r="Y1475" s="10">
        <v>13056041601</v>
      </c>
      <c r="AA1475">
        <v>721110</v>
      </c>
      <c r="AB1475" t="s">
        <v>1310</v>
      </c>
      <c r="AC1475" t="s">
        <v>1311</v>
      </c>
      <c r="AE1475" t="s">
        <v>1104</v>
      </c>
      <c r="AF1475" t="s">
        <v>1308</v>
      </c>
      <c r="AH1475" t="s">
        <v>1309</v>
      </c>
      <c r="AI1475" t="s">
        <v>140</v>
      </c>
      <c r="AJ1475" s="8" t="str">
        <f>"33139"</f>
        <v>33139</v>
      </c>
      <c r="AK1475" t="s">
        <v>118</v>
      </c>
      <c r="AM1475" s="10">
        <v>13056045424</v>
      </c>
      <c r="AO1475" t="s">
        <v>1312</v>
      </c>
      <c r="AP1475" t="s">
        <v>121</v>
      </c>
      <c r="AQ1475" t="s">
        <v>276</v>
      </c>
      <c r="AR1475" t="s">
        <v>277</v>
      </c>
      <c r="AS1475" t="s">
        <v>278</v>
      </c>
      <c r="AT1475" t="s">
        <v>279</v>
      </c>
      <c r="AU1475" t="s">
        <v>280</v>
      </c>
      <c r="AV1475" t="s">
        <v>281</v>
      </c>
      <c r="AW1475" t="s">
        <v>222</v>
      </c>
      <c r="AX1475" s="8" t="str">
        <f>"01701"</f>
        <v>01701</v>
      </c>
      <c r="AY1475" t="s">
        <v>118</v>
      </c>
      <c r="BA1475" s="10">
        <v>16179399444</v>
      </c>
      <c r="BC1475" t="s">
        <v>282</v>
      </c>
      <c r="BD1475" t="s">
        <v>283</v>
      </c>
      <c r="BE1475" t="s">
        <v>222</v>
      </c>
      <c r="BF1475" t="s">
        <v>284</v>
      </c>
      <c r="BG1475" t="s">
        <v>140</v>
      </c>
      <c r="BH1475" s="1">
        <v>45140.833333333336</v>
      </c>
      <c r="BI1475">
        <v>35</v>
      </c>
      <c r="BJ1475">
        <v>0</v>
      </c>
      <c r="BK1475">
        <v>7</v>
      </c>
      <c r="BL1475">
        <v>7</v>
      </c>
      <c r="BM1475">
        <v>7</v>
      </c>
      <c r="BN1475">
        <v>7</v>
      </c>
      <c r="BO1475">
        <v>7</v>
      </c>
      <c r="BP1475">
        <v>0</v>
      </c>
      <c r="BQ1475" t="str">
        <f>"3:00 PM"</f>
        <v>3:00 PM</v>
      </c>
      <c r="BR1475" t="str">
        <f>"11:00 PM"</f>
        <v>11:00 PM</v>
      </c>
      <c r="BS1475" t="s">
        <v>131</v>
      </c>
      <c r="BT1475">
        <v>0</v>
      </c>
      <c r="BU1475">
        <v>12</v>
      </c>
      <c r="BV1475" t="s">
        <v>114</v>
      </c>
      <c r="BX1475" s="2" t="s">
        <v>1313</v>
      </c>
      <c r="BY1475" t="s">
        <v>1308</v>
      </c>
      <c r="CA1475" t="s">
        <v>1309</v>
      </c>
      <c r="CB1475" t="s">
        <v>140</v>
      </c>
      <c r="CC1475" s="8" t="str">
        <f>"33139"</f>
        <v>33139</v>
      </c>
      <c r="CD1475" t="s">
        <v>148</v>
      </c>
      <c r="CE1475" t="s">
        <v>149</v>
      </c>
      <c r="CF1475" s="12">
        <v>18.850000000000001</v>
      </c>
      <c r="CG1475" s="12">
        <v>19.8</v>
      </c>
      <c r="CH1475" s="12">
        <v>28.28</v>
      </c>
      <c r="CI1475" s="12">
        <v>29.7</v>
      </c>
      <c r="CJ1475" t="s">
        <v>135</v>
      </c>
      <c r="CK1475" t="s">
        <v>1314</v>
      </c>
      <c r="CL1475" t="s">
        <v>1315</v>
      </c>
      <c r="CO1475" t="s">
        <v>132</v>
      </c>
      <c r="CP1475" t="s">
        <v>114</v>
      </c>
      <c r="CQ1475" t="s">
        <v>114</v>
      </c>
      <c r="CR1475" t="s">
        <v>136</v>
      </c>
      <c r="CS1475" t="s">
        <v>136</v>
      </c>
      <c r="CT1475" t="s">
        <v>136</v>
      </c>
      <c r="CU1475" t="s">
        <v>114</v>
      </c>
      <c r="CV1475" s="2" t="s">
        <v>1316</v>
      </c>
      <c r="CW1475" s="10" t="str">
        <f>"+13056045425"</f>
        <v>+13056045425</v>
      </c>
      <c r="CX1475" t="s">
        <v>1312</v>
      </c>
      <c r="CY1475" t="s">
        <v>132</v>
      </c>
      <c r="CZ1475" t="s">
        <v>137</v>
      </c>
      <c r="DA1475" t="s">
        <v>114</v>
      </c>
      <c r="DB1475" t="s">
        <v>114</v>
      </c>
      <c r="DC1475" t="s">
        <v>136</v>
      </c>
      <c r="DD1475" t="s">
        <v>114</v>
      </c>
    </row>
    <row r="1476" spans="1:113" ht="15" customHeight="1" x14ac:dyDescent="0.25">
      <c r="A1476" t="s">
        <v>11953</v>
      </c>
      <c r="B1476" t="s">
        <v>152</v>
      </c>
      <c r="C1476" s="1">
        <v>45141.533361458336</v>
      </c>
      <c r="D1476" s="1">
        <v>45212</v>
      </c>
      <c r="E1476" t="s">
        <v>114</v>
      </c>
      <c r="F1476" t="s">
        <v>11954</v>
      </c>
      <c r="G1476" t="str">
        <f>"25-3021.00"</f>
        <v>25-3021.00</v>
      </c>
      <c r="H1476" t="s">
        <v>720</v>
      </c>
      <c r="I1476">
        <v>15</v>
      </c>
      <c r="J1476">
        <v>15</v>
      </c>
      <c r="K1476" s="1">
        <v>45231</v>
      </c>
      <c r="L1476" s="1">
        <v>45383</v>
      </c>
      <c r="M1476" s="1">
        <v>45231</v>
      </c>
      <c r="N1476" s="1">
        <v>45383</v>
      </c>
      <c r="O1476" t="s">
        <v>238</v>
      </c>
      <c r="P1476" t="s">
        <v>6624</v>
      </c>
      <c r="Q1476" t="s">
        <v>6625</v>
      </c>
      <c r="R1476" t="s">
        <v>6626</v>
      </c>
      <c r="T1476" t="s">
        <v>6627</v>
      </c>
      <c r="U1476" t="s">
        <v>402</v>
      </c>
      <c r="V1476" s="8" t="str">
        <f>"96161"</f>
        <v>96161</v>
      </c>
      <c r="W1476" t="s">
        <v>118</v>
      </c>
      <c r="Y1476" s="10">
        <v>15305621010</v>
      </c>
      <c r="AA1476">
        <v>713920</v>
      </c>
      <c r="AB1476" t="s">
        <v>507</v>
      </c>
      <c r="AC1476" t="s">
        <v>508</v>
      </c>
      <c r="AE1476" t="s">
        <v>509</v>
      </c>
      <c r="AF1476" t="s">
        <v>510</v>
      </c>
      <c r="AH1476" t="s">
        <v>511</v>
      </c>
      <c r="AI1476" t="s">
        <v>188</v>
      </c>
      <c r="AJ1476" s="8" t="str">
        <f>"80021"</f>
        <v>80021</v>
      </c>
      <c r="AK1476" t="s">
        <v>118</v>
      </c>
      <c r="AM1476" s="10">
        <v>13034041800</v>
      </c>
      <c r="AO1476" t="s">
        <v>512</v>
      </c>
      <c r="AP1476" t="s">
        <v>121</v>
      </c>
      <c r="AQ1476" t="s">
        <v>513</v>
      </c>
      <c r="AR1476" t="s">
        <v>514</v>
      </c>
      <c r="AS1476" t="s">
        <v>515</v>
      </c>
      <c r="AT1476" t="s">
        <v>516</v>
      </c>
      <c r="AU1476" t="s">
        <v>517</v>
      </c>
      <c r="AV1476" t="s">
        <v>518</v>
      </c>
      <c r="AW1476" t="s">
        <v>402</v>
      </c>
      <c r="AX1476" s="8" t="str">
        <f>"90071"</f>
        <v>90071</v>
      </c>
      <c r="AY1476" t="s">
        <v>118</v>
      </c>
      <c r="BA1476" s="10">
        <v>13108203322</v>
      </c>
      <c r="BC1476" t="s">
        <v>519</v>
      </c>
      <c r="BD1476" t="s">
        <v>520</v>
      </c>
      <c r="BE1476" t="s">
        <v>188</v>
      </c>
      <c r="BF1476" t="s">
        <v>172</v>
      </c>
      <c r="BG1476" t="s">
        <v>402</v>
      </c>
      <c r="BH1476" s="1">
        <v>45138.833333333336</v>
      </c>
      <c r="BI1476">
        <v>35</v>
      </c>
      <c r="BJ1476">
        <v>5</v>
      </c>
      <c r="BK1476">
        <v>5</v>
      </c>
      <c r="BL1476">
        <v>5</v>
      </c>
      <c r="BM1476">
        <v>5</v>
      </c>
      <c r="BN1476">
        <v>5</v>
      </c>
      <c r="BO1476">
        <v>5</v>
      </c>
      <c r="BP1476">
        <v>5</v>
      </c>
      <c r="BQ1476" t="str">
        <f>"8:30 AM"</f>
        <v>8:30 AM</v>
      </c>
      <c r="BR1476" t="str">
        <f>"4:00 PM"</f>
        <v>4:00 PM</v>
      </c>
      <c r="BS1476" t="s">
        <v>131</v>
      </c>
      <c r="BT1476">
        <v>0</v>
      </c>
      <c r="BU1476">
        <v>0</v>
      </c>
      <c r="BV1476" t="s">
        <v>114</v>
      </c>
      <c r="BX1476" s="2" t="s">
        <v>11955</v>
      </c>
      <c r="BY1476" t="s">
        <v>6628</v>
      </c>
      <c r="CA1476" t="s">
        <v>6627</v>
      </c>
      <c r="CB1476" t="s">
        <v>402</v>
      </c>
      <c r="CC1476" s="8" t="str">
        <f>"96161"</f>
        <v>96161</v>
      </c>
      <c r="CD1476" t="s">
        <v>4745</v>
      </c>
      <c r="CE1476" t="s">
        <v>728</v>
      </c>
      <c r="CF1476" s="12">
        <v>27</v>
      </c>
      <c r="CG1476" s="12">
        <v>62.02</v>
      </c>
      <c r="CH1476" s="12">
        <v>40.5</v>
      </c>
      <c r="CI1476" s="12">
        <v>93.03</v>
      </c>
      <c r="CJ1476" t="s">
        <v>135</v>
      </c>
      <c r="CK1476" t="s">
        <v>524</v>
      </c>
      <c r="CL1476" t="s">
        <v>11956</v>
      </c>
      <c r="CO1476" t="s">
        <v>132</v>
      </c>
      <c r="CP1476" t="s">
        <v>114</v>
      </c>
      <c r="CQ1476" t="s">
        <v>114</v>
      </c>
      <c r="CR1476" t="s">
        <v>136</v>
      </c>
      <c r="CS1476" t="s">
        <v>114</v>
      </c>
      <c r="CT1476" t="s">
        <v>136</v>
      </c>
      <c r="CU1476" t="s">
        <v>114</v>
      </c>
      <c r="CV1476" t="s">
        <v>131</v>
      </c>
      <c r="CW1476" s="10" t="str">
        <f>"+13034041800"</f>
        <v>+13034041800</v>
      </c>
      <c r="CX1476" t="s">
        <v>512</v>
      </c>
      <c r="CY1476" t="s">
        <v>132</v>
      </c>
      <c r="CZ1476" t="s">
        <v>137</v>
      </c>
      <c r="DA1476" t="s">
        <v>114</v>
      </c>
      <c r="DB1476" t="s">
        <v>114</v>
      </c>
      <c r="DC1476" t="s">
        <v>136</v>
      </c>
      <c r="DD1476" t="s">
        <v>114</v>
      </c>
      <c r="DE1476" t="s">
        <v>527</v>
      </c>
      <c r="DF1476" t="s">
        <v>528</v>
      </c>
      <c r="DG1476" t="s">
        <v>732</v>
      </c>
      <c r="DH1476" t="s">
        <v>520</v>
      </c>
      <c r="DI1476" t="s">
        <v>529</v>
      </c>
    </row>
    <row r="1477" spans="1:113" ht="15" customHeight="1" x14ac:dyDescent="0.25">
      <c r="A1477" t="s">
        <v>19104</v>
      </c>
      <c r="B1477" t="s">
        <v>152</v>
      </c>
      <c r="C1477" s="1">
        <v>45141.471189930555</v>
      </c>
      <c r="D1477" s="1">
        <v>45212</v>
      </c>
      <c r="E1477" t="s">
        <v>136</v>
      </c>
      <c r="F1477" t="s">
        <v>293</v>
      </c>
      <c r="G1477" t="str">
        <f>"37-2012.00"</f>
        <v>37-2012.00</v>
      </c>
      <c r="H1477" t="s">
        <v>205</v>
      </c>
      <c r="I1477">
        <v>6</v>
      </c>
      <c r="J1477">
        <v>6</v>
      </c>
      <c r="K1477" s="1">
        <v>45231</v>
      </c>
      <c r="L1477" s="1">
        <v>45389</v>
      </c>
      <c r="M1477" s="1">
        <v>45231</v>
      </c>
      <c r="N1477" s="1">
        <v>45389</v>
      </c>
      <c r="O1477" t="s">
        <v>116</v>
      </c>
      <c r="P1477" t="s">
        <v>19105</v>
      </c>
      <c r="Q1477" t="s">
        <v>19106</v>
      </c>
      <c r="R1477" t="s">
        <v>19107</v>
      </c>
      <c r="T1477" t="s">
        <v>16569</v>
      </c>
      <c r="U1477" t="s">
        <v>211</v>
      </c>
      <c r="V1477" s="8" t="str">
        <f>"84310"</f>
        <v>84310</v>
      </c>
      <c r="W1477" t="s">
        <v>118</v>
      </c>
      <c r="Y1477" s="10">
        <v>18017453772</v>
      </c>
      <c r="AA1477">
        <v>721110</v>
      </c>
      <c r="AB1477" t="s">
        <v>19108</v>
      </c>
      <c r="AC1477" t="s">
        <v>19109</v>
      </c>
      <c r="AE1477" t="s">
        <v>161</v>
      </c>
      <c r="AF1477" t="s">
        <v>19107</v>
      </c>
      <c r="AG1477" t="s">
        <v>19110</v>
      </c>
      <c r="AH1477" t="s">
        <v>16569</v>
      </c>
      <c r="AI1477" t="s">
        <v>211</v>
      </c>
      <c r="AJ1477" s="8" t="str">
        <f>"84310"</f>
        <v>84310</v>
      </c>
      <c r="AK1477" t="s">
        <v>118</v>
      </c>
      <c r="AM1477" s="10">
        <v>18017453772</v>
      </c>
      <c r="AO1477" t="s">
        <v>19111</v>
      </c>
      <c r="AP1477" t="s">
        <v>121</v>
      </c>
      <c r="AQ1477" t="s">
        <v>276</v>
      </c>
      <c r="AR1477" t="s">
        <v>277</v>
      </c>
      <c r="AS1477" t="s">
        <v>278</v>
      </c>
      <c r="AT1477" t="s">
        <v>279</v>
      </c>
      <c r="AU1477" t="s">
        <v>280</v>
      </c>
      <c r="AV1477" t="s">
        <v>281</v>
      </c>
      <c r="AW1477" t="s">
        <v>222</v>
      </c>
      <c r="AX1477" s="8" t="str">
        <f>"01701"</f>
        <v>01701</v>
      </c>
      <c r="AY1477" t="s">
        <v>118</v>
      </c>
      <c r="BA1477" s="10">
        <v>16179399444</v>
      </c>
      <c r="BC1477" t="s">
        <v>282</v>
      </c>
      <c r="BD1477" t="s">
        <v>283</v>
      </c>
      <c r="BE1477" t="s">
        <v>222</v>
      </c>
      <c r="BF1477" t="s">
        <v>284</v>
      </c>
      <c r="BG1477" t="s">
        <v>211</v>
      </c>
      <c r="BH1477" s="1">
        <v>45140.833333333336</v>
      </c>
      <c r="BI1477">
        <v>35</v>
      </c>
      <c r="BJ1477">
        <v>0</v>
      </c>
      <c r="BK1477">
        <v>7</v>
      </c>
      <c r="BL1477">
        <v>7</v>
      </c>
      <c r="BM1477">
        <v>7</v>
      </c>
      <c r="BN1477">
        <v>7</v>
      </c>
      <c r="BO1477">
        <v>7</v>
      </c>
      <c r="BP1477">
        <v>0</v>
      </c>
      <c r="BQ1477" t="str">
        <f>"7:00 AM"</f>
        <v>7:00 AM</v>
      </c>
      <c r="BR1477" t="str">
        <f>"2:00 PM"</f>
        <v>2:00 PM</v>
      </c>
      <c r="BS1477" t="s">
        <v>131</v>
      </c>
      <c r="BT1477">
        <v>0</v>
      </c>
      <c r="BU1477">
        <v>3</v>
      </c>
      <c r="BV1477" t="s">
        <v>114</v>
      </c>
      <c r="BX1477" s="2" t="s">
        <v>19112</v>
      </c>
      <c r="BY1477" t="s">
        <v>19113</v>
      </c>
      <c r="CA1477" t="s">
        <v>16569</v>
      </c>
      <c r="CB1477" t="s">
        <v>211</v>
      </c>
      <c r="CC1477" s="8" t="str">
        <f>"84310"</f>
        <v>84310</v>
      </c>
      <c r="CD1477" t="s">
        <v>1481</v>
      </c>
      <c r="CE1477" t="s">
        <v>1482</v>
      </c>
      <c r="CF1477" s="12">
        <v>18</v>
      </c>
      <c r="CG1477" s="12">
        <v>21</v>
      </c>
      <c r="CH1477" s="12">
        <v>27</v>
      </c>
      <c r="CI1477" s="12">
        <v>31.5</v>
      </c>
      <c r="CJ1477" t="s">
        <v>135</v>
      </c>
      <c r="CK1477" t="s">
        <v>19114</v>
      </c>
      <c r="CL1477" t="s">
        <v>19115</v>
      </c>
      <c r="CO1477" t="s">
        <v>132</v>
      </c>
      <c r="CP1477" t="s">
        <v>136</v>
      </c>
      <c r="CQ1477" t="s">
        <v>114</v>
      </c>
      <c r="CR1477" t="s">
        <v>136</v>
      </c>
      <c r="CS1477" t="s">
        <v>136</v>
      </c>
      <c r="CT1477" t="s">
        <v>136</v>
      </c>
      <c r="CU1477" t="s">
        <v>114</v>
      </c>
      <c r="CV1477" s="2" t="s">
        <v>19116</v>
      </c>
      <c r="CW1477" s="10" t="str">
        <f>"+18017453772"</f>
        <v>+18017453772</v>
      </c>
      <c r="CX1477" t="s">
        <v>19111</v>
      </c>
      <c r="CY1477" t="s">
        <v>132</v>
      </c>
      <c r="CZ1477" t="s">
        <v>137</v>
      </c>
      <c r="DA1477" t="s">
        <v>114</v>
      </c>
      <c r="DB1477" t="s">
        <v>114</v>
      </c>
      <c r="DC1477" t="s">
        <v>136</v>
      </c>
      <c r="DD1477" t="s">
        <v>114</v>
      </c>
    </row>
    <row r="1478" spans="1:113" ht="15" customHeight="1" x14ac:dyDescent="0.25">
      <c r="A1478" t="s">
        <v>11619</v>
      </c>
      <c r="B1478" t="s">
        <v>152</v>
      </c>
      <c r="C1478" s="1">
        <v>45141.32874178241</v>
      </c>
      <c r="D1478" s="1">
        <v>45212</v>
      </c>
      <c r="E1478" t="s">
        <v>114</v>
      </c>
      <c r="F1478" t="s">
        <v>1950</v>
      </c>
      <c r="G1478" t="str">
        <f>"37-2012.00"</f>
        <v>37-2012.00</v>
      </c>
      <c r="H1478" t="s">
        <v>205</v>
      </c>
      <c r="I1478">
        <v>7</v>
      </c>
      <c r="J1478">
        <v>7</v>
      </c>
      <c r="K1478" s="1">
        <v>45231</v>
      </c>
      <c r="L1478" s="1">
        <v>45382</v>
      </c>
      <c r="M1478" s="1">
        <v>45231</v>
      </c>
      <c r="N1478" s="1">
        <v>45382</v>
      </c>
      <c r="O1478" t="s">
        <v>238</v>
      </c>
      <c r="P1478" t="s">
        <v>11620</v>
      </c>
      <c r="R1478" t="s">
        <v>11621</v>
      </c>
      <c r="S1478" t="s">
        <v>11622</v>
      </c>
      <c r="T1478" t="s">
        <v>587</v>
      </c>
      <c r="U1478" t="s">
        <v>584</v>
      </c>
      <c r="V1478" s="8" t="str">
        <f>"83001"</f>
        <v>83001</v>
      </c>
      <c r="W1478" t="s">
        <v>118</v>
      </c>
      <c r="Y1478" s="10">
        <v>13077337141</v>
      </c>
      <c r="AA1478">
        <v>72111</v>
      </c>
      <c r="AB1478" t="s">
        <v>11623</v>
      </c>
      <c r="AC1478" t="s">
        <v>2009</v>
      </c>
      <c r="AE1478" t="s">
        <v>1349</v>
      </c>
      <c r="AF1478" t="s">
        <v>11621</v>
      </c>
      <c r="AG1478" t="s">
        <v>11622</v>
      </c>
      <c r="AH1478" t="s">
        <v>587</v>
      </c>
      <c r="AI1478" t="s">
        <v>584</v>
      </c>
      <c r="AJ1478" s="8" t="str">
        <f>"83001"</f>
        <v>83001</v>
      </c>
      <c r="AK1478" t="s">
        <v>118</v>
      </c>
      <c r="AM1478" s="10">
        <v>13077337141</v>
      </c>
      <c r="AO1478" t="s">
        <v>132</v>
      </c>
      <c r="AP1478" t="s">
        <v>248</v>
      </c>
      <c r="AQ1478" t="s">
        <v>673</v>
      </c>
      <c r="AR1478" t="s">
        <v>674</v>
      </c>
      <c r="AT1478" t="s">
        <v>579</v>
      </c>
      <c r="AV1478" t="s">
        <v>580</v>
      </c>
      <c r="AW1478" t="s">
        <v>581</v>
      </c>
      <c r="AX1478" s="8" t="str">
        <f>"22903"</f>
        <v>22903</v>
      </c>
      <c r="AY1478" t="s">
        <v>118</v>
      </c>
      <c r="BA1478" s="10">
        <v>14342634300</v>
      </c>
      <c r="BC1478" t="s">
        <v>675</v>
      </c>
      <c r="BD1478" t="s">
        <v>583</v>
      </c>
      <c r="BG1478" t="s">
        <v>584</v>
      </c>
      <c r="BH1478" s="1">
        <v>45140.833333333336</v>
      </c>
      <c r="BI1478">
        <v>40</v>
      </c>
      <c r="BJ1478">
        <v>0</v>
      </c>
      <c r="BK1478">
        <v>8</v>
      </c>
      <c r="BL1478">
        <v>8</v>
      </c>
      <c r="BM1478">
        <v>8</v>
      </c>
      <c r="BN1478">
        <v>8</v>
      </c>
      <c r="BO1478">
        <v>8</v>
      </c>
      <c r="BP1478">
        <v>0</v>
      </c>
      <c r="BQ1478" t="str">
        <f>"9:00 AM"</f>
        <v>9:00 AM</v>
      </c>
      <c r="BR1478" t="str">
        <f>"5:00 PM"</f>
        <v>5:00 PM</v>
      </c>
      <c r="BS1478" t="s">
        <v>131</v>
      </c>
      <c r="BT1478">
        <v>0</v>
      </c>
      <c r="BU1478">
        <v>0</v>
      </c>
      <c r="BV1478" t="s">
        <v>114</v>
      </c>
      <c r="BX1478" s="2" t="s">
        <v>11624</v>
      </c>
      <c r="BY1478" t="s">
        <v>11621</v>
      </c>
      <c r="CA1478" t="s">
        <v>587</v>
      </c>
      <c r="CB1478" t="s">
        <v>584</v>
      </c>
      <c r="CC1478" s="8" t="str">
        <f>"83001"</f>
        <v>83001</v>
      </c>
      <c r="CD1478" t="s">
        <v>588</v>
      </c>
      <c r="CE1478" t="s">
        <v>589</v>
      </c>
      <c r="CF1478" s="12">
        <v>14.28</v>
      </c>
      <c r="CH1478" s="12">
        <v>21.42</v>
      </c>
      <c r="CJ1478" t="s">
        <v>135</v>
      </c>
      <c r="CK1478" t="s">
        <v>590</v>
      </c>
      <c r="CL1478" t="s">
        <v>11625</v>
      </c>
      <c r="CO1478" t="s">
        <v>132</v>
      </c>
      <c r="CP1478" t="s">
        <v>114</v>
      </c>
      <c r="CQ1478" t="s">
        <v>114</v>
      </c>
      <c r="CR1478" t="s">
        <v>136</v>
      </c>
      <c r="CS1478" t="s">
        <v>136</v>
      </c>
      <c r="CT1478" t="s">
        <v>136</v>
      </c>
      <c r="CU1478" t="s">
        <v>136</v>
      </c>
      <c r="CV1478" t="s">
        <v>11626</v>
      </c>
      <c r="CW1478" s="10" t="str">
        <f>"+13072483847"</f>
        <v>+13072483847</v>
      </c>
      <c r="CX1478" t="s">
        <v>132</v>
      </c>
      <c r="CY1478" t="s">
        <v>594</v>
      </c>
      <c r="CZ1478" t="s">
        <v>137</v>
      </c>
      <c r="DA1478" t="s">
        <v>114</v>
      </c>
      <c r="DB1478" t="s">
        <v>136</v>
      </c>
      <c r="DC1478" t="s">
        <v>136</v>
      </c>
      <c r="DD1478" t="s">
        <v>114</v>
      </c>
      <c r="DE1478" t="s">
        <v>673</v>
      </c>
      <c r="DF1478" t="s">
        <v>674</v>
      </c>
      <c r="DH1478" t="s">
        <v>583</v>
      </c>
      <c r="DI1478" t="s">
        <v>675</v>
      </c>
    </row>
    <row r="1479" spans="1:113" ht="15" customHeight="1" x14ac:dyDescent="0.25">
      <c r="A1479" t="s">
        <v>4016</v>
      </c>
      <c r="B1479" t="s">
        <v>152</v>
      </c>
      <c r="C1479" s="1">
        <v>45124.559158796299</v>
      </c>
      <c r="D1479" s="1">
        <v>45212</v>
      </c>
      <c r="E1479" t="s">
        <v>114</v>
      </c>
      <c r="F1479" t="s">
        <v>4017</v>
      </c>
      <c r="G1479" t="str">
        <f>"39-2021.00"</f>
        <v>39-2021.00</v>
      </c>
      <c r="H1479" t="s">
        <v>2895</v>
      </c>
      <c r="I1479">
        <v>7</v>
      </c>
      <c r="J1479">
        <v>7</v>
      </c>
      <c r="K1479" s="1">
        <v>45214</v>
      </c>
      <c r="L1479" s="1">
        <v>45412</v>
      </c>
      <c r="M1479" s="1">
        <v>45214</v>
      </c>
      <c r="N1479" s="1">
        <v>45412</v>
      </c>
      <c r="O1479" t="s">
        <v>238</v>
      </c>
      <c r="P1479" t="s">
        <v>4018</v>
      </c>
      <c r="R1479" t="s">
        <v>4019</v>
      </c>
      <c r="T1479" t="s">
        <v>4020</v>
      </c>
      <c r="U1479" t="s">
        <v>1722</v>
      </c>
      <c r="V1479" s="8" t="str">
        <f>"21013"</f>
        <v>21013</v>
      </c>
      <c r="W1479" t="s">
        <v>118</v>
      </c>
      <c r="Y1479" s="10">
        <v>14109774351</v>
      </c>
      <c r="AA1479">
        <v>711212</v>
      </c>
      <c r="AB1479" t="s">
        <v>4021</v>
      </c>
      <c r="AC1479" t="s">
        <v>4022</v>
      </c>
      <c r="AE1479" t="s">
        <v>4023</v>
      </c>
      <c r="AF1479" t="s">
        <v>4019</v>
      </c>
      <c r="AH1479" t="s">
        <v>4020</v>
      </c>
      <c r="AI1479" t="s">
        <v>1722</v>
      </c>
      <c r="AJ1479" s="8" t="str">
        <f>"21013"</f>
        <v>21013</v>
      </c>
      <c r="AK1479" t="s">
        <v>118</v>
      </c>
      <c r="AM1479" s="10">
        <v>14109774351</v>
      </c>
      <c r="AO1479" t="s">
        <v>4024</v>
      </c>
      <c r="AP1479" t="s">
        <v>121</v>
      </c>
      <c r="AQ1479" t="s">
        <v>3854</v>
      </c>
      <c r="AR1479" t="s">
        <v>144</v>
      </c>
      <c r="AS1479" t="s">
        <v>3855</v>
      </c>
      <c r="AT1479" t="s">
        <v>2605</v>
      </c>
      <c r="AU1479" t="s">
        <v>2606</v>
      </c>
      <c r="AV1479" t="s">
        <v>2607</v>
      </c>
      <c r="AW1479" t="s">
        <v>2608</v>
      </c>
      <c r="AX1479" s="8" t="str">
        <f>"73069"</f>
        <v>73069</v>
      </c>
      <c r="AY1479" t="s">
        <v>118</v>
      </c>
      <c r="BA1479" s="10">
        <v>14053642525</v>
      </c>
      <c r="BC1479" t="s">
        <v>2609</v>
      </c>
      <c r="BD1479" t="s">
        <v>2610</v>
      </c>
      <c r="BE1479" t="s">
        <v>2608</v>
      </c>
      <c r="BF1479" t="s">
        <v>2611</v>
      </c>
      <c r="BG1479" t="s">
        <v>140</v>
      </c>
      <c r="BH1479" s="1">
        <v>45123.833333333336</v>
      </c>
      <c r="BI1479">
        <v>56</v>
      </c>
      <c r="BJ1479">
        <v>8</v>
      </c>
      <c r="BK1479">
        <v>8</v>
      </c>
      <c r="BL1479">
        <v>8</v>
      </c>
      <c r="BM1479">
        <v>8</v>
      </c>
      <c r="BN1479">
        <v>8</v>
      </c>
      <c r="BO1479">
        <v>8</v>
      </c>
      <c r="BP1479">
        <v>8</v>
      </c>
      <c r="BQ1479" t="str">
        <f>"5:00 AM"</f>
        <v>5:00 AM</v>
      </c>
      <c r="BR1479" t="str">
        <f>"5:00 PM"</f>
        <v>5:00 PM</v>
      </c>
      <c r="BS1479" t="s">
        <v>131</v>
      </c>
      <c r="BT1479">
        <v>0</v>
      </c>
      <c r="BU1479">
        <v>1</v>
      </c>
      <c r="BV1479" t="s">
        <v>114</v>
      </c>
      <c r="BX1479" s="2" t="s">
        <v>2870</v>
      </c>
      <c r="BY1479" t="s">
        <v>4025</v>
      </c>
      <c r="BZ1479" t="s">
        <v>4026</v>
      </c>
      <c r="CA1479" t="s">
        <v>4027</v>
      </c>
      <c r="CB1479" t="s">
        <v>140</v>
      </c>
      <c r="CC1479" s="8" t="str">
        <f>"33009"</f>
        <v>33009</v>
      </c>
      <c r="CD1479" t="s">
        <v>287</v>
      </c>
      <c r="CE1479" t="s">
        <v>149</v>
      </c>
      <c r="CF1479" s="12">
        <v>14.11</v>
      </c>
      <c r="CG1479" s="12">
        <v>14.11</v>
      </c>
      <c r="CH1479" s="12">
        <v>21.17</v>
      </c>
      <c r="CI1479" s="12">
        <v>21.17</v>
      </c>
      <c r="CJ1479" t="s">
        <v>135</v>
      </c>
      <c r="CL1479" t="s">
        <v>4028</v>
      </c>
      <c r="CO1479" t="s">
        <v>132</v>
      </c>
      <c r="CP1479" t="s">
        <v>114</v>
      </c>
      <c r="CQ1479" t="s">
        <v>114</v>
      </c>
      <c r="CR1479" t="s">
        <v>136</v>
      </c>
      <c r="CS1479" t="s">
        <v>114</v>
      </c>
      <c r="CT1479" t="s">
        <v>136</v>
      </c>
      <c r="CU1479" t="s">
        <v>136</v>
      </c>
      <c r="CV1479" t="s">
        <v>4029</v>
      </c>
      <c r="CW1479" s="10" t="str">
        <f>"+14109774351"</f>
        <v>+14109774351</v>
      </c>
      <c r="CX1479" t="s">
        <v>4024</v>
      </c>
      <c r="CY1479" t="s">
        <v>132</v>
      </c>
      <c r="CZ1479" t="s">
        <v>137</v>
      </c>
      <c r="DA1479" t="s">
        <v>114</v>
      </c>
      <c r="DB1479" t="s">
        <v>114</v>
      </c>
      <c r="DC1479" t="s">
        <v>136</v>
      </c>
      <c r="DD1479" t="s">
        <v>114</v>
      </c>
    </row>
    <row r="1480" spans="1:113" ht="15" customHeight="1" x14ac:dyDescent="0.25">
      <c r="A1480" t="s">
        <v>734</v>
      </c>
      <c r="B1480" t="s">
        <v>152</v>
      </c>
      <c r="C1480" s="1">
        <v>45110.63222349537</v>
      </c>
      <c r="D1480" s="1">
        <v>45212</v>
      </c>
      <c r="E1480" t="s">
        <v>114</v>
      </c>
      <c r="F1480" t="s">
        <v>735</v>
      </c>
      <c r="G1480" t="str">
        <f>"53-3032.00"</f>
        <v>53-3032.00</v>
      </c>
      <c r="H1480" t="s">
        <v>736</v>
      </c>
      <c r="I1480">
        <v>2</v>
      </c>
      <c r="J1480">
        <v>2</v>
      </c>
      <c r="K1480" s="1">
        <v>45200</v>
      </c>
      <c r="L1480" s="1">
        <v>45260</v>
      </c>
      <c r="M1480" s="1">
        <v>45200</v>
      </c>
      <c r="N1480" s="1">
        <v>45260</v>
      </c>
      <c r="O1480" t="s">
        <v>116</v>
      </c>
      <c r="P1480" t="s">
        <v>737</v>
      </c>
      <c r="R1480" t="s">
        <v>738</v>
      </c>
      <c r="T1480" t="s">
        <v>739</v>
      </c>
      <c r="U1480" t="s">
        <v>740</v>
      </c>
      <c r="V1480" s="8" t="str">
        <f>"50703"</f>
        <v>50703</v>
      </c>
      <c r="W1480" t="s">
        <v>118</v>
      </c>
      <c r="Y1480" s="10">
        <v>13194154308</v>
      </c>
      <c r="AA1480">
        <v>484220</v>
      </c>
      <c r="AB1480" t="s">
        <v>741</v>
      </c>
      <c r="AC1480" t="s">
        <v>742</v>
      </c>
      <c r="AE1480" t="s">
        <v>743</v>
      </c>
      <c r="AF1480" t="s">
        <v>738</v>
      </c>
      <c r="AH1480" t="s">
        <v>739</v>
      </c>
      <c r="AI1480" t="s">
        <v>740</v>
      </c>
      <c r="AJ1480" s="8" t="str">
        <f>"50703"</f>
        <v>50703</v>
      </c>
      <c r="AK1480" t="s">
        <v>118</v>
      </c>
      <c r="AM1480" s="10">
        <v>13194154308</v>
      </c>
      <c r="AO1480" t="s">
        <v>744</v>
      </c>
      <c r="AP1480" t="s">
        <v>121</v>
      </c>
      <c r="AQ1480" t="s">
        <v>745</v>
      </c>
      <c r="AR1480" t="s">
        <v>746</v>
      </c>
      <c r="AT1480" t="s">
        <v>747</v>
      </c>
      <c r="AV1480" t="s">
        <v>603</v>
      </c>
      <c r="AW1480" t="s">
        <v>127</v>
      </c>
      <c r="AX1480" s="8" t="str">
        <f>"78737"</f>
        <v>78737</v>
      </c>
      <c r="AY1480" t="s">
        <v>118</v>
      </c>
      <c r="BA1480" s="10">
        <v>15128942128</v>
      </c>
      <c r="BC1480" t="s">
        <v>748</v>
      </c>
      <c r="BD1480" t="s">
        <v>749</v>
      </c>
      <c r="BE1480" t="s">
        <v>127</v>
      </c>
      <c r="BF1480" t="s">
        <v>750</v>
      </c>
      <c r="BG1480" t="s">
        <v>740</v>
      </c>
      <c r="BH1480" s="1">
        <v>45097.833333333336</v>
      </c>
      <c r="BI1480">
        <v>48</v>
      </c>
      <c r="BJ1480">
        <v>0</v>
      </c>
      <c r="BK1480">
        <v>8</v>
      </c>
      <c r="BL1480">
        <v>8</v>
      </c>
      <c r="BM1480">
        <v>8</v>
      </c>
      <c r="BN1480">
        <v>8</v>
      </c>
      <c r="BO1480">
        <v>8</v>
      </c>
      <c r="BP1480">
        <v>8</v>
      </c>
      <c r="BQ1480" t="str">
        <f>"8:00 PM"</f>
        <v>8:00 PM</v>
      </c>
      <c r="BR1480" t="str">
        <f>"5:00 PM"</f>
        <v>5:00 PM</v>
      </c>
      <c r="BS1480" t="s">
        <v>131</v>
      </c>
      <c r="BT1480">
        <v>0</v>
      </c>
      <c r="BU1480">
        <v>12</v>
      </c>
      <c r="BV1480" t="s">
        <v>114</v>
      </c>
      <c r="BX1480" s="2" t="s">
        <v>751</v>
      </c>
      <c r="BY1480" t="s">
        <v>738</v>
      </c>
      <c r="CA1480" t="s">
        <v>739</v>
      </c>
      <c r="CB1480" t="s">
        <v>740</v>
      </c>
      <c r="CC1480" s="8" t="str">
        <f>"50703"</f>
        <v>50703</v>
      </c>
      <c r="CD1480" t="s">
        <v>752</v>
      </c>
      <c r="CE1480" t="s">
        <v>753</v>
      </c>
      <c r="CF1480" s="12">
        <v>24.1</v>
      </c>
      <c r="CG1480" s="12">
        <v>24.1</v>
      </c>
      <c r="CH1480" s="12">
        <v>36.15</v>
      </c>
      <c r="CI1480" s="12">
        <v>36.15</v>
      </c>
      <c r="CJ1480" t="s">
        <v>135</v>
      </c>
      <c r="CK1480" t="s">
        <v>754</v>
      </c>
      <c r="CL1480" t="s">
        <v>755</v>
      </c>
      <c r="CO1480" t="s">
        <v>132</v>
      </c>
      <c r="CP1480" t="s">
        <v>136</v>
      </c>
      <c r="CQ1480" t="s">
        <v>136</v>
      </c>
      <c r="CR1480" t="s">
        <v>136</v>
      </c>
      <c r="CS1480" t="s">
        <v>136</v>
      </c>
      <c r="CT1480" t="s">
        <v>136</v>
      </c>
      <c r="CU1480" t="s">
        <v>136</v>
      </c>
      <c r="CV1480" s="2" t="s">
        <v>756</v>
      </c>
      <c r="CW1480" s="10" t="str">
        <f>"+13194154308"</f>
        <v>+13194154308</v>
      </c>
      <c r="CX1480" t="s">
        <v>744</v>
      </c>
      <c r="CY1480" t="s">
        <v>132</v>
      </c>
      <c r="CZ1480" t="s">
        <v>137</v>
      </c>
      <c r="DA1480" t="s">
        <v>114</v>
      </c>
      <c r="DB1480" t="s">
        <v>114</v>
      </c>
      <c r="DC1480" t="s">
        <v>136</v>
      </c>
      <c r="DD1480" t="s">
        <v>114</v>
      </c>
    </row>
    <row r="1481" spans="1:113" ht="15" customHeight="1" x14ac:dyDescent="0.25">
      <c r="A1481" t="s">
        <v>19321</v>
      </c>
      <c r="B1481" t="s">
        <v>152</v>
      </c>
      <c r="C1481" s="1">
        <v>45157.524077430557</v>
      </c>
      <c r="D1481" s="1">
        <v>45211</v>
      </c>
      <c r="E1481" t="s">
        <v>114</v>
      </c>
      <c r="F1481" t="s">
        <v>719</v>
      </c>
      <c r="G1481" t="str">
        <f>"25-3021.00"</f>
        <v>25-3021.00</v>
      </c>
      <c r="H1481" t="s">
        <v>720</v>
      </c>
      <c r="I1481">
        <v>40</v>
      </c>
      <c r="J1481">
        <v>40</v>
      </c>
      <c r="K1481" s="1">
        <v>45247</v>
      </c>
      <c r="L1481" s="1">
        <v>45382</v>
      </c>
      <c r="M1481" s="1">
        <v>45247</v>
      </c>
      <c r="N1481" s="1">
        <v>45382</v>
      </c>
      <c r="O1481" t="s">
        <v>238</v>
      </c>
      <c r="P1481" t="s">
        <v>10326</v>
      </c>
      <c r="Q1481" t="s">
        <v>10327</v>
      </c>
      <c r="R1481" t="s">
        <v>10328</v>
      </c>
      <c r="T1481" t="s">
        <v>210</v>
      </c>
      <c r="U1481" t="s">
        <v>211</v>
      </c>
      <c r="V1481" s="8" t="str">
        <f>"84098"</f>
        <v>84098</v>
      </c>
      <c r="W1481" t="s">
        <v>118</v>
      </c>
      <c r="Y1481" s="10">
        <v>14356153381</v>
      </c>
      <c r="AA1481">
        <v>713920</v>
      </c>
      <c r="AB1481" t="s">
        <v>507</v>
      </c>
      <c r="AC1481" t="s">
        <v>508</v>
      </c>
      <c r="AE1481" t="s">
        <v>509</v>
      </c>
      <c r="AF1481" t="s">
        <v>510</v>
      </c>
      <c r="AH1481" t="s">
        <v>511</v>
      </c>
      <c r="AI1481" t="s">
        <v>188</v>
      </c>
      <c r="AJ1481" s="8" t="str">
        <f>"80021"</f>
        <v>80021</v>
      </c>
      <c r="AK1481" t="s">
        <v>118</v>
      </c>
      <c r="AM1481" s="10">
        <v>13034041800</v>
      </c>
      <c r="AO1481" t="s">
        <v>512</v>
      </c>
      <c r="AP1481" t="s">
        <v>121</v>
      </c>
      <c r="AQ1481" t="s">
        <v>513</v>
      </c>
      <c r="AR1481" t="s">
        <v>514</v>
      </c>
      <c r="AS1481" t="s">
        <v>515</v>
      </c>
      <c r="AT1481" t="s">
        <v>516</v>
      </c>
      <c r="AU1481" t="s">
        <v>517</v>
      </c>
      <c r="AV1481" t="s">
        <v>518</v>
      </c>
      <c r="AW1481" t="s">
        <v>402</v>
      </c>
      <c r="AX1481" s="8" t="str">
        <f>"90071"</f>
        <v>90071</v>
      </c>
      <c r="AY1481" t="s">
        <v>118</v>
      </c>
      <c r="BA1481" s="10">
        <v>13108203322</v>
      </c>
      <c r="BC1481" t="s">
        <v>519</v>
      </c>
      <c r="BD1481" t="s">
        <v>520</v>
      </c>
      <c r="BE1481" t="s">
        <v>188</v>
      </c>
      <c r="BF1481" t="s">
        <v>172</v>
      </c>
      <c r="BG1481" t="s">
        <v>211</v>
      </c>
      <c r="BH1481" s="1">
        <v>45152.833333333336</v>
      </c>
      <c r="BI1481">
        <v>35</v>
      </c>
      <c r="BJ1481">
        <v>5</v>
      </c>
      <c r="BK1481">
        <v>5</v>
      </c>
      <c r="BL1481">
        <v>5</v>
      </c>
      <c r="BM1481">
        <v>5</v>
      </c>
      <c r="BN1481">
        <v>5</v>
      </c>
      <c r="BO1481">
        <v>5</v>
      </c>
      <c r="BP1481">
        <v>5</v>
      </c>
      <c r="BQ1481" t="str">
        <f>"8:30 AM"</f>
        <v>8:30 AM</v>
      </c>
      <c r="BR1481" t="str">
        <f>"4:00 PM"</f>
        <v>4:00 PM</v>
      </c>
      <c r="BS1481" t="s">
        <v>131</v>
      </c>
      <c r="BT1481">
        <v>0</v>
      </c>
      <c r="BU1481">
        <v>0</v>
      </c>
      <c r="BV1481" t="s">
        <v>114</v>
      </c>
      <c r="BX1481" s="2" t="s">
        <v>19322</v>
      </c>
      <c r="BY1481" t="s">
        <v>10328</v>
      </c>
      <c r="CA1481" t="s">
        <v>210</v>
      </c>
      <c r="CB1481" t="s">
        <v>211</v>
      </c>
      <c r="CC1481" s="8" t="str">
        <f>"84098"</f>
        <v>84098</v>
      </c>
      <c r="CD1481" t="s">
        <v>228</v>
      </c>
      <c r="CE1481" t="s">
        <v>229</v>
      </c>
      <c r="CF1481" s="12">
        <v>27</v>
      </c>
      <c r="CH1481" s="12">
        <v>40.5</v>
      </c>
      <c r="CJ1481" t="s">
        <v>135</v>
      </c>
      <c r="CK1481" t="s">
        <v>729</v>
      </c>
      <c r="CL1481" t="s">
        <v>19323</v>
      </c>
      <c r="CO1481" t="s">
        <v>132</v>
      </c>
      <c r="CP1481" t="s">
        <v>136</v>
      </c>
      <c r="CQ1481" t="s">
        <v>114</v>
      </c>
      <c r="CR1481" t="s">
        <v>136</v>
      </c>
      <c r="CS1481" t="s">
        <v>114</v>
      </c>
      <c r="CT1481" t="s">
        <v>136</v>
      </c>
      <c r="CU1481" t="s">
        <v>114</v>
      </c>
      <c r="CV1481" t="s">
        <v>131</v>
      </c>
      <c r="CW1481" s="10" t="str">
        <f>"+13034041800"</f>
        <v>+13034041800</v>
      </c>
      <c r="CX1481" t="s">
        <v>512</v>
      </c>
      <c r="CY1481" t="s">
        <v>132</v>
      </c>
      <c r="CZ1481" t="s">
        <v>137</v>
      </c>
      <c r="DA1481" t="s">
        <v>114</v>
      </c>
      <c r="DB1481" t="s">
        <v>114</v>
      </c>
      <c r="DC1481" t="s">
        <v>136</v>
      </c>
      <c r="DD1481" t="s">
        <v>114</v>
      </c>
      <c r="DE1481" t="s">
        <v>527</v>
      </c>
      <c r="DF1481" t="s">
        <v>528</v>
      </c>
      <c r="DG1481" t="s">
        <v>136</v>
      </c>
      <c r="DH1481" t="s">
        <v>520</v>
      </c>
      <c r="DI1481" t="s">
        <v>529</v>
      </c>
    </row>
    <row r="1482" spans="1:113" ht="15" customHeight="1" x14ac:dyDescent="0.25">
      <c r="A1482" t="s">
        <v>15514</v>
      </c>
      <c r="B1482" t="s">
        <v>152</v>
      </c>
      <c r="C1482" s="1">
        <v>45155.733361921295</v>
      </c>
      <c r="D1482" s="1">
        <v>45211</v>
      </c>
      <c r="E1482" t="s">
        <v>136</v>
      </c>
      <c r="F1482" t="s">
        <v>1059</v>
      </c>
      <c r="G1482" t="str">
        <f>"35-2014.00"</f>
        <v>35-2014.00</v>
      </c>
      <c r="H1482" t="s">
        <v>154</v>
      </c>
      <c r="I1482">
        <v>6</v>
      </c>
      <c r="J1482">
        <v>6</v>
      </c>
      <c r="K1482" s="1">
        <v>45245</v>
      </c>
      <c r="L1482" s="1">
        <v>45397</v>
      </c>
      <c r="M1482" s="1">
        <v>45245</v>
      </c>
      <c r="N1482" s="1">
        <v>45397</v>
      </c>
      <c r="O1482" t="s">
        <v>116</v>
      </c>
      <c r="P1482" t="s">
        <v>15515</v>
      </c>
      <c r="Q1482" t="s">
        <v>15516</v>
      </c>
      <c r="R1482" t="s">
        <v>15517</v>
      </c>
      <c r="T1482" t="s">
        <v>15518</v>
      </c>
      <c r="U1482" t="s">
        <v>402</v>
      </c>
      <c r="V1482" s="8" t="str">
        <f>"96150"</f>
        <v>96150</v>
      </c>
      <c r="W1482" t="s">
        <v>118</v>
      </c>
      <c r="Y1482" s="10">
        <v>15305445400</v>
      </c>
      <c r="AA1482">
        <v>721110</v>
      </c>
      <c r="AB1482" t="s">
        <v>10838</v>
      </c>
      <c r="AC1482" t="s">
        <v>1194</v>
      </c>
      <c r="AE1482" t="s">
        <v>12918</v>
      </c>
      <c r="AF1482" t="s">
        <v>15517</v>
      </c>
      <c r="AH1482" t="s">
        <v>724</v>
      </c>
      <c r="AI1482" t="s">
        <v>402</v>
      </c>
      <c r="AJ1482" s="8" t="str">
        <f>"96150"</f>
        <v>96150</v>
      </c>
      <c r="AK1482" t="s">
        <v>118</v>
      </c>
      <c r="AM1482" s="10">
        <v>15305445400</v>
      </c>
      <c r="AO1482" t="s">
        <v>15519</v>
      </c>
      <c r="AP1482" t="s">
        <v>121</v>
      </c>
      <c r="AQ1482" t="s">
        <v>276</v>
      </c>
      <c r="AR1482" t="s">
        <v>277</v>
      </c>
      <c r="AS1482" t="s">
        <v>278</v>
      </c>
      <c r="AT1482" t="s">
        <v>15520</v>
      </c>
      <c r="AU1482" t="s">
        <v>280</v>
      </c>
      <c r="AV1482" t="s">
        <v>281</v>
      </c>
      <c r="AW1482" t="s">
        <v>222</v>
      </c>
      <c r="AX1482" s="8" t="str">
        <f>"01701"</f>
        <v>01701</v>
      </c>
      <c r="AY1482" t="s">
        <v>118</v>
      </c>
      <c r="BA1482" s="10">
        <v>16179399444</v>
      </c>
      <c r="BC1482" t="s">
        <v>282</v>
      </c>
      <c r="BD1482" t="s">
        <v>15521</v>
      </c>
      <c r="BE1482" t="s">
        <v>222</v>
      </c>
      <c r="BF1482" t="s">
        <v>284</v>
      </c>
      <c r="BG1482" t="s">
        <v>402</v>
      </c>
      <c r="BH1482" s="1">
        <v>45154.833333333336</v>
      </c>
      <c r="BI1482">
        <v>40</v>
      </c>
      <c r="BJ1482">
        <v>0</v>
      </c>
      <c r="BK1482">
        <v>8</v>
      </c>
      <c r="BL1482">
        <v>8</v>
      </c>
      <c r="BM1482">
        <v>8</v>
      </c>
      <c r="BN1482">
        <v>8</v>
      </c>
      <c r="BO1482">
        <v>8</v>
      </c>
      <c r="BP1482">
        <v>0</v>
      </c>
      <c r="BQ1482" t="str">
        <f>"9:00 AM"</f>
        <v>9:00 AM</v>
      </c>
      <c r="BR1482" t="str">
        <f>"5:00 PM"</f>
        <v>5:00 PM</v>
      </c>
      <c r="BS1482" t="s">
        <v>131</v>
      </c>
      <c r="BT1482">
        <v>0</v>
      </c>
      <c r="BU1482">
        <v>6</v>
      </c>
      <c r="BV1482" t="s">
        <v>114</v>
      </c>
      <c r="BX1482" s="2" t="s">
        <v>1946</v>
      </c>
      <c r="BY1482" t="s">
        <v>15517</v>
      </c>
      <c r="CA1482" t="s">
        <v>15518</v>
      </c>
      <c r="CB1482" t="s">
        <v>402</v>
      </c>
      <c r="CC1482" s="8" t="str">
        <f>"96150"</f>
        <v>96150</v>
      </c>
      <c r="CD1482" t="s">
        <v>727</v>
      </c>
      <c r="CE1482" t="s">
        <v>728</v>
      </c>
      <c r="CF1482" s="12">
        <v>19</v>
      </c>
      <c r="CG1482" s="12">
        <v>22.28</v>
      </c>
      <c r="CH1482" s="12">
        <v>28.5</v>
      </c>
      <c r="CI1482" s="12">
        <v>33.42</v>
      </c>
      <c r="CJ1482" t="s">
        <v>135</v>
      </c>
      <c r="CK1482" t="s">
        <v>15522</v>
      </c>
      <c r="CL1482" t="s">
        <v>15523</v>
      </c>
      <c r="CO1482" t="s">
        <v>132</v>
      </c>
      <c r="CP1482" t="s">
        <v>114</v>
      </c>
      <c r="CQ1482" t="s">
        <v>114</v>
      </c>
      <c r="CR1482" t="s">
        <v>136</v>
      </c>
      <c r="CS1482" t="s">
        <v>136</v>
      </c>
      <c r="CT1482" t="s">
        <v>136</v>
      </c>
      <c r="CU1482" t="s">
        <v>136</v>
      </c>
      <c r="CV1482" t="s">
        <v>15524</v>
      </c>
      <c r="CW1482" s="10" t="str">
        <f>"+15305445400"</f>
        <v>+15305445400</v>
      </c>
      <c r="CX1482" t="s">
        <v>15525</v>
      </c>
      <c r="CY1482" t="s">
        <v>132</v>
      </c>
      <c r="CZ1482" t="s">
        <v>137</v>
      </c>
      <c r="DA1482" t="s">
        <v>114</v>
      </c>
      <c r="DB1482" t="s">
        <v>114</v>
      </c>
      <c r="DC1482" t="s">
        <v>136</v>
      </c>
      <c r="DD1482" t="s">
        <v>114</v>
      </c>
    </row>
    <row r="1483" spans="1:113" ht="15" customHeight="1" x14ac:dyDescent="0.25">
      <c r="A1483" t="s">
        <v>14650</v>
      </c>
      <c r="B1483" t="s">
        <v>152</v>
      </c>
      <c r="C1483" s="1">
        <v>45155.625264930553</v>
      </c>
      <c r="D1483" s="1">
        <v>45211</v>
      </c>
      <c r="E1483" t="s">
        <v>136</v>
      </c>
      <c r="F1483" t="s">
        <v>14651</v>
      </c>
      <c r="G1483" t="str">
        <f>"35-3023.00"</f>
        <v>35-3023.00</v>
      </c>
      <c r="H1483" t="s">
        <v>1365</v>
      </c>
      <c r="I1483">
        <v>150</v>
      </c>
      <c r="J1483">
        <v>150</v>
      </c>
      <c r="K1483" s="1">
        <v>45231</v>
      </c>
      <c r="L1483" s="1">
        <v>45294</v>
      </c>
      <c r="M1483" s="1">
        <v>45231</v>
      </c>
      <c r="N1483" s="1">
        <v>45294</v>
      </c>
      <c r="O1483" t="s">
        <v>116</v>
      </c>
      <c r="P1483" t="s">
        <v>14652</v>
      </c>
      <c r="R1483" t="s">
        <v>14653</v>
      </c>
      <c r="T1483" t="s">
        <v>587</v>
      </c>
      <c r="U1483" t="s">
        <v>1776</v>
      </c>
      <c r="V1483" s="8" t="str">
        <f>"08527"</f>
        <v>08527</v>
      </c>
      <c r="W1483" t="s">
        <v>118</v>
      </c>
      <c r="Y1483" s="10">
        <v>17329282000</v>
      </c>
      <c r="AA1483">
        <v>71311</v>
      </c>
      <c r="AB1483" t="s">
        <v>14654</v>
      </c>
      <c r="AC1483" t="s">
        <v>3279</v>
      </c>
      <c r="AD1483" t="s">
        <v>2328</v>
      </c>
      <c r="AE1483" t="s">
        <v>1104</v>
      </c>
      <c r="AF1483" t="s">
        <v>14653</v>
      </c>
      <c r="AH1483" t="s">
        <v>587</v>
      </c>
      <c r="AI1483" t="s">
        <v>1776</v>
      </c>
      <c r="AJ1483" s="8" t="str">
        <f>"08527"</f>
        <v>08527</v>
      </c>
      <c r="AK1483" t="s">
        <v>118</v>
      </c>
      <c r="AM1483" s="10">
        <v>17329282000</v>
      </c>
      <c r="AO1483" t="s">
        <v>14655</v>
      </c>
      <c r="AP1483" t="s">
        <v>121</v>
      </c>
      <c r="AQ1483" t="s">
        <v>1978</v>
      </c>
      <c r="AR1483" t="s">
        <v>705</v>
      </c>
      <c r="AS1483" t="s">
        <v>1979</v>
      </c>
      <c r="AT1483" t="s">
        <v>1980</v>
      </c>
      <c r="AU1483" t="s">
        <v>1981</v>
      </c>
      <c r="AV1483" t="s">
        <v>2916</v>
      </c>
      <c r="AW1483" t="s">
        <v>1722</v>
      </c>
      <c r="AX1483" s="8" t="str">
        <f>"21117"</f>
        <v>21117</v>
      </c>
      <c r="AY1483" t="s">
        <v>118</v>
      </c>
      <c r="BA1483" s="10">
        <v>14435014240</v>
      </c>
      <c r="BC1483" t="s">
        <v>1982</v>
      </c>
      <c r="BD1483" t="s">
        <v>9671</v>
      </c>
      <c r="BE1483" t="s">
        <v>358</v>
      </c>
      <c r="BF1483" t="s">
        <v>11035</v>
      </c>
      <c r="BG1483" t="s">
        <v>1776</v>
      </c>
      <c r="BH1483" s="1">
        <v>45154.833333333336</v>
      </c>
      <c r="BI1483">
        <v>35</v>
      </c>
      <c r="BJ1483">
        <v>6</v>
      </c>
      <c r="BK1483">
        <v>5</v>
      </c>
      <c r="BL1483">
        <v>6</v>
      </c>
      <c r="BM1483">
        <v>5</v>
      </c>
      <c r="BN1483">
        <v>6</v>
      </c>
      <c r="BO1483">
        <v>5</v>
      </c>
      <c r="BP1483">
        <v>2</v>
      </c>
      <c r="BQ1483" t="str">
        <f>"11:00 AM"</f>
        <v>11:00 AM</v>
      </c>
      <c r="BR1483" t="str">
        <f>"9:00 PM"</f>
        <v>9:00 PM</v>
      </c>
      <c r="BS1483" t="s">
        <v>131</v>
      </c>
      <c r="BT1483">
        <v>0</v>
      </c>
      <c r="BU1483">
        <v>0</v>
      </c>
      <c r="BV1483" t="s">
        <v>114</v>
      </c>
      <c r="BX1483" s="2" t="s">
        <v>14656</v>
      </c>
      <c r="BY1483" t="s">
        <v>14653</v>
      </c>
      <c r="CA1483" t="s">
        <v>587</v>
      </c>
      <c r="CB1483" t="s">
        <v>1776</v>
      </c>
      <c r="CC1483" s="8" t="str">
        <f>"08527"</f>
        <v>08527</v>
      </c>
      <c r="CD1483" t="s">
        <v>4965</v>
      </c>
      <c r="CE1483" t="s">
        <v>1418</v>
      </c>
      <c r="CF1483" s="12">
        <v>16.079999999999998</v>
      </c>
      <c r="CH1483" s="12">
        <v>24.12</v>
      </c>
      <c r="CJ1483" t="s">
        <v>135</v>
      </c>
      <c r="CK1483" t="s">
        <v>14657</v>
      </c>
      <c r="CL1483" t="s">
        <v>14658</v>
      </c>
      <c r="CO1483" t="s">
        <v>132</v>
      </c>
      <c r="CP1483" t="s">
        <v>114</v>
      </c>
      <c r="CQ1483" t="s">
        <v>114</v>
      </c>
      <c r="CR1483" t="s">
        <v>136</v>
      </c>
      <c r="CS1483" t="s">
        <v>136</v>
      </c>
      <c r="CT1483" t="s">
        <v>136</v>
      </c>
      <c r="CU1483" t="s">
        <v>136</v>
      </c>
      <c r="CV1483" t="s">
        <v>14659</v>
      </c>
      <c r="CW1483" s="10" t="str">
        <f>"+17329282000"</f>
        <v>+17329282000</v>
      </c>
      <c r="CX1483" t="s">
        <v>14660</v>
      </c>
      <c r="CY1483" t="s">
        <v>132</v>
      </c>
      <c r="CZ1483" t="s">
        <v>137</v>
      </c>
      <c r="DA1483" t="s">
        <v>114</v>
      </c>
      <c r="DB1483" t="s">
        <v>114</v>
      </c>
      <c r="DC1483" t="s">
        <v>136</v>
      </c>
      <c r="DD1483" t="s">
        <v>114</v>
      </c>
    </row>
    <row r="1484" spans="1:113" ht="15" customHeight="1" x14ac:dyDescent="0.25">
      <c r="A1484" t="s">
        <v>22580</v>
      </c>
      <c r="B1484" t="s">
        <v>152</v>
      </c>
      <c r="C1484" s="1">
        <v>45155.374568634259</v>
      </c>
      <c r="D1484" s="1">
        <v>45211</v>
      </c>
      <c r="E1484" t="s">
        <v>114</v>
      </c>
      <c r="F1484" t="s">
        <v>4218</v>
      </c>
      <c r="G1484" t="str">
        <f>"49-9098.00"</f>
        <v>49-9098.00</v>
      </c>
      <c r="H1484" t="s">
        <v>945</v>
      </c>
      <c r="I1484">
        <v>40</v>
      </c>
      <c r="J1484">
        <v>40</v>
      </c>
      <c r="K1484" s="1">
        <v>45245</v>
      </c>
      <c r="L1484" s="1">
        <v>45308</v>
      </c>
      <c r="M1484" s="1">
        <v>45245</v>
      </c>
      <c r="N1484" s="1">
        <v>45308</v>
      </c>
      <c r="O1484" t="s">
        <v>238</v>
      </c>
      <c r="P1484" t="s">
        <v>22581</v>
      </c>
      <c r="R1484" t="s">
        <v>16344</v>
      </c>
      <c r="T1484" t="s">
        <v>694</v>
      </c>
      <c r="U1484" t="s">
        <v>140</v>
      </c>
      <c r="V1484" s="8" t="str">
        <f>"34990"</f>
        <v>34990</v>
      </c>
      <c r="W1484" t="s">
        <v>118</v>
      </c>
      <c r="Y1484" s="10">
        <v>17722152223</v>
      </c>
      <c r="Z1484">
        <v>0</v>
      </c>
      <c r="AA1484">
        <v>71399</v>
      </c>
      <c r="AB1484" t="s">
        <v>22582</v>
      </c>
      <c r="AC1484" t="s">
        <v>22583</v>
      </c>
      <c r="AE1484" t="s">
        <v>1580</v>
      </c>
      <c r="AF1484" t="s">
        <v>16344</v>
      </c>
      <c r="AH1484" t="s">
        <v>694</v>
      </c>
      <c r="AI1484" t="s">
        <v>140</v>
      </c>
      <c r="AJ1484" s="8" t="str">
        <f>"34990"</f>
        <v>34990</v>
      </c>
      <c r="AK1484" t="s">
        <v>118</v>
      </c>
      <c r="AM1484" s="10">
        <v>17722152223</v>
      </c>
      <c r="AN1484">
        <v>0</v>
      </c>
      <c r="AO1484" t="s">
        <v>22584</v>
      </c>
      <c r="AP1484" t="s">
        <v>121</v>
      </c>
      <c r="AQ1484" t="s">
        <v>1718</v>
      </c>
      <c r="AR1484" t="s">
        <v>708</v>
      </c>
      <c r="AS1484" t="s">
        <v>1719</v>
      </c>
      <c r="AT1484" t="s">
        <v>1720</v>
      </c>
      <c r="AU1484" t="s">
        <v>799</v>
      </c>
      <c r="AV1484" t="s">
        <v>1721</v>
      </c>
      <c r="AW1484" t="s">
        <v>1722</v>
      </c>
      <c r="AX1484" s="8" t="str">
        <f>"21401"</f>
        <v>21401</v>
      </c>
      <c r="AY1484" t="s">
        <v>118</v>
      </c>
      <c r="BA1484" s="10">
        <v>14105739955</v>
      </c>
      <c r="BB1484">
        <v>0</v>
      </c>
      <c r="BC1484" t="s">
        <v>1723</v>
      </c>
      <c r="BD1484" t="s">
        <v>1724</v>
      </c>
      <c r="BE1484" t="s">
        <v>1722</v>
      </c>
      <c r="BF1484" t="s">
        <v>1725</v>
      </c>
      <c r="BG1484" t="s">
        <v>140</v>
      </c>
      <c r="BH1484" s="1">
        <v>45139.833333333336</v>
      </c>
      <c r="BI1484">
        <v>35</v>
      </c>
      <c r="BJ1484">
        <v>0</v>
      </c>
      <c r="BK1484">
        <v>7</v>
      </c>
      <c r="BL1484">
        <v>7</v>
      </c>
      <c r="BM1484">
        <v>7</v>
      </c>
      <c r="BN1484">
        <v>7</v>
      </c>
      <c r="BO1484">
        <v>7</v>
      </c>
      <c r="BP1484">
        <v>0</v>
      </c>
      <c r="BQ1484" t="str">
        <f>"8:00 AM"</f>
        <v>8:00 AM</v>
      </c>
      <c r="BR1484" t="str">
        <f>"5:00 PM"</f>
        <v>5:00 PM</v>
      </c>
      <c r="BS1484" t="s">
        <v>131</v>
      </c>
      <c r="BT1484">
        <v>0</v>
      </c>
      <c r="BU1484">
        <v>0</v>
      </c>
      <c r="BV1484" t="s">
        <v>114</v>
      </c>
      <c r="BX1484" s="2" t="s">
        <v>22585</v>
      </c>
      <c r="BY1484" t="s">
        <v>16344</v>
      </c>
      <c r="CA1484" t="s">
        <v>694</v>
      </c>
      <c r="CB1484" t="s">
        <v>140</v>
      </c>
      <c r="CC1484" s="8" t="str">
        <f>"34990"</f>
        <v>34990</v>
      </c>
      <c r="CD1484" t="s">
        <v>695</v>
      </c>
      <c r="CE1484" t="s">
        <v>696</v>
      </c>
      <c r="CF1484" s="12">
        <v>15.74</v>
      </c>
      <c r="CG1484" s="12">
        <v>15.74</v>
      </c>
      <c r="CJ1484" t="s">
        <v>135</v>
      </c>
      <c r="CK1484" t="s">
        <v>4224</v>
      </c>
      <c r="CL1484" t="s">
        <v>22586</v>
      </c>
      <c r="CO1484" t="s">
        <v>132</v>
      </c>
      <c r="CP1484" t="s">
        <v>114</v>
      </c>
      <c r="CQ1484" t="s">
        <v>114</v>
      </c>
      <c r="CR1484" t="s">
        <v>114</v>
      </c>
      <c r="CS1484" t="s">
        <v>114</v>
      </c>
      <c r="CT1484" t="s">
        <v>136</v>
      </c>
      <c r="CU1484" t="s">
        <v>136</v>
      </c>
      <c r="CV1484" t="s">
        <v>22587</v>
      </c>
      <c r="CW1484" s="10" t="str">
        <f>"+17722152223"</f>
        <v>+17722152223</v>
      </c>
      <c r="CX1484" t="s">
        <v>22584</v>
      </c>
      <c r="CY1484" t="s">
        <v>132</v>
      </c>
      <c r="CZ1484" t="s">
        <v>137</v>
      </c>
      <c r="DA1484" t="s">
        <v>114</v>
      </c>
      <c r="DB1484" t="s">
        <v>136</v>
      </c>
      <c r="DC1484" t="s">
        <v>136</v>
      </c>
      <c r="DD1484" t="s">
        <v>114</v>
      </c>
    </row>
    <row r="1485" spans="1:113" ht="15" customHeight="1" x14ac:dyDescent="0.25">
      <c r="A1485" t="s">
        <v>23809</v>
      </c>
      <c r="B1485" t="s">
        <v>152</v>
      </c>
      <c r="C1485" s="1">
        <v>45154.754121527774</v>
      </c>
      <c r="D1485" s="1">
        <v>45211</v>
      </c>
      <c r="E1485" t="s">
        <v>114</v>
      </c>
      <c r="F1485" t="s">
        <v>23810</v>
      </c>
      <c r="G1485" t="str">
        <f>"49-9098.00"</f>
        <v>49-9098.00</v>
      </c>
      <c r="H1485" t="s">
        <v>945</v>
      </c>
      <c r="I1485">
        <v>10</v>
      </c>
      <c r="J1485">
        <v>10</v>
      </c>
      <c r="K1485" s="1">
        <v>45229</v>
      </c>
      <c r="L1485" s="1">
        <v>45306</v>
      </c>
      <c r="M1485" s="1">
        <v>45229</v>
      </c>
      <c r="N1485" s="1">
        <v>45306</v>
      </c>
      <c r="O1485" t="s">
        <v>238</v>
      </c>
      <c r="P1485" t="s">
        <v>23811</v>
      </c>
      <c r="R1485" t="s">
        <v>23812</v>
      </c>
      <c r="S1485" t="s">
        <v>23813</v>
      </c>
      <c r="T1485" t="s">
        <v>5064</v>
      </c>
      <c r="U1485" t="s">
        <v>140</v>
      </c>
      <c r="V1485" s="8" t="str">
        <f>"33534"</f>
        <v>33534</v>
      </c>
      <c r="W1485" t="s">
        <v>118</v>
      </c>
      <c r="Y1485" s="10">
        <v>18132401986</v>
      </c>
      <c r="Z1485" s="3" t="s">
        <v>256</v>
      </c>
      <c r="AA1485">
        <v>71119</v>
      </c>
      <c r="AB1485" t="s">
        <v>14156</v>
      </c>
      <c r="AC1485" t="s">
        <v>11593</v>
      </c>
      <c r="AE1485" t="s">
        <v>2372</v>
      </c>
      <c r="AF1485" t="s">
        <v>23812</v>
      </c>
      <c r="AG1485" t="s">
        <v>23813</v>
      </c>
      <c r="AH1485" t="s">
        <v>5064</v>
      </c>
      <c r="AI1485" t="s">
        <v>140</v>
      </c>
      <c r="AJ1485" s="8" t="str">
        <f>"33534"</f>
        <v>33534</v>
      </c>
      <c r="AK1485" t="s">
        <v>118</v>
      </c>
      <c r="AM1485" s="10">
        <v>18132401986</v>
      </c>
      <c r="AN1485" s="3" t="s">
        <v>256</v>
      </c>
      <c r="AO1485" t="s">
        <v>18657</v>
      </c>
      <c r="AP1485" t="s">
        <v>248</v>
      </c>
      <c r="AQ1485" t="s">
        <v>249</v>
      </c>
      <c r="AR1485" t="s">
        <v>250</v>
      </c>
      <c r="AS1485" t="s">
        <v>251</v>
      </c>
      <c r="AT1485" t="s">
        <v>252</v>
      </c>
      <c r="AU1485" t="s">
        <v>253</v>
      </c>
      <c r="AV1485" t="s">
        <v>254</v>
      </c>
      <c r="AW1485" t="s">
        <v>127</v>
      </c>
      <c r="AX1485" s="8" t="str">
        <f>"78550"</f>
        <v>78550</v>
      </c>
      <c r="AY1485" t="s">
        <v>118</v>
      </c>
      <c r="AZ1485" t="s">
        <v>255</v>
      </c>
      <c r="BA1485" s="10">
        <v>19564408720</v>
      </c>
      <c r="BB1485" s="3" t="s">
        <v>256</v>
      </c>
      <c r="BC1485" t="s">
        <v>338</v>
      </c>
      <c r="BD1485" t="s">
        <v>258</v>
      </c>
      <c r="BG1485" t="s">
        <v>140</v>
      </c>
      <c r="BH1485" s="1">
        <v>45153.833333333336</v>
      </c>
      <c r="BI1485">
        <v>40</v>
      </c>
      <c r="BJ1485">
        <v>0</v>
      </c>
      <c r="BK1485">
        <v>8</v>
      </c>
      <c r="BL1485">
        <v>8</v>
      </c>
      <c r="BM1485">
        <v>8</v>
      </c>
      <c r="BN1485">
        <v>8</v>
      </c>
      <c r="BO1485">
        <v>8</v>
      </c>
      <c r="BP1485">
        <v>0</v>
      </c>
      <c r="BQ1485" t="str">
        <f>"9:00 AM"</f>
        <v>9:00 AM</v>
      </c>
      <c r="BR1485" t="str">
        <f>"6:00 PM"</f>
        <v>6:00 PM</v>
      </c>
      <c r="BS1485" t="s">
        <v>131</v>
      </c>
      <c r="BT1485">
        <v>0</v>
      </c>
      <c r="BU1485">
        <v>0</v>
      </c>
      <c r="BV1485" t="s">
        <v>114</v>
      </c>
      <c r="BX1485" t="s">
        <v>946</v>
      </c>
      <c r="BY1485" t="s">
        <v>23812</v>
      </c>
      <c r="CA1485" t="s">
        <v>5064</v>
      </c>
      <c r="CB1485" t="s">
        <v>140</v>
      </c>
      <c r="CC1485" s="8" t="str">
        <f>"33534"</f>
        <v>33534</v>
      </c>
      <c r="CD1485" t="s">
        <v>781</v>
      </c>
      <c r="CE1485" t="s">
        <v>467</v>
      </c>
      <c r="CF1485" s="12">
        <v>15.97</v>
      </c>
      <c r="CG1485" s="12">
        <v>15.97</v>
      </c>
      <c r="CH1485" s="12">
        <v>0</v>
      </c>
      <c r="CI1485" s="12">
        <v>0</v>
      </c>
      <c r="CJ1485" t="s">
        <v>135</v>
      </c>
      <c r="CK1485" t="s">
        <v>342</v>
      </c>
      <c r="CL1485" t="s">
        <v>23814</v>
      </c>
      <c r="CO1485" t="s">
        <v>132</v>
      </c>
      <c r="CP1485" t="s">
        <v>114</v>
      </c>
      <c r="CQ1485" t="s">
        <v>136</v>
      </c>
      <c r="CR1485" t="s">
        <v>114</v>
      </c>
      <c r="CS1485" t="s">
        <v>136</v>
      </c>
      <c r="CT1485" t="s">
        <v>136</v>
      </c>
      <c r="CU1485" t="s">
        <v>136</v>
      </c>
      <c r="CV1485" t="s">
        <v>344</v>
      </c>
      <c r="CW1485" s="10" t="str">
        <f>"+18132401986"</f>
        <v>+18132401986</v>
      </c>
      <c r="CX1485" t="s">
        <v>18657</v>
      </c>
      <c r="CY1485" t="s">
        <v>132</v>
      </c>
      <c r="CZ1485" t="s">
        <v>137</v>
      </c>
      <c r="DA1485" t="s">
        <v>114</v>
      </c>
      <c r="DB1485" t="s">
        <v>136</v>
      </c>
      <c r="DC1485" t="s">
        <v>136</v>
      </c>
      <c r="DD1485" t="s">
        <v>114</v>
      </c>
    </row>
    <row r="1486" spans="1:113" ht="15" customHeight="1" x14ac:dyDescent="0.25">
      <c r="A1486" t="s">
        <v>20462</v>
      </c>
      <c r="B1486" t="s">
        <v>152</v>
      </c>
      <c r="C1486" s="1">
        <v>45154.702946874997</v>
      </c>
      <c r="D1486" s="1">
        <v>45211</v>
      </c>
      <c r="E1486" t="s">
        <v>114</v>
      </c>
      <c r="F1486" t="s">
        <v>8104</v>
      </c>
      <c r="G1486" t="str">
        <f>"37-2011.00"</f>
        <v>37-2011.00</v>
      </c>
      <c r="H1486" t="s">
        <v>1089</v>
      </c>
      <c r="I1486">
        <v>44</v>
      </c>
      <c r="J1486">
        <v>44</v>
      </c>
      <c r="K1486" s="1">
        <v>45231</v>
      </c>
      <c r="L1486" s="1">
        <v>45383</v>
      </c>
      <c r="M1486" s="1">
        <v>45231</v>
      </c>
      <c r="N1486" s="1">
        <v>45383</v>
      </c>
      <c r="O1486" t="s">
        <v>116</v>
      </c>
      <c r="P1486" t="s">
        <v>20463</v>
      </c>
      <c r="R1486" t="s">
        <v>20464</v>
      </c>
      <c r="T1486" t="s">
        <v>2814</v>
      </c>
      <c r="U1486" t="s">
        <v>2608</v>
      </c>
      <c r="V1486" s="8" t="str">
        <f>"74146"</f>
        <v>74146</v>
      </c>
      <c r="W1486" t="s">
        <v>118</v>
      </c>
      <c r="Y1486" s="10">
        <v>19185491815</v>
      </c>
      <c r="Z1486" s="3" t="s">
        <v>256</v>
      </c>
      <c r="AA1486">
        <v>5617</v>
      </c>
      <c r="AB1486" t="s">
        <v>2815</v>
      </c>
      <c r="AC1486" t="s">
        <v>2009</v>
      </c>
      <c r="AD1486" t="s">
        <v>150</v>
      </c>
      <c r="AE1486" t="s">
        <v>2372</v>
      </c>
      <c r="AF1486" t="s">
        <v>20464</v>
      </c>
      <c r="AH1486" t="s">
        <v>2814</v>
      </c>
      <c r="AI1486" t="s">
        <v>2608</v>
      </c>
      <c r="AJ1486" s="8" t="str">
        <f>"74146"</f>
        <v>74146</v>
      </c>
      <c r="AK1486" t="s">
        <v>118</v>
      </c>
      <c r="AM1486" s="10">
        <v>19185491815</v>
      </c>
      <c r="AN1486" s="3" t="s">
        <v>256</v>
      </c>
      <c r="AO1486" t="s">
        <v>20465</v>
      </c>
      <c r="AP1486" t="s">
        <v>248</v>
      </c>
      <c r="AQ1486" t="s">
        <v>249</v>
      </c>
      <c r="AR1486" t="s">
        <v>250</v>
      </c>
      <c r="AS1486" t="s">
        <v>251</v>
      </c>
      <c r="AT1486" t="s">
        <v>252</v>
      </c>
      <c r="AU1486" t="s">
        <v>253</v>
      </c>
      <c r="AV1486" t="s">
        <v>254</v>
      </c>
      <c r="AW1486" t="s">
        <v>127</v>
      </c>
      <c r="AX1486" s="8" t="str">
        <f>"78550"</f>
        <v>78550</v>
      </c>
      <c r="AY1486" t="s">
        <v>118</v>
      </c>
      <c r="AZ1486" t="s">
        <v>255</v>
      </c>
      <c r="BA1486" s="10">
        <v>19564408720</v>
      </c>
      <c r="BB1486" s="3" t="s">
        <v>256</v>
      </c>
      <c r="BC1486" t="s">
        <v>338</v>
      </c>
      <c r="BD1486" t="s">
        <v>258</v>
      </c>
      <c r="BG1486" t="s">
        <v>2608</v>
      </c>
      <c r="BH1486" s="1">
        <v>45153.833333333336</v>
      </c>
      <c r="BI1486">
        <v>40</v>
      </c>
      <c r="BJ1486">
        <v>0</v>
      </c>
      <c r="BK1486">
        <v>8</v>
      </c>
      <c r="BL1486">
        <v>8</v>
      </c>
      <c r="BM1486">
        <v>8</v>
      </c>
      <c r="BN1486">
        <v>8</v>
      </c>
      <c r="BO1486">
        <v>8</v>
      </c>
      <c r="BP1486">
        <v>0</v>
      </c>
      <c r="BQ1486" t="str">
        <f>"10:00 PM"</f>
        <v>10:00 PM</v>
      </c>
      <c r="BR1486" t="str">
        <f>"6:00 AM"</f>
        <v>6:00 AM</v>
      </c>
      <c r="BS1486" t="s">
        <v>131</v>
      </c>
      <c r="BT1486">
        <v>0</v>
      </c>
      <c r="BU1486">
        <v>0</v>
      </c>
      <c r="BV1486" t="s">
        <v>114</v>
      </c>
      <c r="BX1486" t="s">
        <v>946</v>
      </c>
      <c r="BY1486" t="s">
        <v>20464</v>
      </c>
      <c r="CA1486" t="s">
        <v>2816</v>
      </c>
      <c r="CB1486" t="s">
        <v>2608</v>
      </c>
      <c r="CC1486" s="8" t="str">
        <f>"74146"</f>
        <v>74146</v>
      </c>
      <c r="CD1486" t="s">
        <v>2816</v>
      </c>
      <c r="CE1486" t="s">
        <v>2817</v>
      </c>
      <c r="CF1486" s="12">
        <v>14.02</v>
      </c>
      <c r="CG1486" s="12">
        <v>14.02</v>
      </c>
      <c r="CH1486" s="12">
        <v>21.03</v>
      </c>
      <c r="CI1486" s="12">
        <v>21.03</v>
      </c>
      <c r="CJ1486" t="s">
        <v>135</v>
      </c>
      <c r="CK1486" t="s">
        <v>782</v>
      </c>
      <c r="CL1486" t="s">
        <v>20466</v>
      </c>
      <c r="CO1486" t="s">
        <v>132</v>
      </c>
      <c r="CP1486" t="s">
        <v>136</v>
      </c>
      <c r="CQ1486" t="s">
        <v>136</v>
      </c>
      <c r="CR1486" t="s">
        <v>136</v>
      </c>
      <c r="CS1486" t="s">
        <v>136</v>
      </c>
      <c r="CT1486" t="s">
        <v>136</v>
      </c>
      <c r="CU1486" t="s">
        <v>136</v>
      </c>
      <c r="CV1486" t="s">
        <v>20467</v>
      </c>
      <c r="CW1486" s="10" t="str">
        <f>"+19185491815"</f>
        <v>+19185491815</v>
      </c>
      <c r="CX1486" t="s">
        <v>20465</v>
      </c>
      <c r="CY1486" t="s">
        <v>132</v>
      </c>
      <c r="CZ1486" t="s">
        <v>137</v>
      </c>
      <c r="DA1486" t="s">
        <v>114</v>
      </c>
      <c r="DB1486" t="s">
        <v>136</v>
      </c>
      <c r="DC1486" t="s">
        <v>136</v>
      </c>
      <c r="DD1486" t="s">
        <v>114</v>
      </c>
    </row>
    <row r="1487" spans="1:113" ht="15" customHeight="1" x14ac:dyDescent="0.25">
      <c r="A1487" t="s">
        <v>943</v>
      </c>
      <c r="B1487" t="s">
        <v>152</v>
      </c>
      <c r="C1487" s="1">
        <v>45152.541105208336</v>
      </c>
      <c r="D1487" s="1">
        <v>45211</v>
      </c>
      <c r="E1487" t="s">
        <v>114</v>
      </c>
      <c r="F1487" t="s">
        <v>944</v>
      </c>
      <c r="G1487" t="str">
        <f>"49-9098.00"</f>
        <v>49-9098.00</v>
      </c>
      <c r="H1487" t="s">
        <v>945</v>
      </c>
      <c r="I1487">
        <v>25</v>
      </c>
      <c r="J1487">
        <v>25</v>
      </c>
      <c r="K1487" s="1">
        <v>45231</v>
      </c>
      <c r="L1487" s="1">
        <v>45322</v>
      </c>
      <c r="M1487" s="1">
        <v>45231</v>
      </c>
      <c r="N1487" s="1">
        <v>45322</v>
      </c>
      <c r="O1487" t="s">
        <v>238</v>
      </c>
      <c r="P1487" t="s">
        <v>686</v>
      </c>
      <c r="R1487" t="s">
        <v>687</v>
      </c>
      <c r="T1487" t="s">
        <v>688</v>
      </c>
      <c r="U1487" t="s">
        <v>140</v>
      </c>
      <c r="V1487" s="8" t="str">
        <f>"34990"</f>
        <v>34990</v>
      </c>
      <c r="W1487" t="s">
        <v>118</v>
      </c>
      <c r="Y1487" s="10">
        <v>18133769942</v>
      </c>
      <c r="Z1487" s="3" t="s">
        <v>256</v>
      </c>
      <c r="AA1487">
        <v>7139</v>
      </c>
      <c r="AB1487" t="s">
        <v>689</v>
      </c>
      <c r="AC1487" t="s">
        <v>690</v>
      </c>
      <c r="AE1487" t="s">
        <v>561</v>
      </c>
      <c r="AF1487" t="s">
        <v>687</v>
      </c>
      <c r="AH1487" t="s">
        <v>688</v>
      </c>
      <c r="AI1487" t="s">
        <v>140</v>
      </c>
      <c r="AJ1487" s="8" t="str">
        <f>"34990"</f>
        <v>34990</v>
      </c>
      <c r="AK1487" t="s">
        <v>118</v>
      </c>
      <c r="AM1487" s="10">
        <v>18133769942</v>
      </c>
      <c r="AN1487" s="3" t="s">
        <v>256</v>
      </c>
      <c r="AO1487" t="s">
        <v>691</v>
      </c>
      <c r="AP1487" t="s">
        <v>248</v>
      </c>
      <c r="AQ1487" t="s">
        <v>249</v>
      </c>
      <c r="AR1487" t="s">
        <v>250</v>
      </c>
      <c r="AS1487" t="s">
        <v>251</v>
      </c>
      <c r="AT1487" t="s">
        <v>252</v>
      </c>
      <c r="AU1487" t="s">
        <v>253</v>
      </c>
      <c r="AV1487" t="s">
        <v>254</v>
      </c>
      <c r="AW1487" t="s">
        <v>127</v>
      </c>
      <c r="AX1487" s="8" t="str">
        <f>"78550"</f>
        <v>78550</v>
      </c>
      <c r="AY1487" t="s">
        <v>118</v>
      </c>
      <c r="AZ1487" t="s">
        <v>255</v>
      </c>
      <c r="BA1487" s="10">
        <v>19564408720</v>
      </c>
      <c r="BB1487" s="3" t="s">
        <v>256</v>
      </c>
      <c r="BC1487" t="s">
        <v>338</v>
      </c>
      <c r="BD1487" t="s">
        <v>258</v>
      </c>
      <c r="BG1487" t="s">
        <v>140</v>
      </c>
      <c r="BH1487" s="1">
        <v>45151.833333333336</v>
      </c>
      <c r="BI1487">
        <v>40</v>
      </c>
      <c r="BJ1487">
        <v>0</v>
      </c>
      <c r="BK1487">
        <v>8</v>
      </c>
      <c r="BL1487">
        <v>8</v>
      </c>
      <c r="BM1487">
        <v>8</v>
      </c>
      <c r="BN1487">
        <v>8</v>
      </c>
      <c r="BO1487">
        <v>8</v>
      </c>
      <c r="BP1487">
        <v>0</v>
      </c>
      <c r="BQ1487" t="str">
        <f>"8:00 AM"</f>
        <v>8:00 AM</v>
      </c>
      <c r="BR1487" t="str">
        <f>"5:00 PM"</f>
        <v>5:00 PM</v>
      </c>
      <c r="BS1487" t="s">
        <v>131</v>
      </c>
      <c r="BT1487">
        <v>0</v>
      </c>
      <c r="BU1487">
        <v>0</v>
      </c>
      <c r="BV1487" t="s">
        <v>114</v>
      </c>
      <c r="BX1487" t="s">
        <v>946</v>
      </c>
      <c r="BY1487" t="s">
        <v>947</v>
      </c>
      <c r="CA1487" t="s">
        <v>694</v>
      </c>
      <c r="CB1487" t="s">
        <v>140</v>
      </c>
      <c r="CC1487" s="8" t="str">
        <f>"34990"</f>
        <v>34990</v>
      </c>
      <c r="CD1487" t="s">
        <v>695</v>
      </c>
      <c r="CE1487" t="s">
        <v>696</v>
      </c>
      <c r="CF1487" s="12">
        <v>15.74</v>
      </c>
      <c r="CG1487" s="12">
        <v>15.74</v>
      </c>
      <c r="CH1487" s="12">
        <v>0</v>
      </c>
      <c r="CI1487" s="12">
        <v>0</v>
      </c>
      <c r="CJ1487" t="s">
        <v>135</v>
      </c>
      <c r="CK1487" t="s">
        <v>342</v>
      </c>
      <c r="CL1487" t="s">
        <v>948</v>
      </c>
      <c r="CO1487" t="s">
        <v>132</v>
      </c>
      <c r="CP1487" t="s">
        <v>114</v>
      </c>
      <c r="CQ1487" t="s">
        <v>136</v>
      </c>
      <c r="CR1487" t="s">
        <v>114</v>
      </c>
      <c r="CS1487" t="s">
        <v>136</v>
      </c>
      <c r="CT1487" t="s">
        <v>136</v>
      </c>
      <c r="CU1487" t="s">
        <v>136</v>
      </c>
      <c r="CV1487" t="s">
        <v>949</v>
      </c>
      <c r="CW1487" s="10" t="str">
        <f>"+18133769942"</f>
        <v>+18133769942</v>
      </c>
      <c r="CX1487" t="s">
        <v>691</v>
      </c>
      <c r="CY1487" t="s">
        <v>132</v>
      </c>
      <c r="CZ1487" t="s">
        <v>137</v>
      </c>
      <c r="DA1487" t="s">
        <v>114</v>
      </c>
      <c r="DB1487" t="s">
        <v>136</v>
      </c>
      <c r="DC1487" t="s">
        <v>136</v>
      </c>
      <c r="DD1487" t="s">
        <v>114</v>
      </c>
    </row>
    <row r="1488" spans="1:113" ht="15" customHeight="1" x14ac:dyDescent="0.25">
      <c r="A1488" t="s">
        <v>11826</v>
      </c>
      <c r="B1488" t="s">
        <v>152</v>
      </c>
      <c r="C1488" s="1">
        <v>45150.454675578701</v>
      </c>
      <c r="D1488" s="1">
        <v>45211</v>
      </c>
      <c r="E1488" t="s">
        <v>114</v>
      </c>
      <c r="F1488" t="s">
        <v>1059</v>
      </c>
      <c r="G1488" t="str">
        <f>"35-2014.00"</f>
        <v>35-2014.00</v>
      </c>
      <c r="H1488" t="s">
        <v>154</v>
      </c>
      <c r="I1488">
        <v>12</v>
      </c>
      <c r="J1488">
        <v>12</v>
      </c>
      <c r="K1488" s="1">
        <v>45240</v>
      </c>
      <c r="L1488" s="1">
        <v>45398</v>
      </c>
      <c r="M1488" s="1">
        <v>45240</v>
      </c>
      <c r="N1488" s="1">
        <v>45398</v>
      </c>
      <c r="O1488" t="s">
        <v>116</v>
      </c>
      <c r="P1488" t="s">
        <v>721</v>
      </c>
      <c r="Q1488" t="s">
        <v>722</v>
      </c>
      <c r="R1488" t="s">
        <v>723</v>
      </c>
      <c r="T1488" t="s">
        <v>724</v>
      </c>
      <c r="U1488" t="s">
        <v>402</v>
      </c>
      <c r="V1488" s="8" t="str">
        <f>"96150"</f>
        <v>96150</v>
      </c>
      <c r="W1488" t="s">
        <v>118</v>
      </c>
      <c r="Y1488" s="10">
        <v>13034041800</v>
      </c>
      <c r="AA1488">
        <v>713920</v>
      </c>
      <c r="AB1488" t="s">
        <v>507</v>
      </c>
      <c r="AC1488" t="s">
        <v>508</v>
      </c>
      <c r="AE1488" t="s">
        <v>509</v>
      </c>
      <c r="AF1488" t="s">
        <v>510</v>
      </c>
      <c r="AH1488" t="s">
        <v>511</v>
      </c>
      <c r="AI1488" t="s">
        <v>188</v>
      </c>
      <c r="AJ1488" s="8" t="str">
        <f>"80021"</f>
        <v>80021</v>
      </c>
      <c r="AK1488" t="s">
        <v>118</v>
      </c>
      <c r="AM1488" s="10">
        <v>13034041800</v>
      </c>
      <c r="AO1488" t="s">
        <v>512</v>
      </c>
      <c r="AP1488" t="s">
        <v>121</v>
      </c>
      <c r="AQ1488" t="s">
        <v>513</v>
      </c>
      <c r="AR1488" t="s">
        <v>514</v>
      </c>
      <c r="AS1488" t="s">
        <v>515</v>
      </c>
      <c r="AT1488" t="s">
        <v>516</v>
      </c>
      <c r="AU1488" t="s">
        <v>517</v>
      </c>
      <c r="AV1488" t="s">
        <v>518</v>
      </c>
      <c r="AW1488" t="s">
        <v>402</v>
      </c>
      <c r="AX1488" s="8" t="str">
        <f>"90071"</f>
        <v>90071</v>
      </c>
      <c r="AY1488" t="s">
        <v>118</v>
      </c>
      <c r="BA1488" s="10">
        <v>13108203322</v>
      </c>
      <c r="BC1488" t="s">
        <v>519</v>
      </c>
      <c r="BD1488" t="s">
        <v>520</v>
      </c>
      <c r="BE1488" t="s">
        <v>188</v>
      </c>
      <c r="BF1488" t="s">
        <v>172</v>
      </c>
      <c r="BG1488" t="s">
        <v>402</v>
      </c>
      <c r="BH1488" s="1">
        <v>45142.833333333336</v>
      </c>
      <c r="BI1488">
        <v>35</v>
      </c>
      <c r="BJ1488">
        <v>5</v>
      </c>
      <c r="BK1488">
        <v>5</v>
      </c>
      <c r="BL1488">
        <v>5</v>
      </c>
      <c r="BM1488">
        <v>5</v>
      </c>
      <c r="BN1488">
        <v>5</v>
      </c>
      <c r="BO1488">
        <v>5</v>
      </c>
      <c r="BP1488">
        <v>5</v>
      </c>
      <c r="BQ1488" t="str">
        <f>"8:00 AM"</f>
        <v>8:00 AM</v>
      </c>
      <c r="BR1488" t="str">
        <f>"11:00 PM"</f>
        <v>11:00 PM</v>
      </c>
      <c r="BS1488" t="s">
        <v>131</v>
      </c>
      <c r="BT1488">
        <v>0</v>
      </c>
      <c r="BU1488">
        <v>24</v>
      </c>
      <c r="BV1488" t="s">
        <v>114</v>
      </c>
      <c r="BX1488" s="2" t="s">
        <v>1082</v>
      </c>
      <c r="BY1488" t="s">
        <v>723</v>
      </c>
      <c r="CA1488" t="s">
        <v>724</v>
      </c>
      <c r="CB1488" t="s">
        <v>402</v>
      </c>
      <c r="CC1488" s="8" t="str">
        <f>"96150"</f>
        <v>96150</v>
      </c>
      <c r="CD1488" t="s">
        <v>727</v>
      </c>
      <c r="CE1488" t="s">
        <v>728</v>
      </c>
      <c r="CF1488" s="12">
        <v>22</v>
      </c>
      <c r="CG1488" s="12">
        <v>24.49</v>
      </c>
      <c r="CH1488" s="12">
        <v>33</v>
      </c>
      <c r="CI1488" s="12">
        <v>36.74</v>
      </c>
      <c r="CJ1488" t="s">
        <v>135</v>
      </c>
      <c r="CK1488" t="s">
        <v>1094</v>
      </c>
      <c r="CL1488" t="s">
        <v>11827</v>
      </c>
      <c r="CO1488" t="s">
        <v>132</v>
      </c>
      <c r="CP1488" t="s">
        <v>136</v>
      </c>
      <c r="CQ1488" t="s">
        <v>114</v>
      </c>
      <c r="CR1488" t="s">
        <v>136</v>
      </c>
      <c r="CS1488" t="s">
        <v>114</v>
      </c>
      <c r="CT1488" t="s">
        <v>136</v>
      </c>
      <c r="CU1488" t="s">
        <v>136</v>
      </c>
      <c r="CV1488" t="s">
        <v>11828</v>
      </c>
      <c r="CW1488" s="10" t="str">
        <f>"+13034041800"</f>
        <v>+13034041800</v>
      </c>
      <c r="CX1488" t="s">
        <v>512</v>
      </c>
      <c r="CY1488" t="s">
        <v>132</v>
      </c>
      <c r="CZ1488" t="s">
        <v>137</v>
      </c>
      <c r="DA1488" t="s">
        <v>114</v>
      </c>
      <c r="DB1488" t="s">
        <v>114</v>
      </c>
      <c r="DC1488" t="s">
        <v>136</v>
      </c>
      <c r="DD1488" t="s">
        <v>114</v>
      </c>
      <c r="DE1488" t="s">
        <v>527</v>
      </c>
      <c r="DF1488" t="s">
        <v>528</v>
      </c>
      <c r="DG1488" t="s">
        <v>732</v>
      </c>
      <c r="DH1488" t="s">
        <v>11829</v>
      </c>
      <c r="DI1488" t="s">
        <v>529</v>
      </c>
    </row>
    <row r="1489" spans="1:113" ht="15" customHeight="1" x14ac:dyDescent="0.25">
      <c r="A1489" t="s">
        <v>4303</v>
      </c>
      <c r="B1489" t="s">
        <v>152</v>
      </c>
      <c r="C1489" s="1">
        <v>45149.420156134256</v>
      </c>
      <c r="D1489" s="1">
        <v>45211</v>
      </c>
      <c r="E1489" t="s">
        <v>114</v>
      </c>
      <c r="F1489" t="s">
        <v>4218</v>
      </c>
      <c r="G1489" t="str">
        <f>"49-9098.00"</f>
        <v>49-9098.00</v>
      </c>
      <c r="H1489" t="s">
        <v>945</v>
      </c>
      <c r="I1489">
        <v>5</v>
      </c>
      <c r="J1489">
        <v>5</v>
      </c>
      <c r="K1489" s="1">
        <v>45239</v>
      </c>
      <c r="L1489" s="1">
        <v>45322</v>
      </c>
      <c r="M1489" s="1">
        <v>45239</v>
      </c>
      <c r="N1489" s="1">
        <v>45322</v>
      </c>
      <c r="O1489" t="s">
        <v>238</v>
      </c>
      <c r="P1489" t="s">
        <v>4304</v>
      </c>
      <c r="R1489" t="s">
        <v>4305</v>
      </c>
      <c r="T1489" t="s">
        <v>4306</v>
      </c>
      <c r="U1489" t="s">
        <v>1722</v>
      </c>
      <c r="V1489" s="8" t="str">
        <f>"21771"</f>
        <v>21771</v>
      </c>
      <c r="W1489" t="s">
        <v>118</v>
      </c>
      <c r="Y1489" s="10">
        <v>13013705820</v>
      </c>
      <c r="AA1489">
        <v>71399</v>
      </c>
      <c r="AB1489" t="s">
        <v>4307</v>
      </c>
      <c r="AC1489" t="s">
        <v>986</v>
      </c>
      <c r="AD1489" t="s">
        <v>150</v>
      </c>
      <c r="AE1489" t="s">
        <v>629</v>
      </c>
      <c r="AF1489" t="s">
        <v>4308</v>
      </c>
      <c r="AH1489" t="s">
        <v>4306</v>
      </c>
      <c r="AI1489" t="s">
        <v>1722</v>
      </c>
      <c r="AJ1489" s="8" t="str">
        <f>"21771"</f>
        <v>21771</v>
      </c>
      <c r="AK1489" t="s">
        <v>118</v>
      </c>
      <c r="AM1489" s="10">
        <v>13013705820</v>
      </c>
      <c r="AO1489" t="s">
        <v>4309</v>
      </c>
      <c r="AP1489" t="s">
        <v>121</v>
      </c>
      <c r="AQ1489" t="s">
        <v>1718</v>
      </c>
      <c r="AR1489" t="s">
        <v>708</v>
      </c>
      <c r="AS1489" t="s">
        <v>1719</v>
      </c>
      <c r="AT1489" t="s">
        <v>1720</v>
      </c>
      <c r="AU1489" t="s">
        <v>799</v>
      </c>
      <c r="AV1489" t="s">
        <v>1721</v>
      </c>
      <c r="AW1489" t="s">
        <v>1722</v>
      </c>
      <c r="AX1489" s="8" t="str">
        <f>"21401"</f>
        <v>21401</v>
      </c>
      <c r="AY1489" t="s">
        <v>118</v>
      </c>
      <c r="BA1489" s="10">
        <v>14105739955</v>
      </c>
      <c r="BB1489">
        <v>0</v>
      </c>
      <c r="BC1489" t="s">
        <v>1723</v>
      </c>
      <c r="BD1489" t="s">
        <v>1724</v>
      </c>
      <c r="BE1489" t="s">
        <v>1722</v>
      </c>
      <c r="BF1489" t="s">
        <v>1725</v>
      </c>
      <c r="BG1489" t="s">
        <v>1722</v>
      </c>
      <c r="BH1489" s="1">
        <v>45137.833333333336</v>
      </c>
      <c r="BI1489">
        <v>35</v>
      </c>
      <c r="BJ1489">
        <v>0</v>
      </c>
      <c r="BK1489">
        <v>7</v>
      </c>
      <c r="BL1489">
        <v>7</v>
      </c>
      <c r="BM1489">
        <v>7</v>
      </c>
      <c r="BN1489">
        <v>7</v>
      </c>
      <c r="BO1489">
        <v>7</v>
      </c>
      <c r="BP1489">
        <v>0</v>
      </c>
      <c r="BQ1489" t="str">
        <f>"8:30 AM"</f>
        <v>8:30 AM</v>
      </c>
      <c r="BR1489" t="str">
        <f>"5:00 PM"</f>
        <v>5:00 PM</v>
      </c>
      <c r="BS1489" t="s">
        <v>131</v>
      </c>
      <c r="BT1489">
        <v>0</v>
      </c>
      <c r="BU1489">
        <v>0</v>
      </c>
      <c r="BV1489" t="s">
        <v>114</v>
      </c>
      <c r="BX1489" s="2" t="s">
        <v>4310</v>
      </c>
      <c r="BY1489" t="s">
        <v>4308</v>
      </c>
      <c r="CA1489" t="s">
        <v>4306</v>
      </c>
      <c r="CB1489" t="s">
        <v>1722</v>
      </c>
      <c r="CC1489" s="8" t="str">
        <f>"21771"</f>
        <v>21771</v>
      </c>
      <c r="CD1489" t="s">
        <v>2597</v>
      </c>
      <c r="CE1489" t="s">
        <v>1992</v>
      </c>
      <c r="CF1489" s="12">
        <v>16.260000000000002</v>
      </c>
      <c r="CG1489" s="12">
        <v>16.260000000000002</v>
      </c>
      <c r="CJ1489" t="s">
        <v>135</v>
      </c>
      <c r="CK1489" t="s">
        <v>4224</v>
      </c>
      <c r="CL1489" t="s">
        <v>4311</v>
      </c>
      <c r="CO1489" t="s">
        <v>132</v>
      </c>
      <c r="CP1489" t="s">
        <v>114</v>
      </c>
      <c r="CQ1489" t="s">
        <v>114</v>
      </c>
      <c r="CR1489" t="s">
        <v>114</v>
      </c>
      <c r="CS1489" t="s">
        <v>114</v>
      </c>
      <c r="CT1489" t="s">
        <v>136</v>
      </c>
      <c r="CU1489" t="s">
        <v>136</v>
      </c>
      <c r="CV1489" t="s">
        <v>4312</v>
      </c>
      <c r="CW1489" s="10" t="str">
        <f>"+13013705820"</f>
        <v>+13013705820</v>
      </c>
      <c r="CX1489" t="s">
        <v>4309</v>
      </c>
      <c r="CY1489" t="s">
        <v>132</v>
      </c>
      <c r="CZ1489" t="s">
        <v>137</v>
      </c>
      <c r="DA1489" t="s">
        <v>114</v>
      </c>
      <c r="DB1489" t="s">
        <v>114</v>
      </c>
      <c r="DC1489" t="s">
        <v>136</v>
      </c>
      <c r="DD1489" t="s">
        <v>114</v>
      </c>
    </row>
    <row r="1490" spans="1:113" ht="15" customHeight="1" x14ac:dyDescent="0.25">
      <c r="A1490" t="s">
        <v>14366</v>
      </c>
      <c r="B1490" t="s">
        <v>152</v>
      </c>
      <c r="C1490" s="1">
        <v>45147.566510532408</v>
      </c>
      <c r="D1490" s="1">
        <v>45211</v>
      </c>
      <c r="E1490" t="s">
        <v>114</v>
      </c>
      <c r="F1490" t="s">
        <v>2086</v>
      </c>
      <c r="G1490" t="str">
        <f>"37-3011.00"</f>
        <v>37-3011.00</v>
      </c>
      <c r="H1490" t="s">
        <v>429</v>
      </c>
      <c r="I1490">
        <v>2</v>
      </c>
      <c r="J1490">
        <v>2</v>
      </c>
      <c r="K1490" s="1">
        <v>45222</v>
      </c>
      <c r="L1490" s="1">
        <v>45382</v>
      </c>
      <c r="M1490" s="1">
        <v>45222</v>
      </c>
      <c r="N1490" s="1">
        <v>45382</v>
      </c>
      <c r="O1490" t="s">
        <v>238</v>
      </c>
      <c r="P1490" t="s">
        <v>14367</v>
      </c>
      <c r="R1490" t="s">
        <v>14368</v>
      </c>
      <c r="T1490" t="s">
        <v>12739</v>
      </c>
      <c r="U1490" t="s">
        <v>169</v>
      </c>
      <c r="V1490" s="8" t="str">
        <f>"55318"</f>
        <v>55318</v>
      </c>
      <c r="W1490" t="s">
        <v>118</v>
      </c>
      <c r="Y1490" s="10">
        <v>19522334004</v>
      </c>
      <c r="AA1490">
        <v>56173</v>
      </c>
      <c r="AB1490" t="s">
        <v>14369</v>
      </c>
      <c r="AC1490" t="s">
        <v>1772</v>
      </c>
      <c r="AE1490" t="s">
        <v>1799</v>
      </c>
      <c r="AF1490" t="s">
        <v>14368</v>
      </c>
      <c r="AH1490" t="s">
        <v>12739</v>
      </c>
      <c r="AI1490" t="s">
        <v>169</v>
      </c>
      <c r="AJ1490" s="8" t="str">
        <f>"55318"</f>
        <v>55318</v>
      </c>
      <c r="AK1490" t="s">
        <v>118</v>
      </c>
      <c r="AM1490" s="10">
        <v>19522334004</v>
      </c>
      <c r="AO1490" t="s">
        <v>14370</v>
      </c>
      <c r="AP1490" t="s">
        <v>121</v>
      </c>
      <c r="AQ1490" t="s">
        <v>989</v>
      </c>
      <c r="AR1490" t="s">
        <v>244</v>
      </c>
      <c r="AS1490" t="s">
        <v>990</v>
      </c>
      <c r="AT1490" t="s">
        <v>991</v>
      </c>
      <c r="AV1490" t="s">
        <v>992</v>
      </c>
      <c r="AW1490" t="s">
        <v>993</v>
      </c>
      <c r="AX1490" s="8" t="str">
        <f>"54301"</f>
        <v>54301</v>
      </c>
      <c r="AY1490" t="s">
        <v>118</v>
      </c>
      <c r="BA1490" s="10">
        <v>18004140978</v>
      </c>
      <c r="BC1490" t="s">
        <v>994</v>
      </c>
      <c r="BD1490" t="s">
        <v>995</v>
      </c>
      <c r="BE1490" t="s">
        <v>581</v>
      </c>
      <c r="BF1490" t="s">
        <v>996</v>
      </c>
      <c r="BG1490" t="s">
        <v>169</v>
      </c>
      <c r="BH1490" s="1">
        <v>45146.833333333336</v>
      </c>
      <c r="BI1490">
        <v>40</v>
      </c>
      <c r="BJ1490">
        <v>0</v>
      </c>
      <c r="BK1490">
        <v>8</v>
      </c>
      <c r="BL1490">
        <v>8</v>
      </c>
      <c r="BM1490">
        <v>8</v>
      </c>
      <c r="BN1490">
        <v>8</v>
      </c>
      <c r="BO1490">
        <v>8</v>
      </c>
      <c r="BP1490">
        <v>0</v>
      </c>
      <c r="BQ1490" t="str">
        <f>"7:00 AM"</f>
        <v>7:00 AM</v>
      </c>
      <c r="BR1490" t="str">
        <f>"5:00 PM"</f>
        <v>5:00 PM</v>
      </c>
      <c r="BS1490" t="s">
        <v>131</v>
      </c>
      <c r="BT1490">
        <v>0</v>
      </c>
      <c r="BU1490">
        <v>0</v>
      </c>
      <c r="BV1490" t="s">
        <v>114</v>
      </c>
      <c r="BX1490" s="2" t="s">
        <v>14371</v>
      </c>
      <c r="BY1490" t="s">
        <v>14368</v>
      </c>
      <c r="CA1490" t="s">
        <v>12739</v>
      </c>
      <c r="CB1490" t="s">
        <v>169</v>
      </c>
      <c r="CC1490" s="8" t="str">
        <f>"55318"</f>
        <v>55318</v>
      </c>
      <c r="CD1490" t="s">
        <v>12741</v>
      </c>
      <c r="CE1490" t="s">
        <v>1910</v>
      </c>
      <c r="CF1490" s="12">
        <v>19.96</v>
      </c>
      <c r="CG1490" s="12">
        <v>21</v>
      </c>
      <c r="CH1490" s="12">
        <v>29.94</v>
      </c>
      <c r="CI1490" s="12">
        <v>31.5</v>
      </c>
      <c r="CJ1490" t="s">
        <v>135</v>
      </c>
      <c r="CK1490" t="s">
        <v>999</v>
      </c>
      <c r="CL1490" t="s">
        <v>14372</v>
      </c>
      <c r="CO1490" t="s">
        <v>132</v>
      </c>
      <c r="CP1490" t="s">
        <v>136</v>
      </c>
      <c r="CQ1490" t="s">
        <v>136</v>
      </c>
      <c r="CR1490" t="s">
        <v>136</v>
      </c>
      <c r="CS1490" t="s">
        <v>136</v>
      </c>
      <c r="CT1490" t="s">
        <v>136</v>
      </c>
      <c r="CU1490" t="s">
        <v>136</v>
      </c>
      <c r="CV1490" s="2" t="s">
        <v>14373</v>
      </c>
      <c r="CW1490" s="10" t="str">
        <f>"+19522334004"</f>
        <v>+19522334004</v>
      </c>
      <c r="CX1490" t="s">
        <v>12740</v>
      </c>
      <c r="CY1490" t="s">
        <v>132</v>
      </c>
      <c r="CZ1490" t="s">
        <v>137</v>
      </c>
      <c r="DA1490" t="s">
        <v>114</v>
      </c>
      <c r="DB1490" t="s">
        <v>114</v>
      </c>
      <c r="DC1490" t="s">
        <v>136</v>
      </c>
      <c r="DD1490" t="s">
        <v>114</v>
      </c>
    </row>
    <row r="1491" spans="1:113" ht="15" customHeight="1" x14ac:dyDescent="0.25">
      <c r="A1491" t="s">
        <v>14325</v>
      </c>
      <c r="B1491" t="s">
        <v>152</v>
      </c>
      <c r="C1491" s="1">
        <v>45146.680685069441</v>
      </c>
      <c r="D1491" s="1">
        <v>45211</v>
      </c>
      <c r="E1491" t="s">
        <v>114</v>
      </c>
      <c r="F1491" t="s">
        <v>4017</v>
      </c>
      <c r="G1491" t="str">
        <f>"39-2021.00"</f>
        <v>39-2021.00</v>
      </c>
      <c r="H1491" t="s">
        <v>2895</v>
      </c>
      <c r="I1491">
        <v>6</v>
      </c>
      <c r="J1491">
        <v>6</v>
      </c>
      <c r="K1491" s="1">
        <v>45231</v>
      </c>
      <c r="L1491" s="1">
        <v>45535</v>
      </c>
      <c r="M1491" s="1">
        <v>45231</v>
      </c>
      <c r="N1491" s="1">
        <v>45535</v>
      </c>
      <c r="O1491" t="s">
        <v>238</v>
      </c>
      <c r="P1491" t="s">
        <v>14326</v>
      </c>
      <c r="R1491" t="s">
        <v>14327</v>
      </c>
      <c r="T1491" t="s">
        <v>14328</v>
      </c>
      <c r="U1491" t="s">
        <v>358</v>
      </c>
      <c r="V1491" s="8" t="str">
        <f>"11010"</f>
        <v>11010</v>
      </c>
      <c r="W1491" t="s">
        <v>118</v>
      </c>
      <c r="Y1491" s="10">
        <v>13056065250</v>
      </c>
      <c r="AA1491">
        <v>711212</v>
      </c>
      <c r="AB1491" t="s">
        <v>14329</v>
      </c>
      <c r="AC1491" t="s">
        <v>955</v>
      </c>
      <c r="AE1491" t="s">
        <v>3852</v>
      </c>
      <c r="AF1491" t="s">
        <v>14327</v>
      </c>
      <c r="AH1491" t="s">
        <v>14328</v>
      </c>
      <c r="AI1491" t="s">
        <v>358</v>
      </c>
      <c r="AJ1491" s="8" t="str">
        <f>"11010"</f>
        <v>11010</v>
      </c>
      <c r="AK1491" t="s">
        <v>118</v>
      </c>
      <c r="AM1491" s="10">
        <v>13056065250</v>
      </c>
      <c r="AO1491" t="s">
        <v>14330</v>
      </c>
      <c r="AP1491" t="s">
        <v>121</v>
      </c>
      <c r="AQ1491" t="s">
        <v>3854</v>
      </c>
      <c r="AR1491" t="s">
        <v>144</v>
      </c>
      <c r="AS1491" t="s">
        <v>3855</v>
      </c>
      <c r="AT1491" t="s">
        <v>2605</v>
      </c>
      <c r="AU1491" t="s">
        <v>2606</v>
      </c>
      <c r="AV1491" t="s">
        <v>2607</v>
      </c>
      <c r="AW1491" t="s">
        <v>2608</v>
      </c>
      <c r="AX1491" s="8" t="str">
        <f>"73069"</f>
        <v>73069</v>
      </c>
      <c r="AY1491" t="s">
        <v>118</v>
      </c>
      <c r="BA1491" s="10">
        <v>14053642525</v>
      </c>
      <c r="BC1491" t="s">
        <v>2609</v>
      </c>
      <c r="BD1491" t="s">
        <v>2610</v>
      </c>
      <c r="BE1491" t="s">
        <v>2608</v>
      </c>
      <c r="BF1491" t="s">
        <v>2611</v>
      </c>
      <c r="BG1491" t="s">
        <v>358</v>
      </c>
      <c r="BH1491" s="1">
        <v>45140.833333333336</v>
      </c>
      <c r="BI1491">
        <v>56</v>
      </c>
      <c r="BJ1491">
        <v>8</v>
      </c>
      <c r="BK1491">
        <v>8</v>
      </c>
      <c r="BL1491">
        <v>8</v>
      </c>
      <c r="BM1491">
        <v>8</v>
      </c>
      <c r="BN1491">
        <v>8</v>
      </c>
      <c r="BO1491">
        <v>8</v>
      </c>
      <c r="BP1491">
        <v>8</v>
      </c>
      <c r="BQ1491" t="str">
        <f>"5:00 AM"</f>
        <v>5:00 AM</v>
      </c>
      <c r="BR1491" t="str">
        <f>"5:00 PM"</f>
        <v>5:00 PM</v>
      </c>
      <c r="BS1491" t="s">
        <v>131</v>
      </c>
      <c r="BT1491">
        <v>0</v>
      </c>
      <c r="BU1491">
        <v>1</v>
      </c>
      <c r="BV1491" t="s">
        <v>114</v>
      </c>
      <c r="BX1491" s="2" t="s">
        <v>2870</v>
      </c>
      <c r="BY1491" t="s">
        <v>14331</v>
      </c>
      <c r="BZ1491" t="s">
        <v>14332</v>
      </c>
      <c r="CA1491" t="s">
        <v>14333</v>
      </c>
      <c r="CB1491" t="s">
        <v>358</v>
      </c>
      <c r="CC1491" s="8" t="str">
        <f>"11420"</f>
        <v>11420</v>
      </c>
      <c r="CD1491" t="s">
        <v>14334</v>
      </c>
      <c r="CE1491" t="s">
        <v>1418</v>
      </c>
      <c r="CF1491" s="12">
        <v>16.739999999999998</v>
      </c>
      <c r="CG1491" s="12">
        <v>16.739999999999998</v>
      </c>
      <c r="CH1491" s="12">
        <v>24.11</v>
      </c>
      <c r="CI1491" s="12">
        <v>24.11</v>
      </c>
      <c r="CJ1491" t="s">
        <v>135</v>
      </c>
      <c r="CL1491" t="s">
        <v>14335</v>
      </c>
      <c r="CO1491" t="s">
        <v>132</v>
      </c>
      <c r="CP1491" t="s">
        <v>114</v>
      </c>
      <c r="CQ1491" t="s">
        <v>114</v>
      </c>
      <c r="CR1491" t="s">
        <v>136</v>
      </c>
      <c r="CS1491" t="s">
        <v>114</v>
      </c>
      <c r="CT1491" t="s">
        <v>136</v>
      </c>
      <c r="CU1491" t="s">
        <v>136</v>
      </c>
      <c r="CV1491" t="s">
        <v>14336</v>
      </c>
      <c r="CW1491" s="10" t="str">
        <f>"+17185576755"</f>
        <v>+17185576755</v>
      </c>
      <c r="CX1491" t="s">
        <v>14330</v>
      </c>
      <c r="CY1491" t="s">
        <v>132</v>
      </c>
      <c r="CZ1491" t="s">
        <v>137</v>
      </c>
      <c r="DA1491" t="s">
        <v>114</v>
      </c>
      <c r="DB1491" t="s">
        <v>114</v>
      </c>
      <c r="DC1491" t="s">
        <v>136</v>
      </c>
      <c r="DD1491" t="s">
        <v>114</v>
      </c>
    </row>
    <row r="1492" spans="1:113" ht="15" customHeight="1" x14ac:dyDescent="0.25">
      <c r="A1492" t="s">
        <v>15454</v>
      </c>
      <c r="B1492" t="s">
        <v>152</v>
      </c>
      <c r="C1492" s="1">
        <v>45146.669592939812</v>
      </c>
      <c r="D1492" s="1">
        <v>45211</v>
      </c>
      <c r="E1492" t="s">
        <v>136</v>
      </c>
      <c r="F1492" t="s">
        <v>1689</v>
      </c>
      <c r="G1492" t="str">
        <f>"37-2012.00"</f>
        <v>37-2012.00</v>
      </c>
      <c r="H1492" t="s">
        <v>205</v>
      </c>
      <c r="I1492">
        <v>30</v>
      </c>
      <c r="J1492">
        <v>30</v>
      </c>
      <c r="K1492" s="1">
        <v>45231</v>
      </c>
      <c r="L1492" s="1">
        <v>45407</v>
      </c>
      <c r="M1492" s="1">
        <v>45231</v>
      </c>
      <c r="N1492" s="1">
        <v>45407</v>
      </c>
      <c r="O1492" t="s">
        <v>238</v>
      </c>
      <c r="P1492" t="s">
        <v>887</v>
      </c>
      <c r="Q1492" t="s">
        <v>888</v>
      </c>
      <c r="R1492" t="s">
        <v>889</v>
      </c>
      <c r="S1492" t="s">
        <v>890</v>
      </c>
      <c r="T1492" t="s">
        <v>891</v>
      </c>
      <c r="U1492" t="s">
        <v>892</v>
      </c>
      <c r="V1492" s="8" t="str">
        <f>"59716"</f>
        <v>59716</v>
      </c>
      <c r="W1492" t="s">
        <v>118</v>
      </c>
      <c r="X1492" t="s">
        <v>132</v>
      </c>
      <c r="Y1492" s="10">
        <v>14069955823</v>
      </c>
      <c r="AA1492">
        <v>721110</v>
      </c>
      <c r="AB1492" t="s">
        <v>893</v>
      </c>
      <c r="AC1492" t="s">
        <v>894</v>
      </c>
      <c r="AE1492" t="s">
        <v>895</v>
      </c>
      <c r="AF1492" t="s">
        <v>889</v>
      </c>
      <c r="AG1492" t="s">
        <v>890</v>
      </c>
      <c r="AH1492" t="s">
        <v>891</v>
      </c>
      <c r="AI1492" t="s">
        <v>892</v>
      </c>
      <c r="AJ1492" s="8" t="str">
        <f>"59716"</f>
        <v>59716</v>
      </c>
      <c r="AK1492" t="s">
        <v>118</v>
      </c>
      <c r="AM1492" s="10">
        <v>14069955823</v>
      </c>
      <c r="AO1492" t="s">
        <v>897</v>
      </c>
      <c r="AP1492" t="s">
        <v>121</v>
      </c>
      <c r="AQ1492" t="s">
        <v>898</v>
      </c>
      <c r="AR1492" t="s">
        <v>3877</v>
      </c>
      <c r="AT1492" t="s">
        <v>900</v>
      </c>
      <c r="AU1492" t="s">
        <v>901</v>
      </c>
      <c r="AV1492" t="s">
        <v>902</v>
      </c>
      <c r="AW1492" t="s">
        <v>903</v>
      </c>
      <c r="AX1492" s="8" t="str">
        <f>"04101"</f>
        <v>04101</v>
      </c>
      <c r="AY1492" t="s">
        <v>118</v>
      </c>
      <c r="BA1492" s="10">
        <v>12077913260</v>
      </c>
      <c r="BC1492" t="s">
        <v>904</v>
      </c>
      <c r="BD1492" t="s">
        <v>905</v>
      </c>
      <c r="BE1492" t="s">
        <v>903</v>
      </c>
      <c r="BF1492" t="s">
        <v>906</v>
      </c>
      <c r="BG1492" t="s">
        <v>892</v>
      </c>
      <c r="BH1492" s="1">
        <v>45145.833333333336</v>
      </c>
      <c r="BI1492">
        <v>35</v>
      </c>
      <c r="BJ1492">
        <v>0</v>
      </c>
      <c r="BK1492">
        <v>7</v>
      </c>
      <c r="BL1492">
        <v>7</v>
      </c>
      <c r="BM1492">
        <v>7</v>
      </c>
      <c r="BN1492">
        <v>7</v>
      </c>
      <c r="BO1492">
        <v>7</v>
      </c>
      <c r="BP1492">
        <v>0</v>
      </c>
      <c r="BQ1492" t="str">
        <f>"8:00 AM"</f>
        <v>8:00 AM</v>
      </c>
      <c r="BR1492" t="str">
        <f>"3:00 PM"</f>
        <v>3:00 PM</v>
      </c>
      <c r="BS1492" t="s">
        <v>131</v>
      </c>
      <c r="BT1492">
        <v>0</v>
      </c>
      <c r="BU1492">
        <v>3</v>
      </c>
      <c r="BV1492" t="s">
        <v>114</v>
      </c>
      <c r="BX1492" t="s">
        <v>15455</v>
      </c>
      <c r="BY1492" t="s">
        <v>889</v>
      </c>
      <c r="CA1492" t="s">
        <v>891</v>
      </c>
      <c r="CB1492" t="s">
        <v>892</v>
      </c>
      <c r="CC1492" s="8" t="str">
        <f>"59716"</f>
        <v>59716</v>
      </c>
      <c r="CD1492" t="s">
        <v>908</v>
      </c>
      <c r="CE1492" t="s">
        <v>909</v>
      </c>
      <c r="CF1492" s="12">
        <v>13.69</v>
      </c>
      <c r="CG1492" s="12">
        <v>13.69</v>
      </c>
      <c r="CH1492" s="12">
        <v>20.54</v>
      </c>
      <c r="CI1492" s="12">
        <v>20.54</v>
      </c>
      <c r="CJ1492" t="s">
        <v>135</v>
      </c>
      <c r="CK1492" t="s">
        <v>15456</v>
      </c>
      <c r="CL1492" t="s">
        <v>15457</v>
      </c>
      <c r="CO1492" t="s">
        <v>132</v>
      </c>
      <c r="CP1492" t="s">
        <v>136</v>
      </c>
      <c r="CQ1492" t="s">
        <v>136</v>
      </c>
      <c r="CR1492" t="s">
        <v>136</v>
      </c>
      <c r="CS1492" t="s">
        <v>136</v>
      </c>
      <c r="CT1492" t="s">
        <v>136</v>
      </c>
      <c r="CU1492" t="s">
        <v>136</v>
      </c>
      <c r="CV1492" s="2" t="s">
        <v>15458</v>
      </c>
      <c r="CW1492" s="10" t="str">
        <f>"+14065829200"</f>
        <v>+14065829200</v>
      </c>
      <c r="CX1492" t="s">
        <v>897</v>
      </c>
      <c r="CY1492" t="s">
        <v>132</v>
      </c>
      <c r="CZ1492" t="s">
        <v>137</v>
      </c>
      <c r="DA1492" t="s">
        <v>114</v>
      </c>
      <c r="DB1492" t="s">
        <v>114</v>
      </c>
      <c r="DC1492" t="s">
        <v>136</v>
      </c>
      <c r="DD1492" t="s">
        <v>114</v>
      </c>
    </row>
    <row r="1493" spans="1:113" ht="15" customHeight="1" x14ac:dyDescent="0.25">
      <c r="A1493" t="s">
        <v>19576</v>
      </c>
      <c r="B1493" t="s">
        <v>152</v>
      </c>
      <c r="C1493" s="1">
        <v>45146.664592824076</v>
      </c>
      <c r="D1493" s="1">
        <v>45211</v>
      </c>
      <c r="E1493" t="s">
        <v>136</v>
      </c>
      <c r="F1493" t="s">
        <v>19577</v>
      </c>
      <c r="G1493" t="str">
        <f>"37-2011.00"</f>
        <v>37-2011.00</v>
      </c>
      <c r="H1493" t="s">
        <v>1089</v>
      </c>
      <c r="I1493">
        <v>15</v>
      </c>
      <c r="J1493">
        <v>15</v>
      </c>
      <c r="K1493" s="1">
        <v>45231</v>
      </c>
      <c r="L1493" s="1">
        <v>45407</v>
      </c>
      <c r="M1493" s="1">
        <v>45231</v>
      </c>
      <c r="N1493" s="1">
        <v>45407</v>
      </c>
      <c r="O1493" t="s">
        <v>238</v>
      </c>
      <c r="P1493" t="s">
        <v>887</v>
      </c>
      <c r="Q1493" t="s">
        <v>888</v>
      </c>
      <c r="R1493" t="s">
        <v>889</v>
      </c>
      <c r="S1493" t="s">
        <v>890</v>
      </c>
      <c r="T1493" t="s">
        <v>891</v>
      </c>
      <c r="U1493" t="s">
        <v>892</v>
      </c>
      <c r="V1493" s="8" t="str">
        <f>"59716"</f>
        <v>59716</v>
      </c>
      <c r="W1493" t="s">
        <v>118</v>
      </c>
      <c r="X1493" t="s">
        <v>132</v>
      </c>
      <c r="Y1493" s="10">
        <v>14069955823</v>
      </c>
      <c r="AA1493">
        <v>721110</v>
      </c>
      <c r="AB1493" t="s">
        <v>893</v>
      </c>
      <c r="AC1493" t="s">
        <v>894</v>
      </c>
      <c r="AE1493" t="s">
        <v>895</v>
      </c>
      <c r="AF1493" t="s">
        <v>889</v>
      </c>
      <c r="AG1493" t="s">
        <v>890</v>
      </c>
      <c r="AH1493" t="s">
        <v>896</v>
      </c>
      <c r="AI1493" t="s">
        <v>892</v>
      </c>
      <c r="AJ1493" s="8" t="str">
        <f>"59716"</f>
        <v>59716</v>
      </c>
      <c r="AK1493" t="s">
        <v>118</v>
      </c>
      <c r="AM1493" s="10">
        <v>14069955823</v>
      </c>
      <c r="AO1493" t="s">
        <v>897</v>
      </c>
      <c r="AP1493" t="s">
        <v>121</v>
      </c>
      <c r="AQ1493" t="s">
        <v>898</v>
      </c>
      <c r="AR1493" t="s">
        <v>899</v>
      </c>
      <c r="AT1493" t="s">
        <v>900</v>
      </c>
      <c r="AU1493" t="s">
        <v>901</v>
      </c>
      <c r="AV1493" t="s">
        <v>902</v>
      </c>
      <c r="AW1493" t="s">
        <v>903</v>
      </c>
      <c r="AX1493" s="8" t="str">
        <f>"04101"</f>
        <v>04101</v>
      </c>
      <c r="AY1493" t="s">
        <v>118</v>
      </c>
      <c r="BA1493" s="10">
        <v>12077913260</v>
      </c>
      <c r="BC1493" t="s">
        <v>904</v>
      </c>
      <c r="BD1493" t="s">
        <v>905</v>
      </c>
      <c r="BE1493" t="s">
        <v>903</v>
      </c>
      <c r="BF1493" t="s">
        <v>906</v>
      </c>
      <c r="BG1493" t="s">
        <v>892</v>
      </c>
      <c r="BH1493" s="1">
        <v>45145.833333333336</v>
      </c>
      <c r="BI1493">
        <v>35</v>
      </c>
      <c r="BJ1493">
        <v>0</v>
      </c>
      <c r="BK1493">
        <v>7</v>
      </c>
      <c r="BL1493">
        <v>7</v>
      </c>
      <c r="BM1493">
        <v>7</v>
      </c>
      <c r="BN1493">
        <v>7</v>
      </c>
      <c r="BO1493">
        <v>7</v>
      </c>
      <c r="BP1493">
        <v>0</v>
      </c>
      <c r="BQ1493" t="str">
        <f>"7:00 AM"</f>
        <v>7:00 AM</v>
      </c>
      <c r="BR1493" t="str">
        <f>"2:00 PM"</f>
        <v>2:00 PM</v>
      </c>
      <c r="BS1493" t="s">
        <v>131</v>
      </c>
      <c r="BT1493">
        <v>0</v>
      </c>
      <c r="BU1493">
        <v>3</v>
      </c>
      <c r="BV1493" t="s">
        <v>114</v>
      </c>
      <c r="BX1493" s="2" t="s">
        <v>19578</v>
      </c>
      <c r="BY1493" t="s">
        <v>889</v>
      </c>
      <c r="CA1493" t="s">
        <v>891</v>
      </c>
      <c r="CB1493" t="s">
        <v>892</v>
      </c>
      <c r="CC1493" s="8" t="str">
        <f>"59716"</f>
        <v>59716</v>
      </c>
      <c r="CD1493" t="s">
        <v>908</v>
      </c>
      <c r="CE1493" t="s">
        <v>909</v>
      </c>
      <c r="CF1493" s="12">
        <v>14.83</v>
      </c>
      <c r="CG1493" s="12">
        <v>14.83</v>
      </c>
      <c r="CH1493" s="12">
        <v>22.25</v>
      </c>
      <c r="CI1493" s="12">
        <v>22.25</v>
      </c>
      <c r="CJ1493" t="s">
        <v>135</v>
      </c>
      <c r="CK1493" t="s">
        <v>19579</v>
      </c>
      <c r="CL1493" t="s">
        <v>19580</v>
      </c>
      <c r="CO1493" t="s">
        <v>132</v>
      </c>
      <c r="CP1493" t="s">
        <v>114</v>
      </c>
      <c r="CQ1493" t="s">
        <v>136</v>
      </c>
      <c r="CR1493" t="s">
        <v>136</v>
      </c>
      <c r="CS1493" t="s">
        <v>136</v>
      </c>
      <c r="CT1493" t="s">
        <v>136</v>
      </c>
      <c r="CU1493" t="s">
        <v>136</v>
      </c>
      <c r="CV1493" s="2" t="s">
        <v>912</v>
      </c>
      <c r="CW1493" s="10" t="str">
        <f>"+14065829200"</f>
        <v>+14065829200</v>
      </c>
      <c r="CX1493" t="s">
        <v>913</v>
      </c>
      <c r="CY1493" t="s">
        <v>132</v>
      </c>
      <c r="CZ1493" t="s">
        <v>137</v>
      </c>
      <c r="DA1493" t="s">
        <v>114</v>
      </c>
      <c r="DB1493" t="s">
        <v>114</v>
      </c>
      <c r="DC1493" t="s">
        <v>136</v>
      </c>
      <c r="DD1493" t="s">
        <v>114</v>
      </c>
    </row>
    <row r="1494" spans="1:113" ht="15" customHeight="1" x14ac:dyDescent="0.25">
      <c r="A1494" t="s">
        <v>10346</v>
      </c>
      <c r="B1494" t="s">
        <v>152</v>
      </c>
      <c r="C1494" s="1">
        <v>45146.650677430553</v>
      </c>
      <c r="D1494" s="1">
        <v>45211</v>
      </c>
      <c r="E1494" t="s">
        <v>136</v>
      </c>
      <c r="F1494" t="s">
        <v>10347</v>
      </c>
      <c r="G1494" t="str">
        <f>"43-4081.00"</f>
        <v>43-4081.00</v>
      </c>
      <c r="H1494" t="s">
        <v>952</v>
      </c>
      <c r="I1494">
        <v>11</v>
      </c>
      <c r="J1494">
        <v>11</v>
      </c>
      <c r="K1494" s="1">
        <v>45231</v>
      </c>
      <c r="L1494" s="1">
        <v>45407</v>
      </c>
      <c r="M1494" s="1">
        <v>45231</v>
      </c>
      <c r="N1494" s="1">
        <v>45407</v>
      </c>
      <c r="O1494" t="s">
        <v>238</v>
      </c>
      <c r="P1494" t="s">
        <v>887</v>
      </c>
      <c r="Q1494" t="s">
        <v>888</v>
      </c>
      <c r="R1494" t="s">
        <v>889</v>
      </c>
      <c r="S1494" t="s">
        <v>890</v>
      </c>
      <c r="T1494" t="s">
        <v>891</v>
      </c>
      <c r="U1494" t="s">
        <v>892</v>
      </c>
      <c r="V1494" s="8" t="str">
        <f>"59716"</f>
        <v>59716</v>
      </c>
      <c r="W1494" t="s">
        <v>118</v>
      </c>
      <c r="X1494" t="s">
        <v>132</v>
      </c>
      <c r="Y1494" s="10">
        <v>14069955823</v>
      </c>
      <c r="AA1494">
        <v>721110</v>
      </c>
      <c r="AB1494" t="s">
        <v>893</v>
      </c>
      <c r="AC1494" t="s">
        <v>894</v>
      </c>
      <c r="AE1494" t="s">
        <v>895</v>
      </c>
      <c r="AF1494" t="s">
        <v>889</v>
      </c>
      <c r="AG1494" t="s">
        <v>890</v>
      </c>
      <c r="AH1494" t="s">
        <v>891</v>
      </c>
      <c r="AI1494" t="s">
        <v>892</v>
      </c>
      <c r="AJ1494" s="8" t="str">
        <f>"59716"</f>
        <v>59716</v>
      </c>
      <c r="AK1494" t="s">
        <v>118</v>
      </c>
      <c r="AM1494" s="10">
        <v>14069955823</v>
      </c>
      <c r="AO1494" t="s">
        <v>897</v>
      </c>
      <c r="AP1494" t="s">
        <v>121</v>
      </c>
      <c r="AQ1494" t="s">
        <v>898</v>
      </c>
      <c r="AR1494" t="s">
        <v>3877</v>
      </c>
      <c r="AT1494" t="s">
        <v>900</v>
      </c>
      <c r="AU1494" t="s">
        <v>901</v>
      </c>
      <c r="AV1494" t="s">
        <v>902</v>
      </c>
      <c r="AW1494" t="s">
        <v>903</v>
      </c>
      <c r="AX1494" s="8" t="str">
        <f>"04101"</f>
        <v>04101</v>
      </c>
      <c r="AY1494" t="s">
        <v>118</v>
      </c>
      <c r="BA1494" s="10">
        <v>12077913260</v>
      </c>
      <c r="BC1494" t="s">
        <v>904</v>
      </c>
      <c r="BD1494" t="s">
        <v>905</v>
      </c>
      <c r="BE1494" t="s">
        <v>903</v>
      </c>
      <c r="BF1494" t="s">
        <v>906</v>
      </c>
      <c r="BG1494" t="s">
        <v>892</v>
      </c>
      <c r="BH1494" s="1">
        <v>45145.833333333336</v>
      </c>
      <c r="BI1494">
        <v>35</v>
      </c>
      <c r="BJ1494">
        <v>0</v>
      </c>
      <c r="BK1494">
        <v>7</v>
      </c>
      <c r="BL1494">
        <v>7</v>
      </c>
      <c r="BM1494">
        <v>7</v>
      </c>
      <c r="BN1494">
        <v>7</v>
      </c>
      <c r="BO1494">
        <v>7</v>
      </c>
      <c r="BP1494">
        <v>0</v>
      </c>
      <c r="BQ1494" t="str">
        <f>"7:00 AM"</f>
        <v>7:00 AM</v>
      </c>
      <c r="BR1494" t="str">
        <f>"2:00 PM"</f>
        <v>2:00 PM</v>
      </c>
      <c r="BS1494" t="s">
        <v>131</v>
      </c>
      <c r="BT1494">
        <v>0</v>
      </c>
      <c r="BU1494">
        <v>3</v>
      </c>
      <c r="BV1494" t="s">
        <v>114</v>
      </c>
      <c r="BX1494" t="s">
        <v>10348</v>
      </c>
      <c r="BY1494" t="s">
        <v>889</v>
      </c>
      <c r="CA1494" t="s">
        <v>891</v>
      </c>
      <c r="CB1494" t="s">
        <v>892</v>
      </c>
      <c r="CC1494" s="8" t="str">
        <f>"59716"</f>
        <v>59716</v>
      </c>
      <c r="CD1494" t="s">
        <v>908</v>
      </c>
      <c r="CE1494" t="s">
        <v>909</v>
      </c>
      <c r="CF1494" s="12">
        <v>12.91</v>
      </c>
      <c r="CG1494" s="12">
        <v>12.91</v>
      </c>
      <c r="CH1494" s="12">
        <v>19.37</v>
      </c>
      <c r="CI1494" s="12">
        <v>19.37</v>
      </c>
      <c r="CJ1494" t="s">
        <v>135</v>
      </c>
      <c r="CK1494" t="s">
        <v>10349</v>
      </c>
      <c r="CL1494" t="s">
        <v>10350</v>
      </c>
      <c r="CO1494" t="s">
        <v>132</v>
      </c>
      <c r="CP1494" t="s">
        <v>114</v>
      </c>
      <c r="CQ1494" t="s">
        <v>136</v>
      </c>
      <c r="CR1494" t="s">
        <v>136</v>
      </c>
      <c r="CS1494" t="s">
        <v>136</v>
      </c>
      <c r="CT1494" t="s">
        <v>136</v>
      </c>
      <c r="CU1494" t="s">
        <v>136</v>
      </c>
      <c r="CV1494" s="2" t="s">
        <v>912</v>
      </c>
      <c r="CW1494" s="10" t="str">
        <f>"+14065829200"</f>
        <v>+14065829200</v>
      </c>
      <c r="CX1494" t="s">
        <v>913</v>
      </c>
      <c r="CY1494" t="s">
        <v>132</v>
      </c>
      <c r="CZ1494" t="s">
        <v>137</v>
      </c>
      <c r="DA1494" t="s">
        <v>114</v>
      </c>
      <c r="DB1494" t="s">
        <v>114</v>
      </c>
      <c r="DC1494" t="s">
        <v>136</v>
      </c>
      <c r="DD1494" t="s">
        <v>114</v>
      </c>
    </row>
    <row r="1495" spans="1:113" ht="15" customHeight="1" x14ac:dyDescent="0.25">
      <c r="A1495" t="s">
        <v>10503</v>
      </c>
      <c r="B1495" t="s">
        <v>152</v>
      </c>
      <c r="C1495" s="1">
        <v>45146.627288541669</v>
      </c>
      <c r="D1495" s="1">
        <v>45211</v>
      </c>
      <c r="E1495" t="s">
        <v>136</v>
      </c>
      <c r="F1495" t="s">
        <v>7818</v>
      </c>
      <c r="G1495" t="str">
        <f>"35-2021.00"</f>
        <v>35-2021.00</v>
      </c>
      <c r="H1495" t="s">
        <v>2303</v>
      </c>
      <c r="I1495">
        <v>20</v>
      </c>
      <c r="J1495">
        <v>20</v>
      </c>
      <c r="K1495" s="1">
        <v>45231</v>
      </c>
      <c r="L1495" s="1">
        <v>45407</v>
      </c>
      <c r="M1495" s="1">
        <v>45231</v>
      </c>
      <c r="N1495" s="1">
        <v>45407</v>
      </c>
      <c r="O1495" t="s">
        <v>238</v>
      </c>
      <c r="P1495" t="s">
        <v>887</v>
      </c>
      <c r="Q1495" t="s">
        <v>888</v>
      </c>
      <c r="R1495" t="s">
        <v>889</v>
      </c>
      <c r="S1495" t="s">
        <v>890</v>
      </c>
      <c r="T1495" t="s">
        <v>891</v>
      </c>
      <c r="U1495" t="s">
        <v>892</v>
      </c>
      <c r="V1495" s="8" t="str">
        <f>"59716"</f>
        <v>59716</v>
      </c>
      <c r="W1495" t="s">
        <v>118</v>
      </c>
      <c r="X1495" t="s">
        <v>132</v>
      </c>
      <c r="Y1495" s="10">
        <v>14069955823</v>
      </c>
      <c r="AA1495">
        <v>721110</v>
      </c>
      <c r="AB1495" t="s">
        <v>893</v>
      </c>
      <c r="AC1495" t="s">
        <v>894</v>
      </c>
      <c r="AE1495" t="s">
        <v>895</v>
      </c>
      <c r="AF1495" t="s">
        <v>889</v>
      </c>
      <c r="AG1495" t="s">
        <v>890</v>
      </c>
      <c r="AH1495" t="s">
        <v>896</v>
      </c>
      <c r="AI1495" t="s">
        <v>892</v>
      </c>
      <c r="AJ1495" s="8" t="str">
        <f>"59716"</f>
        <v>59716</v>
      </c>
      <c r="AK1495" t="s">
        <v>118</v>
      </c>
      <c r="AM1495" s="10">
        <v>14069955823</v>
      </c>
      <c r="AO1495" t="s">
        <v>897</v>
      </c>
      <c r="AP1495" t="s">
        <v>121</v>
      </c>
      <c r="AQ1495" t="s">
        <v>898</v>
      </c>
      <c r="AR1495" t="s">
        <v>899</v>
      </c>
      <c r="AT1495" t="s">
        <v>900</v>
      </c>
      <c r="AU1495" t="s">
        <v>901</v>
      </c>
      <c r="AV1495" t="s">
        <v>902</v>
      </c>
      <c r="AW1495" t="s">
        <v>903</v>
      </c>
      <c r="AX1495" s="8" t="str">
        <f>"04101"</f>
        <v>04101</v>
      </c>
      <c r="AY1495" t="s">
        <v>118</v>
      </c>
      <c r="BA1495" s="10">
        <v>12077913260</v>
      </c>
      <c r="BC1495" t="s">
        <v>904</v>
      </c>
      <c r="BD1495" t="s">
        <v>905</v>
      </c>
      <c r="BE1495" t="s">
        <v>903</v>
      </c>
      <c r="BF1495" t="s">
        <v>906</v>
      </c>
      <c r="BG1495" t="s">
        <v>892</v>
      </c>
      <c r="BH1495" s="1">
        <v>45145.833333333336</v>
      </c>
      <c r="BI1495">
        <v>35</v>
      </c>
      <c r="BJ1495">
        <v>0</v>
      </c>
      <c r="BK1495">
        <v>7</v>
      </c>
      <c r="BL1495">
        <v>7</v>
      </c>
      <c r="BM1495">
        <v>7</v>
      </c>
      <c r="BN1495">
        <v>7</v>
      </c>
      <c r="BO1495">
        <v>7</v>
      </c>
      <c r="BP1495">
        <v>0</v>
      </c>
      <c r="BQ1495" t="str">
        <f>"6:00 AM"</f>
        <v>6:00 AM</v>
      </c>
      <c r="BR1495" t="str">
        <f>"1:00 PM"</f>
        <v>1:00 PM</v>
      </c>
      <c r="BS1495" t="s">
        <v>131</v>
      </c>
      <c r="BT1495">
        <v>0</v>
      </c>
      <c r="BU1495">
        <v>3</v>
      </c>
      <c r="BV1495" t="s">
        <v>114</v>
      </c>
      <c r="BX1495" s="2" t="s">
        <v>10504</v>
      </c>
      <c r="BY1495" t="s">
        <v>889</v>
      </c>
      <c r="CA1495" t="s">
        <v>891</v>
      </c>
      <c r="CB1495" t="s">
        <v>892</v>
      </c>
      <c r="CC1495" s="8" t="str">
        <f>"59716"</f>
        <v>59716</v>
      </c>
      <c r="CD1495" t="s">
        <v>908</v>
      </c>
      <c r="CE1495" t="s">
        <v>909</v>
      </c>
      <c r="CF1495" s="12">
        <v>13.67</v>
      </c>
      <c r="CG1495" s="12">
        <v>13.67</v>
      </c>
      <c r="CH1495" s="12">
        <v>20.51</v>
      </c>
      <c r="CI1495" s="12">
        <v>20.51</v>
      </c>
      <c r="CJ1495" t="s">
        <v>135</v>
      </c>
      <c r="CK1495" t="s">
        <v>10505</v>
      </c>
      <c r="CL1495" t="s">
        <v>10506</v>
      </c>
      <c r="CO1495" t="s">
        <v>132</v>
      </c>
      <c r="CP1495" t="s">
        <v>114</v>
      </c>
      <c r="CQ1495" t="s">
        <v>136</v>
      </c>
      <c r="CR1495" t="s">
        <v>136</v>
      </c>
      <c r="CS1495" t="s">
        <v>136</v>
      </c>
      <c r="CT1495" t="s">
        <v>136</v>
      </c>
      <c r="CU1495" t="s">
        <v>136</v>
      </c>
      <c r="CV1495" s="2" t="s">
        <v>912</v>
      </c>
      <c r="CW1495" s="10" t="str">
        <f>"+14065829200"</f>
        <v>+14065829200</v>
      </c>
      <c r="CX1495" t="s">
        <v>913</v>
      </c>
      <c r="CY1495" t="s">
        <v>132</v>
      </c>
      <c r="CZ1495" t="s">
        <v>137</v>
      </c>
      <c r="DA1495" t="s">
        <v>114</v>
      </c>
      <c r="DB1495" t="s">
        <v>114</v>
      </c>
      <c r="DC1495" t="s">
        <v>136</v>
      </c>
      <c r="DD1495" t="s">
        <v>114</v>
      </c>
    </row>
    <row r="1496" spans="1:113" ht="15" customHeight="1" x14ac:dyDescent="0.25">
      <c r="A1496" t="s">
        <v>13179</v>
      </c>
      <c r="B1496" t="s">
        <v>152</v>
      </c>
      <c r="C1496" s="1">
        <v>45146.60817777778</v>
      </c>
      <c r="D1496" s="1">
        <v>45211</v>
      </c>
      <c r="E1496" t="s">
        <v>114</v>
      </c>
      <c r="F1496" t="s">
        <v>4718</v>
      </c>
      <c r="G1496" t="str">
        <f>"37-2012.00"</f>
        <v>37-2012.00</v>
      </c>
      <c r="H1496" t="s">
        <v>205</v>
      </c>
      <c r="I1496">
        <v>18</v>
      </c>
      <c r="J1496">
        <v>18</v>
      </c>
      <c r="K1496" s="1">
        <v>45236</v>
      </c>
      <c r="L1496" s="1">
        <v>45410</v>
      </c>
      <c r="M1496" s="1">
        <v>45236</v>
      </c>
      <c r="N1496" s="1">
        <v>45410</v>
      </c>
      <c r="O1496" t="s">
        <v>116</v>
      </c>
      <c r="P1496" t="s">
        <v>13180</v>
      </c>
      <c r="Q1496" t="s">
        <v>13181</v>
      </c>
      <c r="R1496" t="s">
        <v>13182</v>
      </c>
      <c r="T1496" t="s">
        <v>1084</v>
      </c>
      <c r="U1496" t="s">
        <v>188</v>
      </c>
      <c r="V1496" s="8" t="str">
        <f>"81657"</f>
        <v>81657</v>
      </c>
      <c r="W1496" t="s">
        <v>118</v>
      </c>
      <c r="Y1496" s="10">
        <v>19704778845</v>
      </c>
      <c r="AA1496">
        <v>721110</v>
      </c>
      <c r="AB1496" t="s">
        <v>13183</v>
      </c>
      <c r="AC1496" t="s">
        <v>13184</v>
      </c>
      <c r="AE1496" t="s">
        <v>2312</v>
      </c>
      <c r="AF1496" t="s">
        <v>13182</v>
      </c>
      <c r="AH1496" t="s">
        <v>1084</v>
      </c>
      <c r="AI1496" t="s">
        <v>188</v>
      </c>
      <c r="AJ1496" s="8" t="str">
        <f>"81657"</f>
        <v>81657</v>
      </c>
      <c r="AK1496" t="s">
        <v>118</v>
      </c>
      <c r="AM1496" s="10">
        <v>19704778845</v>
      </c>
      <c r="AO1496" t="s">
        <v>13185</v>
      </c>
      <c r="AP1496" t="s">
        <v>121</v>
      </c>
      <c r="AQ1496" t="s">
        <v>513</v>
      </c>
      <c r="AR1496" t="s">
        <v>514</v>
      </c>
      <c r="AS1496" t="s">
        <v>515</v>
      </c>
      <c r="AT1496" t="s">
        <v>516</v>
      </c>
      <c r="AU1496" t="s">
        <v>517</v>
      </c>
      <c r="AV1496" t="s">
        <v>518</v>
      </c>
      <c r="AW1496" t="s">
        <v>402</v>
      </c>
      <c r="AX1496" s="8" t="str">
        <f>"90071"</f>
        <v>90071</v>
      </c>
      <c r="AY1496" t="s">
        <v>118</v>
      </c>
      <c r="BA1496" s="10">
        <v>13108203322</v>
      </c>
      <c r="BC1496" t="s">
        <v>519</v>
      </c>
      <c r="BD1496" t="s">
        <v>520</v>
      </c>
      <c r="BE1496" t="s">
        <v>188</v>
      </c>
      <c r="BF1496" t="s">
        <v>172</v>
      </c>
      <c r="BG1496" t="s">
        <v>188</v>
      </c>
      <c r="BH1496" s="1">
        <v>45145.833333333336</v>
      </c>
      <c r="BI1496">
        <v>35</v>
      </c>
      <c r="BJ1496">
        <v>5</v>
      </c>
      <c r="BK1496">
        <v>5</v>
      </c>
      <c r="BL1496">
        <v>5</v>
      </c>
      <c r="BM1496">
        <v>5</v>
      </c>
      <c r="BN1496">
        <v>5</v>
      </c>
      <c r="BO1496">
        <v>5</v>
      </c>
      <c r="BP1496">
        <v>5</v>
      </c>
      <c r="BQ1496" t="str">
        <f>"8:00 AM"</f>
        <v>8:00 AM</v>
      </c>
      <c r="BR1496" t="str">
        <f>"4:30 PM"</f>
        <v>4:30 PM</v>
      </c>
      <c r="BS1496" t="s">
        <v>131</v>
      </c>
      <c r="BT1496">
        <v>0</v>
      </c>
      <c r="BU1496">
        <v>12</v>
      </c>
      <c r="BV1496" t="s">
        <v>114</v>
      </c>
      <c r="BX1496" s="2" t="s">
        <v>13186</v>
      </c>
      <c r="BY1496" t="s">
        <v>13182</v>
      </c>
      <c r="CA1496" t="s">
        <v>1084</v>
      </c>
      <c r="CB1496" t="s">
        <v>188</v>
      </c>
      <c r="CC1496" s="8" t="str">
        <f>"81657"</f>
        <v>81657</v>
      </c>
      <c r="CD1496" t="s">
        <v>1037</v>
      </c>
      <c r="CE1496" t="s">
        <v>1038</v>
      </c>
      <c r="CF1496" s="12">
        <v>20</v>
      </c>
      <c r="CH1496" s="12">
        <v>30</v>
      </c>
      <c r="CJ1496" t="s">
        <v>135</v>
      </c>
      <c r="CK1496" t="s">
        <v>524</v>
      </c>
      <c r="CL1496" t="s">
        <v>13187</v>
      </c>
      <c r="CO1496" t="s">
        <v>132</v>
      </c>
      <c r="CP1496" t="s">
        <v>114</v>
      </c>
      <c r="CQ1496" t="s">
        <v>114</v>
      </c>
      <c r="CR1496" t="s">
        <v>136</v>
      </c>
      <c r="CS1496" t="s">
        <v>114</v>
      </c>
      <c r="CT1496" t="s">
        <v>136</v>
      </c>
      <c r="CU1496" t="s">
        <v>114</v>
      </c>
      <c r="CV1496" t="s">
        <v>131</v>
      </c>
      <c r="CW1496" s="10" t="str">
        <f>"+19704778845"</f>
        <v>+19704778845</v>
      </c>
      <c r="CX1496" t="s">
        <v>13185</v>
      </c>
      <c r="CY1496" t="s">
        <v>132</v>
      </c>
      <c r="CZ1496" t="s">
        <v>137</v>
      </c>
      <c r="DA1496" t="s">
        <v>114</v>
      </c>
      <c r="DB1496" t="s">
        <v>114</v>
      </c>
      <c r="DC1496" t="s">
        <v>136</v>
      </c>
      <c r="DD1496" t="s">
        <v>114</v>
      </c>
      <c r="DE1496" t="s">
        <v>527</v>
      </c>
      <c r="DF1496" t="s">
        <v>528</v>
      </c>
      <c r="DG1496" t="s">
        <v>732</v>
      </c>
      <c r="DH1496" t="s">
        <v>520</v>
      </c>
      <c r="DI1496" t="s">
        <v>529</v>
      </c>
    </row>
    <row r="1497" spans="1:113" ht="15" customHeight="1" x14ac:dyDescent="0.25">
      <c r="A1497" t="s">
        <v>11472</v>
      </c>
      <c r="B1497" t="s">
        <v>152</v>
      </c>
      <c r="C1497" s="1">
        <v>45145.779096990744</v>
      </c>
      <c r="D1497" s="1">
        <v>45211</v>
      </c>
      <c r="E1497" t="s">
        <v>114</v>
      </c>
      <c r="F1497" t="s">
        <v>4983</v>
      </c>
      <c r="G1497" t="str">
        <f>"35-2014.00"</f>
        <v>35-2014.00</v>
      </c>
      <c r="H1497" t="s">
        <v>154</v>
      </c>
      <c r="I1497">
        <v>5</v>
      </c>
      <c r="J1497">
        <v>5</v>
      </c>
      <c r="K1497" s="1">
        <v>45229</v>
      </c>
      <c r="L1497" s="1">
        <v>45473</v>
      </c>
      <c r="M1497" s="1">
        <v>45229</v>
      </c>
      <c r="N1497" s="1">
        <v>45473</v>
      </c>
      <c r="O1497" t="s">
        <v>116</v>
      </c>
      <c r="P1497" t="s">
        <v>11473</v>
      </c>
      <c r="R1497" t="s">
        <v>11474</v>
      </c>
      <c r="T1497" t="s">
        <v>11475</v>
      </c>
      <c r="U1497" t="s">
        <v>140</v>
      </c>
      <c r="V1497" s="8" t="str">
        <f>"33460"</f>
        <v>33460</v>
      </c>
      <c r="W1497" t="s">
        <v>118</v>
      </c>
      <c r="Y1497" s="10">
        <v>15612476162</v>
      </c>
      <c r="AA1497">
        <v>722511</v>
      </c>
      <c r="AB1497" t="s">
        <v>2328</v>
      </c>
      <c r="AC1497" t="s">
        <v>2849</v>
      </c>
      <c r="AE1497" t="s">
        <v>561</v>
      </c>
      <c r="AF1497" t="s">
        <v>11474</v>
      </c>
      <c r="AH1497" t="s">
        <v>11475</v>
      </c>
      <c r="AI1497" t="s">
        <v>140</v>
      </c>
      <c r="AJ1497" s="8" t="str">
        <f>"33460"</f>
        <v>33460</v>
      </c>
      <c r="AK1497" t="s">
        <v>118</v>
      </c>
      <c r="AM1497" s="10">
        <v>15162367519</v>
      </c>
      <c r="AO1497" t="s">
        <v>11476</v>
      </c>
      <c r="AP1497" t="s">
        <v>248</v>
      </c>
      <c r="AQ1497" t="s">
        <v>1784</v>
      </c>
      <c r="AR1497" t="s">
        <v>1785</v>
      </c>
      <c r="AT1497" t="s">
        <v>1786</v>
      </c>
      <c r="AV1497" t="s">
        <v>1787</v>
      </c>
      <c r="AW1497" t="s">
        <v>506</v>
      </c>
      <c r="AX1497" s="8" t="str">
        <f>"05760"</f>
        <v>05760</v>
      </c>
      <c r="AY1497" t="s">
        <v>118</v>
      </c>
      <c r="BA1497" s="10">
        <v>18029482788</v>
      </c>
      <c r="BC1497" t="s">
        <v>1788</v>
      </c>
      <c r="BD1497" t="s">
        <v>11477</v>
      </c>
      <c r="BG1497" t="s">
        <v>140</v>
      </c>
      <c r="BH1497" s="1">
        <v>45144.833333333336</v>
      </c>
      <c r="BI1497">
        <v>35</v>
      </c>
      <c r="BJ1497">
        <v>7</v>
      </c>
      <c r="BK1497">
        <v>0</v>
      </c>
      <c r="BL1497">
        <v>7</v>
      </c>
      <c r="BM1497">
        <v>0</v>
      </c>
      <c r="BN1497">
        <v>7</v>
      </c>
      <c r="BO1497">
        <v>7</v>
      </c>
      <c r="BP1497">
        <v>7</v>
      </c>
      <c r="BQ1497" t="str">
        <f>"8:00 AM"</f>
        <v>8:00 AM</v>
      </c>
      <c r="BR1497" t="str">
        <f>"10:00 PM"</f>
        <v>10:00 PM</v>
      </c>
      <c r="BS1497" t="s">
        <v>131</v>
      </c>
      <c r="BT1497">
        <v>0</v>
      </c>
      <c r="BU1497">
        <v>0</v>
      </c>
      <c r="BV1497" t="s">
        <v>114</v>
      </c>
      <c r="BX1497" s="2" t="s">
        <v>11478</v>
      </c>
      <c r="BY1497" t="s">
        <v>11474</v>
      </c>
      <c r="CA1497" t="s">
        <v>11475</v>
      </c>
      <c r="CB1497" t="s">
        <v>140</v>
      </c>
      <c r="CC1497" s="8" t="str">
        <f>"33460"</f>
        <v>33460</v>
      </c>
      <c r="CD1497" t="s">
        <v>767</v>
      </c>
      <c r="CE1497" t="s">
        <v>149</v>
      </c>
      <c r="CF1497" s="12">
        <v>16.91</v>
      </c>
      <c r="CG1497" s="12">
        <v>16.91</v>
      </c>
      <c r="CJ1497" t="s">
        <v>135</v>
      </c>
      <c r="CK1497" t="s">
        <v>131</v>
      </c>
      <c r="CL1497" t="s">
        <v>11479</v>
      </c>
      <c r="CO1497" t="s">
        <v>132</v>
      </c>
      <c r="CP1497" t="s">
        <v>114</v>
      </c>
      <c r="CQ1497" t="s">
        <v>114</v>
      </c>
      <c r="CR1497" t="s">
        <v>114</v>
      </c>
      <c r="CS1497" t="s">
        <v>136</v>
      </c>
      <c r="CT1497" t="s">
        <v>136</v>
      </c>
      <c r="CU1497" t="s">
        <v>136</v>
      </c>
      <c r="CV1497" s="2" t="s">
        <v>11480</v>
      </c>
      <c r="CW1497" s="10" t="str">
        <f>"+15613401060"</f>
        <v>+15613401060</v>
      </c>
      <c r="CX1497" t="s">
        <v>11476</v>
      </c>
      <c r="CY1497" t="s">
        <v>132</v>
      </c>
      <c r="CZ1497" t="s">
        <v>137</v>
      </c>
      <c r="DA1497" t="s">
        <v>114</v>
      </c>
      <c r="DB1497" t="s">
        <v>136</v>
      </c>
      <c r="DC1497" t="s">
        <v>136</v>
      </c>
      <c r="DD1497" t="s">
        <v>114</v>
      </c>
    </row>
    <row r="1498" spans="1:113" ht="15" customHeight="1" x14ac:dyDescent="0.25">
      <c r="A1498" t="s">
        <v>14089</v>
      </c>
      <c r="B1498" t="s">
        <v>152</v>
      </c>
      <c r="C1498" s="1">
        <v>45145.738573842595</v>
      </c>
      <c r="D1498" s="1">
        <v>45211</v>
      </c>
      <c r="E1498" t="s">
        <v>114</v>
      </c>
      <c r="F1498" t="s">
        <v>1595</v>
      </c>
      <c r="G1498" t="str">
        <f>"37-3011.00"</f>
        <v>37-3011.00</v>
      </c>
      <c r="H1498" t="s">
        <v>429</v>
      </c>
      <c r="I1498">
        <v>30</v>
      </c>
      <c r="J1498">
        <v>30</v>
      </c>
      <c r="K1498" s="1">
        <v>45235</v>
      </c>
      <c r="L1498" s="1">
        <v>45397</v>
      </c>
      <c r="M1498" s="1">
        <v>45235</v>
      </c>
      <c r="N1498" s="1">
        <v>45397</v>
      </c>
      <c r="O1498" t="s">
        <v>238</v>
      </c>
      <c r="P1498" t="s">
        <v>14090</v>
      </c>
      <c r="R1498" t="s">
        <v>14091</v>
      </c>
      <c r="T1498" t="s">
        <v>14092</v>
      </c>
      <c r="U1498" t="s">
        <v>375</v>
      </c>
      <c r="V1498" s="8" t="str">
        <f>"28747"</f>
        <v>28747</v>
      </c>
      <c r="W1498" t="s">
        <v>118</v>
      </c>
      <c r="Y1498" s="10">
        <v>18283875631</v>
      </c>
      <c r="AA1498">
        <v>56173</v>
      </c>
      <c r="AB1498" t="s">
        <v>9381</v>
      </c>
      <c r="AC1498" t="s">
        <v>1518</v>
      </c>
      <c r="AE1498" t="s">
        <v>14093</v>
      </c>
      <c r="AF1498" t="s">
        <v>14091</v>
      </c>
      <c r="AH1498" t="s">
        <v>14092</v>
      </c>
      <c r="AI1498" t="s">
        <v>375</v>
      </c>
      <c r="AJ1498" s="8" t="str">
        <f>"28747"</f>
        <v>28747</v>
      </c>
      <c r="AK1498" t="s">
        <v>118</v>
      </c>
      <c r="AM1498" s="10">
        <v>18283875631</v>
      </c>
      <c r="AO1498" t="s">
        <v>14094</v>
      </c>
      <c r="AP1498" t="s">
        <v>248</v>
      </c>
      <c r="AQ1498" t="s">
        <v>2741</v>
      </c>
      <c r="AR1498" t="s">
        <v>2742</v>
      </c>
      <c r="AS1498" t="s">
        <v>132</v>
      </c>
      <c r="AT1498" t="s">
        <v>6132</v>
      </c>
      <c r="AU1498" t="s">
        <v>852</v>
      </c>
      <c r="AV1498" t="s">
        <v>853</v>
      </c>
      <c r="AW1498" t="s">
        <v>854</v>
      </c>
      <c r="AX1498" s="8" t="str">
        <f>"83814"</f>
        <v>83814</v>
      </c>
      <c r="AY1498" t="s">
        <v>118</v>
      </c>
      <c r="BA1498" s="10">
        <v>12087772654</v>
      </c>
      <c r="BC1498" t="s">
        <v>6133</v>
      </c>
      <c r="BD1498" t="s">
        <v>856</v>
      </c>
      <c r="BG1498" t="s">
        <v>375</v>
      </c>
      <c r="BH1498" s="1">
        <v>45141.833333333336</v>
      </c>
      <c r="BI1498">
        <v>40</v>
      </c>
      <c r="BJ1498">
        <v>0</v>
      </c>
      <c r="BK1498">
        <v>8</v>
      </c>
      <c r="BL1498">
        <v>8</v>
      </c>
      <c r="BM1498">
        <v>8</v>
      </c>
      <c r="BN1498">
        <v>8</v>
      </c>
      <c r="BO1498">
        <v>8</v>
      </c>
      <c r="BP1498">
        <v>0</v>
      </c>
      <c r="BQ1498" t="str">
        <f>"7:30 AM"</f>
        <v>7:30 AM</v>
      </c>
      <c r="BR1498" t="str">
        <f>"4:00 PM"</f>
        <v>4:00 PM</v>
      </c>
      <c r="BS1498" t="s">
        <v>131</v>
      </c>
      <c r="BT1498">
        <v>0</v>
      </c>
      <c r="BU1498">
        <v>0</v>
      </c>
      <c r="BV1498" t="s">
        <v>114</v>
      </c>
      <c r="BX1498" t="s">
        <v>14095</v>
      </c>
      <c r="BY1498" t="s">
        <v>14096</v>
      </c>
      <c r="CA1498" t="s">
        <v>14097</v>
      </c>
      <c r="CB1498" t="s">
        <v>375</v>
      </c>
      <c r="CC1498" s="8" t="str">
        <f>"28747"</f>
        <v>28747</v>
      </c>
      <c r="CD1498" t="s">
        <v>11295</v>
      </c>
      <c r="CE1498" t="s">
        <v>641</v>
      </c>
      <c r="CF1498" s="12">
        <v>15.93</v>
      </c>
      <c r="CG1498" s="12">
        <v>17.5</v>
      </c>
      <c r="CH1498" s="12">
        <v>23.9</v>
      </c>
      <c r="CI1498" s="12">
        <v>26.25</v>
      </c>
      <c r="CJ1498" t="s">
        <v>135</v>
      </c>
      <c r="CK1498" t="s">
        <v>1899</v>
      </c>
      <c r="CL1498" t="s">
        <v>14098</v>
      </c>
      <c r="CO1498" t="s">
        <v>132</v>
      </c>
      <c r="CP1498" t="s">
        <v>136</v>
      </c>
      <c r="CQ1498" t="s">
        <v>136</v>
      </c>
      <c r="CR1498" t="s">
        <v>136</v>
      </c>
      <c r="CS1498" t="s">
        <v>136</v>
      </c>
      <c r="CT1498" t="s">
        <v>136</v>
      </c>
      <c r="CU1498" t="s">
        <v>136</v>
      </c>
      <c r="CV1498" t="s">
        <v>14099</v>
      </c>
      <c r="CW1498" s="10" t="str">
        <f>"+18283877193"</f>
        <v>+18283877193</v>
      </c>
      <c r="CX1498" t="s">
        <v>14094</v>
      </c>
      <c r="CY1498" t="s">
        <v>132</v>
      </c>
      <c r="CZ1498" t="s">
        <v>137</v>
      </c>
      <c r="DA1498" t="s">
        <v>114</v>
      </c>
      <c r="DB1498" t="s">
        <v>136</v>
      </c>
      <c r="DC1498" t="s">
        <v>136</v>
      </c>
      <c r="DD1498" t="s">
        <v>114</v>
      </c>
    </row>
    <row r="1499" spans="1:113" ht="15" customHeight="1" x14ac:dyDescent="0.25">
      <c r="A1499" t="s">
        <v>16978</v>
      </c>
      <c r="B1499" t="s">
        <v>152</v>
      </c>
      <c r="C1499" s="1">
        <v>45145.59453159722</v>
      </c>
      <c r="D1499" s="1">
        <v>45211</v>
      </c>
      <c r="E1499" t="s">
        <v>114</v>
      </c>
      <c r="F1499" t="s">
        <v>15473</v>
      </c>
      <c r="G1499" t="str">
        <f>"25-3021.00"</f>
        <v>25-3021.00</v>
      </c>
      <c r="H1499" t="s">
        <v>720</v>
      </c>
      <c r="I1499">
        <v>5</v>
      </c>
      <c r="J1499">
        <v>5</v>
      </c>
      <c r="K1499" s="1">
        <v>45234</v>
      </c>
      <c r="L1499" s="1">
        <v>45413</v>
      </c>
      <c r="M1499" s="1">
        <v>45234</v>
      </c>
      <c r="N1499" s="1">
        <v>45413</v>
      </c>
      <c r="O1499" t="s">
        <v>238</v>
      </c>
      <c r="P1499" t="s">
        <v>4735</v>
      </c>
      <c r="Q1499" t="s">
        <v>4736</v>
      </c>
      <c r="R1499" t="s">
        <v>4737</v>
      </c>
      <c r="T1499" t="s">
        <v>4738</v>
      </c>
      <c r="U1499" t="s">
        <v>402</v>
      </c>
      <c r="V1499" s="8" t="str">
        <f>"96146"</f>
        <v>96146</v>
      </c>
      <c r="W1499" t="s">
        <v>118</v>
      </c>
      <c r="Y1499" s="10">
        <v>15304527114</v>
      </c>
      <c r="AA1499">
        <v>72111</v>
      </c>
      <c r="AB1499" t="s">
        <v>5698</v>
      </c>
      <c r="AC1499" t="s">
        <v>4921</v>
      </c>
      <c r="AE1499" t="s">
        <v>16979</v>
      </c>
      <c r="AF1499" t="s">
        <v>4740</v>
      </c>
      <c r="AH1499" t="s">
        <v>4738</v>
      </c>
      <c r="AI1499" t="s">
        <v>402</v>
      </c>
      <c r="AJ1499" s="8" t="str">
        <f>"96146"</f>
        <v>96146</v>
      </c>
      <c r="AK1499" t="s">
        <v>118</v>
      </c>
      <c r="AM1499" s="10">
        <v>15304527284</v>
      </c>
      <c r="AO1499" t="s">
        <v>16654</v>
      </c>
      <c r="AP1499" t="s">
        <v>121</v>
      </c>
      <c r="AQ1499" t="s">
        <v>1675</v>
      </c>
      <c r="AR1499" t="s">
        <v>1676</v>
      </c>
      <c r="AS1499" t="s">
        <v>1677</v>
      </c>
      <c r="AT1499" t="s">
        <v>1678</v>
      </c>
      <c r="AU1499" t="s">
        <v>296</v>
      </c>
      <c r="AV1499" t="s">
        <v>1679</v>
      </c>
      <c r="AW1499" t="s">
        <v>402</v>
      </c>
      <c r="AX1499" s="8" t="str">
        <f>"91361"</f>
        <v>91361</v>
      </c>
      <c r="AY1499" t="s">
        <v>118</v>
      </c>
      <c r="BA1499" s="10">
        <v>18052611393</v>
      </c>
      <c r="BC1499" t="s">
        <v>1680</v>
      </c>
      <c r="BD1499" t="s">
        <v>1681</v>
      </c>
      <c r="BE1499" t="s">
        <v>140</v>
      </c>
      <c r="BF1499" t="s">
        <v>146</v>
      </c>
      <c r="BG1499" t="s">
        <v>402</v>
      </c>
      <c r="BH1499" s="1">
        <v>45139.833333333336</v>
      </c>
      <c r="BI1499">
        <v>35</v>
      </c>
      <c r="BJ1499">
        <v>5</v>
      </c>
      <c r="BK1499">
        <v>5</v>
      </c>
      <c r="BL1499">
        <v>5</v>
      </c>
      <c r="BM1499">
        <v>5</v>
      </c>
      <c r="BN1499">
        <v>5</v>
      </c>
      <c r="BO1499">
        <v>5</v>
      </c>
      <c r="BP1499">
        <v>5</v>
      </c>
      <c r="BQ1499" t="str">
        <f>"8:00 AM"</f>
        <v>8:00 AM</v>
      </c>
      <c r="BR1499" t="str">
        <f>"4:00 PM"</f>
        <v>4:00 PM</v>
      </c>
      <c r="BS1499" t="s">
        <v>147</v>
      </c>
      <c r="BT1499">
        <v>0</v>
      </c>
      <c r="BU1499">
        <v>3</v>
      </c>
      <c r="BV1499" t="s">
        <v>114</v>
      </c>
      <c r="BX1499" s="2" t="s">
        <v>16980</v>
      </c>
      <c r="BY1499" t="s">
        <v>16650</v>
      </c>
      <c r="CA1499" t="s">
        <v>4738</v>
      </c>
      <c r="CB1499" t="s">
        <v>402</v>
      </c>
      <c r="CC1499" s="8" t="str">
        <f>"96146"</f>
        <v>96146</v>
      </c>
      <c r="CD1499" t="s">
        <v>4745</v>
      </c>
      <c r="CE1499" t="s">
        <v>728</v>
      </c>
      <c r="CF1499" s="12">
        <v>24.56</v>
      </c>
      <c r="CG1499" s="12">
        <v>35.229999999999997</v>
      </c>
      <c r="CH1499" s="12">
        <v>36.840000000000003</v>
      </c>
      <c r="CI1499" s="12">
        <v>52.85</v>
      </c>
      <c r="CJ1499" t="s">
        <v>135</v>
      </c>
      <c r="CK1499" t="s">
        <v>16981</v>
      </c>
      <c r="CL1499" t="s">
        <v>16982</v>
      </c>
      <c r="CO1499" t="s">
        <v>132</v>
      </c>
      <c r="CP1499" t="s">
        <v>114</v>
      </c>
      <c r="CQ1499" t="s">
        <v>114</v>
      </c>
      <c r="CR1499" t="s">
        <v>136</v>
      </c>
      <c r="CS1499" t="s">
        <v>136</v>
      </c>
      <c r="CT1499" t="s">
        <v>136</v>
      </c>
      <c r="CU1499" t="s">
        <v>136</v>
      </c>
      <c r="CV1499" s="2" t="s">
        <v>16653</v>
      </c>
      <c r="CW1499" s="10" t="str">
        <f>"+15304527284"</f>
        <v>+15304527284</v>
      </c>
      <c r="CX1499" t="s">
        <v>16654</v>
      </c>
      <c r="CY1499" t="s">
        <v>132</v>
      </c>
      <c r="CZ1499" t="s">
        <v>137</v>
      </c>
      <c r="DA1499" t="s">
        <v>114</v>
      </c>
      <c r="DB1499" t="s">
        <v>114</v>
      </c>
      <c r="DC1499" t="s">
        <v>136</v>
      </c>
      <c r="DD1499" t="s">
        <v>114</v>
      </c>
    </row>
    <row r="1500" spans="1:113" ht="15" customHeight="1" x14ac:dyDescent="0.25">
      <c r="A1500" t="s">
        <v>8582</v>
      </c>
      <c r="B1500" t="s">
        <v>152</v>
      </c>
      <c r="C1500" s="1">
        <v>45145.463384027775</v>
      </c>
      <c r="D1500" s="1">
        <v>45211</v>
      </c>
      <c r="E1500" t="s">
        <v>136</v>
      </c>
      <c r="F1500" t="s">
        <v>8583</v>
      </c>
      <c r="G1500" t="str">
        <f>"37-2012.00"</f>
        <v>37-2012.00</v>
      </c>
      <c r="H1500" t="s">
        <v>205</v>
      </c>
      <c r="I1500">
        <v>10</v>
      </c>
      <c r="J1500">
        <v>10</v>
      </c>
      <c r="K1500" s="1">
        <v>45231</v>
      </c>
      <c r="L1500" s="1">
        <v>45412</v>
      </c>
      <c r="M1500" s="1">
        <v>45231</v>
      </c>
      <c r="N1500" s="1">
        <v>45412</v>
      </c>
      <c r="O1500" t="s">
        <v>116</v>
      </c>
      <c r="P1500" t="s">
        <v>4391</v>
      </c>
      <c r="Q1500" t="s">
        <v>4392</v>
      </c>
      <c r="R1500" t="s">
        <v>8584</v>
      </c>
      <c r="T1500" t="s">
        <v>4394</v>
      </c>
      <c r="U1500" t="s">
        <v>903</v>
      </c>
      <c r="V1500" s="8" t="str">
        <f>"04947"</f>
        <v>04947</v>
      </c>
      <c r="W1500" t="s">
        <v>118</v>
      </c>
      <c r="Y1500" s="10">
        <v>12072377000</v>
      </c>
      <c r="AA1500">
        <v>721110</v>
      </c>
      <c r="AB1500" t="s">
        <v>4395</v>
      </c>
      <c r="AC1500" t="s">
        <v>4396</v>
      </c>
      <c r="AE1500" t="s">
        <v>1104</v>
      </c>
      <c r="AF1500" t="s">
        <v>8585</v>
      </c>
      <c r="AH1500" t="s">
        <v>4394</v>
      </c>
      <c r="AI1500" t="s">
        <v>903</v>
      </c>
      <c r="AJ1500" s="8" t="str">
        <f>"04947"</f>
        <v>04947</v>
      </c>
      <c r="AK1500" t="s">
        <v>118</v>
      </c>
      <c r="AM1500" s="10">
        <v>12072376932</v>
      </c>
      <c r="AO1500" t="s">
        <v>4398</v>
      </c>
      <c r="AP1500" t="s">
        <v>121</v>
      </c>
      <c r="AQ1500" t="s">
        <v>1192</v>
      </c>
      <c r="AR1500" t="s">
        <v>1193</v>
      </c>
      <c r="AS1500" t="s">
        <v>1194</v>
      </c>
      <c r="AT1500" t="s">
        <v>1195</v>
      </c>
      <c r="AU1500" t="s">
        <v>1196</v>
      </c>
      <c r="AV1500" t="s">
        <v>1197</v>
      </c>
      <c r="AW1500" t="s">
        <v>140</v>
      </c>
      <c r="AX1500" s="8" t="str">
        <f>"33316"</f>
        <v>33316</v>
      </c>
      <c r="AY1500" t="s">
        <v>118</v>
      </c>
      <c r="BA1500" s="10">
        <v>15613228604</v>
      </c>
      <c r="BC1500" t="s">
        <v>1198</v>
      </c>
      <c r="BD1500" t="s">
        <v>1199</v>
      </c>
      <c r="BE1500" t="s">
        <v>402</v>
      </c>
      <c r="BF1500" t="s">
        <v>4399</v>
      </c>
      <c r="BG1500" t="s">
        <v>903</v>
      </c>
      <c r="BH1500" s="1">
        <v>45140.833333333336</v>
      </c>
      <c r="BI1500">
        <v>35</v>
      </c>
      <c r="BJ1500">
        <v>7</v>
      </c>
      <c r="BK1500">
        <v>7</v>
      </c>
      <c r="BL1500">
        <v>0</v>
      </c>
      <c r="BM1500">
        <v>0</v>
      </c>
      <c r="BN1500">
        <v>7</v>
      </c>
      <c r="BO1500">
        <v>7</v>
      </c>
      <c r="BP1500">
        <v>7</v>
      </c>
      <c r="BQ1500" t="str">
        <f>"7:00 AM"</f>
        <v>7:00 AM</v>
      </c>
      <c r="BR1500" t="str">
        <f>"6:00 PM"</f>
        <v>6:00 PM</v>
      </c>
      <c r="BS1500" t="s">
        <v>131</v>
      </c>
      <c r="BT1500">
        <v>0</v>
      </c>
      <c r="BU1500">
        <v>3</v>
      </c>
      <c r="BV1500" t="s">
        <v>114</v>
      </c>
      <c r="BX1500" s="2" t="s">
        <v>8586</v>
      </c>
      <c r="BY1500" t="s">
        <v>4393</v>
      </c>
      <c r="CA1500" t="s">
        <v>4394</v>
      </c>
      <c r="CB1500" t="s">
        <v>903</v>
      </c>
      <c r="CC1500" s="8" t="str">
        <f>"04947"</f>
        <v>04947</v>
      </c>
      <c r="CD1500" t="s">
        <v>4401</v>
      </c>
      <c r="CE1500" t="s">
        <v>2185</v>
      </c>
      <c r="CF1500" s="12">
        <v>14.42</v>
      </c>
      <c r="CG1500" s="12">
        <v>14.42</v>
      </c>
      <c r="CH1500" s="12">
        <v>21.63</v>
      </c>
      <c r="CI1500" s="12">
        <v>21.63</v>
      </c>
      <c r="CJ1500" t="s">
        <v>135</v>
      </c>
      <c r="CL1500" t="s">
        <v>8587</v>
      </c>
      <c r="CM1500" t="s">
        <v>8588</v>
      </c>
      <c r="CO1500" t="s">
        <v>132</v>
      </c>
      <c r="CP1500" t="s">
        <v>114</v>
      </c>
      <c r="CQ1500" t="s">
        <v>136</v>
      </c>
      <c r="CR1500" t="s">
        <v>136</v>
      </c>
      <c r="CS1500" t="s">
        <v>136</v>
      </c>
      <c r="CT1500" t="s">
        <v>136</v>
      </c>
      <c r="CU1500" t="s">
        <v>136</v>
      </c>
      <c r="CV1500" s="2" t="s">
        <v>8589</v>
      </c>
      <c r="CW1500" s="10" t="str">
        <f>"+12072376932"</f>
        <v>+12072376932</v>
      </c>
      <c r="CX1500" t="s">
        <v>132</v>
      </c>
      <c r="CY1500" t="s">
        <v>4404</v>
      </c>
      <c r="CZ1500" t="s">
        <v>137</v>
      </c>
      <c r="DA1500" t="s">
        <v>114</v>
      </c>
      <c r="DB1500" t="s">
        <v>114</v>
      </c>
      <c r="DC1500" t="s">
        <v>136</v>
      </c>
      <c r="DD1500" t="s">
        <v>114</v>
      </c>
    </row>
    <row r="1501" spans="1:113" ht="15" customHeight="1" x14ac:dyDescent="0.25">
      <c r="A1501" t="s">
        <v>4389</v>
      </c>
      <c r="B1501" t="s">
        <v>152</v>
      </c>
      <c r="C1501" s="1">
        <v>45144.735749305553</v>
      </c>
      <c r="D1501" s="1">
        <v>45211</v>
      </c>
      <c r="E1501" t="s">
        <v>136</v>
      </c>
      <c r="F1501" t="s">
        <v>4390</v>
      </c>
      <c r="G1501" t="str">
        <f>"35-2014.00"</f>
        <v>35-2014.00</v>
      </c>
      <c r="H1501" t="s">
        <v>154</v>
      </c>
      <c r="I1501">
        <v>12</v>
      </c>
      <c r="J1501">
        <v>12</v>
      </c>
      <c r="K1501" s="1">
        <v>45231</v>
      </c>
      <c r="L1501" s="1">
        <v>45412</v>
      </c>
      <c r="M1501" s="1">
        <v>45231</v>
      </c>
      <c r="N1501" s="1">
        <v>45412</v>
      </c>
      <c r="O1501" t="s">
        <v>116</v>
      </c>
      <c r="P1501" t="s">
        <v>4391</v>
      </c>
      <c r="Q1501" t="s">
        <v>4392</v>
      </c>
      <c r="R1501" t="s">
        <v>4393</v>
      </c>
      <c r="T1501" t="s">
        <v>4394</v>
      </c>
      <c r="U1501" t="s">
        <v>903</v>
      </c>
      <c r="V1501" s="8" t="str">
        <f>"04947"</f>
        <v>04947</v>
      </c>
      <c r="W1501" t="s">
        <v>118</v>
      </c>
      <c r="Y1501" s="10">
        <v>12072377000</v>
      </c>
      <c r="AA1501">
        <v>721110</v>
      </c>
      <c r="AB1501" t="s">
        <v>4395</v>
      </c>
      <c r="AC1501" t="s">
        <v>4396</v>
      </c>
      <c r="AE1501" t="s">
        <v>1104</v>
      </c>
      <c r="AF1501" t="s">
        <v>4397</v>
      </c>
      <c r="AH1501" t="s">
        <v>4394</v>
      </c>
      <c r="AI1501" t="s">
        <v>903</v>
      </c>
      <c r="AJ1501" s="8" t="str">
        <f>"04947"</f>
        <v>04947</v>
      </c>
      <c r="AK1501" t="s">
        <v>118</v>
      </c>
      <c r="AM1501" s="10">
        <v>12072376932</v>
      </c>
      <c r="AO1501" t="s">
        <v>4398</v>
      </c>
      <c r="AP1501" t="s">
        <v>121</v>
      </c>
      <c r="AQ1501" t="s">
        <v>1192</v>
      </c>
      <c r="AR1501" t="s">
        <v>1193</v>
      </c>
      <c r="AS1501" t="s">
        <v>1194</v>
      </c>
      <c r="AT1501" t="s">
        <v>1195</v>
      </c>
      <c r="AU1501" t="s">
        <v>1196</v>
      </c>
      <c r="AV1501" t="s">
        <v>1197</v>
      </c>
      <c r="AW1501" t="s">
        <v>140</v>
      </c>
      <c r="AX1501" s="8" t="str">
        <f>"33316"</f>
        <v>33316</v>
      </c>
      <c r="AY1501" t="s">
        <v>118</v>
      </c>
      <c r="BA1501" s="10">
        <v>15613228604</v>
      </c>
      <c r="BC1501" t="s">
        <v>1198</v>
      </c>
      <c r="BD1501" t="s">
        <v>1199</v>
      </c>
      <c r="BE1501" t="s">
        <v>402</v>
      </c>
      <c r="BF1501" t="s">
        <v>4399</v>
      </c>
      <c r="BG1501" t="s">
        <v>903</v>
      </c>
      <c r="BH1501" s="1">
        <v>45137.833333333336</v>
      </c>
      <c r="BI1501">
        <v>35</v>
      </c>
      <c r="BJ1501">
        <v>7</v>
      </c>
      <c r="BK1501">
        <v>0</v>
      </c>
      <c r="BL1501">
        <v>0</v>
      </c>
      <c r="BM1501">
        <v>7</v>
      </c>
      <c r="BN1501">
        <v>7</v>
      </c>
      <c r="BO1501">
        <v>7</v>
      </c>
      <c r="BP1501">
        <v>7</v>
      </c>
      <c r="BQ1501" t="str">
        <f>"7:00 AM"</f>
        <v>7:00 AM</v>
      </c>
      <c r="BR1501" t="str">
        <f>"10:00 PM"</f>
        <v>10:00 PM</v>
      </c>
      <c r="BS1501" t="s">
        <v>131</v>
      </c>
      <c r="BT1501">
        <v>0</v>
      </c>
      <c r="BU1501">
        <v>3</v>
      </c>
      <c r="BV1501" t="s">
        <v>114</v>
      </c>
      <c r="BX1501" s="2" t="s">
        <v>4400</v>
      </c>
      <c r="BY1501" t="s">
        <v>4393</v>
      </c>
      <c r="CA1501" t="s">
        <v>4394</v>
      </c>
      <c r="CB1501" t="s">
        <v>903</v>
      </c>
      <c r="CC1501" s="8" t="str">
        <f>"04947"</f>
        <v>04947</v>
      </c>
      <c r="CD1501" t="s">
        <v>4401</v>
      </c>
      <c r="CE1501" t="s">
        <v>2185</v>
      </c>
      <c r="CF1501" s="12">
        <v>16.13</v>
      </c>
      <c r="CG1501" s="12">
        <v>16.13</v>
      </c>
      <c r="CH1501" s="12">
        <v>24.2</v>
      </c>
      <c r="CI1501" s="12">
        <v>24.2</v>
      </c>
      <c r="CJ1501" t="s">
        <v>135</v>
      </c>
      <c r="CL1501" t="s">
        <v>4402</v>
      </c>
      <c r="CO1501" t="s">
        <v>132</v>
      </c>
      <c r="CP1501" t="s">
        <v>114</v>
      </c>
      <c r="CQ1501" t="s">
        <v>136</v>
      </c>
      <c r="CR1501" t="s">
        <v>136</v>
      </c>
      <c r="CS1501" t="s">
        <v>136</v>
      </c>
      <c r="CT1501" t="s">
        <v>136</v>
      </c>
      <c r="CU1501" t="s">
        <v>136</v>
      </c>
      <c r="CV1501" s="2" t="s">
        <v>4403</v>
      </c>
      <c r="CW1501" s="10" t="str">
        <f>"+12072376932"</f>
        <v>+12072376932</v>
      </c>
      <c r="CX1501" t="s">
        <v>4404</v>
      </c>
      <c r="CY1501" t="s">
        <v>132</v>
      </c>
      <c r="CZ1501" t="s">
        <v>137</v>
      </c>
      <c r="DA1501" t="s">
        <v>114</v>
      </c>
      <c r="DB1501" t="s">
        <v>114</v>
      </c>
      <c r="DC1501" t="s">
        <v>136</v>
      </c>
      <c r="DD1501" t="s">
        <v>114</v>
      </c>
    </row>
    <row r="1502" spans="1:113" ht="15" customHeight="1" x14ac:dyDescent="0.25">
      <c r="A1502" t="s">
        <v>6137</v>
      </c>
      <c r="B1502" t="s">
        <v>152</v>
      </c>
      <c r="C1502" s="1">
        <v>45141.566665740742</v>
      </c>
      <c r="D1502" s="1">
        <v>45211</v>
      </c>
      <c r="E1502" t="s">
        <v>114</v>
      </c>
      <c r="F1502" t="s">
        <v>700</v>
      </c>
      <c r="G1502" t="str">
        <f>"37-3011.00"</f>
        <v>37-3011.00</v>
      </c>
      <c r="H1502" t="s">
        <v>429</v>
      </c>
      <c r="I1502">
        <v>40</v>
      </c>
      <c r="J1502">
        <v>40</v>
      </c>
      <c r="K1502" s="1">
        <v>45231</v>
      </c>
      <c r="L1502" s="1">
        <v>45352</v>
      </c>
      <c r="M1502" s="1">
        <v>45231</v>
      </c>
      <c r="N1502" s="1">
        <v>45352</v>
      </c>
      <c r="O1502" t="s">
        <v>238</v>
      </c>
      <c r="P1502" t="s">
        <v>6138</v>
      </c>
      <c r="R1502" t="s">
        <v>6139</v>
      </c>
      <c r="T1502" t="s">
        <v>4917</v>
      </c>
      <c r="U1502" t="s">
        <v>127</v>
      </c>
      <c r="V1502" s="8" t="str">
        <f>"75006"</f>
        <v>75006</v>
      </c>
      <c r="W1502" t="s">
        <v>118</v>
      </c>
      <c r="Y1502" s="10">
        <v>19727120353</v>
      </c>
      <c r="AA1502">
        <v>56173</v>
      </c>
      <c r="AB1502" t="s">
        <v>6140</v>
      </c>
      <c r="AC1502" t="s">
        <v>6141</v>
      </c>
      <c r="AE1502" t="s">
        <v>6142</v>
      </c>
      <c r="AF1502" t="s">
        <v>6139</v>
      </c>
      <c r="AH1502" t="s">
        <v>4917</v>
      </c>
      <c r="AI1502" t="s">
        <v>127</v>
      </c>
      <c r="AJ1502" s="8" t="str">
        <f>"75006"</f>
        <v>75006</v>
      </c>
      <c r="AK1502" t="s">
        <v>118</v>
      </c>
      <c r="AM1502" s="10">
        <v>19727120353</v>
      </c>
      <c r="AO1502" t="s">
        <v>132</v>
      </c>
      <c r="AP1502" t="s">
        <v>121</v>
      </c>
      <c r="AQ1502" t="s">
        <v>1172</v>
      </c>
      <c r="AR1502" t="s">
        <v>1173</v>
      </c>
      <c r="AS1502" t="s">
        <v>708</v>
      </c>
      <c r="AT1502" t="s">
        <v>3325</v>
      </c>
      <c r="AV1502" t="s">
        <v>603</v>
      </c>
      <c r="AW1502" t="s">
        <v>127</v>
      </c>
      <c r="AX1502" s="8" t="str">
        <f>"78705"</f>
        <v>78705</v>
      </c>
      <c r="AY1502" t="s">
        <v>118</v>
      </c>
      <c r="BA1502" s="10">
        <v>15123470007</v>
      </c>
      <c r="BC1502" t="s">
        <v>1175</v>
      </c>
      <c r="BD1502" t="s">
        <v>1176</v>
      </c>
      <c r="BE1502" t="s">
        <v>127</v>
      </c>
      <c r="BF1502" t="s">
        <v>750</v>
      </c>
      <c r="BG1502" t="s">
        <v>127</v>
      </c>
      <c r="BH1502" s="1">
        <v>45140.833333333336</v>
      </c>
      <c r="BI1502">
        <v>40</v>
      </c>
      <c r="BJ1502">
        <v>0</v>
      </c>
      <c r="BK1502">
        <v>8</v>
      </c>
      <c r="BL1502">
        <v>8</v>
      </c>
      <c r="BM1502">
        <v>8</v>
      </c>
      <c r="BN1502">
        <v>8</v>
      </c>
      <c r="BO1502">
        <v>8</v>
      </c>
      <c r="BP1502">
        <v>0</v>
      </c>
      <c r="BQ1502" t="str">
        <f>"7:00 AM"</f>
        <v>7:00 AM</v>
      </c>
      <c r="BR1502" t="str">
        <f>"4:00 PM"</f>
        <v>4:00 PM</v>
      </c>
      <c r="BS1502" t="s">
        <v>131</v>
      </c>
      <c r="BT1502">
        <v>0</v>
      </c>
      <c r="BU1502">
        <v>0</v>
      </c>
      <c r="BV1502" t="s">
        <v>114</v>
      </c>
      <c r="BX1502" t="s">
        <v>6143</v>
      </c>
      <c r="BY1502" t="s">
        <v>6139</v>
      </c>
      <c r="CA1502" t="s">
        <v>4917</v>
      </c>
      <c r="CB1502" t="s">
        <v>127</v>
      </c>
      <c r="CC1502" s="8" t="str">
        <f>"75006"</f>
        <v>75006</v>
      </c>
      <c r="CD1502" t="s">
        <v>2301</v>
      </c>
      <c r="CE1502" t="s">
        <v>263</v>
      </c>
      <c r="CF1502" s="12">
        <v>16.86</v>
      </c>
      <c r="CG1502" s="12">
        <v>22</v>
      </c>
      <c r="CH1502" s="12">
        <v>25.29</v>
      </c>
      <c r="CI1502" s="12">
        <v>33</v>
      </c>
      <c r="CJ1502" t="s">
        <v>135</v>
      </c>
      <c r="CK1502" t="s">
        <v>6144</v>
      </c>
      <c r="CL1502" t="s">
        <v>6145</v>
      </c>
      <c r="CO1502" t="s">
        <v>132</v>
      </c>
      <c r="CP1502" t="s">
        <v>136</v>
      </c>
      <c r="CQ1502" t="s">
        <v>136</v>
      </c>
      <c r="CR1502" t="s">
        <v>136</v>
      </c>
      <c r="CS1502" t="s">
        <v>136</v>
      </c>
      <c r="CT1502" t="s">
        <v>136</v>
      </c>
      <c r="CU1502" t="s">
        <v>136</v>
      </c>
      <c r="CV1502" s="2" t="s">
        <v>6146</v>
      </c>
      <c r="CW1502" s="10" t="str">
        <f>"+19727120353"</f>
        <v>+19727120353</v>
      </c>
      <c r="CX1502" t="s">
        <v>6147</v>
      </c>
      <c r="CY1502" t="s">
        <v>132</v>
      </c>
      <c r="CZ1502" t="s">
        <v>137</v>
      </c>
      <c r="DA1502" t="s">
        <v>114</v>
      </c>
      <c r="DB1502" t="s">
        <v>114</v>
      </c>
      <c r="DC1502" t="s">
        <v>136</v>
      </c>
      <c r="DD1502" t="s">
        <v>114</v>
      </c>
    </row>
    <row r="1503" spans="1:113" ht="15" customHeight="1" x14ac:dyDescent="0.25">
      <c r="A1503" t="s">
        <v>20715</v>
      </c>
      <c r="B1503" t="s">
        <v>152</v>
      </c>
      <c r="C1503" s="1">
        <v>45141.476778009259</v>
      </c>
      <c r="D1503" s="1">
        <v>45211</v>
      </c>
      <c r="E1503" t="s">
        <v>114</v>
      </c>
      <c r="F1503" t="s">
        <v>700</v>
      </c>
      <c r="G1503" t="str">
        <f>"37-2011.00"</f>
        <v>37-2011.00</v>
      </c>
      <c r="H1503" t="s">
        <v>1089</v>
      </c>
      <c r="I1503">
        <v>16</v>
      </c>
      <c r="J1503">
        <v>16</v>
      </c>
      <c r="K1503" s="1">
        <v>45231</v>
      </c>
      <c r="L1503" s="1">
        <v>45366</v>
      </c>
      <c r="M1503" s="1">
        <v>45231</v>
      </c>
      <c r="N1503" s="1">
        <v>45366</v>
      </c>
      <c r="O1503" t="s">
        <v>238</v>
      </c>
      <c r="P1503" t="s">
        <v>20716</v>
      </c>
      <c r="R1503" t="s">
        <v>20717</v>
      </c>
      <c r="T1503" t="s">
        <v>4139</v>
      </c>
      <c r="U1503" t="s">
        <v>543</v>
      </c>
      <c r="V1503" s="8" t="str">
        <f>"45247"</f>
        <v>45247</v>
      </c>
      <c r="W1503" t="s">
        <v>118</v>
      </c>
      <c r="Y1503" s="10">
        <v>15133854775</v>
      </c>
      <c r="AA1503">
        <v>56173</v>
      </c>
      <c r="AB1503" t="s">
        <v>985</v>
      </c>
      <c r="AC1503" t="s">
        <v>1826</v>
      </c>
      <c r="AE1503" t="s">
        <v>561</v>
      </c>
      <c r="AF1503" t="s">
        <v>20717</v>
      </c>
      <c r="AH1503" t="s">
        <v>4139</v>
      </c>
      <c r="AI1503" t="s">
        <v>543</v>
      </c>
      <c r="AJ1503" s="8" t="str">
        <f>"45247"</f>
        <v>45247</v>
      </c>
      <c r="AK1503" t="s">
        <v>118</v>
      </c>
      <c r="AM1503" s="10">
        <v>15133854775</v>
      </c>
      <c r="AO1503" t="s">
        <v>132</v>
      </c>
      <c r="AP1503" t="s">
        <v>121</v>
      </c>
      <c r="AQ1503" t="s">
        <v>1172</v>
      </c>
      <c r="AR1503" t="s">
        <v>1173</v>
      </c>
      <c r="AS1503" t="s">
        <v>708</v>
      </c>
      <c r="AT1503" t="s">
        <v>3325</v>
      </c>
      <c r="AV1503" t="s">
        <v>603</v>
      </c>
      <c r="AW1503" t="s">
        <v>127</v>
      </c>
      <c r="AX1503" s="8" t="str">
        <f>"78705"</f>
        <v>78705</v>
      </c>
      <c r="AY1503" t="s">
        <v>118</v>
      </c>
      <c r="BA1503" s="10">
        <v>15123470007</v>
      </c>
      <c r="BC1503" t="s">
        <v>1175</v>
      </c>
      <c r="BD1503" t="s">
        <v>1176</v>
      </c>
      <c r="BE1503" t="s">
        <v>127</v>
      </c>
      <c r="BF1503" t="s">
        <v>750</v>
      </c>
      <c r="BG1503" t="s">
        <v>543</v>
      </c>
      <c r="BH1503" s="1">
        <v>45140.833333333336</v>
      </c>
      <c r="BI1503">
        <v>40</v>
      </c>
      <c r="BJ1503">
        <v>0</v>
      </c>
      <c r="BK1503">
        <v>8</v>
      </c>
      <c r="BL1503">
        <v>8</v>
      </c>
      <c r="BM1503">
        <v>8</v>
      </c>
      <c r="BN1503">
        <v>8</v>
      </c>
      <c r="BO1503">
        <v>8</v>
      </c>
      <c r="BP1503">
        <v>0</v>
      </c>
      <c r="BQ1503" t="str">
        <f>"8:00 AM"</f>
        <v>8:00 AM</v>
      </c>
      <c r="BR1503" t="str">
        <f>"5:00 PM"</f>
        <v>5:00 PM</v>
      </c>
      <c r="BS1503" t="s">
        <v>131</v>
      </c>
      <c r="BT1503">
        <v>0</v>
      </c>
      <c r="BU1503">
        <v>0</v>
      </c>
      <c r="BV1503" t="s">
        <v>114</v>
      </c>
      <c r="BX1503" t="s">
        <v>131</v>
      </c>
      <c r="BY1503" t="s">
        <v>20718</v>
      </c>
      <c r="CA1503" t="s">
        <v>4966</v>
      </c>
      <c r="CB1503" t="s">
        <v>543</v>
      </c>
      <c r="CC1503" s="8" t="str">
        <f>"45002"</f>
        <v>45002</v>
      </c>
      <c r="CD1503" t="s">
        <v>4144</v>
      </c>
      <c r="CE1503" t="s">
        <v>3443</v>
      </c>
      <c r="CF1503" s="12">
        <v>15.06</v>
      </c>
      <c r="CG1503" s="12">
        <v>15.06</v>
      </c>
      <c r="CH1503" s="12">
        <v>22.59</v>
      </c>
      <c r="CI1503" s="12">
        <v>22.59</v>
      </c>
      <c r="CJ1503" t="s">
        <v>135</v>
      </c>
      <c r="CK1503" t="s">
        <v>20719</v>
      </c>
      <c r="CL1503" t="s">
        <v>20720</v>
      </c>
      <c r="CO1503" t="s">
        <v>132</v>
      </c>
      <c r="CP1503" t="s">
        <v>136</v>
      </c>
      <c r="CQ1503" t="s">
        <v>136</v>
      </c>
      <c r="CR1503" t="s">
        <v>136</v>
      </c>
      <c r="CS1503" t="s">
        <v>136</v>
      </c>
      <c r="CT1503" t="s">
        <v>136</v>
      </c>
      <c r="CU1503" t="s">
        <v>136</v>
      </c>
      <c r="CV1503" s="2" t="s">
        <v>20721</v>
      </c>
      <c r="CW1503" s="10" t="str">
        <f>"+15133854775"</f>
        <v>+15133854775</v>
      </c>
      <c r="CX1503" t="s">
        <v>20722</v>
      </c>
      <c r="CY1503" t="s">
        <v>132</v>
      </c>
      <c r="CZ1503" t="s">
        <v>137</v>
      </c>
      <c r="DA1503" t="s">
        <v>114</v>
      </c>
      <c r="DB1503" t="s">
        <v>114</v>
      </c>
      <c r="DC1503" t="s">
        <v>136</v>
      </c>
      <c r="DD1503" t="s">
        <v>114</v>
      </c>
    </row>
    <row r="1504" spans="1:113" ht="15" customHeight="1" x14ac:dyDescent="0.25">
      <c r="A1504" t="s">
        <v>6343</v>
      </c>
      <c r="B1504" t="s">
        <v>152</v>
      </c>
      <c r="C1504" s="1">
        <v>45141.471633333334</v>
      </c>
      <c r="D1504" s="1">
        <v>45211</v>
      </c>
      <c r="E1504" t="s">
        <v>114</v>
      </c>
      <c r="F1504" t="s">
        <v>1950</v>
      </c>
      <c r="G1504" t="str">
        <f>"37-2012.00"</f>
        <v>37-2012.00</v>
      </c>
      <c r="H1504" t="s">
        <v>205</v>
      </c>
      <c r="I1504">
        <v>3</v>
      </c>
      <c r="J1504">
        <v>3</v>
      </c>
      <c r="K1504" s="1">
        <v>45231</v>
      </c>
      <c r="L1504" s="1">
        <v>45504</v>
      </c>
      <c r="M1504" s="1">
        <v>45231</v>
      </c>
      <c r="N1504" s="1">
        <v>45504</v>
      </c>
      <c r="O1504" t="s">
        <v>238</v>
      </c>
      <c r="P1504" t="s">
        <v>6344</v>
      </c>
      <c r="Q1504" t="s">
        <v>6345</v>
      </c>
      <c r="R1504" t="s">
        <v>6346</v>
      </c>
      <c r="S1504" t="s">
        <v>1900</v>
      </c>
      <c r="T1504" t="s">
        <v>6347</v>
      </c>
      <c r="U1504" t="s">
        <v>2030</v>
      </c>
      <c r="V1504" s="8" t="str">
        <f>"57401"</f>
        <v>57401</v>
      </c>
      <c r="W1504" t="s">
        <v>118</v>
      </c>
      <c r="Y1504" s="10">
        <v>16052251712</v>
      </c>
      <c r="AA1504">
        <v>72111</v>
      </c>
      <c r="AB1504" t="s">
        <v>6348</v>
      </c>
      <c r="AC1504" t="s">
        <v>4901</v>
      </c>
      <c r="AE1504" t="s">
        <v>3683</v>
      </c>
      <c r="AF1504" t="s">
        <v>6346</v>
      </c>
      <c r="AG1504" t="s">
        <v>1900</v>
      </c>
      <c r="AH1504" t="s">
        <v>6347</v>
      </c>
      <c r="AI1504" t="s">
        <v>2030</v>
      </c>
      <c r="AJ1504" s="8" t="str">
        <f>"57401"</f>
        <v>57401</v>
      </c>
      <c r="AK1504" t="s">
        <v>118</v>
      </c>
      <c r="AM1504" s="10">
        <v>16052251712</v>
      </c>
      <c r="AO1504" t="s">
        <v>6349</v>
      </c>
      <c r="AP1504" t="s">
        <v>248</v>
      </c>
      <c r="AQ1504" t="s">
        <v>3352</v>
      </c>
      <c r="AR1504" t="s">
        <v>3353</v>
      </c>
      <c r="AT1504" t="s">
        <v>3354</v>
      </c>
      <c r="AV1504" t="s">
        <v>3355</v>
      </c>
      <c r="AW1504" t="s">
        <v>358</v>
      </c>
      <c r="AX1504" s="8" t="str">
        <f>"12901"</f>
        <v>12901</v>
      </c>
      <c r="AY1504" t="s">
        <v>118</v>
      </c>
      <c r="BA1504" s="10">
        <v>15188250360</v>
      </c>
      <c r="BC1504" t="s">
        <v>3356</v>
      </c>
      <c r="BD1504" t="s">
        <v>3357</v>
      </c>
      <c r="BG1504" t="s">
        <v>2030</v>
      </c>
      <c r="BH1504" s="1">
        <v>45132.833333333336</v>
      </c>
      <c r="BI1504">
        <v>42</v>
      </c>
      <c r="BJ1504">
        <v>6</v>
      </c>
      <c r="BK1504">
        <v>6</v>
      </c>
      <c r="BL1504">
        <v>6</v>
      </c>
      <c r="BM1504">
        <v>6</v>
      </c>
      <c r="BN1504">
        <v>6</v>
      </c>
      <c r="BO1504">
        <v>6</v>
      </c>
      <c r="BP1504">
        <v>6</v>
      </c>
      <c r="BQ1504" t="str">
        <f>"8:00 AM"</f>
        <v>8:00 AM</v>
      </c>
      <c r="BR1504" t="str">
        <f>"3:00 PM"</f>
        <v>3:00 PM</v>
      </c>
      <c r="BS1504" t="s">
        <v>131</v>
      </c>
      <c r="BT1504">
        <v>0</v>
      </c>
      <c r="BU1504">
        <v>3</v>
      </c>
      <c r="BV1504" t="s">
        <v>114</v>
      </c>
      <c r="BX1504" s="2" t="s">
        <v>6350</v>
      </c>
      <c r="BY1504" t="s">
        <v>6351</v>
      </c>
      <c r="CA1504" t="s">
        <v>6347</v>
      </c>
      <c r="CB1504" t="s">
        <v>2030</v>
      </c>
      <c r="CC1504" s="8" t="str">
        <f>"57401"</f>
        <v>57401</v>
      </c>
      <c r="CD1504" t="s">
        <v>6352</v>
      </c>
      <c r="CE1504" t="s">
        <v>5386</v>
      </c>
      <c r="CF1504" s="12">
        <v>13.59</v>
      </c>
      <c r="CG1504" s="12">
        <v>13.59</v>
      </c>
      <c r="CH1504" s="12">
        <v>20.39</v>
      </c>
      <c r="CI1504" s="12">
        <v>20.39</v>
      </c>
      <c r="CJ1504" t="s">
        <v>135</v>
      </c>
      <c r="CL1504" t="s">
        <v>6353</v>
      </c>
      <c r="CO1504" t="s">
        <v>132</v>
      </c>
      <c r="CP1504" t="s">
        <v>114</v>
      </c>
      <c r="CQ1504" t="s">
        <v>136</v>
      </c>
      <c r="CR1504" t="s">
        <v>136</v>
      </c>
      <c r="CS1504" t="s">
        <v>114</v>
      </c>
      <c r="CT1504" t="s">
        <v>136</v>
      </c>
      <c r="CU1504" t="s">
        <v>136</v>
      </c>
      <c r="CV1504" t="s">
        <v>6354</v>
      </c>
      <c r="CW1504" s="10" t="str">
        <f>"+16052251712"</f>
        <v>+16052251712</v>
      </c>
      <c r="CX1504" t="s">
        <v>6349</v>
      </c>
      <c r="CY1504" t="s">
        <v>132</v>
      </c>
      <c r="CZ1504" t="s">
        <v>137</v>
      </c>
      <c r="DA1504" t="s">
        <v>114</v>
      </c>
      <c r="DB1504" t="s">
        <v>136</v>
      </c>
      <c r="DC1504" t="s">
        <v>136</v>
      </c>
      <c r="DD1504" t="s">
        <v>114</v>
      </c>
    </row>
    <row r="1505" spans="1:113" ht="15" customHeight="1" x14ac:dyDescent="0.25">
      <c r="A1505" t="s">
        <v>17243</v>
      </c>
      <c r="B1505" t="s">
        <v>152</v>
      </c>
      <c r="C1505" s="1">
        <v>45141.470986111111</v>
      </c>
      <c r="D1505" s="1">
        <v>45211</v>
      </c>
      <c r="E1505" t="s">
        <v>136</v>
      </c>
      <c r="F1505" t="s">
        <v>1689</v>
      </c>
      <c r="G1505" t="str">
        <f>"37-2012.00"</f>
        <v>37-2012.00</v>
      </c>
      <c r="H1505" t="s">
        <v>205</v>
      </c>
      <c r="I1505">
        <v>3</v>
      </c>
      <c r="J1505">
        <v>3</v>
      </c>
      <c r="K1505" s="1">
        <v>45231</v>
      </c>
      <c r="L1505" s="1">
        <v>45535</v>
      </c>
      <c r="M1505" s="1">
        <v>45231</v>
      </c>
      <c r="N1505" s="1">
        <v>45535</v>
      </c>
      <c r="O1505" t="s">
        <v>116</v>
      </c>
      <c r="P1505" t="s">
        <v>4681</v>
      </c>
      <c r="Q1505" t="s">
        <v>4682</v>
      </c>
      <c r="R1505" t="s">
        <v>4683</v>
      </c>
      <c r="T1505" t="s">
        <v>4684</v>
      </c>
      <c r="U1505" t="s">
        <v>140</v>
      </c>
      <c r="V1505" s="8" t="str">
        <f>"33050"</f>
        <v>33050</v>
      </c>
      <c r="W1505" t="s">
        <v>118</v>
      </c>
      <c r="Y1505" s="10">
        <v>13054819451</v>
      </c>
      <c r="AA1505">
        <v>721110</v>
      </c>
      <c r="AB1505" t="s">
        <v>4685</v>
      </c>
      <c r="AC1505" t="s">
        <v>4686</v>
      </c>
      <c r="AE1505" t="s">
        <v>4687</v>
      </c>
      <c r="AF1505" t="s">
        <v>4683</v>
      </c>
      <c r="AH1505" t="s">
        <v>4684</v>
      </c>
      <c r="AI1505" t="s">
        <v>140</v>
      </c>
      <c r="AJ1505" s="8" t="str">
        <f>"33050"</f>
        <v>33050</v>
      </c>
      <c r="AK1505" t="s">
        <v>118</v>
      </c>
      <c r="AM1505" s="10">
        <v>13054819451</v>
      </c>
      <c r="AO1505" t="s">
        <v>4688</v>
      </c>
      <c r="AP1505" t="s">
        <v>121</v>
      </c>
      <c r="AQ1505" t="s">
        <v>276</v>
      </c>
      <c r="AR1505" t="s">
        <v>277</v>
      </c>
      <c r="AS1505" t="s">
        <v>278</v>
      </c>
      <c r="AT1505" t="s">
        <v>279</v>
      </c>
      <c r="AU1505" t="s">
        <v>280</v>
      </c>
      <c r="AV1505" t="s">
        <v>281</v>
      </c>
      <c r="AW1505" t="s">
        <v>222</v>
      </c>
      <c r="AX1505" s="8" t="str">
        <f>"01701"</f>
        <v>01701</v>
      </c>
      <c r="AY1505" t="s">
        <v>118</v>
      </c>
      <c r="AZ1505" s="3" t="s">
        <v>2321</v>
      </c>
      <c r="BA1505" s="10">
        <v>16179399444</v>
      </c>
      <c r="BC1505" t="s">
        <v>282</v>
      </c>
      <c r="BD1505" t="s">
        <v>283</v>
      </c>
      <c r="BE1505" t="s">
        <v>222</v>
      </c>
      <c r="BF1505" t="s">
        <v>284</v>
      </c>
      <c r="BG1505" t="s">
        <v>140</v>
      </c>
      <c r="BH1505" s="1">
        <v>45140.833333333336</v>
      </c>
      <c r="BI1505">
        <v>40</v>
      </c>
      <c r="BJ1505">
        <v>0</v>
      </c>
      <c r="BK1505">
        <v>8</v>
      </c>
      <c r="BL1505">
        <v>8</v>
      </c>
      <c r="BM1505">
        <v>8</v>
      </c>
      <c r="BN1505">
        <v>8</v>
      </c>
      <c r="BO1505">
        <v>8</v>
      </c>
      <c r="BP1505">
        <v>0</v>
      </c>
      <c r="BQ1505" t="str">
        <f>"8:00 AM"</f>
        <v>8:00 AM</v>
      </c>
      <c r="BR1505" t="str">
        <f>"4:00 PM"</f>
        <v>4:00 PM</v>
      </c>
      <c r="BS1505" t="s">
        <v>131</v>
      </c>
      <c r="BT1505">
        <v>0</v>
      </c>
      <c r="BU1505">
        <v>3</v>
      </c>
      <c r="BV1505" t="s">
        <v>114</v>
      </c>
      <c r="BX1505" s="2" t="s">
        <v>4774</v>
      </c>
      <c r="BY1505" t="s">
        <v>4683</v>
      </c>
      <c r="CA1505" t="s">
        <v>4684</v>
      </c>
      <c r="CB1505" t="s">
        <v>140</v>
      </c>
      <c r="CC1505" s="8" t="str">
        <f>"33050"</f>
        <v>33050</v>
      </c>
      <c r="CD1505" t="s">
        <v>303</v>
      </c>
      <c r="CE1505" t="s">
        <v>304</v>
      </c>
      <c r="CF1505" s="12">
        <v>18</v>
      </c>
      <c r="CG1505" s="12">
        <v>18</v>
      </c>
      <c r="CH1505" s="12">
        <v>27</v>
      </c>
      <c r="CI1505" s="12">
        <v>27</v>
      </c>
      <c r="CJ1505" t="s">
        <v>135</v>
      </c>
      <c r="CK1505" t="s">
        <v>17244</v>
      </c>
      <c r="CL1505" t="s">
        <v>4776</v>
      </c>
      <c r="CO1505" t="s">
        <v>132</v>
      </c>
      <c r="CP1505" t="s">
        <v>114</v>
      </c>
      <c r="CQ1505" t="s">
        <v>114</v>
      </c>
      <c r="CR1505" t="s">
        <v>136</v>
      </c>
      <c r="CS1505" t="s">
        <v>136</v>
      </c>
      <c r="CT1505" t="s">
        <v>136</v>
      </c>
      <c r="CU1505" t="s">
        <v>136</v>
      </c>
      <c r="CV1505" t="s">
        <v>11398</v>
      </c>
      <c r="CW1505" s="10" t="str">
        <f>"+13054819451"</f>
        <v>+13054819451</v>
      </c>
      <c r="CX1505" t="s">
        <v>4688</v>
      </c>
      <c r="CY1505" t="s">
        <v>132</v>
      </c>
      <c r="CZ1505" t="s">
        <v>137</v>
      </c>
      <c r="DA1505" t="s">
        <v>114</v>
      </c>
      <c r="DB1505" t="s">
        <v>136</v>
      </c>
      <c r="DC1505" t="s">
        <v>136</v>
      </c>
      <c r="DD1505" t="s">
        <v>114</v>
      </c>
    </row>
    <row r="1506" spans="1:113" ht="15" customHeight="1" x14ac:dyDescent="0.25">
      <c r="A1506" t="s">
        <v>11394</v>
      </c>
      <c r="B1506" t="s">
        <v>152</v>
      </c>
      <c r="C1506" s="1">
        <v>45141.468780208335</v>
      </c>
      <c r="D1506" s="1">
        <v>45211</v>
      </c>
      <c r="E1506" t="s">
        <v>136</v>
      </c>
      <c r="F1506" t="s">
        <v>6045</v>
      </c>
      <c r="G1506" t="str">
        <f>"37-2012.00"</f>
        <v>37-2012.00</v>
      </c>
      <c r="H1506" t="s">
        <v>205</v>
      </c>
      <c r="I1506">
        <v>2</v>
      </c>
      <c r="J1506">
        <v>2</v>
      </c>
      <c r="K1506" s="1">
        <v>45231</v>
      </c>
      <c r="L1506" s="1">
        <v>45535</v>
      </c>
      <c r="M1506" s="1">
        <v>45231</v>
      </c>
      <c r="N1506" s="1">
        <v>45535</v>
      </c>
      <c r="O1506" t="s">
        <v>116</v>
      </c>
      <c r="P1506" t="s">
        <v>6902</v>
      </c>
      <c r="Q1506" t="s">
        <v>4682</v>
      </c>
      <c r="R1506" t="s">
        <v>4683</v>
      </c>
      <c r="T1506" t="s">
        <v>4684</v>
      </c>
      <c r="U1506" t="s">
        <v>140</v>
      </c>
      <c r="V1506" s="8" t="str">
        <f>"33050"</f>
        <v>33050</v>
      </c>
      <c r="W1506" t="s">
        <v>118</v>
      </c>
      <c r="Y1506" s="10">
        <v>13054819451</v>
      </c>
      <c r="AA1506">
        <v>721110</v>
      </c>
      <c r="AB1506" t="s">
        <v>4685</v>
      </c>
      <c r="AC1506" t="s">
        <v>4686</v>
      </c>
      <c r="AE1506" t="s">
        <v>4687</v>
      </c>
      <c r="AF1506" t="s">
        <v>4683</v>
      </c>
      <c r="AH1506" t="s">
        <v>4684</v>
      </c>
      <c r="AI1506" t="s">
        <v>140</v>
      </c>
      <c r="AJ1506" s="8" t="str">
        <f>"33050"</f>
        <v>33050</v>
      </c>
      <c r="AK1506" t="s">
        <v>118</v>
      </c>
      <c r="AM1506" s="10">
        <v>13054819451</v>
      </c>
      <c r="AO1506" t="s">
        <v>4688</v>
      </c>
      <c r="AP1506" t="s">
        <v>121</v>
      </c>
      <c r="AQ1506" t="s">
        <v>276</v>
      </c>
      <c r="AR1506" t="s">
        <v>277</v>
      </c>
      <c r="AS1506" t="s">
        <v>278</v>
      </c>
      <c r="AT1506" t="s">
        <v>279</v>
      </c>
      <c r="AU1506" t="s">
        <v>280</v>
      </c>
      <c r="AV1506" t="s">
        <v>281</v>
      </c>
      <c r="AW1506" t="s">
        <v>222</v>
      </c>
      <c r="AX1506" s="8" t="str">
        <f>"01701"</f>
        <v>01701</v>
      </c>
      <c r="AY1506" t="s">
        <v>118</v>
      </c>
      <c r="AZ1506" s="3" t="s">
        <v>2321</v>
      </c>
      <c r="BA1506" s="10">
        <v>16179399444</v>
      </c>
      <c r="BC1506" t="s">
        <v>282</v>
      </c>
      <c r="BD1506" t="s">
        <v>283</v>
      </c>
      <c r="BE1506" t="s">
        <v>222</v>
      </c>
      <c r="BF1506" t="s">
        <v>284</v>
      </c>
      <c r="BG1506" t="s">
        <v>140</v>
      </c>
      <c r="BH1506" s="1">
        <v>45140.833333333336</v>
      </c>
      <c r="BI1506">
        <v>40</v>
      </c>
      <c r="BJ1506">
        <v>0</v>
      </c>
      <c r="BK1506">
        <v>8</v>
      </c>
      <c r="BL1506">
        <v>8</v>
      </c>
      <c r="BM1506">
        <v>8</v>
      </c>
      <c r="BN1506">
        <v>8</v>
      </c>
      <c r="BO1506">
        <v>8</v>
      </c>
      <c r="BP1506">
        <v>0</v>
      </c>
      <c r="BQ1506" t="str">
        <f>"7:00 AM"</f>
        <v>7:00 AM</v>
      </c>
      <c r="BR1506" t="str">
        <f>"3:00 PM"</f>
        <v>3:00 PM</v>
      </c>
      <c r="BS1506" t="s">
        <v>131</v>
      </c>
      <c r="BT1506">
        <v>0</v>
      </c>
      <c r="BU1506">
        <v>3</v>
      </c>
      <c r="BV1506" t="s">
        <v>114</v>
      </c>
      <c r="BX1506" s="2" t="s">
        <v>11395</v>
      </c>
      <c r="BY1506" t="s">
        <v>4683</v>
      </c>
      <c r="CA1506" t="s">
        <v>4684</v>
      </c>
      <c r="CB1506" t="s">
        <v>140</v>
      </c>
      <c r="CC1506" s="8" t="str">
        <f>"33050"</f>
        <v>33050</v>
      </c>
      <c r="CD1506" t="s">
        <v>303</v>
      </c>
      <c r="CE1506" t="s">
        <v>304</v>
      </c>
      <c r="CF1506" s="12">
        <v>16</v>
      </c>
      <c r="CG1506" s="12">
        <v>16</v>
      </c>
      <c r="CH1506" s="12">
        <v>24</v>
      </c>
      <c r="CI1506" s="12">
        <v>24</v>
      </c>
      <c r="CJ1506" t="s">
        <v>135</v>
      </c>
      <c r="CK1506" t="s">
        <v>11396</v>
      </c>
      <c r="CL1506" t="s">
        <v>11397</v>
      </c>
      <c r="CO1506" t="s">
        <v>132</v>
      </c>
      <c r="CP1506" t="s">
        <v>114</v>
      </c>
      <c r="CQ1506" t="s">
        <v>114</v>
      </c>
      <c r="CR1506" t="s">
        <v>136</v>
      </c>
      <c r="CS1506" t="s">
        <v>136</v>
      </c>
      <c r="CT1506" t="s">
        <v>136</v>
      </c>
      <c r="CU1506" t="s">
        <v>136</v>
      </c>
      <c r="CV1506" t="s">
        <v>11398</v>
      </c>
      <c r="CW1506" s="10" t="str">
        <f>"+13054819451"</f>
        <v>+13054819451</v>
      </c>
      <c r="CX1506" t="s">
        <v>4688</v>
      </c>
      <c r="CY1506" t="s">
        <v>132</v>
      </c>
      <c r="CZ1506" t="s">
        <v>137</v>
      </c>
      <c r="DA1506" t="s">
        <v>114</v>
      </c>
      <c r="DB1506" t="s">
        <v>136</v>
      </c>
      <c r="DC1506" t="s">
        <v>136</v>
      </c>
      <c r="DD1506" t="s">
        <v>114</v>
      </c>
    </row>
    <row r="1507" spans="1:113" ht="15" customHeight="1" x14ac:dyDescent="0.25">
      <c r="A1507" t="s">
        <v>6611</v>
      </c>
      <c r="B1507" t="s">
        <v>152</v>
      </c>
      <c r="C1507" s="1">
        <v>45124.693855092592</v>
      </c>
      <c r="D1507" s="1">
        <v>45211</v>
      </c>
      <c r="E1507" t="s">
        <v>114</v>
      </c>
      <c r="F1507" t="s">
        <v>6612</v>
      </c>
      <c r="G1507" t="str">
        <f>"37-3011.00"</f>
        <v>37-3011.00</v>
      </c>
      <c r="H1507" t="s">
        <v>429</v>
      </c>
      <c r="I1507">
        <v>154</v>
      </c>
      <c r="J1507">
        <v>154</v>
      </c>
      <c r="K1507" s="1">
        <v>45214</v>
      </c>
      <c r="L1507" s="1">
        <v>45322</v>
      </c>
      <c r="M1507" s="1">
        <v>45214</v>
      </c>
      <c r="N1507" s="1">
        <v>45322</v>
      </c>
      <c r="O1507" t="s">
        <v>238</v>
      </c>
      <c r="P1507" t="s">
        <v>6613</v>
      </c>
      <c r="R1507" t="s">
        <v>6614</v>
      </c>
      <c r="T1507" t="s">
        <v>4871</v>
      </c>
      <c r="U1507" t="s">
        <v>984</v>
      </c>
      <c r="V1507" s="8" t="str">
        <f>"63049"</f>
        <v>63049</v>
      </c>
      <c r="W1507" t="s">
        <v>118</v>
      </c>
      <c r="Y1507" s="10">
        <v>16366776263</v>
      </c>
      <c r="AA1507">
        <v>56173</v>
      </c>
      <c r="AB1507" t="s">
        <v>6615</v>
      </c>
      <c r="AC1507" t="s">
        <v>6616</v>
      </c>
      <c r="AE1507" t="s">
        <v>629</v>
      </c>
      <c r="AF1507" t="s">
        <v>6614</v>
      </c>
      <c r="AH1507" t="s">
        <v>4871</v>
      </c>
      <c r="AI1507" t="s">
        <v>984</v>
      </c>
      <c r="AJ1507" s="8" t="str">
        <f>"63049"</f>
        <v>63049</v>
      </c>
      <c r="AK1507" t="s">
        <v>118</v>
      </c>
      <c r="AM1507" s="10">
        <v>16366776263</v>
      </c>
      <c r="AO1507" t="s">
        <v>6617</v>
      </c>
      <c r="AP1507" t="s">
        <v>121</v>
      </c>
      <c r="AQ1507" t="s">
        <v>4293</v>
      </c>
      <c r="AR1507" t="s">
        <v>4294</v>
      </c>
      <c r="AS1507" t="s">
        <v>3625</v>
      </c>
      <c r="AT1507" t="s">
        <v>4295</v>
      </c>
      <c r="AV1507" t="s">
        <v>320</v>
      </c>
      <c r="AW1507" t="s">
        <v>127</v>
      </c>
      <c r="AX1507" s="8" t="str">
        <f>"78705"</f>
        <v>78705</v>
      </c>
      <c r="AY1507" t="s">
        <v>118</v>
      </c>
      <c r="BA1507" s="10">
        <v>15123470007</v>
      </c>
      <c r="BC1507" t="s">
        <v>6618</v>
      </c>
      <c r="BD1507" t="s">
        <v>6619</v>
      </c>
      <c r="BE1507" t="s">
        <v>127</v>
      </c>
      <c r="BF1507" t="s">
        <v>4298</v>
      </c>
      <c r="BG1507" t="s">
        <v>984</v>
      </c>
      <c r="BH1507" s="1">
        <v>45109.833333333336</v>
      </c>
      <c r="BI1507">
        <v>40</v>
      </c>
      <c r="BJ1507">
        <v>0</v>
      </c>
      <c r="BK1507">
        <v>8</v>
      </c>
      <c r="BL1507">
        <v>8</v>
      </c>
      <c r="BM1507">
        <v>8</v>
      </c>
      <c r="BN1507">
        <v>8</v>
      </c>
      <c r="BO1507">
        <v>8</v>
      </c>
      <c r="BP1507">
        <v>0</v>
      </c>
      <c r="BQ1507" t="str">
        <f>"8:00 AM"</f>
        <v>8:00 AM</v>
      </c>
      <c r="BR1507" t="str">
        <f>"5:00 PM"</f>
        <v>5:00 PM</v>
      </c>
      <c r="BS1507" t="s">
        <v>131</v>
      </c>
      <c r="BT1507">
        <v>0</v>
      </c>
      <c r="BU1507">
        <v>1</v>
      </c>
      <c r="BV1507" t="s">
        <v>114</v>
      </c>
      <c r="BX1507" t="s">
        <v>4299</v>
      </c>
      <c r="BY1507" t="s">
        <v>6614</v>
      </c>
      <c r="CA1507" t="s">
        <v>4871</v>
      </c>
      <c r="CB1507" t="s">
        <v>984</v>
      </c>
      <c r="CC1507" s="8" t="str">
        <f>"63049"</f>
        <v>63049</v>
      </c>
      <c r="CD1507" t="s">
        <v>1767</v>
      </c>
      <c r="CE1507" t="s">
        <v>1856</v>
      </c>
      <c r="CF1507" s="12">
        <v>16.96</v>
      </c>
      <c r="CH1507" s="12">
        <v>25.44</v>
      </c>
      <c r="CJ1507" t="s">
        <v>135</v>
      </c>
      <c r="CL1507" t="s">
        <v>6620</v>
      </c>
      <c r="CO1507" t="s">
        <v>132</v>
      </c>
      <c r="CP1507" t="s">
        <v>114</v>
      </c>
      <c r="CQ1507" t="s">
        <v>136</v>
      </c>
      <c r="CR1507" t="s">
        <v>136</v>
      </c>
      <c r="CS1507" t="s">
        <v>136</v>
      </c>
      <c r="CT1507" t="s">
        <v>136</v>
      </c>
      <c r="CU1507" t="s">
        <v>136</v>
      </c>
      <c r="CV1507" t="s">
        <v>6621</v>
      </c>
      <c r="CW1507" s="10" t="str">
        <f>"+16366776263"</f>
        <v>+16366776263</v>
      </c>
      <c r="CX1507" t="s">
        <v>6622</v>
      </c>
      <c r="CY1507" t="s">
        <v>132</v>
      </c>
      <c r="CZ1507" t="s">
        <v>137</v>
      </c>
      <c r="DA1507" t="s">
        <v>114</v>
      </c>
      <c r="DB1507" t="s">
        <v>114</v>
      </c>
      <c r="DC1507" t="s">
        <v>136</v>
      </c>
      <c r="DD1507" t="s">
        <v>114</v>
      </c>
    </row>
    <row r="1508" spans="1:113" ht="15" customHeight="1" x14ac:dyDescent="0.25">
      <c r="A1508" t="s">
        <v>23649</v>
      </c>
      <c r="B1508" t="s">
        <v>152</v>
      </c>
      <c r="C1508" s="1">
        <v>45120.749789930553</v>
      </c>
      <c r="D1508" s="1">
        <v>45211</v>
      </c>
      <c r="E1508" t="s">
        <v>114</v>
      </c>
      <c r="F1508" t="s">
        <v>1689</v>
      </c>
      <c r="G1508" t="str">
        <f>"37-2012.00"</f>
        <v>37-2012.00</v>
      </c>
      <c r="H1508" t="s">
        <v>205</v>
      </c>
      <c r="I1508">
        <v>20</v>
      </c>
      <c r="J1508">
        <v>20</v>
      </c>
      <c r="K1508" s="1">
        <v>45200</v>
      </c>
      <c r="L1508" s="1">
        <v>45413</v>
      </c>
      <c r="M1508" s="1">
        <v>45200</v>
      </c>
      <c r="N1508" s="1">
        <v>45413</v>
      </c>
      <c r="O1508" t="s">
        <v>116</v>
      </c>
      <c r="P1508" t="s">
        <v>18358</v>
      </c>
      <c r="R1508" t="s">
        <v>18359</v>
      </c>
      <c r="T1508" t="s">
        <v>401</v>
      </c>
      <c r="U1508" t="s">
        <v>402</v>
      </c>
      <c r="V1508" s="8" t="str">
        <f>"92008"</f>
        <v>92008</v>
      </c>
      <c r="W1508" t="s">
        <v>118</v>
      </c>
      <c r="X1508" t="s">
        <v>12356</v>
      </c>
      <c r="Y1508" s="10">
        <v>17604318500</v>
      </c>
      <c r="AA1508">
        <v>72111</v>
      </c>
      <c r="AB1508" t="s">
        <v>11772</v>
      </c>
      <c r="AC1508" t="s">
        <v>12336</v>
      </c>
      <c r="AE1508" t="s">
        <v>11034</v>
      </c>
      <c r="AF1508" t="s">
        <v>18359</v>
      </c>
      <c r="AH1508" t="s">
        <v>401</v>
      </c>
      <c r="AI1508" t="s">
        <v>402</v>
      </c>
      <c r="AJ1508" s="8" t="str">
        <f>"92008"</f>
        <v>92008</v>
      </c>
      <c r="AK1508" t="s">
        <v>118</v>
      </c>
      <c r="AL1508" t="s">
        <v>12356</v>
      </c>
      <c r="AM1508" s="10">
        <v>17604318500</v>
      </c>
      <c r="AO1508" t="s">
        <v>18360</v>
      </c>
      <c r="AP1508" t="s">
        <v>121</v>
      </c>
      <c r="AQ1508" t="s">
        <v>1327</v>
      </c>
      <c r="AR1508" t="s">
        <v>1328</v>
      </c>
      <c r="AS1508" t="s">
        <v>1329</v>
      </c>
      <c r="AT1508" t="s">
        <v>1330</v>
      </c>
      <c r="AU1508" t="s">
        <v>1331</v>
      </c>
      <c r="AV1508" t="s">
        <v>142</v>
      </c>
      <c r="AW1508" t="s">
        <v>140</v>
      </c>
      <c r="AX1508" s="8" t="str">
        <f>"33126"</f>
        <v>33126</v>
      </c>
      <c r="AY1508" t="s">
        <v>118</v>
      </c>
      <c r="BA1508" s="10">
        <v>13057745800</v>
      </c>
      <c r="BC1508" t="s">
        <v>1332</v>
      </c>
      <c r="BD1508" t="s">
        <v>1333</v>
      </c>
      <c r="BE1508" t="s">
        <v>140</v>
      </c>
      <c r="BF1508" t="s">
        <v>172</v>
      </c>
      <c r="BG1508" t="s">
        <v>7263</v>
      </c>
      <c r="BH1508" s="1">
        <v>45116.833333333336</v>
      </c>
      <c r="BI1508">
        <v>35</v>
      </c>
      <c r="BJ1508">
        <v>0</v>
      </c>
      <c r="BK1508">
        <v>8</v>
      </c>
      <c r="BL1508">
        <v>8</v>
      </c>
      <c r="BM1508">
        <v>8</v>
      </c>
      <c r="BN1508">
        <v>8</v>
      </c>
      <c r="BO1508">
        <v>3</v>
      </c>
      <c r="BP1508">
        <v>0</v>
      </c>
      <c r="BQ1508" t="str">
        <f>"8:30 AM"</f>
        <v>8:30 AM</v>
      </c>
      <c r="BR1508" t="str">
        <f>"4:00 PM"</f>
        <v>4:00 PM</v>
      </c>
      <c r="BS1508" t="s">
        <v>131</v>
      </c>
      <c r="BT1508">
        <v>0</v>
      </c>
      <c r="BU1508">
        <v>0</v>
      </c>
      <c r="BV1508" t="s">
        <v>114</v>
      </c>
      <c r="BX1508" s="2" t="s">
        <v>23650</v>
      </c>
      <c r="BY1508" t="s">
        <v>23651</v>
      </c>
      <c r="CA1508" t="s">
        <v>7841</v>
      </c>
      <c r="CB1508" t="s">
        <v>7263</v>
      </c>
      <c r="CC1508" s="8" t="str">
        <f>"96722"</f>
        <v>96722</v>
      </c>
      <c r="CD1508" t="s">
        <v>7842</v>
      </c>
      <c r="CE1508" t="s">
        <v>7266</v>
      </c>
      <c r="CF1508" s="12">
        <v>23</v>
      </c>
      <c r="CG1508" s="12">
        <v>26.78</v>
      </c>
      <c r="CH1508" s="12">
        <v>34.5</v>
      </c>
      <c r="CI1508" s="12">
        <v>40.17</v>
      </c>
      <c r="CJ1508" t="s">
        <v>135</v>
      </c>
      <c r="CL1508" t="s">
        <v>23652</v>
      </c>
      <c r="CO1508" t="s">
        <v>132</v>
      </c>
      <c r="CP1508" t="s">
        <v>136</v>
      </c>
      <c r="CQ1508" t="s">
        <v>114</v>
      </c>
      <c r="CR1508" t="s">
        <v>136</v>
      </c>
      <c r="CS1508" t="s">
        <v>114</v>
      </c>
      <c r="CT1508" t="s">
        <v>136</v>
      </c>
      <c r="CU1508" t="s">
        <v>136</v>
      </c>
      <c r="CV1508" t="s">
        <v>23653</v>
      </c>
      <c r="CW1508" s="10" t="str">
        <f>"+18082743056"</f>
        <v>+18082743056</v>
      </c>
      <c r="CX1508" t="s">
        <v>18360</v>
      </c>
      <c r="CY1508" t="s">
        <v>18365</v>
      </c>
      <c r="CZ1508" t="s">
        <v>137</v>
      </c>
      <c r="DA1508" t="s">
        <v>114</v>
      </c>
      <c r="DB1508" t="s">
        <v>136</v>
      </c>
      <c r="DC1508" t="s">
        <v>136</v>
      </c>
      <c r="DD1508" t="s">
        <v>114</v>
      </c>
    </row>
    <row r="1509" spans="1:113" ht="15" customHeight="1" x14ac:dyDescent="0.25">
      <c r="A1509" t="s">
        <v>20314</v>
      </c>
      <c r="B1509" t="s">
        <v>152</v>
      </c>
      <c r="C1509" s="1">
        <v>45117.638389814812</v>
      </c>
      <c r="D1509" s="1">
        <v>45211</v>
      </c>
      <c r="E1509" t="s">
        <v>114</v>
      </c>
      <c r="F1509" t="s">
        <v>20315</v>
      </c>
      <c r="G1509" t="str">
        <f>"35-3031.00"</f>
        <v>35-3031.00</v>
      </c>
      <c r="H1509" t="s">
        <v>347</v>
      </c>
      <c r="I1509">
        <v>12</v>
      </c>
      <c r="J1509">
        <v>12</v>
      </c>
      <c r="K1509" s="1">
        <v>45200</v>
      </c>
      <c r="L1509" s="1">
        <v>45474</v>
      </c>
      <c r="M1509" s="1">
        <v>45200</v>
      </c>
      <c r="N1509" s="1">
        <v>45474</v>
      </c>
      <c r="O1509" t="s">
        <v>238</v>
      </c>
      <c r="P1509" t="s">
        <v>20316</v>
      </c>
      <c r="Q1509" t="s">
        <v>20317</v>
      </c>
      <c r="R1509" t="s">
        <v>20318</v>
      </c>
      <c r="T1509" t="s">
        <v>2564</v>
      </c>
      <c r="U1509" t="s">
        <v>127</v>
      </c>
      <c r="V1509" s="8" t="str">
        <f>"77009"</f>
        <v>77009</v>
      </c>
      <c r="W1509" t="s">
        <v>118</v>
      </c>
      <c r="Y1509" s="10">
        <v>17138691706</v>
      </c>
      <c r="AA1509">
        <v>722511</v>
      </c>
      <c r="AB1509" t="s">
        <v>20319</v>
      </c>
      <c r="AC1509" t="s">
        <v>123</v>
      </c>
      <c r="AD1509" t="s">
        <v>20320</v>
      </c>
      <c r="AE1509" t="s">
        <v>743</v>
      </c>
      <c r="AF1509" t="s">
        <v>20318</v>
      </c>
      <c r="AH1509" t="s">
        <v>2564</v>
      </c>
      <c r="AI1509" t="s">
        <v>127</v>
      </c>
      <c r="AJ1509" s="8" t="str">
        <f>"77009"</f>
        <v>77009</v>
      </c>
      <c r="AK1509" t="s">
        <v>118</v>
      </c>
      <c r="AM1509" s="10">
        <v>18323865035</v>
      </c>
      <c r="AO1509" t="s">
        <v>20321</v>
      </c>
      <c r="AP1509" t="s">
        <v>121</v>
      </c>
      <c r="AQ1509" t="s">
        <v>9750</v>
      </c>
      <c r="AR1509" t="s">
        <v>20322</v>
      </c>
      <c r="AS1509" t="s">
        <v>20323</v>
      </c>
      <c r="AT1509" t="s">
        <v>20324</v>
      </c>
      <c r="AU1509" t="s">
        <v>14818</v>
      </c>
      <c r="AV1509" t="s">
        <v>2564</v>
      </c>
      <c r="AW1509" t="s">
        <v>127</v>
      </c>
      <c r="AX1509" s="8" t="str">
        <f>"77042"</f>
        <v>77042</v>
      </c>
      <c r="AY1509" t="s">
        <v>118</v>
      </c>
      <c r="BA1509" s="10">
        <v>18325332228</v>
      </c>
      <c r="BC1509" t="s">
        <v>20325</v>
      </c>
      <c r="BD1509" t="s">
        <v>20326</v>
      </c>
      <c r="BE1509" t="s">
        <v>127</v>
      </c>
      <c r="BF1509" t="s">
        <v>713</v>
      </c>
      <c r="BG1509" t="s">
        <v>127</v>
      </c>
      <c r="BH1509" s="1">
        <v>45111.833333333336</v>
      </c>
      <c r="BI1509">
        <v>40</v>
      </c>
      <c r="BJ1509">
        <v>8</v>
      </c>
      <c r="BK1509">
        <v>0</v>
      </c>
      <c r="BL1509">
        <v>0</v>
      </c>
      <c r="BM1509">
        <v>8</v>
      </c>
      <c r="BN1509">
        <v>8</v>
      </c>
      <c r="BO1509">
        <v>8</v>
      </c>
      <c r="BP1509">
        <v>8</v>
      </c>
      <c r="BQ1509" t="str">
        <f>"4:00 PM"</f>
        <v>4:00 PM</v>
      </c>
      <c r="BR1509" t="str">
        <f>"12:00 AM"</f>
        <v>12:00 AM</v>
      </c>
      <c r="BS1509" t="s">
        <v>131</v>
      </c>
      <c r="BT1509">
        <v>0</v>
      </c>
      <c r="BU1509">
        <v>0</v>
      </c>
      <c r="BV1509" t="s">
        <v>114</v>
      </c>
      <c r="BX1509" s="2" t="s">
        <v>20327</v>
      </c>
      <c r="BY1509" t="s">
        <v>20318</v>
      </c>
      <c r="CA1509" t="s">
        <v>2564</v>
      </c>
      <c r="CB1509" t="s">
        <v>127</v>
      </c>
      <c r="CC1509" s="8" t="str">
        <f>"77009"</f>
        <v>77009</v>
      </c>
      <c r="CD1509" t="s">
        <v>3327</v>
      </c>
      <c r="CE1509" t="s">
        <v>879</v>
      </c>
      <c r="CF1509" s="12">
        <v>12.49</v>
      </c>
      <c r="CJ1509" t="s">
        <v>135</v>
      </c>
      <c r="CL1509" t="s">
        <v>20328</v>
      </c>
      <c r="CO1509" t="s">
        <v>132</v>
      </c>
      <c r="CP1509" t="s">
        <v>114</v>
      </c>
      <c r="CQ1509" t="s">
        <v>136</v>
      </c>
      <c r="CR1509" t="s">
        <v>136</v>
      </c>
      <c r="CS1509" t="s">
        <v>114</v>
      </c>
      <c r="CT1509" t="s">
        <v>136</v>
      </c>
      <c r="CU1509" t="s">
        <v>136</v>
      </c>
      <c r="CV1509" t="s">
        <v>20329</v>
      </c>
      <c r="CW1509" s="10" t="str">
        <f>"+17138691706"</f>
        <v>+17138691706</v>
      </c>
      <c r="CX1509" t="s">
        <v>20321</v>
      </c>
      <c r="CY1509" t="s">
        <v>132</v>
      </c>
      <c r="CZ1509" t="s">
        <v>137</v>
      </c>
      <c r="DA1509" t="s">
        <v>114</v>
      </c>
      <c r="DB1509" t="s">
        <v>114</v>
      </c>
      <c r="DC1509" t="s">
        <v>136</v>
      </c>
      <c r="DD1509" t="s">
        <v>114</v>
      </c>
      <c r="DE1509" t="s">
        <v>9750</v>
      </c>
      <c r="DF1509" t="s">
        <v>20322</v>
      </c>
      <c r="DG1509" t="s">
        <v>1738</v>
      </c>
      <c r="DH1509" t="s">
        <v>20330</v>
      </c>
      <c r="DI1509" t="s">
        <v>20325</v>
      </c>
    </row>
    <row r="1510" spans="1:113" ht="15" customHeight="1" x14ac:dyDescent="0.25">
      <c r="A1510" t="s">
        <v>10274</v>
      </c>
      <c r="B1510" t="s">
        <v>152</v>
      </c>
      <c r="C1510" s="1">
        <v>45113.731958796299</v>
      </c>
      <c r="D1510" s="1">
        <v>45211</v>
      </c>
      <c r="E1510" t="s">
        <v>114</v>
      </c>
      <c r="F1510" t="s">
        <v>700</v>
      </c>
      <c r="G1510" t="str">
        <f>"47-2061.00"</f>
        <v>47-2061.00</v>
      </c>
      <c r="H1510" t="s">
        <v>570</v>
      </c>
      <c r="I1510">
        <v>12</v>
      </c>
      <c r="J1510">
        <v>12</v>
      </c>
      <c r="K1510" s="1">
        <v>45200</v>
      </c>
      <c r="L1510" s="1">
        <v>45473</v>
      </c>
      <c r="M1510" s="1">
        <v>45200</v>
      </c>
      <c r="N1510" s="1">
        <v>45473</v>
      </c>
      <c r="O1510" t="s">
        <v>238</v>
      </c>
      <c r="P1510" t="s">
        <v>10275</v>
      </c>
      <c r="R1510" t="s">
        <v>10276</v>
      </c>
      <c r="T1510" t="s">
        <v>10277</v>
      </c>
      <c r="U1510" t="s">
        <v>140</v>
      </c>
      <c r="V1510" s="8" t="str">
        <f>"34945"</f>
        <v>34945</v>
      </c>
      <c r="W1510" t="s">
        <v>118</v>
      </c>
      <c r="Y1510" s="10">
        <v>17724652626</v>
      </c>
      <c r="AA1510">
        <v>23622</v>
      </c>
      <c r="AB1510" t="s">
        <v>10278</v>
      </c>
      <c r="AC1510" t="s">
        <v>10279</v>
      </c>
      <c r="AE1510" t="s">
        <v>1799</v>
      </c>
      <c r="AF1510" t="s">
        <v>10276</v>
      </c>
      <c r="AH1510" t="s">
        <v>10277</v>
      </c>
      <c r="AI1510" t="s">
        <v>140</v>
      </c>
      <c r="AJ1510" s="8" t="str">
        <f>"34945"</f>
        <v>34945</v>
      </c>
      <c r="AK1510" t="s">
        <v>118</v>
      </c>
      <c r="AM1510" s="10">
        <v>17724652626</v>
      </c>
      <c r="AO1510" t="s">
        <v>132</v>
      </c>
      <c r="AP1510" t="s">
        <v>248</v>
      </c>
      <c r="AQ1510" t="s">
        <v>577</v>
      </c>
      <c r="AR1510" t="s">
        <v>578</v>
      </c>
      <c r="AT1510" t="s">
        <v>1350</v>
      </c>
      <c r="AU1510" t="s">
        <v>1351</v>
      </c>
      <c r="AV1510" t="s">
        <v>1352</v>
      </c>
      <c r="AW1510" t="s">
        <v>581</v>
      </c>
      <c r="AX1510" s="8" t="str">
        <f>"22949"</f>
        <v>22949</v>
      </c>
      <c r="AY1510" t="s">
        <v>118</v>
      </c>
      <c r="BA1510" s="10">
        <v>14342634300</v>
      </c>
      <c r="BC1510" t="s">
        <v>1353</v>
      </c>
      <c r="BD1510" t="s">
        <v>583</v>
      </c>
      <c r="BG1510" t="s">
        <v>140</v>
      </c>
      <c r="BH1510" s="1">
        <v>45112.833333333336</v>
      </c>
      <c r="BI1510">
        <v>35</v>
      </c>
      <c r="BJ1510">
        <v>0</v>
      </c>
      <c r="BK1510">
        <v>7</v>
      </c>
      <c r="BL1510">
        <v>7</v>
      </c>
      <c r="BM1510">
        <v>7</v>
      </c>
      <c r="BN1510">
        <v>7</v>
      </c>
      <c r="BO1510">
        <v>7</v>
      </c>
      <c r="BP1510">
        <v>0</v>
      </c>
      <c r="BQ1510" t="str">
        <f>"8:00 AM"</f>
        <v>8:00 AM</v>
      </c>
      <c r="BR1510" t="str">
        <f>"4:00 PM"</f>
        <v>4:00 PM</v>
      </c>
      <c r="BS1510" t="s">
        <v>131</v>
      </c>
      <c r="BT1510">
        <v>0</v>
      </c>
      <c r="BU1510">
        <v>3</v>
      </c>
      <c r="BV1510" t="s">
        <v>114</v>
      </c>
      <c r="BX1510" s="2" t="s">
        <v>10280</v>
      </c>
      <c r="BY1510" t="s">
        <v>10281</v>
      </c>
      <c r="CA1510" t="s">
        <v>2918</v>
      </c>
      <c r="CB1510" t="s">
        <v>140</v>
      </c>
      <c r="CC1510" s="8" t="str">
        <f>"33830"</f>
        <v>33830</v>
      </c>
      <c r="CD1510" t="s">
        <v>938</v>
      </c>
      <c r="CE1510" t="s">
        <v>1921</v>
      </c>
      <c r="CF1510" s="12">
        <v>21.99</v>
      </c>
      <c r="CH1510" s="12">
        <v>32.99</v>
      </c>
      <c r="CJ1510" t="s">
        <v>135</v>
      </c>
      <c r="CK1510" t="s">
        <v>590</v>
      </c>
      <c r="CL1510" t="s">
        <v>10282</v>
      </c>
      <c r="CO1510" t="s">
        <v>132</v>
      </c>
      <c r="CP1510" t="s">
        <v>136</v>
      </c>
      <c r="CQ1510" t="s">
        <v>136</v>
      </c>
      <c r="CR1510" t="s">
        <v>136</v>
      </c>
      <c r="CS1510" t="s">
        <v>114</v>
      </c>
      <c r="CT1510" t="s">
        <v>136</v>
      </c>
      <c r="CU1510" t="s">
        <v>136</v>
      </c>
      <c r="CV1510" t="s">
        <v>10283</v>
      </c>
      <c r="CW1510" s="10" t="str">
        <f>"+17725011748"</f>
        <v>+17725011748</v>
      </c>
      <c r="CX1510" t="s">
        <v>132</v>
      </c>
      <c r="CY1510" t="s">
        <v>1876</v>
      </c>
      <c r="CZ1510" t="s">
        <v>10033</v>
      </c>
      <c r="DA1510" t="s">
        <v>136</v>
      </c>
      <c r="DB1510" t="s">
        <v>114</v>
      </c>
      <c r="DC1510" t="s">
        <v>136</v>
      </c>
      <c r="DD1510" t="s">
        <v>114</v>
      </c>
      <c r="DE1510" t="s">
        <v>1361</v>
      </c>
      <c r="DF1510" t="s">
        <v>1362</v>
      </c>
      <c r="DH1510" t="s">
        <v>583</v>
      </c>
      <c r="DI1510" t="s">
        <v>1353</v>
      </c>
    </row>
    <row r="1511" spans="1:113" ht="15" customHeight="1" x14ac:dyDescent="0.25">
      <c r="A1511" t="s">
        <v>23634</v>
      </c>
      <c r="B1511" t="s">
        <v>152</v>
      </c>
      <c r="C1511" s="1">
        <v>45112.713979513886</v>
      </c>
      <c r="D1511" s="1">
        <v>45211</v>
      </c>
      <c r="E1511" t="s">
        <v>114</v>
      </c>
      <c r="F1511" t="s">
        <v>23635</v>
      </c>
      <c r="G1511" t="str">
        <f>"39-9011.01"</f>
        <v>39-9011.01</v>
      </c>
      <c r="H1511" t="s">
        <v>183</v>
      </c>
      <c r="I1511">
        <v>1</v>
      </c>
      <c r="J1511">
        <v>1</v>
      </c>
      <c r="K1511" s="1">
        <v>45200</v>
      </c>
      <c r="L1511" s="1">
        <v>46295</v>
      </c>
      <c r="M1511" s="1">
        <v>45200</v>
      </c>
      <c r="N1511" s="1">
        <v>46295</v>
      </c>
      <c r="O1511" t="s">
        <v>184</v>
      </c>
      <c r="P1511" t="s">
        <v>23636</v>
      </c>
      <c r="Q1511" t="s">
        <v>23636</v>
      </c>
      <c r="R1511" t="s">
        <v>23637</v>
      </c>
      <c r="T1511" t="s">
        <v>168</v>
      </c>
      <c r="U1511" t="s">
        <v>169</v>
      </c>
      <c r="V1511" s="8" t="str">
        <f>"55419"</f>
        <v>55419</v>
      </c>
      <c r="W1511" t="s">
        <v>118</v>
      </c>
      <c r="Y1511" s="10">
        <v>15126659000</v>
      </c>
      <c r="AA1511">
        <v>814110</v>
      </c>
      <c r="AB1511" t="s">
        <v>3017</v>
      </c>
      <c r="AC1511" t="s">
        <v>3689</v>
      </c>
      <c r="AE1511" t="s">
        <v>121</v>
      </c>
      <c r="AF1511" t="s">
        <v>23637</v>
      </c>
      <c r="AH1511" t="s">
        <v>168</v>
      </c>
      <c r="AI1511" t="s">
        <v>169</v>
      </c>
      <c r="AJ1511" s="8" t="str">
        <f>"55419"</f>
        <v>55419</v>
      </c>
      <c r="AK1511" t="s">
        <v>118</v>
      </c>
      <c r="AM1511" s="10">
        <v>15126659000</v>
      </c>
      <c r="AO1511" t="s">
        <v>23638</v>
      </c>
      <c r="AP1511" t="s">
        <v>121</v>
      </c>
      <c r="AQ1511" t="s">
        <v>23639</v>
      </c>
      <c r="AR1511" t="s">
        <v>931</v>
      </c>
      <c r="AS1511" t="s">
        <v>23640</v>
      </c>
      <c r="AT1511" t="s">
        <v>23641</v>
      </c>
      <c r="AU1511" t="s">
        <v>23642</v>
      </c>
      <c r="AV1511" t="s">
        <v>168</v>
      </c>
      <c r="AW1511" t="s">
        <v>169</v>
      </c>
      <c r="AX1511" s="8" t="str">
        <f>"55401"</f>
        <v>55401</v>
      </c>
      <c r="AY1511" t="s">
        <v>118</v>
      </c>
      <c r="BA1511" s="10">
        <v>16123396900</v>
      </c>
      <c r="BC1511" t="s">
        <v>23643</v>
      </c>
      <c r="BD1511" t="s">
        <v>23644</v>
      </c>
      <c r="BE1511" t="s">
        <v>169</v>
      </c>
      <c r="BF1511" t="s">
        <v>8138</v>
      </c>
      <c r="BG1511" t="s">
        <v>169</v>
      </c>
      <c r="BH1511" s="1">
        <v>45111.833333333336</v>
      </c>
      <c r="BI1511">
        <v>40</v>
      </c>
      <c r="BJ1511">
        <v>0</v>
      </c>
      <c r="BK1511">
        <v>8</v>
      </c>
      <c r="BL1511">
        <v>8</v>
      </c>
      <c r="BM1511">
        <v>8</v>
      </c>
      <c r="BN1511">
        <v>8</v>
      </c>
      <c r="BO1511">
        <v>8</v>
      </c>
      <c r="BP1511">
        <v>0</v>
      </c>
      <c r="BQ1511" t="str">
        <f>"9:00 AM"</f>
        <v>9:00 AM</v>
      </c>
      <c r="BR1511" t="str">
        <f>"5:00 PM"</f>
        <v>5:00 PM</v>
      </c>
      <c r="BS1511" t="s">
        <v>147</v>
      </c>
      <c r="BT1511">
        <v>0</v>
      </c>
      <c r="BU1511">
        <v>24</v>
      </c>
      <c r="BV1511" t="s">
        <v>114</v>
      </c>
      <c r="BX1511" s="2" t="s">
        <v>23645</v>
      </c>
      <c r="BY1511" t="s">
        <v>23637</v>
      </c>
      <c r="CA1511" t="s">
        <v>168</v>
      </c>
      <c r="CB1511" t="s">
        <v>169</v>
      </c>
      <c r="CC1511" s="8" t="str">
        <f>"55419"</f>
        <v>55419</v>
      </c>
      <c r="CD1511" t="s">
        <v>1909</v>
      </c>
      <c r="CE1511" t="s">
        <v>1910</v>
      </c>
      <c r="CF1511" s="12">
        <v>16</v>
      </c>
      <c r="CH1511" s="12">
        <v>24</v>
      </c>
      <c r="CJ1511" t="s">
        <v>135</v>
      </c>
      <c r="CK1511" t="s">
        <v>23646</v>
      </c>
      <c r="CL1511" t="s">
        <v>23647</v>
      </c>
      <c r="CO1511" t="s">
        <v>132</v>
      </c>
      <c r="CP1511" t="s">
        <v>114</v>
      </c>
      <c r="CQ1511" t="s">
        <v>136</v>
      </c>
      <c r="CR1511" t="s">
        <v>136</v>
      </c>
      <c r="CS1511" t="s">
        <v>114</v>
      </c>
      <c r="CT1511" t="s">
        <v>136</v>
      </c>
      <c r="CU1511" t="s">
        <v>136</v>
      </c>
      <c r="CV1511" t="s">
        <v>131</v>
      </c>
      <c r="CW1511" s="10" t="str">
        <f>"+16125685071"</f>
        <v>+16125685071</v>
      </c>
      <c r="CX1511" t="s">
        <v>23648</v>
      </c>
      <c r="CY1511" t="s">
        <v>132</v>
      </c>
      <c r="CZ1511" t="s">
        <v>137</v>
      </c>
      <c r="DA1511" t="s">
        <v>114</v>
      </c>
      <c r="DB1511" t="s">
        <v>114</v>
      </c>
      <c r="DC1511" t="s">
        <v>136</v>
      </c>
      <c r="DD1511" t="s">
        <v>114</v>
      </c>
      <c r="DE1511" t="s">
        <v>23639</v>
      </c>
      <c r="DF1511" t="s">
        <v>931</v>
      </c>
      <c r="DG1511" t="s">
        <v>1719</v>
      </c>
      <c r="DH1511" t="s">
        <v>23644</v>
      </c>
      <c r="DI1511" t="s">
        <v>23643</v>
      </c>
    </row>
    <row r="1512" spans="1:113" ht="15" customHeight="1" x14ac:dyDescent="0.25">
      <c r="A1512" t="s">
        <v>22485</v>
      </c>
      <c r="B1512" t="s">
        <v>152</v>
      </c>
      <c r="C1512" s="1">
        <v>45110.561634490739</v>
      </c>
      <c r="D1512" s="1">
        <v>45211</v>
      </c>
      <c r="E1512" t="s">
        <v>114</v>
      </c>
      <c r="F1512" t="s">
        <v>8031</v>
      </c>
      <c r="G1512" t="str">
        <f>"51-2092.00"</f>
        <v>51-2092.00</v>
      </c>
      <c r="H1512" t="s">
        <v>4544</v>
      </c>
      <c r="I1512">
        <v>20</v>
      </c>
      <c r="J1512">
        <v>20</v>
      </c>
      <c r="K1512" s="1">
        <v>45200</v>
      </c>
      <c r="L1512" s="1">
        <v>45230</v>
      </c>
      <c r="M1512" s="1">
        <v>45200</v>
      </c>
      <c r="N1512" s="1">
        <v>45230</v>
      </c>
      <c r="O1512" t="s">
        <v>116</v>
      </c>
      <c r="P1512" t="s">
        <v>22486</v>
      </c>
      <c r="R1512" t="s">
        <v>22487</v>
      </c>
      <c r="T1512" t="s">
        <v>15216</v>
      </c>
      <c r="U1512" t="s">
        <v>222</v>
      </c>
      <c r="V1512" s="8" t="str">
        <f>"01453"</f>
        <v>01453</v>
      </c>
      <c r="W1512" t="s">
        <v>118</v>
      </c>
      <c r="Y1512" s="10">
        <v>19788750869</v>
      </c>
      <c r="AA1512">
        <v>541410</v>
      </c>
      <c r="AB1512" t="s">
        <v>3629</v>
      </c>
      <c r="AC1512" t="s">
        <v>894</v>
      </c>
      <c r="AE1512" t="s">
        <v>22488</v>
      </c>
      <c r="AF1512" t="s">
        <v>22487</v>
      </c>
      <c r="AH1512" t="s">
        <v>15216</v>
      </c>
      <c r="AI1512" t="s">
        <v>222</v>
      </c>
      <c r="AJ1512" s="8" t="str">
        <f>"01453"</f>
        <v>01453</v>
      </c>
      <c r="AK1512" t="s">
        <v>118</v>
      </c>
      <c r="AM1512" s="10">
        <v>19788750869</v>
      </c>
      <c r="AO1512" t="s">
        <v>22489</v>
      </c>
      <c r="AP1512" t="s">
        <v>121</v>
      </c>
      <c r="AQ1512" t="s">
        <v>745</v>
      </c>
      <c r="AR1512" t="s">
        <v>746</v>
      </c>
      <c r="AT1512" t="s">
        <v>747</v>
      </c>
      <c r="AV1512" t="s">
        <v>603</v>
      </c>
      <c r="AW1512" t="s">
        <v>127</v>
      </c>
      <c r="AX1512" s="8" t="str">
        <f>"78737"</f>
        <v>78737</v>
      </c>
      <c r="AY1512" t="s">
        <v>118</v>
      </c>
      <c r="BA1512" s="10">
        <v>15128942128</v>
      </c>
      <c r="BC1512" t="s">
        <v>748</v>
      </c>
      <c r="BD1512" t="s">
        <v>749</v>
      </c>
      <c r="BE1512" t="s">
        <v>127</v>
      </c>
      <c r="BF1512" t="s">
        <v>750</v>
      </c>
      <c r="BG1512" t="s">
        <v>127</v>
      </c>
      <c r="BH1512" s="1">
        <v>45109.833333333336</v>
      </c>
      <c r="BI1512">
        <v>45</v>
      </c>
      <c r="BJ1512">
        <v>0</v>
      </c>
      <c r="BK1512">
        <v>8</v>
      </c>
      <c r="BL1512">
        <v>8</v>
      </c>
      <c r="BM1512">
        <v>8</v>
      </c>
      <c r="BN1512">
        <v>8</v>
      </c>
      <c r="BO1512">
        <v>8</v>
      </c>
      <c r="BP1512">
        <v>5</v>
      </c>
      <c r="BQ1512" t="str">
        <f>"7:00 AM"</f>
        <v>7:00 AM</v>
      </c>
      <c r="BR1512" t="str">
        <f>"3:30 PM"</f>
        <v>3:30 PM</v>
      </c>
      <c r="BS1512" t="s">
        <v>147</v>
      </c>
      <c r="BT1512">
        <v>0</v>
      </c>
      <c r="BU1512">
        <v>0</v>
      </c>
      <c r="BV1512" t="s">
        <v>114</v>
      </c>
      <c r="BX1512" s="2" t="s">
        <v>22490</v>
      </c>
      <c r="BY1512" t="s">
        <v>22491</v>
      </c>
      <c r="CA1512" t="s">
        <v>8137</v>
      </c>
      <c r="CB1512" t="s">
        <v>127</v>
      </c>
      <c r="CC1512" s="8" t="str">
        <f>"76520"</f>
        <v>76520</v>
      </c>
      <c r="CD1512" t="s">
        <v>22492</v>
      </c>
      <c r="CE1512" t="s">
        <v>619</v>
      </c>
      <c r="CF1512" s="12">
        <v>15.43</v>
      </c>
      <c r="CG1512" s="12">
        <v>15.43</v>
      </c>
      <c r="CH1512" s="12">
        <v>23.15</v>
      </c>
      <c r="CI1512" s="12">
        <v>23.15</v>
      </c>
      <c r="CJ1512" t="s">
        <v>135</v>
      </c>
      <c r="CL1512" t="s">
        <v>22493</v>
      </c>
      <c r="CO1512" t="s">
        <v>132</v>
      </c>
      <c r="CP1512" t="s">
        <v>136</v>
      </c>
      <c r="CQ1512" t="s">
        <v>136</v>
      </c>
      <c r="CR1512" t="s">
        <v>136</v>
      </c>
      <c r="CS1512" t="s">
        <v>136</v>
      </c>
      <c r="CT1512" t="s">
        <v>136</v>
      </c>
      <c r="CU1512" t="s">
        <v>136</v>
      </c>
      <c r="CV1512" s="2" t="s">
        <v>22494</v>
      </c>
      <c r="CW1512" s="10" t="str">
        <f>"+19788750869"</f>
        <v>+19788750869</v>
      </c>
      <c r="CX1512" t="s">
        <v>22489</v>
      </c>
      <c r="CY1512" t="s">
        <v>132</v>
      </c>
      <c r="CZ1512" t="s">
        <v>137</v>
      </c>
      <c r="DA1512" t="s">
        <v>114</v>
      </c>
      <c r="DB1512" t="s">
        <v>114</v>
      </c>
      <c r="DC1512" t="s">
        <v>136</v>
      </c>
      <c r="DD1512" t="s">
        <v>114</v>
      </c>
    </row>
    <row r="1513" spans="1:113" ht="15" customHeight="1" x14ac:dyDescent="0.25">
      <c r="A1513" t="s">
        <v>6502</v>
      </c>
      <c r="B1513" t="s">
        <v>152</v>
      </c>
      <c r="C1513" s="1">
        <v>45153.548742939813</v>
      </c>
      <c r="D1513" s="1">
        <v>45210</v>
      </c>
      <c r="E1513" t="s">
        <v>114</v>
      </c>
      <c r="F1513" t="s">
        <v>6503</v>
      </c>
      <c r="G1513" t="str">
        <f>"25-3021.00"</f>
        <v>25-3021.00</v>
      </c>
      <c r="H1513" t="s">
        <v>720</v>
      </c>
      <c r="I1513">
        <v>9</v>
      </c>
      <c r="J1513">
        <v>9</v>
      </c>
      <c r="K1513" s="1">
        <v>45243</v>
      </c>
      <c r="L1513" s="1">
        <v>45384</v>
      </c>
      <c r="M1513" s="1">
        <v>45243</v>
      </c>
      <c r="N1513" s="1">
        <v>45384</v>
      </c>
      <c r="O1513" t="s">
        <v>238</v>
      </c>
      <c r="P1513" t="s">
        <v>6504</v>
      </c>
      <c r="Q1513" t="s">
        <v>6505</v>
      </c>
      <c r="R1513" t="s">
        <v>6506</v>
      </c>
      <c r="T1513" t="s">
        <v>6507</v>
      </c>
      <c r="U1513" t="s">
        <v>188</v>
      </c>
      <c r="V1513" s="8" t="str">
        <f>"81435"</f>
        <v>81435</v>
      </c>
      <c r="W1513" t="s">
        <v>118</v>
      </c>
      <c r="Y1513" s="10">
        <v>19707287501</v>
      </c>
      <c r="AA1513">
        <v>61162</v>
      </c>
      <c r="AB1513" t="s">
        <v>6508</v>
      </c>
      <c r="AC1513" t="s">
        <v>6509</v>
      </c>
      <c r="AE1513" t="s">
        <v>6510</v>
      </c>
      <c r="AF1513" t="s">
        <v>6506</v>
      </c>
      <c r="AH1513" t="s">
        <v>6507</v>
      </c>
      <c r="AI1513" t="s">
        <v>188</v>
      </c>
      <c r="AJ1513" s="8" t="str">
        <f>"81435"</f>
        <v>81435</v>
      </c>
      <c r="AK1513" t="s">
        <v>118</v>
      </c>
      <c r="AM1513" s="10">
        <v>19707287501</v>
      </c>
      <c r="AO1513" t="s">
        <v>6511</v>
      </c>
      <c r="AP1513" t="s">
        <v>121</v>
      </c>
      <c r="AQ1513" t="s">
        <v>513</v>
      </c>
      <c r="AR1513" t="s">
        <v>514</v>
      </c>
      <c r="AS1513" t="s">
        <v>515</v>
      </c>
      <c r="AT1513" t="s">
        <v>516</v>
      </c>
      <c r="AU1513" t="s">
        <v>517</v>
      </c>
      <c r="AV1513" t="s">
        <v>518</v>
      </c>
      <c r="AW1513" t="s">
        <v>402</v>
      </c>
      <c r="AX1513" s="8" t="str">
        <f>"90071"</f>
        <v>90071</v>
      </c>
      <c r="AY1513" t="s">
        <v>118</v>
      </c>
      <c r="BA1513" s="10">
        <v>13108203322</v>
      </c>
      <c r="BC1513" t="s">
        <v>519</v>
      </c>
      <c r="BD1513" t="s">
        <v>520</v>
      </c>
      <c r="BE1513" t="s">
        <v>188</v>
      </c>
      <c r="BF1513" t="s">
        <v>172</v>
      </c>
      <c r="BG1513" t="s">
        <v>188</v>
      </c>
      <c r="BH1513" s="1">
        <v>45149.833333333336</v>
      </c>
      <c r="BI1513">
        <v>35</v>
      </c>
      <c r="BJ1513">
        <v>5</v>
      </c>
      <c r="BK1513">
        <v>5</v>
      </c>
      <c r="BL1513">
        <v>5</v>
      </c>
      <c r="BM1513">
        <v>5</v>
      </c>
      <c r="BN1513">
        <v>5</v>
      </c>
      <c r="BO1513">
        <v>5</v>
      </c>
      <c r="BP1513">
        <v>5</v>
      </c>
      <c r="BQ1513" t="str">
        <f>"9:00 AM"</f>
        <v>9:00 AM</v>
      </c>
      <c r="BR1513" t="str">
        <f>"4:00 PM"</f>
        <v>4:00 PM</v>
      </c>
      <c r="BS1513" t="s">
        <v>131</v>
      </c>
      <c r="BT1513">
        <v>0</v>
      </c>
      <c r="BU1513">
        <v>0</v>
      </c>
      <c r="BV1513" t="s">
        <v>114</v>
      </c>
      <c r="BX1513" s="2" t="s">
        <v>6512</v>
      </c>
      <c r="BY1513" t="s">
        <v>6513</v>
      </c>
      <c r="BZ1513" t="s">
        <v>6514</v>
      </c>
      <c r="CA1513" t="s">
        <v>6507</v>
      </c>
      <c r="CB1513" t="s">
        <v>188</v>
      </c>
      <c r="CC1513" s="8" t="str">
        <f>"81435"</f>
        <v>81435</v>
      </c>
      <c r="CD1513" t="s">
        <v>6515</v>
      </c>
      <c r="CE1513" t="s">
        <v>4724</v>
      </c>
      <c r="CF1513" s="12">
        <v>30</v>
      </c>
      <c r="CH1513" s="12">
        <v>45</v>
      </c>
      <c r="CJ1513" t="s">
        <v>135</v>
      </c>
      <c r="CL1513" t="s">
        <v>6516</v>
      </c>
      <c r="CO1513" t="s">
        <v>132</v>
      </c>
      <c r="CP1513" t="s">
        <v>114</v>
      </c>
      <c r="CQ1513" t="s">
        <v>114</v>
      </c>
      <c r="CR1513" t="s">
        <v>136</v>
      </c>
      <c r="CS1513" t="s">
        <v>136</v>
      </c>
      <c r="CT1513" t="s">
        <v>136</v>
      </c>
      <c r="CU1513" t="s">
        <v>136</v>
      </c>
      <c r="CV1513" t="s">
        <v>6517</v>
      </c>
      <c r="CW1513" s="10" t="str">
        <f>"+19707287501"</f>
        <v>+19707287501</v>
      </c>
      <c r="CX1513" t="s">
        <v>6511</v>
      </c>
      <c r="CY1513" t="s">
        <v>132</v>
      </c>
      <c r="CZ1513" t="s">
        <v>137</v>
      </c>
      <c r="DA1513" t="s">
        <v>114</v>
      </c>
      <c r="DB1513" t="s">
        <v>114</v>
      </c>
      <c r="DC1513" t="s">
        <v>136</v>
      </c>
      <c r="DD1513" t="s">
        <v>114</v>
      </c>
      <c r="DE1513" t="s">
        <v>6518</v>
      </c>
      <c r="DF1513" t="s">
        <v>528</v>
      </c>
      <c r="DG1513" t="s">
        <v>732</v>
      </c>
      <c r="DH1513" t="s">
        <v>6519</v>
      </c>
      <c r="DI1513" t="s">
        <v>529</v>
      </c>
    </row>
    <row r="1514" spans="1:113" ht="15" customHeight="1" x14ac:dyDescent="0.25">
      <c r="A1514" t="s">
        <v>10325</v>
      </c>
      <c r="B1514" t="s">
        <v>152</v>
      </c>
      <c r="C1514" s="1">
        <v>45153.542665740744</v>
      </c>
      <c r="D1514" s="1">
        <v>45210</v>
      </c>
      <c r="E1514" t="s">
        <v>114</v>
      </c>
      <c r="F1514" t="s">
        <v>4718</v>
      </c>
      <c r="G1514" t="str">
        <f>"37-2012.00"</f>
        <v>37-2012.00</v>
      </c>
      <c r="H1514" t="s">
        <v>205</v>
      </c>
      <c r="I1514">
        <v>51</v>
      </c>
      <c r="J1514">
        <v>51</v>
      </c>
      <c r="K1514" s="1">
        <v>45243</v>
      </c>
      <c r="L1514" s="1">
        <v>45390</v>
      </c>
      <c r="M1514" s="1">
        <v>45243</v>
      </c>
      <c r="N1514" s="1">
        <v>45390</v>
      </c>
      <c r="O1514" t="s">
        <v>116</v>
      </c>
      <c r="P1514" t="s">
        <v>10326</v>
      </c>
      <c r="Q1514" t="s">
        <v>10327</v>
      </c>
      <c r="R1514" t="s">
        <v>10328</v>
      </c>
      <c r="T1514" t="s">
        <v>210</v>
      </c>
      <c r="U1514" t="s">
        <v>211</v>
      </c>
      <c r="V1514" s="8" t="str">
        <f>"84098"</f>
        <v>84098</v>
      </c>
      <c r="W1514" t="s">
        <v>118</v>
      </c>
      <c r="Y1514" s="10">
        <v>14356153381</v>
      </c>
      <c r="AA1514">
        <v>713920</v>
      </c>
      <c r="AB1514" t="s">
        <v>507</v>
      </c>
      <c r="AC1514" t="s">
        <v>508</v>
      </c>
      <c r="AE1514" t="s">
        <v>509</v>
      </c>
      <c r="AF1514" t="s">
        <v>510</v>
      </c>
      <c r="AH1514" t="s">
        <v>511</v>
      </c>
      <c r="AI1514" t="s">
        <v>188</v>
      </c>
      <c r="AJ1514" s="8" t="str">
        <f>"80021"</f>
        <v>80021</v>
      </c>
      <c r="AK1514" t="s">
        <v>118</v>
      </c>
      <c r="AM1514" s="10">
        <v>13034041800</v>
      </c>
      <c r="AO1514" t="s">
        <v>512</v>
      </c>
      <c r="AP1514" t="s">
        <v>121</v>
      </c>
      <c r="AQ1514" t="s">
        <v>513</v>
      </c>
      <c r="AR1514" t="s">
        <v>514</v>
      </c>
      <c r="AS1514" t="s">
        <v>515</v>
      </c>
      <c r="AT1514" t="s">
        <v>516</v>
      </c>
      <c r="AU1514" t="s">
        <v>517</v>
      </c>
      <c r="AV1514" t="s">
        <v>518</v>
      </c>
      <c r="AW1514" t="s">
        <v>402</v>
      </c>
      <c r="AX1514" s="8" t="str">
        <f>"90071"</f>
        <v>90071</v>
      </c>
      <c r="AY1514" t="s">
        <v>118</v>
      </c>
      <c r="BA1514" s="10">
        <v>13108203322</v>
      </c>
      <c r="BC1514" t="s">
        <v>519</v>
      </c>
      <c r="BD1514" t="s">
        <v>520</v>
      </c>
      <c r="BE1514" t="s">
        <v>188</v>
      </c>
      <c r="BF1514" t="s">
        <v>172</v>
      </c>
      <c r="BG1514" t="s">
        <v>211</v>
      </c>
      <c r="BH1514" s="1">
        <v>45145.833333333336</v>
      </c>
      <c r="BI1514">
        <v>35</v>
      </c>
      <c r="BJ1514">
        <v>5</v>
      </c>
      <c r="BK1514">
        <v>5</v>
      </c>
      <c r="BL1514">
        <v>5</v>
      </c>
      <c r="BM1514">
        <v>5</v>
      </c>
      <c r="BN1514">
        <v>5</v>
      </c>
      <c r="BO1514">
        <v>5</v>
      </c>
      <c r="BP1514">
        <v>5</v>
      </c>
      <c r="BQ1514" t="str">
        <f>"8:00 AM"</f>
        <v>8:00 AM</v>
      </c>
      <c r="BR1514" t="str">
        <f>"9:00 PM"</f>
        <v>9:00 PM</v>
      </c>
      <c r="BS1514" t="s">
        <v>131</v>
      </c>
      <c r="BT1514">
        <v>0</v>
      </c>
      <c r="BU1514">
        <v>12</v>
      </c>
      <c r="BV1514" t="s">
        <v>114</v>
      </c>
      <c r="BX1514" s="2" t="s">
        <v>6533</v>
      </c>
      <c r="BY1514" t="s">
        <v>10328</v>
      </c>
      <c r="CA1514" t="s">
        <v>210</v>
      </c>
      <c r="CB1514" t="s">
        <v>211</v>
      </c>
      <c r="CC1514" s="8" t="str">
        <f>"84098"</f>
        <v>84098</v>
      </c>
      <c r="CD1514" t="s">
        <v>228</v>
      </c>
      <c r="CE1514" t="s">
        <v>229</v>
      </c>
      <c r="CF1514" s="12">
        <v>22</v>
      </c>
      <c r="CH1514" s="12">
        <v>33</v>
      </c>
      <c r="CJ1514" t="s">
        <v>135</v>
      </c>
      <c r="CK1514" t="s">
        <v>1094</v>
      </c>
      <c r="CL1514" t="s">
        <v>10329</v>
      </c>
      <c r="CO1514" t="s">
        <v>132</v>
      </c>
      <c r="CP1514" t="s">
        <v>136</v>
      </c>
      <c r="CQ1514" t="s">
        <v>114</v>
      </c>
      <c r="CR1514" t="s">
        <v>136</v>
      </c>
      <c r="CS1514" t="s">
        <v>114</v>
      </c>
      <c r="CT1514" t="s">
        <v>136</v>
      </c>
      <c r="CU1514" t="s">
        <v>136</v>
      </c>
      <c r="CV1514" t="s">
        <v>10330</v>
      </c>
      <c r="CW1514" s="10" t="str">
        <f>"+13034041800"</f>
        <v>+13034041800</v>
      </c>
      <c r="CX1514" t="s">
        <v>512</v>
      </c>
      <c r="CY1514" t="s">
        <v>132</v>
      </c>
      <c r="CZ1514" t="s">
        <v>137</v>
      </c>
      <c r="DA1514" t="s">
        <v>114</v>
      </c>
      <c r="DB1514" t="s">
        <v>114</v>
      </c>
      <c r="DC1514" t="s">
        <v>136</v>
      </c>
      <c r="DD1514" t="s">
        <v>114</v>
      </c>
      <c r="DE1514" t="s">
        <v>527</v>
      </c>
      <c r="DF1514" t="s">
        <v>528</v>
      </c>
      <c r="DG1514" t="s">
        <v>732</v>
      </c>
      <c r="DH1514" t="s">
        <v>520</v>
      </c>
      <c r="DI1514" t="s">
        <v>529</v>
      </c>
    </row>
    <row r="1515" spans="1:113" ht="15" customHeight="1" x14ac:dyDescent="0.25">
      <c r="A1515" t="s">
        <v>10035</v>
      </c>
      <c r="B1515" t="s">
        <v>152</v>
      </c>
      <c r="C1515" s="1">
        <v>45148.734899884257</v>
      </c>
      <c r="D1515" s="1">
        <v>45210</v>
      </c>
      <c r="E1515" t="s">
        <v>114</v>
      </c>
      <c r="F1515" t="s">
        <v>2894</v>
      </c>
      <c r="G1515" t="str">
        <f>"39-2021.00"</f>
        <v>39-2021.00</v>
      </c>
      <c r="H1515" t="s">
        <v>2895</v>
      </c>
      <c r="I1515">
        <v>2</v>
      </c>
      <c r="J1515">
        <v>2</v>
      </c>
      <c r="K1515" s="1">
        <v>45223</v>
      </c>
      <c r="L1515" s="1">
        <v>45442</v>
      </c>
      <c r="M1515" s="1">
        <v>45223</v>
      </c>
      <c r="N1515" s="1">
        <v>45442</v>
      </c>
      <c r="O1515" t="s">
        <v>238</v>
      </c>
      <c r="P1515" t="s">
        <v>10036</v>
      </c>
      <c r="R1515" t="s">
        <v>10037</v>
      </c>
      <c r="T1515" t="s">
        <v>2630</v>
      </c>
      <c r="U1515" t="s">
        <v>140</v>
      </c>
      <c r="V1515" s="8" t="str">
        <f>"33449"</f>
        <v>33449</v>
      </c>
      <c r="W1515" t="s">
        <v>118</v>
      </c>
      <c r="Y1515" s="10">
        <v>12039128907</v>
      </c>
      <c r="AA1515">
        <v>711190</v>
      </c>
      <c r="AB1515" t="s">
        <v>10038</v>
      </c>
      <c r="AC1515" t="s">
        <v>1559</v>
      </c>
      <c r="AE1515" t="s">
        <v>561</v>
      </c>
      <c r="AF1515" t="s">
        <v>10039</v>
      </c>
      <c r="AH1515" t="s">
        <v>2630</v>
      </c>
      <c r="AI1515" t="s">
        <v>140</v>
      </c>
      <c r="AJ1515" s="8" t="str">
        <f>"33449"</f>
        <v>33449</v>
      </c>
      <c r="AK1515" t="s">
        <v>118</v>
      </c>
      <c r="AM1515" s="10">
        <v>12039128907</v>
      </c>
      <c r="AO1515" t="s">
        <v>10040</v>
      </c>
      <c r="AP1515" t="s">
        <v>121</v>
      </c>
      <c r="AQ1515" t="s">
        <v>1902</v>
      </c>
      <c r="AR1515" t="s">
        <v>1903</v>
      </c>
      <c r="AS1515" t="s">
        <v>1555</v>
      </c>
      <c r="AT1515" t="s">
        <v>1904</v>
      </c>
      <c r="AU1515" t="s">
        <v>1905</v>
      </c>
      <c r="AV1515" t="s">
        <v>1906</v>
      </c>
      <c r="AW1515" t="s">
        <v>358</v>
      </c>
      <c r="AX1515" s="8" t="str">
        <f>"12207"</f>
        <v>12207</v>
      </c>
      <c r="AY1515" t="s">
        <v>118</v>
      </c>
      <c r="BA1515" s="10">
        <v>15187012770</v>
      </c>
      <c r="BC1515" t="s">
        <v>2117</v>
      </c>
      <c r="BD1515" t="s">
        <v>1907</v>
      </c>
      <c r="BE1515" t="s">
        <v>358</v>
      </c>
      <c r="BF1515" t="s">
        <v>2118</v>
      </c>
      <c r="BG1515" t="s">
        <v>140</v>
      </c>
      <c r="BH1515" s="1">
        <v>45140.833333333336</v>
      </c>
      <c r="BI1515">
        <v>48</v>
      </c>
      <c r="BJ1515">
        <v>8</v>
      </c>
      <c r="BK1515">
        <v>0</v>
      </c>
      <c r="BL1515">
        <v>8</v>
      </c>
      <c r="BM1515">
        <v>8</v>
      </c>
      <c r="BN1515">
        <v>8</v>
      </c>
      <c r="BO1515">
        <v>8</v>
      </c>
      <c r="BP1515">
        <v>8</v>
      </c>
      <c r="BQ1515" t="str">
        <f>"7:00 AM"</f>
        <v>7:00 AM</v>
      </c>
      <c r="BR1515" t="str">
        <f>"3:00 PM"</f>
        <v>3:00 PM</v>
      </c>
      <c r="BS1515" t="s">
        <v>131</v>
      </c>
      <c r="BT1515">
        <v>0</v>
      </c>
      <c r="BU1515">
        <v>3</v>
      </c>
      <c r="BV1515" t="s">
        <v>114</v>
      </c>
      <c r="BX1515" t="s">
        <v>10041</v>
      </c>
      <c r="BY1515" t="s">
        <v>10039</v>
      </c>
      <c r="CA1515" t="s">
        <v>2630</v>
      </c>
      <c r="CB1515" t="s">
        <v>140</v>
      </c>
      <c r="CC1515" s="8" t="str">
        <f>"33449"</f>
        <v>33449</v>
      </c>
      <c r="CD1515" t="s">
        <v>767</v>
      </c>
      <c r="CE1515" t="s">
        <v>149</v>
      </c>
      <c r="CF1515" s="12">
        <v>16.510000000000002</v>
      </c>
      <c r="CH1515" s="12">
        <v>24.77</v>
      </c>
      <c r="CJ1515" t="s">
        <v>135</v>
      </c>
      <c r="CK1515" t="s">
        <v>3061</v>
      </c>
      <c r="CL1515" t="s">
        <v>10042</v>
      </c>
      <c r="CO1515" t="s">
        <v>132</v>
      </c>
      <c r="CP1515" t="s">
        <v>136</v>
      </c>
      <c r="CQ1515" t="s">
        <v>136</v>
      </c>
      <c r="CR1515" t="s">
        <v>136</v>
      </c>
      <c r="CS1515" t="s">
        <v>114</v>
      </c>
      <c r="CT1515" t="s">
        <v>136</v>
      </c>
      <c r="CU1515" t="s">
        <v>136</v>
      </c>
      <c r="CV1515" s="2" t="s">
        <v>10043</v>
      </c>
      <c r="CW1515" s="10" t="str">
        <f>"+12039128907"</f>
        <v>+12039128907</v>
      </c>
      <c r="CX1515" t="s">
        <v>10040</v>
      </c>
      <c r="CY1515" t="s">
        <v>132</v>
      </c>
      <c r="CZ1515" t="s">
        <v>137</v>
      </c>
      <c r="DA1515" t="s">
        <v>114</v>
      </c>
      <c r="DB1515" t="s">
        <v>114</v>
      </c>
      <c r="DC1515" t="s">
        <v>136</v>
      </c>
      <c r="DD1515" t="s">
        <v>114</v>
      </c>
      <c r="DE1515" t="s">
        <v>2120</v>
      </c>
      <c r="DF1515" t="s">
        <v>119</v>
      </c>
      <c r="DG1515" t="s">
        <v>1714</v>
      </c>
      <c r="DH1515" t="s">
        <v>2897</v>
      </c>
      <c r="DI1515" t="s">
        <v>2121</v>
      </c>
    </row>
    <row r="1516" spans="1:113" ht="15" customHeight="1" x14ac:dyDescent="0.25">
      <c r="A1516" t="s">
        <v>9112</v>
      </c>
      <c r="B1516" t="s">
        <v>152</v>
      </c>
      <c r="C1516" s="1">
        <v>45142.402136805555</v>
      </c>
      <c r="D1516" s="1">
        <v>45210</v>
      </c>
      <c r="E1516" t="s">
        <v>136</v>
      </c>
      <c r="F1516" t="s">
        <v>9113</v>
      </c>
      <c r="G1516" t="str">
        <f>"35-2014.00"</f>
        <v>35-2014.00</v>
      </c>
      <c r="H1516" t="s">
        <v>154</v>
      </c>
      <c r="I1516">
        <v>6</v>
      </c>
      <c r="J1516">
        <v>6</v>
      </c>
      <c r="K1516" s="1">
        <v>45231</v>
      </c>
      <c r="L1516" s="1">
        <v>45443</v>
      </c>
      <c r="M1516" s="1">
        <v>45231</v>
      </c>
      <c r="N1516" s="1">
        <v>45443</v>
      </c>
      <c r="O1516" t="s">
        <v>116</v>
      </c>
      <c r="P1516" t="s">
        <v>9114</v>
      </c>
      <c r="R1516" t="s">
        <v>9115</v>
      </c>
      <c r="T1516" t="s">
        <v>9116</v>
      </c>
      <c r="U1516" t="s">
        <v>140</v>
      </c>
      <c r="V1516" s="8" t="str">
        <f>"33418"</f>
        <v>33418</v>
      </c>
      <c r="W1516" t="s">
        <v>118</v>
      </c>
      <c r="Y1516" s="10">
        <v>15614725124</v>
      </c>
      <c r="AA1516">
        <v>713910</v>
      </c>
      <c r="AB1516" t="s">
        <v>9117</v>
      </c>
      <c r="AC1516" t="s">
        <v>2953</v>
      </c>
      <c r="AD1516" t="s">
        <v>2057</v>
      </c>
      <c r="AE1516" t="s">
        <v>1349</v>
      </c>
      <c r="AF1516" t="s">
        <v>9115</v>
      </c>
      <c r="AH1516" t="s">
        <v>6667</v>
      </c>
      <c r="AI1516" t="s">
        <v>140</v>
      </c>
      <c r="AJ1516" s="8" t="str">
        <f>"33418"</f>
        <v>33418</v>
      </c>
      <c r="AK1516" t="s">
        <v>118</v>
      </c>
      <c r="AM1516" s="10">
        <v>15614725124</v>
      </c>
      <c r="AO1516" t="s">
        <v>9118</v>
      </c>
      <c r="AP1516" t="s">
        <v>121</v>
      </c>
      <c r="AQ1516" t="s">
        <v>276</v>
      </c>
      <c r="AR1516" t="s">
        <v>277</v>
      </c>
      <c r="AS1516" t="s">
        <v>278</v>
      </c>
      <c r="AT1516" t="s">
        <v>279</v>
      </c>
      <c r="AU1516" t="s">
        <v>280</v>
      </c>
      <c r="AV1516" t="s">
        <v>281</v>
      </c>
      <c r="AW1516" t="s">
        <v>222</v>
      </c>
      <c r="AX1516" s="8" t="str">
        <f>"01701"</f>
        <v>01701</v>
      </c>
      <c r="AY1516" t="s">
        <v>118</v>
      </c>
      <c r="BA1516" s="10">
        <v>16179399444</v>
      </c>
      <c r="BC1516" t="s">
        <v>282</v>
      </c>
      <c r="BD1516" t="s">
        <v>283</v>
      </c>
      <c r="BE1516" t="s">
        <v>222</v>
      </c>
      <c r="BF1516" t="s">
        <v>284</v>
      </c>
      <c r="BG1516" t="s">
        <v>140</v>
      </c>
      <c r="BH1516" s="1">
        <v>45141.833333333336</v>
      </c>
      <c r="BI1516">
        <v>40</v>
      </c>
      <c r="BJ1516">
        <v>0</v>
      </c>
      <c r="BK1516">
        <v>8</v>
      </c>
      <c r="BL1516">
        <v>8</v>
      </c>
      <c r="BM1516">
        <v>8</v>
      </c>
      <c r="BN1516">
        <v>8</v>
      </c>
      <c r="BO1516">
        <v>8</v>
      </c>
      <c r="BP1516">
        <v>0</v>
      </c>
      <c r="BQ1516" t="str">
        <f>"8:00 AM"</f>
        <v>8:00 AM</v>
      </c>
      <c r="BR1516" t="str">
        <f>"4:00 PM"</f>
        <v>4:00 PM</v>
      </c>
      <c r="BS1516" t="s">
        <v>131</v>
      </c>
      <c r="BT1516">
        <v>0</v>
      </c>
      <c r="BU1516">
        <v>6</v>
      </c>
      <c r="BV1516" t="s">
        <v>114</v>
      </c>
      <c r="BX1516" s="2" t="s">
        <v>9119</v>
      </c>
      <c r="BY1516" t="s">
        <v>9120</v>
      </c>
      <c r="CA1516" t="s">
        <v>6667</v>
      </c>
      <c r="CB1516" t="s">
        <v>140</v>
      </c>
      <c r="CC1516" s="8" t="str">
        <f>"33418"</f>
        <v>33418</v>
      </c>
      <c r="CD1516" t="s">
        <v>767</v>
      </c>
      <c r="CE1516" t="s">
        <v>149</v>
      </c>
      <c r="CF1516" s="12">
        <v>20</v>
      </c>
      <c r="CG1516" s="12">
        <v>21</v>
      </c>
      <c r="CH1516" s="12">
        <v>30</v>
      </c>
      <c r="CI1516" s="12">
        <v>31.5</v>
      </c>
      <c r="CJ1516" t="s">
        <v>135</v>
      </c>
      <c r="CK1516" t="s">
        <v>9121</v>
      </c>
      <c r="CL1516" t="s">
        <v>9122</v>
      </c>
      <c r="CO1516" t="s">
        <v>132</v>
      </c>
      <c r="CP1516" t="s">
        <v>114</v>
      </c>
      <c r="CQ1516" t="s">
        <v>136</v>
      </c>
      <c r="CR1516" t="s">
        <v>136</v>
      </c>
      <c r="CS1516" t="s">
        <v>136</v>
      </c>
      <c r="CT1516" t="s">
        <v>136</v>
      </c>
      <c r="CU1516" t="s">
        <v>136</v>
      </c>
      <c r="CV1516" s="2" t="s">
        <v>9123</v>
      </c>
      <c r="CW1516" s="10" t="str">
        <f>"+15614725124"</f>
        <v>+15614725124</v>
      </c>
      <c r="CX1516" t="s">
        <v>9118</v>
      </c>
      <c r="CY1516" t="s">
        <v>132</v>
      </c>
      <c r="CZ1516" t="s">
        <v>137</v>
      </c>
      <c r="DA1516" t="s">
        <v>114</v>
      </c>
      <c r="DB1516" t="s">
        <v>114</v>
      </c>
      <c r="DC1516" t="s">
        <v>136</v>
      </c>
      <c r="DD1516" t="s">
        <v>114</v>
      </c>
    </row>
    <row r="1517" spans="1:113" ht="15" customHeight="1" x14ac:dyDescent="0.25">
      <c r="A1517" t="s">
        <v>10548</v>
      </c>
      <c r="B1517" t="s">
        <v>152</v>
      </c>
      <c r="C1517" s="1">
        <v>45142.396061805557</v>
      </c>
      <c r="D1517" s="1">
        <v>45210</v>
      </c>
      <c r="E1517" t="s">
        <v>136</v>
      </c>
      <c r="F1517" t="s">
        <v>10549</v>
      </c>
      <c r="G1517" t="str">
        <f>"35-3031.00"</f>
        <v>35-3031.00</v>
      </c>
      <c r="H1517" t="s">
        <v>347</v>
      </c>
      <c r="I1517">
        <v>18</v>
      </c>
      <c r="J1517">
        <v>18</v>
      </c>
      <c r="K1517" s="1">
        <v>45231</v>
      </c>
      <c r="L1517" s="1">
        <v>45443</v>
      </c>
      <c r="M1517" s="1">
        <v>45231</v>
      </c>
      <c r="N1517" s="1">
        <v>45443</v>
      </c>
      <c r="O1517" t="s">
        <v>116</v>
      </c>
      <c r="P1517" t="s">
        <v>10550</v>
      </c>
      <c r="R1517" t="s">
        <v>9115</v>
      </c>
      <c r="T1517" t="s">
        <v>6667</v>
      </c>
      <c r="U1517" t="s">
        <v>140</v>
      </c>
      <c r="V1517" s="8" t="str">
        <f>"33418"</f>
        <v>33418</v>
      </c>
      <c r="W1517" t="s">
        <v>118</v>
      </c>
      <c r="Y1517" s="10">
        <v>15614725124</v>
      </c>
      <c r="AA1517">
        <v>713910</v>
      </c>
      <c r="AB1517" t="s">
        <v>9117</v>
      </c>
      <c r="AC1517" t="s">
        <v>2953</v>
      </c>
      <c r="AD1517" t="s">
        <v>2057</v>
      </c>
      <c r="AE1517" t="s">
        <v>1349</v>
      </c>
      <c r="AF1517" t="s">
        <v>9115</v>
      </c>
      <c r="AH1517" t="s">
        <v>6667</v>
      </c>
      <c r="AI1517" t="s">
        <v>140</v>
      </c>
      <c r="AJ1517" s="8" t="str">
        <f>"33418"</f>
        <v>33418</v>
      </c>
      <c r="AK1517" t="s">
        <v>118</v>
      </c>
      <c r="AM1517" s="10">
        <v>15614725124</v>
      </c>
      <c r="AO1517" t="s">
        <v>9118</v>
      </c>
      <c r="AP1517" t="s">
        <v>121</v>
      </c>
      <c r="AQ1517" t="s">
        <v>276</v>
      </c>
      <c r="AR1517" t="s">
        <v>277</v>
      </c>
      <c r="AS1517" t="s">
        <v>278</v>
      </c>
      <c r="AT1517" t="s">
        <v>279</v>
      </c>
      <c r="AU1517" t="s">
        <v>280</v>
      </c>
      <c r="AV1517" t="s">
        <v>281</v>
      </c>
      <c r="AW1517" t="s">
        <v>222</v>
      </c>
      <c r="AX1517" s="8" t="str">
        <f>"01701"</f>
        <v>01701</v>
      </c>
      <c r="AY1517" t="s">
        <v>118</v>
      </c>
      <c r="BA1517" s="10">
        <v>16179399444</v>
      </c>
      <c r="BC1517" t="s">
        <v>282</v>
      </c>
      <c r="BD1517" t="s">
        <v>283</v>
      </c>
      <c r="BE1517" t="s">
        <v>222</v>
      </c>
      <c r="BF1517" t="s">
        <v>284</v>
      </c>
      <c r="BG1517" t="s">
        <v>140</v>
      </c>
      <c r="BH1517" s="1">
        <v>45141.833333333336</v>
      </c>
      <c r="BI1517">
        <v>40</v>
      </c>
      <c r="BJ1517">
        <v>0</v>
      </c>
      <c r="BK1517">
        <v>8</v>
      </c>
      <c r="BL1517">
        <v>8</v>
      </c>
      <c r="BM1517">
        <v>8</v>
      </c>
      <c r="BN1517">
        <v>8</v>
      </c>
      <c r="BO1517">
        <v>8</v>
      </c>
      <c r="BP1517">
        <v>0</v>
      </c>
      <c r="BQ1517" t="str">
        <f>"7:00 AM"</f>
        <v>7:00 AM</v>
      </c>
      <c r="BR1517" t="str">
        <f>"3:00 PM"</f>
        <v>3:00 PM</v>
      </c>
      <c r="BS1517" t="s">
        <v>131</v>
      </c>
      <c r="BT1517">
        <v>0</v>
      </c>
      <c r="BU1517">
        <v>3</v>
      </c>
      <c r="BV1517" t="s">
        <v>114</v>
      </c>
      <c r="BX1517" s="2" t="s">
        <v>10551</v>
      </c>
      <c r="BY1517" t="s">
        <v>9115</v>
      </c>
      <c r="CA1517" t="s">
        <v>6667</v>
      </c>
      <c r="CB1517" t="s">
        <v>140</v>
      </c>
      <c r="CC1517" s="8" t="str">
        <f>"33418"</f>
        <v>33418</v>
      </c>
      <c r="CD1517" t="s">
        <v>767</v>
      </c>
      <c r="CE1517" t="s">
        <v>149</v>
      </c>
      <c r="CF1517" s="12">
        <v>16.13</v>
      </c>
      <c r="CH1517" s="12">
        <v>24.2</v>
      </c>
      <c r="CJ1517" t="s">
        <v>135</v>
      </c>
      <c r="CK1517" t="s">
        <v>10552</v>
      </c>
      <c r="CL1517" t="s">
        <v>10553</v>
      </c>
      <c r="CO1517" t="s">
        <v>132</v>
      </c>
      <c r="CP1517" t="s">
        <v>114</v>
      </c>
      <c r="CQ1517" t="s">
        <v>136</v>
      </c>
      <c r="CR1517" t="s">
        <v>136</v>
      </c>
      <c r="CS1517" t="s">
        <v>136</v>
      </c>
      <c r="CT1517" t="s">
        <v>136</v>
      </c>
      <c r="CU1517" t="s">
        <v>136</v>
      </c>
      <c r="CV1517" t="s">
        <v>10554</v>
      </c>
      <c r="CW1517" s="10" t="str">
        <f>"+15614725124"</f>
        <v>+15614725124</v>
      </c>
      <c r="CX1517" t="s">
        <v>9118</v>
      </c>
      <c r="CY1517" t="s">
        <v>132</v>
      </c>
      <c r="CZ1517" t="s">
        <v>137</v>
      </c>
      <c r="DA1517" t="s">
        <v>114</v>
      </c>
      <c r="DB1517" t="s">
        <v>114</v>
      </c>
      <c r="DC1517" t="s">
        <v>136</v>
      </c>
      <c r="DD1517" t="s">
        <v>114</v>
      </c>
    </row>
    <row r="1518" spans="1:113" ht="15" customHeight="1" x14ac:dyDescent="0.25">
      <c r="A1518" t="s">
        <v>16943</v>
      </c>
      <c r="B1518" t="s">
        <v>152</v>
      </c>
      <c r="C1518" s="1">
        <v>45141.750754513887</v>
      </c>
      <c r="D1518" s="1">
        <v>45210</v>
      </c>
      <c r="E1518" t="s">
        <v>114</v>
      </c>
      <c r="F1518" t="s">
        <v>11257</v>
      </c>
      <c r="G1518" t="str">
        <f>"39-6011.00"</f>
        <v>39-6011.00</v>
      </c>
      <c r="H1518" t="s">
        <v>3333</v>
      </c>
      <c r="I1518">
        <v>10</v>
      </c>
      <c r="J1518">
        <v>10</v>
      </c>
      <c r="K1518" s="1">
        <v>45231</v>
      </c>
      <c r="L1518" s="1">
        <v>45443</v>
      </c>
      <c r="M1518" s="1">
        <v>45231</v>
      </c>
      <c r="N1518" s="1">
        <v>45443</v>
      </c>
      <c r="O1518" t="s">
        <v>116</v>
      </c>
      <c r="P1518" t="s">
        <v>8774</v>
      </c>
      <c r="Q1518" t="s">
        <v>8775</v>
      </c>
      <c r="R1518" t="s">
        <v>8776</v>
      </c>
      <c r="T1518" t="s">
        <v>8777</v>
      </c>
      <c r="U1518" t="s">
        <v>140</v>
      </c>
      <c r="V1518" s="8" t="str">
        <f>"33432"</f>
        <v>33432</v>
      </c>
      <c r="W1518" t="s">
        <v>118</v>
      </c>
      <c r="Y1518" s="10">
        <v>15614473000</v>
      </c>
      <c r="AA1518">
        <v>72111</v>
      </c>
      <c r="AB1518" t="s">
        <v>8778</v>
      </c>
      <c r="AC1518" t="s">
        <v>8779</v>
      </c>
      <c r="AE1518" t="s">
        <v>8780</v>
      </c>
      <c r="AF1518" t="s">
        <v>8776</v>
      </c>
      <c r="AH1518" t="s">
        <v>8777</v>
      </c>
      <c r="AI1518" t="s">
        <v>140</v>
      </c>
      <c r="AJ1518" s="8" t="str">
        <f>"33432"</f>
        <v>33432</v>
      </c>
      <c r="AK1518" t="s">
        <v>118</v>
      </c>
      <c r="AM1518" s="10">
        <v>15615459577</v>
      </c>
      <c r="AO1518" t="s">
        <v>8781</v>
      </c>
      <c r="AP1518" t="s">
        <v>121</v>
      </c>
      <c r="AQ1518" t="s">
        <v>1327</v>
      </c>
      <c r="AR1518" t="s">
        <v>1328</v>
      </c>
      <c r="AS1518" t="s">
        <v>1329</v>
      </c>
      <c r="AT1518" t="s">
        <v>1330</v>
      </c>
      <c r="AU1518" t="s">
        <v>1331</v>
      </c>
      <c r="AV1518" t="s">
        <v>142</v>
      </c>
      <c r="AW1518" t="s">
        <v>140</v>
      </c>
      <c r="AX1518" s="8" t="str">
        <f>"33126"</f>
        <v>33126</v>
      </c>
      <c r="AY1518" t="s">
        <v>118</v>
      </c>
      <c r="BA1518" s="10">
        <v>13057745800</v>
      </c>
      <c r="BC1518" t="s">
        <v>1332</v>
      </c>
      <c r="BD1518" t="s">
        <v>1333</v>
      </c>
      <c r="BE1518" t="s">
        <v>140</v>
      </c>
      <c r="BF1518" t="s">
        <v>172</v>
      </c>
      <c r="BG1518" t="s">
        <v>140</v>
      </c>
      <c r="BH1518" s="1">
        <v>45140.833333333336</v>
      </c>
      <c r="BI1518">
        <v>35</v>
      </c>
      <c r="BJ1518">
        <v>7</v>
      </c>
      <c r="BK1518">
        <v>7</v>
      </c>
      <c r="BL1518">
        <v>7</v>
      </c>
      <c r="BM1518">
        <v>7</v>
      </c>
      <c r="BN1518">
        <v>7</v>
      </c>
      <c r="BO1518">
        <v>0</v>
      </c>
      <c r="BP1518">
        <v>0</v>
      </c>
      <c r="BQ1518" t="str">
        <f>"7:00 AM"</f>
        <v>7:00 AM</v>
      </c>
      <c r="BR1518" t="str">
        <f>"2:00 PM"</f>
        <v>2:00 PM</v>
      </c>
      <c r="BS1518" t="s">
        <v>131</v>
      </c>
      <c r="BT1518">
        <v>0</v>
      </c>
      <c r="BU1518">
        <v>3</v>
      </c>
      <c r="BV1518" t="s">
        <v>114</v>
      </c>
      <c r="BX1518" s="2" t="s">
        <v>14632</v>
      </c>
      <c r="BY1518" t="s">
        <v>8776</v>
      </c>
      <c r="CA1518" t="s">
        <v>8777</v>
      </c>
      <c r="CB1518" t="s">
        <v>140</v>
      </c>
      <c r="CC1518" s="8" t="str">
        <f>"33432"</f>
        <v>33432</v>
      </c>
      <c r="CD1518" t="s">
        <v>767</v>
      </c>
      <c r="CE1518" t="s">
        <v>149</v>
      </c>
      <c r="CF1518" s="12">
        <v>13.06</v>
      </c>
      <c r="CG1518" s="12">
        <v>20</v>
      </c>
      <c r="CH1518" s="12">
        <v>19.59</v>
      </c>
      <c r="CI1518" s="12">
        <v>30</v>
      </c>
      <c r="CJ1518" t="s">
        <v>135</v>
      </c>
      <c r="CK1518" t="s">
        <v>10259</v>
      </c>
      <c r="CL1518" t="s">
        <v>16944</v>
      </c>
      <c r="CO1518" t="s">
        <v>132</v>
      </c>
      <c r="CP1518" t="s">
        <v>114</v>
      </c>
      <c r="CQ1518" t="s">
        <v>136</v>
      </c>
      <c r="CR1518" t="s">
        <v>136</v>
      </c>
      <c r="CS1518" t="s">
        <v>136</v>
      </c>
      <c r="CT1518" t="s">
        <v>136</v>
      </c>
      <c r="CU1518" t="s">
        <v>136</v>
      </c>
      <c r="CV1518" t="s">
        <v>16945</v>
      </c>
      <c r="CW1518" s="10" t="str">
        <f>"+15615459577"</f>
        <v>+15615459577</v>
      </c>
      <c r="CX1518" t="s">
        <v>8781</v>
      </c>
      <c r="CY1518" t="s">
        <v>132</v>
      </c>
      <c r="CZ1518" t="s">
        <v>137</v>
      </c>
      <c r="DA1518" t="s">
        <v>114</v>
      </c>
      <c r="DB1518" t="s">
        <v>136</v>
      </c>
      <c r="DC1518" t="s">
        <v>136</v>
      </c>
      <c r="DD1518" t="s">
        <v>114</v>
      </c>
    </row>
    <row r="1519" spans="1:113" ht="15" customHeight="1" x14ac:dyDescent="0.25">
      <c r="A1519" t="s">
        <v>14277</v>
      </c>
      <c r="B1519" t="s">
        <v>152</v>
      </c>
      <c r="C1519" s="1">
        <v>45141.734830671296</v>
      </c>
      <c r="D1519" s="1">
        <v>45210</v>
      </c>
      <c r="E1519" t="s">
        <v>114</v>
      </c>
      <c r="F1519" t="s">
        <v>1059</v>
      </c>
      <c r="G1519" t="str">
        <f>"35-2014.00"</f>
        <v>35-2014.00</v>
      </c>
      <c r="H1519" t="s">
        <v>154</v>
      </c>
      <c r="I1519">
        <v>15</v>
      </c>
      <c r="J1519">
        <v>15</v>
      </c>
      <c r="K1519" s="1">
        <v>45231</v>
      </c>
      <c r="L1519" s="1">
        <v>45443</v>
      </c>
      <c r="M1519" s="1">
        <v>45231</v>
      </c>
      <c r="N1519" s="1">
        <v>45443</v>
      </c>
      <c r="O1519" t="s">
        <v>116</v>
      </c>
      <c r="P1519" t="s">
        <v>8774</v>
      </c>
      <c r="Q1519" t="s">
        <v>8775</v>
      </c>
      <c r="R1519" t="s">
        <v>8776</v>
      </c>
      <c r="T1519" t="s">
        <v>8777</v>
      </c>
      <c r="U1519" t="s">
        <v>140</v>
      </c>
      <c r="V1519" s="8" t="str">
        <f>"33432"</f>
        <v>33432</v>
      </c>
      <c r="W1519" t="s">
        <v>118</v>
      </c>
      <c r="Y1519" s="10">
        <v>15614473000</v>
      </c>
      <c r="AA1519">
        <v>72111</v>
      </c>
      <c r="AB1519" t="s">
        <v>8778</v>
      </c>
      <c r="AC1519" t="s">
        <v>8779</v>
      </c>
      <c r="AE1519" t="s">
        <v>8780</v>
      </c>
      <c r="AF1519" t="s">
        <v>8776</v>
      </c>
      <c r="AH1519" t="s">
        <v>8777</v>
      </c>
      <c r="AI1519" t="s">
        <v>140</v>
      </c>
      <c r="AJ1519" s="8" t="str">
        <f>"33432"</f>
        <v>33432</v>
      </c>
      <c r="AK1519" t="s">
        <v>118</v>
      </c>
      <c r="AM1519" s="10">
        <v>15615459577</v>
      </c>
      <c r="AO1519" t="s">
        <v>8781</v>
      </c>
      <c r="AP1519" t="s">
        <v>121</v>
      </c>
      <c r="AQ1519" t="s">
        <v>1327</v>
      </c>
      <c r="AR1519" t="s">
        <v>1328</v>
      </c>
      <c r="AS1519" t="s">
        <v>1329</v>
      </c>
      <c r="AT1519" t="s">
        <v>1330</v>
      </c>
      <c r="AU1519" t="s">
        <v>1331</v>
      </c>
      <c r="AV1519" t="s">
        <v>142</v>
      </c>
      <c r="AW1519" t="s">
        <v>140</v>
      </c>
      <c r="AX1519" s="8" t="str">
        <f>"33126"</f>
        <v>33126</v>
      </c>
      <c r="AY1519" t="s">
        <v>118</v>
      </c>
      <c r="BA1519" s="10">
        <v>13057745800</v>
      </c>
      <c r="BC1519" t="s">
        <v>1332</v>
      </c>
      <c r="BD1519" t="s">
        <v>1333</v>
      </c>
      <c r="BE1519" t="s">
        <v>140</v>
      </c>
      <c r="BF1519" t="s">
        <v>172</v>
      </c>
      <c r="BG1519" t="s">
        <v>140</v>
      </c>
      <c r="BH1519" s="1">
        <v>45140.833333333336</v>
      </c>
      <c r="BI1519">
        <v>35</v>
      </c>
      <c r="BJ1519">
        <v>7</v>
      </c>
      <c r="BK1519">
        <v>7</v>
      </c>
      <c r="BL1519">
        <v>7</v>
      </c>
      <c r="BM1519">
        <v>7</v>
      </c>
      <c r="BN1519">
        <v>7</v>
      </c>
      <c r="BO1519">
        <v>0</v>
      </c>
      <c r="BP1519">
        <v>0</v>
      </c>
      <c r="BQ1519" t="str">
        <f>"7:00 AM"</f>
        <v>7:00 AM</v>
      </c>
      <c r="BR1519" t="str">
        <f>"2:00 PM"</f>
        <v>2:00 PM</v>
      </c>
      <c r="BS1519" t="s">
        <v>131</v>
      </c>
      <c r="BT1519">
        <v>0</v>
      </c>
      <c r="BU1519">
        <v>6</v>
      </c>
      <c r="BV1519" t="s">
        <v>114</v>
      </c>
      <c r="BX1519" s="2" t="s">
        <v>14278</v>
      </c>
      <c r="BY1519" t="s">
        <v>8776</v>
      </c>
      <c r="CA1519" t="s">
        <v>8777</v>
      </c>
      <c r="CB1519" t="s">
        <v>140</v>
      </c>
      <c r="CC1519" s="8" t="str">
        <f>"33432"</f>
        <v>33432</v>
      </c>
      <c r="CD1519" t="s">
        <v>767</v>
      </c>
      <c r="CE1519" t="s">
        <v>149</v>
      </c>
      <c r="CF1519" s="12">
        <v>18</v>
      </c>
      <c r="CG1519" s="12">
        <v>23</v>
      </c>
      <c r="CH1519" s="12">
        <v>27</v>
      </c>
      <c r="CI1519" s="12">
        <v>34.5</v>
      </c>
      <c r="CJ1519" t="s">
        <v>135</v>
      </c>
      <c r="CK1519" t="s">
        <v>8783</v>
      </c>
      <c r="CL1519" t="s">
        <v>14279</v>
      </c>
      <c r="CO1519" t="s">
        <v>132</v>
      </c>
      <c r="CP1519" t="s">
        <v>114</v>
      </c>
      <c r="CQ1519" t="s">
        <v>114</v>
      </c>
      <c r="CR1519" t="s">
        <v>136</v>
      </c>
      <c r="CS1519" t="s">
        <v>136</v>
      </c>
      <c r="CT1519" t="s">
        <v>136</v>
      </c>
      <c r="CU1519" t="s">
        <v>136</v>
      </c>
      <c r="CV1519" t="s">
        <v>8785</v>
      </c>
      <c r="CW1519" s="10" t="str">
        <f>"+15615459577"</f>
        <v>+15615459577</v>
      </c>
      <c r="CX1519" t="s">
        <v>8781</v>
      </c>
      <c r="CY1519" t="s">
        <v>132</v>
      </c>
      <c r="CZ1519" t="s">
        <v>137</v>
      </c>
      <c r="DA1519" t="s">
        <v>114</v>
      </c>
      <c r="DB1519" t="s">
        <v>136</v>
      </c>
      <c r="DC1519" t="s">
        <v>136</v>
      </c>
      <c r="DD1519" t="s">
        <v>114</v>
      </c>
    </row>
    <row r="1520" spans="1:113" ht="15" customHeight="1" x14ac:dyDescent="0.25">
      <c r="A1520" t="s">
        <v>20777</v>
      </c>
      <c r="B1520" t="s">
        <v>152</v>
      </c>
      <c r="C1520" s="1">
        <v>45141.725257986109</v>
      </c>
      <c r="D1520" s="1">
        <v>45210</v>
      </c>
      <c r="E1520" t="s">
        <v>114</v>
      </c>
      <c r="F1520" t="s">
        <v>570</v>
      </c>
      <c r="G1520" t="str">
        <f>"47-2061.00"</f>
        <v>47-2061.00</v>
      </c>
      <c r="H1520" t="s">
        <v>570</v>
      </c>
      <c r="I1520">
        <v>15</v>
      </c>
      <c r="J1520">
        <v>15</v>
      </c>
      <c r="K1520" s="1">
        <v>45231</v>
      </c>
      <c r="L1520" s="1">
        <v>45504</v>
      </c>
      <c r="M1520" s="1">
        <v>45231</v>
      </c>
      <c r="N1520" s="1">
        <v>45504</v>
      </c>
      <c r="O1520" t="s">
        <v>116</v>
      </c>
      <c r="P1520" t="s">
        <v>20778</v>
      </c>
      <c r="R1520" t="s">
        <v>20779</v>
      </c>
      <c r="T1520" t="s">
        <v>20780</v>
      </c>
      <c r="U1520" t="s">
        <v>127</v>
      </c>
      <c r="V1520" s="8" t="str">
        <f>"75496"</f>
        <v>75496</v>
      </c>
      <c r="W1520" t="s">
        <v>118</v>
      </c>
      <c r="Y1520" s="10">
        <v>19034612200</v>
      </c>
      <c r="AA1520">
        <v>23811</v>
      </c>
      <c r="AB1520" t="s">
        <v>20781</v>
      </c>
      <c r="AC1520" t="s">
        <v>15032</v>
      </c>
      <c r="AE1520" t="s">
        <v>561</v>
      </c>
      <c r="AF1520" t="s">
        <v>20779</v>
      </c>
      <c r="AG1520" t="s">
        <v>20782</v>
      </c>
      <c r="AH1520" t="s">
        <v>20780</v>
      </c>
      <c r="AI1520" t="s">
        <v>127</v>
      </c>
      <c r="AJ1520" s="8" t="str">
        <f>"75496"</f>
        <v>75496</v>
      </c>
      <c r="AK1520" t="s">
        <v>118</v>
      </c>
      <c r="AM1520" s="10">
        <v>19034612200</v>
      </c>
      <c r="AO1520" t="s">
        <v>20783</v>
      </c>
      <c r="AP1520" t="s">
        <v>248</v>
      </c>
      <c r="AQ1520" t="s">
        <v>3017</v>
      </c>
      <c r="AR1520" t="s">
        <v>3018</v>
      </c>
      <c r="AT1520" t="s">
        <v>3019</v>
      </c>
      <c r="AV1520" t="s">
        <v>1168</v>
      </c>
      <c r="AW1520" t="s">
        <v>127</v>
      </c>
      <c r="AX1520" s="8" t="str">
        <f>"75098"</f>
        <v>75098</v>
      </c>
      <c r="AY1520" t="s">
        <v>118</v>
      </c>
      <c r="BA1520" s="10">
        <v>19724424244</v>
      </c>
      <c r="BC1520" t="s">
        <v>3020</v>
      </c>
      <c r="BD1520" t="s">
        <v>3021</v>
      </c>
      <c r="BG1520" t="s">
        <v>127</v>
      </c>
      <c r="BH1520" s="1">
        <v>45140.833333333336</v>
      </c>
      <c r="BI1520">
        <v>40</v>
      </c>
      <c r="BJ1520">
        <v>0</v>
      </c>
      <c r="BK1520">
        <v>8</v>
      </c>
      <c r="BL1520">
        <v>8</v>
      </c>
      <c r="BM1520">
        <v>8</v>
      </c>
      <c r="BN1520">
        <v>8</v>
      </c>
      <c r="BO1520">
        <v>8</v>
      </c>
      <c r="BP1520">
        <v>0</v>
      </c>
      <c r="BQ1520" t="str">
        <f>"8:00 AM"</f>
        <v>8:00 AM</v>
      </c>
      <c r="BR1520" t="str">
        <f>"5:00 PM"</f>
        <v>5:00 PM</v>
      </c>
      <c r="BS1520" t="s">
        <v>131</v>
      </c>
      <c r="BT1520">
        <v>0</v>
      </c>
      <c r="BU1520">
        <v>0</v>
      </c>
      <c r="BV1520" t="s">
        <v>114</v>
      </c>
      <c r="BX1520" s="2" t="s">
        <v>18293</v>
      </c>
      <c r="BY1520" t="s">
        <v>20779</v>
      </c>
      <c r="CA1520" t="s">
        <v>20780</v>
      </c>
      <c r="CB1520" t="s">
        <v>127</v>
      </c>
      <c r="CC1520" s="8" t="str">
        <f>"75496"</f>
        <v>75496</v>
      </c>
      <c r="CD1520" t="s">
        <v>11438</v>
      </c>
      <c r="CE1520" t="s">
        <v>263</v>
      </c>
      <c r="CF1520" s="12">
        <v>17.829999999999998</v>
      </c>
      <c r="CG1520" s="12">
        <v>19.829999999999998</v>
      </c>
      <c r="CH1520" s="12">
        <v>26.75</v>
      </c>
      <c r="CI1520" s="12">
        <v>29.75</v>
      </c>
      <c r="CJ1520" t="s">
        <v>135</v>
      </c>
      <c r="CL1520" t="s">
        <v>20784</v>
      </c>
      <c r="CO1520" t="s">
        <v>132</v>
      </c>
      <c r="CP1520" t="s">
        <v>136</v>
      </c>
      <c r="CQ1520" t="s">
        <v>136</v>
      </c>
      <c r="CR1520" t="s">
        <v>136</v>
      </c>
      <c r="CS1520" t="s">
        <v>136</v>
      </c>
      <c r="CT1520" t="s">
        <v>136</v>
      </c>
      <c r="CU1520" t="s">
        <v>136</v>
      </c>
      <c r="CV1520" t="s">
        <v>5345</v>
      </c>
      <c r="CW1520" s="10" t="str">
        <f>"+19034612200"</f>
        <v>+19034612200</v>
      </c>
      <c r="CX1520" t="s">
        <v>132</v>
      </c>
      <c r="CY1520" t="s">
        <v>3190</v>
      </c>
      <c r="CZ1520" t="s">
        <v>137</v>
      </c>
      <c r="DA1520" t="s">
        <v>114</v>
      </c>
      <c r="DB1520" t="s">
        <v>114</v>
      </c>
      <c r="DC1520" t="s">
        <v>136</v>
      </c>
      <c r="DD1520" t="s">
        <v>114</v>
      </c>
      <c r="DE1520" t="s">
        <v>18295</v>
      </c>
      <c r="DF1520" t="s">
        <v>3273</v>
      </c>
      <c r="DH1520" t="s">
        <v>3021</v>
      </c>
      <c r="DI1520" t="s">
        <v>18296</v>
      </c>
    </row>
    <row r="1521" spans="1:108" ht="15" customHeight="1" x14ac:dyDescent="0.25">
      <c r="A1521" t="s">
        <v>14046</v>
      </c>
      <c r="B1521" t="s">
        <v>152</v>
      </c>
      <c r="C1521" s="1">
        <v>45141.721391666666</v>
      </c>
      <c r="D1521" s="1">
        <v>45210</v>
      </c>
      <c r="E1521" t="s">
        <v>114</v>
      </c>
      <c r="F1521" t="s">
        <v>2512</v>
      </c>
      <c r="G1521" t="str">
        <f>"35-3031.00"</f>
        <v>35-3031.00</v>
      </c>
      <c r="H1521" t="s">
        <v>347</v>
      </c>
      <c r="I1521">
        <v>34</v>
      </c>
      <c r="J1521">
        <v>34</v>
      </c>
      <c r="K1521" s="1">
        <v>45231</v>
      </c>
      <c r="L1521" s="1">
        <v>45443</v>
      </c>
      <c r="M1521" s="1">
        <v>45231</v>
      </c>
      <c r="N1521" s="1">
        <v>45443</v>
      </c>
      <c r="O1521" t="s">
        <v>116</v>
      </c>
      <c r="P1521" t="s">
        <v>8774</v>
      </c>
      <c r="Q1521" t="s">
        <v>8775</v>
      </c>
      <c r="R1521" t="s">
        <v>8776</v>
      </c>
      <c r="T1521" t="s">
        <v>8777</v>
      </c>
      <c r="U1521" t="s">
        <v>140</v>
      </c>
      <c r="V1521" s="8" t="str">
        <f>"33432"</f>
        <v>33432</v>
      </c>
      <c r="W1521" t="s">
        <v>118</v>
      </c>
      <c r="Y1521" s="10">
        <v>15614473000</v>
      </c>
      <c r="AA1521">
        <v>72111</v>
      </c>
      <c r="AB1521" t="s">
        <v>8778</v>
      </c>
      <c r="AC1521" t="s">
        <v>8779</v>
      </c>
      <c r="AE1521" t="s">
        <v>8780</v>
      </c>
      <c r="AF1521" t="s">
        <v>8776</v>
      </c>
      <c r="AH1521" t="s">
        <v>8777</v>
      </c>
      <c r="AI1521" t="s">
        <v>140</v>
      </c>
      <c r="AJ1521" s="8" t="str">
        <f>"33432"</f>
        <v>33432</v>
      </c>
      <c r="AK1521" t="s">
        <v>118</v>
      </c>
      <c r="AM1521" s="10">
        <v>15615459577</v>
      </c>
      <c r="AO1521" t="s">
        <v>8781</v>
      </c>
      <c r="AP1521" t="s">
        <v>121</v>
      </c>
      <c r="AQ1521" t="s">
        <v>1327</v>
      </c>
      <c r="AR1521" t="s">
        <v>1328</v>
      </c>
      <c r="AS1521" t="s">
        <v>1329</v>
      </c>
      <c r="AT1521" t="s">
        <v>1330</v>
      </c>
      <c r="AU1521" t="s">
        <v>1331</v>
      </c>
      <c r="AV1521" t="s">
        <v>142</v>
      </c>
      <c r="AW1521" t="s">
        <v>140</v>
      </c>
      <c r="AX1521" s="8" t="str">
        <f>"33126"</f>
        <v>33126</v>
      </c>
      <c r="AY1521" t="s">
        <v>118</v>
      </c>
      <c r="BA1521" s="10">
        <v>13057745800</v>
      </c>
      <c r="BC1521" t="s">
        <v>1332</v>
      </c>
      <c r="BD1521" t="s">
        <v>1333</v>
      </c>
      <c r="BE1521" t="s">
        <v>140</v>
      </c>
      <c r="BF1521" t="s">
        <v>172</v>
      </c>
      <c r="BG1521" t="s">
        <v>140</v>
      </c>
      <c r="BH1521" s="1">
        <v>45140.833333333336</v>
      </c>
      <c r="BI1521">
        <v>35</v>
      </c>
      <c r="BJ1521">
        <v>7</v>
      </c>
      <c r="BK1521">
        <v>7</v>
      </c>
      <c r="BL1521">
        <v>7</v>
      </c>
      <c r="BM1521">
        <v>7</v>
      </c>
      <c r="BN1521">
        <v>7</v>
      </c>
      <c r="BO1521">
        <v>0</v>
      </c>
      <c r="BP1521">
        <v>0</v>
      </c>
      <c r="BQ1521" t="str">
        <f>"7:00 AM"</f>
        <v>7:00 AM</v>
      </c>
      <c r="BR1521" t="str">
        <f>"2:00 PM"</f>
        <v>2:00 PM</v>
      </c>
      <c r="BS1521" t="s">
        <v>131</v>
      </c>
      <c r="BT1521">
        <v>0</v>
      </c>
      <c r="BU1521">
        <v>6</v>
      </c>
      <c r="BV1521" t="s">
        <v>114</v>
      </c>
      <c r="BX1521" s="2" t="s">
        <v>14047</v>
      </c>
      <c r="BY1521" t="s">
        <v>8776</v>
      </c>
      <c r="CA1521" t="s">
        <v>8777</v>
      </c>
      <c r="CB1521" t="s">
        <v>140</v>
      </c>
      <c r="CC1521" s="8" t="str">
        <f>"33432"</f>
        <v>33432</v>
      </c>
      <c r="CD1521" t="s">
        <v>767</v>
      </c>
      <c r="CE1521" t="s">
        <v>149</v>
      </c>
      <c r="CF1521" s="12">
        <v>14</v>
      </c>
      <c r="CH1521" s="12">
        <v>21</v>
      </c>
      <c r="CJ1521" t="s">
        <v>135</v>
      </c>
      <c r="CK1521" t="s">
        <v>14048</v>
      </c>
      <c r="CL1521" t="s">
        <v>14049</v>
      </c>
      <c r="CO1521" t="s">
        <v>132</v>
      </c>
      <c r="CP1521" t="s">
        <v>114</v>
      </c>
      <c r="CQ1521" t="s">
        <v>136</v>
      </c>
      <c r="CR1521" t="s">
        <v>136</v>
      </c>
      <c r="CS1521" t="s">
        <v>136</v>
      </c>
      <c r="CT1521" t="s">
        <v>136</v>
      </c>
      <c r="CU1521" t="s">
        <v>136</v>
      </c>
      <c r="CV1521" t="s">
        <v>8785</v>
      </c>
      <c r="CW1521" s="10" t="str">
        <f>"+15615459577"</f>
        <v>+15615459577</v>
      </c>
      <c r="CX1521" t="s">
        <v>8781</v>
      </c>
      <c r="CY1521" t="s">
        <v>132</v>
      </c>
      <c r="CZ1521" t="s">
        <v>137</v>
      </c>
      <c r="DA1521" t="s">
        <v>114</v>
      </c>
      <c r="DB1521" t="s">
        <v>136</v>
      </c>
      <c r="DC1521" t="s">
        <v>136</v>
      </c>
      <c r="DD1521" t="s">
        <v>114</v>
      </c>
    </row>
    <row r="1522" spans="1:108" ht="15" customHeight="1" x14ac:dyDescent="0.25">
      <c r="A1522" t="s">
        <v>14631</v>
      </c>
      <c r="B1522" t="s">
        <v>152</v>
      </c>
      <c r="C1522" s="1">
        <v>45141.710632060189</v>
      </c>
      <c r="D1522" s="1">
        <v>45210</v>
      </c>
      <c r="E1522" t="s">
        <v>114</v>
      </c>
      <c r="F1522" t="s">
        <v>1689</v>
      </c>
      <c r="G1522" t="str">
        <f>"37-2012.00"</f>
        <v>37-2012.00</v>
      </c>
      <c r="H1522" t="s">
        <v>205</v>
      </c>
      <c r="I1522">
        <v>21</v>
      </c>
      <c r="J1522">
        <v>21</v>
      </c>
      <c r="K1522" s="1">
        <v>45231</v>
      </c>
      <c r="L1522" s="1">
        <v>45443</v>
      </c>
      <c r="M1522" s="1">
        <v>45231</v>
      </c>
      <c r="N1522" s="1">
        <v>45443</v>
      </c>
      <c r="O1522" t="s">
        <v>116</v>
      </c>
      <c r="P1522" t="s">
        <v>8774</v>
      </c>
      <c r="Q1522" t="s">
        <v>8775</v>
      </c>
      <c r="R1522" t="s">
        <v>8776</v>
      </c>
      <c r="T1522" t="s">
        <v>8777</v>
      </c>
      <c r="U1522" t="s">
        <v>140</v>
      </c>
      <c r="V1522" s="8" t="str">
        <f>"33432"</f>
        <v>33432</v>
      </c>
      <c r="W1522" t="s">
        <v>118</v>
      </c>
      <c r="Y1522" s="10">
        <v>15614473000</v>
      </c>
      <c r="AA1522">
        <v>72111</v>
      </c>
      <c r="AB1522" t="s">
        <v>8778</v>
      </c>
      <c r="AC1522" t="s">
        <v>8779</v>
      </c>
      <c r="AE1522" t="s">
        <v>8780</v>
      </c>
      <c r="AF1522" t="s">
        <v>8776</v>
      </c>
      <c r="AH1522" t="s">
        <v>8777</v>
      </c>
      <c r="AI1522" t="s">
        <v>140</v>
      </c>
      <c r="AJ1522" s="8" t="str">
        <f>"33432"</f>
        <v>33432</v>
      </c>
      <c r="AK1522" t="s">
        <v>118</v>
      </c>
      <c r="AM1522" s="10">
        <v>15615459577</v>
      </c>
      <c r="AO1522" t="s">
        <v>8781</v>
      </c>
      <c r="AP1522" t="s">
        <v>121</v>
      </c>
      <c r="AQ1522" t="s">
        <v>1327</v>
      </c>
      <c r="AR1522" t="s">
        <v>1328</v>
      </c>
      <c r="AS1522" t="s">
        <v>1329</v>
      </c>
      <c r="AT1522" t="s">
        <v>1330</v>
      </c>
      <c r="AU1522" t="s">
        <v>1331</v>
      </c>
      <c r="AV1522" t="s">
        <v>142</v>
      </c>
      <c r="AW1522" t="s">
        <v>140</v>
      </c>
      <c r="AX1522" s="8" t="str">
        <f>"33126"</f>
        <v>33126</v>
      </c>
      <c r="AY1522" t="s">
        <v>118</v>
      </c>
      <c r="BA1522" s="10">
        <v>13057745800</v>
      </c>
      <c r="BC1522" t="s">
        <v>1332</v>
      </c>
      <c r="BD1522" t="s">
        <v>1333</v>
      </c>
      <c r="BE1522" t="s">
        <v>140</v>
      </c>
      <c r="BF1522" t="s">
        <v>172</v>
      </c>
      <c r="BG1522" t="s">
        <v>140</v>
      </c>
      <c r="BH1522" s="1">
        <v>45140.833333333336</v>
      </c>
      <c r="BI1522">
        <v>35</v>
      </c>
      <c r="BJ1522">
        <v>7</v>
      </c>
      <c r="BK1522">
        <v>7</v>
      </c>
      <c r="BL1522">
        <v>7</v>
      </c>
      <c r="BM1522">
        <v>7</v>
      </c>
      <c r="BN1522">
        <v>7</v>
      </c>
      <c r="BO1522">
        <v>0</v>
      </c>
      <c r="BP1522">
        <v>0</v>
      </c>
      <c r="BQ1522" t="str">
        <f>"7:00 AM"</f>
        <v>7:00 AM</v>
      </c>
      <c r="BR1522" t="str">
        <f>"2:00 PM"</f>
        <v>2:00 PM</v>
      </c>
      <c r="BS1522" t="s">
        <v>131</v>
      </c>
      <c r="BT1522">
        <v>0</v>
      </c>
      <c r="BU1522">
        <v>3</v>
      </c>
      <c r="BV1522" t="s">
        <v>114</v>
      </c>
      <c r="BX1522" s="2" t="s">
        <v>14632</v>
      </c>
      <c r="BY1522" t="s">
        <v>8776</v>
      </c>
      <c r="CA1522" t="s">
        <v>8777</v>
      </c>
      <c r="CB1522" t="s">
        <v>140</v>
      </c>
      <c r="CC1522" s="8" t="str">
        <f>"33432"</f>
        <v>33432</v>
      </c>
      <c r="CD1522" t="s">
        <v>767</v>
      </c>
      <c r="CE1522" t="s">
        <v>149</v>
      </c>
      <c r="CF1522" s="12">
        <v>16</v>
      </c>
      <c r="CG1522" s="12">
        <v>19</v>
      </c>
      <c r="CH1522" s="12">
        <v>24</v>
      </c>
      <c r="CI1522" s="12">
        <v>28.5</v>
      </c>
      <c r="CJ1522" t="s">
        <v>135</v>
      </c>
      <c r="CK1522" t="s">
        <v>14048</v>
      </c>
      <c r="CL1522" t="s">
        <v>14633</v>
      </c>
      <c r="CO1522" t="s">
        <v>132</v>
      </c>
      <c r="CP1522" t="s">
        <v>114</v>
      </c>
      <c r="CQ1522" t="s">
        <v>136</v>
      </c>
      <c r="CR1522" t="s">
        <v>136</v>
      </c>
      <c r="CS1522" t="s">
        <v>136</v>
      </c>
      <c r="CT1522" t="s">
        <v>136</v>
      </c>
      <c r="CU1522" t="s">
        <v>136</v>
      </c>
      <c r="CV1522" t="s">
        <v>8785</v>
      </c>
      <c r="CW1522" s="10" t="str">
        <f>"+15615459577"</f>
        <v>+15615459577</v>
      </c>
      <c r="CX1522" t="s">
        <v>8781</v>
      </c>
      <c r="CY1522" t="s">
        <v>132</v>
      </c>
      <c r="CZ1522" t="s">
        <v>137</v>
      </c>
      <c r="DA1522" t="s">
        <v>114</v>
      </c>
      <c r="DB1522" t="s">
        <v>136</v>
      </c>
      <c r="DC1522" t="s">
        <v>136</v>
      </c>
      <c r="DD1522" t="s">
        <v>114</v>
      </c>
    </row>
    <row r="1523" spans="1:108" ht="15" customHeight="1" x14ac:dyDescent="0.25">
      <c r="A1523" t="s">
        <v>8772</v>
      </c>
      <c r="B1523" t="s">
        <v>152</v>
      </c>
      <c r="C1523" s="1">
        <v>45141.694161689818</v>
      </c>
      <c r="D1523" s="1">
        <v>45210</v>
      </c>
      <c r="E1523" t="s">
        <v>114</v>
      </c>
      <c r="F1523" t="s">
        <v>8773</v>
      </c>
      <c r="G1523" t="str">
        <f>"49-9071.00"</f>
        <v>49-9071.00</v>
      </c>
      <c r="H1523" t="s">
        <v>5714</v>
      </c>
      <c r="I1523">
        <v>12</v>
      </c>
      <c r="J1523">
        <v>12</v>
      </c>
      <c r="K1523" s="1">
        <v>45231</v>
      </c>
      <c r="L1523" s="1">
        <v>45443</v>
      </c>
      <c r="M1523" s="1">
        <v>45231</v>
      </c>
      <c r="N1523" s="1">
        <v>45443</v>
      </c>
      <c r="O1523" t="s">
        <v>116</v>
      </c>
      <c r="P1523" t="s">
        <v>8774</v>
      </c>
      <c r="Q1523" t="s">
        <v>8775</v>
      </c>
      <c r="R1523" t="s">
        <v>8776</v>
      </c>
      <c r="T1523" t="s">
        <v>8777</v>
      </c>
      <c r="U1523" t="s">
        <v>140</v>
      </c>
      <c r="V1523" s="8" t="str">
        <f>"33432"</f>
        <v>33432</v>
      </c>
      <c r="W1523" t="s">
        <v>118</v>
      </c>
      <c r="Y1523" s="10">
        <v>15614473000</v>
      </c>
      <c r="AA1523">
        <v>721110</v>
      </c>
      <c r="AB1523" t="s">
        <v>8778</v>
      </c>
      <c r="AC1523" t="s">
        <v>8779</v>
      </c>
      <c r="AE1523" t="s">
        <v>8780</v>
      </c>
      <c r="AF1523" t="s">
        <v>8776</v>
      </c>
      <c r="AH1523" t="s">
        <v>8777</v>
      </c>
      <c r="AI1523" t="s">
        <v>140</v>
      </c>
      <c r="AJ1523" s="8" t="str">
        <f>"33432"</f>
        <v>33432</v>
      </c>
      <c r="AK1523" t="s">
        <v>118</v>
      </c>
      <c r="AM1523" s="10">
        <v>15615459577</v>
      </c>
      <c r="AO1523" t="s">
        <v>8781</v>
      </c>
      <c r="AP1523" t="s">
        <v>121</v>
      </c>
      <c r="AQ1523" t="s">
        <v>1327</v>
      </c>
      <c r="AR1523" t="s">
        <v>1328</v>
      </c>
      <c r="AS1523" t="s">
        <v>1329</v>
      </c>
      <c r="AT1523" t="s">
        <v>1330</v>
      </c>
      <c r="AU1523" t="s">
        <v>1331</v>
      </c>
      <c r="AV1523" t="s">
        <v>142</v>
      </c>
      <c r="AW1523" t="s">
        <v>140</v>
      </c>
      <c r="AX1523" s="8" t="str">
        <f>"33126"</f>
        <v>33126</v>
      </c>
      <c r="AY1523" t="s">
        <v>118</v>
      </c>
      <c r="BA1523" s="10">
        <v>13057745800</v>
      </c>
      <c r="BC1523" t="s">
        <v>1332</v>
      </c>
      <c r="BD1523" t="s">
        <v>1333</v>
      </c>
      <c r="BE1523" t="s">
        <v>140</v>
      </c>
      <c r="BF1523" t="s">
        <v>172</v>
      </c>
      <c r="BG1523" t="s">
        <v>140</v>
      </c>
      <c r="BH1523" s="1">
        <v>45140.833333333336</v>
      </c>
      <c r="BI1523">
        <v>35</v>
      </c>
      <c r="BJ1523">
        <v>7</v>
      </c>
      <c r="BK1523">
        <v>7</v>
      </c>
      <c r="BL1523">
        <v>7</v>
      </c>
      <c r="BM1523">
        <v>7</v>
      </c>
      <c r="BN1523">
        <v>7</v>
      </c>
      <c r="BO1523">
        <v>0</v>
      </c>
      <c r="BP1523">
        <v>0</v>
      </c>
      <c r="BQ1523" t="str">
        <f>"7:00 AM"</f>
        <v>7:00 AM</v>
      </c>
      <c r="BR1523" t="str">
        <f>"2:00 PM"</f>
        <v>2:00 PM</v>
      </c>
      <c r="BS1523" t="s">
        <v>131</v>
      </c>
      <c r="BT1523">
        <v>0</v>
      </c>
      <c r="BU1523">
        <v>6</v>
      </c>
      <c r="BV1523" t="s">
        <v>114</v>
      </c>
      <c r="BX1523" s="2" t="s">
        <v>8782</v>
      </c>
      <c r="BY1523" t="s">
        <v>8776</v>
      </c>
      <c r="CA1523" t="s">
        <v>8777</v>
      </c>
      <c r="CB1523" t="s">
        <v>140</v>
      </c>
      <c r="CC1523" s="8" t="str">
        <f>"33432"</f>
        <v>33432</v>
      </c>
      <c r="CD1523" t="s">
        <v>767</v>
      </c>
      <c r="CE1523" t="s">
        <v>149</v>
      </c>
      <c r="CF1523" s="12">
        <v>19.66</v>
      </c>
      <c r="CG1523" s="12">
        <v>21</v>
      </c>
      <c r="CH1523" s="12">
        <v>29.49</v>
      </c>
      <c r="CI1523" s="12">
        <v>31.5</v>
      </c>
      <c r="CJ1523" t="s">
        <v>135</v>
      </c>
      <c r="CK1523" t="s">
        <v>8783</v>
      </c>
      <c r="CL1523" t="s">
        <v>8784</v>
      </c>
      <c r="CO1523" t="s">
        <v>132</v>
      </c>
      <c r="CP1523" t="s">
        <v>114</v>
      </c>
      <c r="CQ1523" t="s">
        <v>114</v>
      </c>
      <c r="CR1523" t="s">
        <v>136</v>
      </c>
      <c r="CS1523" t="s">
        <v>136</v>
      </c>
      <c r="CT1523" t="s">
        <v>136</v>
      </c>
      <c r="CU1523" t="s">
        <v>136</v>
      </c>
      <c r="CV1523" t="s">
        <v>8785</v>
      </c>
      <c r="CW1523" s="10" t="str">
        <f>"+15615459577"</f>
        <v>+15615459577</v>
      </c>
      <c r="CX1523" t="s">
        <v>8781</v>
      </c>
      <c r="CY1523" t="s">
        <v>132</v>
      </c>
      <c r="CZ1523" t="s">
        <v>137</v>
      </c>
      <c r="DA1523" t="s">
        <v>114</v>
      </c>
      <c r="DB1523" t="s">
        <v>136</v>
      </c>
      <c r="DC1523" t="s">
        <v>136</v>
      </c>
      <c r="DD1523" t="s">
        <v>114</v>
      </c>
    </row>
    <row r="1524" spans="1:108" ht="15" customHeight="1" x14ac:dyDescent="0.25">
      <c r="A1524" t="s">
        <v>23207</v>
      </c>
      <c r="B1524" t="s">
        <v>152</v>
      </c>
      <c r="C1524" s="1">
        <v>45141.679362152776</v>
      </c>
      <c r="D1524" s="1">
        <v>45210</v>
      </c>
      <c r="E1524" t="s">
        <v>136</v>
      </c>
      <c r="F1524" t="s">
        <v>2512</v>
      </c>
      <c r="G1524" t="str">
        <f>"35-3031.00"</f>
        <v>35-3031.00</v>
      </c>
      <c r="H1524" t="s">
        <v>347</v>
      </c>
      <c r="I1524">
        <v>5</v>
      </c>
      <c r="J1524">
        <v>5</v>
      </c>
      <c r="K1524" s="1">
        <v>45231</v>
      </c>
      <c r="L1524" s="1">
        <v>45444</v>
      </c>
      <c r="M1524" s="1">
        <v>45231</v>
      </c>
      <c r="N1524" s="1">
        <v>45444</v>
      </c>
      <c r="O1524" t="s">
        <v>116</v>
      </c>
      <c r="P1524" t="s">
        <v>9925</v>
      </c>
      <c r="R1524" t="s">
        <v>9926</v>
      </c>
      <c r="T1524" t="s">
        <v>4753</v>
      </c>
      <c r="U1524" t="s">
        <v>140</v>
      </c>
      <c r="V1524" s="8" t="str">
        <f>"34134"</f>
        <v>34134</v>
      </c>
      <c r="W1524" t="s">
        <v>118</v>
      </c>
      <c r="Y1524" s="10">
        <v>12399920024</v>
      </c>
      <c r="AA1524">
        <v>713910</v>
      </c>
      <c r="AB1524" t="s">
        <v>9927</v>
      </c>
      <c r="AC1524" t="s">
        <v>2238</v>
      </c>
      <c r="AE1524" t="s">
        <v>1349</v>
      </c>
      <c r="AF1524" t="s">
        <v>9926</v>
      </c>
      <c r="AH1524" t="s">
        <v>4753</v>
      </c>
      <c r="AI1524" t="s">
        <v>140</v>
      </c>
      <c r="AJ1524" s="8" t="str">
        <f>"34134"</f>
        <v>34134</v>
      </c>
      <c r="AK1524" t="s">
        <v>118</v>
      </c>
      <c r="AM1524" s="10">
        <v>12399920024</v>
      </c>
      <c r="AO1524" t="s">
        <v>9928</v>
      </c>
      <c r="AP1524" t="s">
        <v>121</v>
      </c>
      <c r="AQ1524" t="s">
        <v>276</v>
      </c>
      <c r="AR1524" t="s">
        <v>277</v>
      </c>
      <c r="AS1524" t="s">
        <v>278</v>
      </c>
      <c r="AT1524" t="s">
        <v>279</v>
      </c>
      <c r="AU1524" t="s">
        <v>280</v>
      </c>
      <c r="AV1524" t="s">
        <v>281</v>
      </c>
      <c r="AW1524" t="s">
        <v>222</v>
      </c>
      <c r="AX1524" s="8" t="str">
        <f>"01701"</f>
        <v>01701</v>
      </c>
      <c r="AY1524" t="s">
        <v>118</v>
      </c>
      <c r="BA1524" s="10">
        <v>16179399444</v>
      </c>
      <c r="BC1524" t="s">
        <v>282</v>
      </c>
      <c r="BD1524" t="s">
        <v>283</v>
      </c>
      <c r="BE1524" t="s">
        <v>222</v>
      </c>
      <c r="BF1524" t="s">
        <v>284</v>
      </c>
      <c r="BG1524" t="s">
        <v>140</v>
      </c>
      <c r="BH1524" s="1">
        <v>45140.833333333336</v>
      </c>
      <c r="BI1524">
        <v>35</v>
      </c>
      <c r="BJ1524">
        <v>0</v>
      </c>
      <c r="BK1524">
        <v>7</v>
      </c>
      <c r="BL1524">
        <v>7</v>
      </c>
      <c r="BM1524">
        <v>7</v>
      </c>
      <c r="BN1524">
        <v>7</v>
      </c>
      <c r="BO1524">
        <v>7</v>
      </c>
      <c r="BP1524">
        <v>0</v>
      </c>
      <c r="BQ1524" t="str">
        <f>"7:00 AM"</f>
        <v>7:00 AM</v>
      </c>
      <c r="BR1524" t="str">
        <f>"2:00 PM"</f>
        <v>2:00 PM</v>
      </c>
      <c r="BS1524" t="s">
        <v>131</v>
      </c>
      <c r="BT1524">
        <v>0</v>
      </c>
      <c r="BU1524">
        <v>6</v>
      </c>
      <c r="BV1524" t="s">
        <v>114</v>
      </c>
      <c r="BX1524" s="2" t="s">
        <v>5438</v>
      </c>
      <c r="BY1524" t="s">
        <v>9926</v>
      </c>
      <c r="CA1524" t="s">
        <v>4753</v>
      </c>
      <c r="CB1524" t="s">
        <v>140</v>
      </c>
      <c r="CC1524" s="8" t="str">
        <f>"34134"</f>
        <v>34134</v>
      </c>
      <c r="CD1524" t="s">
        <v>1619</v>
      </c>
      <c r="CE1524" t="s">
        <v>1620</v>
      </c>
      <c r="CF1524" s="12">
        <v>17.260000000000002</v>
      </c>
      <c r="CG1524" s="12">
        <v>17.260000000000002</v>
      </c>
      <c r="CH1524" s="12">
        <v>25.89</v>
      </c>
      <c r="CI1524" s="12">
        <v>25.89</v>
      </c>
      <c r="CJ1524" t="s">
        <v>135</v>
      </c>
      <c r="CK1524" t="s">
        <v>23208</v>
      </c>
      <c r="CL1524" t="s">
        <v>23209</v>
      </c>
      <c r="CO1524" t="s">
        <v>132</v>
      </c>
      <c r="CP1524" t="s">
        <v>114</v>
      </c>
      <c r="CQ1524" t="s">
        <v>114</v>
      </c>
      <c r="CR1524" t="s">
        <v>136</v>
      </c>
      <c r="CS1524" t="s">
        <v>136</v>
      </c>
      <c r="CT1524" t="s">
        <v>136</v>
      </c>
      <c r="CU1524" t="s">
        <v>136</v>
      </c>
      <c r="CV1524" s="2" t="s">
        <v>9932</v>
      </c>
      <c r="CW1524" s="10" t="str">
        <f>"+12399920024"</f>
        <v>+12399920024</v>
      </c>
      <c r="CX1524" t="s">
        <v>9933</v>
      </c>
      <c r="CY1524" t="s">
        <v>132</v>
      </c>
      <c r="CZ1524" t="s">
        <v>137</v>
      </c>
      <c r="DA1524" t="s">
        <v>114</v>
      </c>
      <c r="DB1524" t="s">
        <v>114</v>
      </c>
      <c r="DC1524" t="s">
        <v>136</v>
      </c>
      <c r="DD1524" t="s">
        <v>114</v>
      </c>
    </row>
    <row r="1525" spans="1:108" ht="15" customHeight="1" x14ac:dyDescent="0.25">
      <c r="A1525" t="s">
        <v>9923</v>
      </c>
      <c r="B1525" t="s">
        <v>152</v>
      </c>
      <c r="C1525" s="1">
        <v>45141.67722002315</v>
      </c>
      <c r="D1525" s="1">
        <v>45210</v>
      </c>
      <c r="E1525" t="s">
        <v>136</v>
      </c>
      <c r="F1525" t="s">
        <v>9924</v>
      </c>
      <c r="G1525" t="str">
        <f>"35-9011.00"</f>
        <v>35-9011.00</v>
      </c>
      <c r="H1525" t="s">
        <v>1512</v>
      </c>
      <c r="I1525">
        <v>5</v>
      </c>
      <c r="J1525">
        <v>5</v>
      </c>
      <c r="K1525" s="1">
        <v>45231</v>
      </c>
      <c r="L1525" s="1">
        <v>45444</v>
      </c>
      <c r="M1525" s="1">
        <v>45231</v>
      </c>
      <c r="N1525" s="1">
        <v>45444</v>
      </c>
      <c r="O1525" t="s">
        <v>116</v>
      </c>
      <c r="P1525" t="s">
        <v>9925</v>
      </c>
      <c r="R1525" t="s">
        <v>9926</v>
      </c>
      <c r="T1525" t="s">
        <v>4753</v>
      </c>
      <c r="U1525" t="s">
        <v>140</v>
      </c>
      <c r="V1525" s="8" t="str">
        <f>"34134"</f>
        <v>34134</v>
      </c>
      <c r="W1525" t="s">
        <v>118</v>
      </c>
      <c r="Y1525" s="10">
        <v>12399920024</v>
      </c>
      <c r="AA1525">
        <v>713910</v>
      </c>
      <c r="AB1525" t="s">
        <v>9927</v>
      </c>
      <c r="AC1525" t="s">
        <v>2238</v>
      </c>
      <c r="AE1525" t="s">
        <v>1349</v>
      </c>
      <c r="AF1525" t="s">
        <v>9926</v>
      </c>
      <c r="AH1525" t="s">
        <v>4753</v>
      </c>
      <c r="AI1525" t="s">
        <v>140</v>
      </c>
      <c r="AJ1525" s="8" t="str">
        <f>"34134"</f>
        <v>34134</v>
      </c>
      <c r="AK1525" t="s">
        <v>118</v>
      </c>
      <c r="AM1525" s="10">
        <v>12399920024</v>
      </c>
      <c r="AO1525" t="s">
        <v>9928</v>
      </c>
      <c r="AP1525" t="s">
        <v>121</v>
      </c>
      <c r="AQ1525" t="s">
        <v>276</v>
      </c>
      <c r="AR1525" t="s">
        <v>277</v>
      </c>
      <c r="AS1525" t="s">
        <v>278</v>
      </c>
      <c r="AT1525" t="s">
        <v>279</v>
      </c>
      <c r="AU1525" t="s">
        <v>280</v>
      </c>
      <c r="AV1525" t="s">
        <v>281</v>
      </c>
      <c r="AW1525" t="s">
        <v>222</v>
      </c>
      <c r="AX1525" s="8" t="str">
        <f>"01701"</f>
        <v>01701</v>
      </c>
      <c r="AY1525" t="s">
        <v>118</v>
      </c>
      <c r="BA1525" s="10">
        <v>16179399444</v>
      </c>
      <c r="BC1525" t="s">
        <v>282</v>
      </c>
      <c r="BD1525" t="s">
        <v>283</v>
      </c>
      <c r="BE1525" t="s">
        <v>222</v>
      </c>
      <c r="BF1525" t="s">
        <v>284</v>
      </c>
      <c r="BG1525" t="s">
        <v>140</v>
      </c>
      <c r="BH1525" s="1">
        <v>45140.833333333336</v>
      </c>
      <c r="BI1525">
        <v>35</v>
      </c>
      <c r="BJ1525">
        <v>0</v>
      </c>
      <c r="BK1525">
        <v>7</v>
      </c>
      <c r="BL1525">
        <v>7</v>
      </c>
      <c r="BM1525">
        <v>7</v>
      </c>
      <c r="BN1525">
        <v>7</v>
      </c>
      <c r="BO1525">
        <v>7</v>
      </c>
      <c r="BP1525">
        <v>0</v>
      </c>
      <c r="BQ1525" t="str">
        <f>"7:00 AM"</f>
        <v>7:00 AM</v>
      </c>
      <c r="BR1525" t="str">
        <f>"2:00 PM"</f>
        <v>2:00 PM</v>
      </c>
      <c r="BS1525" t="s">
        <v>131</v>
      </c>
      <c r="BT1525">
        <v>0</v>
      </c>
      <c r="BU1525">
        <v>3</v>
      </c>
      <c r="BV1525" t="s">
        <v>114</v>
      </c>
      <c r="BX1525" s="2" t="s">
        <v>9929</v>
      </c>
      <c r="BY1525" t="s">
        <v>9926</v>
      </c>
      <c r="CA1525" t="s">
        <v>4753</v>
      </c>
      <c r="CB1525" t="s">
        <v>140</v>
      </c>
      <c r="CC1525" s="8" t="str">
        <f>"34134"</f>
        <v>34134</v>
      </c>
      <c r="CD1525" t="s">
        <v>1619</v>
      </c>
      <c r="CE1525" t="s">
        <v>1620</v>
      </c>
      <c r="CF1525" s="12">
        <v>14.33</v>
      </c>
      <c r="CG1525" s="12">
        <v>14.33</v>
      </c>
      <c r="CH1525" s="12">
        <v>21.5</v>
      </c>
      <c r="CI1525" s="12">
        <v>21.5</v>
      </c>
      <c r="CJ1525" t="s">
        <v>135</v>
      </c>
      <c r="CK1525" t="s">
        <v>9930</v>
      </c>
      <c r="CL1525" t="s">
        <v>9931</v>
      </c>
      <c r="CO1525" t="s">
        <v>132</v>
      </c>
      <c r="CP1525" t="s">
        <v>114</v>
      </c>
      <c r="CQ1525" t="s">
        <v>114</v>
      </c>
      <c r="CR1525" t="s">
        <v>136</v>
      </c>
      <c r="CS1525" t="s">
        <v>136</v>
      </c>
      <c r="CT1525" t="s">
        <v>136</v>
      </c>
      <c r="CU1525" t="s">
        <v>136</v>
      </c>
      <c r="CV1525" s="2" t="s">
        <v>9932</v>
      </c>
      <c r="CW1525" s="10" t="str">
        <f>"+12399920024"</f>
        <v>+12399920024</v>
      </c>
      <c r="CX1525" t="s">
        <v>9933</v>
      </c>
      <c r="CY1525" t="s">
        <v>132</v>
      </c>
      <c r="CZ1525" t="s">
        <v>137</v>
      </c>
      <c r="DA1525" t="s">
        <v>114</v>
      </c>
      <c r="DB1525" t="s">
        <v>114</v>
      </c>
      <c r="DC1525" t="s">
        <v>136</v>
      </c>
      <c r="DD1525" t="s">
        <v>114</v>
      </c>
    </row>
    <row r="1526" spans="1:108" ht="15" customHeight="1" x14ac:dyDescent="0.25">
      <c r="A1526" t="s">
        <v>23521</v>
      </c>
      <c r="B1526" t="s">
        <v>152</v>
      </c>
      <c r="C1526" s="1">
        <v>45141.675427662034</v>
      </c>
      <c r="D1526" s="1">
        <v>45210</v>
      </c>
      <c r="E1526" t="s">
        <v>136</v>
      </c>
      <c r="F1526" t="s">
        <v>2866</v>
      </c>
      <c r="G1526" t="str">
        <f>"35-2021.00"</f>
        <v>35-2021.00</v>
      </c>
      <c r="H1526" t="s">
        <v>2303</v>
      </c>
      <c r="I1526">
        <v>4</v>
      </c>
      <c r="J1526">
        <v>4</v>
      </c>
      <c r="K1526" s="1">
        <v>45231</v>
      </c>
      <c r="L1526" s="1">
        <v>45444</v>
      </c>
      <c r="M1526" s="1">
        <v>45231</v>
      </c>
      <c r="N1526" s="1">
        <v>45444</v>
      </c>
      <c r="O1526" t="s">
        <v>116</v>
      </c>
      <c r="P1526" t="s">
        <v>9925</v>
      </c>
      <c r="R1526" t="s">
        <v>9926</v>
      </c>
      <c r="T1526" t="s">
        <v>4753</v>
      </c>
      <c r="U1526" t="s">
        <v>140</v>
      </c>
      <c r="V1526" s="8" t="str">
        <f>"34134"</f>
        <v>34134</v>
      </c>
      <c r="W1526" t="s">
        <v>118</v>
      </c>
      <c r="Y1526" s="10">
        <v>12399920024</v>
      </c>
      <c r="AA1526">
        <v>713910</v>
      </c>
      <c r="AB1526" t="s">
        <v>9927</v>
      </c>
      <c r="AC1526" t="s">
        <v>2238</v>
      </c>
      <c r="AE1526" t="s">
        <v>1349</v>
      </c>
      <c r="AF1526" t="s">
        <v>9926</v>
      </c>
      <c r="AH1526" t="s">
        <v>4753</v>
      </c>
      <c r="AI1526" t="s">
        <v>140</v>
      </c>
      <c r="AJ1526" s="8" t="str">
        <f>"34134"</f>
        <v>34134</v>
      </c>
      <c r="AK1526" t="s">
        <v>118</v>
      </c>
      <c r="AM1526" s="10">
        <v>12399920024</v>
      </c>
      <c r="AO1526" t="s">
        <v>9928</v>
      </c>
      <c r="AP1526" t="s">
        <v>121</v>
      </c>
      <c r="AQ1526" t="s">
        <v>276</v>
      </c>
      <c r="AR1526" t="s">
        <v>277</v>
      </c>
      <c r="AS1526" t="s">
        <v>278</v>
      </c>
      <c r="AT1526" t="s">
        <v>279</v>
      </c>
      <c r="AU1526" t="s">
        <v>280</v>
      </c>
      <c r="AV1526" t="s">
        <v>281</v>
      </c>
      <c r="AW1526" t="s">
        <v>222</v>
      </c>
      <c r="AX1526" s="8" t="str">
        <f>"01701"</f>
        <v>01701</v>
      </c>
      <c r="AY1526" t="s">
        <v>118</v>
      </c>
      <c r="BA1526" s="10">
        <v>16179399444</v>
      </c>
      <c r="BC1526" t="s">
        <v>282</v>
      </c>
      <c r="BD1526" t="s">
        <v>283</v>
      </c>
      <c r="BE1526" t="s">
        <v>222</v>
      </c>
      <c r="BF1526" t="s">
        <v>284</v>
      </c>
      <c r="BG1526" t="s">
        <v>140</v>
      </c>
      <c r="BH1526" s="1">
        <v>45140.833333333336</v>
      </c>
      <c r="BI1526">
        <v>35</v>
      </c>
      <c r="BJ1526">
        <v>0</v>
      </c>
      <c r="BK1526">
        <v>7</v>
      </c>
      <c r="BL1526">
        <v>7</v>
      </c>
      <c r="BM1526">
        <v>7</v>
      </c>
      <c r="BN1526">
        <v>7</v>
      </c>
      <c r="BO1526">
        <v>7</v>
      </c>
      <c r="BP1526">
        <v>0</v>
      </c>
      <c r="BQ1526" t="str">
        <f>"8:00 AM"</f>
        <v>8:00 AM</v>
      </c>
      <c r="BR1526" t="str">
        <f>"3:00 PM"</f>
        <v>3:00 PM</v>
      </c>
      <c r="BS1526" t="s">
        <v>131</v>
      </c>
      <c r="BT1526">
        <v>0</v>
      </c>
      <c r="BU1526">
        <v>3</v>
      </c>
      <c r="BV1526" t="s">
        <v>114</v>
      </c>
      <c r="BX1526" s="2" t="s">
        <v>9929</v>
      </c>
      <c r="BY1526" t="s">
        <v>9926</v>
      </c>
      <c r="CA1526" t="s">
        <v>4753</v>
      </c>
      <c r="CB1526" t="s">
        <v>140</v>
      </c>
      <c r="CC1526" s="8" t="str">
        <f>"34134"</f>
        <v>34134</v>
      </c>
      <c r="CD1526" t="s">
        <v>1619</v>
      </c>
      <c r="CE1526" t="s">
        <v>1620</v>
      </c>
      <c r="CF1526" s="12">
        <v>16</v>
      </c>
      <c r="CG1526" s="12">
        <v>18</v>
      </c>
      <c r="CH1526" s="12">
        <v>24</v>
      </c>
      <c r="CI1526" s="12">
        <v>27</v>
      </c>
      <c r="CJ1526" t="s">
        <v>135</v>
      </c>
      <c r="CK1526" t="s">
        <v>23522</v>
      </c>
      <c r="CL1526" t="s">
        <v>23523</v>
      </c>
      <c r="CO1526" t="s">
        <v>132</v>
      </c>
      <c r="CP1526" t="s">
        <v>114</v>
      </c>
      <c r="CQ1526" t="s">
        <v>114</v>
      </c>
      <c r="CR1526" t="s">
        <v>136</v>
      </c>
      <c r="CS1526" t="s">
        <v>136</v>
      </c>
      <c r="CT1526" t="s">
        <v>136</v>
      </c>
      <c r="CU1526" t="s">
        <v>136</v>
      </c>
      <c r="CV1526" s="2" t="s">
        <v>9932</v>
      </c>
      <c r="CW1526" s="10" t="str">
        <f>"+12399920024"</f>
        <v>+12399920024</v>
      </c>
      <c r="CX1526" t="s">
        <v>9933</v>
      </c>
      <c r="CY1526" t="s">
        <v>132</v>
      </c>
      <c r="CZ1526" t="s">
        <v>137</v>
      </c>
      <c r="DA1526" t="s">
        <v>114</v>
      </c>
      <c r="DB1526" t="s">
        <v>114</v>
      </c>
      <c r="DC1526" t="s">
        <v>136</v>
      </c>
      <c r="DD1526" t="s">
        <v>114</v>
      </c>
    </row>
    <row r="1527" spans="1:108" ht="15" customHeight="1" x14ac:dyDescent="0.25">
      <c r="A1527" t="s">
        <v>23583</v>
      </c>
      <c r="B1527" t="s">
        <v>152</v>
      </c>
      <c r="C1527" s="1">
        <v>45141.67412708333</v>
      </c>
      <c r="D1527" s="1">
        <v>45210</v>
      </c>
      <c r="E1527" t="s">
        <v>136</v>
      </c>
      <c r="F1527" t="s">
        <v>23584</v>
      </c>
      <c r="G1527" t="str">
        <f>"35-1012.00"</f>
        <v>35-1012.00</v>
      </c>
      <c r="H1527" t="s">
        <v>2122</v>
      </c>
      <c r="I1527">
        <v>10</v>
      </c>
      <c r="J1527">
        <v>10</v>
      </c>
      <c r="K1527" s="1">
        <v>45231</v>
      </c>
      <c r="L1527" s="1">
        <v>45413</v>
      </c>
      <c r="M1527" s="1">
        <v>45231</v>
      </c>
      <c r="N1527" s="1">
        <v>45413</v>
      </c>
      <c r="O1527" t="s">
        <v>238</v>
      </c>
      <c r="P1527" t="s">
        <v>23585</v>
      </c>
      <c r="Q1527" t="s">
        <v>23586</v>
      </c>
      <c r="R1527" t="s">
        <v>23587</v>
      </c>
      <c r="S1527" t="s">
        <v>23588</v>
      </c>
      <c r="T1527" t="s">
        <v>1948</v>
      </c>
      <c r="U1527" t="s">
        <v>506</v>
      </c>
      <c r="V1527" s="8" t="str">
        <f>"05363"</f>
        <v>05363</v>
      </c>
      <c r="W1527" t="s">
        <v>118</v>
      </c>
      <c r="Y1527" s="10">
        <v>18022754225</v>
      </c>
      <c r="AA1527">
        <v>81341</v>
      </c>
      <c r="AB1527" t="s">
        <v>1495</v>
      </c>
      <c r="AC1527" t="s">
        <v>23589</v>
      </c>
      <c r="AE1527" t="s">
        <v>161</v>
      </c>
      <c r="AF1527" t="s">
        <v>23587</v>
      </c>
      <c r="AG1527" t="s">
        <v>23588</v>
      </c>
      <c r="AH1527" t="s">
        <v>1948</v>
      </c>
      <c r="AI1527" t="s">
        <v>506</v>
      </c>
      <c r="AJ1527" s="8" t="str">
        <f>"05363"</f>
        <v>05363</v>
      </c>
      <c r="AK1527" t="s">
        <v>118</v>
      </c>
      <c r="AM1527" s="10">
        <v>18022754225</v>
      </c>
      <c r="AO1527" t="s">
        <v>23590</v>
      </c>
      <c r="AP1527" t="s">
        <v>121</v>
      </c>
      <c r="AQ1527" t="s">
        <v>276</v>
      </c>
      <c r="AR1527" t="s">
        <v>277</v>
      </c>
      <c r="AS1527" t="s">
        <v>278</v>
      </c>
      <c r="AT1527" t="s">
        <v>279</v>
      </c>
      <c r="AU1527" t="s">
        <v>280</v>
      </c>
      <c r="AV1527" t="s">
        <v>281</v>
      </c>
      <c r="AW1527" t="s">
        <v>222</v>
      </c>
      <c r="AX1527" s="8" t="str">
        <f>"01701"</f>
        <v>01701</v>
      </c>
      <c r="AY1527" t="s">
        <v>118</v>
      </c>
      <c r="BA1527" s="10">
        <v>16179399444</v>
      </c>
      <c r="BC1527" t="s">
        <v>282</v>
      </c>
      <c r="BD1527" t="s">
        <v>283</v>
      </c>
      <c r="BE1527" t="s">
        <v>222</v>
      </c>
      <c r="BF1527" t="s">
        <v>284</v>
      </c>
      <c r="BG1527" t="s">
        <v>506</v>
      </c>
      <c r="BH1527" s="1">
        <v>45140.833333333336</v>
      </c>
      <c r="BI1527">
        <v>40</v>
      </c>
      <c r="BJ1527">
        <v>0</v>
      </c>
      <c r="BK1527">
        <v>8</v>
      </c>
      <c r="BL1527">
        <v>8</v>
      </c>
      <c r="BM1527">
        <v>8</v>
      </c>
      <c r="BN1527">
        <v>8</v>
      </c>
      <c r="BO1527">
        <v>8</v>
      </c>
      <c r="BP1527">
        <v>0</v>
      </c>
      <c r="BQ1527" t="str">
        <f>"6:00 AM"</f>
        <v>6:00 AM</v>
      </c>
      <c r="BR1527" t="str">
        <f>"2:00 PM"</f>
        <v>2:00 PM</v>
      </c>
      <c r="BS1527" t="s">
        <v>131</v>
      </c>
      <c r="BT1527">
        <v>0</v>
      </c>
      <c r="BU1527">
        <v>12</v>
      </c>
      <c r="BV1527" t="s">
        <v>136</v>
      </c>
      <c r="BW1527">
        <v>6</v>
      </c>
      <c r="BX1527" s="2" t="s">
        <v>23591</v>
      </c>
      <c r="BY1527" t="s">
        <v>23587</v>
      </c>
      <c r="CA1527" t="s">
        <v>1948</v>
      </c>
      <c r="CB1527" t="s">
        <v>506</v>
      </c>
      <c r="CC1527" s="8" t="str">
        <f>"05363"</f>
        <v>05363</v>
      </c>
      <c r="CD1527" t="s">
        <v>2398</v>
      </c>
      <c r="CE1527" t="s">
        <v>523</v>
      </c>
      <c r="CF1527" s="12">
        <v>21.8</v>
      </c>
      <c r="CG1527" s="12">
        <v>25</v>
      </c>
      <c r="CH1527" s="12">
        <v>32.700000000000003</v>
      </c>
      <c r="CI1527" s="12">
        <v>37.5</v>
      </c>
      <c r="CJ1527" t="s">
        <v>135</v>
      </c>
      <c r="CK1527" t="s">
        <v>23592</v>
      </c>
      <c r="CL1527" t="s">
        <v>23593</v>
      </c>
      <c r="CO1527" t="s">
        <v>132</v>
      </c>
      <c r="CP1527" t="s">
        <v>114</v>
      </c>
      <c r="CQ1527" t="s">
        <v>114</v>
      </c>
      <c r="CR1527" t="s">
        <v>136</v>
      </c>
      <c r="CS1527" t="s">
        <v>136</v>
      </c>
      <c r="CT1527" t="s">
        <v>136</v>
      </c>
      <c r="CU1527" t="s">
        <v>136</v>
      </c>
      <c r="CV1527" s="2" t="s">
        <v>23594</v>
      </c>
      <c r="CW1527" s="10" t="str">
        <f>"+18022754225"</f>
        <v>+18022754225</v>
      </c>
      <c r="CX1527" t="s">
        <v>23590</v>
      </c>
      <c r="CY1527" t="s">
        <v>132</v>
      </c>
      <c r="CZ1527" t="s">
        <v>137</v>
      </c>
      <c r="DA1527" t="s">
        <v>114</v>
      </c>
      <c r="DB1527" t="s">
        <v>114</v>
      </c>
      <c r="DC1527" t="s">
        <v>136</v>
      </c>
      <c r="DD1527" t="s">
        <v>114</v>
      </c>
    </row>
    <row r="1528" spans="1:108" ht="15" customHeight="1" x14ac:dyDescent="0.25">
      <c r="A1528" t="s">
        <v>23782</v>
      </c>
      <c r="B1528" t="s">
        <v>152</v>
      </c>
      <c r="C1528" s="1">
        <v>45141.672899305559</v>
      </c>
      <c r="D1528" s="1">
        <v>45210</v>
      </c>
      <c r="E1528" t="s">
        <v>136</v>
      </c>
      <c r="F1528" t="s">
        <v>23783</v>
      </c>
      <c r="G1528" t="str">
        <f>"39-3091.00"</f>
        <v>39-3091.00</v>
      </c>
      <c r="H1528" t="s">
        <v>237</v>
      </c>
      <c r="I1528">
        <v>2</v>
      </c>
      <c r="J1528">
        <v>2</v>
      </c>
      <c r="K1528" s="1">
        <v>45231</v>
      </c>
      <c r="L1528" s="1">
        <v>45444</v>
      </c>
      <c r="M1528" s="1">
        <v>45231</v>
      </c>
      <c r="N1528" s="1">
        <v>45444</v>
      </c>
      <c r="O1528" t="s">
        <v>116</v>
      </c>
      <c r="P1528" t="s">
        <v>9925</v>
      </c>
      <c r="R1528" t="s">
        <v>9926</v>
      </c>
      <c r="T1528" t="s">
        <v>4753</v>
      </c>
      <c r="U1528" t="s">
        <v>140</v>
      </c>
      <c r="V1528" s="8" t="str">
        <f>"34134"</f>
        <v>34134</v>
      </c>
      <c r="W1528" t="s">
        <v>118</v>
      </c>
      <c r="Y1528" s="10">
        <v>12399920024</v>
      </c>
      <c r="AA1528">
        <v>713910</v>
      </c>
      <c r="AB1528" t="s">
        <v>9927</v>
      </c>
      <c r="AC1528" t="s">
        <v>2238</v>
      </c>
      <c r="AE1528" t="s">
        <v>1349</v>
      </c>
      <c r="AF1528" t="s">
        <v>9926</v>
      </c>
      <c r="AH1528" t="s">
        <v>4753</v>
      </c>
      <c r="AI1528" t="s">
        <v>140</v>
      </c>
      <c r="AJ1528" s="8" t="str">
        <f>"34134"</f>
        <v>34134</v>
      </c>
      <c r="AK1528" t="s">
        <v>118</v>
      </c>
      <c r="AM1528" s="10">
        <v>12399920024</v>
      </c>
      <c r="AO1528" t="s">
        <v>9928</v>
      </c>
      <c r="AP1528" t="s">
        <v>121</v>
      </c>
      <c r="AQ1528" t="s">
        <v>276</v>
      </c>
      <c r="AR1528" t="s">
        <v>277</v>
      </c>
      <c r="AS1528" t="s">
        <v>278</v>
      </c>
      <c r="AT1528" t="s">
        <v>279</v>
      </c>
      <c r="AU1528" t="s">
        <v>280</v>
      </c>
      <c r="AV1528" t="s">
        <v>281</v>
      </c>
      <c r="AW1528" t="s">
        <v>222</v>
      </c>
      <c r="AX1528" s="8" t="str">
        <f>"01701"</f>
        <v>01701</v>
      </c>
      <c r="AY1528" t="s">
        <v>118</v>
      </c>
      <c r="BA1528" s="10">
        <v>16179399444</v>
      </c>
      <c r="BC1528" t="s">
        <v>282</v>
      </c>
      <c r="BD1528" t="s">
        <v>283</v>
      </c>
      <c r="BE1528" t="s">
        <v>222</v>
      </c>
      <c r="BF1528" t="s">
        <v>284</v>
      </c>
      <c r="BG1528" t="s">
        <v>140</v>
      </c>
      <c r="BH1528" s="1">
        <v>45140.833333333336</v>
      </c>
      <c r="BI1528">
        <v>35</v>
      </c>
      <c r="BJ1528">
        <v>0</v>
      </c>
      <c r="BK1528">
        <v>7</v>
      </c>
      <c r="BL1528">
        <v>7</v>
      </c>
      <c r="BM1528">
        <v>7</v>
      </c>
      <c r="BN1528">
        <v>7</v>
      </c>
      <c r="BO1528">
        <v>7</v>
      </c>
      <c r="BP1528">
        <v>0</v>
      </c>
      <c r="BQ1528" t="str">
        <f>"7:00 AM"</f>
        <v>7:00 AM</v>
      </c>
      <c r="BR1528" t="str">
        <f>"2:00 PM"</f>
        <v>2:00 PM</v>
      </c>
      <c r="BS1528" t="s">
        <v>131</v>
      </c>
      <c r="BT1528">
        <v>0</v>
      </c>
      <c r="BU1528">
        <v>3</v>
      </c>
      <c r="BV1528" t="s">
        <v>114</v>
      </c>
      <c r="BX1528" s="2" t="s">
        <v>9929</v>
      </c>
      <c r="BY1528" t="s">
        <v>9926</v>
      </c>
      <c r="CA1528" t="s">
        <v>4753</v>
      </c>
      <c r="CB1528" t="s">
        <v>140</v>
      </c>
      <c r="CC1528" s="8" t="str">
        <f>"34134"</f>
        <v>34134</v>
      </c>
      <c r="CD1528" t="s">
        <v>1619</v>
      </c>
      <c r="CE1528" t="s">
        <v>1620</v>
      </c>
      <c r="CF1528" s="12">
        <v>14</v>
      </c>
      <c r="CG1528" s="12">
        <v>15</v>
      </c>
      <c r="CH1528" s="12">
        <v>21</v>
      </c>
      <c r="CI1528" s="12">
        <v>22.5</v>
      </c>
      <c r="CJ1528" t="s">
        <v>135</v>
      </c>
      <c r="CK1528" t="s">
        <v>23784</v>
      </c>
      <c r="CL1528" t="s">
        <v>23785</v>
      </c>
      <c r="CO1528" t="s">
        <v>132</v>
      </c>
      <c r="CP1528" t="s">
        <v>114</v>
      </c>
      <c r="CQ1528" t="s">
        <v>114</v>
      </c>
      <c r="CR1528" t="s">
        <v>136</v>
      </c>
      <c r="CS1528" t="s">
        <v>136</v>
      </c>
      <c r="CT1528" t="s">
        <v>136</v>
      </c>
      <c r="CU1528" t="s">
        <v>136</v>
      </c>
      <c r="CV1528" s="2" t="s">
        <v>23786</v>
      </c>
      <c r="CW1528" s="10" t="str">
        <f>"+12399920024"</f>
        <v>+12399920024</v>
      </c>
      <c r="CX1528" t="s">
        <v>9933</v>
      </c>
      <c r="CY1528" t="s">
        <v>132</v>
      </c>
      <c r="CZ1528" t="s">
        <v>137</v>
      </c>
      <c r="DA1528" t="s">
        <v>114</v>
      </c>
      <c r="DB1528" t="s">
        <v>114</v>
      </c>
      <c r="DC1528" t="s">
        <v>136</v>
      </c>
      <c r="DD1528" t="s">
        <v>114</v>
      </c>
    </row>
    <row r="1529" spans="1:108" ht="15" customHeight="1" x14ac:dyDescent="0.25">
      <c r="A1529" t="s">
        <v>15762</v>
      </c>
      <c r="B1529" t="s">
        <v>152</v>
      </c>
      <c r="C1529" s="1">
        <v>45141.65795439815</v>
      </c>
      <c r="D1529" s="1">
        <v>45210</v>
      </c>
      <c r="E1529" t="s">
        <v>114</v>
      </c>
      <c r="F1529" t="s">
        <v>11226</v>
      </c>
      <c r="G1529" t="str">
        <f>"39-3091.00"</f>
        <v>39-3091.00</v>
      </c>
      <c r="H1529" t="s">
        <v>237</v>
      </c>
      <c r="I1529">
        <v>9</v>
      </c>
      <c r="J1529">
        <v>9</v>
      </c>
      <c r="K1529" s="1">
        <v>45231</v>
      </c>
      <c r="L1529" s="1">
        <v>45443</v>
      </c>
      <c r="M1529" s="1">
        <v>45231</v>
      </c>
      <c r="N1529" s="1">
        <v>45443</v>
      </c>
      <c r="O1529" t="s">
        <v>116</v>
      </c>
      <c r="P1529" t="s">
        <v>8774</v>
      </c>
      <c r="Q1529" t="s">
        <v>8775</v>
      </c>
      <c r="R1529" t="s">
        <v>8776</v>
      </c>
      <c r="T1529" t="s">
        <v>8777</v>
      </c>
      <c r="U1529" t="s">
        <v>140</v>
      </c>
      <c r="V1529" s="8" t="str">
        <f>"33432"</f>
        <v>33432</v>
      </c>
      <c r="W1529" t="s">
        <v>118</v>
      </c>
      <c r="Y1529" s="10">
        <v>15614473000</v>
      </c>
      <c r="AA1529">
        <v>72111</v>
      </c>
      <c r="AB1529" t="s">
        <v>8778</v>
      </c>
      <c r="AC1529" t="s">
        <v>8779</v>
      </c>
      <c r="AE1529" t="s">
        <v>8780</v>
      </c>
      <c r="AF1529" t="s">
        <v>8776</v>
      </c>
      <c r="AH1529" t="s">
        <v>8777</v>
      </c>
      <c r="AI1529" t="s">
        <v>140</v>
      </c>
      <c r="AJ1529" s="8" t="str">
        <f>"33432"</f>
        <v>33432</v>
      </c>
      <c r="AK1529" t="s">
        <v>118</v>
      </c>
      <c r="AM1529" s="10">
        <v>15615459577</v>
      </c>
      <c r="AO1529" t="s">
        <v>8781</v>
      </c>
      <c r="AP1529" t="s">
        <v>121</v>
      </c>
      <c r="AQ1529" t="s">
        <v>1327</v>
      </c>
      <c r="AR1529" t="s">
        <v>1328</v>
      </c>
      <c r="AS1529" t="s">
        <v>1329</v>
      </c>
      <c r="AT1529" t="s">
        <v>1330</v>
      </c>
      <c r="AU1529" t="s">
        <v>1331</v>
      </c>
      <c r="AV1529" t="s">
        <v>142</v>
      </c>
      <c r="AW1529" t="s">
        <v>140</v>
      </c>
      <c r="AX1529" s="8" t="str">
        <f>"33126"</f>
        <v>33126</v>
      </c>
      <c r="AY1529" t="s">
        <v>118</v>
      </c>
      <c r="BA1529" s="10">
        <v>13057745800</v>
      </c>
      <c r="BC1529" t="s">
        <v>1332</v>
      </c>
      <c r="BD1529" t="s">
        <v>1333</v>
      </c>
      <c r="BE1529" t="s">
        <v>140</v>
      </c>
      <c r="BF1529" t="s">
        <v>172</v>
      </c>
      <c r="BG1529" t="s">
        <v>140</v>
      </c>
      <c r="BH1529" s="1">
        <v>45140.833333333336</v>
      </c>
      <c r="BI1529">
        <v>35</v>
      </c>
      <c r="BJ1529">
        <v>7</v>
      </c>
      <c r="BK1529">
        <v>7</v>
      </c>
      <c r="BL1529">
        <v>7</v>
      </c>
      <c r="BM1529">
        <v>7</v>
      </c>
      <c r="BN1529">
        <v>7</v>
      </c>
      <c r="BO1529">
        <v>0</v>
      </c>
      <c r="BP1529">
        <v>0</v>
      </c>
      <c r="BQ1529" t="str">
        <f>"7:00 AM"</f>
        <v>7:00 AM</v>
      </c>
      <c r="BR1529" t="str">
        <f>"2:00 PM"</f>
        <v>2:00 PM</v>
      </c>
      <c r="BS1529" t="s">
        <v>131</v>
      </c>
      <c r="BT1529">
        <v>0</v>
      </c>
      <c r="BU1529">
        <v>3</v>
      </c>
      <c r="BV1529" t="s">
        <v>114</v>
      </c>
      <c r="BX1529" s="2" t="s">
        <v>15763</v>
      </c>
      <c r="BY1529" t="s">
        <v>8776</v>
      </c>
      <c r="CA1529" t="s">
        <v>8777</v>
      </c>
      <c r="CB1529" t="s">
        <v>140</v>
      </c>
      <c r="CC1529" s="8" t="str">
        <f>"33432"</f>
        <v>33432</v>
      </c>
      <c r="CD1529" t="s">
        <v>767</v>
      </c>
      <c r="CE1529" t="s">
        <v>149</v>
      </c>
      <c r="CF1529" s="12">
        <v>12.47</v>
      </c>
      <c r="CG1529" s="12">
        <v>20</v>
      </c>
      <c r="CH1529" s="12">
        <v>18.71</v>
      </c>
      <c r="CI1529" s="12">
        <v>30</v>
      </c>
      <c r="CJ1529" t="s">
        <v>135</v>
      </c>
      <c r="CK1529" t="s">
        <v>8783</v>
      </c>
      <c r="CL1529" t="s">
        <v>15764</v>
      </c>
      <c r="CO1529" t="s">
        <v>132</v>
      </c>
      <c r="CP1529" t="s">
        <v>114</v>
      </c>
      <c r="CQ1529" t="s">
        <v>114</v>
      </c>
      <c r="CR1529" t="s">
        <v>136</v>
      </c>
      <c r="CS1529" t="s">
        <v>136</v>
      </c>
      <c r="CT1529" t="s">
        <v>136</v>
      </c>
      <c r="CU1529" t="s">
        <v>136</v>
      </c>
      <c r="CV1529" t="s">
        <v>8785</v>
      </c>
      <c r="CW1529" s="10" t="str">
        <f>"+15615459577"</f>
        <v>+15615459577</v>
      </c>
      <c r="CX1529" t="s">
        <v>8781</v>
      </c>
      <c r="CY1529" t="s">
        <v>132</v>
      </c>
      <c r="CZ1529" t="s">
        <v>137</v>
      </c>
      <c r="DA1529" t="s">
        <v>114</v>
      </c>
      <c r="DB1529" t="s">
        <v>136</v>
      </c>
      <c r="DC1529" t="s">
        <v>136</v>
      </c>
      <c r="DD1529" t="s">
        <v>114</v>
      </c>
    </row>
    <row r="1530" spans="1:108" ht="15" customHeight="1" x14ac:dyDescent="0.25">
      <c r="A1530" t="s">
        <v>13015</v>
      </c>
      <c r="B1530" t="s">
        <v>152</v>
      </c>
      <c r="C1530" s="1">
        <v>45141.586129166666</v>
      </c>
      <c r="D1530" s="1">
        <v>45210</v>
      </c>
      <c r="E1530" t="s">
        <v>136</v>
      </c>
      <c r="F1530" t="s">
        <v>293</v>
      </c>
      <c r="G1530" t="str">
        <f>"37-2012.00"</f>
        <v>37-2012.00</v>
      </c>
      <c r="H1530" t="s">
        <v>205</v>
      </c>
      <c r="I1530">
        <v>10</v>
      </c>
      <c r="J1530">
        <v>10</v>
      </c>
      <c r="K1530" s="1">
        <v>45231</v>
      </c>
      <c r="L1530" s="1">
        <v>45398</v>
      </c>
      <c r="M1530" s="1">
        <v>45231</v>
      </c>
      <c r="N1530" s="1">
        <v>45398</v>
      </c>
      <c r="O1530" t="s">
        <v>116</v>
      </c>
      <c r="P1530" t="s">
        <v>13016</v>
      </c>
      <c r="Q1530" t="s">
        <v>13017</v>
      </c>
      <c r="R1530" t="s">
        <v>13018</v>
      </c>
      <c r="T1530" t="s">
        <v>210</v>
      </c>
      <c r="U1530" t="s">
        <v>211</v>
      </c>
      <c r="V1530" s="8" t="str">
        <f>"84060"</f>
        <v>84060</v>
      </c>
      <c r="W1530" t="s">
        <v>118</v>
      </c>
      <c r="Y1530" s="10">
        <v>14356041342</v>
      </c>
      <c r="AA1530">
        <v>721110</v>
      </c>
      <c r="AB1530" t="s">
        <v>13019</v>
      </c>
      <c r="AC1530" t="s">
        <v>3485</v>
      </c>
      <c r="AE1530" t="s">
        <v>13020</v>
      </c>
      <c r="AF1530" t="s">
        <v>13018</v>
      </c>
      <c r="AH1530" t="s">
        <v>210</v>
      </c>
      <c r="AI1530" t="s">
        <v>211</v>
      </c>
      <c r="AJ1530" s="8" t="str">
        <f>"84060"</f>
        <v>84060</v>
      </c>
      <c r="AK1530" t="s">
        <v>118</v>
      </c>
      <c r="AM1530" s="10">
        <v>14356041342</v>
      </c>
      <c r="AO1530" t="s">
        <v>13021</v>
      </c>
      <c r="AP1530" t="s">
        <v>121</v>
      </c>
      <c r="AQ1530" t="s">
        <v>2061</v>
      </c>
      <c r="AR1530" t="s">
        <v>250</v>
      </c>
      <c r="AS1530" t="s">
        <v>4170</v>
      </c>
      <c r="AT1530" t="s">
        <v>6046</v>
      </c>
      <c r="AV1530" t="s">
        <v>6047</v>
      </c>
      <c r="AW1530" t="s">
        <v>581</v>
      </c>
      <c r="AX1530" s="8" t="str">
        <f>"22312"</f>
        <v>22312</v>
      </c>
      <c r="AY1530" t="s">
        <v>118</v>
      </c>
      <c r="BA1530" s="10">
        <v>12025300700</v>
      </c>
      <c r="BC1530" t="s">
        <v>13022</v>
      </c>
      <c r="BD1530" t="s">
        <v>6048</v>
      </c>
      <c r="BE1530" t="s">
        <v>6049</v>
      </c>
      <c r="BF1530" t="s">
        <v>13023</v>
      </c>
      <c r="BG1530" t="s">
        <v>211</v>
      </c>
      <c r="BH1530" s="1">
        <v>45140.833333333336</v>
      </c>
      <c r="BI1530">
        <v>56</v>
      </c>
      <c r="BJ1530">
        <v>8</v>
      </c>
      <c r="BK1530">
        <v>8</v>
      </c>
      <c r="BL1530">
        <v>8</v>
      </c>
      <c r="BM1530">
        <v>8</v>
      </c>
      <c r="BN1530">
        <v>8</v>
      </c>
      <c r="BO1530">
        <v>8</v>
      </c>
      <c r="BP1530">
        <v>8</v>
      </c>
      <c r="BQ1530" t="str">
        <f>"7:00 AM"</f>
        <v>7:00 AM</v>
      </c>
      <c r="BR1530" t="str">
        <f>"11:00 PM"</f>
        <v>11:00 PM</v>
      </c>
      <c r="BS1530" t="s">
        <v>131</v>
      </c>
      <c r="BT1530">
        <v>0</v>
      </c>
      <c r="BU1530">
        <v>0</v>
      </c>
      <c r="BV1530" t="s">
        <v>114</v>
      </c>
      <c r="BX1530" s="2" t="s">
        <v>13024</v>
      </c>
      <c r="BY1530" t="s">
        <v>13018</v>
      </c>
      <c r="CA1530" t="s">
        <v>210</v>
      </c>
      <c r="CB1530" t="s">
        <v>211</v>
      </c>
      <c r="CC1530" s="8" t="str">
        <f>"84060"</f>
        <v>84060</v>
      </c>
      <c r="CD1530" t="s">
        <v>228</v>
      </c>
      <c r="CE1530" t="s">
        <v>229</v>
      </c>
      <c r="CF1530" s="12">
        <v>20</v>
      </c>
      <c r="CH1530" s="12">
        <v>30</v>
      </c>
      <c r="CJ1530" t="s">
        <v>135</v>
      </c>
      <c r="CK1530" t="s">
        <v>13025</v>
      </c>
      <c r="CL1530" t="s">
        <v>13026</v>
      </c>
      <c r="CO1530" t="s">
        <v>132</v>
      </c>
      <c r="CP1530" t="s">
        <v>114</v>
      </c>
      <c r="CQ1530" t="s">
        <v>114</v>
      </c>
      <c r="CR1530" t="s">
        <v>136</v>
      </c>
      <c r="CS1530" t="s">
        <v>136</v>
      </c>
      <c r="CT1530" t="s">
        <v>136</v>
      </c>
      <c r="CU1530" t="s">
        <v>136</v>
      </c>
      <c r="CV1530" t="s">
        <v>13027</v>
      </c>
      <c r="CW1530" s="10" t="str">
        <f>"+14356041342"</f>
        <v>+14356041342</v>
      </c>
      <c r="CX1530" t="s">
        <v>13021</v>
      </c>
      <c r="CY1530" t="s">
        <v>132</v>
      </c>
      <c r="CZ1530" t="s">
        <v>137</v>
      </c>
      <c r="DA1530" t="s">
        <v>114</v>
      </c>
      <c r="DB1530" t="s">
        <v>114</v>
      </c>
      <c r="DC1530" t="s">
        <v>136</v>
      </c>
      <c r="DD1530" t="s">
        <v>114</v>
      </c>
    </row>
    <row r="1531" spans="1:108" ht="15" customHeight="1" x14ac:dyDescent="0.25">
      <c r="A1531" t="s">
        <v>20691</v>
      </c>
      <c r="B1531" t="s">
        <v>152</v>
      </c>
      <c r="C1531" s="1">
        <v>45141.583915162038</v>
      </c>
      <c r="D1531" s="1">
        <v>45210</v>
      </c>
      <c r="E1531" t="s">
        <v>136</v>
      </c>
      <c r="F1531" t="s">
        <v>2512</v>
      </c>
      <c r="G1531" t="str">
        <f>"35-3031.00"</f>
        <v>35-3031.00</v>
      </c>
      <c r="H1531" t="s">
        <v>347</v>
      </c>
      <c r="I1531">
        <v>12</v>
      </c>
      <c r="J1531">
        <v>12</v>
      </c>
      <c r="K1531" s="1">
        <v>45231</v>
      </c>
      <c r="L1531" s="1">
        <v>45398</v>
      </c>
      <c r="M1531" s="1">
        <v>45231</v>
      </c>
      <c r="N1531" s="1">
        <v>45398</v>
      </c>
      <c r="O1531" t="s">
        <v>116</v>
      </c>
      <c r="P1531" t="s">
        <v>13016</v>
      </c>
      <c r="Q1531" t="s">
        <v>13017</v>
      </c>
      <c r="R1531" t="s">
        <v>13018</v>
      </c>
      <c r="T1531" t="s">
        <v>210</v>
      </c>
      <c r="U1531" t="s">
        <v>211</v>
      </c>
      <c r="V1531" s="8" t="str">
        <f>"84060"</f>
        <v>84060</v>
      </c>
      <c r="W1531" t="s">
        <v>118</v>
      </c>
      <c r="Y1531" s="10">
        <v>14356041342</v>
      </c>
      <c r="AA1531">
        <v>721110</v>
      </c>
      <c r="AB1531" t="s">
        <v>13019</v>
      </c>
      <c r="AC1531" t="s">
        <v>3485</v>
      </c>
      <c r="AE1531" t="s">
        <v>13020</v>
      </c>
      <c r="AF1531" t="s">
        <v>13018</v>
      </c>
      <c r="AH1531" t="s">
        <v>210</v>
      </c>
      <c r="AI1531" t="s">
        <v>211</v>
      </c>
      <c r="AJ1531" s="8" t="str">
        <f>"84060"</f>
        <v>84060</v>
      </c>
      <c r="AK1531" t="s">
        <v>118</v>
      </c>
      <c r="AM1531" s="10">
        <v>14356041342</v>
      </c>
      <c r="AO1531" t="s">
        <v>13021</v>
      </c>
      <c r="AP1531" t="s">
        <v>121</v>
      </c>
      <c r="AQ1531" t="s">
        <v>2061</v>
      </c>
      <c r="AR1531" t="s">
        <v>250</v>
      </c>
      <c r="AS1531" t="s">
        <v>4170</v>
      </c>
      <c r="AT1531" t="s">
        <v>6046</v>
      </c>
      <c r="AV1531" t="s">
        <v>6047</v>
      </c>
      <c r="AW1531" t="s">
        <v>581</v>
      </c>
      <c r="AX1531" s="8" t="str">
        <f>"22312"</f>
        <v>22312</v>
      </c>
      <c r="AY1531" t="s">
        <v>118</v>
      </c>
      <c r="BA1531" s="10">
        <v>12025300700</v>
      </c>
      <c r="BC1531" t="s">
        <v>13022</v>
      </c>
      <c r="BD1531" t="s">
        <v>6048</v>
      </c>
      <c r="BE1531" t="s">
        <v>6049</v>
      </c>
      <c r="BF1531" t="s">
        <v>13023</v>
      </c>
      <c r="BG1531" t="s">
        <v>211</v>
      </c>
      <c r="BH1531" s="1">
        <v>45140.833333333336</v>
      </c>
      <c r="BI1531">
        <v>56</v>
      </c>
      <c r="BJ1531">
        <v>8</v>
      </c>
      <c r="BK1531">
        <v>8</v>
      </c>
      <c r="BL1531">
        <v>8</v>
      </c>
      <c r="BM1531">
        <v>8</v>
      </c>
      <c r="BN1531">
        <v>8</v>
      </c>
      <c r="BO1531">
        <v>8</v>
      </c>
      <c r="BP1531">
        <v>8</v>
      </c>
      <c r="BQ1531" t="str">
        <f>"6:00 AM"</f>
        <v>6:00 AM</v>
      </c>
      <c r="BR1531" t="str">
        <f>"12:00 AM"</f>
        <v>12:00 AM</v>
      </c>
      <c r="BS1531" t="s">
        <v>131</v>
      </c>
      <c r="BT1531">
        <v>0</v>
      </c>
      <c r="BU1531">
        <v>12</v>
      </c>
      <c r="BV1531" t="s">
        <v>114</v>
      </c>
      <c r="BX1531" s="2" t="s">
        <v>20692</v>
      </c>
      <c r="BY1531" t="s">
        <v>13018</v>
      </c>
      <c r="CA1531" t="s">
        <v>210</v>
      </c>
      <c r="CB1531" t="s">
        <v>211</v>
      </c>
      <c r="CC1531" s="8" t="str">
        <f>"84060"</f>
        <v>84060</v>
      </c>
      <c r="CD1531" t="s">
        <v>228</v>
      </c>
      <c r="CE1531" t="s">
        <v>229</v>
      </c>
      <c r="CF1531" s="12">
        <v>16.399999999999999</v>
      </c>
      <c r="CH1531" s="12">
        <v>24.6</v>
      </c>
      <c r="CJ1531" t="s">
        <v>135</v>
      </c>
      <c r="CK1531" t="s">
        <v>20693</v>
      </c>
      <c r="CL1531" t="s">
        <v>20694</v>
      </c>
      <c r="CO1531" t="s">
        <v>132</v>
      </c>
      <c r="CP1531" t="s">
        <v>114</v>
      </c>
      <c r="CQ1531" t="s">
        <v>114</v>
      </c>
      <c r="CR1531" t="s">
        <v>136</v>
      </c>
      <c r="CS1531" t="s">
        <v>136</v>
      </c>
      <c r="CT1531" t="s">
        <v>136</v>
      </c>
      <c r="CU1531" t="s">
        <v>136</v>
      </c>
      <c r="CV1531" t="s">
        <v>20695</v>
      </c>
      <c r="CW1531" s="10" t="str">
        <f>"+14356041342"</f>
        <v>+14356041342</v>
      </c>
      <c r="CX1531" t="s">
        <v>13021</v>
      </c>
      <c r="CY1531" t="s">
        <v>132</v>
      </c>
      <c r="CZ1531" t="s">
        <v>137</v>
      </c>
      <c r="DA1531" t="s">
        <v>114</v>
      </c>
      <c r="DB1531" t="s">
        <v>114</v>
      </c>
      <c r="DC1531" t="s">
        <v>136</v>
      </c>
      <c r="DD1531" t="s">
        <v>114</v>
      </c>
    </row>
    <row r="1532" spans="1:108" ht="15" customHeight="1" x14ac:dyDescent="0.25">
      <c r="A1532" t="s">
        <v>12144</v>
      </c>
      <c r="B1532" t="s">
        <v>152</v>
      </c>
      <c r="C1532" s="1">
        <v>45141.53740601852</v>
      </c>
      <c r="D1532" s="1">
        <v>45210</v>
      </c>
      <c r="E1532" t="s">
        <v>114</v>
      </c>
      <c r="F1532" t="s">
        <v>1950</v>
      </c>
      <c r="G1532" t="str">
        <f>"37-2012.00"</f>
        <v>37-2012.00</v>
      </c>
      <c r="H1532" t="s">
        <v>205</v>
      </c>
      <c r="I1532">
        <v>3</v>
      </c>
      <c r="J1532">
        <v>3</v>
      </c>
      <c r="K1532" s="1">
        <v>45231</v>
      </c>
      <c r="L1532" s="1">
        <v>45504</v>
      </c>
      <c r="M1532" s="1">
        <v>45231</v>
      </c>
      <c r="N1532" s="1">
        <v>45504</v>
      </c>
      <c r="O1532" t="s">
        <v>238</v>
      </c>
      <c r="P1532" t="s">
        <v>12145</v>
      </c>
      <c r="Q1532" t="s">
        <v>12146</v>
      </c>
      <c r="R1532" t="s">
        <v>6346</v>
      </c>
      <c r="S1532" t="s">
        <v>1900</v>
      </c>
      <c r="T1532" t="s">
        <v>6347</v>
      </c>
      <c r="U1532" t="s">
        <v>2030</v>
      </c>
      <c r="V1532" s="8" t="str">
        <f>"57401"</f>
        <v>57401</v>
      </c>
      <c r="W1532" t="s">
        <v>118</v>
      </c>
      <c r="Y1532" s="10">
        <v>16052251712</v>
      </c>
      <c r="AA1532">
        <v>72111</v>
      </c>
      <c r="AB1532" t="s">
        <v>6348</v>
      </c>
      <c r="AC1532" t="s">
        <v>4901</v>
      </c>
      <c r="AE1532" t="s">
        <v>3683</v>
      </c>
      <c r="AF1532" t="s">
        <v>6346</v>
      </c>
      <c r="AG1532" t="s">
        <v>1900</v>
      </c>
      <c r="AH1532" t="s">
        <v>6347</v>
      </c>
      <c r="AI1532" t="s">
        <v>2030</v>
      </c>
      <c r="AJ1532" s="8" t="str">
        <f>"57401"</f>
        <v>57401</v>
      </c>
      <c r="AK1532" t="s">
        <v>118</v>
      </c>
      <c r="AM1532" s="10">
        <v>16052251712</v>
      </c>
      <c r="AO1532" t="s">
        <v>6349</v>
      </c>
      <c r="AP1532" t="s">
        <v>248</v>
      </c>
      <c r="AQ1532" t="s">
        <v>3352</v>
      </c>
      <c r="AR1532" t="s">
        <v>3353</v>
      </c>
      <c r="AT1532" t="s">
        <v>3748</v>
      </c>
      <c r="AV1532" t="s">
        <v>3714</v>
      </c>
      <c r="AW1532" t="s">
        <v>358</v>
      </c>
      <c r="AX1532" s="8" t="str">
        <f>"12901"</f>
        <v>12901</v>
      </c>
      <c r="AY1532" t="s">
        <v>118</v>
      </c>
      <c r="BA1532" s="10">
        <v>15188250360</v>
      </c>
      <c r="BC1532" t="s">
        <v>3356</v>
      </c>
      <c r="BD1532" t="s">
        <v>3357</v>
      </c>
      <c r="BG1532" t="s">
        <v>2030</v>
      </c>
      <c r="BH1532" s="1">
        <v>45132.833333333336</v>
      </c>
      <c r="BI1532">
        <v>42</v>
      </c>
      <c r="BJ1532">
        <v>6</v>
      </c>
      <c r="BK1532">
        <v>6</v>
      </c>
      <c r="BL1532">
        <v>6</v>
      </c>
      <c r="BM1532">
        <v>6</v>
      </c>
      <c r="BN1532">
        <v>6</v>
      </c>
      <c r="BO1532">
        <v>6</v>
      </c>
      <c r="BP1532">
        <v>6</v>
      </c>
      <c r="BQ1532" t="str">
        <f>"8:00 AM"</f>
        <v>8:00 AM</v>
      </c>
      <c r="BR1532" t="str">
        <f>"3:00 PM"</f>
        <v>3:00 PM</v>
      </c>
      <c r="BS1532" t="s">
        <v>131</v>
      </c>
      <c r="BT1532">
        <v>0</v>
      </c>
      <c r="BU1532">
        <v>3</v>
      </c>
      <c r="BV1532" t="s">
        <v>114</v>
      </c>
      <c r="BX1532" s="2" t="s">
        <v>6350</v>
      </c>
      <c r="BY1532" t="s">
        <v>12147</v>
      </c>
      <c r="CA1532" t="s">
        <v>2917</v>
      </c>
      <c r="CB1532" t="s">
        <v>2030</v>
      </c>
      <c r="CC1532" s="8" t="str">
        <f>"57108"</f>
        <v>57108</v>
      </c>
      <c r="CD1532" t="s">
        <v>2150</v>
      </c>
      <c r="CE1532" t="s">
        <v>2151</v>
      </c>
      <c r="CF1532" s="12">
        <v>13.76</v>
      </c>
      <c r="CG1532" s="12">
        <v>13.76</v>
      </c>
      <c r="CH1532" s="12">
        <v>20.64</v>
      </c>
      <c r="CI1532" s="12">
        <v>20.64</v>
      </c>
      <c r="CJ1532" t="s">
        <v>135</v>
      </c>
      <c r="CL1532" t="s">
        <v>12148</v>
      </c>
      <c r="CO1532" t="s">
        <v>132</v>
      </c>
      <c r="CP1532" t="s">
        <v>114</v>
      </c>
      <c r="CQ1532" t="s">
        <v>136</v>
      </c>
      <c r="CR1532" t="s">
        <v>136</v>
      </c>
      <c r="CS1532" t="s">
        <v>114</v>
      </c>
      <c r="CT1532" t="s">
        <v>136</v>
      </c>
      <c r="CU1532" t="s">
        <v>136</v>
      </c>
      <c r="CV1532" s="2" t="s">
        <v>12149</v>
      </c>
      <c r="CW1532" s="10" t="str">
        <f>"+16052251712"</f>
        <v>+16052251712</v>
      </c>
      <c r="CX1532" t="s">
        <v>6349</v>
      </c>
      <c r="CY1532" t="s">
        <v>132</v>
      </c>
      <c r="CZ1532" t="s">
        <v>137</v>
      </c>
      <c r="DA1532" t="s">
        <v>114</v>
      </c>
      <c r="DB1532" t="s">
        <v>136</v>
      </c>
      <c r="DC1532" t="s">
        <v>136</v>
      </c>
      <c r="DD1532" t="s">
        <v>114</v>
      </c>
    </row>
    <row r="1533" spans="1:108" ht="15" customHeight="1" x14ac:dyDescent="0.25">
      <c r="A1533" t="s">
        <v>17307</v>
      </c>
      <c r="B1533" t="s">
        <v>152</v>
      </c>
      <c r="C1533" s="1">
        <v>45141.53255520833</v>
      </c>
      <c r="D1533" s="1">
        <v>45210</v>
      </c>
      <c r="E1533" t="s">
        <v>114</v>
      </c>
      <c r="F1533" t="s">
        <v>1950</v>
      </c>
      <c r="G1533" t="str">
        <f>"37-2012.00"</f>
        <v>37-2012.00</v>
      </c>
      <c r="H1533" t="s">
        <v>205</v>
      </c>
      <c r="I1533">
        <v>3</v>
      </c>
      <c r="J1533">
        <v>3</v>
      </c>
      <c r="K1533" s="1">
        <v>45231</v>
      </c>
      <c r="L1533" s="1">
        <v>45504</v>
      </c>
      <c r="M1533" s="1">
        <v>45231</v>
      </c>
      <c r="N1533" s="1">
        <v>45504</v>
      </c>
      <c r="O1533" t="s">
        <v>238</v>
      </c>
      <c r="P1533" t="s">
        <v>17308</v>
      </c>
      <c r="Q1533" t="s">
        <v>6345</v>
      </c>
      <c r="R1533" t="s">
        <v>6346</v>
      </c>
      <c r="S1533" t="s">
        <v>1900</v>
      </c>
      <c r="T1533" t="s">
        <v>6347</v>
      </c>
      <c r="U1533" t="s">
        <v>2030</v>
      </c>
      <c r="V1533" s="8" t="str">
        <f>"57401"</f>
        <v>57401</v>
      </c>
      <c r="W1533" t="s">
        <v>118</v>
      </c>
      <c r="Y1533" s="10">
        <v>16052251712</v>
      </c>
      <c r="AA1533">
        <v>72111</v>
      </c>
      <c r="AB1533" t="s">
        <v>6348</v>
      </c>
      <c r="AC1533" t="s">
        <v>4901</v>
      </c>
      <c r="AE1533" t="s">
        <v>3683</v>
      </c>
      <c r="AF1533" t="s">
        <v>6346</v>
      </c>
      <c r="AG1533" t="s">
        <v>1900</v>
      </c>
      <c r="AH1533" t="s">
        <v>6347</v>
      </c>
      <c r="AI1533" t="s">
        <v>2030</v>
      </c>
      <c r="AJ1533" s="8" t="str">
        <f>"57401"</f>
        <v>57401</v>
      </c>
      <c r="AK1533" t="s">
        <v>118</v>
      </c>
      <c r="AM1533" s="10">
        <v>16052251712</v>
      </c>
      <c r="AO1533" t="s">
        <v>6349</v>
      </c>
      <c r="AP1533" t="s">
        <v>248</v>
      </c>
      <c r="AQ1533" t="s">
        <v>3352</v>
      </c>
      <c r="AR1533" t="s">
        <v>3353</v>
      </c>
      <c r="AT1533" t="s">
        <v>3354</v>
      </c>
      <c r="AV1533" t="s">
        <v>3355</v>
      </c>
      <c r="AW1533" t="s">
        <v>358</v>
      </c>
      <c r="AX1533" s="8" t="str">
        <f>"12901"</f>
        <v>12901</v>
      </c>
      <c r="AY1533" t="s">
        <v>118</v>
      </c>
      <c r="BA1533" s="10">
        <v>15188250360</v>
      </c>
      <c r="BC1533" t="s">
        <v>3356</v>
      </c>
      <c r="BD1533" t="s">
        <v>3357</v>
      </c>
      <c r="BG1533" t="s">
        <v>2775</v>
      </c>
      <c r="BH1533" s="1">
        <v>45132.833333333336</v>
      </c>
      <c r="BI1533">
        <v>42</v>
      </c>
      <c r="BJ1533">
        <v>6</v>
      </c>
      <c r="BK1533">
        <v>6</v>
      </c>
      <c r="BL1533">
        <v>6</v>
      </c>
      <c r="BM1533">
        <v>6</v>
      </c>
      <c r="BN1533">
        <v>6</v>
      </c>
      <c r="BO1533">
        <v>6</v>
      </c>
      <c r="BP1533">
        <v>6</v>
      </c>
      <c r="BQ1533" t="str">
        <f>"8:00 AM"</f>
        <v>8:00 AM</v>
      </c>
      <c r="BR1533" t="str">
        <f>"3:00 PM"</f>
        <v>3:00 PM</v>
      </c>
      <c r="BS1533" t="s">
        <v>131</v>
      </c>
      <c r="BT1533">
        <v>0</v>
      </c>
      <c r="BU1533">
        <v>3</v>
      </c>
      <c r="BV1533" t="s">
        <v>114</v>
      </c>
      <c r="BX1533" s="2" t="s">
        <v>6350</v>
      </c>
      <c r="BY1533" t="s">
        <v>17309</v>
      </c>
      <c r="CA1533" t="s">
        <v>10478</v>
      </c>
      <c r="CB1533" t="s">
        <v>2775</v>
      </c>
      <c r="CC1533" s="8" t="str">
        <f>"58601"</f>
        <v>58601</v>
      </c>
      <c r="CD1533" t="s">
        <v>10479</v>
      </c>
      <c r="CE1533" t="s">
        <v>5144</v>
      </c>
      <c r="CF1533" s="12">
        <v>14.53</v>
      </c>
      <c r="CG1533" s="12">
        <v>14.53</v>
      </c>
      <c r="CH1533" s="12">
        <v>21.8</v>
      </c>
      <c r="CI1533" s="12">
        <v>21.8</v>
      </c>
      <c r="CJ1533" t="s">
        <v>135</v>
      </c>
      <c r="CL1533" t="s">
        <v>17310</v>
      </c>
      <c r="CO1533" t="s">
        <v>132</v>
      </c>
      <c r="CP1533" t="s">
        <v>114</v>
      </c>
      <c r="CQ1533" t="s">
        <v>136</v>
      </c>
      <c r="CR1533" t="s">
        <v>136</v>
      </c>
      <c r="CS1533" t="s">
        <v>114</v>
      </c>
      <c r="CT1533" t="s">
        <v>136</v>
      </c>
      <c r="CU1533" t="s">
        <v>136</v>
      </c>
      <c r="CV1533" s="2" t="s">
        <v>10481</v>
      </c>
      <c r="CW1533" s="10" t="str">
        <f>"+16052251712"</f>
        <v>+16052251712</v>
      </c>
      <c r="CX1533" t="s">
        <v>6349</v>
      </c>
      <c r="CY1533" t="s">
        <v>132</v>
      </c>
      <c r="CZ1533" t="s">
        <v>137</v>
      </c>
      <c r="DA1533" t="s">
        <v>114</v>
      </c>
      <c r="DB1533" t="s">
        <v>136</v>
      </c>
      <c r="DC1533" t="s">
        <v>136</v>
      </c>
      <c r="DD1533" t="s">
        <v>114</v>
      </c>
    </row>
    <row r="1534" spans="1:108" ht="15" customHeight="1" x14ac:dyDescent="0.25">
      <c r="A1534" t="s">
        <v>19670</v>
      </c>
      <c r="B1534" t="s">
        <v>152</v>
      </c>
      <c r="C1534" s="1">
        <v>45141.528747453704</v>
      </c>
      <c r="D1534" s="1">
        <v>45210</v>
      </c>
      <c r="E1534" t="s">
        <v>114</v>
      </c>
      <c r="F1534" t="s">
        <v>1950</v>
      </c>
      <c r="G1534" t="str">
        <f>"37-2012.00"</f>
        <v>37-2012.00</v>
      </c>
      <c r="H1534" t="s">
        <v>205</v>
      </c>
      <c r="I1534">
        <v>3</v>
      </c>
      <c r="J1534">
        <v>3</v>
      </c>
      <c r="K1534" s="1">
        <v>45231</v>
      </c>
      <c r="L1534" s="1">
        <v>45504</v>
      </c>
      <c r="M1534" s="1">
        <v>45231</v>
      </c>
      <c r="N1534" s="1">
        <v>45504</v>
      </c>
      <c r="O1534" t="s">
        <v>238</v>
      </c>
      <c r="P1534" t="s">
        <v>19671</v>
      </c>
      <c r="Q1534" t="s">
        <v>6135</v>
      </c>
      <c r="R1534" t="s">
        <v>19672</v>
      </c>
      <c r="S1534" t="s">
        <v>1900</v>
      </c>
      <c r="T1534" t="s">
        <v>6347</v>
      </c>
      <c r="U1534" t="s">
        <v>2030</v>
      </c>
      <c r="V1534" s="8" t="str">
        <f>"57401"</f>
        <v>57401</v>
      </c>
      <c r="W1534" t="s">
        <v>118</v>
      </c>
      <c r="Y1534" s="10">
        <v>16052251712</v>
      </c>
      <c r="AA1534">
        <v>72111</v>
      </c>
      <c r="AB1534" t="s">
        <v>6348</v>
      </c>
      <c r="AC1534" t="s">
        <v>4901</v>
      </c>
      <c r="AE1534" t="s">
        <v>3683</v>
      </c>
      <c r="AF1534" t="s">
        <v>19673</v>
      </c>
      <c r="AG1534" t="s">
        <v>1900</v>
      </c>
      <c r="AH1534" t="s">
        <v>6347</v>
      </c>
      <c r="AI1534" t="s">
        <v>2030</v>
      </c>
      <c r="AJ1534" s="8" t="str">
        <f>"57401"</f>
        <v>57401</v>
      </c>
      <c r="AK1534" t="s">
        <v>118</v>
      </c>
      <c r="AM1534" s="10">
        <v>16052251712</v>
      </c>
      <c r="AO1534" t="s">
        <v>6349</v>
      </c>
      <c r="AP1534" t="s">
        <v>248</v>
      </c>
      <c r="AQ1534" t="s">
        <v>3352</v>
      </c>
      <c r="AR1534" t="s">
        <v>3353</v>
      </c>
      <c r="AT1534" t="s">
        <v>3354</v>
      </c>
      <c r="AV1534" t="s">
        <v>3355</v>
      </c>
      <c r="AW1534" t="s">
        <v>358</v>
      </c>
      <c r="AX1534" s="8" t="str">
        <f>"12901"</f>
        <v>12901</v>
      </c>
      <c r="AY1534" t="s">
        <v>118</v>
      </c>
      <c r="BA1534" s="10">
        <v>15188250360</v>
      </c>
      <c r="BC1534" t="s">
        <v>3356</v>
      </c>
      <c r="BD1534" t="s">
        <v>3357</v>
      </c>
      <c r="BG1534" t="s">
        <v>2030</v>
      </c>
      <c r="BH1534" s="1">
        <v>45131.833333333336</v>
      </c>
      <c r="BI1534">
        <v>42</v>
      </c>
      <c r="BJ1534">
        <v>6</v>
      </c>
      <c r="BK1534">
        <v>6</v>
      </c>
      <c r="BL1534">
        <v>6</v>
      </c>
      <c r="BM1534">
        <v>6</v>
      </c>
      <c r="BN1534">
        <v>6</v>
      </c>
      <c r="BO1534">
        <v>6</v>
      </c>
      <c r="BP1534">
        <v>6</v>
      </c>
      <c r="BQ1534" t="str">
        <f>"8:00 AM"</f>
        <v>8:00 AM</v>
      </c>
      <c r="BR1534" t="str">
        <f>"3:00 PM"</f>
        <v>3:00 PM</v>
      </c>
      <c r="BS1534" t="s">
        <v>131</v>
      </c>
      <c r="BT1534">
        <v>0</v>
      </c>
      <c r="BU1534">
        <v>3</v>
      </c>
      <c r="BV1534" t="s">
        <v>114</v>
      </c>
      <c r="BX1534" s="2" t="s">
        <v>6350</v>
      </c>
      <c r="BY1534" t="s">
        <v>19674</v>
      </c>
      <c r="CA1534" t="s">
        <v>19675</v>
      </c>
      <c r="CB1534" t="s">
        <v>2030</v>
      </c>
      <c r="CC1534" s="8" t="str">
        <f>"57732"</f>
        <v>57732</v>
      </c>
      <c r="CD1534" t="s">
        <v>19069</v>
      </c>
      <c r="CE1534" t="s">
        <v>4972</v>
      </c>
      <c r="CF1534" s="12">
        <v>13</v>
      </c>
      <c r="CG1534" s="12">
        <v>13</v>
      </c>
      <c r="CH1534" s="12">
        <v>19.5</v>
      </c>
      <c r="CI1534" s="12">
        <v>19.5</v>
      </c>
      <c r="CJ1534" t="s">
        <v>135</v>
      </c>
      <c r="CL1534" t="s">
        <v>19676</v>
      </c>
      <c r="CO1534" t="s">
        <v>132</v>
      </c>
      <c r="CP1534" t="s">
        <v>114</v>
      </c>
      <c r="CQ1534" t="s">
        <v>136</v>
      </c>
      <c r="CR1534" t="s">
        <v>136</v>
      </c>
      <c r="CS1534" t="s">
        <v>114</v>
      </c>
      <c r="CT1534" t="s">
        <v>136</v>
      </c>
      <c r="CU1534" t="s">
        <v>136</v>
      </c>
      <c r="CV1534" s="2" t="s">
        <v>10481</v>
      </c>
      <c r="CW1534" s="10" t="str">
        <f>"+16052251712"</f>
        <v>+16052251712</v>
      </c>
      <c r="CX1534" t="s">
        <v>6349</v>
      </c>
      <c r="CY1534" t="s">
        <v>132</v>
      </c>
      <c r="CZ1534" t="s">
        <v>137</v>
      </c>
      <c r="DA1534" t="s">
        <v>114</v>
      </c>
      <c r="DB1534" t="s">
        <v>136</v>
      </c>
      <c r="DC1534" t="s">
        <v>136</v>
      </c>
      <c r="DD1534" t="s">
        <v>114</v>
      </c>
    </row>
    <row r="1535" spans="1:108" ht="15" customHeight="1" x14ac:dyDescent="0.25">
      <c r="A1535" t="s">
        <v>23750</v>
      </c>
      <c r="B1535" t="s">
        <v>152</v>
      </c>
      <c r="C1535" s="1">
        <v>45141.525053356483</v>
      </c>
      <c r="D1535" s="1">
        <v>45210</v>
      </c>
      <c r="E1535" t="s">
        <v>114</v>
      </c>
      <c r="F1535" t="s">
        <v>1950</v>
      </c>
      <c r="G1535" t="str">
        <f>"37-2012.00"</f>
        <v>37-2012.00</v>
      </c>
      <c r="H1535" t="s">
        <v>205</v>
      </c>
      <c r="I1535">
        <v>3</v>
      </c>
      <c r="J1535">
        <v>3</v>
      </c>
      <c r="K1535" s="1">
        <v>45231</v>
      </c>
      <c r="L1535" s="1">
        <v>45504</v>
      </c>
      <c r="M1535" s="1">
        <v>45231</v>
      </c>
      <c r="N1535" s="1">
        <v>45504</v>
      </c>
      <c r="O1535" t="s">
        <v>238</v>
      </c>
      <c r="P1535" t="s">
        <v>23751</v>
      </c>
      <c r="Q1535" t="s">
        <v>23752</v>
      </c>
      <c r="R1535" t="s">
        <v>6346</v>
      </c>
      <c r="S1535" t="s">
        <v>1900</v>
      </c>
      <c r="T1535" t="s">
        <v>6347</v>
      </c>
      <c r="U1535" t="s">
        <v>2030</v>
      </c>
      <c r="V1535" s="8" t="str">
        <f>"57401"</f>
        <v>57401</v>
      </c>
      <c r="W1535" t="s">
        <v>118</v>
      </c>
      <c r="Y1535" s="10">
        <v>16052251712</v>
      </c>
      <c r="AA1535">
        <v>72111</v>
      </c>
      <c r="AB1535" t="s">
        <v>6348</v>
      </c>
      <c r="AC1535" t="s">
        <v>4901</v>
      </c>
      <c r="AE1535" t="s">
        <v>3683</v>
      </c>
      <c r="AF1535" t="s">
        <v>19673</v>
      </c>
      <c r="AG1535" t="s">
        <v>1900</v>
      </c>
      <c r="AH1535" t="s">
        <v>6347</v>
      </c>
      <c r="AI1535" t="s">
        <v>2030</v>
      </c>
      <c r="AJ1535" s="8" t="str">
        <f>"57401"</f>
        <v>57401</v>
      </c>
      <c r="AK1535" t="s">
        <v>118</v>
      </c>
      <c r="AM1535" s="10">
        <v>16052251712</v>
      </c>
      <c r="AO1535" t="s">
        <v>6349</v>
      </c>
      <c r="AP1535" t="s">
        <v>248</v>
      </c>
      <c r="AQ1535" t="s">
        <v>3352</v>
      </c>
      <c r="AR1535" t="s">
        <v>3353</v>
      </c>
      <c r="AT1535" t="s">
        <v>3354</v>
      </c>
      <c r="AV1535" t="s">
        <v>3355</v>
      </c>
      <c r="AW1535" t="s">
        <v>358</v>
      </c>
      <c r="AX1535" s="8" t="str">
        <f>"12901"</f>
        <v>12901</v>
      </c>
      <c r="AY1535" t="s">
        <v>118</v>
      </c>
      <c r="BA1535" s="10">
        <v>15188250360</v>
      </c>
      <c r="BC1535" t="s">
        <v>3356</v>
      </c>
      <c r="BD1535" t="s">
        <v>3357</v>
      </c>
      <c r="BG1535" t="s">
        <v>2775</v>
      </c>
      <c r="BH1535" s="1">
        <v>45132.833333333336</v>
      </c>
      <c r="BI1535">
        <v>42</v>
      </c>
      <c r="BJ1535">
        <v>6</v>
      </c>
      <c r="BK1535">
        <v>6</v>
      </c>
      <c r="BL1535">
        <v>6</v>
      </c>
      <c r="BM1535">
        <v>6</v>
      </c>
      <c r="BN1535">
        <v>6</v>
      </c>
      <c r="BO1535">
        <v>6</v>
      </c>
      <c r="BP1535">
        <v>6</v>
      </c>
      <c r="BQ1535" t="str">
        <f>"8:00 AM"</f>
        <v>8:00 AM</v>
      </c>
      <c r="BR1535" t="str">
        <f>"3:00 PM"</f>
        <v>3:00 PM</v>
      </c>
      <c r="BS1535" t="s">
        <v>131</v>
      </c>
      <c r="BT1535">
        <v>0</v>
      </c>
      <c r="BU1535">
        <v>3</v>
      </c>
      <c r="BV1535" t="s">
        <v>114</v>
      </c>
      <c r="BX1535" s="2" t="s">
        <v>6350</v>
      </c>
      <c r="BY1535" t="s">
        <v>23753</v>
      </c>
      <c r="CA1535" t="s">
        <v>10478</v>
      </c>
      <c r="CB1535" t="s">
        <v>2775</v>
      </c>
      <c r="CC1535" s="8" t="str">
        <f>"58601"</f>
        <v>58601</v>
      </c>
      <c r="CD1535" t="s">
        <v>10479</v>
      </c>
      <c r="CE1535" t="s">
        <v>5144</v>
      </c>
      <c r="CF1535" s="12">
        <v>14.52</v>
      </c>
      <c r="CG1535" s="12">
        <v>14.52</v>
      </c>
      <c r="CH1535" s="12">
        <v>21.78</v>
      </c>
      <c r="CI1535" s="12">
        <v>21.78</v>
      </c>
      <c r="CJ1535" t="s">
        <v>135</v>
      </c>
      <c r="CL1535" t="s">
        <v>23754</v>
      </c>
      <c r="CO1535" t="s">
        <v>132</v>
      </c>
      <c r="CP1535" t="s">
        <v>114</v>
      </c>
      <c r="CQ1535" t="s">
        <v>136</v>
      </c>
      <c r="CR1535" t="s">
        <v>136</v>
      </c>
      <c r="CS1535" t="s">
        <v>114</v>
      </c>
      <c r="CT1535" t="s">
        <v>136</v>
      </c>
      <c r="CU1535" t="s">
        <v>136</v>
      </c>
      <c r="CV1535" s="2" t="s">
        <v>10481</v>
      </c>
      <c r="CW1535" s="10" t="str">
        <f>"+16052251712"</f>
        <v>+16052251712</v>
      </c>
      <c r="CX1535" t="s">
        <v>6349</v>
      </c>
      <c r="CY1535" t="s">
        <v>132</v>
      </c>
      <c r="CZ1535" t="s">
        <v>137</v>
      </c>
      <c r="DA1535" t="s">
        <v>114</v>
      </c>
      <c r="DB1535" t="s">
        <v>136</v>
      </c>
      <c r="DC1535" t="s">
        <v>136</v>
      </c>
      <c r="DD1535" t="s">
        <v>114</v>
      </c>
    </row>
    <row r="1536" spans="1:108" ht="15" customHeight="1" x14ac:dyDescent="0.25">
      <c r="A1536" t="s">
        <v>16715</v>
      </c>
      <c r="B1536" t="s">
        <v>152</v>
      </c>
      <c r="C1536" s="1">
        <v>45141.508542708332</v>
      </c>
      <c r="D1536" s="1">
        <v>45210</v>
      </c>
      <c r="E1536" t="s">
        <v>114</v>
      </c>
      <c r="F1536" t="s">
        <v>1950</v>
      </c>
      <c r="G1536" t="str">
        <f>"37-2012.00"</f>
        <v>37-2012.00</v>
      </c>
      <c r="H1536" t="s">
        <v>205</v>
      </c>
      <c r="I1536">
        <v>3</v>
      </c>
      <c r="J1536">
        <v>3</v>
      </c>
      <c r="K1536" s="1">
        <v>45231</v>
      </c>
      <c r="L1536" s="1">
        <v>45504</v>
      </c>
      <c r="M1536" s="1">
        <v>45231</v>
      </c>
      <c r="N1536" s="1">
        <v>45504</v>
      </c>
      <c r="O1536" t="s">
        <v>238</v>
      </c>
      <c r="P1536" t="s">
        <v>16716</v>
      </c>
      <c r="Q1536" t="s">
        <v>16717</v>
      </c>
      <c r="R1536" t="s">
        <v>6346</v>
      </c>
      <c r="S1536" t="s">
        <v>1900</v>
      </c>
      <c r="T1536" t="s">
        <v>16718</v>
      </c>
      <c r="U1536" t="s">
        <v>2030</v>
      </c>
      <c r="V1536" s="8" t="str">
        <f>"57401"</f>
        <v>57401</v>
      </c>
      <c r="W1536" t="s">
        <v>118</v>
      </c>
      <c r="Y1536" s="10">
        <v>16052251712</v>
      </c>
      <c r="AA1536">
        <v>72111</v>
      </c>
      <c r="AB1536" t="s">
        <v>6348</v>
      </c>
      <c r="AC1536" t="s">
        <v>4901</v>
      </c>
      <c r="AE1536" t="s">
        <v>3683</v>
      </c>
      <c r="AF1536" t="s">
        <v>6346</v>
      </c>
      <c r="AG1536" t="s">
        <v>1900</v>
      </c>
      <c r="AH1536" t="s">
        <v>16718</v>
      </c>
      <c r="AI1536" t="s">
        <v>2030</v>
      </c>
      <c r="AJ1536" s="8" t="str">
        <f>"57401"</f>
        <v>57401</v>
      </c>
      <c r="AK1536" t="s">
        <v>118</v>
      </c>
      <c r="AM1536" s="10">
        <v>16052251712</v>
      </c>
      <c r="AO1536" t="s">
        <v>6349</v>
      </c>
      <c r="AP1536" t="s">
        <v>248</v>
      </c>
      <c r="AQ1536" t="s">
        <v>3352</v>
      </c>
      <c r="AR1536" t="s">
        <v>3353</v>
      </c>
      <c r="AT1536" t="s">
        <v>3354</v>
      </c>
      <c r="AV1536" t="s">
        <v>3355</v>
      </c>
      <c r="AW1536" t="s">
        <v>358</v>
      </c>
      <c r="AX1536" s="8" t="str">
        <f>"12901"</f>
        <v>12901</v>
      </c>
      <c r="AY1536" t="s">
        <v>118</v>
      </c>
      <c r="BA1536" s="10">
        <v>15188250360</v>
      </c>
      <c r="BC1536" t="s">
        <v>3356</v>
      </c>
      <c r="BD1536" t="s">
        <v>3357</v>
      </c>
      <c r="BG1536" t="s">
        <v>2030</v>
      </c>
      <c r="BH1536" s="1">
        <v>45132.833333333336</v>
      </c>
      <c r="BI1536">
        <v>42</v>
      </c>
      <c r="BJ1536">
        <v>6</v>
      </c>
      <c r="BK1536">
        <v>6</v>
      </c>
      <c r="BL1536">
        <v>6</v>
      </c>
      <c r="BM1536">
        <v>6</v>
      </c>
      <c r="BN1536">
        <v>6</v>
      </c>
      <c r="BO1536">
        <v>6</v>
      </c>
      <c r="BP1536">
        <v>6</v>
      </c>
      <c r="BQ1536" t="str">
        <f>"8:00 AM"</f>
        <v>8:00 AM</v>
      </c>
      <c r="BR1536" t="str">
        <f>"3:00 PM"</f>
        <v>3:00 PM</v>
      </c>
      <c r="BS1536" t="s">
        <v>131</v>
      </c>
      <c r="BT1536">
        <v>0</v>
      </c>
      <c r="BU1536">
        <v>3</v>
      </c>
      <c r="BV1536" t="s">
        <v>114</v>
      </c>
      <c r="BX1536" s="2" t="s">
        <v>6350</v>
      </c>
      <c r="BY1536" t="s">
        <v>16719</v>
      </c>
      <c r="CA1536" t="s">
        <v>2917</v>
      </c>
      <c r="CB1536" t="s">
        <v>2030</v>
      </c>
      <c r="CC1536" s="8" t="str">
        <f>"57108"</f>
        <v>57108</v>
      </c>
      <c r="CD1536" t="s">
        <v>3161</v>
      </c>
      <c r="CE1536" t="s">
        <v>2151</v>
      </c>
      <c r="CF1536" s="12">
        <v>13.76</v>
      </c>
      <c r="CG1536" s="12">
        <v>13.76</v>
      </c>
      <c r="CH1536" s="12">
        <v>20.64</v>
      </c>
      <c r="CI1536" s="12">
        <v>20.64</v>
      </c>
      <c r="CJ1536" t="s">
        <v>135</v>
      </c>
      <c r="CL1536" t="s">
        <v>16720</v>
      </c>
      <c r="CO1536" t="s">
        <v>132</v>
      </c>
      <c r="CP1536" t="s">
        <v>114</v>
      </c>
      <c r="CQ1536" t="s">
        <v>136</v>
      </c>
      <c r="CR1536" t="s">
        <v>136</v>
      </c>
      <c r="CS1536" t="s">
        <v>114</v>
      </c>
      <c r="CT1536" t="s">
        <v>136</v>
      </c>
      <c r="CU1536" t="s">
        <v>136</v>
      </c>
      <c r="CV1536" s="2" t="s">
        <v>12149</v>
      </c>
      <c r="CW1536" s="10" t="str">
        <f>"+16052251712"</f>
        <v>+16052251712</v>
      </c>
      <c r="CX1536" t="s">
        <v>6349</v>
      </c>
      <c r="CY1536" t="s">
        <v>132</v>
      </c>
      <c r="CZ1536" t="s">
        <v>137</v>
      </c>
      <c r="DA1536" t="s">
        <v>114</v>
      </c>
      <c r="DB1536" t="s">
        <v>136</v>
      </c>
      <c r="DC1536" t="s">
        <v>136</v>
      </c>
      <c r="DD1536" t="s">
        <v>114</v>
      </c>
    </row>
    <row r="1537" spans="1:113" ht="15" customHeight="1" x14ac:dyDescent="0.25">
      <c r="A1537" t="s">
        <v>10790</v>
      </c>
      <c r="B1537" t="s">
        <v>152</v>
      </c>
      <c r="C1537" s="1">
        <v>45141.505053356479</v>
      </c>
      <c r="D1537" s="1">
        <v>45210</v>
      </c>
      <c r="E1537" t="s">
        <v>114</v>
      </c>
      <c r="F1537" t="s">
        <v>1950</v>
      </c>
      <c r="G1537" t="str">
        <f>"37-2012.00"</f>
        <v>37-2012.00</v>
      </c>
      <c r="H1537" t="s">
        <v>205</v>
      </c>
      <c r="I1537">
        <v>3</v>
      </c>
      <c r="J1537">
        <v>3</v>
      </c>
      <c r="K1537" s="1">
        <v>45231</v>
      </c>
      <c r="L1537" s="1">
        <v>45504</v>
      </c>
      <c r="M1537" s="1">
        <v>45231</v>
      </c>
      <c r="N1537" s="1">
        <v>45504</v>
      </c>
      <c r="O1537" t="s">
        <v>238</v>
      </c>
      <c r="P1537" t="s">
        <v>10791</v>
      </c>
      <c r="Q1537" t="s">
        <v>6135</v>
      </c>
      <c r="R1537" t="s">
        <v>6346</v>
      </c>
      <c r="S1537" t="s">
        <v>1900</v>
      </c>
      <c r="T1537" t="s">
        <v>6347</v>
      </c>
      <c r="U1537" t="s">
        <v>2030</v>
      </c>
      <c r="V1537" s="8" t="str">
        <f>"57401"</f>
        <v>57401</v>
      </c>
      <c r="W1537" t="s">
        <v>118</v>
      </c>
      <c r="Y1537" s="10">
        <v>16052251712</v>
      </c>
      <c r="AA1537">
        <v>72111</v>
      </c>
      <c r="AB1537" t="s">
        <v>6348</v>
      </c>
      <c r="AC1537" t="s">
        <v>4901</v>
      </c>
      <c r="AE1537" t="s">
        <v>3683</v>
      </c>
      <c r="AF1537" t="s">
        <v>6346</v>
      </c>
      <c r="AG1537" t="s">
        <v>1900</v>
      </c>
      <c r="AH1537" t="s">
        <v>6347</v>
      </c>
      <c r="AI1537" t="s">
        <v>2030</v>
      </c>
      <c r="AJ1537" s="8" t="str">
        <f>"57401"</f>
        <v>57401</v>
      </c>
      <c r="AK1537" t="s">
        <v>118</v>
      </c>
      <c r="AM1537" s="10">
        <v>16052251712</v>
      </c>
      <c r="AO1537" t="s">
        <v>6349</v>
      </c>
      <c r="AP1537" t="s">
        <v>248</v>
      </c>
      <c r="AQ1537" t="s">
        <v>3352</v>
      </c>
      <c r="AR1537" t="s">
        <v>3353</v>
      </c>
      <c r="AT1537" t="s">
        <v>3354</v>
      </c>
      <c r="AV1537" t="s">
        <v>3355</v>
      </c>
      <c r="AW1537" t="s">
        <v>358</v>
      </c>
      <c r="AX1537" s="8" t="str">
        <f>"12901"</f>
        <v>12901</v>
      </c>
      <c r="AY1537" t="s">
        <v>118</v>
      </c>
      <c r="BA1537" s="10">
        <v>15188250360</v>
      </c>
      <c r="BC1537" t="s">
        <v>3356</v>
      </c>
      <c r="BD1537" t="s">
        <v>3357</v>
      </c>
      <c r="BG1537" t="s">
        <v>2030</v>
      </c>
      <c r="BH1537" s="1">
        <v>45132.833333333336</v>
      </c>
      <c r="BI1537">
        <v>42</v>
      </c>
      <c r="BJ1537">
        <v>6</v>
      </c>
      <c r="BK1537">
        <v>6</v>
      </c>
      <c r="BL1537">
        <v>6</v>
      </c>
      <c r="BM1537">
        <v>6</v>
      </c>
      <c r="BN1537">
        <v>6</v>
      </c>
      <c r="BO1537">
        <v>6</v>
      </c>
      <c r="BP1537">
        <v>6</v>
      </c>
      <c r="BQ1537" t="str">
        <f>"8:00 AM"</f>
        <v>8:00 AM</v>
      </c>
      <c r="BR1537" t="str">
        <f>"3:00 PM"</f>
        <v>3:00 PM</v>
      </c>
      <c r="BS1537" t="s">
        <v>131</v>
      </c>
      <c r="BT1537">
        <v>0</v>
      </c>
      <c r="BU1537">
        <v>3</v>
      </c>
      <c r="BV1537" t="s">
        <v>114</v>
      </c>
      <c r="BX1537" s="2" t="s">
        <v>6350</v>
      </c>
      <c r="BY1537" t="s">
        <v>10792</v>
      </c>
      <c r="CA1537" t="s">
        <v>6347</v>
      </c>
      <c r="CB1537" t="s">
        <v>2030</v>
      </c>
      <c r="CC1537" s="8" t="str">
        <f>"57401"</f>
        <v>57401</v>
      </c>
      <c r="CD1537" t="s">
        <v>6352</v>
      </c>
      <c r="CE1537" t="s">
        <v>5386</v>
      </c>
      <c r="CF1537" s="12">
        <v>12.25</v>
      </c>
      <c r="CG1537" s="12">
        <v>12.25</v>
      </c>
      <c r="CH1537" s="12">
        <v>18.38</v>
      </c>
      <c r="CI1537" s="12">
        <v>18.38</v>
      </c>
      <c r="CJ1537" t="s">
        <v>135</v>
      </c>
      <c r="CL1537" t="s">
        <v>10793</v>
      </c>
      <c r="CO1537" t="s">
        <v>132</v>
      </c>
      <c r="CP1537" t="s">
        <v>114</v>
      </c>
      <c r="CQ1537" t="s">
        <v>136</v>
      </c>
      <c r="CR1537" t="s">
        <v>136</v>
      </c>
      <c r="CS1537" t="s">
        <v>114</v>
      </c>
      <c r="CT1537" t="s">
        <v>136</v>
      </c>
      <c r="CU1537" t="s">
        <v>136</v>
      </c>
      <c r="CV1537" s="2" t="s">
        <v>10481</v>
      </c>
      <c r="CW1537" s="10" t="str">
        <f>"+16052251712"</f>
        <v>+16052251712</v>
      </c>
      <c r="CX1537" t="s">
        <v>6349</v>
      </c>
      <c r="CY1537" t="s">
        <v>132</v>
      </c>
      <c r="CZ1537" t="s">
        <v>137</v>
      </c>
      <c r="DA1537" t="s">
        <v>114</v>
      </c>
      <c r="DB1537" t="s">
        <v>136</v>
      </c>
      <c r="DC1537" t="s">
        <v>136</v>
      </c>
      <c r="DD1537" t="s">
        <v>114</v>
      </c>
    </row>
    <row r="1538" spans="1:113" ht="15" customHeight="1" x14ac:dyDescent="0.25">
      <c r="A1538" t="s">
        <v>10474</v>
      </c>
      <c r="B1538" t="s">
        <v>152</v>
      </c>
      <c r="C1538" s="1">
        <v>45141.497259837961</v>
      </c>
      <c r="D1538" s="1">
        <v>45210</v>
      </c>
      <c r="E1538" t="s">
        <v>114</v>
      </c>
      <c r="F1538" t="s">
        <v>1950</v>
      </c>
      <c r="G1538" t="str">
        <f>"37-2012.00"</f>
        <v>37-2012.00</v>
      </c>
      <c r="H1538" t="s">
        <v>205</v>
      </c>
      <c r="I1538">
        <v>3</v>
      </c>
      <c r="J1538">
        <v>3</v>
      </c>
      <c r="K1538" s="1">
        <v>45231</v>
      </c>
      <c r="L1538" s="1">
        <v>45504</v>
      </c>
      <c r="M1538" s="1">
        <v>45231</v>
      </c>
      <c r="N1538" s="1">
        <v>45504</v>
      </c>
      <c r="O1538" t="s">
        <v>238</v>
      </c>
      <c r="P1538" t="s">
        <v>10475</v>
      </c>
      <c r="Q1538" t="s">
        <v>10476</v>
      </c>
      <c r="R1538" t="s">
        <v>6346</v>
      </c>
      <c r="S1538" t="s">
        <v>1900</v>
      </c>
      <c r="T1538" t="s">
        <v>6347</v>
      </c>
      <c r="U1538" t="s">
        <v>2030</v>
      </c>
      <c r="V1538" s="8" t="str">
        <f>"57401"</f>
        <v>57401</v>
      </c>
      <c r="W1538" t="s">
        <v>118</v>
      </c>
      <c r="Y1538" s="10">
        <v>16052251712</v>
      </c>
      <c r="AA1538">
        <v>72111</v>
      </c>
      <c r="AB1538" t="s">
        <v>6348</v>
      </c>
      <c r="AC1538" t="s">
        <v>4901</v>
      </c>
      <c r="AE1538" t="s">
        <v>3683</v>
      </c>
      <c r="AF1538" t="s">
        <v>6346</v>
      </c>
      <c r="AG1538" t="s">
        <v>1900</v>
      </c>
      <c r="AH1538" t="s">
        <v>6347</v>
      </c>
      <c r="AI1538" t="s">
        <v>2030</v>
      </c>
      <c r="AJ1538" s="8" t="str">
        <f>"57401"</f>
        <v>57401</v>
      </c>
      <c r="AK1538" t="s">
        <v>118</v>
      </c>
      <c r="AM1538" s="10">
        <v>16052251712</v>
      </c>
      <c r="AO1538" t="s">
        <v>6349</v>
      </c>
      <c r="AP1538" t="s">
        <v>248</v>
      </c>
      <c r="AQ1538" t="s">
        <v>3352</v>
      </c>
      <c r="AR1538" t="s">
        <v>3353</v>
      </c>
      <c r="AT1538" t="s">
        <v>3354</v>
      </c>
      <c r="AV1538" t="s">
        <v>3355</v>
      </c>
      <c r="AW1538" t="s">
        <v>358</v>
      </c>
      <c r="AX1538" s="8" t="str">
        <f>"12901"</f>
        <v>12901</v>
      </c>
      <c r="AY1538" t="s">
        <v>118</v>
      </c>
      <c r="BA1538" s="10">
        <v>15188250360</v>
      </c>
      <c r="BC1538" t="s">
        <v>3356</v>
      </c>
      <c r="BD1538" t="s">
        <v>3357</v>
      </c>
      <c r="BG1538" t="s">
        <v>2775</v>
      </c>
      <c r="BH1538" s="1">
        <v>45132.833333333336</v>
      </c>
      <c r="BI1538">
        <v>42</v>
      </c>
      <c r="BJ1538">
        <v>6</v>
      </c>
      <c r="BK1538">
        <v>6</v>
      </c>
      <c r="BL1538">
        <v>6</v>
      </c>
      <c r="BM1538">
        <v>6</v>
      </c>
      <c r="BN1538">
        <v>6</v>
      </c>
      <c r="BO1538">
        <v>6</v>
      </c>
      <c r="BP1538">
        <v>6</v>
      </c>
      <c r="BQ1538" t="str">
        <f>"8:00 AM"</f>
        <v>8:00 AM</v>
      </c>
      <c r="BR1538" t="str">
        <f>"3:00 PM"</f>
        <v>3:00 PM</v>
      </c>
      <c r="BS1538" t="s">
        <v>131</v>
      </c>
      <c r="BT1538">
        <v>0</v>
      </c>
      <c r="BU1538">
        <v>3</v>
      </c>
      <c r="BV1538" t="s">
        <v>114</v>
      </c>
      <c r="BX1538" s="2" t="s">
        <v>6350</v>
      </c>
      <c r="BY1538" t="s">
        <v>10477</v>
      </c>
      <c r="CA1538" t="s">
        <v>10478</v>
      </c>
      <c r="CB1538" t="s">
        <v>2775</v>
      </c>
      <c r="CC1538" s="8" t="str">
        <f>"58601"</f>
        <v>58601</v>
      </c>
      <c r="CD1538" t="s">
        <v>10479</v>
      </c>
      <c r="CE1538" t="s">
        <v>5144</v>
      </c>
      <c r="CF1538" s="12">
        <v>14.53</v>
      </c>
      <c r="CG1538" s="12">
        <v>14.53</v>
      </c>
      <c r="CH1538" s="12">
        <v>21.8</v>
      </c>
      <c r="CI1538" s="12">
        <v>21.8</v>
      </c>
      <c r="CJ1538" t="s">
        <v>135</v>
      </c>
      <c r="CL1538" t="s">
        <v>10480</v>
      </c>
      <c r="CO1538" t="s">
        <v>132</v>
      </c>
      <c r="CP1538" t="s">
        <v>114</v>
      </c>
      <c r="CQ1538" t="s">
        <v>136</v>
      </c>
      <c r="CR1538" t="s">
        <v>136</v>
      </c>
      <c r="CS1538" t="s">
        <v>114</v>
      </c>
      <c r="CT1538" t="s">
        <v>136</v>
      </c>
      <c r="CU1538" t="s">
        <v>136</v>
      </c>
      <c r="CV1538" s="2" t="s">
        <v>10481</v>
      </c>
      <c r="CW1538" s="10" t="str">
        <f>"+16052251712"</f>
        <v>+16052251712</v>
      </c>
      <c r="CX1538" t="s">
        <v>6349</v>
      </c>
      <c r="CY1538" t="s">
        <v>132</v>
      </c>
      <c r="CZ1538" t="s">
        <v>137</v>
      </c>
      <c r="DA1538" t="s">
        <v>114</v>
      </c>
      <c r="DB1538" t="s">
        <v>136</v>
      </c>
      <c r="DC1538" t="s">
        <v>136</v>
      </c>
      <c r="DD1538" t="s">
        <v>114</v>
      </c>
    </row>
    <row r="1539" spans="1:113" ht="15" customHeight="1" x14ac:dyDescent="0.25">
      <c r="A1539" t="s">
        <v>1165</v>
      </c>
      <c r="B1539" t="s">
        <v>152</v>
      </c>
      <c r="C1539" s="1">
        <v>45141.49325</v>
      </c>
      <c r="D1539" s="1">
        <v>45210</v>
      </c>
      <c r="E1539" t="s">
        <v>114</v>
      </c>
      <c r="F1539" t="s">
        <v>700</v>
      </c>
      <c r="G1539" t="str">
        <f>"37-3011.00"</f>
        <v>37-3011.00</v>
      </c>
      <c r="H1539" t="s">
        <v>429</v>
      </c>
      <c r="I1539">
        <v>43</v>
      </c>
      <c r="J1539">
        <v>43</v>
      </c>
      <c r="K1539" s="1">
        <v>45231</v>
      </c>
      <c r="L1539" s="1">
        <v>45352</v>
      </c>
      <c r="M1539" s="1">
        <v>45231</v>
      </c>
      <c r="N1539" s="1">
        <v>45352</v>
      </c>
      <c r="O1539" t="s">
        <v>238</v>
      </c>
      <c r="P1539" t="s">
        <v>1166</v>
      </c>
      <c r="R1539" t="s">
        <v>1167</v>
      </c>
      <c r="T1539" t="s">
        <v>1168</v>
      </c>
      <c r="U1539" t="s">
        <v>127</v>
      </c>
      <c r="V1539" s="8" t="str">
        <f>"75098"</f>
        <v>75098</v>
      </c>
      <c r="W1539" t="s">
        <v>118</v>
      </c>
      <c r="Y1539" s="10">
        <v>19724245343</v>
      </c>
      <c r="AA1539">
        <v>56173</v>
      </c>
      <c r="AB1539" t="s">
        <v>1169</v>
      </c>
      <c r="AC1539" t="s">
        <v>1170</v>
      </c>
      <c r="AE1539" t="s">
        <v>1171</v>
      </c>
      <c r="AF1539" t="s">
        <v>1167</v>
      </c>
      <c r="AH1539" t="s">
        <v>1168</v>
      </c>
      <c r="AI1539" t="s">
        <v>127</v>
      </c>
      <c r="AJ1539" s="8" t="str">
        <f>"75098"</f>
        <v>75098</v>
      </c>
      <c r="AK1539" t="s">
        <v>118</v>
      </c>
      <c r="AM1539" s="10">
        <v>19724245343</v>
      </c>
      <c r="AO1539" t="s">
        <v>132</v>
      </c>
      <c r="AP1539" t="s">
        <v>121</v>
      </c>
      <c r="AQ1539" t="s">
        <v>1172</v>
      </c>
      <c r="AR1539" t="s">
        <v>1173</v>
      </c>
      <c r="AS1539" t="s">
        <v>708</v>
      </c>
      <c r="AT1539" t="s">
        <v>1174</v>
      </c>
      <c r="AV1539" t="s">
        <v>603</v>
      </c>
      <c r="AW1539" t="s">
        <v>127</v>
      </c>
      <c r="AX1539" s="8" t="str">
        <f>"78705"</f>
        <v>78705</v>
      </c>
      <c r="AY1539" t="s">
        <v>118</v>
      </c>
      <c r="BA1539" s="10">
        <v>15123470007</v>
      </c>
      <c r="BC1539" t="s">
        <v>1175</v>
      </c>
      <c r="BD1539" t="s">
        <v>1176</v>
      </c>
      <c r="BE1539" t="s">
        <v>127</v>
      </c>
      <c r="BF1539" t="s">
        <v>750</v>
      </c>
      <c r="BG1539" t="s">
        <v>127</v>
      </c>
      <c r="BH1539" s="1">
        <v>45140.833333333336</v>
      </c>
      <c r="BI1539">
        <v>40</v>
      </c>
      <c r="BJ1539">
        <v>0</v>
      </c>
      <c r="BK1539">
        <v>7</v>
      </c>
      <c r="BL1539">
        <v>7</v>
      </c>
      <c r="BM1539">
        <v>7</v>
      </c>
      <c r="BN1539">
        <v>7</v>
      </c>
      <c r="BO1539">
        <v>7</v>
      </c>
      <c r="BP1539">
        <v>5</v>
      </c>
      <c r="BQ1539" t="str">
        <f>"7:00 AM"</f>
        <v>7:00 AM</v>
      </c>
      <c r="BR1539" t="str">
        <f>"3:00 PM"</f>
        <v>3:00 PM</v>
      </c>
      <c r="BS1539" t="s">
        <v>131</v>
      </c>
      <c r="BT1539">
        <v>0</v>
      </c>
      <c r="BU1539">
        <v>0</v>
      </c>
      <c r="BV1539" t="s">
        <v>114</v>
      </c>
      <c r="BX1539" t="s">
        <v>131</v>
      </c>
      <c r="BY1539" t="s">
        <v>1167</v>
      </c>
      <c r="CA1539" t="s">
        <v>1168</v>
      </c>
      <c r="CB1539" t="s">
        <v>127</v>
      </c>
      <c r="CC1539" s="8" t="str">
        <f>"75098"</f>
        <v>75098</v>
      </c>
      <c r="CD1539" t="s">
        <v>1177</v>
      </c>
      <c r="CE1539" t="s">
        <v>263</v>
      </c>
      <c r="CF1539" s="12">
        <v>16.5</v>
      </c>
      <c r="CG1539" s="12">
        <v>19</v>
      </c>
      <c r="CH1539" s="12">
        <v>24.75</v>
      </c>
      <c r="CI1539" s="12">
        <v>28.5</v>
      </c>
      <c r="CJ1539" t="s">
        <v>135</v>
      </c>
      <c r="CK1539" t="s">
        <v>1178</v>
      </c>
      <c r="CL1539" t="s">
        <v>1179</v>
      </c>
      <c r="CO1539" t="s">
        <v>132</v>
      </c>
      <c r="CP1539" t="s">
        <v>136</v>
      </c>
      <c r="CQ1539" t="s">
        <v>136</v>
      </c>
      <c r="CR1539" t="s">
        <v>136</v>
      </c>
      <c r="CS1539" t="s">
        <v>136</v>
      </c>
      <c r="CT1539" t="s">
        <v>136</v>
      </c>
      <c r="CU1539" t="s">
        <v>136</v>
      </c>
      <c r="CV1539" t="s">
        <v>1180</v>
      </c>
      <c r="CW1539" s="10" t="str">
        <f>"+19724245343"</f>
        <v>+19724245343</v>
      </c>
      <c r="CX1539" t="s">
        <v>1181</v>
      </c>
      <c r="CY1539" t="s">
        <v>132</v>
      </c>
      <c r="CZ1539" t="s">
        <v>137</v>
      </c>
      <c r="DA1539" t="s">
        <v>114</v>
      </c>
      <c r="DB1539" t="s">
        <v>114</v>
      </c>
      <c r="DC1539" t="s">
        <v>136</v>
      </c>
      <c r="DD1539" t="s">
        <v>114</v>
      </c>
    </row>
    <row r="1540" spans="1:113" ht="15" customHeight="1" x14ac:dyDescent="0.25">
      <c r="A1540" t="s">
        <v>6854</v>
      </c>
      <c r="B1540" t="s">
        <v>152</v>
      </c>
      <c r="C1540" s="1">
        <v>45141.471315277777</v>
      </c>
      <c r="D1540" s="1">
        <v>45210</v>
      </c>
      <c r="E1540" t="s">
        <v>136</v>
      </c>
      <c r="F1540" t="s">
        <v>1059</v>
      </c>
      <c r="G1540" t="str">
        <f>"35-2014.00"</f>
        <v>35-2014.00</v>
      </c>
      <c r="H1540" t="s">
        <v>154</v>
      </c>
      <c r="I1540">
        <v>4</v>
      </c>
      <c r="J1540">
        <v>4</v>
      </c>
      <c r="K1540" s="1">
        <v>45231</v>
      </c>
      <c r="L1540" s="1">
        <v>45442</v>
      </c>
      <c r="M1540" s="1">
        <v>45231</v>
      </c>
      <c r="N1540" s="1">
        <v>45442</v>
      </c>
      <c r="O1540" t="s">
        <v>116</v>
      </c>
      <c r="P1540" t="s">
        <v>6855</v>
      </c>
      <c r="Q1540" t="s">
        <v>6856</v>
      </c>
      <c r="R1540" t="s">
        <v>6857</v>
      </c>
      <c r="T1540" t="s">
        <v>1658</v>
      </c>
      <c r="U1540" t="s">
        <v>558</v>
      </c>
      <c r="V1540" s="8" t="str">
        <f>"85253"</f>
        <v>85253</v>
      </c>
      <c r="W1540" t="s">
        <v>118</v>
      </c>
      <c r="Y1540" s="10">
        <v>14809515174</v>
      </c>
      <c r="AA1540">
        <v>721110</v>
      </c>
      <c r="AB1540" t="s">
        <v>1140</v>
      </c>
      <c r="AC1540" t="s">
        <v>6858</v>
      </c>
      <c r="AE1540" t="s">
        <v>6859</v>
      </c>
      <c r="AF1540" t="s">
        <v>6857</v>
      </c>
      <c r="AH1540" t="s">
        <v>1658</v>
      </c>
      <c r="AI1540" t="s">
        <v>558</v>
      </c>
      <c r="AJ1540" s="8" t="str">
        <f>"85253"</f>
        <v>85253</v>
      </c>
      <c r="AK1540" t="s">
        <v>118</v>
      </c>
      <c r="AM1540" s="10">
        <v>14809515174</v>
      </c>
      <c r="AO1540" t="s">
        <v>6860</v>
      </c>
      <c r="AP1540" t="s">
        <v>121</v>
      </c>
      <c r="AQ1540" t="s">
        <v>276</v>
      </c>
      <c r="AR1540" t="s">
        <v>277</v>
      </c>
      <c r="AS1540" t="s">
        <v>278</v>
      </c>
      <c r="AT1540" t="s">
        <v>279</v>
      </c>
      <c r="AU1540" t="s">
        <v>280</v>
      </c>
      <c r="AV1540" t="s">
        <v>281</v>
      </c>
      <c r="AW1540" t="s">
        <v>222</v>
      </c>
      <c r="AX1540" s="8" t="str">
        <f>"01701"</f>
        <v>01701</v>
      </c>
      <c r="AY1540" t="s">
        <v>118</v>
      </c>
      <c r="BA1540" s="10">
        <v>16179399444</v>
      </c>
      <c r="BC1540" t="s">
        <v>282</v>
      </c>
      <c r="BD1540" t="s">
        <v>283</v>
      </c>
      <c r="BE1540" t="s">
        <v>222</v>
      </c>
      <c r="BF1540" t="s">
        <v>284</v>
      </c>
      <c r="BG1540" t="s">
        <v>558</v>
      </c>
      <c r="BH1540" s="1">
        <v>45140.833333333336</v>
      </c>
      <c r="BI1540">
        <v>35</v>
      </c>
      <c r="BJ1540">
        <v>0</v>
      </c>
      <c r="BK1540">
        <v>7</v>
      </c>
      <c r="BL1540">
        <v>7</v>
      </c>
      <c r="BM1540">
        <v>7</v>
      </c>
      <c r="BN1540">
        <v>7</v>
      </c>
      <c r="BO1540">
        <v>7</v>
      </c>
      <c r="BP1540">
        <v>0</v>
      </c>
      <c r="BQ1540" t="str">
        <f>"5:00 AM"</f>
        <v>5:00 AM</v>
      </c>
      <c r="BR1540" t="str">
        <f>"12:00 PM"</f>
        <v>12:00 PM</v>
      </c>
      <c r="BS1540" t="s">
        <v>131</v>
      </c>
      <c r="BT1540">
        <v>0</v>
      </c>
      <c r="BU1540">
        <v>6</v>
      </c>
      <c r="BV1540" t="s">
        <v>114</v>
      </c>
      <c r="BX1540" s="2" t="s">
        <v>6861</v>
      </c>
      <c r="BY1540" t="s">
        <v>6857</v>
      </c>
      <c r="CA1540" t="s">
        <v>1658</v>
      </c>
      <c r="CB1540" t="s">
        <v>558</v>
      </c>
      <c r="CC1540" s="8" t="str">
        <f>"85253"</f>
        <v>85253</v>
      </c>
      <c r="CD1540" t="s">
        <v>1391</v>
      </c>
      <c r="CE1540" t="s">
        <v>565</v>
      </c>
      <c r="CF1540" s="12">
        <v>18.079999999999998</v>
      </c>
      <c r="CG1540" s="12">
        <v>19.5</v>
      </c>
      <c r="CH1540" s="12">
        <v>27.12</v>
      </c>
      <c r="CI1540" s="12">
        <v>29.25</v>
      </c>
      <c r="CJ1540" t="s">
        <v>135</v>
      </c>
      <c r="CK1540" t="s">
        <v>6862</v>
      </c>
      <c r="CL1540" t="s">
        <v>6863</v>
      </c>
      <c r="CO1540" t="s">
        <v>132</v>
      </c>
      <c r="CP1540" t="s">
        <v>114</v>
      </c>
      <c r="CQ1540" t="s">
        <v>114</v>
      </c>
      <c r="CR1540" t="s">
        <v>136</v>
      </c>
      <c r="CS1540" t="s">
        <v>136</v>
      </c>
      <c r="CT1540" t="s">
        <v>136</v>
      </c>
      <c r="CU1540" t="s">
        <v>136</v>
      </c>
      <c r="CV1540" s="2" t="s">
        <v>6864</v>
      </c>
      <c r="CW1540" s="10" t="str">
        <f>"+14809515174"</f>
        <v>+14809515174</v>
      </c>
      <c r="CX1540" t="s">
        <v>6860</v>
      </c>
      <c r="CY1540" t="s">
        <v>132</v>
      </c>
      <c r="CZ1540" t="s">
        <v>137</v>
      </c>
      <c r="DA1540" t="s">
        <v>114</v>
      </c>
      <c r="DB1540" t="s">
        <v>114</v>
      </c>
      <c r="DC1540" t="s">
        <v>136</v>
      </c>
      <c r="DD1540" t="s">
        <v>114</v>
      </c>
    </row>
    <row r="1541" spans="1:113" ht="15" customHeight="1" x14ac:dyDescent="0.25">
      <c r="A1541" t="s">
        <v>17353</v>
      </c>
      <c r="B1541" t="s">
        <v>152</v>
      </c>
      <c r="C1541" s="1">
        <v>45124.545720601855</v>
      </c>
      <c r="D1541" s="1">
        <v>45210</v>
      </c>
      <c r="E1541" t="s">
        <v>114</v>
      </c>
      <c r="F1541" t="s">
        <v>17354</v>
      </c>
      <c r="G1541" t="str">
        <f>"35-2014.00"</f>
        <v>35-2014.00</v>
      </c>
      <c r="H1541" t="s">
        <v>154</v>
      </c>
      <c r="I1541">
        <v>28</v>
      </c>
      <c r="J1541">
        <v>28</v>
      </c>
      <c r="K1541" s="1">
        <v>45214</v>
      </c>
      <c r="L1541" s="1">
        <v>45412</v>
      </c>
      <c r="M1541" s="1">
        <v>45214</v>
      </c>
      <c r="N1541" s="1">
        <v>45412</v>
      </c>
      <c r="O1541" t="s">
        <v>116</v>
      </c>
      <c r="P1541" t="s">
        <v>17355</v>
      </c>
      <c r="R1541" t="s">
        <v>17356</v>
      </c>
      <c r="T1541" t="s">
        <v>5738</v>
      </c>
      <c r="U1541" t="s">
        <v>506</v>
      </c>
      <c r="V1541" s="8" t="str">
        <f>"05674"</f>
        <v>05674</v>
      </c>
      <c r="W1541" t="s">
        <v>118</v>
      </c>
      <c r="Y1541" s="10">
        <v>18025836381</v>
      </c>
      <c r="AA1541">
        <v>713910</v>
      </c>
      <c r="AB1541" t="s">
        <v>3567</v>
      </c>
      <c r="AC1541" t="s">
        <v>17357</v>
      </c>
      <c r="AE1541" t="s">
        <v>895</v>
      </c>
      <c r="AF1541" t="s">
        <v>17356</v>
      </c>
      <c r="AH1541" t="s">
        <v>5738</v>
      </c>
      <c r="AI1541" t="s">
        <v>506</v>
      </c>
      <c r="AJ1541" s="8" t="str">
        <f>"05674"</f>
        <v>05674</v>
      </c>
      <c r="AK1541" t="s">
        <v>118</v>
      </c>
      <c r="AM1541" s="10">
        <v>18025836381</v>
      </c>
      <c r="AO1541" t="s">
        <v>17358</v>
      </c>
      <c r="AP1541" t="s">
        <v>121</v>
      </c>
      <c r="AQ1541" t="s">
        <v>2603</v>
      </c>
      <c r="AR1541" t="s">
        <v>2604</v>
      </c>
      <c r="AS1541" t="s">
        <v>931</v>
      </c>
      <c r="AT1541" t="s">
        <v>2605</v>
      </c>
      <c r="AU1541" t="s">
        <v>2606</v>
      </c>
      <c r="AV1541" t="s">
        <v>2607</v>
      </c>
      <c r="AW1541" t="s">
        <v>2608</v>
      </c>
      <c r="AX1541" s="8" t="str">
        <f>"73069"</f>
        <v>73069</v>
      </c>
      <c r="AY1541" t="s">
        <v>118</v>
      </c>
      <c r="BA1541" s="10">
        <v>14053642525</v>
      </c>
      <c r="BC1541" t="s">
        <v>2609</v>
      </c>
      <c r="BD1541" t="s">
        <v>2610</v>
      </c>
      <c r="BE1541" t="s">
        <v>2608</v>
      </c>
      <c r="BF1541" t="s">
        <v>2611</v>
      </c>
      <c r="BG1541" t="s">
        <v>506</v>
      </c>
      <c r="BH1541" s="1">
        <v>45123.833333333336</v>
      </c>
      <c r="BI1541">
        <v>56</v>
      </c>
      <c r="BJ1541">
        <v>8</v>
      </c>
      <c r="BK1541">
        <v>8</v>
      </c>
      <c r="BL1541">
        <v>8</v>
      </c>
      <c r="BM1541">
        <v>8</v>
      </c>
      <c r="BN1541">
        <v>8</v>
      </c>
      <c r="BO1541">
        <v>8</v>
      </c>
      <c r="BP1541">
        <v>8</v>
      </c>
      <c r="BQ1541" t="str">
        <f>"8:00 AM"</f>
        <v>8:00 AM</v>
      </c>
      <c r="BR1541" t="str">
        <f>"10:00 PM"</f>
        <v>10:00 PM</v>
      </c>
      <c r="BS1541" t="s">
        <v>131</v>
      </c>
      <c r="BT1541">
        <v>0</v>
      </c>
      <c r="BU1541">
        <v>1</v>
      </c>
      <c r="BV1541" t="s">
        <v>114</v>
      </c>
      <c r="BX1541" s="2" t="s">
        <v>6732</v>
      </c>
      <c r="BY1541" t="s">
        <v>17359</v>
      </c>
      <c r="CA1541" t="s">
        <v>5738</v>
      </c>
      <c r="CB1541" t="s">
        <v>506</v>
      </c>
      <c r="CC1541" s="8" t="str">
        <f>"05674"</f>
        <v>05674</v>
      </c>
      <c r="CD1541" t="s">
        <v>806</v>
      </c>
      <c r="CE1541" t="s">
        <v>1108</v>
      </c>
      <c r="CF1541" s="12">
        <v>18.170000000000002</v>
      </c>
      <c r="CG1541" s="12">
        <v>18.170000000000002</v>
      </c>
      <c r="CH1541" s="12">
        <v>27.26</v>
      </c>
      <c r="CI1541" s="12">
        <v>27.26</v>
      </c>
      <c r="CJ1541" t="s">
        <v>135</v>
      </c>
      <c r="CL1541" t="s">
        <v>17360</v>
      </c>
      <c r="CO1541" t="s">
        <v>132</v>
      </c>
      <c r="CP1541" t="s">
        <v>114</v>
      </c>
      <c r="CQ1541" t="s">
        <v>114</v>
      </c>
      <c r="CR1541" t="s">
        <v>136</v>
      </c>
      <c r="CS1541" t="s">
        <v>114</v>
      </c>
      <c r="CT1541" t="s">
        <v>136</v>
      </c>
      <c r="CU1541" t="s">
        <v>136</v>
      </c>
      <c r="CV1541" s="2" t="s">
        <v>17361</v>
      </c>
      <c r="CW1541" s="10" t="str">
        <f>"+18028637676"</f>
        <v>+18028637676</v>
      </c>
      <c r="CX1541" t="s">
        <v>17358</v>
      </c>
      <c r="CY1541" t="s">
        <v>132</v>
      </c>
      <c r="CZ1541" t="s">
        <v>137</v>
      </c>
      <c r="DA1541" t="s">
        <v>114</v>
      </c>
      <c r="DB1541" t="s">
        <v>114</v>
      </c>
      <c r="DC1541" t="s">
        <v>136</v>
      </c>
      <c r="DD1541" t="s">
        <v>114</v>
      </c>
    </row>
    <row r="1542" spans="1:113" ht="15" customHeight="1" x14ac:dyDescent="0.25">
      <c r="A1542" t="s">
        <v>12140</v>
      </c>
      <c r="B1542" t="s">
        <v>152</v>
      </c>
      <c r="C1542" s="1">
        <v>45120.017697685187</v>
      </c>
      <c r="D1542" s="1">
        <v>45210</v>
      </c>
      <c r="E1542" t="s">
        <v>114</v>
      </c>
      <c r="F1542" t="s">
        <v>4327</v>
      </c>
      <c r="G1542" t="str">
        <f>"45-2092.00"</f>
        <v>45-2092.00</v>
      </c>
      <c r="H1542" t="s">
        <v>2007</v>
      </c>
      <c r="I1542">
        <v>25</v>
      </c>
      <c r="J1542">
        <v>25</v>
      </c>
      <c r="K1542" s="1">
        <v>45200</v>
      </c>
      <c r="L1542" s="1">
        <v>45427</v>
      </c>
      <c r="M1542" s="1">
        <v>45200</v>
      </c>
      <c r="N1542" s="1">
        <v>45427</v>
      </c>
      <c r="O1542" t="s">
        <v>238</v>
      </c>
      <c r="P1542" t="s">
        <v>4328</v>
      </c>
      <c r="R1542" t="s">
        <v>4329</v>
      </c>
      <c r="T1542" t="s">
        <v>4330</v>
      </c>
      <c r="U1542" t="s">
        <v>1154</v>
      </c>
      <c r="V1542" s="8" t="str">
        <f>"38834"</f>
        <v>38834</v>
      </c>
      <c r="W1542" t="s">
        <v>118</v>
      </c>
      <c r="Y1542" s="10">
        <v>16626434216</v>
      </c>
      <c r="AA1542">
        <v>11321</v>
      </c>
      <c r="AB1542" t="s">
        <v>4331</v>
      </c>
      <c r="AC1542" t="s">
        <v>4332</v>
      </c>
      <c r="AD1542" t="s">
        <v>132</v>
      </c>
      <c r="AE1542" t="s">
        <v>1836</v>
      </c>
      <c r="AF1542" t="s">
        <v>4333</v>
      </c>
      <c r="AH1542" t="s">
        <v>4330</v>
      </c>
      <c r="AI1542" t="s">
        <v>1154</v>
      </c>
      <c r="AJ1542" s="8" t="str">
        <f>"38834"</f>
        <v>38834</v>
      </c>
      <c r="AK1542" t="s">
        <v>118</v>
      </c>
      <c r="AM1542" s="10">
        <v>16626434216</v>
      </c>
      <c r="AO1542" t="s">
        <v>4334</v>
      </c>
      <c r="AP1542" t="s">
        <v>248</v>
      </c>
      <c r="AQ1542" t="s">
        <v>4335</v>
      </c>
      <c r="AR1542" t="s">
        <v>4336</v>
      </c>
      <c r="AS1542" t="s">
        <v>1798</v>
      </c>
      <c r="AT1542" t="s">
        <v>3080</v>
      </c>
      <c r="AU1542" t="s">
        <v>3081</v>
      </c>
      <c r="AV1542" t="s">
        <v>3082</v>
      </c>
      <c r="AW1542" t="s">
        <v>854</v>
      </c>
      <c r="AX1542" s="8" t="str">
        <f>"83814"</f>
        <v>83814</v>
      </c>
      <c r="AY1542" t="s">
        <v>118</v>
      </c>
      <c r="BA1542" s="10">
        <v>12087772654</v>
      </c>
      <c r="BC1542" t="s">
        <v>2154</v>
      </c>
      <c r="BD1542" t="s">
        <v>856</v>
      </c>
      <c r="BG1542" t="s">
        <v>1825</v>
      </c>
      <c r="BH1542" s="1">
        <v>45118.833333333336</v>
      </c>
      <c r="BI1542">
        <v>35</v>
      </c>
      <c r="BJ1542">
        <v>0</v>
      </c>
      <c r="BK1542">
        <v>7</v>
      </c>
      <c r="BL1542">
        <v>7</v>
      </c>
      <c r="BM1542">
        <v>7</v>
      </c>
      <c r="BN1542">
        <v>7</v>
      </c>
      <c r="BO1542">
        <v>7</v>
      </c>
      <c r="BP1542">
        <v>0</v>
      </c>
      <c r="BQ1542" t="str">
        <f>"8:00 AM"</f>
        <v>8:00 AM</v>
      </c>
      <c r="BR1542" t="str">
        <f>"4:00 PM"</f>
        <v>4:00 PM</v>
      </c>
      <c r="BS1542" t="s">
        <v>131</v>
      </c>
      <c r="BT1542">
        <v>0</v>
      </c>
      <c r="BU1542">
        <v>0</v>
      </c>
      <c r="BV1542" t="s">
        <v>114</v>
      </c>
      <c r="BX1542" t="s">
        <v>4337</v>
      </c>
      <c r="BY1542" t="s">
        <v>12141</v>
      </c>
      <c r="CA1542" t="s">
        <v>12142</v>
      </c>
      <c r="CB1542" t="s">
        <v>1825</v>
      </c>
      <c r="CC1542" s="8" t="str">
        <f>"72117"</f>
        <v>72117</v>
      </c>
      <c r="CD1542" t="s">
        <v>1832</v>
      </c>
      <c r="CE1542" t="s">
        <v>1833</v>
      </c>
      <c r="CF1542" s="12">
        <v>12.77</v>
      </c>
      <c r="CH1542" s="12">
        <v>19.16</v>
      </c>
      <c r="CJ1542" t="s">
        <v>135</v>
      </c>
      <c r="CK1542" t="s">
        <v>4341</v>
      </c>
      <c r="CL1542" t="s">
        <v>12143</v>
      </c>
      <c r="CO1542" t="s">
        <v>132</v>
      </c>
      <c r="CP1542" t="s">
        <v>114</v>
      </c>
      <c r="CQ1542" t="s">
        <v>114</v>
      </c>
      <c r="CR1542" t="s">
        <v>136</v>
      </c>
      <c r="CS1542" t="s">
        <v>136</v>
      </c>
      <c r="CT1542" t="s">
        <v>136</v>
      </c>
      <c r="CU1542" t="s">
        <v>114</v>
      </c>
      <c r="CV1542" t="s">
        <v>1040</v>
      </c>
      <c r="CW1542" s="10" t="str">
        <f>"+16626434216"</f>
        <v>+16626434216</v>
      </c>
      <c r="CX1542" t="s">
        <v>4343</v>
      </c>
      <c r="CY1542" t="s">
        <v>132</v>
      </c>
      <c r="CZ1542" t="s">
        <v>137</v>
      </c>
      <c r="DA1542" t="s">
        <v>114</v>
      </c>
      <c r="DB1542" t="s">
        <v>136</v>
      </c>
      <c r="DC1542" t="s">
        <v>136</v>
      </c>
      <c r="DD1542" t="s">
        <v>114</v>
      </c>
    </row>
    <row r="1543" spans="1:113" ht="15" customHeight="1" x14ac:dyDescent="0.25">
      <c r="A1543" t="s">
        <v>11751</v>
      </c>
      <c r="B1543" t="s">
        <v>152</v>
      </c>
      <c r="C1543" s="1">
        <v>45118.489535879628</v>
      </c>
      <c r="D1543" s="1">
        <v>45210</v>
      </c>
      <c r="E1543" t="s">
        <v>114</v>
      </c>
      <c r="F1543" t="s">
        <v>11752</v>
      </c>
      <c r="G1543" t="str">
        <f>"53-3032.00"</f>
        <v>53-3032.00</v>
      </c>
      <c r="H1543" t="s">
        <v>736</v>
      </c>
      <c r="I1543">
        <v>15</v>
      </c>
      <c r="J1543">
        <v>15</v>
      </c>
      <c r="K1543" s="1">
        <v>45200</v>
      </c>
      <c r="L1543" s="1">
        <v>45280</v>
      </c>
      <c r="M1543" s="1">
        <v>45200</v>
      </c>
      <c r="N1543" s="1">
        <v>45280</v>
      </c>
      <c r="O1543" t="s">
        <v>116</v>
      </c>
      <c r="P1543" t="s">
        <v>11753</v>
      </c>
      <c r="R1543" t="s">
        <v>11754</v>
      </c>
      <c r="T1543" t="s">
        <v>3905</v>
      </c>
      <c r="U1543" t="s">
        <v>140</v>
      </c>
      <c r="V1543" s="8" t="str">
        <f>"33852"</f>
        <v>33852</v>
      </c>
      <c r="W1543" t="s">
        <v>118</v>
      </c>
      <c r="Y1543" s="10">
        <v>18632439410</v>
      </c>
      <c r="AA1543">
        <v>48411</v>
      </c>
      <c r="AB1543" t="s">
        <v>7794</v>
      </c>
      <c r="AC1543" t="s">
        <v>7933</v>
      </c>
      <c r="AE1543" t="s">
        <v>561</v>
      </c>
      <c r="AF1543" t="s">
        <v>11754</v>
      </c>
      <c r="AH1543" t="s">
        <v>3905</v>
      </c>
      <c r="AI1543" t="s">
        <v>140</v>
      </c>
      <c r="AJ1543" s="8" t="str">
        <f>"33852"</f>
        <v>33852</v>
      </c>
      <c r="AK1543" t="s">
        <v>118</v>
      </c>
      <c r="AM1543" s="10">
        <v>18632439410</v>
      </c>
      <c r="AO1543" t="s">
        <v>11755</v>
      </c>
      <c r="AP1543" t="s">
        <v>121</v>
      </c>
      <c r="AQ1543" t="s">
        <v>4516</v>
      </c>
      <c r="AR1543" t="s">
        <v>1235</v>
      </c>
      <c r="AT1543" t="s">
        <v>4517</v>
      </c>
      <c r="AU1543" t="s">
        <v>4518</v>
      </c>
      <c r="AV1543" t="s">
        <v>1220</v>
      </c>
      <c r="AW1543" t="s">
        <v>358</v>
      </c>
      <c r="AX1543" s="8" t="str">
        <f>"10165"</f>
        <v>10165</v>
      </c>
      <c r="AY1543" t="s">
        <v>118</v>
      </c>
      <c r="BA1543" s="10">
        <v>12127604400</v>
      </c>
      <c r="BC1543" t="s">
        <v>4519</v>
      </c>
      <c r="BD1543" t="s">
        <v>4520</v>
      </c>
      <c r="BE1543" t="s">
        <v>358</v>
      </c>
      <c r="BF1543" t="s">
        <v>4521</v>
      </c>
      <c r="BG1543" t="s">
        <v>140</v>
      </c>
      <c r="BH1543" s="1">
        <v>45096.833333333336</v>
      </c>
      <c r="BI1543">
        <v>40</v>
      </c>
      <c r="BJ1543">
        <v>0</v>
      </c>
      <c r="BK1543">
        <v>8</v>
      </c>
      <c r="BL1543">
        <v>8</v>
      </c>
      <c r="BM1543">
        <v>8</v>
      </c>
      <c r="BN1543">
        <v>8</v>
      </c>
      <c r="BO1543">
        <v>8</v>
      </c>
      <c r="BP1543">
        <v>0</v>
      </c>
      <c r="BQ1543" t="str">
        <f>"9:00 AM"</f>
        <v>9:00 AM</v>
      </c>
      <c r="BR1543" t="str">
        <f>"5:00 PM"</f>
        <v>5:00 PM</v>
      </c>
      <c r="BS1543" t="s">
        <v>131</v>
      </c>
      <c r="BT1543">
        <v>0</v>
      </c>
      <c r="BU1543">
        <v>0</v>
      </c>
      <c r="BV1543" t="s">
        <v>114</v>
      </c>
      <c r="BX1543" t="s">
        <v>131</v>
      </c>
      <c r="BY1543" t="s">
        <v>11756</v>
      </c>
      <c r="CA1543" t="s">
        <v>3905</v>
      </c>
      <c r="CB1543" t="s">
        <v>140</v>
      </c>
      <c r="CC1543" s="8" t="str">
        <f>"33852"</f>
        <v>33852</v>
      </c>
      <c r="CD1543" t="s">
        <v>5065</v>
      </c>
      <c r="CE1543" t="s">
        <v>5066</v>
      </c>
      <c r="CF1543" s="12">
        <v>20.22</v>
      </c>
      <c r="CG1543" s="12">
        <v>20.22</v>
      </c>
      <c r="CH1543" s="12">
        <v>30.33</v>
      </c>
      <c r="CI1543" s="12">
        <v>30.33</v>
      </c>
      <c r="CJ1543" t="s">
        <v>135</v>
      </c>
      <c r="CL1543" t="s">
        <v>11757</v>
      </c>
      <c r="CO1543" t="s">
        <v>132</v>
      </c>
      <c r="CP1543" t="s">
        <v>136</v>
      </c>
      <c r="CQ1543" t="s">
        <v>114</v>
      </c>
      <c r="CR1543" t="s">
        <v>136</v>
      </c>
      <c r="CS1543" t="s">
        <v>114</v>
      </c>
      <c r="CT1543" t="s">
        <v>136</v>
      </c>
      <c r="CU1543" t="s">
        <v>114</v>
      </c>
      <c r="CV1543" t="s">
        <v>4526</v>
      </c>
      <c r="CW1543" s="10" t="str">
        <f>"+18632439410"</f>
        <v>+18632439410</v>
      </c>
      <c r="CX1543" t="s">
        <v>11758</v>
      </c>
      <c r="CY1543" t="s">
        <v>132</v>
      </c>
      <c r="CZ1543" t="s">
        <v>137</v>
      </c>
      <c r="DA1543" t="s">
        <v>114</v>
      </c>
      <c r="DB1543" t="s">
        <v>114</v>
      </c>
      <c r="DC1543" t="s">
        <v>136</v>
      </c>
      <c r="DD1543" t="s">
        <v>114</v>
      </c>
    </row>
    <row r="1544" spans="1:113" ht="15" customHeight="1" x14ac:dyDescent="0.25">
      <c r="A1544" t="s">
        <v>23238</v>
      </c>
      <c r="B1544" t="s">
        <v>152</v>
      </c>
      <c r="C1544" s="1">
        <v>45112.814994675929</v>
      </c>
      <c r="D1544" s="1">
        <v>45210</v>
      </c>
      <c r="E1544" t="s">
        <v>114</v>
      </c>
      <c r="F1544" t="s">
        <v>922</v>
      </c>
      <c r="G1544" t="str">
        <f>"53-3032.00"</f>
        <v>53-3032.00</v>
      </c>
      <c r="H1544" t="s">
        <v>736</v>
      </c>
      <c r="I1544">
        <v>2</v>
      </c>
      <c r="J1544">
        <v>2</v>
      </c>
      <c r="K1544" s="1">
        <v>45200</v>
      </c>
      <c r="L1544" s="1">
        <v>45291</v>
      </c>
      <c r="M1544" s="1">
        <v>45200</v>
      </c>
      <c r="N1544" s="1">
        <v>45291</v>
      </c>
      <c r="O1544" t="s">
        <v>116</v>
      </c>
      <c r="P1544" t="s">
        <v>5451</v>
      </c>
      <c r="R1544" t="s">
        <v>5452</v>
      </c>
      <c r="T1544" t="s">
        <v>5453</v>
      </c>
      <c r="U1544" t="s">
        <v>117</v>
      </c>
      <c r="V1544" s="8" t="str">
        <f>"61470"</f>
        <v>61470</v>
      </c>
      <c r="W1544" t="s">
        <v>118</v>
      </c>
      <c r="Y1544" s="10">
        <v>13092559515</v>
      </c>
      <c r="AA1544">
        <v>484220</v>
      </c>
      <c r="AB1544" t="s">
        <v>5454</v>
      </c>
      <c r="AC1544" t="s">
        <v>5455</v>
      </c>
      <c r="AE1544" t="s">
        <v>629</v>
      </c>
      <c r="AF1544" t="s">
        <v>5456</v>
      </c>
      <c r="AG1544" t="s">
        <v>5457</v>
      </c>
      <c r="AH1544" t="s">
        <v>5453</v>
      </c>
      <c r="AI1544" t="s">
        <v>117</v>
      </c>
      <c r="AJ1544" s="8" t="str">
        <f>"61470"</f>
        <v>61470</v>
      </c>
      <c r="AK1544" t="s">
        <v>118</v>
      </c>
      <c r="AM1544" s="10">
        <v>13092559515</v>
      </c>
      <c r="AO1544" t="s">
        <v>5458</v>
      </c>
      <c r="AP1544" t="s">
        <v>121</v>
      </c>
      <c r="AQ1544" t="s">
        <v>929</v>
      </c>
      <c r="AR1544" t="s">
        <v>930</v>
      </c>
      <c r="AS1544" t="s">
        <v>931</v>
      </c>
      <c r="AT1544" t="s">
        <v>932</v>
      </c>
      <c r="AU1544" t="s">
        <v>132</v>
      </c>
      <c r="AV1544" t="s">
        <v>933</v>
      </c>
      <c r="AW1544" t="s">
        <v>740</v>
      </c>
      <c r="AX1544" s="8" t="str">
        <f>"50010"</f>
        <v>50010</v>
      </c>
      <c r="AY1544" t="s">
        <v>118</v>
      </c>
      <c r="BA1544" s="10">
        <v>15152324444</v>
      </c>
      <c r="BB1544">
        <v>0</v>
      </c>
      <c r="BC1544" t="s">
        <v>934</v>
      </c>
      <c r="BD1544" t="s">
        <v>935</v>
      </c>
      <c r="BE1544" t="s">
        <v>740</v>
      </c>
      <c r="BF1544" t="s">
        <v>172</v>
      </c>
      <c r="BG1544" t="s">
        <v>117</v>
      </c>
      <c r="BH1544" s="1">
        <v>45109.833333333336</v>
      </c>
      <c r="BI1544">
        <v>42</v>
      </c>
      <c r="BJ1544">
        <v>6</v>
      </c>
      <c r="BK1544">
        <v>6</v>
      </c>
      <c r="BL1544">
        <v>6</v>
      </c>
      <c r="BM1544">
        <v>6</v>
      </c>
      <c r="BN1544">
        <v>6</v>
      </c>
      <c r="BO1544">
        <v>6</v>
      </c>
      <c r="BP1544">
        <v>6</v>
      </c>
      <c r="BQ1544" t="str">
        <f>"5:00 AM"</f>
        <v>5:00 AM</v>
      </c>
      <c r="BR1544" t="str">
        <f>"7:00 PM"</f>
        <v>7:00 PM</v>
      </c>
      <c r="BS1544" t="s">
        <v>131</v>
      </c>
      <c r="BT1544">
        <v>0</v>
      </c>
      <c r="BU1544">
        <v>12</v>
      </c>
      <c r="BV1544" t="s">
        <v>114</v>
      </c>
      <c r="BX1544" s="2" t="s">
        <v>23239</v>
      </c>
      <c r="BY1544" t="s">
        <v>5459</v>
      </c>
      <c r="CA1544" t="s">
        <v>5453</v>
      </c>
      <c r="CB1544" t="s">
        <v>117</v>
      </c>
      <c r="CC1544" s="8" t="str">
        <f>"61470"</f>
        <v>61470</v>
      </c>
      <c r="CD1544" t="s">
        <v>5460</v>
      </c>
      <c r="CE1544" t="s">
        <v>1018</v>
      </c>
      <c r="CF1544" s="12">
        <v>24.2</v>
      </c>
      <c r="CH1544" s="12">
        <v>36.299999999999997</v>
      </c>
      <c r="CJ1544" t="s">
        <v>135</v>
      </c>
      <c r="CK1544" t="s">
        <v>23240</v>
      </c>
      <c r="CL1544" t="s">
        <v>23241</v>
      </c>
      <c r="CO1544" t="s">
        <v>132</v>
      </c>
      <c r="CP1544" t="s">
        <v>136</v>
      </c>
      <c r="CQ1544" t="s">
        <v>136</v>
      </c>
      <c r="CR1544" t="s">
        <v>136</v>
      </c>
      <c r="CS1544" t="s">
        <v>136</v>
      </c>
      <c r="CT1544" t="s">
        <v>136</v>
      </c>
      <c r="CU1544" t="s">
        <v>136</v>
      </c>
      <c r="CV1544" s="2" t="s">
        <v>23242</v>
      </c>
      <c r="CW1544" s="10" t="str">
        <f>"+13092559515"</f>
        <v>+13092559515</v>
      </c>
      <c r="CX1544" t="s">
        <v>5458</v>
      </c>
      <c r="CY1544" t="s">
        <v>132</v>
      </c>
      <c r="CZ1544" t="s">
        <v>137</v>
      </c>
      <c r="DA1544" t="s">
        <v>114</v>
      </c>
      <c r="DB1544" t="s">
        <v>136</v>
      </c>
      <c r="DC1544" t="s">
        <v>136</v>
      </c>
      <c r="DD1544" t="s">
        <v>114</v>
      </c>
    </row>
    <row r="1545" spans="1:113" ht="15" customHeight="1" x14ac:dyDescent="0.25">
      <c r="A1545" t="s">
        <v>10756</v>
      </c>
      <c r="B1545" t="s">
        <v>152</v>
      </c>
      <c r="C1545" s="1">
        <v>45110.57369351852</v>
      </c>
      <c r="D1545" s="1">
        <v>45210</v>
      </c>
      <c r="E1545" t="s">
        <v>114</v>
      </c>
      <c r="F1545" t="s">
        <v>7818</v>
      </c>
      <c r="G1545" t="str">
        <f>"35-9021.00"</f>
        <v>35-9021.00</v>
      </c>
      <c r="H1545" t="s">
        <v>501</v>
      </c>
      <c r="I1545">
        <v>3</v>
      </c>
      <c r="J1545">
        <v>3</v>
      </c>
      <c r="K1545" s="1">
        <v>45200</v>
      </c>
      <c r="L1545" s="1">
        <v>45473</v>
      </c>
      <c r="M1545" s="1">
        <v>45200</v>
      </c>
      <c r="N1545" s="1">
        <v>45473</v>
      </c>
      <c r="O1545" t="s">
        <v>116</v>
      </c>
      <c r="P1545" t="s">
        <v>10363</v>
      </c>
      <c r="Q1545" t="s">
        <v>5100</v>
      </c>
      <c r="R1545" t="s">
        <v>5101</v>
      </c>
      <c r="T1545" t="s">
        <v>5102</v>
      </c>
      <c r="U1545" t="s">
        <v>333</v>
      </c>
      <c r="V1545" s="8" t="str">
        <f>"70130"</f>
        <v>70130</v>
      </c>
      <c r="W1545" t="s">
        <v>118</v>
      </c>
      <c r="Y1545" s="10">
        <v>15045256000</v>
      </c>
      <c r="AA1545">
        <v>721110</v>
      </c>
      <c r="AB1545" t="s">
        <v>2823</v>
      </c>
      <c r="AC1545" t="s">
        <v>5103</v>
      </c>
      <c r="AE1545" t="s">
        <v>161</v>
      </c>
      <c r="AF1545" t="s">
        <v>5101</v>
      </c>
      <c r="AH1545" t="s">
        <v>5102</v>
      </c>
      <c r="AI1545" t="s">
        <v>333</v>
      </c>
      <c r="AJ1545" s="8" t="str">
        <f>"70130"</f>
        <v>70130</v>
      </c>
      <c r="AK1545" t="s">
        <v>118</v>
      </c>
      <c r="AM1545" s="10">
        <v>15047171201</v>
      </c>
      <c r="AO1545" t="s">
        <v>5104</v>
      </c>
      <c r="AP1545" t="s">
        <v>121</v>
      </c>
      <c r="AQ1545" t="s">
        <v>4300</v>
      </c>
      <c r="AR1545" t="s">
        <v>5105</v>
      </c>
      <c r="AS1545" t="s">
        <v>5106</v>
      </c>
      <c r="AT1545" t="s">
        <v>5107</v>
      </c>
      <c r="AU1545" t="s">
        <v>5108</v>
      </c>
      <c r="AV1545" t="s">
        <v>5109</v>
      </c>
      <c r="AW1545" t="s">
        <v>333</v>
      </c>
      <c r="AX1545" s="8" t="str">
        <f>"70130"</f>
        <v>70130</v>
      </c>
      <c r="AY1545" t="s">
        <v>118</v>
      </c>
      <c r="AZ1545" t="s">
        <v>5110</v>
      </c>
      <c r="BA1545" s="10">
        <v>15045849312</v>
      </c>
      <c r="BC1545" t="s">
        <v>5111</v>
      </c>
      <c r="BD1545" t="s">
        <v>5112</v>
      </c>
      <c r="BE1545" t="s">
        <v>333</v>
      </c>
      <c r="BF1545" t="s">
        <v>10364</v>
      </c>
      <c r="BG1545" t="s">
        <v>333</v>
      </c>
      <c r="BH1545" s="1">
        <v>45109.833333333336</v>
      </c>
      <c r="BI1545">
        <v>40</v>
      </c>
      <c r="BJ1545">
        <v>0</v>
      </c>
      <c r="BK1545">
        <v>8</v>
      </c>
      <c r="BL1545">
        <v>8</v>
      </c>
      <c r="BM1545">
        <v>8</v>
      </c>
      <c r="BN1545">
        <v>8</v>
      </c>
      <c r="BO1545">
        <v>8</v>
      </c>
      <c r="BP1545">
        <v>0</v>
      </c>
      <c r="BQ1545" t="str">
        <f>"9:00 AM"</f>
        <v>9:00 AM</v>
      </c>
      <c r="BR1545" t="str">
        <f>"5:00 PM"</f>
        <v>5:00 PM</v>
      </c>
      <c r="BS1545" t="s">
        <v>131</v>
      </c>
      <c r="BT1545">
        <v>0</v>
      </c>
      <c r="BU1545">
        <v>0</v>
      </c>
      <c r="BV1545" t="s">
        <v>114</v>
      </c>
      <c r="BX1545" t="s">
        <v>131</v>
      </c>
      <c r="BY1545" t="s">
        <v>5101</v>
      </c>
      <c r="CA1545" t="s">
        <v>5102</v>
      </c>
      <c r="CB1545" t="s">
        <v>333</v>
      </c>
      <c r="CC1545" s="8" t="str">
        <f>"70130"</f>
        <v>70130</v>
      </c>
      <c r="CD1545" t="s">
        <v>679</v>
      </c>
      <c r="CE1545" t="s">
        <v>341</v>
      </c>
      <c r="CF1545" s="12">
        <v>15</v>
      </c>
      <c r="CH1545" s="12">
        <v>22.5</v>
      </c>
      <c r="CJ1545" t="s">
        <v>135</v>
      </c>
      <c r="CL1545" t="s">
        <v>10757</v>
      </c>
      <c r="CO1545" t="s">
        <v>132</v>
      </c>
      <c r="CP1545" t="s">
        <v>114</v>
      </c>
      <c r="CQ1545" t="s">
        <v>114</v>
      </c>
      <c r="CR1545" t="s">
        <v>136</v>
      </c>
      <c r="CS1545" t="s">
        <v>136</v>
      </c>
      <c r="CT1545" t="s">
        <v>136</v>
      </c>
      <c r="CU1545" t="s">
        <v>136</v>
      </c>
      <c r="CV1545" t="s">
        <v>10758</v>
      </c>
      <c r="CW1545" s="10" t="str">
        <f>"+15045964761"</f>
        <v>+15045964761</v>
      </c>
      <c r="CX1545" t="s">
        <v>5115</v>
      </c>
      <c r="CY1545" t="s">
        <v>132</v>
      </c>
      <c r="CZ1545" t="s">
        <v>137</v>
      </c>
      <c r="DA1545" t="s">
        <v>114</v>
      </c>
      <c r="DB1545" t="s">
        <v>136</v>
      </c>
      <c r="DC1545" t="s">
        <v>136</v>
      </c>
      <c r="DD1545" t="s">
        <v>114</v>
      </c>
    </row>
    <row r="1546" spans="1:113" ht="15" customHeight="1" x14ac:dyDescent="0.25">
      <c r="A1546" t="s">
        <v>8786</v>
      </c>
      <c r="B1546" t="s">
        <v>152</v>
      </c>
      <c r="C1546" s="1">
        <v>45110.486073148146</v>
      </c>
      <c r="D1546" s="1">
        <v>45210</v>
      </c>
      <c r="E1546" t="s">
        <v>136</v>
      </c>
      <c r="F1546" t="s">
        <v>5156</v>
      </c>
      <c r="G1546" t="str">
        <f>"51-2041.00"</f>
        <v>51-2041.00</v>
      </c>
      <c r="H1546" t="s">
        <v>2613</v>
      </c>
      <c r="I1546">
        <v>50</v>
      </c>
      <c r="J1546">
        <v>50</v>
      </c>
      <c r="K1546" s="1">
        <v>45200</v>
      </c>
      <c r="L1546" s="1">
        <v>45291</v>
      </c>
      <c r="M1546" s="1">
        <v>45200</v>
      </c>
      <c r="N1546" s="1">
        <v>45291</v>
      </c>
      <c r="O1546" t="s">
        <v>184</v>
      </c>
      <c r="P1546" t="s">
        <v>5157</v>
      </c>
      <c r="R1546" t="s">
        <v>5158</v>
      </c>
      <c r="T1546" t="s">
        <v>5159</v>
      </c>
      <c r="U1546" t="s">
        <v>1427</v>
      </c>
      <c r="V1546" s="8" t="str">
        <f>"19940"</f>
        <v>19940</v>
      </c>
      <c r="W1546" t="s">
        <v>118</v>
      </c>
      <c r="Y1546" s="10">
        <v>13028460613</v>
      </c>
      <c r="AA1546">
        <v>332312</v>
      </c>
      <c r="AB1546" t="s">
        <v>5160</v>
      </c>
      <c r="AC1546" t="s">
        <v>5161</v>
      </c>
      <c r="AE1546" t="s">
        <v>3876</v>
      </c>
      <c r="AF1546" t="s">
        <v>5158</v>
      </c>
      <c r="AH1546" t="s">
        <v>5159</v>
      </c>
      <c r="AI1546" t="s">
        <v>1427</v>
      </c>
      <c r="AJ1546" s="8" t="str">
        <f>"19940"</f>
        <v>19940</v>
      </c>
      <c r="AK1546" t="s">
        <v>118</v>
      </c>
      <c r="AM1546" s="10">
        <v>13028460613</v>
      </c>
      <c r="AO1546" t="s">
        <v>5162</v>
      </c>
      <c r="AP1546" t="s">
        <v>121</v>
      </c>
      <c r="AQ1546" t="s">
        <v>513</v>
      </c>
      <c r="AR1546" t="s">
        <v>514</v>
      </c>
      <c r="AS1546" t="s">
        <v>515</v>
      </c>
      <c r="AT1546" t="s">
        <v>516</v>
      </c>
      <c r="AU1546" t="s">
        <v>517</v>
      </c>
      <c r="AV1546" t="s">
        <v>518</v>
      </c>
      <c r="AW1546" t="s">
        <v>402</v>
      </c>
      <c r="AX1546" s="8" t="str">
        <f>"90071"</f>
        <v>90071</v>
      </c>
      <c r="AY1546" t="s">
        <v>118</v>
      </c>
      <c r="BA1546" s="10">
        <v>13108203322</v>
      </c>
      <c r="BC1546" t="s">
        <v>519</v>
      </c>
      <c r="BD1546" t="s">
        <v>520</v>
      </c>
      <c r="BE1546" t="s">
        <v>188</v>
      </c>
      <c r="BF1546" t="s">
        <v>172</v>
      </c>
      <c r="BG1546" t="s">
        <v>1722</v>
      </c>
      <c r="BH1546" s="1">
        <v>45108.833333333336</v>
      </c>
      <c r="BI1546">
        <v>40</v>
      </c>
      <c r="BJ1546">
        <v>0</v>
      </c>
      <c r="BK1546">
        <v>8</v>
      </c>
      <c r="BL1546">
        <v>8</v>
      </c>
      <c r="BM1546">
        <v>8</v>
      </c>
      <c r="BN1546">
        <v>8</v>
      </c>
      <c r="BO1546">
        <v>8</v>
      </c>
      <c r="BP1546">
        <v>0</v>
      </c>
      <c r="BQ1546" t="str">
        <f>"7:00 AM"</f>
        <v>7:00 AM</v>
      </c>
      <c r="BR1546" t="str">
        <f>"4:00 PM"</f>
        <v>4:00 PM</v>
      </c>
      <c r="BS1546" t="s">
        <v>131</v>
      </c>
      <c r="BT1546">
        <v>0</v>
      </c>
      <c r="BU1546">
        <v>24</v>
      </c>
      <c r="BV1546" t="s">
        <v>114</v>
      </c>
      <c r="BX1546" s="2" t="s">
        <v>5163</v>
      </c>
      <c r="BY1546" t="s">
        <v>5164</v>
      </c>
      <c r="BZ1546" t="s">
        <v>132</v>
      </c>
      <c r="CA1546" t="s">
        <v>5165</v>
      </c>
      <c r="CB1546" t="s">
        <v>1722</v>
      </c>
      <c r="CC1546" s="8" t="str">
        <f>"21632"</f>
        <v>21632</v>
      </c>
      <c r="CD1546" t="s">
        <v>2501</v>
      </c>
      <c r="CE1546" t="s">
        <v>2219</v>
      </c>
      <c r="CF1546" s="12">
        <v>21.49</v>
      </c>
      <c r="CH1546" s="12">
        <v>32.24</v>
      </c>
      <c r="CJ1546" t="s">
        <v>135</v>
      </c>
      <c r="CK1546" t="s">
        <v>132</v>
      </c>
      <c r="CL1546" t="s">
        <v>8787</v>
      </c>
      <c r="CO1546" t="s">
        <v>132</v>
      </c>
      <c r="CP1546" t="s">
        <v>114</v>
      </c>
      <c r="CQ1546" t="s">
        <v>114</v>
      </c>
      <c r="CR1546" t="s">
        <v>136</v>
      </c>
      <c r="CS1546" t="s">
        <v>114</v>
      </c>
      <c r="CT1546" t="s">
        <v>136</v>
      </c>
      <c r="CU1546" t="s">
        <v>136</v>
      </c>
      <c r="CV1546" t="s">
        <v>8788</v>
      </c>
      <c r="CW1546" s="10" t="str">
        <f>"+13028460613"</f>
        <v>+13028460613</v>
      </c>
      <c r="CX1546" t="s">
        <v>8789</v>
      </c>
      <c r="CY1546" t="s">
        <v>132</v>
      </c>
      <c r="CZ1546" t="s">
        <v>137</v>
      </c>
      <c r="DA1546" t="s">
        <v>114</v>
      </c>
      <c r="DB1546" t="s">
        <v>114</v>
      </c>
      <c r="DC1546" t="s">
        <v>136</v>
      </c>
      <c r="DD1546" t="s">
        <v>114</v>
      </c>
      <c r="DE1546" t="s">
        <v>8790</v>
      </c>
      <c r="DF1546" t="s">
        <v>2823</v>
      </c>
      <c r="DG1546" t="s">
        <v>2998</v>
      </c>
      <c r="DH1546" t="s">
        <v>520</v>
      </c>
      <c r="DI1546" t="s">
        <v>8791</v>
      </c>
    </row>
    <row r="1547" spans="1:113" ht="15" customHeight="1" x14ac:dyDescent="0.25">
      <c r="A1547" t="s">
        <v>12048</v>
      </c>
      <c r="B1547" t="s">
        <v>152</v>
      </c>
      <c r="C1547" s="1">
        <v>45110.306640509261</v>
      </c>
      <c r="D1547" s="1">
        <v>45210</v>
      </c>
      <c r="E1547" t="s">
        <v>114</v>
      </c>
      <c r="F1547" t="s">
        <v>12049</v>
      </c>
      <c r="G1547" t="str">
        <f>"49-9099.00"</f>
        <v>49-9099.00</v>
      </c>
      <c r="H1547" t="s">
        <v>3863</v>
      </c>
      <c r="I1547">
        <v>8</v>
      </c>
      <c r="J1547">
        <v>8</v>
      </c>
      <c r="K1547" s="1">
        <v>45200</v>
      </c>
      <c r="L1547" s="1">
        <v>45444</v>
      </c>
      <c r="M1547" s="1">
        <v>45200</v>
      </c>
      <c r="N1547" s="1">
        <v>45444</v>
      </c>
      <c r="O1547" t="s">
        <v>238</v>
      </c>
      <c r="P1547" t="s">
        <v>12050</v>
      </c>
      <c r="R1547" t="s">
        <v>12051</v>
      </c>
      <c r="T1547" t="s">
        <v>12052</v>
      </c>
      <c r="U1547" t="s">
        <v>543</v>
      </c>
      <c r="V1547" s="8" t="str">
        <f>"44095"</f>
        <v>44095</v>
      </c>
      <c r="W1547" t="s">
        <v>118</v>
      </c>
      <c r="Y1547" s="10">
        <v>14403368224</v>
      </c>
      <c r="AA1547">
        <v>2361</v>
      </c>
      <c r="AB1547" t="s">
        <v>12053</v>
      </c>
      <c r="AC1547" t="s">
        <v>12054</v>
      </c>
      <c r="AE1547" t="s">
        <v>561</v>
      </c>
      <c r="AF1547" t="s">
        <v>12055</v>
      </c>
      <c r="AH1547" t="s">
        <v>12056</v>
      </c>
      <c r="AI1547" t="s">
        <v>543</v>
      </c>
      <c r="AJ1547" s="8" t="str">
        <f>"44124"</f>
        <v>44124</v>
      </c>
      <c r="AK1547" t="s">
        <v>118</v>
      </c>
      <c r="AM1547" s="10">
        <v>14403368224</v>
      </c>
      <c r="AO1547" t="s">
        <v>12057</v>
      </c>
      <c r="AP1547" t="s">
        <v>121</v>
      </c>
      <c r="AQ1547" t="s">
        <v>12058</v>
      </c>
      <c r="AR1547" t="s">
        <v>2404</v>
      </c>
      <c r="AT1547" t="s">
        <v>12059</v>
      </c>
      <c r="AV1547" t="s">
        <v>11697</v>
      </c>
      <c r="AW1547" t="s">
        <v>543</v>
      </c>
      <c r="AX1547" s="8" t="str">
        <f>"44072"</f>
        <v>44072</v>
      </c>
      <c r="AY1547" t="s">
        <v>118</v>
      </c>
      <c r="BA1547" s="10">
        <v>14404875697</v>
      </c>
      <c r="BC1547" t="s">
        <v>12060</v>
      </c>
      <c r="BD1547" t="s">
        <v>12061</v>
      </c>
      <c r="BE1547" t="s">
        <v>543</v>
      </c>
      <c r="BF1547" t="s">
        <v>12062</v>
      </c>
      <c r="BG1547" t="s">
        <v>543</v>
      </c>
      <c r="BH1547" s="1">
        <v>45109.833333333336</v>
      </c>
      <c r="BI1547">
        <v>40</v>
      </c>
      <c r="BJ1547">
        <v>0</v>
      </c>
      <c r="BK1547">
        <v>8</v>
      </c>
      <c r="BL1547">
        <v>8</v>
      </c>
      <c r="BM1547">
        <v>8</v>
      </c>
      <c r="BN1547">
        <v>8</v>
      </c>
      <c r="BO1547">
        <v>8</v>
      </c>
      <c r="BP1547">
        <v>0</v>
      </c>
      <c r="BQ1547" t="str">
        <f>"7:00 AM"</f>
        <v>7:00 AM</v>
      </c>
      <c r="BR1547" t="str">
        <f>"3:00 PM"</f>
        <v>3:00 PM</v>
      </c>
      <c r="BS1547" t="s">
        <v>131</v>
      </c>
      <c r="BT1547">
        <v>0</v>
      </c>
      <c r="BU1547">
        <v>3</v>
      </c>
      <c r="BV1547" t="s">
        <v>114</v>
      </c>
      <c r="BX1547" s="2" t="s">
        <v>12063</v>
      </c>
      <c r="BY1547" t="s">
        <v>12051</v>
      </c>
      <c r="CA1547" t="s">
        <v>12052</v>
      </c>
      <c r="CB1547" t="s">
        <v>543</v>
      </c>
      <c r="CC1547" s="8" t="str">
        <f>"44124"</f>
        <v>44124</v>
      </c>
      <c r="CD1547" t="s">
        <v>1960</v>
      </c>
      <c r="CE1547" t="s">
        <v>1839</v>
      </c>
      <c r="CF1547" s="12">
        <v>22.41</v>
      </c>
      <c r="CG1547" s="12">
        <v>22.41</v>
      </c>
      <c r="CH1547" s="12">
        <v>33.619999999999997</v>
      </c>
      <c r="CI1547" s="12">
        <v>33.619999999999997</v>
      </c>
      <c r="CJ1547" t="s">
        <v>135</v>
      </c>
      <c r="CL1547" t="s">
        <v>12064</v>
      </c>
      <c r="CO1547" t="s">
        <v>132</v>
      </c>
      <c r="CP1547" t="s">
        <v>136</v>
      </c>
      <c r="CQ1547" t="s">
        <v>136</v>
      </c>
      <c r="CR1547" t="s">
        <v>136</v>
      </c>
      <c r="CS1547" t="s">
        <v>114</v>
      </c>
      <c r="CT1547" t="s">
        <v>136</v>
      </c>
      <c r="CU1547" t="s">
        <v>114</v>
      </c>
      <c r="CV1547" t="s">
        <v>8457</v>
      </c>
      <c r="CW1547" s="10" t="str">
        <f>"+14403368224"</f>
        <v>+14403368224</v>
      </c>
      <c r="CX1547" t="s">
        <v>12057</v>
      </c>
      <c r="CY1547" t="s">
        <v>132</v>
      </c>
      <c r="CZ1547" t="s">
        <v>137</v>
      </c>
      <c r="DA1547" t="s">
        <v>114</v>
      </c>
      <c r="DB1547" t="s">
        <v>114</v>
      </c>
      <c r="DC1547" t="s">
        <v>136</v>
      </c>
      <c r="DD1547" t="s">
        <v>114</v>
      </c>
    </row>
    <row r="1548" spans="1:113" ht="15" customHeight="1" x14ac:dyDescent="0.25">
      <c r="A1548" t="s">
        <v>23345</v>
      </c>
      <c r="B1548" t="s">
        <v>152</v>
      </c>
      <c r="C1548" s="1">
        <v>45146.560775231483</v>
      </c>
      <c r="D1548" s="1">
        <v>45209</v>
      </c>
      <c r="E1548" t="s">
        <v>114</v>
      </c>
      <c r="F1548" t="s">
        <v>13360</v>
      </c>
      <c r="G1548" t="str">
        <f>"35-1012.00"</f>
        <v>35-1012.00</v>
      </c>
      <c r="H1548" t="s">
        <v>2122</v>
      </c>
      <c r="I1548">
        <v>2</v>
      </c>
      <c r="J1548">
        <v>2</v>
      </c>
      <c r="K1548" s="1">
        <v>45221</v>
      </c>
      <c r="L1548" s="1">
        <v>45443</v>
      </c>
      <c r="M1548" s="1">
        <v>45221</v>
      </c>
      <c r="N1548" s="1">
        <v>45443</v>
      </c>
      <c r="O1548" t="s">
        <v>238</v>
      </c>
      <c r="P1548" t="s">
        <v>23346</v>
      </c>
      <c r="R1548" t="s">
        <v>23347</v>
      </c>
      <c r="T1548" t="s">
        <v>11475</v>
      </c>
      <c r="U1548" t="s">
        <v>140</v>
      </c>
      <c r="V1548" s="8" t="str">
        <f>"33460"</f>
        <v>33460</v>
      </c>
      <c r="W1548" t="s">
        <v>118</v>
      </c>
      <c r="Y1548" s="10">
        <v>15615472500</v>
      </c>
      <c r="AA1548">
        <v>7225</v>
      </c>
      <c r="AB1548" t="s">
        <v>23348</v>
      </c>
      <c r="AC1548" t="s">
        <v>5044</v>
      </c>
      <c r="AE1548" t="s">
        <v>438</v>
      </c>
      <c r="AF1548" t="s">
        <v>23349</v>
      </c>
      <c r="AH1548" t="s">
        <v>23350</v>
      </c>
      <c r="AI1548" t="s">
        <v>140</v>
      </c>
      <c r="AJ1548" s="8" t="str">
        <f>"33460"</f>
        <v>33460</v>
      </c>
      <c r="AK1548" t="s">
        <v>118</v>
      </c>
      <c r="AM1548" s="10">
        <v>15615472500</v>
      </c>
      <c r="AO1548" t="s">
        <v>132</v>
      </c>
      <c r="AP1548" t="s">
        <v>248</v>
      </c>
      <c r="AQ1548" t="s">
        <v>354</v>
      </c>
      <c r="AR1548" t="s">
        <v>355</v>
      </c>
      <c r="AT1548" t="s">
        <v>356</v>
      </c>
      <c r="AV1548" t="s">
        <v>357</v>
      </c>
      <c r="AW1548" t="s">
        <v>358</v>
      </c>
      <c r="AX1548" s="8" t="str">
        <f>"11590"</f>
        <v>11590</v>
      </c>
      <c r="AY1548" t="s">
        <v>118</v>
      </c>
      <c r="BA1548" s="10">
        <v>15163307168</v>
      </c>
      <c r="BC1548" t="s">
        <v>359</v>
      </c>
      <c r="BD1548" t="s">
        <v>360</v>
      </c>
      <c r="BG1548" t="s">
        <v>140</v>
      </c>
      <c r="BH1548" s="1">
        <v>45144.833333333336</v>
      </c>
      <c r="BI1548">
        <v>40</v>
      </c>
      <c r="BJ1548">
        <v>8</v>
      </c>
      <c r="BK1548">
        <v>0</v>
      </c>
      <c r="BL1548">
        <v>8</v>
      </c>
      <c r="BM1548">
        <v>0</v>
      </c>
      <c r="BN1548">
        <v>8</v>
      </c>
      <c r="BO1548">
        <v>8</v>
      </c>
      <c r="BP1548">
        <v>8</v>
      </c>
      <c r="BQ1548" t="str">
        <f>"6:00 AM"</f>
        <v>6:00 AM</v>
      </c>
      <c r="BR1548" t="str">
        <f>"10:00 PM"</f>
        <v>10:00 PM</v>
      </c>
      <c r="BS1548" t="s">
        <v>131</v>
      </c>
      <c r="BT1548">
        <v>0</v>
      </c>
      <c r="BU1548">
        <v>3</v>
      </c>
      <c r="BV1548" t="s">
        <v>136</v>
      </c>
      <c r="BW1548">
        <v>12</v>
      </c>
      <c r="BX1548" t="s">
        <v>132</v>
      </c>
      <c r="BY1548" t="s">
        <v>23347</v>
      </c>
      <c r="CA1548" t="s">
        <v>23351</v>
      </c>
      <c r="CB1548" t="s">
        <v>140</v>
      </c>
      <c r="CC1548" s="8" t="str">
        <f>"33460"</f>
        <v>33460</v>
      </c>
      <c r="CD1548" t="s">
        <v>767</v>
      </c>
      <c r="CE1548" t="s">
        <v>149</v>
      </c>
      <c r="CF1548" s="12">
        <v>21.01</v>
      </c>
      <c r="CG1548" s="12">
        <v>21.01</v>
      </c>
      <c r="CH1548" s="12">
        <v>31.52</v>
      </c>
      <c r="CI1548" s="12">
        <v>31.52</v>
      </c>
      <c r="CJ1548" t="s">
        <v>135</v>
      </c>
      <c r="CL1548" t="s">
        <v>23352</v>
      </c>
      <c r="CO1548" t="s">
        <v>132</v>
      </c>
      <c r="CP1548" t="s">
        <v>114</v>
      </c>
      <c r="CQ1548" t="s">
        <v>114</v>
      </c>
      <c r="CR1548" t="s">
        <v>136</v>
      </c>
      <c r="CS1548" t="s">
        <v>114</v>
      </c>
      <c r="CT1548" t="s">
        <v>136</v>
      </c>
      <c r="CU1548" t="s">
        <v>114</v>
      </c>
      <c r="CV1548" t="s">
        <v>23353</v>
      </c>
      <c r="CW1548" s="10" t="str">
        <f>"+15615472500"</f>
        <v>+15615472500</v>
      </c>
      <c r="CX1548" t="s">
        <v>23354</v>
      </c>
      <c r="CY1548" t="s">
        <v>132</v>
      </c>
      <c r="CZ1548" t="s">
        <v>137</v>
      </c>
      <c r="DA1548" t="s">
        <v>114</v>
      </c>
      <c r="DB1548" t="s">
        <v>114</v>
      </c>
      <c r="DC1548" t="s">
        <v>136</v>
      </c>
      <c r="DD1548" t="s">
        <v>114</v>
      </c>
    </row>
    <row r="1549" spans="1:113" ht="15" customHeight="1" x14ac:dyDescent="0.25">
      <c r="A1549" t="s">
        <v>23314</v>
      </c>
      <c r="B1549" t="s">
        <v>152</v>
      </c>
      <c r="C1549" s="1">
        <v>45142.727248726849</v>
      </c>
      <c r="D1549" s="1">
        <v>45209</v>
      </c>
      <c r="E1549" t="s">
        <v>114</v>
      </c>
      <c r="F1549" t="s">
        <v>3847</v>
      </c>
      <c r="G1549" t="str">
        <f>"39-2021.00"</f>
        <v>39-2021.00</v>
      </c>
      <c r="H1549" t="s">
        <v>2895</v>
      </c>
      <c r="I1549">
        <v>5</v>
      </c>
      <c r="J1549">
        <v>5</v>
      </c>
      <c r="K1549" s="1">
        <v>45231</v>
      </c>
      <c r="L1549" s="1">
        <v>45535</v>
      </c>
      <c r="M1549" s="1">
        <v>45231</v>
      </c>
      <c r="N1549" s="1">
        <v>45535</v>
      </c>
      <c r="O1549" t="s">
        <v>238</v>
      </c>
      <c r="P1549" t="s">
        <v>23315</v>
      </c>
      <c r="R1549" t="s">
        <v>23316</v>
      </c>
      <c r="T1549" t="s">
        <v>23317</v>
      </c>
      <c r="U1549" t="s">
        <v>434</v>
      </c>
      <c r="V1549" s="8" t="str">
        <f>"18974"</f>
        <v>18974</v>
      </c>
      <c r="W1549" t="s">
        <v>118</v>
      </c>
      <c r="Y1549" s="10">
        <v>12157694896</v>
      </c>
      <c r="AA1549">
        <v>711212</v>
      </c>
      <c r="AB1549" t="s">
        <v>23318</v>
      </c>
      <c r="AC1549" t="s">
        <v>9987</v>
      </c>
      <c r="AE1549" t="s">
        <v>3852</v>
      </c>
      <c r="AF1549" t="s">
        <v>23316</v>
      </c>
      <c r="AH1549" t="s">
        <v>23317</v>
      </c>
      <c r="AI1549" t="s">
        <v>434</v>
      </c>
      <c r="AJ1549" s="8" t="str">
        <f>"18974"</f>
        <v>18974</v>
      </c>
      <c r="AK1549" t="s">
        <v>118</v>
      </c>
      <c r="AM1549" s="10">
        <v>12157694896</v>
      </c>
      <c r="AO1549" t="s">
        <v>23319</v>
      </c>
      <c r="AP1549" t="s">
        <v>121</v>
      </c>
      <c r="AQ1549" t="s">
        <v>3854</v>
      </c>
      <c r="AR1549" t="s">
        <v>144</v>
      </c>
      <c r="AS1549" t="s">
        <v>3855</v>
      </c>
      <c r="AT1549" t="s">
        <v>2605</v>
      </c>
      <c r="AU1549" t="s">
        <v>2606</v>
      </c>
      <c r="AV1549" t="s">
        <v>2607</v>
      </c>
      <c r="AW1549" t="s">
        <v>2608</v>
      </c>
      <c r="AX1549" s="8" t="str">
        <f>"73069"</f>
        <v>73069</v>
      </c>
      <c r="AY1549" t="s">
        <v>118</v>
      </c>
      <c r="BA1549" s="10">
        <v>14053642525</v>
      </c>
      <c r="BC1549" t="s">
        <v>2609</v>
      </c>
      <c r="BD1549" t="s">
        <v>2610</v>
      </c>
      <c r="BE1549" t="s">
        <v>2608</v>
      </c>
      <c r="BF1549" t="s">
        <v>2611</v>
      </c>
      <c r="BG1549" t="s">
        <v>434</v>
      </c>
      <c r="BH1549" s="1">
        <v>45140.833333333336</v>
      </c>
      <c r="BI1549">
        <v>56</v>
      </c>
      <c r="BJ1549">
        <v>8</v>
      </c>
      <c r="BK1549">
        <v>8</v>
      </c>
      <c r="BL1549">
        <v>8</v>
      </c>
      <c r="BM1549">
        <v>8</v>
      </c>
      <c r="BN1549">
        <v>8</v>
      </c>
      <c r="BO1549">
        <v>8</v>
      </c>
      <c r="BP1549">
        <v>8</v>
      </c>
      <c r="BQ1549" t="str">
        <f>"5:00 AM"</f>
        <v>5:00 AM</v>
      </c>
      <c r="BR1549" t="str">
        <f>"5:00 PM"</f>
        <v>5:00 PM</v>
      </c>
      <c r="BS1549" t="s">
        <v>131</v>
      </c>
      <c r="BT1549">
        <v>0</v>
      </c>
      <c r="BU1549">
        <v>1</v>
      </c>
      <c r="BV1549" t="s">
        <v>114</v>
      </c>
      <c r="BX1549" s="2" t="s">
        <v>3116</v>
      </c>
      <c r="BY1549" t="s">
        <v>3857</v>
      </c>
      <c r="BZ1549" t="s">
        <v>3858</v>
      </c>
      <c r="CA1549" t="s">
        <v>3859</v>
      </c>
      <c r="CB1549" t="s">
        <v>434</v>
      </c>
      <c r="CC1549" s="8" t="str">
        <f>"19020"</f>
        <v>19020</v>
      </c>
      <c r="CD1549" t="s">
        <v>3073</v>
      </c>
      <c r="CE1549" t="s">
        <v>443</v>
      </c>
      <c r="CF1549" s="12">
        <v>14.62</v>
      </c>
      <c r="CG1549" s="12">
        <v>14.62</v>
      </c>
      <c r="CH1549" s="12">
        <v>21.93</v>
      </c>
      <c r="CI1549" s="12">
        <v>21.93</v>
      </c>
      <c r="CJ1549" t="s">
        <v>135</v>
      </c>
      <c r="CL1549" t="s">
        <v>23320</v>
      </c>
      <c r="CO1549" t="s">
        <v>132</v>
      </c>
      <c r="CP1549" t="s">
        <v>114</v>
      </c>
      <c r="CQ1549" t="s">
        <v>114</v>
      </c>
      <c r="CR1549" t="s">
        <v>136</v>
      </c>
      <c r="CS1549" t="s">
        <v>114</v>
      </c>
      <c r="CT1549" t="s">
        <v>136</v>
      </c>
      <c r="CU1549" t="s">
        <v>136</v>
      </c>
      <c r="CV1549" t="s">
        <v>3861</v>
      </c>
      <c r="CW1549" s="10" t="str">
        <f>"+12157694896"</f>
        <v>+12157694896</v>
      </c>
      <c r="CX1549" t="s">
        <v>23319</v>
      </c>
      <c r="CY1549" t="s">
        <v>132</v>
      </c>
      <c r="CZ1549" t="s">
        <v>137</v>
      </c>
      <c r="DA1549" t="s">
        <v>114</v>
      </c>
      <c r="DB1549" t="s">
        <v>114</v>
      </c>
      <c r="DC1549" t="s">
        <v>136</v>
      </c>
      <c r="DD1549" t="s">
        <v>114</v>
      </c>
    </row>
    <row r="1550" spans="1:113" ht="15" customHeight="1" x14ac:dyDescent="0.25">
      <c r="A1550" t="s">
        <v>21893</v>
      </c>
      <c r="B1550" t="s">
        <v>152</v>
      </c>
      <c r="C1550" s="1">
        <v>45142.551619444443</v>
      </c>
      <c r="D1550" s="1">
        <v>45209</v>
      </c>
      <c r="E1550" t="s">
        <v>114</v>
      </c>
      <c r="F1550" t="s">
        <v>13392</v>
      </c>
      <c r="G1550" t="str">
        <f>"53-3033.00"</f>
        <v>53-3033.00</v>
      </c>
      <c r="H1550" t="s">
        <v>2973</v>
      </c>
      <c r="I1550">
        <v>30</v>
      </c>
      <c r="J1550">
        <v>30</v>
      </c>
      <c r="K1550" s="1">
        <v>45231</v>
      </c>
      <c r="L1550" s="1">
        <v>45413</v>
      </c>
      <c r="M1550" s="1">
        <v>45231</v>
      </c>
      <c r="N1550" s="1">
        <v>45413</v>
      </c>
      <c r="O1550" t="s">
        <v>238</v>
      </c>
      <c r="P1550" t="s">
        <v>21894</v>
      </c>
      <c r="R1550" t="s">
        <v>21179</v>
      </c>
      <c r="S1550" t="s">
        <v>21895</v>
      </c>
      <c r="T1550" t="s">
        <v>5557</v>
      </c>
      <c r="U1550" t="s">
        <v>819</v>
      </c>
      <c r="V1550" s="8" t="str">
        <f>"46203"</f>
        <v>46203</v>
      </c>
      <c r="W1550" t="s">
        <v>118</v>
      </c>
      <c r="Y1550" s="10">
        <v>13174902915</v>
      </c>
      <c r="AA1550">
        <v>484110</v>
      </c>
      <c r="AB1550" t="s">
        <v>21180</v>
      </c>
      <c r="AC1550" t="s">
        <v>17750</v>
      </c>
      <c r="AE1550" t="s">
        <v>1836</v>
      </c>
      <c r="AF1550" t="s">
        <v>21896</v>
      </c>
      <c r="AH1550" t="s">
        <v>17731</v>
      </c>
      <c r="AI1550" t="s">
        <v>211</v>
      </c>
      <c r="AJ1550" s="8" t="str">
        <f>"84720"</f>
        <v>84720</v>
      </c>
      <c r="AK1550" t="s">
        <v>118</v>
      </c>
      <c r="AM1550" s="10">
        <v>13174902915</v>
      </c>
      <c r="AO1550" t="s">
        <v>796</v>
      </c>
      <c r="AP1550" t="s">
        <v>248</v>
      </c>
      <c r="AQ1550" t="s">
        <v>3690</v>
      </c>
      <c r="AR1550" t="s">
        <v>2158</v>
      </c>
      <c r="AT1550" t="s">
        <v>3691</v>
      </c>
      <c r="AU1550" t="s">
        <v>3692</v>
      </c>
      <c r="AV1550" t="s">
        <v>2814</v>
      </c>
      <c r="AW1550" t="s">
        <v>2608</v>
      </c>
      <c r="AX1550" s="8" t="str">
        <f>"74136"</f>
        <v>74136</v>
      </c>
      <c r="AY1550" t="s">
        <v>118</v>
      </c>
      <c r="AZ1550" t="s">
        <v>3693</v>
      </c>
      <c r="BA1550" s="10">
        <v>19189065212</v>
      </c>
      <c r="BC1550" t="s">
        <v>3694</v>
      </c>
      <c r="BD1550" t="s">
        <v>3695</v>
      </c>
      <c r="BG1550" t="s">
        <v>819</v>
      </c>
      <c r="BH1550" s="1">
        <v>45140.833333333336</v>
      </c>
      <c r="BI1550">
        <v>35</v>
      </c>
      <c r="BJ1550">
        <v>5</v>
      </c>
      <c r="BK1550">
        <v>5</v>
      </c>
      <c r="BL1550">
        <v>5</v>
      </c>
      <c r="BM1550">
        <v>5</v>
      </c>
      <c r="BN1550">
        <v>5</v>
      </c>
      <c r="BO1550">
        <v>5</v>
      </c>
      <c r="BP1550">
        <v>5</v>
      </c>
      <c r="BQ1550" t="str">
        <f>"8:00 AM"</f>
        <v>8:00 AM</v>
      </c>
      <c r="BR1550" t="str">
        <f>"1:00 PM"</f>
        <v>1:00 PM</v>
      </c>
      <c r="BS1550" t="s">
        <v>131</v>
      </c>
      <c r="BT1550">
        <v>0</v>
      </c>
      <c r="BU1550">
        <v>0</v>
      </c>
      <c r="BV1550" t="s">
        <v>114</v>
      </c>
      <c r="BX1550" s="2" t="s">
        <v>21897</v>
      </c>
      <c r="BY1550" t="s">
        <v>21179</v>
      </c>
      <c r="CA1550" t="s">
        <v>5557</v>
      </c>
      <c r="CB1550" t="s">
        <v>819</v>
      </c>
      <c r="CC1550" s="8" t="str">
        <f>"58301"</f>
        <v>58301</v>
      </c>
      <c r="CD1550" t="s">
        <v>1257</v>
      </c>
      <c r="CE1550" t="s">
        <v>2111</v>
      </c>
      <c r="CF1550" s="12">
        <v>21.8</v>
      </c>
      <c r="CG1550" s="12">
        <v>21.8</v>
      </c>
      <c r="CH1550" s="12">
        <v>32.700000000000003</v>
      </c>
      <c r="CI1550" s="12">
        <v>32.700000000000003</v>
      </c>
      <c r="CJ1550" t="s">
        <v>135</v>
      </c>
      <c r="CK1550" t="s">
        <v>3699</v>
      </c>
      <c r="CL1550" t="s">
        <v>15567</v>
      </c>
      <c r="CO1550" t="s">
        <v>132</v>
      </c>
      <c r="CP1550" t="s">
        <v>114</v>
      </c>
      <c r="CQ1550" t="s">
        <v>136</v>
      </c>
      <c r="CR1550" t="s">
        <v>136</v>
      </c>
      <c r="CS1550" t="s">
        <v>136</v>
      </c>
      <c r="CT1550" t="s">
        <v>136</v>
      </c>
      <c r="CU1550" t="s">
        <v>136</v>
      </c>
      <c r="CV1550" s="2" t="s">
        <v>21898</v>
      </c>
      <c r="CW1550" s="10" t="str">
        <f>"+13174902915"</f>
        <v>+13174902915</v>
      </c>
      <c r="CX1550" t="s">
        <v>21899</v>
      </c>
      <c r="CY1550" t="s">
        <v>132</v>
      </c>
      <c r="CZ1550" t="s">
        <v>137</v>
      </c>
      <c r="DA1550" t="s">
        <v>114</v>
      </c>
      <c r="DB1550" t="s">
        <v>136</v>
      </c>
      <c r="DC1550" t="s">
        <v>136</v>
      </c>
      <c r="DD1550" t="s">
        <v>114</v>
      </c>
    </row>
    <row r="1551" spans="1:113" ht="15" customHeight="1" x14ac:dyDescent="0.25">
      <c r="A1551" t="s">
        <v>10110</v>
      </c>
      <c r="B1551" t="s">
        <v>152</v>
      </c>
      <c r="C1551" s="1">
        <v>45142.509806249996</v>
      </c>
      <c r="D1551" s="1">
        <v>45209</v>
      </c>
      <c r="E1551" t="s">
        <v>136</v>
      </c>
      <c r="F1551" t="s">
        <v>10111</v>
      </c>
      <c r="G1551" t="str">
        <f>"37-2011.00"</f>
        <v>37-2011.00</v>
      </c>
      <c r="H1551" t="s">
        <v>1089</v>
      </c>
      <c r="I1551">
        <v>20</v>
      </c>
      <c r="J1551">
        <v>20</v>
      </c>
      <c r="K1551" s="1">
        <v>45231</v>
      </c>
      <c r="L1551" s="1">
        <v>45412</v>
      </c>
      <c r="M1551" s="1">
        <v>45231</v>
      </c>
      <c r="N1551" s="1">
        <v>45412</v>
      </c>
      <c r="O1551" t="s">
        <v>238</v>
      </c>
      <c r="P1551" t="s">
        <v>3793</v>
      </c>
      <c r="R1551" t="s">
        <v>3794</v>
      </c>
      <c r="T1551" t="s">
        <v>2724</v>
      </c>
      <c r="U1551" t="s">
        <v>140</v>
      </c>
      <c r="V1551" s="8" t="str">
        <f>"32407"</f>
        <v>32407</v>
      </c>
      <c r="W1551" t="s">
        <v>118</v>
      </c>
      <c r="Y1551" s="10">
        <v>18508901955</v>
      </c>
      <c r="AA1551">
        <v>721110</v>
      </c>
      <c r="AB1551" t="s">
        <v>3795</v>
      </c>
      <c r="AC1551" t="s">
        <v>3796</v>
      </c>
      <c r="AE1551" t="s">
        <v>2092</v>
      </c>
      <c r="AF1551" t="s">
        <v>3794</v>
      </c>
      <c r="AH1551" t="s">
        <v>2724</v>
      </c>
      <c r="AI1551" t="s">
        <v>140</v>
      </c>
      <c r="AJ1551" s="8" t="str">
        <f>"32407"</f>
        <v>32407</v>
      </c>
      <c r="AK1551" t="s">
        <v>118</v>
      </c>
      <c r="AM1551" s="10">
        <v>18508901955</v>
      </c>
      <c r="AO1551" t="s">
        <v>3797</v>
      </c>
      <c r="AP1551" t="s">
        <v>121</v>
      </c>
      <c r="AQ1551" t="s">
        <v>3798</v>
      </c>
      <c r="AR1551" t="s">
        <v>487</v>
      </c>
      <c r="AT1551" t="s">
        <v>3799</v>
      </c>
      <c r="AU1551" t="s">
        <v>3800</v>
      </c>
      <c r="AV1551" t="s">
        <v>573</v>
      </c>
      <c r="AW1551" t="s">
        <v>550</v>
      </c>
      <c r="AX1551" s="8" t="str">
        <f>"30363"</f>
        <v>30363</v>
      </c>
      <c r="AY1551" t="s">
        <v>118</v>
      </c>
      <c r="BA1551" s="10">
        <v>14043226065</v>
      </c>
      <c r="BC1551" t="s">
        <v>3801</v>
      </c>
      <c r="BD1551" t="s">
        <v>3802</v>
      </c>
      <c r="BE1551" t="s">
        <v>550</v>
      </c>
      <c r="BF1551" t="s">
        <v>5728</v>
      </c>
      <c r="BG1551" t="s">
        <v>140</v>
      </c>
      <c r="BH1551" s="1">
        <v>45140.833333333336</v>
      </c>
      <c r="BI1551">
        <v>35</v>
      </c>
      <c r="BJ1551">
        <v>0</v>
      </c>
      <c r="BK1551">
        <v>7</v>
      </c>
      <c r="BL1551">
        <v>7</v>
      </c>
      <c r="BM1551">
        <v>7</v>
      </c>
      <c r="BN1551">
        <v>7</v>
      </c>
      <c r="BO1551">
        <v>7</v>
      </c>
      <c r="BP1551">
        <v>0</v>
      </c>
      <c r="BQ1551" t="str">
        <f>"7:00 AM"</f>
        <v>7:00 AM</v>
      </c>
      <c r="BR1551" t="str">
        <f>"3:00 PM"</f>
        <v>3:00 PM</v>
      </c>
      <c r="BS1551" t="s">
        <v>131</v>
      </c>
      <c r="BT1551">
        <v>0</v>
      </c>
      <c r="BU1551">
        <v>0</v>
      </c>
      <c r="BV1551" t="s">
        <v>114</v>
      </c>
      <c r="BX1551" s="2" t="s">
        <v>10112</v>
      </c>
      <c r="BY1551" t="s">
        <v>3794</v>
      </c>
      <c r="CA1551" t="s">
        <v>2724</v>
      </c>
      <c r="CB1551" t="s">
        <v>140</v>
      </c>
      <c r="CC1551" s="8" t="str">
        <f>"32407"</f>
        <v>32407</v>
      </c>
      <c r="CD1551" t="s">
        <v>2727</v>
      </c>
      <c r="CE1551" t="s">
        <v>2728</v>
      </c>
      <c r="CF1551" s="12">
        <v>13.72</v>
      </c>
      <c r="CH1551" s="12">
        <v>20.58</v>
      </c>
      <c r="CJ1551" t="s">
        <v>5501</v>
      </c>
      <c r="CL1551" t="s">
        <v>10113</v>
      </c>
      <c r="CO1551" t="s">
        <v>132</v>
      </c>
      <c r="CP1551" t="s">
        <v>136</v>
      </c>
      <c r="CQ1551" t="s">
        <v>114</v>
      </c>
      <c r="CR1551" t="s">
        <v>136</v>
      </c>
      <c r="CS1551" t="s">
        <v>114</v>
      </c>
      <c r="CT1551" t="s">
        <v>136</v>
      </c>
      <c r="CU1551" t="s">
        <v>136</v>
      </c>
      <c r="CV1551" s="2" t="s">
        <v>10114</v>
      </c>
      <c r="CW1551" s="10" t="str">
        <f>"+18502304078"</f>
        <v>+18502304078</v>
      </c>
      <c r="CX1551" t="s">
        <v>3803</v>
      </c>
      <c r="CY1551" t="s">
        <v>132</v>
      </c>
      <c r="CZ1551" t="s">
        <v>137</v>
      </c>
      <c r="DA1551" t="s">
        <v>114</v>
      </c>
      <c r="DB1551" t="s">
        <v>114</v>
      </c>
      <c r="DC1551" t="s">
        <v>136</v>
      </c>
      <c r="DD1551" t="s">
        <v>114</v>
      </c>
    </row>
    <row r="1552" spans="1:113" ht="15" customHeight="1" x14ac:dyDescent="0.25">
      <c r="A1552" t="s">
        <v>15561</v>
      </c>
      <c r="B1552" t="s">
        <v>152</v>
      </c>
      <c r="C1552" s="1">
        <v>45142.452687847224</v>
      </c>
      <c r="D1552" s="1">
        <v>45209</v>
      </c>
      <c r="E1552" t="s">
        <v>114</v>
      </c>
      <c r="F1552" t="s">
        <v>4218</v>
      </c>
      <c r="G1552" t="str">
        <f>"49-9098.00"</f>
        <v>49-9098.00</v>
      </c>
      <c r="H1552" t="s">
        <v>945</v>
      </c>
      <c r="I1552">
        <v>2</v>
      </c>
      <c r="J1552">
        <v>2</v>
      </c>
      <c r="K1552" s="1">
        <v>45231</v>
      </c>
      <c r="L1552" s="1">
        <v>45382</v>
      </c>
      <c r="M1552" s="1">
        <v>45231</v>
      </c>
      <c r="N1552" s="1">
        <v>45382</v>
      </c>
      <c r="O1552" t="s">
        <v>116</v>
      </c>
      <c r="P1552" t="s">
        <v>15562</v>
      </c>
      <c r="R1552" t="s">
        <v>15563</v>
      </c>
      <c r="S1552" t="s">
        <v>15564</v>
      </c>
      <c r="T1552" t="s">
        <v>7890</v>
      </c>
      <c r="U1552" t="s">
        <v>2775</v>
      </c>
      <c r="V1552" s="8" t="str">
        <f>"58301"</f>
        <v>58301</v>
      </c>
      <c r="W1552" t="s">
        <v>118</v>
      </c>
      <c r="Y1552" s="10">
        <v>17013513130</v>
      </c>
      <c r="AA1552">
        <v>721110</v>
      </c>
      <c r="AB1552" t="s">
        <v>15565</v>
      </c>
      <c r="AC1552" t="s">
        <v>8501</v>
      </c>
      <c r="AE1552" t="s">
        <v>561</v>
      </c>
      <c r="AF1552" t="s">
        <v>15563</v>
      </c>
      <c r="AG1552" t="s">
        <v>15564</v>
      </c>
      <c r="AH1552" t="s">
        <v>7890</v>
      </c>
      <c r="AI1552" t="s">
        <v>2775</v>
      </c>
      <c r="AJ1552" s="8" t="str">
        <f>"58301"</f>
        <v>58301</v>
      </c>
      <c r="AK1552" t="s">
        <v>118</v>
      </c>
      <c r="AM1552" s="10">
        <v>17013513130</v>
      </c>
      <c r="AO1552" t="s">
        <v>796</v>
      </c>
      <c r="AP1552" t="s">
        <v>248</v>
      </c>
      <c r="AQ1552" t="s">
        <v>3690</v>
      </c>
      <c r="AR1552" t="s">
        <v>2158</v>
      </c>
      <c r="AT1552" t="s">
        <v>3691</v>
      </c>
      <c r="AU1552" t="s">
        <v>3692</v>
      </c>
      <c r="AV1552" t="s">
        <v>2814</v>
      </c>
      <c r="AW1552" t="s">
        <v>2608</v>
      </c>
      <c r="AX1552" s="8" t="str">
        <f>"74136"</f>
        <v>74136</v>
      </c>
      <c r="AY1552" t="s">
        <v>118</v>
      </c>
      <c r="AZ1552" t="s">
        <v>3693</v>
      </c>
      <c r="BA1552" s="10">
        <v>19189065212</v>
      </c>
      <c r="BC1552" t="s">
        <v>3694</v>
      </c>
      <c r="BD1552" t="s">
        <v>3695</v>
      </c>
      <c r="BG1552" t="s">
        <v>2775</v>
      </c>
      <c r="BH1552" s="1">
        <v>45140.833333333336</v>
      </c>
      <c r="BI1552">
        <v>48</v>
      </c>
      <c r="BJ1552">
        <v>0</v>
      </c>
      <c r="BK1552">
        <v>8</v>
      </c>
      <c r="BL1552">
        <v>8</v>
      </c>
      <c r="BM1552">
        <v>8</v>
      </c>
      <c r="BN1552">
        <v>8</v>
      </c>
      <c r="BO1552">
        <v>8</v>
      </c>
      <c r="BP1552">
        <v>8</v>
      </c>
      <c r="BQ1552" t="str">
        <f>"7:00 AM"</f>
        <v>7:00 AM</v>
      </c>
      <c r="BR1552" t="str">
        <f>"4:00 PM"</f>
        <v>4:00 PM</v>
      </c>
      <c r="BS1552" t="s">
        <v>131</v>
      </c>
      <c r="BT1552">
        <v>0</v>
      </c>
      <c r="BU1552">
        <v>0</v>
      </c>
      <c r="BV1552" t="s">
        <v>114</v>
      </c>
      <c r="BX1552" s="2" t="s">
        <v>15566</v>
      </c>
      <c r="BY1552" t="s">
        <v>15563</v>
      </c>
      <c r="CA1552" t="s">
        <v>7890</v>
      </c>
      <c r="CB1552" t="s">
        <v>2775</v>
      </c>
      <c r="CC1552" s="8" t="str">
        <f>"58301"</f>
        <v>58301</v>
      </c>
      <c r="CD1552" t="s">
        <v>7891</v>
      </c>
      <c r="CE1552" t="s">
        <v>5686</v>
      </c>
      <c r="CF1552" s="12">
        <v>22.05</v>
      </c>
      <c r="CG1552" s="12">
        <v>22.05</v>
      </c>
      <c r="CH1552" s="12">
        <v>33.08</v>
      </c>
      <c r="CI1552" s="12">
        <v>33.08</v>
      </c>
      <c r="CJ1552" t="s">
        <v>135</v>
      </c>
      <c r="CK1552" t="s">
        <v>3699</v>
      </c>
      <c r="CL1552" t="s">
        <v>15567</v>
      </c>
      <c r="CO1552" t="s">
        <v>132</v>
      </c>
      <c r="CP1552" t="s">
        <v>136</v>
      </c>
      <c r="CQ1552" t="s">
        <v>114</v>
      </c>
      <c r="CR1552" t="s">
        <v>136</v>
      </c>
      <c r="CS1552" t="s">
        <v>136</v>
      </c>
      <c r="CT1552" t="s">
        <v>136</v>
      </c>
      <c r="CU1552" t="s">
        <v>136</v>
      </c>
      <c r="CV1552" s="2" t="s">
        <v>15568</v>
      </c>
      <c r="CW1552" s="10" t="str">
        <f>"+17013513130"</f>
        <v>+17013513130</v>
      </c>
      <c r="CX1552" t="s">
        <v>132</v>
      </c>
      <c r="CY1552" t="s">
        <v>15569</v>
      </c>
      <c r="CZ1552" t="s">
        <v>137</v>
      </c>
      <c r="DA1552" t="s">
        <v>114</v>
      </c>
      <c r="DB1552" t="s">
        <v>114</v>
      </c>
      <c r="DC1552" t="s">
        <v>136</v>
      </c>
      <c r="DD1552" t="s">
        <v>114</v>
      </c>
    </row>
    <row r="1553" spans="1:113" ht="15" customHeight="1" x14ac:dyDescent="0.25">
      <c r="A1553" t="s">
        <v>11939</v>
      </c>
      <c r="B1553" t="s">
        <v>152</v>
      </c>
      <c r="C1553" s="1">
        <v>45141.840672916667</v>
      </c>
      <c r="D1553" s="1">
        <v>45209</v>
      </c>
      <c r="E1553" t="s">
        <v>114</v>
      </c>
      <c r="F1553" t="s">
        <v>6279</v>
      </c>
      <c r="G1553" t="str">
        <f>"37-2011.00"</f>
        <v>37-2011.00</v>
      </c>
      <c r="H1553" t="s">
        <v>1089</v>
      </c>
      <c r="I1553">
        <v>7</v>
      </c>
      <c r="J1553">
        <v>7</v>
      </c>
      <c r="K1553" s="1">
        <v>45231</v>
      </c>
      <c r="L1553" s="1">
        <v>45382</v>
      </c>
      <c r="M1553" s="1">
        <v>45231</v>
      </c>
      <c r="N1553" s="1">
        <v>45382</v>
      </c>
      <c r="O1553" t="s">
        <v>238</v>
      </c>
      <c r="P1553" t="s">
        <v>11940</v>
      </c>
      <c r="R1553" t="s">
        <v>11941</v>
      </c>
      <c r="T1553" t="s">
        <v>11942</v>
      </c>
      <c r="U1553" t="s">
        <v>543</v>
      </c>
      <c r="V1553" s="8" t="str">
        <f>"44065"</f>
        <v>44065</v>
      </c>
      <c r="W1553" t="s">
        <v>118</v>
      </c>
      <c r="Y1553" s="10">
        <v>14405641290</v>
      </c>
      <c r="AA1553">
        <v>5617</v>
      </c>
      <c r="AB1553" t="s">
        <v>11943</v>
      </c>
      <c r="AC1553" t="s">
        <v>3279</v>
      </c>
      <c r="AE1553" t="s">
        <v>629</v>
      </c>
      <c r="AF1553" t="s">
        <v>11941</v>
      </c>
      <c r="AH1553" t="s">
        <v>11942</v>
      </c>
      <c r="AI1553" t="s">
        <v>543</v>
      </c>
      <c r="AJ1553" s="8" t="str">
        <f>"44065"</f>
        <v>44065</v>
      </c>
      <c r="AK1553" t="s">
        <v>118</v>
      </c>
      <c r="AM1553" s="10">
        <v>14405641290</v>
      </c>
      <c r="AO1553" t="s">
        <v>11944</v>
      </c>
      <c r="AP1553" t="s">
        <v>121</v>
      </c>
      <c r="AQ1553" t="s">
        <v>2104</v>
      </c>
      <c r="AR1553" t="s">
        <v>2105</v>
      </c>
      <c r="AT1553" t="s">
        <v>2106</v>
      </c>
      <c r="AV1553" t="s">
        <v>2107</v>
      </c>
      <c r="AW1553" t="s">
        <v>543</v>
      </c>
      <c r="AX1553" s="8" t="str">
        <f>"44060"</f>
        <v>44060</v>
      </c>
      <c r="AY1553" t="s">
        <v>118</v>
      </c>
      <c r="BA1553" s="10">
        <v>12162350515</v>
      </c>
      <c r="BC1553" t="s">
        <v>2108</v>
      </c>
      <c r="BD1553" t="s">
        <v>2109</v>
      </c>
      <c r="BE1553" t="s">
        <v>543</v>
      </c>
      <c r="BF1553" t="s">
        <v>11945</v>
      </c>
      <c r="BG1553" t="s">
        <v>543</v>
      </c>
      <c r="BH1553" s="1">
        <v>45140.833333333336</v>
      </c>
      <c r="BI1553">
        <v>40</v>
      </c>
      <c r="BJ1553">
        <v>0</v>
      </c>
      <c r="BK1553">
        <v>8</v>
      </c>
      <c r="BL1553">
        <v>8</v>
      </c>
      <c r="BM1553">
        <v>8</v>
      </c>
      <c r="BN1553">
        <v>8</v>
      </c>
      <c r="BO1553">
        <v>8</v>
      </c>
      <c r="BP1553">
        <v>0</v>
      </c>
      <c r="BQ1553" t="str">
        <f>"8:00 AM"</f>
        <v>8:00 AM</v>
      </c>
      <c r="BR1553" t="str">
        <f>"5:00 PM"</f>
        <v>5:00 PM</v>
      </c>
      <c r="BS1553" t="s">
        <v>131</v>
      </c>
      <c r="BT1553">
        <v>0</v>
      </c>
      <c r="BU1553">
        <v>0</v>
      </c>
      <c r="BV1553" t="s">
        <v>114</v>
      </c>
      <c r="BX1553" s="2" t="s">
        <v>6284</v>
      </c>
      <c r="BY1553" t="s">
        <v>11941</v>
      </c>
      <c r="CA1553" t="s">
        <v>11942</v>
      </c>
      <c r="CB1553" t="s">
        <v>543</v>
      </c>
      <c r="CC1553" s="8" t="str">
        <f>"44065"</f>
        <v>44065</v>
      </c>
      <c r="CD1553" t="s">
        <v>2533</v>
      </c>
      <c r="CE1553" t="s">
        <v>1839</v>
      </c>
      <c r="CF1553" s="12">
        <v>17.07</v>
      </c>
      <c r="CG1553" s="12">
        <v>17.07</v>
      </c>
      <c r="CH1553" s="12">
        <v>25.61</v>
      </c>
      <c r="CI1553" s="12">
        <v>25.61</v>
      </c>
      <c r="CJ1553" t="s">
        <v>135</v>
      </c>
      <c r="CK1553" t="s">
        <v>2112</v>
      </c>
      <c r="CL1553" t="s">
        <v>11946</v>
      </c>
      <c r="CO1553" t="s">
        <v>132</v>
      </c>
      <c r="CP1553" t="s">
        <v>136</v>
      </c>
      <c r="CQ1553" t="s">
        <v>136</v>
      </c>
      <c r="CR1553" t="s">
        <v>136</v>
      </c>
      <c r="CS1553" t="s">
        <v>136</v>
      </c>
      <c r="CT1553" t="s">
        <v>136</v>
      </c>
      <c r="CU1553" t="s">
        <v>114</v>
      </c>
      <c r="CV1553" t="s">
        <v>1789</v>
      </c>
      <c r="CW1553" s="10" t="str">
        <f>"+14405641290"</f>
        <v>+14405641290</v>
      </c>
      <c r="CX1553" t="s">
        <v>11944</v>
      </c>
      <c r="CY1553" t="s">
        <v>132</v>
      </c>
      <c r="CZ1553" t="s">
        <v>137</v>
      </c>
      <c r="DA1553" t="s">
        <v>114</v>
      </c>
      <c r="DB1553" t="s">
        <v>136</v>
      </c>
      <c r="DC1553" t="s">
        <v>136</v>
      </c>
      <c r="DD1553" t="s">
        <v>114</v>
      </c>
    </row>
    <row r="1554" spans="1:113" ht="15" customHeight="1" x14ac:dyDescent="0.25">
      <c r="A1554" t="s">
        <v>16684</v>
      </c>
      <c r="B1554" t="s">
        <v>152</v>
      </c>
      <c r="C1554" s="1">
        <v>45141.711104050926</v>
      </c>
      <c r="D1554" s="1">
        <v>45209</v>
      </c>
      <c r="E1554" t="s">
        <v>114</v>
      </c>
      <c r="F1554" t="s">
        <v>1595</v>
      </c>
      <c r="G1554" t="str">
        <f>"45-2092.00"</f>
        <v>45-2092.00</v>
      </c>
      <c r="H1554" t="s">
        <v>2007</v>
      </c>
      <c r="I1554">
        <v>13</v>
      </c>
      <c r="J1554">
        <v>13</v>
      </c>
      <c r="K1554" s="1">
        <v>45231</v>
      </c>
      <c r="L1554" s="1">
        <v>45382</v>
      </c>
      <c r="M1554" s="1">
        <v>45231</v>
      </c>
      <c r="N1554" s="1">
        <v>45382</v>
      </c>
      <c r="O1554" t="s">
        <v>116</v>
      </c>
      <c r="P1554" t="s">
        <v>16685</v>
      </c>
      <c r="R1554" t="s">
        <v>16686</v>
      </c>
      <c r="T1554" t="s">
        <v>16687</v>
      </c>
      <c r="U1554" t="s">
        <v>127</v>
      </c>
      <c r="V1554" s="8" t="str">
        <f>"75428"</f>
        <v>75428</v>
      </c>
      <c r="W1554" t="s">
        <v>118</v>
      </c>
      <c r="Y1554" s="10">
        <v>12143840767</v>
      </c>
      <c r="AA1554">
        <v>111421</v>
      </c>
      <c r="AB1554" t="s">
        <v>16688</v>
      </c>
      <c r="AC1554" t="s">
        <v>2596</v>
      </c>
      <c r="AE1554" t="s">
        <v>378</v>
      </c>
      <c r="AF1554" t="s">
        <v>16686</v>
      </c>
      <c r="AH1554" t="s">
        <v>16687</v>
      </c>
      <c r="AI1554" t="s">
        <v>127</v>
      </c>
      <c r="AJ1554" s="8" t="str">
        <f>"75428"</f>
        <v>75428</v>
      </c>
      <c r="AK1554" t="s">
        <v>118</v>
      </c>
      <c r="AM1554" s="10">
        <v>12143840767</v>
      </c>
      <c r="AO1554" t="s">
        <v>16689</v>
      </c>
      <c r="AP1554" t="s">
        <v>248</v>
      </c>
      <c r="AQ1554" t="s">
        <v>3017</v>
      </c>
      <c r="AR1554" t="s">
        <v>3018</v>
      </c>
      <c r="AT1554" t="s">
        <v>3019</v>
      </c>
      <c r="AV1554" t="s">
        <v>1168</v>
      </c>
      <c r="AW1554" t="s">
        <v>127</v>
      </c>
      <c r="AX1554" s="8" t="str">
        <f>"75098"</f>
        <v>75098</v>
      </c>
      <c r="AY1554" t="s">
        <v>118</v>
      </c>
      <c r="BA1554" s="10">
        <v>19724424244</v>
      </c>
      <c r="BC1554" t="s">
        <v>3020</v>
      </c>
      <c r="BD1554" t="s">
        <v>3021</v>
      </c>
      <c r="BG1554" t="s">
        <v>127</v>
      </c>
      <c r="BH1554" s="1">
        <v>45140.833333333336</v>
      </c>
      <c r="BI1554">
        <v>40</v>
      </c>
      <c r="BJ1554">
        <v>0</v>
      </c>
      <c r="BK1554">
        <v>8</v>
      </c>
      <c r="BL1554">
        <v>8</v>
      </c>
      <c r="BM1554">
        <v>8</v>
      </c>
      <c r="BN1554">
        <v>8</v>
      </c>
      <c r="BO1554">
        <v>8</v>
      </c>
      <c r="BP1554">
        <v>0</v>
      </c>
      <c r="BQ1554" t="str">
        <f>"8:00 AM"</f>
        <v>8:00 AM</v>
      </c>
      <c r="BR1554" t="str">
        <f>"5:00 PM"</f>
        <v>5:00 PM</v>
      </c>
      <c r="BS1554" t="s">
        <v>131</v>
      </c>
      <c r="BT1554">
        <v>0</v>
      </c>
      <c r="BU1554">
        <v>0</v>
      </c>
      <c r="BV1554" t="s">
        <v>114</v>
      </c>
      <c r="BX1554" t="s">
        <v>131</v>
      </c>
      <c r="BY1554" t="s">
        <v>16686</v>
      </c>
      <c r="CA1554" t="s">
        <v>16687</v>
      </c>
      <c r="CB1554" t="s">
        <v>127</v>
      </c>
      <c r="CC1554" s="8" t="str">
        <f>"75428"</f>
        <v>75428</v>
      </c>
      <c r="CD1554" t="s">
        <v>11438</v>
      </c>
      <c r="CE1554" t="s">
        <v>263</v>
      </c>
      <c r="CF1554" s="12">
        <v>13.91</v>
      </c>
      <c r="CG1554" s="12">
        <v>20</v>
      </c>
      <c r="CH1554" s="12">
        <v>20.87</v>
      </c>
      <c r="CI1554" s="12">
        <v>30</v>
      </c>
      <c r="CJ1554" t="s">
        <v>135</v>
      </c>
      <c r="CL1554" t="s">
        <v>16690</v>
      </c>
      <c r="CO1554" t="s">
        <v>132</v>
      </c>
      <c r="CP1554" t="s">
        <v>136</v>
      </c>
      <c r="CQ1554" t="s">
        <v>136</v>
      </c>
      <c r="CR1554" t="s">
        <v>136</v>
      </c>
      <c r="CS1554" t="s">
        <v>136</v>
      </c>
      <c r="CT1554" t="s">
        <v>136</v>
      </c>
      <c r="CU1554" t="s">
        <v>136</v>
      </c>
      <c r="CV1554" t="s">
        <v>5345</v>
      </c>
      <c r="CW1554" s="10" t="str">
        <f>"+12143840767"</f>
        <v>+12143840767</v>
      </c>
      <c r="CX1554" t="s">
        <v>132</v>
      </c>
      <c r="CY1554" t="s">
        <v>3190</v>
      </c>
      <c r="CZ1554" t="s">
        <v>137</v>
      </c>
      <c r="DA1554" t="s">
        <v>114</v>
      </c>
      <c r="DB1554" t="s">
        <v>114</v>
      </c>
      <c r="DC1554" t="s">
        <v>136</v>
      </c>
      <c r="DD1554" t="s">
        <v>114</v>
      </c>
      <c r="DE1554" t="s">
        <v>7355</v>
      </c>
      <c r="DF1554" t="s">
        <v>16691</v>
      </c>
      <c r="DH1554" t="s">
        <v>3021</v>
      </c>
      <c r="DI1554" t="s">
        <v>16692</v>
      </c>
    </row>
    <row r="1555" spans="1:113" ht="15" customHeight="1" x14ac:dyDescent="0.25">
      <c r="A1555" t="s">
        <v>20213</v>
      </c>
      <c r="B1555" t="s">
        <v>152</v>
      </c>
      <c r="C1555" s="1">
        <v>45141.667626736111</v>
      </c>
      <c r="D1555" s="1">
        <v>45209</v>
      </c>
      <c r="E1555" t="s">
        <v>114</v>
      </c>
      <c r="F1555" t="s">
        <v>20214</v>
      </c>
      <c r="G1555" t="str">
        <f>"49-9099.00"</f>
        <v>49-9099.00</v>
      </c>
      <c r="H1555" t="s">
        <v>3863</v>
      </c>
      <c r="I1555">
        <v>20</v>
      </c>
      <c r="J1555">
        <v>20</v>
      </c>
      <c r="K1555" s="1">
        <v>45231</v>
      </c>
      <c r="L1555" s="1">
        <v>45337</v>
      </c>
      <c r="M1555" s="1">
        <v>45231</v>
      </c>
      <c r="N1555" s="1">
        <v>45337</v>
      </c>
      <c r="O1555" t="s">
        <v>238</v>
      </c>
      <c r="P1555" t="s">
        <v>20215</v>
      </c>
      <c r="R1555" t="s">
        <v>20216</v>
      </c>
      <c r="T1555" t="s">
        <v>20217</v>
      </c>
      <c r="U1555" t="s">
        <v>984</v>
      </c>
      <c r="V1555" s="8" t="str">
        <f>"63011"</f>
        <v>63011</v>
      </c>
      <c r="W1555" t="s">
        <v>118</v>
      </c>
      <c r="Y1555" s="10">
        <v>16368876155</v>
      </c>
      <c r="AA1555">
        <v>56173</v>
      </c>
      <c r="AB1555" t="s">
        <v>1140</v>
      </c>
      <c r="AC1555" t="s">
        <v>986</v>
      </c>
      <c r="AE1555" t="s">
        <v>987</v>
      </c>
      <c r="AF1555" t="s">
        <v>20216</v>
      </c>
      <c r="AH1555" t="s">
        <v>20217</v>
      </c>
      <c r="AI1555" t="s">
        <v>984</v>
      </c>
      <c r="AJ1555" s="8" t="str">
        <f>"63011"</f>
        <v>63011</v>
      </c>
      <c r="AK1555" t="s">
        <v>118</v>
      </c>
      <c r="AM1555" s="10">
        <v>16368876155</v>
      </c>
      <c r="AO1555" t="s">
        <v>20218</v>
      </c>
      <c r="AP1555" t="s">
        <v>248</v>
      </c>
      <c r="AQ1555" t="s">
        <v>3017</v>
      </c>
      <c r="AR1555" t="s">
        <v>3018</v>
      </c>
      <c r="AT1555" t="s">
        <v>3019</v>
      </c>
      <c r="AV1555" t="s">
        <v>1168</v>
      </c>
      <c r="AW1555" t="s">
        <v>127</v>
      </c>
      <c r="AX1555" s="8" t="str">
        <f>"75098"</f>
        <v>75098</v>
      </c>
      <c r="AY1555" t="s">
        <v>118</v>
      </c>
      <c r="BA1555" s="10">
        <v>19724424244</v>
      </c>
      <c r="BC1555" t="s">
        <v>3020</v>
      </c>
      <c r="BD1555" t="s">
        <v>3021</v>
      </c>
      <c r="BG1555" t="s">
        <v>127</v>
      </c>
      <c r="BH1555" s="1">
        <v>45140.833333333336</v>
      </c>
      <c r="BI1555">
        <v>40</v>
      </c>
      <c r="BJ1555">
        <v>0</v>
      </c>
      <c r="BK1555">
        <v>8</v>
      </c>
      <c r="BL1555">
        <v>8</v>
      </c>
      <c r="BM1555">
        <v>8</v>
      </c>
      <c r="BN1555">
        <v>8</v>
      </c>
      <c r="BO1555">
        <v>8</v>
      </c>
      <c r="BP1555">
        <v>0</v>
      </c>
      <c r="BQ1555" t="str">
        <f>"8:00 AM"</f>
        <v>8:00 AM</v>
      </c>
      <c r="BR1555" t="str">
        <f>"5:30 PM"</f>
        <v>5:30 PM</v>
      </c>
      <c r="BS1555" t="s">
        <v>131</v>
      </c>
      <c r="BT1555">
        <v>0</v>
      </c>
      <c r="BU1555">
        <v>0</v>
      </c>
      <c r="BV1555" t="s">
        <v>114</v>
      </c>
      <c r="BX1555" t="s">
        <v>1480</v>
      </c>
      <c r="BY1555" t="s">
        <v>20216</v>
      </c>
      <c r="CA1555" t="s">
        <v>20217</v>
      </c>
      <c r="CB1555" t="s">
        <v>984</v>
      </c>
      <c r="CC1555" s="8" t="str">
        <f>"63011"</f>
        <v>63011</v>
      </c>
      <c r="CD1555" t="s">
        <v>2851</v>
      </c>
      <c r="CE1555" t="s">
        <v>1856</v>
      </c>
      <c r="CF1555" s="12">
        <v>25.26</v>
      </c>
      <c r="CG1555" s="12">
        <v>27.26</v>
      </c>
      <c r="CH1555" s="12">
        <v>37.89</v>
      </c>
      <c r="CI1555" s="12">
        <v>40.89</v>
      </c>
      <c r="CJ1555" t="s">
        <v>135</v>
      </c>
      <c r="CL1555" t="s">
        <v>20219</v>
      </c>
      <c r="CO1555" t="s">
        <v>132</v>
      </c>
      <c r="CP1555" t="s">
        <v>136</v>
      </c>
      <c r="CQ1555" t="s">
        <v>136</v>
      </c>
      <c r="CR1555" t="s">
        <v>136</v>
      </c>
      <c r="CS1555" t="s">
        <v>136</v>
      </c>
      <c r="CT1555" t="s">
        <v>136</v>
      </c>
      <c r="CU1555" t="s">
        <v>136</v>
      </c>
      <c r="CV1555" t="s">
        <v>20220</v>
      </c>
      <c r="CW1555" s="10" t="str">
        <f>"+16368876155"</f>
        <v>+16368876155</v>
      </c>
      <c r="CX1555" t="s">
        <v>132</v>
      </c>
      <c r="CY1555" t="s">
        <v>1857</v>
      </c>
      <c r="CZ1555" t="s">
        <v>137</v>
      </c>
      <c r="DA1555" t="s">
        <v>114</v>
      </c>
      <c r="DB1555" t="s">
        <v>114</v>
      </c>
      <c r="DC1555" t="s">
        <v>136</v>
      </c>
      <c r="DD1555" t="s">
        <v>114</v>
      </c>
      <c r="DE1555" t="s">
        <v>7355</v>
      </c>
      <c r="DF1555" t="s">
        <v>16691</v>
      </c>
      <c r="DH1555" t="s">
        <v>3021</v>
      </c>
      <c r="DI1555" t="s">
        <v>16692</v>
      </c>
    </row>
    <row r="1556" spans="1:113" ht="15" customHeight="1" x14ac:dyDescent="0.25">
      <c r="A1556" t="s">
        <v>8601</v>
      </c>
      <c r="B1556" t="s">
        <v>152</v>
      </c>
      <c r="C1556" s="1">
        <v>45141.666499074076</v>
      </c>
      <c r="D1556" s="1">
        <v>45209</v>
      </c>
      <c r="E1556" t="s">
        <v>136</v>
      </c>
      <c r="F1556" t="s">
        <v>8602</v>
      </c>
      <c r="G1556" t="str">
        <f>"35-3031.00"</f>
        <v>35-3031.00</v>
      </c>
      <c r="H1556" t="s">
        <v>347</v>
      </c>
      <c r="I1556">
        <v>8</v>
      </c>
      <c r="J1556">
        <v>8</v>
      </c>
      <c r="K1556" s="1">
        <v>45231</v>
      </c>
      <c r="L1556" s="1">
        <v>45473</v>
      </c>
      <c r="M1556" s="1">
        <v>45231</v>
      </c>
      <c r="N1556" s="1">
        <v>45473</v>
      </c>
      <c r="O1556" t="s">
        <v>116</v>
      </c>
      <c r="P1556" t="s">
        <v>8603</v>
      </c>
      <c r="Q1556" t="s">
        <v>8604</v>
      </c>
      <c r="R1556" t="s">
        <v>8605</v>
      </c>
      <c r="T1556" t="s">
        <v>1614</v>
      </c>
      <c r="U1556" t="s">
        <v>140</v>
      </c>
      <c r="V1556" s="8" t="str">
        <f>"34108"</f>
        <v>34108</v>
      </c>
      <c r="W1556" t="s">
        <v>118</v>
      </c>
      <c r="Y1556" s="10">
        <v>12395985102</v>
      </c>
      <c r="AA1556">
        <v>721110</v>
      </c>
      <c r="AB1556" t="s">
        <v>8606</v>
      </c>
      <c r="AC1556" t="s">
        <v>7795</v>
      </c>
      <c r="AD1556" t="s">
        <v>826</v>
      </c>
      <c r="AE1556" t="s">
        <v>4687</v>
      </c>
      <c r="AF1556" t="s">
        <v>8605</v>
      </c>
      <c r="AH1556" t="s">
        <v>1614</v>
      </c>
      <c r="AI1556" t="s">
        <v>140</v>
      </c>
      <c r="AJ1556" s="8" t="str">
        <f>"34108"</f>
        <v>34108</v>
      </c>
      <c r="AK1556" t="s">
        <v>118</v>
      </c>
      <c r="AM1556" s="10">
        <v>12395985102</v>
      </c>
      <c r="AO1556" t="s">
        <v>8607</v>
      </c>
      <c r="AP1556" t="s">
        <v>121</v>
      </c>
      <c r="AQ1556" t="s">
        <v>276</v>
      </c>
      <c r="AR1556" t="s">
        <v>277</v>
      </c>
      <c r="AS1556" t="s">
        <v>278</v>
      </c>
      <c r="AT1556" t="s">
        <v>279</v>
      </c>
      <c r="AU1556" t="s">
        <v>280</v>
      </c>
      <c r="AV1556" t="s">
        <v>281</v>
      </c>
      <c r="AW1556" t="s">
        <v>222</v>
      </c>
      <c r="AX1556" s="8" t="str">
        <f>"01701"</f>
        <v>01701</v>
      </c>
      <c r="AY1556" t="s">
        <v>118</v>
      </c>
      <c r="BA1556" s="10">
        <v>16179399444</v>
      </c>
      <c r="BC1556" t="s">
        <v>282</v>
      </c>
      <c r="BD1556" t="s">
        <v>283</v>
      </c>
      <c r="BE1556" t="s">
        <v>222</v>
      </c>
      <c r="BF1556" t="s">
        <v>284</v>
      </c>
      <c r="BG1556" t="s">
        <v>140</v>
      </c>
      <c r="BH1556" s="1">
        <v>45140.833333333336</v>
      </c>
      <c r="BI1556">
        <v>40</v>
      </c>
      <c r="BJ1556">
        <v>0</v>
      </c>
      <c r="BK1556">
        <v>8</v>
      </c>
      <c r="BL1556">
        <v>8</v>
      </c>
      <c r="BM1556">
        <v>8</v>
      </c>
      <c r="BN1556">
        <v>8</v>
      </c>
      <c r="BO1556">
        <v>8</v>
      </c>
      <c r="BP1556">
        <v>0</v>
      </c>
      <c r="BQ1556" t="str">
        <f>"6:00 AM"</f>
        <v>6:00 AM</v>
      </c>
      <c r="BR1556" t="str">
        <f>"2:00 PM"</f>
        <v>2:00 PM</v>
      </c>
      <c r="BS1556" t="s">
        <v>131</v>
      </c>
      <c r="BT1556">
        <v>0</v>
      </c>
      <c r="BU1556">
        <v>3</v>
      </c>
      <c r="BV1556" t="s">
        <v>114</v>
      </c>
      <c r="BX1556" s="2" t="s">
        <v>8608</v>
      </c>
      <c r="BY1556" t="s">
        <v>8605</v>
      </c>
      <c r="CA1556" t="s">
        <v>1614</v>
      </c>
      <c r="CB1556" t="s">
        <v>140</v>
      </c>
      <c r="CC1556" s="8" t="str">
        <f>"34108"</f>
        <v>34108</v>
      </c>
      <c r="CD1556" t="s">
        <v>1619</v>
      </c>
      <c r="CE1556" t="s">
        <v>1620</v>
      </c>
      <c r="CF1556" s="12">
        <v>17.260000000000002</v>
      </c>
      <c r="CH1556" s="12">
        <v>25.89</v>
      </c>
      <c r="CJ1556" t="s">
        <v>135</v>
      </c>
      <c r="CK1556" t="s">
        <v>8609</v>
      </c>
      <c r="CL1556" t="s">
        <v>8610</v>
      </c>
      <c r="CO1556" t="s">
        <v>132</v>
      </c>
      <c r="CP1556" t="s">
        <v>114</v>
      </c>
      <c r="CQ1556" t="s">
        <v>136</v>
      </c>
      <c r="CR1556" t="s">
        <v>136</v>
      </c>
      <c r="CS1556" t="s">
        <v>114</v>
      </c>
      <c r="CT1556" t="s">
        <v>136</v>
      </c>
      <c r="CU1556" t="s">
        <v>136</v>
      </c>
      <c r="CV1556" t="s">
        <v>8611</v>
      </c>
      <c r="CW1556" s="10" t="str">
        <f>"+12395985708"</f>
        <v>+12395985708</v>
      </c>
      <c r="CX1556" t="s">
        <v>8607</v>
      </c>
      <c r="CY1556" t="s">
        <v>132</v>
      </c>
      <c r="CZ1556" t="s">
        <v>137</v>
      </c>
      <c r="DA1556" t="s">
        <v>114</v>
      </c>
      <c r="DB1556" t="s">
        <v>114</v>
      </c>
      <c r="DC1556" t="s">
        <v>136</v>
      </c>
      <c r="DD1556" t="s">
        <v>114</v>
      </c>
    </row>
    <row r="1557" spans="1:113" ht="15" customHeight="1" x14ac:dyDescent="0.25">
      <c r="A1557" t="s">
        <v>23755</v>
      </c>
      <c r="B1557" t="s">
        <v>152</v>
      </c>
      <c r="C1557" s="1">
        <v>45141.594014351853</v>
      </c>
      <c r="D1557" s="1">
        <v>45209</v>
      </c>
      <c r="E1557" t="s">
        <v>136</v>
      </c>
      <c r="F1557" t="s">
        <v>6636</v>
      </c>
      <c r="G1557" t="str">
        <f>"35-2014.00"</f>
        <v>35-2014.00</v>
      </c>
      <c r="H1557" t="s">
        <v>154</v>
      </c>
      <c r="I1557">
        <v>16</v>
      </c>
      <c r="J1557">
        <v>16</v>
      </c>
      <c r="K1557" s="1">
        <v>45231</v>
      </c>
      <c r="L1557" s="1">
        <v>45398</v>
      </c>
      <c r="M1557" s="1">
        <v>45231</v>
      </c>
      <c r="N1557" s="1">
        <v>45398</v>
      </c>
      <c r="O1557" t="s">
        <v>116</v>
      </c>
      <c r="P1557" t="s">
        <v>13016</v>
      </c>
      <c r="Q1557" t="s">
        <v>13017</v>
      </c>
      <c r="R1557" t="s">
        <v>13018</v>
      </c>
      <c r="T1557" t="s">
        <v>210</v>
      </c>
      <c r="U1557" t="s">
        <v>211</v>
      </c>
      <c r="V1557" s="8" t="str">
        <f>"84060"</f>
        <v>84060</v>
      </c>
      <c r="W1557" t="s">
        <v>118</v>
      </c>
      <c r="Y1557" s="10">
        <v>14356041342</v>
      </c>
      <c r="AA1557">
        <v>721110</v>
      </c>
      <c r="AB1557" t="s">
        <v>13019</v>
      </c>
      <c r="AC1557" t="s">
        <v>3485</v>
      </c>
      <c r="AE1557" t="s">
        <v>13020</v>
      </c>
      <c r="AF1557" t="s">
        <v>13018</v>
      </c>
      <c r="AH1557" t="s">
        <v>210</v>
      </c>
      <c r="AI1557" t="s">
        <v>211</v>
      </c>
      <c r="AJ1557" s="8" t="str">
        <f>"84060"</f>
        <v>84060</v>
      </c>
      <c r="AK1557" t="s">
        <v>118</v>
      </c>
      <c r="AM1557" s="10">
        <v>14356041342</v>
      </c>
      <c r="AO1557" t="s">
        <v>13021</v>
      </c>
      <c r="AP1557" t="s">
        <v>121</v>
      </c>
      <c r="AQ1557" t="s">
        <v>2061</v>
      </c>
      <c r="AR1557" t="s">
        <v>250</v>
      </c>
      <c r="AS1557" t="s">
        <v>4170</v>
      </c>
      <c r="AT1557" t="s">
        <v>6046</v>
      </c>
      <c r="AV1557" t="s">
        <v>6047</v>
      </c>
      <c r="AW1557" t="s">
        <v>581</v>
      </c>
      <c r="AX1557" s="8" t="str">
        <f>"22312"</f>
        <v>22312</v>
      </c>
      <c r="AY1557" t="s">
        <v>118</v>
      </c>
      <c r="BA1557" s="10">
        <v>12025300700</v>
      </c>
      <c r="BC1557" t="s">
        <v>13022</v>
      </c>
      <c r="BD1557" t="s">
        <v>6048</v>
      </c>
      <c r="BE1557" t="s">
        <v>6049</v>
      </c>
      <c r="BF1557" t="s">
        <v>13023</v>
      </c>
      <c r="BG1557" t="s">
        <v>211</v>
      </c>
      <c r="BH1557" s="1">
        <v>45140.833333333336</v>
      </c>
      <c r="BI1557">
        <v>56</v>
      </c>
      <c r="BJ1557">
        <v>8</v>
      </c>
      <c r="BK1557">
        <v>8</v>
      </c>
      <c r="BL1557">
        <v>8</v>
      </c>
      <c r="BM1557">
        <v>8</v>
      </c>
      <c r="BN1557">
        <v>8</v>
      </c>
      <c r="BO1557">
        <v>8</v>
      </c>
      <c r="BP1557">
        <v>8</v>
      </c>
      <c r="BQ1557" t="str">
        <f>"6:00 AM"</f>
        <v>6:00 AM</v>
      </c>
      <c r="BR1557" t="str">
        <f>"10:30 PM"</f>
        <v>10:30 PM</v>
      </c>
      <c r="BS1557" t="s">
        <v>147</v>
      </c>
      <c r="BT1557">
        <v>0</v>
      </c>
      <c r="BU1557">
        <v>36</v>
      </c>
      <c r="BV1557" t="s">
        <v>114</v>
      </c>
      <c r="BX1557" s="2" t="s">
        <v>23756</v>
      </c>
      <c r="BY1557" t="s">
        <v>13018</v>
      </c>
      <c r="CA1557" t="s">
        <v>210</v>
      </c>
      <c r="CB1557" t="s">
        <v>211</v>
      </c>
      <c r="CC1557" s="8" t="str">
        <f>"84060"</f>
        <v>84060</v>
      </c>
      <c r="CD1557" t="s">
        <v>228</v>
      </c>
      <c r="CE1557" t="s">
        <v>229</v>
      </c>
      <c r="CF1557" s="12">
        <v>24.5</v>
      </c>
      <c r="CH1557" s="12">
        <v>36.75</v>
      </c>
      <c r="CJ1557" t="s">
        <v>135</v>
      </c>
      <c r="CK1557" t="s">
        <v>23757</v>
      </c>
      <c r="CL1557" t="s">
        <v>23758</v>
      </c>
      <c r="CO1557" t="s">
        <v>132</v>
      </c>
      <c r="CP1557" t="s">
        <v>114</v>
      </c>
      <c r="CQ1557" t="s">
        <v>114</v>
      </c>
      <c r="CR1557" t="s">
        <v>136</v>
      </c>
      <c r="CS1557" t="s">
        <v>136</v>
      </c>
      <c r="CT1557" t="s">
        <v>136</v>
      </c>
      <c r="CU1557" t="s">
        <v>136</v>
      </c>
      <c r="CV1557" t="s">
        <v>23759</v>
      </c>
      <c r="CW1557" s="10" t="str">
        <f>"+14356041342"</f>
        <v>+14356041342</v>
      </c>
      <c r="CX1557" t="s">
        <v>13021</v>
      </c>
      <c r="CY1557" t="s">
        <v>132</v>
      </c>
      <c r="CZ1557" t="s">
        <v>137</v>
      </c>
      <c r="DA1557" t="s">
        <v>114</v>
      </c>
      <c r="DB1557" t="s">
        <v>114</v>
      </c>
      <c r="DC1557" t="s">
        <v>136</v>
      </c>
      <c r="DD1557" t="s">
        <v>114</v>
      </c>
    </row>
    <row r="1558" spans="1:113" ht="15" customHeight="1" x14ac:dyDescent="0.25">
      <c r="A1558" t="s">
        <v>14374</v>
      </c>
      <c r="B1558" t="s">
        <v>152</v>
      </c>
      <c r="C1558" s="1">
        <v>45141.56379375</v>
      </c>
      <c r="D1558" s="1">
        <v>45209</v>
      </c>
      <c r="E1558" t="s">
        <v>114</v>
      </c>
      <c r="F1558" t="s">
        <v>1950</v>
      </c>
      <c r="G1558" t="str">
        <f>"37-2012.00"</f>
        <v>37-2012.00</v>
      </c>
      <c r="H1558" t="s">
        <v>205</v>
      </c>
      <c r="I1558">
        <v>14</v>
      </c>
      <c r="J1558">
        <v>14</v>
      </c>
      <c r="K1558" s="1">
        <v>45231</v>
      </c>
      <c r="L1558" s="1">
        <v>45392</v>
      </c>
      <c r="M1558" s="1">
        <v>45231</v>
      </c>
      <c r="N1558" s="1">
        <v>45392</v>
      </c>
      <c r="O1558" t="s">
        <v>116</v>
      </c>
      <c r="P1558" t="s">
        <v>14375</v>
      </c>
      <c r="Q1558" t="s">
        <v>14376</v>
      </c>
      <c r="R1558" t="s">
        <v>14377</v>
      </c>
      <c r="S1558" t="s">
        <v>1763</v>
      </c>
      <c r="T1558" t="s">
        <v>6507</v>
      </c>
      <c r="U1558" t="s">
        <v>188</v>
      </c>
      <c r="V1558" s="8" t="str">
        <f>"81435"</f>
        <v>81435</v>
      </c>
      <c r="W1558" t="s">
        <v>118</v>
      </c>
      <c r="Y1558" s="10">
        <v>19707285262</v>
      </c>
      <c r="AA1558">
        <v>721199</v>
      </c>
      <c r="AB1558" t="s">
        <v>14378</v>
      </c>
      <c r="AC1558" t="s">
        <v>14379</v>
      </c>
      <c r="AD1558" t="s">
        <v>132</v>
      </c>
      <c r="AE1558" t="s">
        <v>3156</v>
      </c>
      <c r="AF1558" t="s">
        <v>14377</v>
      </c>
      <c r="AG1558" t="s">
        <v>1763</v>
      </c>
      <c r="AH1558" t="s">
        <v>6507</v>
      </c>
      <c r="AI1558" t="s">
        <v>188</v>
      </c>
      <c r="AJ1558" s="8" t="str">
        <f>"81435"</f>
        <v>81435</v>
      </c>
      <c r="AK1558" t="s">
        <v>118</v>
      </c>
      <c r="AM1558" s="10">
        <v>19707285262</v>
      </c>
      <c r="AO1558" t="s">
        <v>14380</v>
      </c>
      <c r="AP1558" t="s">
        <v>248</v>
      </c>
      <c r="AQ1558" t="s">
        <v>1030</v>
      </c>
      <c r="AR1558" t="s">
        <v>1031</v>
      </c>
      <c r="AS1558" t="s">
        <v>132</v>
      </c>
      <c r="AT1558" t="s">
        <v>1032</v>
      </c>
      <c r="AU1558" t="s">
        <v>852</v>
      </c>
      <c r="AV1558" t="s">
        <v>1033</v>
      </c>
      <c r="AW1558" t="s">
        <v>854</v>
      </c>
      <c r="AX1558" s="8" t="str">
        <f>"83814"</f>
        <v>83814</v>
      </c>
      <c r="AY1558" t="s">
        <v>118</v>
      </c>
      <c r="BA1558" s="10">
        <v>12087772654</v>
      </c>
      <c r="BC1558" t="s">
        <v>1034</v>
      </c>
      <c r="BD1558" t="s">
        <v>856</v>
      </c>
      <c r="BG1558" t="s">
        <v>188</v>
      </c>
      <c r="BH1558" s="1">
        <v>45126.833333333336</v>
      </c>
      <c r="BI1558">
        <v>40</v>
      </c>
      <c r="BJ1558">
        <v>0</v>
      </c>
      <c r="BK1558">
        <v>8</v>
      </c>
      <c r="BL1558">
        <v>8</v>
      </c>
      <c r="BM1558">
        <v>8</v>
      </c>
      <c r="BN1558">
        <v>8</v>
      </c>
      <c r="BO1558">
        <v>8</v>
      </c>
      <c r="BP1558">
        <v>0</v>
      </c>
      <c r="BQ1558" t="str">
        <f>"9:00 AM"</f>
        <v>9:00 AM</v>
      </c>
      <c r="BR1558" t="str">
        <f>"5:00 PM"</f>
        <v>5:00 PM</v>
      </c>
      <c r="BS1558" t="s">
        <v>131</v>
      </c>
      <c r="BT1558">
        <v>0</v>
      </c>
      <c r="BU1558">
        <v>3</v>
      </c>
      <c r="BV1558" t="s">
        <v>114</v>
      </c>
      <c r="BX1558" s="2" t="s">
        <v>14381</v>
      </c>
      <c r="BY1558" t="s">
        <v>14382</v>
      </c>
      <c r="BZ1558" t="s">
        <v>14383</v>
      </c>
      <c r="CA1558" t="s">
        <v>6507</v>
      </c>
      <c r="CB1558" t="s">
        <v>188</v>
      </c>
      <c r="CC1558" s="8" t="str">
        <f>"81435"</f>
        <v>81435</v>
      </c>
      <c r="CD1558" t="s">
        <v>6515</v>
      </c>
      <c r="CE1558" t="s">
        <v>4724</v>
      </c>
      <c r="CF1558" s="12">
        <v>15.67</v>
      </c>
      <c r="CG1558" s="12">
        <v>19</v>
      </c>
      <c r="CH1558" s="12">
        <v>23.51</v>
      </c>
      <c r="CI1558" s="12">
        <v>28.5</v>
      </c>
      <c r="CJ1558" t="s">
        <v>135</v>
      </c>
      <c r="CK1558" t="s">
        <v>1899</v>
      </c>
      <c r="CL1558" t="s">
        <v>14384</v>
      </c>
      <c r="CO1558" t="s">
        <v>132</v>
      </c>
      <c r="CP1558" t="s">
        <v>136</v>
      </c>
      <c r="CQ1558" t="s">
        <v>136</v>
      </c>
      <c r="CR1558" t="s">
        <v>136</v>
      </c>
      <c r="CS1558" t="s">
        <v>114</v>
      </c>
      <c r="CT1558" t="s">
        <v>136</v>
      </c>
      <c r="CU1558" t="s">
        <v>114</v>
      </c>
      <c r="CV1558" t="s">
        <v>1040</v>
      </c>
      <c r="CW1558" s="10" t="str">
        <f>"+19046073344"</f>
        <v>+19046073344</v>
      </c>
      <c r="CX1558" t="s">
        <v>14380</v>
      </c>
      <c r="CY1558" t="s">
        <v>132</v>
      </c>
      <c r="CZ1558" t="s">
        <v>137</v>
      </c>
      <c r="DA1558" t="s">
        <v>114</v>
      </c>
      <c r="DB1558" t="s">
        <v>136</v>
      </c>
      <c r="DC1558" t="s">
        <v>136</v>
      </c>
      <c r="DD1558" t="s">
        <v>114</v>
      </c>
    </row>
    <row r="1559" spans="1:113" ht="15" customHeight="1" x14ac:dyDescent="0.25">
      <c r="A1559" t="s">
        <v>23468</v>
      </c>
      <c r="B1559" t="s">
        <v>152</v>
      </c>
      <c r="C1559" s="1">
        <v>45141.541001736114</v>
      </c>
      <c r="D1559" s="1">
        <v>45209</v>
      </c>
      <c r="E1559" t="s">
        <v>114</v>
      </c>
      <c r="F1559" t="s">
        <v>23469</v>
      </c>
      <c r="G1559" t="str">
        <f>"43-4081.00"</f>
        <v>43-4081.00</v>
      </c>
      <c r="H1559" t="s">
        <v>952</v>
      </c>
      <c r="I1559">
        <v>2</v>
      </c>
      <c r="J1559">
        <v>2</v>
      </c>
      <c r="K1559" s="1">
        <v>45231</v>
      </c>
      <c r="L1559" s="1">
        <v>45382</v>
      </c>
      <c r="M1559" s="1">
        <v>45231</v>
      </c>
      <c r="N1559" s="1">
        <v>45382</v>
      </c>
      <c r="O1559" t="s">
        <v>116</v>
      </c>
      <c r="P1559" t="s">
        <v>15562</v>
      </c>
      <c r="R1559" t="s">
        <v>15563</v>
      </c>
      <c r="S1559" t="s">
        <v>15564</v>
      </c>
      <c r="T1559" t="s">
        <v>7890</v>
      </c>
      <c r="U1559" t="s">
        <v>2775</v>
      </c>
      <c r="V1559" s="8" t="str">
        <f>"58301"</f>
        <v>58301</v>
      </c>
      <c r="W1559" t="s">
        <v>118</v>
      </c>
      <c r="Y1559" s="10">
        <v>17013513130</v>
      </c>
      <c r="AA1559">
        <v>721110</v>
      </c>
      <c r="AB1559" t="s">
        <v>15565</v>
      </c>
      <c r="AC1559" t="s">
        <v>8501</v>
      </c>
      <c r="AE1559" t="s">
        <v>561</v>
      </c>
      <c r="AF1559" t="s">
        <v>15563</v>
      </c>
      <c r="AG1559" t="s">
        <v>15564</v>
      </c>
      <c r="AH1559" t="s">
        <v>7890</v>
      </c>
      <c r="AI1559" t="s">
        <v>2775</v>
      </c>
      <c r="AJ1559" s="8" t="str">
        <f>"58301"</f>
        <v>58301</v>
      </c>
      <c r="AK1559" t="s">
        <v>118</v>
      </c>
      <c r="AM1559" s="10">
        <v>17013513130</v>
      </c>
      <c r="AO1559" t="s">
        <v>796</v>
      </c>
      <c r="AP1559" t="s">
        <v>248</v>
      </c>
      <c r="AQ1559" t="s">
        <v>3690</v>
      </c>
      <c r="AR1559" t="s">
        <v>2158</v>
      </c>
      <c r="AT1559" t="s">
        <v>3691</v>
      </c>
      <c r="AU1559" t="s">
        <v>3692</v>
      </c>
      <c r="AV1559" t="s">
        <v>2814</v>
      </c>
      <c r="AW1559" t="s">
        <v>2608</v>
      </c>
      <c r="AX1559" s="8" t="str">
        <f>"74136"</f>
        <v>74136</v>
      </c>
      <c r="AY1559" t="s">
        <v>118</v>
      </c>
      <c r="AZ1559" t="s">
        <v>3693</v>
      </c>
      <c r="BA1559" s="10">
        <v>19189065212</v>
      </c>
      <c r="BC1559" t="s">
        <v>3694</v>
      </c>
      <c r="BD1559" t="s">
        <v>3695</v>
      </c>
      <c r="BG1559" t="s">
        <v>2775</v>
      </c>
      <c r="BH1559" s="1">
        <v>45140.833333333336</v>
      </c>
      <c r="BI1559">
        <v>40</v>
      </c>
      <c r="BJ1559">
        <v>0</v>
      </c>
      <c r="BK1559">
        <v>8</v>
      </c>
      <c r="BL1559">
        <v>8</v>
      </c>
      <c r="BM1559">
        <v>8</v>
      </c>
      <c r="BN1559">
        <v>8</v>
      </c>
      <c r="BO1559">
        <v>8</v>
      </c>
      <c r="BP1559">
        <v>0</v>
      </c>
      <c r="BQ1559" t="str">
        <f>"8:00 AM"</f>
        <v>8:00 AM</v>
      </c>
      <c r="BR1559" t="str">
        <f>"4:00 PM"</f>
        <v>4:00 PM</v>
      </c>
      <c r="BS1559" t="s">
        <v>131</v>
      </c>
      <c r="BT1559">
        <v>0</v>
      </c>
      <c r="BU1559">
        <v>0</v>
      </c>
      <c r="BV1559" t="s">
        <v>114</v>
      </c>
      <c r="BX1559" s="2" t="s">
        <v>23470</v>
      </c>
      <c r="BY1559" t="s">
        <v>15563</v>
      </c>
      <c r="CA1559" t="s">
        <v>7890</v>
      </c>
      <c r="CB1559" t="s">
        <v>2775</v>
      </c>
      <c r="CC1559" s="8" t="str">
        <f>"58301"</f>
        <v>58301</v>
      </c>
      <c r="CD1559" t="s">
        <v>7891</v>
      </c>
      <c r="CE1559" t="s">
        <v>5686</v>
      </c>
      <c r="CF1559" s="12">
        <v>14.35</v>
      </c>
      <c r="CG1559" s="12">
        <v>14.35</v>
      </c>
      <c r="CH1559" s="12">
        <v>21.53</v>
      </c>
      <c r="CI1559" s="12">
        <v>21.53</v>
      </c>
      <c r="CJ1559" t="s">
        <v>135</v>
      </c>
      <c r="CK1559" t="s">
        <v>3699</v>
      </c>
      <c r="CL1559" t="s">
        <v>15567</v>
      </c>
      <c r="CO1559" t="s">
        <v>132</v>
      </c>
      <c r="CP1559" t="s">
        <v>136</v>
      </c>
      <c r="CQ1559" t="s">
        <v>114</v>
      </c>
      <c r="CR1559" t="s">
        <v>136</v>
      </c>
      <c r="CS1559" t="s">
        <v>136</v>
      </c>
      <c r="CT1559" t="s">
        <v>136</v>
      </c>
      <c r="CU1559" t="s">
        <v>136</v>
      </c>
      <c r="CV1559" s="2" t="s">
        <v>23471</v>
      </c>
      <c r="CW1559" s="10" t="str">
        <f>"+17013513130"</f>
        <v>+17013513130</v>
      </c>
      <c r="CX1559" t="s">
        <v>132</v>
      </c>
      <c r="CY1559" t="s">
        <v>15569</v>
      </c>
      <c r="CZ1559" t="s">
        <v>137</v>
      </c>
      <c r="DA1559" t="s">
        <v>114</v>
      </c>
      <c r="DB1559" t="s">
        <v>114</v>
      </c>
      <c r="DC1559" t="s">
        <v>136</v>
      </c>
      <c r="DD1559" t="s">
        <v>114</v>
      </c>
    </row>
    <row r="1560" spans="1:113" ht="15" customHeight="1" x14ac:dyDescent="0.25">
      <c r="A1560" t="s">
        <v>13097</v>
      </c>
      <c r="B1560" t="s">
        <v>152</v>
      </c>
      <c r="C1560" s="1">
        <v>45141.517103009261</v>
      </c>
      <c r="D1560" s="1">
        <v>45209</v>
      </c>
      <c r="E1560" t="s">
        <v>114</v>
      </c>
      <c r="F1560" t="s">
        <v>1950</v>
      </c>
      <c r="G1560" t="str">
        <f>"37-2012.00"</f>
        <v>37-2012.00</v>
      </c>
      <c r="H1560" t="s">
        <v>205</v>
      </c>
      <c r="I1560">
        <v>3</v>
      </c>
      <c r="J1560">
        <v>3</v>
      </c>
      <c r="K1560" s="1">
        <v>45231</v>
      </c>
      <c r="L1560" s="1">
        <v>45504</v>
      </c>
      <c r="M1560" s="1">
        <v>45231</v>
      </c>
      <c r="N1560" s="1">
        <v>45504</v>
      </c>
      <c r="O1560" t="s">
        <v>238</v>
      </c>
      <c r="P1560" t="s">
        <v>13098</v>
      </c>
      <c r="Q1560" t="s">
        <v>13099</v>
      </c>
      <c r="R1560" t="s">
        <v>6346</v>
      </c>
      <c r="S1560" t="s">
        <v>1900</v>
      </c>
      <c r="T1560" t="s">
        <v>6347</v>
      </c>
      <c r="U1560" t="s">
        <v>2030</v>
      </c>
      <c r="V1560" s="8" t="str">
        <f>"57401"</f>
        <v>57401</v>
      </c>
      <c r="W1560" t="s">
        <v>118</v>
      </c>
      <c r="Y1560" s="10">
        <v>16052251712</v>
      </c>
      <c r="AA1560">
        <v>72111</v>
      </c>
      <c r="AB1560" t="s">
        <v>6348</v>
      </c>
      <c r="AC1560" t="s">
        <v>4901</v>
      </c>
      <c r="AE1560" t="s">
        <v>3683</v>
      </c>
      <c r="AF1560" t="s">
        <v>6346</v>
      </c>
      <c r="AG1560" t="s">
        <v>1900</v>
      </c>
      <c r="AH1560" t="s">
        <v>6347</v>
      </c>
      <c r="AI1560" t="s">
        <v>2030</v>
      </c>
      <c r="AJ1560" s="8" t="str">
        <f>"57401"</f>
        <v>57401</v>
      </c>
      <c r="AK1560" t="s">
        <v>118</v>
      </c>
      <c r="AM1560" s="10">
        <v>16052251712</v>
      </c>
      <c r="AO1560" t="s">
        <v>6349</v>
      </c>
      <c r="AP1560" t="s">
        <v>248</v>
      </c>
      <c r="AQ1560" t="s">
        <v>3352</v>
      </c>
      <c r="AR1560" t="s">
        <v>3353</v>
      </c>
      <c r="AT1560" t="s">
        <v>3354</v>
      </c>
      <c r="AV1560" t="s">
        <v>3355</v>
      </c>
      <c r="AW1560" t="s">
        <v>358</v>
      </c>
      <c r="AX1560" s="8" t="str">
        <f>"12901"</f>
        <v>12901</v>
      </c>
      <c r="AY1560" t="s">
        <v>118</v>
      </c>
      <c r="BA1560" s="10">
        <v>15188250360</v>
      </c>
      <c r="BC1560" t="s">
        <v>3356</v>
      </c>
      <c r="BD1560" t="s">
        <v>3357</v>
      </c>
      <c r="BG1560" t="s">
        <v>2030</v>
      </c>
      <c r="BH1560" s="1">
        <v>45132.833333333336</v>
      </c>
      <c r="BI1560">
        <v>42</v>
      </c>
      <c r="BJ1560">
        <v>6</v>
      </c>
      <c r="BK1560">
        <v>6</v>
      </c>
      <c r="BL1560">
        <v>6</v>
      </c>
      <c r="BM1560">
        <v>6</v>
      </c>
      <c r="BN1560">
        <v>6</v>
      </c>
      <c r="BO1560">
        <v>6</v>
      </c>
      <c r="BP1560">
        <v>6</v>
      </c>
      <c r="BQ1560" t="str">
        <f>"8:00 AM"</f>
        <v>8:00 AM</v>
      </c>
      <c r="BR1560" t="str">
        <f>"3:00 PM"</f>
        <v>3:00 PM</v>
      </c>
      <c r="BS1560" t="s">
        <v>131</v>
      </c>
      <c r="BT1560">
        <v>0</v>
      </c>
      <c r="BU1560">
        <v>3</v>
      </c>
      <c r="BV1560" t="s">
        <v>114</v>
      </c>
      <c r="BX1560" s="2" t="s">
        <v>6350</v>
      </c>
      <c r="BY1560" t="s">
        <v>13100</v>
      </c>
      <c r="CA1560" t="s">
        <v>6347</v>
      </c>
      <c r="CB1560" t="s">
        <v>2030</v>
      </c>
      <c r="CC1560" s="8" t="str">
        <f>"57401"</f>
        <v>57401</v>
      </c>
      <c r="CD1560" t="s">
        <v>6352</v>
      </c>
      <c r="CE1560" t="s">
        <v>5386</v>
      </c>
      <c r="CF1560" s="12">
        <v>12.25</v>
      </c>
      <c r="CG1560" s="12">
        <v>12.25</v>
      </c>
      <c r="CH1560" s="12">
        <v>18.38</v>
      </c>
      <c r="CI1560" s="12">
        <v>18.38</v>
      </c>
      <c r="CJ1560" t="s">
        <v>135</v>
      </c>
      <c r="CL1560" t="s">
        <v>13101</v>
      </c>
      <c r="CO1560" t="s">
        <v>132</v>
      </c>
      <c r="CP1560" t="s">
        <v>114</v>
      </c>
      <c r="CQ1560" t="s">
        <v>136</v>
      </c>
      <c r="CR1560" t="s">
        <v>136</v>
      </c>
      <c r="CS1560" t="s">
        <v>114</v>
      </c>
      <c r="CT1560" t="s">
        <v>136</v>
      </c>
      <c r="CU1560" t="s">
        <v>136</v>
      </c>
      <c r="CV1560" s="2" t="s">
        <v>10481</v>
      </c>
      <c r="CW1560" s="10" t="str">
        <f>"+16052251712"</f>
        <v>+16052251712</v>
      </c>
      <c r="CX1560" t="s">
        <v>6349</v>
      </c>
      <c r="CY1560" t="s">
        <v>132</v>
      </c>
      <c r="CZ1560" t="s">
        <v>137</v>
      </c>
      <c r="DA1560" t="s">
        <v>114</v>
      </c>
      <c r="DB1560" t="s">
        <v>136</v>
      </c>
      <c r="DC1560" t="s">
        <v>136</v>
      </c>
      <c r="DD1560" t="s">
        <v>114</v>
      </c>
    </row>
    <row r="1561" spans="1:113" ht="15" customHeight="1" x14ac:dyDescent="0.25">
      <c r="A1561" t="s">
        <v>14690</v>
      </c>
      <c r="B1561" t="s">
        <v>152</v>
      </c>
      <c r="C1561" s="1">
        <v>45141.471614699076</v>
      </c>
      <c r="D1561" s="1">
        <v>45209</v>
      </c>
      <c r="E1561" t="s">
        <v>136</v>
      </c>
      <c r="F1561" t="s">
        <v>1689</v>
      </c>
      <c r="G1561" t="str">
        <f>"37-2012.00"</f>
        <v>37-2012.00</v>
      </c>
      <c r="H1561" t="s">
        <v>205</v>
      </c>
      <c r="I1561">
        <v>16</v>
      </c>
      <c r="J1561">
        <v>16</v>
      </c>
      <c r="K1561" s="1">
        <v>45231</v>
      </c>
      <c r="L1561" s="1">
        <v>45442</v>
      </c>
      <c r="M1561" s="1">
        <v>45231</v>
      </c>
      <c r="N1561" s="1">
        <v>45442</v>
      </c>
      <c r="O1561" t="s">
        <v>116</v>
      </c>
      <c r="P1561" t="s">
        <v>6855</v>
      </c>
      <c r="Q1561" t="s">
        <v>6856</v>
      </c>
      <c r="R1561" t="s">
        <v>6857</v>
      </c>
      <c r="T1561" t="s">
        <v>1658</v>
      </c>
      <c r="U1561" t="s">
        <v>558</v>
      </c>
      <c r="V1561" s="8" t="str">
        <f>"85253"</f>
        <v>85253</v>
      </c>
      <c r="W1561" t="s">
        <v>118</v>
      </c>
      <c r="Y1561" s="10">
        <v>14809515174</v>
      </c>
      <c r="AA1561">
        <v>721110</v>
      </c>
      <c r="AB1561" t="s">
        <v>1140</v>
      </c>
      <c r="AC1561" t="s">
        <v>6858</v>
      </c>
      <c r="AE1561" t="s">
        <v>6859</v>
      </c>
      <c r="AF1561" t="s">
        <v>6857</v>
      </c>
      <c r="AH1561" t="s">
        <v>1658</v>
      </c>
      <c r="AI1561" t="s">
        <v>558</v>
      </c>
      <c r="AJ1561" s="8" t="str">
        <f>"85253"</f>
        <v>85253</v>
      </c>
      <c r="AK1561" t="s">
        <v>118</v>
      </c>
      <c r="AM1561" s="10">
        <v>14809515174</v>
      </c>
      <c r="AO1561" t="s">
        <v>6860</v>
      </c>
      <c r="AP1561" t="s">
        <v>121</v>
      </c>
      <c r="AQ1561" t="s">
        <v>276</v>
      </c>
      <c r="AR1561" t="s">
        <v>277</v>
      </c>
      <c r="AS1561" t="s">
        <v>278</v>
      </c>
      <c r="AT1561" t="s">
        <v>279</v>
      </c>
      <c r="AU1561" t="s">
        <v>280</v>
      </c>
      <c r="AV1561" t="s">
        <v>281</v>
      </c>
      <c r="AW1561" t="s">
        <v>222</v>
      </c>
      <c r="AX1561" s="8" t="str">
        <f>"01701"</f>
        <v>01701</v>
      </c>
      <c r="AY1561" t="s">
        <v>118</v>
      </c>
      <c r="BA1561" s="10">
        <v>16179399444</v>
      </c>
      <c r="BC1561" t="s">
        <v>282</v>
      </c>
      <c r="BD1561" t="s">
        <v>283</v>
      </c>
      <c r="BE1561" t="s">
        <v>222</v>
      </c>
      <c r="BF1561" t="s">
        <v>284</v>
      </c>
      <c r="BG1561" t="s">
        <v>558</v>
      </c>
      <c r="BH1561" s="1">
        <v>45140.833333333336</v>
      </c>
      <c r="BI1561">
        <v>35</v>
      </c>
      <c r="BJ1561">
        <v>0</v>
      </c>
      <c r="BK1561">
        <v>7</v>
      </c>
      <c r="BL1561">
        <v>7</v>
      </c>
      <c r="BM1561">
        <v>7</v>
      </c>
      <c r="BN1561">
        <v>7</v>
      </c>
      <c r="BO1561">
        <v>7</v>
      </c>
      <c r="BP1561">
        <v>0</v>
      </c>
      <c r="BQ1561" t="str">
        <f>"8:00 AM"</f>
        <v>8:00 AM</v>
      </c>
      <c r="BR1561" t="str">
        <f>"3:00 PM"</f>
        <v>3:00 PM</v>
      </c>
      <c r="BS1561" t="s">
        <v>131</v>
      </c>
      <c r="BT1561">
        <v>0</v>
      </c>
      <c r="BU1561">
        <v>3</v>
      </c>
      <c r="BV1561" t="s">
        <v>114</v>
      </c>
      <c r="BX1561" s="2" t="s">
        <v>14691</v>
      </c>
      <c r="BY1561" t="s">
        <v>6857</v>
      </c>
      <c r="CA1561" t="s">
        <v>1658</v>
      </c>
      <c r="CB1561" t="s">
        <v>558</v>
      </c>
      <c r="CC1561" s="8" t="str">
        <f>"85253"</f>
        <v>85253</v>
      </c>
      <c r="CD1561" t="s">
        <v>1391</v>
      </c>
      <c r="CE1561" t="s">
        <v>565</v>
      </c>
      <c r="CF1561" s="12">
        <v>16.079999999999998</v>
      </c>
      <c r="CG1561" s="12">
        <v>18</v>
      </c>
      <c r="CH1561" s="12">
        <v>24.12</v>
      </c>
      <c r="CI1561" s="12">
        <v>27</v>
      </c>
      <c r="CJ1561" t="s">
        <v>135</v>
      </c>
      <c r="CK1561" t="s">
        <v>14692</v>
      </c>
      <c r="CL1561" t="s">
        <v>14693</v>
      </c>
      <c r="CO1561" t="s">
        <v>132</v>
      </c>
      <c r="CP1561" t="s">
        <v>114</v>
      </c>
      <c r="CQ1561" t="s">
        <v>114</v>
      </c>
      <c r="CR1561" t="s">
        <v>136</v>
      </c>
      <c r="CS1561" t="s">
        <v>136</v>
      </c>
      <c r="CT1561" t="s">
        <v>136</v>
      </c>
      <c r="CU1561" t="s">
        <v>136</v>
      </c>
      <c r="CV1561" s="2" t="s">
        <v>6864</v>
      </c>
      <c r="CW1561" s="10" t="str">
        <f>"+14809515174"</f>
        <v>+14809515174</v>
      </c>
      <c r="CX1561" t="s">
        <v>6860</v>
      </c>
      <c r="CY1561" t="s">
        <v>132</v>
      </c>
      <c r="CZ1561" t="s">
        <v>137</v>
      </c>
      <c r="DA1561" t="s">
        <v>114</v>
      </c>
      <c r="DB1561" t="s">
        <v>114</v>
      </c>
      <c r="DC1561" t="s">
        <v>136</v>
      </c>
      <c r="DD1561" t="s">
        <v>114</v>
      </c>
    </row>
    <row r="1562" spans="1:113" ht="15" customHeight="1" x14ac:dyDescent="0.25">
      <c r="A1562" t="s">
        <v>21724</v>
      </c>
      <c r="B1562" t="s">
        <v>152</v>
      </c>
      <c r="C1562" s="1">
        <v>45141.456720254631</v>
      </c>
      <c r="D1562" s="1">
        <v>45209</v>
      </c>
      <c r="E1562" t="s">
        <v>136</v>
      </c>
      <c r="F1562" t="s">
        <v>9859</v>
      </c>
      <c r="G1562" t="str">
        <f>"39-3091.00"</f>
        <v>39-3091.00</v>
      </c>
      <c r="H1562" t="s">
        <v>237</v>
      </c>
      <c r="I1562">
        <v>20</v>
      </c>
      <c r="J1562">
        <v>20</v>
      </c>
      <c r="K1562" s="1">
        <v>45231</v>
      </c>
      <c r="L1562" s="1">
        <v>45397</v>
      </c>
      <c r="M1562" s="1">
        <v>45231</v>
      </c>
      <c r="N1562" s="1">
        <v>45397</v>
      </c>
      <c r="O1562" t="s">
        <v>238</v>
      </c>
      <c r="P1562" t="s">
        <v>9860</v>
      </c>
      <c r="Q1562" t="s">
        <v>9861</v>
      </c>
      <c r="R1562" t="s">
        <v>9862</v>
      </c>
      <c r="T1562" t="s">
        <v>9863</v>
      </c>
      <c r="U1562" t="s">
        <v>506</v>
      </c>
      <c r="V1562" s="8" t="str">
        <f>"05751"</f>
        <v>05751</v>
      </c>
      <c r="W1562" t="s">
        <v>118</v>
      </c>
      <c r="Y1562" s="10">
        <v>18024226100</v>
      </c>
      <c r="AA1562">
        <v>721110</v>
      </c>
      <c r="AB1562" t="s">
        <v>7695</v>
      </c>
      <c r="AC1562" t="s">
        <v>1808</v>
      </c>
      <c r="AE1562" t="s">
        <v>9864</v>
      </c>
      <c r="AF1562" t="s">
        <v>9862</v>
      </c>
      <c r="AH1562" t="s">
        <v>9863</v>
      </c>
      <c r="AI1562" t="s">
        <v>506</v>
      </c>
      <c r="AJ1562" s="8" t="str">
        <f>"05751"</f>
        <v>05751</v>
      </c>
      <c r="AK1562" t="s">
        <v>118</v>
      </c>
      <c r="AM1562" s="10">
        <v>18024226100</v>
      </c>
      <c r="AO1562" t="s">
        <v>9865</v>
      </c>
      <c r="AP1562" t="s">
        <v>121</v>
      </c>
      <c r="AQ1562" t="s">
        <v>276</v>
      </c>
      <c r="AR1562" t="s">
        <v>277</v>
      </c>
      <c r="AS1562" t="s">
        <v>278</v>
      </c>
      <c r="AT1562" t="s">
        <v>279</v>
      </c>
      <c r="AU1562" t="s">
        <v>280</v>
      </c>
      <c r="AV1562" t="s">
        <v>281</v>
      </c>
      <c r="AW1562" t="s">
        <v>222</v>
      </c>
      <c r="AX1562" s="8" t="str">
        <f>"01701"</f>
        <v>01701</v>
      </c>
      <c r="AY1562" t="s">
        <v>118</v>
      </c>
      <c r="AZ1562" s="3" t="s">
        <v>2321</v>
      </c>
      <c r="BA1562" s="10">
        <v>16179399444</v>
      </c>
      <c r="BC1562" t="s">
        <v>282</v>
      </c>
      <c r="BD1562" t="s">
        <v>283</v>
      </c>
      <c r="BE1562" t="s">
        <v>222</v>
      </c>
      <c r="BF1562" t="s">
        <v>284</v>
      </c>
      <c r="BG1562" t="s">
        <v>506</v>
      </c>
      <c r="BH1562" s="1">
        <v>45140.833333333336</v>
      </c>
      <c r="BI1562">
        <v>35</v>
      </c>
      <c r="BJ1562">
        <v>0</v>
      </c>
      <c r="BK1562">
        <v>7</v>
      </c>
      <c r="BL1562">
        <v>7</v>
      </c>
      <c r="BM1562">
        <v>7</v>
      </c>
      <c r="BN1562">
        <v>7</v>
      </c>
      <c r="BO1562">
        <v>7</v>
      </c>
      <c r="BP1562">
        <v>0</v>
      </c>
      <c r="BQ1562" t="str">
        <f>"6:00 AM"</f>
        <v>6:00 AM</v>
      </c>
      <c r="BR1562" t="str">
        <f>"1:00 PM"</f>
        <v>1:00 PM</v>
      </c>
      <c r="BS1562" t="s">
        <v>131</v>
      </c>
      <c r="BT1562">
        <v>0</v>
      </c>
      <c r="BU1562">
        <v>3</v>
      </c>
      <c r="BV1562" t="s">
        <v>114</v>
      </c>
      <c r="BX1562" s="2" t="s">
        <v>9866</v>
      </c>
      <c r="BY1562" t="s">
        <v>9862</v>
      </c>
      <c r="CA1562" t="s">
        <v>9863</v>
      </c>
      <c r="CB1562" t="s">
        <v>506</v>
      </c>
      <c r="CC1562" s="8" t="str">
        <f>"05751"</f>
        <v>05751</v>
      </c>
      <c r="CD1562" t="s">
        <v>8124</v>
      </c>
      <c r="CE1562" t="s">
        <v>523</v>
      </c>
      <c r="CF1562" s="12">
        <v>17.2</v>
      </c>
      <c r="CG1562" s="12">
        <v>35</v>
      </c>
      <c r="CH1562" s="12">
        <v>25.8</v>
      </c>
      <c r="CI1562" s="12">
        <v>52.5</v>
      </c>
      <c r="CJ1562" t="s">
        <v>135</v>
      </c>
      <c r="CK1562" t="s">
        <v>21725</v>
      </c>
      <c r="CL1562" t="s">
        <v>9868</v>
      </c>
      <c r="CO1562" t="s">
        <v>132</v>
      </c>
      <c r="CP1562" t="s">
        <v>136</v>
      </c>
      <c r="CQ1562" t="s">
        <v>114</v>
      </c>
      <c r="CR1562" t="s">
        <v>136</v>
      </c>
      <c r="CS1562" t="s">
        <v>136</v>
      </c>
      <c r="CT1562" t="s">
        <v>136</v>
      </c>
      <c r="CU1562" t="s">
        <v>136</v>
      </c>
      <c r="CV1562" t="s">
        <v>9869</v>
      </c>
      <c r="CW1562" s="10" t="str">
        <f>"+18024226821"</f>
        <v>+18024226821</v>
      </c>
      <c r="CX1562" t="s">
        <v>9865</v>
      </c>
      <c r="CY1562" t="s">
        <v>132</v>
      </c>
      <c r="CZ1562" t="s">
        <v>137</v>
      </c>
      <c r="DA1562" t="s">
        <v>114</v>
      </c>
      <c r="DB1562" t="s">
        <v>114</v>
      </c>
      <c r="DC1562" t="s">
        <v>136</v>
      </c>
      <c r="DD1562" t="s">
        <v>114</v>
      </c>
    </row>
    <row r="1563" spans="1:113" ht="15" customHeight="1" x14ac:dyDescent="0.25">
      <c r="A1563" t="s">
        <v>10533</v>
      </c>
      <c r="B1563" t="s">
        <v>152</v>
      </c>
      <c r="C1563" s="1">
        <v>45141.393096064814</v>
      </c>
      <c r="D1563" s="1">
        <v>45209</v>
      </c>
      <c r="E1563" t="s">
        <v>114</v>
      </c>
      <c r="F1563" t="s">
        <v>1892</v>
      </c>
      <c r="G1563" t="str">
        <f>"53-7062.00"</f>
        <v>53-7062.00</v>
      </c>
      <c r="H1563" t="s">
        <v>2078</v>
      </c>
      <c r="I1563">
        <v>6</v>
      </c>
      <c r="J1563">
        <v>6</v>
      </c>
      <c r="K1563" s="1">
        <v>45231</v>
      </c>
      <c r="L1563" s="1">
        <v>45311</v>
      </c>
      <c r="M1563" s="1">
        <v>45231</v>
      </c>
      <c r="N1563" s="1">
        <v>45311</v>
      </c>
      <c r="O1563" t="s">
        <v>238</v>
      </c>
      <c r="P1563" t="s">
        <v>10534</v>
      </c>
      <c r="R1563" t="s">
        <v>10535</v>
      </c>
      <c r="T1563" t="s">
        <v>10536</v>
      </c>
      <c r="U1563" t="s">
        <v>1434</v>
      </c>
      <c r="V1563" s="8" t="str">
        <f>"41144"</f>
        <v>41144</v>
      </c>
      <c r="W1563" t="s">
        <v>118</v>
      </c>
      <c r="Y1563" s="10">
        <v>16064730001</v>
      </c>
      <c r="AA1563">
        <v>56173</v>
      </c>
      <c r="AB1563" t="s">
        <v>7322</v>
      </c>
      <c r="AC1563" t="s">
        <v>2091</v>
      </c>
      <c r="AD1563" t="s">
        <v>3976</v>
      </c>
      <c r="AE1563" t="s">
        <v>561</v>
      </c>
      <c r="AF1563" t="s">
        <v>10535</v>
      </c>
      <c r="AH1563" t="s">
        <v>10536</v>
      </c>
      <c r="AI1563" t="s">
        <v>1434</v>
      </c>
      <c r="AJ1563" s="8" t="str">
        <f>"41144"</f>
        <v>41144</v>
      </c>
      <c r="AK1563" t="s">
        <v>118</v>
      </c>
      <c r="AM1563" s="10">
        <v>16064730001</v>
      </c>
      <c r="AO1563" t="s">
        <v>132</v>
      </c>
      <c r="AP1563" t="s">
        <v>248</v>
      </c>
      <c r="AQ1563" t="s">
        <v>577</v>
      </c>
      <c r="AR1563" t="s">
        <v>578</v>
      </c>
      <c r="AT1563" t="s">
        <v>579</v>
      </c>
      <c r="AV1563" t="s">
        <v>580</v>
      </c>
      <c r="AW1563" t="s">
        <v>581</v>
      </c>
      <c r="AX1563" s="8" t="str">
        <f>"22903"</f>
        <v>22903</v>
      </c>
      <c r="AY1563" t="s">
        <v>118</v>
      </c>
      <c r="BA1563" s="10">
        <v>14342634300</v>
      </c>
      <c r="BC1563" t="s">
        <v>6249</v>
      </c>
      <c r="BD1563" t="s">
        <v>583</v>
      </c>
      <c r="BG1563" t="s">
        <v>1434</v>
      </c>
      <c r="BH1563" s="1">
        <v>45140.833333333336</v>
      </c>
      <c r="BI1563">
        <v>40</v>
      </c>
      <c r="BJ1563">
        <v>0</v>
      </c>
      <c r="BK1563">
        <v>8</v>
      </c>
      <c r="BL1563">
        <v>8</v>
      </c>
      <c r="BM1563">
        <v>8</v>
      </c>
      <c r="BN1563">
        <v>8</v>
      </c>
      <c r="BO1563">
        <v>8</v>
      </c>
      <c r="BP1563">
        <v>0</v>
      </c>
      <c r="BQ1563" t="str">
        <f>"9:00 AM"</f>
        <v>9:00 AM</v>
      </c>
      <c r="BR1563" t="str">
        <f>"5:30 PM"</f>
        <v>5:30 PM</v>
      </c>
      <c r="BS1563" t="s">
        <v>131</v>
      </c>
      <c r="BT1563">
        <v>0</v>
      </c>
      <c r="BU1563">
        <v>3</v>
      </c>
      <c r="BV1563" t="s">
        <v>114</v>
      </c>
      <c r="BX1563" s="2" t="s">
        <v>10537</v>
      </c>
      <c r="BY1563" t="s">
        <v>10535</v>
      </c>
      <c r="CA1563" t="s">
        <v>10536</v>
      </c>
      <c r="CB1563" t="s">
        <v>1434</v>
      </c>
      <c r="CC1563" s="8" t="str">
        <f>"41144"</f>
        <v>41144</v>
      </c>
      <c r="CD1563" t="s">
        <v>5486</v>
      </c>
      <c r="CE1563" t="s">
        <v>5487</v>
      </c>
      <c r="CF1563" s="12">
        <v>15.3</v>
      </c>
      <c r="CH1563" s="12">
        <v>22.95</v>
      </c>
      <c r="CJ1563" t="s">
        <v>135</v>
      </c>
      <c r="CK1563" t="s">
        <v>590</v>
      </c>
      <c r="CL1563" t="s">
        <v>10538</v>
      </c>
      <c r="CO1563" t="s">
        <v>132</v>
      </c>
      <c r="CP1563" t="s">
        <v>136</v>
      </c>
      <c r="CQ1563" t="s">
        <v>114</v>
      </c>
      <c r="CR1563" t="s">
        <v>136</v>
      </c>
      <c r="CS1563" t="s">
        <v>114</v>
      </c>
      <c r="CT1563" t="s">
        <v>136</v>
      </c>
      <c r="CU1563" t="s">
        <v>136</v>
      </c>
      <c r="CV1563" t="s">
        <v>10539</v>
      </c>
      <c r="CW1563" s="10" t="str">
        <f>"N/A"</f>
        <v>N/A</v>
      </c>
      <c r="CX1563" t="s">
        <v>10540</v>
      </c>
      <c r="CY1563" t="s">
        <v>10541</v>
      </c>
      <c r="CZ1563" t="s">
        <v>137</v>
      </c>
      <c r="DA1563" t="s">
        <v>114</v>
      </c>
      <c r="DB1563" t="s">
        <v>136</v>
      </c>
      <c r="DC1563" t="s">
        <v>136</v>
      </c>
      <c r="DD1563" t="s">
        <v>114</v>
      </c>
      <c r="DE1563" t="s">
        <v>5698</v>
      </c>
      <c r="DF1563" t="s">
        <v>3175</v>
      </c>
      <c r="DH1563" t="s">
        <v>583</v>
      </c>
      <c r="DI1563" t="s">
        <v>6249</v>
      </c>
    </row>
    <row r="1564" spans="1:113" ht="15" customHeight="1" x14ac:dyDescent="0.25">
      <c r="A1564" t="s">
        <v>18324</v>
      </c>
      <c r="B1564" t="s">
        <v>152</v>
      </c>
      <c r="C1564" s="1">
        <v>45141.384351620371</v>
      </c>
      <c r="D1564" s="1">
        <v>45209</v>
      </c>
      <c r="E1564" t="s">
        <v>114</v>
      </c>
      <c r="F1564" t="s">
        <v>11361</v>
      </c>
      <c r="G1564" t="str">
        <f>"51-6011.00"</f>
        <v>51-6011.00</v>
      </c>
      <c r="H1564" t="s">
        <v>2015</v>
      </c>
      <c r="I1564">
        <v>72</v>
      </c>
      <c r="J1564">
        <v>72</v>
      </c>
      <c r="K1564" s="1">
        <v>45231</v>
      </c>
      <c r="L1564" s="1">
        <v>45535</v>
      </c>
      <c r="M1564" s="1">
        <v>45231</v>
      </c>
      <c r="N1564" s="1">
        <v>45535</v>
      </c>
      <c r="O1564" t="s">
        <v>116</v>
      </c>
      <c r="P1564" t="s">
        <v>11362</v>
      </c>
      <c r="R1564" t="s">
        <v>11363</v>
      </c>
      <c r="T1564" t="s">
        <v>139</v>
      </c>
      <c r="U1564" t="s">
        <v>140</v>
      </c>
      <c r="V1564" s="8" t="str">
        <f>"33147"</f>
        <v>33147</v>
      </c>
      <c r="W1564" t="s">
        <v>118</v>
      </c>
      <c r="Y1564" s="10">
        <v>13057606515</v>
      </c>
      <c r="AA1564">
        <v>81232</v>
      </c>
      <c r="AB1564" t="s">
        <v>11364</v>
      </c>
      <c r="AC1564" t="s">
        <v>11365</v>
      </c>
      <c r="AE1564" t="s">
        <v>11366</v>
      </c>
      <c r="AF1564" t="s">
        <v>11363</v>
      </c>
      <c r="AH1564" t="s">
        <v>139</v>
      </c>
      <c r="AI1564" t="s">
        <v>140</v>
      </c>
      <c r="AJ1564" s="8" t="str">
        <f>"33147"</f>
        <v>33147</v>
      </c>
      <c r="AK1564" t="s">
        <v>118</v>
      </c>
      <c r="AM1564" s="10">
        <v>13057606515</v>
      </c>
      <c r="AO1564" t="s">
        <v>11367</v>
      </c>
      <c r="AP1564" t="s">
        <v>121</v>
      </c>
      <c r="AQ1564" t="s">
        <v>1122</v>
      </c>
      <c r="AR1564" t="s">
        <v>1123</v>
      </c>
      <c r="AS1564" t="s">
        <v>1124</v>
      </c>
      <c r="AT1564" t="s">
        <v>1125</v>
      </c>
      <c r="AU1564" t="s">
        <v>1126</v>
      </c>
      <c r="AV1564" t="s">
        <v>139</v>
      </c>
      <c r="AW1564" t="s">
        <v>140</v>
      </c>
      <c r="AX1564" s="8" t="str">
        <f>"33186"</f>
        <v>33186</v>
      </c>
      <c r="AY1564" t="s">
        <v>118</v>
      </c>
      <c r="BA1564" s="10">
        <v>13056706767</v>
      </c>
      <c r="BC1564" t="s">
        <v>1127</v>
      </c>
      <c r="BD1564" t="s">
        <v>1128</v>
      </c>
      <c r="BE1564" t="s">
        <v>140</v>
      </c>
      <c r="BF1564" t="s">
        <v>1129</v>
      </c>
      <c r="BG1564" t="s">
        <v>140</v>
      </c>
      <c r="BH1564" s="1">
        <v>45130.833333333336</v>
      </c>
      <c r="BI1564">
        <v>56</v>
      </c>
      <c r="BJ1564">
        <v>8</v>
      </c>
      <c r="BK1564">
        <v>8</v>
      </c>
      <c r="BL1564">
        <v>8</v>
      </c>
      <c r="BM1564">
        <v>8</v>
      </c>
      <c r="BN1564">
        <v>8</v>
      </c>
      <c r="BO1564">
        <v>8</v>
      </c>
      <c r="BP1564">
        <v>8</v>
      </c>
      <c r="BQ1564" t="str">
        <f>"8:00 AM"</f>
        <v>8:00 AM</v>
      </c>
      <c r="BR1564" t="str">
        <f>"4:30 PM"</f>
        <v>4:30 PM</v>
      </c>
      <c r="BS1564" t="s">
        <v>131</v>
      </c>
      <c r="BT1564">
        <v>0</v>
      </c>
      <c r="BU1564">
        <v>0</v>
      </c>
      <c r="BV1564" t="s">
        <v>114</v>
      </c>
      <c r="BX1564" t="s">
        <v>132</v>
      </c>
      <c r="BY1564" t="s">
        <v>18325</v>
      </c>
      <c r="CA1564" t="s">
        <v>18326</v>
      </c>
      <c r="CB1564" t="s">
        <v>140</v>
      </c>
      <c r="CC1564" s="8" t="str">
        <f>"33844"</f>
        <v>33844</v>
      </c>
      <c r="CD1564" t="s">
        <v>938</v>
      </c>
      <c r="CE1564" t="s">
        <v>1921</v>
      </c>
      <c r="CF1564" s="12">
        <v>12.45</v>
      </c>
      <c r="CG1564" s="12">
        <v>14.75</v>
      </c>
      <c r="CH1564" s="12">
        <v>18.68</v>
      </c>
      <c r="CI1564" s="12">
        <v>22.13</v>
      </c>
      <c r="CJ1564" t="s">
        <v>135</v>
      </c>
      <c r="CL1564" t="s">
        <v>18327</v>
      </c>
      <c r="CO1564" t="s">
        <v>132</v>
      </c>
      <c r="CP1564" t="s">
        <v>136</v>
      </c>
      <c r="CQ1564" t="s">
        <v>136</v>
      </c>
      <c r="CR1564" t="s">
        <v>136</v>
      </c>
      <c r="CS1564" t="s">
        <v>136</v>
      </c>
      <c r="CT1564" t="s">
        <v>136</v>
      </c>
      <c r="CU1564" t="s">
        <v>136</v>
      </c>
      <c r="CV1564" s="2" t="s">
        <v>18328</v>
      </c>
      <c r="CW1564" s="10" t="str">
        <f>"+13057606515"</f>
        <v>+13057606515</v>
      </c>
      <c r="CX1564" t="s">
        <v>11367</v>
      </c>
      <c r="CY1564" t="s">
        <v>132</v>
      </c>
      <c r="CZ1564" t="s">
        <v>137</v>
      </c>
      <c r="DA1564" t="s">
        <v>114</v>
      </c>
      <c r="DB1564" t="s">
        <v>136</v>
      </c>
      <c r="DC1564" t="s">
        <v>136</v>
      </c>
      <c r="DD1564" t="s">
        <v>114</v>
      </c>
    </row>
    <row r="1565" spans="1:113" ht="15" customHeight="1" x14ac:dyDescent="0.25">
      <c r="A1565" t="s">
        <v>13188</v>
      </c>
      <c r="B1565" t="s">
        <v>152</v>
      </c>
      <c r="C1565" s="1">
        <v>45141.344365740741</v>
      </c>
      <c r="D1565" s="1">
        <v>45209</v>
      </c>
      <c r="E1565" t="s">
        <v>136</v>
      </c>
      <c r="F1565" t="s">
        <v>13189</v>
      </c>
      <c r="G1565" t="str">
        <f>"35-3031.00"</f>
        <v>35-3031.00</v>
      </c>
      <c r="H1565" t="s">
        <v>347</v>
      </c>
      <c r="I1565">
        <v>9</v>
      </c>
      <c r="J1565">
        <v>9</v>
      </c>
      <c r="K1565" s="1">
        <v>45231</v>
      </c>
      <c r="L1565" s="1">
        <v>45412</v>
      </c>
      <c r="M1565" s="1">
        <v>45231</v>
      </c>
      <c r="N1565" s="1">
        <v>45412</v>
      </c>
      <c r="O1565" t="s">
        <v>116</v>
      </c>
      <c r="P1565" t="s">
        <v>13190</v>
      </c>
      <c r="Q1565" t="s">
        <v>13191</v>
      </c>
      <c r="R1565" t="s">
        <v>13192</v>
      </c>
      <c r="T1565" t="s">
        <v>1614</v>
      </c>
      <c r="U1565" t="s">
        <v>140</v>
      </c>
      <c r="V1565" s="8" t="str">
        <f>"34110"</f>
        <v>34110</v>
      </c>
      <c r="W1565" t="s">
        <v>118</v>
      </c>
      <c r="Y1565" s="10">
        <v>12395979898</v>
      </c>
      <c r="AA1565">
        <v>713910</v>
      </c>
      <c r="AB1565" t="s">
        <v>13193</v>
      </c>
      <c r="AC1565" t="s">
        <v>13194</v>
      </c>
      <c r="AE1565" t="s">
        <v>13195</v>
      </c>
      <c r="AF1565" t="s">
        <v>13192</v>
      </c>
      <c r="AH1565" t="s">
        <v>1614</v>
      </c>
      <c r="AI1565" t="s">
        <v>140</v>
      </c>
      <c r="AJ1565" s="8" t="str">
        <f>"34110"</f>
        <v>34110</v>
      </c>
      <c r="AK1565" t="s">
        <v>118</v>
      </c>
      <c r="AM1565" s="10">
        <v>12395979898</v>
      </c>
      <c r="AO1565" t="s">
        <v>13196</v>
      </c>
      <c r="AP1565" t="s">
        <v>121</v>
      </c>
      <c r="AQ1565" t="s">
        <v>276</v>
      </c>
      <c r="AR1565" t="s">
        <v>277</v>
      </c>
      <c r="AS1565" t="s">
        <v>278</v>
      </c>
      <c r="AT1565" t="s">
        <v>279</v>
      </c>
      <c r="AU1565" t="s">
        <v>280</v>
      </c>
      <c r="AV1565" t="s">
        <v>281</v>
      </c>
      <c r="AW1565" t="s">
        <v>222</v>
      </c>
      <c r="AX1565" s="8" t="str">
        <f>"01701"</f>
        <v>01701</v>
      </c>
      <c r="AY1565" t="s">
        <v>118</v>
      </c>
      <c r="BA1565" s="10">
        <v>16179399444</v>
      </c>
      <c r="BC1565" t="s">
        <v>282</v>
      </c>
      <c r="BD1565" t="s">
        <v>283</v>
      </c>
      <c r="BE1565" t="s">
        <v>222</v>
      </c>
      <c r="BF1565" t="s">
        <v>284</v>
      </c>
      <c r="BG1565" t="s">
        <v>140</v>
      </c>
      <c r="BH1565" s="1">
        <v>45140.833333333336</v>
      </c>
      <c r="BI1565">
        <v>40</v>
      </c>
      <c r="BJ1565">
        <v>0</v>
      </c>
      <c r="BK1565">
        <v>8</v>
      </c>
      <c r="BL1565">
        <v>8</v>
      </c>
      <c r="BM1565">
        <v>8</v>
      </c>
      <c r="BN1565">
        <v>8</v>
      </c>
      <c r="BO1565">
        <v>8</v>
      </c>
      <c r="BP1565">
        <v>0</v>
      </c>
      <c r="BQ1565" t="str">
        <f>"9:00 AM"</f>
        <v>9:00 AM</v>
      </c>
      <c r="BR1565" t="str">
        <f>"5:00 PM"</f>
        <v>5:00 PM</v>
      </c>
      <c r="BS1565" t="s">
        <v>131</v>
      </c>
      <c r="BT1565">
        <v>0</v>
      </c>
      <c r="BU1565">
        <v>3</v>
      </c>
      <c r="BV1565" t="s">
        <v>114</v>
      </c>
      <c r="BX1565" s="2" t="s">
        <v>13197</v>
      </c>
      <c r="BY1565" t="s">
        <v>13192</v>
      </c>
      <c r="CA1565" t="s">
        <v>1614</v>
      </c>
      <c r="CB1565" t="s">
        <v>140</v>
      </c>
      <c r="CC1565" s="8" t="str">
        <f>"34110"</f>
        <v>34110</v>
      </c>
      <c r="CD1565" t="s">
        <v>1619</v>
      </c>
      <c r="CE1565" t="s">
        <v>1620</v>
      </c>
      <c r="CF1565" s="12">
        <v>20</v>
      </c>
      <c r="CG1565" s="12">
        <v>24</v>
      </c>
      <c r="CH1565" s="12">
        <v>30</v>
      </c>
      <c r="CI1565" s="12">
        <v>36</v>
      </c>
      <c r="CJ1565" t="s">
        <v>135</v>
      </c>
      <c r="CK1565" t="s">
        <v>13198</v>
      </c>
      <c r="CL1565" t="s">
        <v>13199</v>
      </c>
      <c r="CO1565" t="s">
        <v>132</v>
      </c>
      <c r="CP1565" t="s">
        <v>114</v>
      </c>
      <c r="CQ1565" t="s">
        <v>114</v>
      </c>
      <c r="CR1565" t="s">
        <v>136</v>
      </c>
      <c r="CS1565" t="s">
        <v>136</v>
      </c>
      <c r="CT1565" t="s">
        <v>136</v>
      </c>
      <c r="CU1565" t="s">
        <v>114</v>
      </c>
      <c r="CV1565" s="2" t="s">
        <v>13200</v>
      </c>
      <c r="CW1565" s="10" t="str">
        <f>"+12395979898"</f>
        <v>+12395979898</v>
      </c>
      <c r="CX1565" t="s">
        <v>13196</v>
      </c>
      <c r="CY1565" t="s">
        <v>132</v>
      </c>
      <c r="CZ1565" t="s">
        <v>137</v>
      </c>
      <c r="DA1565" t="s">
        <v>114</v>
      </c>
      <c r="DB1565" t="s">
        <v>114</v>
      </c>
      <c r="DC1565" t="s">
        <v>136</v>
      </c>
      <c r="DD1565" t="s">
        <v>114</v>
      </c>
    </row>
    <row r="1566" spans="1:113" ht="15" customHeight="1" x14ac:dyDescent="0.25">
      <c r="A1566" t="s">
        <v>22795</v>
      </c>
      <c r="B1566" t="s">
        <v>152</v>
      </c>
      <c r="C1566" s="1">
        <v>45141.048270254629</v>
      </c>
      <c r="D1566" s="1">
        <v>45209</v>
      </c>
      <c r="E1566" t="s">
        <v>114</v>
      </c>
      <c r="F1566" t="s">
        <v>5535</v>
      </c>
      <c r="G1566" t="str">
        <f>"37-2012.00"</f>
        <v>37-2012.00</v>
      </c>
      <c r="H1566" t="s">
        <v>205</v>
      </c>
      <c r="I1566">
        <v>2</v>
      </c>
      <c r="J1566">
        <v>2</v>
      </c>
      <c r="K1566" s="1">
        <v>45231</v>
      </c>
      <c r="L1566" s="1">
        <v>45404</v>
      </c>
      <c r="M1566" s="1">
        <v>45231</v>
      </c>
      <c r="N1566" s="1">
        <v>45404</v>
      </c>
      <c r="O1566" t="s">
        <v>116</v>
      </c>
      <c r="P1566" t="s">
        <v>17223</v>
      </c>
      <c r="Q1566" t="s">
        <v>17224</v>
      </c>
      <c r="R1566" t="s">
        <v>12087</v>
      </c>
      <c r="T1566" t="s">
        <v>12088</v>
      </c>
      <c r="U1566" t="s">
        <v>188</v>
      </c>
      <c r="V1566" s="8" t="str">
        <f>"80482"</f>
        <v>80482</v>
      </c>
      <c r="W1566" t="s">
        <v>118</v>
      </c>
      <c r="Y1566" s="10">
        <v>19707261512</v>
      </c>
      <c r="AA1566">
        <v>72111</v>
      </c>
      <c r="AB1566" t="s">
        <v>17225</v>
      </c>
      <c r="AC1566" t="s">
        <v>9735</v>
      </c>
      <c r="AE1566" t="s">
        <v>17226</v>
      </c>
      <c r="AF1566" t="s">
        <v>12087</v>
      </c>
      <c r="AH1566" t="s">
        <v>12088</v>
      </c>
      <c r="AI1566" t="s">
        <v>188</v>
      </c>
      <c r="AJ1566" s="8" t="str">
        <f>"80482"</f>
        <v>80482</v>
      </c>
      <c r="AK1566" t="s">
        <v>118</v>
      </c>
      <c r="AM1566" s="10">
        <v>19707261536</v>
      </c>
      <c r="AO1566" t="s">
        <v>17227</v>
      </c>
      <c r="AP1566" t="s">
        <v>121</v>
      </c>
      <c r="AQ1566" t="s">
        <v>1675</v>
      </c>
      <c r="AR1566" t="s">
        <v>1676</v>
      </c>
      <c r="AS1566" t="s">
        <v>1677</v>
      </c>
      <c r="AT1566" t="s">
        <v>1678</v>
      </c>
      <c r="AU1566" t="s">
        <v>296</v>
      </c>
      <c r="AV1566" t="s">
        <v>1679</v>
      </c>
      <c r="AW1566" t="s">
        <v>402</v>
      </c>
      <c r="AX1566" s="8" t="str">
        <f>"91361"</f>
        <v>91361</v>
      </c>
      <c r="AY1566" t="s">
        <v>118</v>
      </c>
      <c r="BA1566" s="10">
        <v>18052611393</v>
      </c>
      <c r="BC1566" t="s">
        <v>1680</v>
      </c>
      <c r="BD1566" t="s">
        <v>1681</v>
      </c>
      <c r="BE1566" t="s">
        <v>140</v>
      </c>
      <c r="BF1566" t="s">
        <v>146</v>
      </c>
      <c r="BG1566" t="s">
        <v>188</v>
      </c>
      <c r="BH1566" s="1">
        <v>45127.833333333336</v>
      </c>
      <c r="BI1566">
        <v>35</v>
      </c>
      <c r="BJ1566">
        <v>5</v>
      </c>
      <c r="BK1566">
        <v>5</v>
      </c>
      <c r="BL1566">
        <v>5</v>
      </c>
      <c r="BM1566">
        <v>5</v>
      </c>
      <c r="BN1566">
        <v>5</v>
      </c>
      <c r="BO1566">
        <v>5</v>
      </c>
      <c r="BP1566">
        <v>5</v>
      </c>
      <c r="BQ1566" t="str">
        <f>"9:00 AM"</f>
        <v>9:00 AM</v>
      </c>
      <c r="BR1566" t="str">
        <f>"4:00 PM"</f>
        <v>4:00 PM</v>
      </c>
      <c r="BS1566" t="s">
        <v>131</v>
      </c>
      <c r="BT1566">
        <v>0</v>
      </c>
      <c r="BU1566">
        <v>3</v>
      </c>
      <c r="BV1566" t="s">
        <v>114</v>
      </c>
      <c r="BX1566" s="2" t="s">
        <v>22796</v>
      </c>
      <c r="BY1566" t="s">
        <v>12087</v>
      </c>
      <c r="CA1566" t="s">
        <v>12088</v>
      </c>
      <c r="CB1566" t="s">
        <v>188</v>
      </c>
      <c r="CC1566" s="8" t="str">
        <f>"80482"</f>
        <v>80482</v>
      </c>
      <c r="CD1566" t="s">
        <v>5722</v>
      </c>
      <c r="CE1566" t="s">
        <v>1038</v>
      </c>
      <c r="CF1566" s="12">
        <v>18</v>
      </c>
      <c r="CG1566" s="12">
        <v>28.07</v>
      </c>
      <c r="CH1566" s="12">
        <v>27</v>
      </c>
      <c r="CI1566" s="12">
        <v>42.11</v>
      </c>
      <c r="CJ1566" t="s">
        <v>135</v>
      </c>
      <c r="CK1566" t="s">
        <v>22797</v>
      </c>
      <c r="CL1566" t="s">
        <v>22798</v>
      </c>
      <c r="CO1566" t="s">
        <v>132</v>
      </c>
      <c r="CP1566" t="s">
        <v>136</v>
      </c>
      <c r="CQ1566" t="s">
        <v>136</v>
      </c>
      <c r="CR1566" t="s">
        <v>136</v>
      </c>
      <c r="CS1566" t="s">
        <v>136</v>
      </c>
      <c r="CT1566" t="s">
        <v>136</v>
      </c>
      <c r="CU1566" t="s">
        <v>136</v>
      </c>
      <c r="CV1566" s="2" t="s">
        <v>22799</v>
      </c>
      <c r="CW1566" s="10" t="str">
        <f>"+19707261536"</f>
        <v>+19707261536</v>
      </c>
      <c r="CX1566" t="s">
        <v>132</v>
      </c>
      <c r="CY1566" t="s">
        <v>17232</v>
      </c>
      <c r="CZ1566" t="s">
        <v>137</v>
      </c>
      <c r="DA1566" t="s">
        <v>114</v>
      </c>
      <c r="DB1566" t="s">
        <v>114</v>
      </c>
      <c r="DC1566" t="s">
        <v>136</v>
      </c>
      <c r="DD1566" t="s">
        <v>114</v>
      </c>
    </row>
    <row r="1567" spans="1:113" ht="15" customHeight="1" x14ac:dyDescent="0.25">
      <c r="A1567" t="s">
        <v>17222</v>
      </c>
      <c r="B1567" t="s">
        <v>152</v>
      </c>
      <c r="C1567" s="1">
        <v>45141.043932870372</v>
      </c>
      <c r="D1567" s="1">
        <v>45209</v>
      </c>
      <c r="E1567" t="s">
        <v>114</v>
      </c>
      <c r="F1567" t="s">
        <v>293</v>
      </c>
      <c r="G1567" t="str">
        <f>"37-2012.00"</f>
        <v>37-2012.00</v>
      </c>
      <c r="H1567" t="s">
        <v>205</v>
      </c>
      <c r="I1567">
        <v>13</v>
      </c>
      <c r="J1567">
        <v>13</v>
      </c>
      <c r="K1567" s="1">
        <v>45231</v>
      </c>
      <c r="L1567" s="1">
        <v>45404</v>
      </c>
      <c r="M1567" s="1">
        <v>45231</v>
      </c>
      <c r="N1567" s="1">
        <v>45404</v>
      </c>
      <c r="O1567" t="s">
        <v>116</v>
      </c>
      <c r="P1567" t="s">
        <v>17223</v>
      </c>
      <c r="Q1567" t="s">
        <v>17224</v>
      </c>
      <c r="R1567" t="s">
        <v>12087</v>
      </c>
      <c r="T1567" t="s">
        <v>12088</v>
      </c>
      <c r="U1567" t="s">
        <v>188</v>
      </c>
      <c r="V1567" s="8" t="str">
        <f>"80482"</f>
        <v>80482</v>
      </c>
      <c r="W1567" t="s">
        <v>118</v>
      </c>
      <c r="Y1567" s="10">
        <v>19707261512</v>
      </c>
      <c r="AA1567">
        <v>72111</v>
      </c>
      <c r="AB1567" t="s">
        <v>17225</v>
      </c>
      <c r="AC1567" t="s">
        <v>9735</v>
      </c>
      <c r="AE1567" t="s">
        <v>17226</v>
      </c>
      <c r="AF1567" t="s">
        <v>12087</v>
      </c>
      <c r="AH1567" t="s">
        <v>12088</v>
      </c>
      <c r="AI1567" t="s">
        <v>188</v>
      </c>
      <c r="AJ1567" s="8" t="str">
        <f>"80482"</f>
        <v>80482</v>
      </c>
      <c r="AK1567" t="s">
        <v>118</v>
      </c>
      <c r="AM1567" s="10">
        <v>19707261536</v>
      </c>
      <c r="AO1567" t="s">
        <v>17227</v>
      </c>
      <c r="AP1567" t="s">
        <v>121</v>
      </c>
      <c r="AQ1567" t="s">
        <v>1675</v>
      </c>
      <c r="AR1567" t="s">
        <v>1676</v>
      </c>
      <c r="AS1567" t="s">
        <v>1677</v>
      </c>
      <c r="AT1567" t="s">
        <v>1678</v>
      </c>
      <c r="AU1567" t="s">
        <v>296</v>
      </c>
      <c r="AV1567" t="s">
        <v>1679</v>
      </c>
      <c r="AW1567" t="s">
        <v>402</v>
      </c>
      <c r="AX1567" s="8" t="str">
        <f>"91361"</f>
        <v>91361</v>
      </c>
      <c r="AY1567" t="s">
        <v>118</v>
      </c>
      <c r="BA1567" s="10">
        <v>18052611393</v>
      </c>
      <c r="BC1567" t="s">
        <v>1680</v>
      </c>
      <c r="BD1567" t="s">
        <v>1681</v>
      </c>
      <c r="BE1567" t="s">
        <v>140</v>
      </c>
      <c r="BF1567" t="s">
        <v>146</v>
      </c>
      <c r="BG1567" t="s">
        <v>188</v>
      </c>
      <c r="BH1567" s="1">
        <v>45127.833333333336</v>
      </c>
      <c r="BI1567">
        <v>35</v>
      </c>
      <c r="BJ1567">
        <v>5</v>
      </c>
      <c r="BK1567">
        <v>5</v>
      </c>
      <c r="BL1567">
        <v>5</v>
      </c>
      <c r="BM1567">
        <v>5</v>
      </c>
      <c r="BN1567">
        <v>5</v>
      </c>
      <c r="BO1567">
        <v>5</v>
      </c>
      <c r="BP1567">
        <v>5</v>
      </c>
      <c r="BQ1567" t="str">
        <f>"9:00 AM"</f>
        <v>9:00 AM</v>
      </c>
      <c r="BR1567" t="str">
        <f>"4:00 PM"</f>
        <v>4:00 PM</v>
      </c>
      <c r="BS1567" t="s">
        <v>131</v>
      </c>
      <c r="BT1567">
        <v>0</v>
      </c>
      <c r="BU1567">
        <v>6</v>
      </c>
      <c r="BV1567" t="s">
        <v>114</v>
      </c>
      <c r="BX1567" s="2" t="s">
        <v>17228</v>
      </c>
      <c r="BY1567" t="s">
        <v>12087</v>
      </c>
      <c r="CA1567" t="s">
        <v>12088</v>
      </c>
      <c r="CB1567" t="s">
        <v>188</v>
      </c>
      <c r="CC1567" s="8" t="str">
        <f>"80482"</f>
        <v>80482</v>
      </c>
      <c r="CD1567" t="s">
        <v>5722</v>
      </c>
      <c r="CE1567" t="s">
        <v>1038</v>
      </c>
      <c r="CF1567" s="12">
        <v>18</v>
      </c>
      <c r="CG1567" s="12">
        <v>28.07</v>
      </c>
      <c r="CH1567" s="12">
        <v>27</v>
      </c>
      <c r="CI1567" s="12">
        <v>42.11</v>
      </c>
      <c r="CJ1567" t="s">
        <v>135</v>
      </c>
      <c r="CK1567" t="s">
        <v>17229</v>
      </c>
      <c r="CL1567" t="s">
        <v>17230</v>
      </c>
      <c r="CO1567" t="s">
        <v>132</v>
      </c>
      <c r="CP1567" t="s">
        <v>136</v>
      </c>
      <c r="CQ1567" t="s">
        <v>136</v>
      </c>
      <c r="CR1567" t="s">
        <v>136</v>
      </c>
      <c r="CS1567" t="s">
        <v>136</v>
      </c>
      <c r="CT1567" t="s">
        <v>136</v>
      </c>
      <c r="CU1567" t="s">
        <v>136</v>
      </c>
      <c r="CV1567" s="2" t="s">
        <v>17231</v>
      </c>
      <c r="CW1567" s="10" t="str">
        <f>"+19707261536"</f>
        <v>+19707261536</v>
      </c>
      <c r="CX1567" t="s">
        <v>132</v>
      </c>
      <c r="CY1567" t="s">
        <v>17232</v>
      </c>
      <c r="CZ1567" t="s">
        <v>137</v>
      </c>
      <c r="DA1567" t="s">
        <v>114</v>
      </c>
      <c r="DB1567" t="s">
        <v>114</v>
      </c>
      <c r="DC1567" t="s">
        <v>136</v>
      </c>
      <c r="DD1567" t="s">
        <v>114</v>
      </c>
    </row>
    <row r="1568" spans="1:113" ht="15" customHeight="1" x14ac:dyDescent="0.25">
      <c r="A1568" t="s">
        <v>921</v>
      </c>
      <c r="B1568" t="s">
        <v>152</v>
      </c>
      <c r="C1568" s="1">
        <v>45140.684637500002</v>
      </c>
      <c r="D1568" s="1">
        <v>45209</v>
      </c>
      <c r="E1568" t="s">
        <v>114</v>
      </c>
      <c r="F1568" t="s">
        <v>922</v>
      </c>
      <c r="G1568" t="str">
        <f>"53-3032.00"</f>
        <v>53-3032.00</v>
      </c>
      <c r="H1568" t="s">
        <v>736</v>
      </c>
      <c r="I1568">
        <v>2</v>
      </c>
      <c r="J1568">
        <v>2</v>
      </c>
      <c r="K1568" s="1">
        <v>45215</v>
      </c>
      <c r="L1568" s="1">
        <v>45291</v>
      </c>
      <c r="M1568" s="1">
        <v>45215</v>
      </c>
      <c r="N1568" s="1">
        <v>45291</v>
      </c>
      <c r="O1568" t="s">
        <v>116</v>
      </c>
      <c r="P1568" t="s">
        <v>923</v>
      </c>
      <c r="R1568" t="s">
        <v>924</v>
      </c>
      <c r="T1568" t="s">
        <v>925</v>
      </c>
      <c r="U1568" t="s">
        <v>169</v>
      </c>
      <c r="V1568" s="8" t="str">
        <f>"56716"</f>
        <v>56716</v>
      </c>
      <c r="W1568" t="s">
        <v>118</v>
      </c>
      <c r="Y1568" s="10">
        <v>12182892058</v>
      </c>
      <c r="AA1568">
        <v>115115</v>
      </c>
      <c r="AB1568" t="s">
        <v>926</v>
      </c>
      <c r="AC1568" t="s">
        <v>927</v>
      </c>
      <c r="AE1568" t="s">
        <v>629</v>
      </c>
      <c r="AF1568" t="s">
        <v>924</v>
      </c>
      <c r="AH1568" t="s">
        <v>925</v>
      </c>
      <c r="AI1568" t="s">
        <v>169</v>
      </c>
      <c r="AJ1568" s="8" t="str">
        <f>"56716"</f>
        <v>56716</v>
      </c>
      <c r="AK1568" t="s">
        <v>118</v>
      </c>
      <c r="AM1568" s="10">
        <v>12182892058</v>
      </c>
      <c r="AO1568" t="s">
        <v>928</v>
      </c>
      <c r="AP1568" t="s">
        <v>121</v>
      </c>
      <c r="AQ1568" t="s">
        <v>929</v>
      </c>
      <c r="AR1568" t="s">
        <v>930</v>
      </c>
      <c r="AS1568" t="s">
        <v>931</v>
      </c>
      <c r="AT1568" t="s">
        <v>932</v>
      </c>
      <c r="AU1568" t="s">
        <v>132</v>
      </c>
      <c r="AV1568" t="s">
        <v>933</v>
      </c>
      <c r="AW1568" t="s">
        <v>740</v>
      </c>
      <c r="AX1568" s="8" t="str">
        <f>"50010"</f>
        <v>50010</v>
      </c>
      <c r="AY1568" t="s">
        <v>118</v>
      </c>
      <c r="BA1568" s="10">
        <v>15152324444</v>
      </c>
      <c r="BB1568">
        <v>0</v>
      </c>
      <c r="BC1568" t="s">
        <v>934</v>
      </c>
      <c r="BD1568" t="s">
        <v>935</v>
      </c>
      <c r="BE1568" t="s">
        <v>740</v>
      </c>
      <c r="BF1568" t="s">
        <v>172</v>
      </c>
      <c r="BG1568" t="s">
        <v>169</v>
      </c>
      <c r="BH1568" s="1">
        <v>45139.833333333336</v>
      </c>
      <c r="BI1568">
        <v>40</v>
      </c>
      <c r="BJ1568">
        <v>0</v>
      </c>
      <c r="BK1568">
        <v>7</v>
      </c>
      <c r="BL1568">
        <v>7</v>
      </c>
      <c r="BM1568">
        <v>7</v>
      </c>
      <c r="BN1568">
        <v>7</v>
      </c>
      <c r="BO1568">
        <v>7</v>
      </c>
      <c r="BP1568">
        <v>5</v>
      </c>
      <c r="BQ1568" t="str">
        <f>"5:00 AM"</f>
        <v>5:00 AM</v>
      </c>
      <c r="BR1568" t="str">
        <f>"7:00 PM"</f>
        <v>7:00 PM</v>
      </c>
      <c r="BS1568" t="s">
        <v>131</v>
      </c>
      <c r="BT1568">
        <v>0</v>
      </c>
      <c r="BU1568">
        <v>12</v>
      </c>
      <c r="BV1568" t="s">
        <v>114</v>
      </c>
      <c r="BX1568" s="2" t="s">
        <v>936</v>
      </c>
      <c r="BY1568" t="s">
        <v>937</v>
      </c>
      <c r="CA1568" t="s">
        <v>925</v>
      </c>
      <c r="CB1568" t="s">
        <v>169</v>
      </c>
      <c r="CC1568" s="8" t="str">
        <f>"56716"</f>
        <v>56716</v>
      </c>
      <c r="CD1568" t="s">
        <v>938</v>
      </c>
      <c r="CE1568" t="s">
        <v>939</v>
      </c>
      <c r="CF1568" s="12">
        <v>26.93</v>
      </c>
      <c r="CH1568" s="12">
        <v>40.4</v>
      </c>
      <c r="CJ1568" t="s">
        <v>135</v>
      </c>
      <c r="CK1568" t="s">
        <v>940</v>
      </c>
      <c r="CL1568" t="s">
        <v>941</v>
      </c>
      <c r="CO1568" t="s">
        <v>132</v>
      </c>
      <c r="CP1568" t="s">
        <v>136</v>
      </c>
      <c r="CQ1568" t="s">
        <v>136</v>
      </c>
      <c r="CR1568" t="s">
        <v>136</v>
      </c>
      <c r="CS1568" t="s">
        <v>136</v>
      </c>
      <c r="CT1568" t="s">
        <v>136</v>
      </c>
      <c r="CU1568" t="s">
        <v>136</v>
      </c>
      <c r="CV1568" t="s">
        <v>942</v>
      </c>
      <c r="CW1568" s="10" t="str">
        <f>"+12182892058"</f>
        <v>+12182892058</v>
      </c>
      <c r="CX1568" t="s">
        <v>928</v>
      </c>
      <c r="CY1568" t="s">
        <v>132</v>
      </c>
      <c r="CZ1568" t="s">
        <v>137</v>
      </c>
      <c r="DA1568" t="s">
        <v>114</v>
      </c>
      <c r="DB1568" t="s">
        <v>136</v>
      </c>
      <c r="DC1568" t="s">
        <v>136</v>
      </c>
      <c r="DD1568" t="s">
        <v>114</v>
      </c>
    </row>
    <row r="1569" spans="1:113" ht="15" customHeight="1" x14ac:dyDescent="0.25">
      <c r="A1569" t="s">
        <v>10596</v>
      </c>
      <c r="B1569" t="s">
        <v>152</v>
      </c>
      <c r="C1569" s="1">
        <v>45139.781133912038</v>
      </c>
      <c r="D1569" s="1">
        <v>45209</v>
      </c>
      <c r="E1569" t="s">
        <v>114</v>
      </c>
      <c r="F1569" t="s">
        <v>1595</v>
      </c>
      <c r="G1569" t="str">
        <f>"37-3011.00"</f>
        <v>37-3011.00</v>
      </c>
      <c r="H1569" t="s">
        <v>429</v>
      </c>
      <c r="I1569">
        <v>15</v>
      </c>
      <c r="J1569">
        <v>15</v>
      </c>
      <c r="K1569" s="1">
        <v>45214</v>
      </c>
      <c r="L1569" s="1">
        <v>45260</v>
      </c>
      <c r="M1569" s="1">
        <v>45214</v>
      </c>
      <c r="N1569" s="1">
        <v>45260</v>
      </c>
      <c r="O1569" t="s">
        <v>116</v>
      </c>
      <c r="P1569" t="s">
        <v>10597</v>
      </c>
      <c r="R1569" t="s">
        <v>10598</v>
      </c>
      <c r="T1569" t="s">
        <v>1854</v>
      </c>
      <c r="U1569" t="s">
        <v>984</v>
      </c>
      <c r="V1569" s="8" t="str">
        <f>"63366"</f>
        <v>63366</v>
      </c>
      <c r="W1569" t="s">
        <v>118</v>
      </c>
      <c r="Y1569" s="10">
        <v>16363285886</v>
      </c>
      <c r="AA1569">
        <v>56173</v>
      </c>
      <c r="AB1569" t="s">
        <v>10599</v>
      </c>
      <c r="AC1569" t="s">
        <v>4686</v>
      </c>
      <c r="AE1569" t="s">
        <v>629</v>
      </c>
      <c r="AF1569" t="s">
        <v>10598</v>
      </c>
      <c r="AH1569" t="s">
        <v>1854</v>
      </c>
      <c r="AI1569" t="s">
        <v>984</v>
      </c>
      <c r="AJ1569" s="8" t="str">
        <f>"63366"</f>
        <v>63366</v>
      </c>
      <c r="AK1569" t="s">
        <v>118</v>
      </c>
      <c r="AM1569" s="10">
        <v>16363285886</v>
      </c>
      <c r="AO1569" t="s">
        <v>10600</v>
      </c>
      <c r="AP1569" t="s">
        <v>248</v>
      </c>
      <c r="AQ1569" t="s">
        <v>960</v>
      </c>
      <c r="AR1569" t="s">
        <v>961</v>
      </c>
      <c r="AS1569" t="s">
        <v>962</v>
      </c>
      <c r="AT1569" t="s">
        <v>963</v>
      </c>
      <c r="AU1569" t="s">
        <v>296</v>
      </c>
      <c r="AV1569" t="s">
        <v>964</v>
      </c>
      <c r="AW1569" t="s">
        <v>127</v>
      </c>
      <c r="AX1569" s="8" t="str">
        <f>"75033"</f>
        <v>75033</v>
      </c>
      <c r="AY1569" t="s">
        <v>118</v>
      </c>
      <c r="BA1569" s="10">
        <v>19727789690</v>
      </c>
      <c r="BC1569" t="s">
        <v>1951</v>
      </c>
      <c r="BD1569" t="s">
        <v>966</v>
      </c>
      <c r="BG1569" t="s">
        <v>984</v>
      </c>
      <c r="BH1569" s="1">
        <v>45138.833333333336</v>
      </c>
      <c r="BI1569">
        <v>48</v>
      </c>
      <c r="BJ1569">
        <v>0</v>
      </c>
      <c r="BK1569">
        <v>10</v>
      </c>
      <c r="BL1569">
        <v>10</v>
      </c>
      <c r="BM1569">
        <v>10</v>
      </c>
      <c r="BN1569">
        <v>10</v>
      </c>
      <c r="BO1569">
        <v>8</v>
      </c>
      <c r="BP1569">
        <v>0</v>
      </c>
      <c r="BQ1569" t="str">
        <f>"6:30 AM"</f>
        <v>6:30 AM</v>
      </c>
      <c r="BR1569" t="str">
        <f>"5:00 PM"</f>
        <v>5:00 PM</v>
      </c>
      <c r="BS1569" t="s">
        <v>131</v>
      </c>
      <c r="BT1569">
        <v>0</v>
      </c>
      <c r="BU1569">
        <v>0</v>
      </c>
      <c r="BV1569" t="s">
        <v>114</v>
      </c>
      <c r="BX1569" s="2" t="s">
        <v>10601</v>
      </c>
      <c r="BY1569" t="s">
        <v>10598</v>
      </c>
      <c r="CA1569" t="s">
        <v>1854</v>
      </c>
      <c r="CB1569" t="s">
        <v>984</v>
      </c>
      <c r="CC1569" s="8" t="str">
        <f>"63366"</f>
        <v>63366</v>
      </c>
      <c r="CD1569" t="s">
        <v>1855</v>
      </c>
      <c r="CE1569" t="s">
        <v>1856</v>
      </c>
      <c r="CF1569" s="12">
        <v>17</v>
      </c>
      <c r="CG1569" s="12">
        <v>17</v>
      </c>
      <c r="CH1569" s="12">
        <v>25.5</v>
      </c>
      <c r="CI1569" s="12">
        <v>25.5</v>
      </c>
      <c r="CJ1569" t="s">
        <v>135</v>
      </c>
      <c r="CK1569" t="s">
        <v>973</v>
      </c>
      <c r="CL1569" t="s">
        <v>10602</v>
      </c>
      <c r="CO1569" t="s">
        <v>132</v>
      </c>
      <c r="CP1569" t="s">
        <v>136</v>
      </c>
      <c r="CQ1569" t="s">
        <v>136</v>
      </c>
      <c r="CR1569" t="s">
        <v>136</v>
      </c>
      <c r="CS1569" t="s">
        <v>136</v>
      </c>
      <c r="CT1569" t="s">
        <v>136</v>
      </c>
      <c r="CU1569" t="s">
        <v>136</v>
      </c>
      <c r="CV1569" s="2" t="s">
        <v>10603</v>
      </c>
      <c r="CW1569" s="10" t="str">
        <f>"+16363285886"</f>
        <v>+16363285886</v>
      </c>
      <c r="CX1569" t="s">
        <v>132</v>
      </c>
      <c r="CY1569" t="s">
        <v>5346</v>
      </c>
      <c r="CZ1569" t="s">
        <v>137</v>
      </c>
      <c r="DA1569" t="s">
        <v>114</v>
      </c>
      <c r="DB1569" t="s">
        <v>136</v>
      </c>
      <c r="DC1569" t="s">
        <v>136</v>
      </c>
      <c r="DD1569" t="s">
        <v>114</v>
      </c>
    </row>
    <row r="1570" spans="1:113" ht="15" customHeight="1" x14ac:dyDescent="0.25">
      <c r="A1570" t="s">
        <v>6332</v>
      </c>
      <c r="B1570" t="s">
        <v>152</v>
      </c>
      <c r="C1570" s="1">
        <v>45139.483180324074</v>
      </c>
      <c r="D1570" s="1">
        <v>45209</v>
      </c>
      <c r="E1570" t="s">
        <v>114</v>
      </c>
      <c r="F1570" t="s">
        <v>6333</v>
      </c>
      <c r="G1570" t="str">
        <f>"45-4011.00"</f>
        <v>45-4011.00</v>
      </c>
      <c r="H1570" t="s">
        <v>842</v>
      </c>
      <c r="I1570">
        <v>165</v>
      </c>
      <c r="J1570">
        <v>165</v>
      </c>
      <c r="K1570" s="1">
        <v>45229</v>
      </c>
      <c r="L1570" s="1">
        <v>45412</v>
      </c>
      <c r="M1570" s="1">
        <v>45229</v>
      </c>
      <c r="N1570" s="1">
        <v>45412</v>
      </c>
      <c r="O1570" t="s">
        <v>238</v>
      </c>
      <c r="P1570" t="s">
        <v>6334</v>
      </c>
      <c r="R1570" t="s">
        <v>6335</v>
      </c>
      <c r="T1570" t="s">
        <v>6336</v>
      </c>
      <c r="U1570" t="s">
        <v>550</v>
      </c>
      <c r="V1570" s="8" t="str">
        <f>"30736"</f>
        <v>30736</v>
      </c>
      <c r="W1570" t="s">
        <v>118</v>
      </c>
      <c r="Y1570" s="10">
        <v>17069377116</v>
      </c>
      <c r="AA1570">
        <v>11531</v>
      </c>
      <c r="AB1570" t="s">
        <v>985</v>
      </c>
      <c r="AC1570" t="s">
        <v>4009</v>
      </c>
      <c r="AE1570" t="s">
        <v>987</v>
      </c>
      <c r="AF1570" t="s">
        <v>6335</v>
      </c>
      <c r="AH1570" t="s">
        <v>6336</v>
      </c>
      <c r="AI1570" t="s">
        <v>550</v>
      </c>
      <c r="AJ1570" s="8" t="str">
        <f>"30736"</f>
        <v>30736</v>
      </c>
      <c r="AK1570" t="s">
        <v>118</v>
      </c>
      <c r="AM1570" s="10">
        <v>17069377116</v>
      </c>
      <c r="AO1570" t="s">
        <v>6337</v>
      </c>
      <c r="AP1570" t="s">
        <v>248</v>
      </c>
      <c r="AQ1570" t="s">
        <v>1237</v>
      </c>
      <c r="AR1570" t="s">
        <v>763</v>
      </c>
      <c r="AT1570" t="s">
        <v>1032</v>
      </c>
      <c r="AU1570" t="s">
        <v>852</v>
      </c>
      <c r="AV1570" t="s">
        <v>1033</v>
      </c>
      <c r="AW1570" t="s">
        <v>854</v>
      </c>
      <c r="AX1570" s="8" t="str">
        <f>"83814"</f>
        <v>83814</v>
      </c>
      <c r="AY1570" t="s">
        <v>118</v>
      </c>
      <c r="BA1570" s="10">
        <v>12087772654</v>
      </c>
      <c r="BC1570" t="s">
        <v>1238</v>
      </c>
      <c r="BD1570" t="s">
        <v>856</v>
      </c>
      <c r="BG1570" t="s">
        <v>550</v>
      </c>
      <c r="BH1570" s="1">
        <v>45131.833333333336</v>
      </c>
      <c r="BI1570">
        <v>40</v>
      </c>
      <c r="BJ1570">
        <v>0</v>
      </c>
      <c r="BK1570">
        <v>8</v>
      </c>
      <c r="BL1570">
        <v>8</v>
      </c>
      <c r="BM1570">
        <v>8</v>
      </c>
      <c r="BN1570">
        <v>8</v>
      </c>
      <c r="BO1570">
        <v>8</v>
      </c>
      <c r="BP1570">
        <v>0</v>
      </c>
      <c r="BQ1570" t="str">
        <f>"8:00 AM"</f>
        <v>8:00 AM</v>
      </c>
      <c r="BR1570" t="str">
        <f>"4:30 PM"</f>
        <v>4:30 PM</v>
      </c>
      <c r="BS1570" t="s">
        <v>131</v>
      </c>
      <c r="BT1570">
        <v>0</v>
      </c>
      <c r="BU1570">
        <v>0</v>
      </c>
      <c r="BV1570" t="s">
        <v>114</v>
      </c>
      <c r="BX1570" s="2" t="s">
        <v>6338</v>
      </c>
      <c r="BY1570" t="s">
        <v>6339</v>
      </c>
      <c r="CA1570" t="s">
        <v>6336</v>
      </c>
      <c r="CB1570" t="s">
        <v>550</v>
      </c>
      <c r="CC1570" s="8" t="str">
        <f>"30736"</f>
        <v>30736</v>
      </c>
      <c r="CD1570" t="s">
        <v>6340</v>
      </c>
      <c r="CE1570" t="s">
        <v>5500</v>
      </c>
      <c r="CF1570" s="12">
        <v>11.78</v>
      </c>
      <c r="CG1570" s="12">
        <v>23.76</v>
      </c>
      <c r="CH1570" s="12">
        <v>17.670000000000002</v>
      </c>
      <c r="CI1570" s="12">
        <v>35.64</v>
      </c>
      <c r="CJ1570" t="s">
        <v>135</v>
      </c>
      <c r="CK1570" t="s">
        <v>861</v>
      </c>
      <c r="CL1570" t="s">
        <v>6341</v>
      </c>
      <c r="CO1570" t="s">
        <v>132</v>
      </c>
      <c r="CP1570" t="s">
        <v>136</v>
      </c>
      <c r="CQ1570" t="s">
        <v>136</v>
      </c>
      <c r="CR1570" t="s">
        <v>136</v>
      </c>
      <c r="CS1570" t="s">
        <v>136</v>
      </c>
      <c r="CT1570" t="s">
        <v>136</v>
      </c>
      <c r="CU1570" t="s">
        <v>136</v>
      </c>
      <c r="CV1570" t="s">
        <v>1040</v>
      </c>
      <c r="CW1570" s="10" t="str">
        <f>"+17069377116"</f>
        <v>+17069377116</v>
      </c>
      <c r="CX1570" t="s">
        <v>6342</v>
      </c>
      <c r="CY1570" t="s">
        <v>132</v>
      </c>
      <c r="CZ1570" t="s">
        <v>137</v>
      </c>
      <c r="DA1570" t="s">
        <v>114</v>
      </c>
      <c r="DB1570" t="s">
        <v>114</v>
      </c>
      <c r="DC1570" t="s">
        <v>136</v>
      </c>
      <c r="DD1570" t="s">
        <v>114</v>
      </c>
    </row>
    <row r="1571" spans="1:113" ht="15" customHeight="1" x14ac:dyDescent="0.25">
      <c r="A1571" t="s">
        <v>23361</v>
      </c>
      <c r="B1571" t="s">
        <v>152</v>
      </c>
      <c r="C1571" s="1">
        <v>45139.448528819441</v>
      </c>
      <c r="D1571" s="1">
        <v>45209</v>
      </c>
      <c r="E1571" t="s">
        <v>114</v>
      </c>
      <c r="F1571" t="s">
        <v>8937</v>
      </c>
      <c r="G1571" t="str">
        <f>"37-3011.00"</f>
        <v>37-3011.00</v>
      </c>
      <c r="H1571" t="s">
        <v>429</v>
      </c>
      <c r="I1571">
        <v>36</v>
      </c>
      <c r="J1571">
        <v>36</v>
      </c>
      <c r="K1571" s="1">
        <v>45214</v>
      </c>
      <c r="L1571" s="1">
        <v>45397</v>
      </c>
      <c r="M1571" s="1">
        <v>45214</v>
      </c>
      <c r="N1571" s="1">
        <v>45397</v>
      </c>
      <c r="O1571" t="s">
        <v>238</v>
      </c>
      <c r="P1571" t="s">
        <v>23362</v>
      </c>
      <c r="R1571" t="s">
        <v>23363</v>
      </c>
      <c r="T1571" t="s">
        <v>23364</v>
      </c>
      <c r="U1571" t="s">
        <v>158</v>
      </c>
      <c r="V1571" s="8" t="str">
        <f>"48455"</f>
        <v>48455</v>
      </c>
      <c r="W1571" t="s">
        <v>118</v>
      </c>
      <c r="Y1571" s="10">
        <v>18109651561</v>
      </c>
      <c r="AA1571">
        <v>561730</v>
      </c>
      <c r="AB1571" t="s">
        <v>7875</v>
      </c>
      <c r="AC1571" t="s">
        <v>990</v>
      </c>
      <c r="AE1571" t="s">
        <v>9395</v>
      </c>
      <c r="AF1571" t="s">
        <v>23363</v>
      </c>
      <c r="AH1571" t="s">
        <v>23364</v>
      </c>
      <c r="AI1571" t="s">
        <v>158</v>
      </c>
      <c r="AJ1571" s="8" t="str">
        <f>"48455"</f>
        <v>48455</v>
      </c>
      <c r="AK1571" t="s">
        <v>118</v>
      </c>
      <c r="AM1571" s="10">
        <v>18109651561</v>
      </c>
      <c r="AO1571" t="s">
        <v>23365</v>
      </c>
      <c r="AP1571" t="s">
        <v>121</v>
      </c>
      <c r="AQ1571" t="s">
        <v>989</v>
      </c>
      <c r="AR1571" t="s">
        <v>244</v>
      </c>
      <c r="AS1571" t="s">
        <v>990</v>
      </c>
      <c r="AT1571" t="s">
        <v>991</v>
      </c>
      <c r="AV1571" t="s">
        <v>992</v>
      </c>
      <c r="AW1571" t="s">
        <v>993</v>
      </c>
      <c r="AX1571" s="8" t="str">
        <f>"54301"</f>
        <v>54301</v>
      </c>
      <c r="AY1571" t="s">
        <v>118</v>
      </c>
      <c r="BA1571" s="10">
        <v>18004140978</v>
      </c>
      <c r="BC1571" t="s">
        <v>994</v>
      </c>
      <c r="BD1571" t="s">
        <v>995</v>
      </c>
      <c r="BE1571" t="s">
        <v>581</v>
      </c>
      <c r="BF1571" t="s">
        <v>996</v>
      </c>
      <c r="BG1571" t="s">
        <v>158</v>
      </c>
      <c r="BH1571" s="1">
        <v>45138.833333333336</v>
      </c>
      <c r="BI1571">
        <v>40</v>
      </c>
      <c r="BJ1571">
        <v>0</v>
      </c>
      <c r="BK1571">
        <v>8</v>
      </c>
      <c r="BL1571">
        <v>8</v>
      </c>
      <c r="BM1571">
        <v>8</v>
      </c>
      <c r="BN1571">
        <v>8</v>
      </c>
      <c r="BO1571">
        <v>8</v>
      </c>
      <c r="BP1571">
        <v>0</v>
      </c>
      <c r="BQ1571" t="str">
        <f>"7:00 AM"</f>
        <v>7:00 AM</v>
      </c>
      <c r="BR1571" t="str">
        <f>"4:30 PM"</f>
        <v>4:30 PM</v>
      </c>
      <c r="BS1571" t="s">
        <v>131</v>
      </c>
      <c r="BT1571">
        <v>0</v>
      </c>
      <c r="BU1571">
        <v>0</v>
      </c>
      <c r="BV1571" t="s">
        <v>114</v>
      </c>
      <c r="BX1571" s="2" t="s">
        <v>23366</v>
      </c>
      <c r="BY1571" t="s">
        <v>23363</v>
      </c>
      <c r="CA1571" t="s">
        <v>23364</v>
      </c>
      <c r="CB1571" t="s">
        <v>158</v>
      </c>
      <c r="CC1571" s="8" t="str">
        <f>"48455"</f>
        <v>48455</v>
      </c>
      <c r="CD1571" t="s">
        <v>13887</v>
      </c>
      <c r="CE1571" t="s">
        <v>2228</v>
      </c>
      <c r="CF1571" s="12">
        <v>17.55</v>
      </c>
      <c r="CH1571" s="12">
        <v>26.33</v>
      </c>
      <c r="CJ1571" t="s">
        <v>135</v>
      </c>
      <c r="CK1571" t="s">
        <v>23367</v>
      </c>
      <c r="CL1571" t="s">
        <v>23368</v>
      </c>
      <c r="CO1571" t="s">
        <v>132</v>
      </c>
      <c r="CP1571" t="s">
        <v>136</v>
      </c>
      <c r="CQ1571" t="s">
        <v>136</v>
      </c>
      <c r="CR1571" t="s">
        <v>136</v>
      </c>
      <c r="CS1571" t="s">
        <v>136</v>
      </c>
      <c r="CT1571" t="s">
        <v>136</v>
      </c>
      <c r="CU1571" t="s">
        <v>136</v>
      </c>
      <c r="CV1571" t="s">
        <v>23369</v>
      </c>
      <c r="CW1571" s="10" t="str">
        <f>"+18109651561"</f>
        <v>+18109651561</v>
      </c>
      <c r="CX1571" t="s">
        <v>23365</v>
      </c>
      <c r="CY1571" t="s">
        <v>132</v>
      </c>
      <c r="CZ1571" t="s">
        <v>137</v>
      </c>
      <c r="DA1571" t="s">
        <v>114</v>
      </c>
      <c r="DB1571" t="s">
        <v>114</v>
      </c>
      <c r="DC1571" t="s">
        <v>136</v>
      </c>
      <c r="DD1571" t="s">
        <v>114</v>
      </c>
    </row>
    <row r="1572" spans="1:113" ht="15" customHeight="1" x14ac:dyDescent="0.25">
      <c r="A1572" t="s">
        <v>14100</v>
      </c>
      <c r="B1572" t="s">
        <v>152</v>
      </c>
      <c r="C1572" s="1">
        <v>45136.686892592596</v>
      </c>
      <c r="D1572" s="1">
        <v>45209</v>
      </c>
      <c r="E1572" t="s">
        <v>114</v>
      </c>
      <c r="F1572" t="s">
        <v>14101</v>
      </c>
      <c r="G1572" t="str">
        <f>"53-3032.00"</f>
        <v>53-3032.00</v>
      </c>
      <c r="H1572" t="s">
        <v>736</v>
      </c>
      <c r="I1572">
        <v>35</v>
      </c>
      <c r="J1572">
        <v>35</v>
      </c>
      <c r="K1572" s="1">
        <v>45225</v>
      </c>
      <c r="L1572" s="1">
        <v>45590</v>
      </c>
      <c r="M1572" s="1">
        <v>45225</v>
      </c>
      <c r="N1572" s="1">
        <v>45590</v>
      </c>
      <c r="O1572" t="s">
        <v>184</v>
      </c>
      <c r="P1572" t="s">
        <v>14102</v>
      </c>
      <c r="R1572" t="s">
        <v>14103</v>
      </c>
      <c r="T1572" t="s">
        <v>3262</v>
      </c>
      <c r="U1572" t="s">
        <v>127</v>
      </c>
      <c r="V1572" s="8" t="str">
        <f>"79705"</f>
        <v>79705</v>
      </c>
      <c r="W1572" t="s">
        <v>118</v>
      </c>
      <c r="Y1572" s="10">
        <v>14328941293</v>
      </c>
      <c r="AA1572">
        <v>484220</v>
      </c>
      <c r="AB1572" t="s">
        <v>10959</v>
      </c>
      <c r="AC1572" t="s">
        <v>123</v>
      </c>
      <c r="AE1572" t="s">
        <v>1836</v>
      </c>
      <c r="AF1572" t="s">
        <v>14104</v>
      </c>
      <c r="AH1572" t="s">
        <v>3262</v>
      </c>
      <c r="AI1572" t="s">
        <v>127</v>
      </c>
      <c r="AJ1572" s="8" t="str">
        <f>"79705"</f>
        <v>79705</v>
      </c>
      <c r="AK1572" t="s">
        <v>118</v>
      </c>
      <c r="AM1572" s="10">
        <v>14329676862</v>
      </c>
      <c r="AO1572" t="s">
        <v>14105</v>
      </c>
      <c r="AP1572" t="s">
        <v>121</v>
      </c>
      <c r="AQ1572" t="s">
        <v>14106</v>
      </c>
      <c r="AR1572" t="s">
        <v>14107</v>
      </c>
      <c r="AT1572" t="s">
        <v>14108</v>
      </c>
      <c r="AU1572" t="s">
        <v>14109</v>
      </c>
      <c r="AV1572" t="s">
        <v>2960</v>
      </c>
      <c r="AW1572" t="s">
        <v>558</v>
      </c>
      <c r="AX1572" s="8" t="str">
        <f>"85012"</f>
        <v>85012</v>
      </c>
      <c r="AY1572" t="s">
        <v>118</v>
      </c>
      <c r="BA1572" s="10">
        <v>16028604400</v>
      </c>
      <c r="BC1572" t="s">
        <v>14110</v>
      </c>
      <c r="BD1572" t="s">
        <v>14111</v>
      </c>
      <c r="BE1572" t="s">
        <v>169</v>
      </c>
      <c r="BF1572" t="s">
        <v>8138</v>
      </c>
      <c r="BG1572" t="s">
        <v>127</v>
      </c>
      <c r="BH1572" s="1">
        <v>45135.833333333336</v>
      </c>
      <c r="BI1572">
        <v>40</v>
      </c>
      <c r="BJ1572">
        <v>0</v>
      </c>
      <c r="BK1572">
        <v>8</v>
      </c>
      <c r="BL1572">
        <v>8</v>
      </c>
      <c r="BM1572">
        <v>8</v>
      </c>
      <c r="BN1572">
        <v>8</v>
      </c>
      <c r="BO1572">
        <v>8</v>
      </c>
      <c r="BP1572">
        <v>0</v>
      </c>
      <c r="BQ1572" t="str">
        <f>"7:00 AM"</f>
        <v>7:00 AM</v>
      </c>
      <c r="BR1572" t="str">
        <f>"4:00 PM"</f>
        <v>4:00 PM</v>
      </c>
      <c r="BS1572" t="s">
        <v>131</v>
      </c>
      <c r="BT1572">
        <v>0</v>
      </c>
      <c r="BU1572">
        <v>12</v>
      </c>
      <c r="BV1572" t="s">
        <v>114</v>
      </c>
      <c r="BX1572" s="2" t="s">
        <v>14112</v>
      </c>
      <c r="BY1572" t="s">
        <v>14113</v>
      </c>
      <c r="CA1572" t="s">
        <v>3262</v>
      </c>
      <c r="CB1572" t="s">
        <v>127</v>
      </c>
      <c r="CC1572" s="8" t="str">
        <f>"79705"</f>
        <v>79705</v>
      </c>
      <c r="CD1572" t="s">
        <v>3263</v>
      </c>
      <c r="CE1572" t="s">
        <v>3264</v>
      </c>
      <c r="CF1572" s="12">
        <v>25.49</v>
      </c>
      <c r="CG1572" s="12">
        <v>25.49</v>
      </c>
      <c r="CH1572" s="12">
        <v>38.24</v>
      </c>
      <c r="CI1572" s="12">
        <v>38.24</v>
      </c>
      <c r="CJ1572" t="s">
        <v>135</v>
      </c>
      <c r="CL1572" t="s">
        <v>14114</v>
      </c>
      <c r="CO1572" t="s">
        <v>132</v>
      </c>
      <c r="CP1572" t="s">
        <v>136</v>
      </c>
      <c r="CQ1572" t="s">
        <v>136</v>
      </c>
      <c r="CR1572" t="s">
        <v>136</v>
      </c>
      <c r="CS1572" t="s">
        <v>114</v>
      </c>
      <c r="CT1572" t="s">
        <v>136</v>
      </c>
      <c r="CU1572" t="s">
        <v>114</v>
      </c>
      <c r="CV1572" t="s">
        <v>131</v>
      </c>
      <c r="CW1572" s="10" t="str">
        <f>"+14329676862"</f>
        <v>+14329676862</v>
      </c>
      <c r="CX1572" t="s">
        <v>14105</v>
      </c>
      <c r="CY1572" t="s">
        <v>14115</v>
      </c>
      <c r="CZ1572" t="s">
        <v>137</v>
      </c>
      <c r="DA1572" t="s">
        <v>114</v>
      </c>
      <c r="DB1572" t="s">
        <v>114</v>
      </c>
      <c r="DC1572" t="s">
        <v>136</v>
      </c>
      <c r="DD1572" t="s">
        <v>114</v>
      </c>
    </row>
    <row r="1573" spans="1:113" ht="15" customHeight="1" x14ac:dyDescent="0.25">
      <c r="A1573" t="s">
        <v>20208</v>
      </c>
      <c r="B1573" t="s">
        <v>152</v>
      </c>
      <c r="C1573" s="1">
        <v>45136.67252291667</v>
      </c>
      <c r="D1573" s="1">
        <v>45209</v>
      </c>
      <c r="E1573" t="s">
        <v>114</v>
      </c>
      <c r="F1573" t="s">
        <v>3495</v>
      </c>
      <c r="G1573" t="str">
        <f>"49-3031.00"</f>
        <v>49-3031.00</v>
      </c>
      <c r="H1573" t="s">
        <v>3495</v>
      </c>
      <c r="I1573">
        <v>10</v>
      </c>
      <c r="J1573">
        <v>10</v>
      </c>
      <c r="K1573" s="1">
        <v>45225</v>
      </c>
      <c r="L1573" s="1">
        <v>45590</v>
      </c>
      <c r="M1573" s="1">
        <v>45225</v>
      </c>
      <c r="N1573" s="1">
        <v>45590</v>
      </c>
      <c r="O1573" t="s">
        <v>184</v>
      </c>
      <c r="P1573" t="s">
        <v>14102</v>
      </c>
      <c r="R1573" t="s">
        <v>14113</v>
      </c>
      <c r="T1573" t="s">
        <v>3262</v>
      </c>
      <c r="U1573" t="s">
        <v>127</v>
      </c>
      <c r="V1573" s="8" t="str">
        <f>"79705"</f>
        <v>79705</v>
      </c>
      <c r="W1573" t="s">
        <v>118</v>
      </c>
      <c r="Y1573" s="10">
        <v>14328941293</v>
      </c>
      <c r="AA1573">
        <v>484220</v>
      </c>
      <c r="AB1573" t="s">
        <v>10959</v>
      </c>
      <c r="AC1573" t="s">
        <v>123</v>
      </c>
      <c r="AE1573" t="s">
        <v>1836</v>
      </c>
      <c r="AF1573" t="s">
        <v>14103</v>
      </c>
      <c r="AH1573" t="s">
        <v>3262</v>
      </c>
      <c r="AI1573" t="s">
        <v>127</v>
      </c>
      <c r="AJ1573" s="8" t="str">
        <f>"79705"</f>
        <v>79705</v>
      </c>
      <c r="AK1573" t="s">
        <v>118</v>
      </c>
      <c r="AM1573" s="10">
        <v>14329676862</v>
      </c>
      <c r="AO1573" t="s">
        <v>14105</v>
      </c>
      <c r="AP1573" t="s">
        <v>121</v>
      </c>
      <c r="AQ1573" t="s">
        <v>14106</v>
      </c>
      <c r="AR1573" t="s">
        <v>14107</v>
      </c>
      <c r="AT1573" t="s">
        <v>20209</v>
      </c>
      <c r="AU1573" t="s">
        <v>14109</v>
      </c>
      <c r="AV1573" t="s">
        <v>2960</v>
      </c>
      <c r="AW1573" t="s">
        <v>558</v>
      </c>
      <c r="AX1573" s="8" t="str">
        <f>"85012"</f>
        <v>85012</v>
      </c>
      <c r="AY1573" t="s">
        <v>118</v>
      </c>
      <c r="BA1573" s="10">
        <v>16028604400</v>
      </c>
      <c r="BC1573" t="s">
        <v>14110</v>
      </c>
      <c r="BD1573" t="s">
        <v>14111</v>
      </c>
      <c r="BE1573" t="s">
        <v>169</v>
      </c>
      <c r="BF1573" t="s">
        <v>8138</v>
      </c>
      <c r="BG1573" t="s">
        <v>127</v>
      </c>
      <c r="BH1573" s="1">
        <v>45135.833333333336</v>
      </c>
      <c r="BI1573">
        <v>40</v>
      </c>
      <c r="BJ1573">
        <v>0</v>
      </c>
      <c r="BK1573">
        <v>8</v>
      </c>
      <c r="BL1573">
        <v>8</v>
      </c>
      <c r="BM1573">
        <v>8</v>
      </c>
      <c r="BN1573">
        <v>8</v>
      </c>
      <c r="BO1573">
        <v>8</v>
      </c>
      <c r="BP1573">
        <v>0</v>
      </c>
      <c r="BQ1573" t="str">
        <f>"7:00 AM"</f>
        <v>7:00 AM</v>
      </c>
      <c r="BR1573" t="str">
        <f>"4:00 PM"</f>
        <v>4:00 PM</v>
      </c>
      <c r="BS1573" t="s">
        <v>131</v>
      </c>
      <c r="BT1573">
        <v>0</v>
      </c>
      <c r="BU1573">
        <v>24</v>
      </c>
      <c r="BV1573" t="s">
        <v>114</v>
      </c>
      <c r="BX1573" s="2" t="s">
        <v>20210</v>
      </c>
      <c r="BY1573" t="s">
        <v>20211</v>
      </c>
      <c r="CA1573" t="s">
        <v>3262</v>
      </c>
      <c r="CB1573" t="s">
        <v>127</v>
      </c>
      <c r="CC1573" s="8" t="str">
        <f>"79705"</f>
        <v>79705</v>
      </c>
      <c r="CD1573" t="s">
        <v>3263</v>
      </c>
      <c r="CE1573" t="s">
        <v>3264</v>
      </c>
      <c r="CF1573" s="12">
        <v>25.84</v>
      </c>
      <c r="CG1573" s="12">
        <v>25.84</v>
      </c>
      <c r="CJ1573" t="s">
        <v>135</v>
      </c>
      <c r="CL1573" t="s">
        <v>20212</v>
      </c>
      <c r="CO1573" t="s">
        <v>132</v>
      </c>
      <c r="CP1573" t="s">
        <v>136</v>
      </c>
      <c r="CQ1573" t="s">
        <v>136</v>
      </c>
      <c r="CR1573" t="s">
        <v>114</v>
      </c>
      <c r="CS1573" t="s">
        <v>114</v>
      </c>
      <c r="CT1573" t="s">
        <v>136</v>
      </c>
      <c r="CU1573" t="s">
        <v>114</v>
      </c>
      <c r="CV1573" t="s">
        <v>131</v>
      </c>
      <c r="CW1573" s="10" t="str">
        <f>"+14329676862"</f>
        <v>+14329676862</v>
      </c>
      <c r="CX1573" t="s">
        <v>14105</v>
      </c>
      <c r="CY1573" t="s">
        <v>14115</v>
      </c>
      <c r="CZ1573" t="s">
        <v>137</v>
      </c>
      <c r="DA1573" t="s">
        <v>114</v>
      </c>
      <c r="DB1573" t="s">
        <v>114</v>
      </c>
      <c r="DC1573" t="s">
        <v>136</v>
      </c>
      <c r="DD1573" t="s">
        <v>114</v>
      </c>
    </row>
    <row r="1574" spans="1:113" ht="15" customHeight="1" x14ac:dyDescent="0.25">
      <c r="A1574" t="s">
        <v>22810</v>
      </c>
      <c r="B1574" t="s">
        <v>152</v>
      </c>
      <c r="C1574" s="1">
        <v>45134.513289930554</v>
      </c>
      <c r="D1574" s="1">
        <v>45209</v>
      </c>
      <c r="E1574" t="s">
        <v>114</v>
      </c>
      <c r="F1574" t="s">
        <v>12250</v>
      </c>
      <c r="G1574" t="str">
        <f>"35-2015.00"</f>
        <v>35-2015.00</v>
      </c>
      <c r="H1574" t="s">
        <v>2075</v>
      </c>
      <c r="I1574">
        <v>1</v>
      </c>
      <c r="J1574">
        <v>1</v>
      </c>
      <c r="K1574" s="1">
        <v>45214</v>
      </c>
      <c r="L1574" s="1">
        <v>45281</v>
      </c>
      <c r="M1574" s="1">
        <v>45214</v>
      </c>
      <c r="N1574" s="1">
        <v>45281</v>
      </c>
      <c r="O1574" t="s">
        <v>238</v>
      </c>
      <c r="P1574" t="s">
        <v>12251</v>
      </c>
      <c r="R1574" t="s">
        <v>12252</v>
      </c>
      <c r="T1574" t="s">
        <v>12253</v>
      </c>
      <c r="U1574" t="s">
        <v>2262</v>
      </c>
      <c r="V1574" s="8" t="str">
        <f>"06067"</f>
        <v>06067</v>
      </c>
      <c r="W1574" t="s">
        <v>118</v>
      </c>
      <c r="Y1574" s="10">
        <v>18605296755</v>
      </c>
      <c r="AA1574">
        <v>11121</v>
      </c>
      <c r="AB1574" t="s">
        <v>7798</v>
      </c>
      <c r="AC1574" t="s">
        <v>144</v>
      </c>
      <c r="AE1574" t="s">
        <v>561</v>
      </c>
      <c r="AF1574" t="s">
        <v>12252</v>
      </c>
      <c r="AH1574" t="s">
        <v>12253</v>
      </c>
      <c r="AI1574" t="s">
        <v>2262</v>
      </c>
      <c r="AJ1574" s="8" t="str">
        <f>"06067"</f>
        <v>06067</v>
      </c>
      <c r="AK1574" t="s">
        <v>118</v>
      </c>
      <c r="AM1574" s="10">
        <v>18605296755</v>
      </c>
      <c r="AO1574" t="s">
        <v>132</v>
      </c>
      <c r="AP1574" t="s">
        <v>248</v>
      </c>
      <c r="AQ1574" t="s">
        <v>577</v>
      </c>
      <c r="AR1574" t="s">
        <v>578</v>
      </c>
      <c r="AT1574" t="s">
        <v>579</v>
      </c>
      <c r="AV1574" t="s">
        <v>580</v>
      </c>
      <c r="AW1574" t="s">
        <v>581</v>
      </c>
      <c r="AX1574" s="8" t="str">
        <f>"22903"</f>
        <v>22903</v>
      </c>
      <c r="AY1574" t="s">
        <v>118</v>
      </c>
      <c r="BA1574" s="10">
        <v>14342634300</v>
      </c>
      <c r="BC1574" t="s">
        <v>1996</v>
      </c>
      <c r="BD1574" t="s">
        <v>583</v>
      </c>
      <c r="BG1574" t="s">
        <v>2262</v>
      </c>
      <c r="BH1574" s="1">
        <v>45133.833333333336</v>
      </c>
      <c r="BI1574">
        <v>50</v>
      </c>
      <c r="BJ1574">
        <v>9.5</v>
      </c>
      <c r="BK1574">
        <v>8.5</v>
      </c>
      <c r="BL1574">
        <v>6.5</v>
      </c>
      <c r="BM1574">
        <v>8.5</v>
      </c>
      <c r="BN1574">
        <v>0</v>
      </c>
      <c r="BO1574">
        <v>7.5</v>
      </c>
      <c r="BP1574">
        <v>9.5</v>
      </c>
      <c r="BQ1574" t="str">
        <f>"9:00 AM"</f>
        <v>9:00 AM</v>
      </c>
      <c r="BR1574" t="str">
        <f>"6:00 PM"</f>
        <v>6:00 PM</v>
      </c>
      <c r="BS1574" t="s">
        <v>131</v>
      </c>
      <c r="BT1574">
        <v>0</v>
      </c>
      <c r="BU1574">
        <v>4</v>
      </c>
      <c r="BV1574" t="s">
        <v>114</v>
      </c>
      <c r="BX1574" s="2" t="s">
        <v>12254</v>
      </c>
      <c r="BY1574" t="s">
        <v>12252</v>
      </c>
      <c r="CA1574" t="s">
        <v>12253</v>
      </c>
      <c r="CB1574" t="s">
        <v>2262</v>
      </c>
      <c r="CC1574" s="8" t="str">
        <f>"06067"</f>
        <v>06067</v>
      </c>
      <c r="CD1574" t="s">
        <v>12255</v>
      </c>
      <c r="CE1574" t="s">
        <v>2269</v>
      </c>
      <c r="CF1574" s="12">
        <v>18.36</v>
      </c>
      <c r="CH1574" s="12">
        <v>27.54</v>
      </c>
      <c r="CJ1574" t="s">
        <v>135</v>
      </c>
      <c r="CK1574" t="s">
        <v>590</v>
      </c>
      <c r="CL1574" t="s">
        <v>12256</v>
      </c>
      <c r="CO1574" t="s">
        <v>132</v>
      </c>
      <c r="CP1574" t="s">
        <v>114</v>
      </c>
      <c r="CQ1574" t="s">
        <v>114</v>
      </c>
      <c r="CR1574" t="s">
        <v>136</v>
      </c>
      <c r="CS1574" t="s">
        <v>114</v>
      </c>
      <c r="CT1574" t="s">
        <v>136</v>
      </c>
      <c r="CU1574" t="s">
        <v>114</v>
      </c>
      <c r="CV1574" t="s">
        <v>22811</v>
      </c>
      <c r="CW1574" s="10" t="str">
        <f>"N/A"</f>
        <v>N/A</v>
      </c>
      <c r="CX1574" t="s">
        <v>12257</v>
      </c>
      <c r="CY1574" t="s">
        <v>11161</v>
      </c>
      <c r="CZ1574" t="s">
        <v>137</v>
      </c>
      <c r="DA1574" t="s">
        <v>114</v>
      </c>
      <c r="DB1574" t="s">
        <v>136</v>
      </c>
      <c r="DC1574" t="s">
        <v>136</v>
      </c>
      <c r="DD1574" t="s">
        <v>114</v>
      </c>
      <c r="DE1574" t="s">
        <v>1998</v>
      </c>
      <c r="DF1574" t="s">
        <v>1999</v>
      </c>
      <c r="DH1574" t="s">
        <v>9449</v>
      </c>
      <c r="DI1574" t="s">
        <v>1996</v>
      </c>
    </row>
    <row r="1575" spans="1:113" ht="15" customHeight="1" x14ac:dyDescent="0.25">
      <c r="A1575" t="s">
        <v>6532</v>
      </c>
      <c r="B1575" t="s">
        <v>152</v>
      </c>
      <c r="C1575" s="1">
        <v>45134.42416516204</v>
      </c>
      <c r="D1575" s="1">
        <v>45209</v>
      </c>
      <c r="E1575" t="s">
        <v>114</v>
      </c>
      <c r="F1575" t="s">
        <v>4718</v>
      </c>
      <c r="G1575" t="str">
        <f>"37-2012.00"</f>
        <v>37-2012.00</v>
      </c>
      <c r="H1575" t="s">
        <v>205</v>
      </c>
      <c r="I1575">
        <v>124</v>
      </c>
      <c r="J1575">
        <v>124</v>
      </c>
      <c r="K1575" s="1">
        <v>45224</v>
      </c>
      <c r="L1575" s="1">
        <v>45398</v>
      </c>
      <c r="M1575" s="1">
        <v>45224</v>
      </c>
      <c r="N1575" s="1">
        <v>45398</v>
      </c>
      <c r="O1575" t="s">
        <v>116</v>
      </c>
      <c r="P1575" t="s">
        <v>1081</v>
      </c>
      <c r="R1575" t="s">
        <v>510</v>
      </c>
      <c r="T1575" t="s">
        <v>511</v>
      </c>
      <c r="U1575" t="s">
        <v>188</v>
      </c>
      <c r="V1575" s="8" t="str">
        <f>"80021"</f>
        <v>80021</v>
      </c>
      <c r="W1575" t="s">
        <v>118</v>
      </c>
      <c r="Y1575" s="10">
        <v>13034041800</v>
      </c>
      <c r="AA1575">
        <v>713920</v>
      </c>
      <c r="AB1575" t="s">
        <v>507</v>
      </c>
      <c r="AC1575" t="s">
        <v>508</v>
      </c>
      <c r="AE1575" t="s">
        <v>509</v>
      </c>
      <c r="AF1575" t="s">
        <v>510</v>
      </c>
      <c r="AH1575" t="s">
        <v>511</v>
      </c>
      <c r="AI1575" t="s">
        <v>188</v>
      </c>
      <c r="AJ1575" s="8" t="str">
        <f>"80021"</f>
        <v>80021</v>
      </c>
      <c r="AK1575" t="s">
        <v>118</v>
      </c>
      <c r="AM1575" s="10">
        <v>13034041800</v>
      </c>
      <c r="AO1575" t="s">
        <v>512</v>
      </c>
      <c r="AP1575" t="s">
        <v>121</v>
      </c>
      <c r="AQ1575" t="s">
        <v>513</v>
      </c>
      <c r="AR1575" t="s">
        <v>514</v>
      </c>
      <c r="AS1575" t="s">
        <v>515</v>
      </c>
      <c r="AT1575" t="s">
        <v>516</v>
      </c>
      <c r="AU1575" t="s">
        <v>517</v>
      </c>
      <c r="AV1575" t="s">
        <v>518</v>
      </c>
      <c r="AW1575" t="s">
        <v>402</v>
      </c>
      <c r="AX1575" s="8" t="str">
        <f>"90071"</f>
        <v>90071</v>
      </c>
      <c r="AY1575" t="s">
        <v>118</v>
      </c>
      <c r="BA1575" s="10">
        <v>13108203322</v>
      </c>
      <c r="BC1575" t="s">
        <v>519</v>
      </c>
      <c r="BD1575" t="s">
        <v>520</v>
      </c>
      <c r="BE1575" t="s">
        <v>188</v>
      </c>
      <c r="BF1575" t="s">
        <v>172</v>
      </c>
      <c r="BG1575" t="s">
        <v>188</v>
      </c>
      <c r="BH1575" s="1">
        <v>45131.833333333336</v>
      </c>
      <c r="BI1575">
        <v>35</v>
      </c>
      <c r="BJ1575">
        <v>5</v>
      </c>
      <c r="BK1575">
        <v>5</v>
      </c>
      <c r="BL1575">
        <v>5</v>
      </c>
      <c r="BM1575">
        <v>5</v>
      </c>
      <c r="BN1575">
        <v>5</v>
      </c>
      <c r="BO1575">
        <v>5</v>
      </c>
      <c r="BP1575">
        <v>5</v>
      </c>
      <c r="BQ1575" t="str">
        <f>"8:00 AM"</f>
        <v>8:00 AM</v>
      </c>
      <c r="BR1575" t="str">
        <f>"9:00 PM"</f>
        <v>9:00 PM</v>
      </c>
      <c r="BS1575" t="s">
        <v>131</v>
      </c>
      <c r="BT1575">
        <v>0</v>
      </c>
      <c r="BU1575">
        <v>12</v>
      </c>
      <c r="BV1575" t="s">
        <v>114</v>
      </c>
      <c r="BX1575" s="2" t="s">
        <v>6533</v>
      </c>
      <c r="BY1575" t="s">
        <v>1532</v>
      </c>
      <c r="CA1575" t="s">
        <v>1084</v>
      </c>
      <c r="CB1575" t="s">
        <v>188</v>
      </c>
      <c r="CC1575" s="8" t="str">
        <f>"81657"</f>
        <v>81657</v>
      </c>
      <c r="CD1575" t="s">
        <v>1037</v>
      </c>
      <c r="CE1575" t="s">
        <v>1038</v>
      </c>
      <c r="CF1575" s="12">
        <v>22</v>
      </c>
      <c r="CH1575" s="12">
        <v>33</v>
      </c>
      <c r="CJ1575" t="s">
        <v>135</v>
      </c>
      <c r="CK1575" t="s">
        <v>1094</v>
      </c>
      <c r="CL1575" t="s">
        <v>6534</v>
      </c>
      <c r="CO1575" t="s">
        <v>132</v>
      </c>
      <c r="CP1575" t="s">
        <v>136</v>
      </c>
      <c r="CQ1575" t="s">
        <v>114</v>
      </c>
      <c r="CR1575" t="s">
        <v>136</v>
      </c>
      <c r="CS1575" t="s">
        <v>114</v>
      </c>
      <c r="CT1575" t="s">
        <v>136</v>
      </c>
      <c r="CU1575" t="s">
        <v>136</v>
      </c>
      <c r="CV1575" t="s">
        <v>6535</v>
      </c>
      <c r="CW1575" s="10" t="str">
        <f>"+13034041800"</f>
        <v>+13034041800</v>
      </c>
      <c r="CX1575" t="s">
        <v>512</v>
      </c>
      <c r="CY1575" t="s">
        <v>132</v>
      </c>
      <c r="CZ1575" t="s">
        <v>137</v>
      </c>
      <c r="DA1575" t="s">
        <v>114</v>
      </c>
      <c r="DB1575" t="s">
        <v>114</v>
      </c>
      <c r="DC1575" t="s">
        <v>136</v>
      </c>
      <c r="DD1575" t="s">
        <v>114</v>
      </c>
      <c r="DE1575" t="s">
        <v>527</v>
      </c>
      <c r="DF1575" t="s">
        <v>528</v>
      </c>
      <c r="DG1575" t="s">
        <v>732</v>
      </c>
      <c r="DH1575" t="s">
        <v>520</v>
      </c>
      <c r="DI1575" t="s">
        <v>529</v>
      </c>
    </row>
    <row r="1576" spans="1:113" ht="15" customHeight="1" x14ac:dyDescent="0.25">
      <c r="A1576" t="s">
        <v>23517</v>
      </c>
      <c r="B1576" t="s">
        <v>152</v>
      </c>
      <c r="C1576" s="1">
        <v>45126.47165752315</v>
      </c>
      <c r="D1576" s="1">
        <v>45209</v>
      </c>
      <c r="E1576" t="s">
        <v>136</v>
      </c>
      <c r="F1576" t="s">
        <v>2512</v>
      </c>
      <c r="G1576" t="str">
        <f>"35-3031.00"</f>
        <v>35-3031.00</v>
      </c>
      <c r="H1576" t="s">
        <v>347</v>
      </c>
      <c r="I1576">
        <v>12</v>
      </c>
      <c r="J1576">
        <v>12</v>
      </c>
      <c r="K1576" s="1">
        <v>45216</v>
      </c>
      <c r="L1576" s="1">
        <v>45425</v>
      </c>
      <c r="M1576" s="1">
        <v>45216</v>
      </c>
      <c r="N1576" s="1">
        <v>45425</v>
      </c>
      <c r="O1576" t="s">
        <v>116</v>
      </c>
      <c r="P1576" t="s">
        <v>1655</v>
      </c>
      <c r="Q1576" t="s">
        <v>1656</v>
      </c>
      <c r="R1576" t="s">
        <v>1657</v>
      </c>
      <c r="T1576" t="s">
        <v>1658</v>
      </c>
      <c r="U1576" t="s">
        <v>558</v>
      </c>
      <c r="V1576" s="8" t="str">
        <f>"85255"</f>
        <v>85255</v>
      </c>
      <c r="W1576" t="s">
        <v>118</v>
      </c>
      <c r="Y1576" s="10">
        <v>14805854310</v>
      </c>
      <c r="AA1576">
        <v>713910</v>
      </c>
      <c r="AB1576" t="s">
        <v>1659</v>
      </c>
      <c r="AC1576" t="s">
        <v>1517</v>
      </c>
      <c r="AE1576" t="s">
        <v>1660</v>
      </c>
      <c r="AF1576" t="s">
        <v>1657</v>
      </c>
      <c r="AH1576" t="s">
        <v>1658</v>
      </c>
      <c r="AI1576" t="s">
        <v>558</v>
      </c>
      <c r="AJ1576" s="8" t="str">
        <f>"85255"</f>
        <v>85255</v>
      </c>
      <c r="AK1576" t="s">
        <v>118</v>
      </c>
      <c r="AM1576" s="10">
        <v>14805854310</v>
      </c>
      <c r="AO1576" t="s">
        <v>1661</v>
      </c>
      <c r="AP1576" t="s">
        <v>121</v>
      </c>
      <c r="AQ1576" t="s">
        <v>276</v>
      </c>
      <c r="AR1576" t="s">
        <v>277</v>
      </c>
      <c r="AS1576" t="s">
        <v>278</v>
      </c>
      <c r="AT1576" t="s">
        <v>279</v>
      </c>
      <c r="AU1576" t="s">
        <v>280</v>
      </c>
      <c r="AV1576" t="s">
        <v>281</v>
      </c>
      <c r="AW1576" t="s">
        <v>222</v>
      </c>
      <c r="AX1576" s="8" t="str">
        <f>"01701"</f>
        <v>01701</v>
      </c>
      <c r="AY1576" t="s">
        <v>118</v>
      </c>
      <c r="BA1576" s="10">
        <v>16179399444</v>
      </c>
      <c r="BC1576" t="s">
        <v>282</v>
      </c>
      <c r="BD1576" t="s">
        <v>283</v>
      </c>
      <c r="BE1576" t="s">
        <v>222</v>
      </c>
      <c r="BF1576" t="s">
        <v>284</v>
      </c>
      <c r="BG1576" t="s">
        <v>558</v>
      </c>
      <c r="BH1576" s="1">
        <v>45125.833333333336</v>
      </c>
      <c r="BI1576">
        <v>40</v>
      </c>
      <c r="BJ1576">
        <v>0</v>
      </c>
      <c r="BK1576">
        <v>8</v>
      </c>
      <c r="BL1576">
        <v>8</v>
      </c>
      <c r="BM1576">
        <v>8</v>
      </c>
      <c r="BN1576">
        <v>8</v>
      </c>
      <c r="BO1576">
        <v>8</v>
      </c>
      <c r="BP1576">
        <v>0</v>
      </c>
      <c r="BQ1576" t="str">
        <f>"9:00 AM"</f>
        <v>9:00 AM</v>
      </c>
      <c r="BR1576" t="str">
        <f>"5:00 PM"</f>
        <v>5:00 PM</v>
      </c>
      <c r="BS1576" t="s">
        <v>131</v>
      </c>
      <c r="BT1576">
        <v>0</v>
      </c>
      <c r="BU1576">
        <v>3</v>
      </c>
      <c r="BV1576" t="s">
        <v>114</v>
      </c>
      <c r="BX1576" s="2" t="s">
        <v>16105</v>
      </c>
      <c r="BY1576" t="s">
        <v>1657</v>
      </c>
      <c r="CA1576" t="s">
        <v>1658</v>
      </c>
      <c r="CB1576" t="s">
        <v>558</v>
      </c>
      <c r="CC1576" s="8" t="str">
        <f>"85255"</f>
        <v>85255</v>
      </c>
      <c r="CD1576" t="s">
        <v>1391</v>
      </c>
      <c r="CE1576" t="s">
        <v>565</v>
      </c>
      <c r="CF1576" s="12">
        <v>19.59</v>
      </c>
      <c r="CH1576" s="12">
        <v>29.39</v>
      </c>
      <c r="CJ1576" t="s">
        <v>135</v>
      </c>
      <c r="CK1576" t="s">
        <v>23518</v>
      </c>
      <c r="CL1576" t="s">
        <v>23519</v>
      </c>
      <c r="CO1576" t="s">
        <v>132</v>
      </c>
      <c r="CP1576" t="s">
        <v>114</v>
      </c>
      <c r="CQ1576" t="s">
        <v>136</v>
      </c>
      <c r="CR1576" t="s">
        <v>136</v>
      </c>
      <c r="CS1576" t="s">
        <v>136</v>
      </c>
      <c r="CT1576" t="s">
        <v>136</v>
      </c>
      <c r="CU1576" t="s">
        <v>136</v>
      </c>
      <c r="CV1576" s="2" t="s">
        <v>23520</v>
      </c>
      <c r="CW1576" s="10" t="str">
        <f>"+14805854310"</f>
        <v>+14805854310</v>
      </c>
      <c r="CX1576" t="s">
        <v>1666</v>
      </c>
      <c r="CY1576" t="s">
        <v>132</v>
      </c>
      <c r="CZ1576" t="s">
        <v>137</v>
      </c>
      <c r="DA1576" t="s">
        <v>114</v>
      </c>
      <c r="DB1576" t="s">
        <v>114</v>
      </c>
      <c r="DC1576" t="s">
        <v>136</v>
      </c>
      <c r="DD1576" t="s">
        <v>114</v>
      </c>
    </row>
    <row r="1577" spans="1:113" ht="15" customHeight="1" x14ac:dyDescent="0.25">
      <c r="A1577" t="s">
        <v>19677</v>
      </c>
      <c r="B1577" t="s">
        <v>152</v>
      </c>
      <c r="C1577" s="1">
        <v>45126.448918518516</v>
      </c>
      <c r="D1577" s="1">
        <v>45209</v>
      </c>
      <c r="E1577" t="s">
        <v>136</v>
      </c>
      <c r="F1577" t="s">
        <v>5534</v>
      </c>
      <c r="G1577" t="str">
        <f>"35-3011.00"</f>
        <v>35-3011.00</v>
      </c>
      <c r="H1577" t="s">
        <v>2902</v>
      </c>
      <c r="I1577">
        <v>6</v>
      </c>
      <c r="J1577">
        <v>6</v>
      </c>
      <c r="K1577" s="1">
        <v>45216</v>
      </c>
      <c r="L1577" s="1">
        <v>45425</v>
      </c>
      <c r="M1577" s="1">
        <v>45216</v>
      </c>
      <c r="N1577" s="1">
        <v>45425</v>
      </c>
      <c r="O1577" t="s">
        <v>116</v>
      </c>
      <c r="P1577" t="s">
        <v>1655</v>
      </c>
      <c r="Q1577" t="s">
        <v>1656</v>
      </c>
      <c r="R1577" t="s">
        <v>1657</v>
      </c>
      <c r="T1577" t="s">
        <v>1658</v>
      </c>
      <c r="U1577" t="s">
        <v>558</v>
      </c>
      <c r="V1577" s="8" t="str">
        <f>"85255"</f>
        <v>85255</v>
      </c>
      <c r="W1577" t="s">
        <v>118</v>
      </c>
      <c r="Y1577" s="10">
        <v>14805854310</v>
      </c>
      <c r="AA1577">
        <v>713910</v>
      </c>
      <c r="AB1577" t="s">
        <v>19678</v>
      </c>
      <c r="AC1577" t="s">
        <v>3369</v>
      </c>
      <c r="AE1577" t="s">
        <v>19679</v>
      </c>
      <c r="AF1577" t="s">
        <v>1657</v>
      </c>
      <c r="AH1577" t="s">
        <v>1658</v>
      </c>
      <c r="AI1577" t="s">
        <v>558</v>
      </c>
      <c r="AJ1577" s="8" t="str">
        <f>"85255"</f>
        <v>85255</v>
      </c>
      <c r="AK1577" t="s">
        <v>118</v>
      </c>
      <c r="AM1577" s="10">
        <v>14805854310</v>
      </c>
      <c r="AO1577" t="s">
        <v>1666</v>
      </c>
      <c r="AP1577" t="s">
        <v>121</v>
      </c>
      <c r="AQ1577" t="s">
        <v>276</v>
      </c>
      <c r="AR1577" t="s">
        <v>277</v>
      </c>
      <c r="AS1577" t="s">
        <v>278</v>
      </c>
      <c r="AT1577" t="s">
        <v>279</v>
      </c>
      <c r="AU1577" t="s">
        <v>280</v>
      </c>
      <c r="AV1577" t="s">
        <v>281</v>
      </c>
      <c r="AW1577" t="s">
        <v>222</v>
      </c>
      <c r="AX1577" s="8" t="str">
        <f>"01701"</f>
        <v>01701</v>
      </c>
      <c r="AY1577" t="s">
        <v>118</v>
      </c>
      <c r="BA1577" s="10">
        <v>16179399444</v>
      </c>
      <c r="BC1577" t="s">
        <v>282</v>
      </c>
      <c r="BD1577" t="s">
        <v>283</v>
      </c>
      <c r="BE1577" t="s">
        <v>222</v>
      </c>
      <c r="BF1577" t="s">
        <v>284</v>
      </c>
      <c r="BG1577" t="s">
        <v>558</v>
      </c>
      <c r="BH1577" s="1">
        <v>45125.833333333336</v>
      </c>
      <c r="BI1577">
        <v>40</v>
      </c>
      <c r="BJ1577">
        <v>0</v>
      </c>
      <c r="BK1577">
        <v>8</v>
      </c>
      <c r="BL1577">
        <v>8</v>
      </c>
      <c r="BM1577">
        <v>8</v>
      </c>
      <c r="BN1577">
        <v>8</v>
      </c>
      <c r="BO1577">
        <v>8</v>
      </c>
      <c r="BP1577">
        <v>0</v>
      </c>
      <c r="BQ1577" t="str">
        <f>"9:00 AM"</f>
        <v>9:00 AM</v>
      </c>
      <c r="BR1577" t="str">
        <f>"5:00 PM"</f>
        <v>5:00 PM</v>
      </c>
      <c r="BS1577" t="s">
        <v>131</v>
      </c>
      <c r="BT1577">
        <v>0</v>
      </c>
      <c r="BU1577">
        <v>3</v>
      </c>
      <c r="BV1577" t="s">
        <v>114</v>
      </c>
      <c r="BX1577" s="2" t="s">
        <v>16105</v>
      </c>
      <c r="BY1577" t="s">
        <v>1657</v>
      </c>
      <c r="CA1577" t="s">
        <v>1658</v>
      </c>
      <c r="CB1577" t="s">
        <v>558</v>
      </c>
      <c r="CC1577" s="8" t="str">
        <f>"85255"</f>
        <v>85255</v>
      </c>
      <c r="CD1577" t="s">
        <v>1391</v>
      </c>
      <c r="CE1577" t="s">
        <v>565</v>
      </c>
      <c r="CF1577" s="12">
        <v>22.81</v>
      </c>
      <c r="CH1577" s="12">
        <v>34.22</v>
      </c>
      <c r="CJ1577" t="s">
        <v>135</v>
      </c>
      <c r="CK1577" t="s">
        <v>19680</v>
      </c>
      <c r="CL1577" t="s">
        <v>19681</v>
      </c>
      <c r="CO1577" t="s">
        <v>132</v>
      </c>
      <c r="CP1577" t="s">
        <v>114</v>
      </c>
      <c r="CQ1577" t="s">
        <v>136</v>
      </c>
      <c r="CR1577" t="s">
        <v>136</v>
      </c>
      <c r="CS1577" t="s">
        <v>136</v>
      </c>
      <c r="CT1577" t="s">
        <v>136</v>
      </c>
      <c r="CU1577" t="s">
        <v>136</v>
      </c>
      <c r="CV1577" t="s">
        <v>1665</v>
      </c>
      <c r="CW1577" s="10" t="str">
        <f>"+14805854310"</f>
        <v>+14805854310</v>
      </c>
      <c r="CX1577" t="s">
        <v>1666</v>
      </c>
      <c r="CY1577" t="s">
        <v>132</v>
      </c>
      <c r="CZ1577" t="s">
        <v>137</v>
      </c>
      <c r="DA1577" t="s">
        <v>114</v>
      </c>
      <c r="DB1577" t="s">
        <v>114</v>
      </c>
      <c r="DC1577" t="s">
        <v>136</v>
      </c>
      <c r="DD1577" t="s">
        <v>114</v>
      </c>
    </row>
    <row r="1578" spans="1:113" ht="15" customHeight="1" x14ac:dyDescent="0.25">
      <c r="A1578" t="s">
        <v>14337</v>
      </c>
      <c r="B1578" t="s">
        <v>152</v>
      </c>
      <c r="C1578" s="1">
        <v>45126.445901273146</v>
      </c>
      <c r="D1578" s="1">
        <v>45209</v>
      </c>
      <c r="E1578" t="s">
        <v>114</v>
      </c>
      <c r="F1578" t="s">
        <v>14338</v>
      </c>
      <c r="G1578" t="str">
        <f>"49-9071.00"</f>
        <v>49-9071.00</v>
      </c>
      <c r="H1578" t="s">
        <v>5714</v>
      </c>
      <c r="I1578">
        <v>3</v>
      </c>
      <c r="J1578">
        <v>3</v>
      </c>
      <c r="K1578" s="1">
        <v>45214</v>
      </c>
      <c r="L1578" s="1">
        <v>45412</v>
      </c>
      <c r="M1578" s="1">
        <v>45214</v>
      </c>
      <c r="N1578" s="1">
        <v>45412</v>
      </c>
      <c r="O1578" t="s">
        <v>238</v>
      </c>
      <c r="P1578" t="s">
        <v>14339</v>
      </c>
      <c r="R1578" t="s">
        <v>14340</v>
      </c>
      <c r="T1578" t="s">
        <v>14341</v>
      </c>
      <c r="U1578" t="s">
        <v>158</v>
      </c>
      <c r="V1578" s="8" t="str">
        <f>"48843"</f>
        <v>48843</v>
      </c>
      <c r="W1578" t="s">
        <v>118</v>
      </c>
      <c r="Y1578" s="10">
        <v>15174046919</v>
      </c>
      <c r="AA1578">
        <v>56179</v>
      </c>
      <c r="AB1578" t="s">
        <v>14342</v>
      </c>
      <c r="AC1578" t="s">
        <v>6848</v>
      </c>
      <c r="AD1578" t="s">
        <v>628</v>
      </c>
      <c r="AE1578" t="s">
        <v>561</v>
      </c>
      <c r="AF1578" t="s">
        <v>14343</v>
      </c>
      <c r="AH1578" t="s">
        <v>14341</v>
      </c>
      <c r="AI1578" t="s">
        <v>158</v>
      </c>
      <c r="AJ1578" s="8" t="str">
        <f>"48843"</f>
        <v>48843</v>
      </c>
      <c r="AK1578" t="s">
        <v>118</v>
      </c>
      <c r="AM1578" s="10">
        <v>15174046919</v>
      </c>
      <c r="AO1578" t="s">
        <v>14344</v>
      </c>
      <c r="AP1578" t="s">
        <v>121</v>
      </c>
      <c r="AQ1578" t="s">
        <v>14342</v>
      </c>
      <c r="AR1578" t="s">
        <v>1069</v>
      </c>
      <c r="AT1578" t="s">
        <v>14345</v>
      </c>
      <c r="AV1578" t="s">
        <v>14346</v>
      </c>
      <c r="AW1578" t="s">
        <v>158</v>
      </c>
      <c r="AX1578" s="8" t="str">
        <f>"48189"</f>
        <v>48189</v>
      </c>
      <c r="AY1578" t="s">
        <v>118</v>
      </c>
      <c r="BA1578" s="10">
        <v>18107724672</v>
      </c>
      <c r="BB1578">
        <v>1</v>
      </c>
      <c r="BC1578" t="s">
        <v>14347</v>
      </c>
      <c r="BD1578" t="s">
        <v>14348</v>
      </c>
      <c r="BE1578" t="s">
        <v>158</v>
      </c>
      <c r="BF1578" t="s">
        <v>172</v>
      </c>
      <c r="BG1578" t="s">
        <v>158</v>
      </c>
      <c r="BH1578" s="1">
        <v>45125.833333333336</v>
      </c>
      <c r="BI1578">
        <v>35</v>
      </c>
      <c r="BJ1578">
        <v>0</v>
      </c>
      <c r="BK1578">
        <v>8</v>
      </c>
      <c r="BL1578">
        <v>8</v>
      </c>
      <c r="BM1578">
        <v>8</v>
      </c>
      <c r="BN1578">
        <v>8</v>
      </c>
      <c r="BO1578">
        <v>3</v>
      </c>
      <c r="BP1578">
        <v>0</v>
      </c>
      <c r="BQ1578" t="str">
        <f>"8:00 AM"</f>
        <v>8:00 AM</v>
      </c>
      <c r="BR1578" t="str">
        <f>"5:00 PM"</f>
        <v>5:00 PM</v>
      </c>
      <c r="BS1578" t="s">
        <v>131</v>
      </c>
      <c r="BT1578">
        <v>0</v>
      </c>
      <c r="BU1578">
        <v>0</v>
      </c>
      <c r="BV1578" t="s">
        <v>114</v>
      </c>
      <c r="BX1578" s="2" t="s">
        <v>14349</v>
      </c>
      <c r="BY1578" t="s">
        <v>14343</v>
      </c>
      <c r="CA1578" t="s">
        <v>14341</v>
      </c>
      <c r="CB1578" t="s">
        <v>158</v>
      </c>
      <c r="CC1578" s="8" t="str">
        <f>"48843"</f>
        <v>48843</v>
      </c>
      <c r="CD1578" t="s">
        <v>2072</v>
      </c>
      <c r="CE1578" t="s">
        <v>2228</v>
      </c>
      <c r="CF1578" s="12">
        <v>21.07</v>
      </c>
      <c r="CG1578" s="12">
        <v>21.07</v>
      </c>
      <c r="CH1578" s="12">
        <v>31.61</v>
      </c>
      <c r="CI1578" s="12">
        <v>31.61</v>
      </c>
      <c r="CJ1578" t="s">
        <v>135</v>
      </c>
      <c r="CK1578" t="s">
        <v>14350</v>
      </c>
      <c r="CL1578" t="s">
        <v>14351</v>
      </c>
      <c r="CO1578" t="s">
        <v>132</v>
      </c>
      <c r="CP1578" t="s">
        <v>136</v>
      </c>
      <c r="CQ1578" t="s">
        <v>136</v>
      </c>
      <c r="CR1578" t="s">
        <v>136</v>
      </c>
      <c r="CS1578" t="s">
        <v>136</v>
      </c>
      <c r="CT1578" t="s">
        <v>136</v>
      </c>
      <c r="CU1578" t="s">
        <v>136</v>
      </c>
      <c r="CV1578" t="s">
        <v>14352</v>
      </c>
      <c r="CW1578" s="10" t="str">
        <f>"N/A"</f>
        <v>N/A</v>
      </c>
      <c r="CX1578" t="s">
        <v>14344</v>
      </c>
      <c r="CY1578" t="s">
        <v>14353</v>
      </c>
      <c r="CZ1578" t="s">
        <v>137</v>
      </c>
      <c r="DA1578" t="s">
        <v>114</v>
      </c>
      <c r="DB1578" t="s">
        <v>114</v>
      </c>
      <c r="DC1578" t="s">
        <v>136</v>
      </c>
      <c r="DD1578" t="s">
        <v>114</v>
      </c>
    </row>
    <row r="1579" spans="1:113" ht="15" customHeight="1" x14ac:dyDescent="0.25">
      <c r="A1579" t="s">
        <v>17294</v>
      </c>
      <c r="B1579" t="s">
        <v>152</v>
      </c>
      <c r="C1579" s="1">
        <v>45125.934254398147</v>
      </c>
      <c r="D1579" s="1">
        <v>45209</v>
      </c>
      <c r="E1579" t="s">
        <v>114</v>
      </c>
      <c r="F1579" t="s">
        <v>2866</v>
      </c>
      <c r="G1579" t="str">
        <f>"35-9021.00"</f>
        <v>35-9021.00</v>
      </c>
      <c r="H1579" t="s">
        <v>501</v>
      </c>
      <c r="I1579">
        <v>4</v>
      </c>
      <c r="J1579">
        <v>4</v>
      </c>
      <c r="K1579" s="1">
        <v>45200</v>
      </c>
      <c r="L1579" s="1">
        <v>45473</v>
      </c>
      <c r="M1579" s="1">
        <v>45200</v>
      </c>
      <c r="N1579" s="1">
        <v>45473</v>
      </c>
      <c r="O1579" t="s">
        <v>116</v>
      </c>
      <c r="P1579" t="s">
        <v>1060</v>
      </c>
      <c r="Q1579" t="s">
        <v>1061</v>
      </c>
      <c r="R1579" t="s">
        <v>1062</v>
      </c>
      <c r="T1579" t="s">
        <v>761</v>
      </c>
      <c r="U1579" t="s">
        <v>140</v>
      </c>
      <c r="V1579" s="8" t="str">
        <f>"33445"</f>
        <v>33445</v>
      </c>
      <c r="W1579" t="s">
        <v>118</v>
      </c>
      <c r="Y1579" s="10">
        <v>15618230990</v>
      </c>
      <c r="AA1579">
        <v>72111</v>
      </c>
      <c r="AB1579" t="s">
        <v>1063</v>
      </c>
      <c r="AC1579" t="s">
        <v>1064</v>
      </c>
      <c r="AE1579" t="s">
        <v>1065</v>
      </c>
      <c r="AF1579" t="s">
        <v>1066</v>
      </c>
      <c r="AH1579" t="s">
        <v>1067</v>
      </c>
      <c r="AI1579" t="s">
        <v>140</v>
      </c>
      <c r="AJ1579" s="8" t="str">
        <f>"33445"</f>
        <v>33445</v>
      </c>
      <c r="AK1579" t="s">
        <v>118</v>
      </c>
      <c r="AM1579" s="10">
        <v>13476719373</v>
      </c>
      <c r="AO1579" t="s">
        <v>1068</v>
      </c>
      <c r="AP1579" t="s">
        <v>121</v>
      </c>
      <c r="AQ1579" t="s">
        <v>1059</v>
      </c>
      <c r="AR1579" t="s">
        <v>1069</v>
      </c>
      <c r="AS1579" t="s">
        <v>962</v>
      </c>
      <c r="AT1579" t="s">
        <v>1070</v>
      </c>
      <c r="AU1579" t="s">
        <v>1071</v>
      </c>
      <c r="AV1579" t="s">
        <v>573</v>
      </c>
      <c r="AW1579" t="s">
        <v>550</v>
      </c>
      <c r="AX1579" s="8" t="str">
        <f>"30309"</f>
        <v>30309</v>
      </c>
      <c r="AY1579" t="s">
        <v>118</v>
      </c>
      <c r="BA1579" s="10">
        <v>14042404151</v>
      </c>
      <c r="BC1579" t="s">
        <v>1072</v>
      </c>
      <c r="BD1579" t="s">
        <v>1073</v>
      </c>
      <c r="BE1579" t="s">
        <v>550</v>
      </c>
      <c r="BF1579" t="s">
        <v>1074</v>
      </c>
      <c r="BG1579" t="s">
        <v>140</v>
      </c>
      <c r="BH1579" s="1">
        <v>45124.833333333336</v>
      </c>
      <c r="BI1579">
        <v>35</v>
      </c>
      <c r="BJ1579">
        <v>7</v>
      </c>
      <c r="BK1579">
        <v>7</v>
      </c>
      <c r="BL1579">
        <v>0</v>
      </c>
      <c r="BM1579">
        <v>7</v>
      </c>
      <c r="BN1579">
        <v>7</v>
      </c>
      <c r="BO1579">
        <v>7</v>
      </c>
      <c r="BP1579">
        <v>0</v>
      </c>
      <c r="BQ1579" t="str">
        <f>"6:00 AM"</f>
        <v>6:00 AM</v>
      </c>
      <c r="BR1579" t="str">
        <f>"2:00 PM"</f>
        <v>2:00 PM</v>
      </c>
      <c r="BS1579" t="s">
        <v>131</v>
      </c>
      <c r="BT1579">
        <v>0</v>
      </c>
      <c r="BU1579">
        <v>0</v>
      </c>
      <c r="BV1579" t="s">
        <v>114</v>
      </c>
      <c r="BX1579" t="s">
        <v>1075</v>
      </c>
      <c r="BY1579" t="s">
        <v>1062</v>
      </c>
      <c r="CA1579" t="s">
        <v>761</v>
      </c>
      <c r="CB1579" t="s">
        <v>140</v>
      </c>
      <c r="CC1579" s="8" t="str">
        <f>"33445"</f>
        <v>33445</v>
      </c>
      <c r="CD1579" t="s">
        <v>767</v>
      </c>
      <c r="CE1579" t="s">
        <v>149</v>
      </c>
      <c r="CF1579" s="12">
        <v>14</v>
      </c>
      <c r="CH1579" s="12">
        <v>21</v>
      </c>
      <c r="CJ1579" t="s">
        <v>135</v>
      </c>
      <c r="CL1579" t="s">
        <v>17295</v>
      </c>
      <c r="CO1579" t="s">
        <v>132</v>
      </c>
      <c r="CP1579" t="s">
        <v>114</v>
      </c>
      <c r="CQ1579" t="s">
        <v>136</v>
      </c>
      <c r="CR1579" t="s">
        <v>136</v>
      </c>
      <c r="CS1579" t="s">
        <v>136</v>
      </c>
      <c r="CT1579" t="s">
        <v>136</v>
      </c>
      <c r="CU1579" t="s">
        <v>136</v>
      </c>
      <c r="CV1579" t="s">
        <v>17296</v>
      </c>
      <c r="CW1579" s="10" t="str">
        <f>"+15618230990"</f>
        <v>+15618230990</v>
      </c>
      <c r="CX1579" t="s">
        <v>1078</v>
      </c>
      <c r="CY1579" t="s">
        <v>1079</v>
      </c>
      <c r="CZ1579" t="s">
        <v>137</v>
      </c>
      <c r="DA1579" t="s">
        <v>114</v>
      </c>
      <c r="DB1579" t="s">
        <v>136</v>
      </c>
      <c r="DC1579" t="s">
        <v>136</v>
      </c>
      <c r="DD1579" t="s">
        <v>114</v>
      </c>
    </row>
    <row r="1580" spans="1:113" ht="15" customHeight="1" x14ac:dyDescent="0.25">
      <c r="A1580" t="s">
        <v>12959</v>
      </c>
      <c r="B1580" t="s">
        <v>152</v>
      </c>
      <c r="C1580" s="1">
        <v>45125.929547916669</v>
      </c>
      <c r="D1580" s="1">
        <v>45209</v>
      </c>
      <c r="E1580" t="s">
        <v>114</v>
      </c>
      <c r="F1580" t="s">
        <v>12960</v>
      </c>
      <c r="G1580" t="str">
        <f>"35-9011.00"</f>
        <v>35-9011.00</v>
      </c>
      <c r="H1580" t="s">
        <v>1512</v>
      </c>
      <c r="I1580">
        <v>6</v>
      </c>
      <c r="J1580">
        <v>6</v>
      </c>
      <c r="K1580" s="1">
        <v>45200</v>
      </c>
      <c r="L1580" s="1">
        <v>45473</v>
      </c>
      <c r="M1580" s="1">
        <v>45200</v>
      </c>
      <c r="N1580" s="1">
        <v>45473</v>
      </c>
      <c r="O1580" t="s">
        <v>116</v>
      </c>
      <c r="P1580" t="s">
        <v>1060</v>
      </c>
      <c r="Q1580" t="s">
        <v>1061</v>
      </c>
      <c r="R1580" t="s">
        <v>1062</v>
      </c>
      <c r="T1580" t="s">
        <v>761</v>
      </c>
      <c r="U1580" t="s">
        <v>140</v>
      </c>
      <c r="V1580" s="8" t="str">
        <f>"33445"</f>
        <v>33445</v>
      </c>
      <c r="W1580" t="s">
        <v>118</v>
      </c>
      <c r="Y1580" s="10">
        <v>15618230990</v>
      </c>
      <c r="AA1580">
        <v>72111</v>
      </c>
      <c r="AB1580" t="s">
        <v>1063</v>
      </c>
      <c r="AC1580" t="s">
        <v>1064</v>
      </c>
      <c r="AE1580" t="s">
        <v>1065</v>
      </c>
      <c r="AF1580" t="s">
        <v>1066</v>
      </c>
      <c r="AH1580" t="s">
        <v>1067</v>
      </c>
      <c r="AI1580" t="s">
        <v>140</v>
      </c>
      <c r="AJ1580" s="8" t="str">
        <f>"33445"</f>
        <v>33445</v>
      </c>
      <c r="AK1580" t="s">
        <v>118</v>
      </c>
      <c r="AM1580" s="10">
        <v>13476719373</v>
      </c>
      <c r="AO1580" t="s">
        <v>1068</v>
      </c>
      <c r="AP1580" t="s">
        <v>121</v>
      </c>
      <c r="AQ1580" t="s">
        <v>1059</v>
      </c>
      <c r="AR1580" t="s">
        <v>1069</v>
      </c>
      <c r="AS1580" t="s">
        <v>962</v>
      </c>
      <c r="AT1580" t="s">
        <v>1070</v>
      </c>
      <c r="AU1580" t="s">
        <v>1071</v>
      </c>
      <c r="AV1580" t="s">
        <v>573</v>
      </c>
      <c r="AW1580" t="s">
        <v>550</v>
      </c>
      <c r="AX1580" s="8" t="str">
        <f>"30309"</f>
        <v>30309</v>
      </c>
      <c r="AY1580" t="s">
        <v>118</v>
      </c>
      <c r="BA1580" s="10">
        <v>14042404151</v>
      </c>
      <c r="BC1580" t="s">
        <v>1072</v>
      </c>
      <c r="BD1580" t="s">
        <v>1073</v>
      </c>
      <c r="BE1580" t="s">
        <v>550</v>
      </c>
      <c r="BF1580" t="s">
        <v>1074</v>
      </c>
      <c r="BG1580" t="s">
        <v>140</v>
      </c>
      <c r="BH1580" s="1">
        <v>45124.833333333336</v>
      </c>
      <c r="BI1580">
        <v>35</v>
      </c>
      <c r="BJ1580">
        <v>7</v>
      </c>
      <c r="BK1580">
        <v>7</v>
      </c>
      <c r="BL1580">
        <v>0</v>
      </c>
      <c r="BM1580">
        <v>7</v>
      </c>
      <c r="BN1580">
        <v>7</v>
      </c>
      <c r="BO1580">
        <v>7</v>
      </c>
      <c r="BP1580">
        <v>0</v>
      </c>
      <c r="BQ1580" t="str">
        <f>"6:00 AM"</f>
        <v>6:00 AM</v>
      </c>
      <c r="BR1580" t="str">
        <f>"2:00 PM"</f>
        <v>2:00 PM</v>
      </c>
      <c r="BS1580" t="s">
        <v>131</v>
      </c>
      <c r="BT1580">
        <v>0</v>
      </c>
      <c r="BU1580">
        <v>0</v>
      </c>
      <c r="BV1580" t="s">
        <v>114</v>
      </c>
      <c r="BX1580" t="s">
        <v>12961</v>
      </c>
      <c r="BY1580" t="s">
        <v>1062</v>
      </c>
      <c r="CA1580" t="s">
        <v>761</v>
      </c>
      <c r="CB1580" t="s">
        <v>140</v>
      </c>
      <c r="CC1580" s="8" t="str">
        <f>"33445"</f>
        <v>33445</v>
      </c>
      <c r="CD1580" t="s">
        <v>767</v>
      </c>
      <c r="CE1580" t="s">
        <v>149</v>
      </c>
      <c r="CF1580" s="12">
        <v>12.2</v>
      </c>
      <c r="CH1580" s="12">
        <v>18.3</v>
      </c>
      <c r="CJ1580" t="s">
        <v>135</v>
      </c>
      <c r="CK1580" t="s">
        <v>12962</v>
      </c>
      <c r="CL1580" t="s">
        <v>12963</v>
      </c>
      <c r="CO1580" t="s">
        <v>132</v>
      </c>
      <c r="CP1580" t="s">
        <v>114</v>
      </c>
      <c r="CQ1580" t="s">
        <v>136</v>
      </c>
      <c r="CR1580" t="s">
        <v>136</v>
      </c>
      <c r="CS1580" t="s">
        <v>136</v>
      </c>
      <c r="CT1580" t="s">
        <v>136</v>
      </c>
      <c r="CU1580" t="s">
        <v>136</v>
      </c>
      <c r="CV1580" t="s">
        <v>10154</v>
      </c>
      <c r="CW1580" s="10" t="str">
        <f>"+15618230990"</f>
        <v>+15618230990</v>
      </c>
      <c r="CX1580" t="s">
        <v>1078</v>
      </c>
      <c r="CY1580" t="s">
        <v>1079</v>
      </c>
      <c r="CZ1580" t="s">
        <v>137</v>
      </c>
      <c r="DA1580" t="s">
        <v>114</v>
      </c>
      <c r="DB1580" t="s">
        <v>136</v>
      </c>
      <c r="DC1580" t="s">
        <v>136</v>
      </c>
      <c r="DD1580" t="s">
        <v>114</v>
      </c>
    </row>
    <row r="1581" spans="1:113" ht="15" customHeight="1" x14ac:dyDescent="0.25">
      <c r="A1581" t="s">
        <v>1396</v>
      </c>
      <c r="B1581" t="s">
        <v>152</v>
      </c>
      <c r="C1581" s="1">
        <v>45124.959878587964</v>
      </c>
      <c r="D1581" s="1">
        <v>45209</v>
      </c>
      <c r="E1581" t="s">
        <v>136</v>
      </c>
      <c r="F1581" t="s">
        <v>1397</v>
      </c>
      <c r="G1581" t="str">
        <f>"39-9011.01"</f>
        <v>39-9011.01</v>
      </c>
      <c r="H1581" t="s">
        <v>183</v>
      </c>
      <c r="I1581">
        <v>1</v>
      </c>
      <c r="J1581">
        <v>1</v>
      </c>
      <c r="K1581" s="1">
        <v>45200</v>
      </c>
      <c r="L1581" s="1">
        <v>45565</v>
      </c>
      <c r="M1581" s="1">
        <v>45200</v>
      </c>
      <c r="N1581" s="1">
        <v>45565</v>
      </c>
      <c r="O1581" t="s">
        <v>184</v>
      </c>
      <c r="P1581" t="s">
        <v>1398</v>
      </c>
      <c r="Q1581" t="s">
        <v>1399</v>
      </c>
      <c r="R1581" t="s">
        <v>1400</v>
      </c>
      <c r="S1581" t="s">
        <v>1401</v>
      </c>
      <c r="T1581" t="s">
        <v>1402</v>
      </c>
      <c r="U1581" t="s">
        <v>358</v>
      </c>
      <c r="V1581" s="8" t="str">
        <f>"10538"</f>
        <v>10538</v>
      </c>
      <c r="W1581" t="s">
        <v>118</v>
      </c>
      <c r="Y1581" s="10">
        <v>16465286671</v>
      </c>
      <c r="AA1581">
        <v>54151</v>
      </c>
      <c r="AB1581" t="s">
        <v>1403</v>
      </c>
      <c r="AC1581" t="s">
        <v>1404</v>
      </c>
      <c r="AE1581" t="s">
        <v>1405</v>
      </c>
      <c r="AF1581" t="s">
        <v>1406</v>
      </c>
      <c r="AG1581" t="s">
        <v>1401</v>
      </c>
      <c r="AH1581" t="s">
        <v>1402</v>
      </c>
      <c r="AI1581" t="s">
        <v>358</v>
      </c>
      <c r="AJ1581" s="8" t="str">
        <f>"10583"</f>
        <v>10583</v>
      </c>
      <c r="AK1581" t="s">
        <v>118</v>
      </c>
      <c r="AM1581" s="10">
        <v>16465286671</v>
      </c>
      <c r="AO1581" t="s">
        <v>1407</v>
      </c>
      <c r="AP1581" t="s">
        <v>121</v>
      </c>
      <c r="AQ1581" t="s">
        <v>1408</v>
      </c>
      <c r="AR1581" t="s">
        <v>1409</v>
      </c>
      <c r="AS1581" t="s">
        <v>1410</v>
      </c>
      <c r="AT1581" t="s">
        <v>1411</v>
      </c>
      <c r="AU1581" t="s">
        <v>874</v>
      </c>
      <c r="AV1581" t="s">
        <v>1412</v>
      </c>
      <c r="AW1581" t="s">
        <v>358</v>
      </c>
      <c r="AX1581" s="8" t="str">
        <f>"10301"</f>
        <v>10301</v>
      </c>
      <c r="AY1581" t="s">
        <v>118</v>
      </c>
      <c r="BA1581" s="10">
        <v>16468298805</v>
      </c>
      <c r="BC1581" t="s">
        <v>1413</v>
      </c>
      <c r="BD1581" t="s">
        <v>1414</v>
      </c>
      <c r="BE1581" t="s">
        <v>740</v>
      </c>
      <c r="BF1581" t="s">
        <v>172</v>
      </c>
      <c r="BG1581" t="s">
        <v>358</v>
      </c>
      <c r="BH1581" s="1">
        <v>45123.833333333336</v>
      </c>
      <c r="BI1581">
        <v>40</v>
      </c>
      <c r="BJ1581">
        <v>0</v>
      </c>
      <c r="BK1581">
        <v>8</v>
      </c>
      <c r="BL1581">
        <v>8</v>
      </c>
      <c r="BM1581">
        <v>8</v>
      </c>
      <c r="BN1581">
        <v>8</v>
      </c>
      <c r="BO1581">
        <v>8</v>
      </c>
      <c r="BP1581">
        <v>0</v>
      </c>
      <c r="BQ1581" t="str">
        <f>"9:30 AM"</f>
        <v>9:30 AM</v>
      </c>
      <c r="BR1581" t="str">
        <f>"6:00 PM"</f>
        <v>6:00 PM</v>
      </c>
      <c r="BS1581" t="s">
        <v>131</v>
      </c>
      <c r="BT1581">
        <v>0</v>
      </c>
      <c r="BU1581">
        <v>0</v>
      </c>
      <c r="BV1581" t="s">
        <v>114</v>
      </c>
      <c r="BX1581" s="2" t="s">
        <v>1415</v>
      </c>
      <c r="BY1581" t="s">
        <v>1400</v>
      </c>
      <c r="BZ1581" t="s">
        <v>1416</v>
      </c>
      <c r="CA1581" t="s">
        <v>1402</v>
      </c>
      <c r="CB1581" t="s">
        <v>358</v>
      </c>
      <c r="CC1581" s="8" t="str">
        <f>"10538"</f>
        <v>10538</v>
      </c>
      <c r="CD1581" t="s">
        <v>1417</v>
      </c>
      <c r="CE1581" t="s">
        <v>1418</v>
      </c>
      <c r="CF1581" s="12">
        <v>16.329999999999998</v>
      </c>
      <c r="CH1581" s="12">
        <v>24.5</v>
      </c>
      <c r="CJ1581" t="s">
        <v>135</v>
      </c>
      <c r="CL1581" t="s">
        <v>1419</v>
      </c>
      <c r="CO1581" t="s">
        <v>132</v>
      </c>
      <c r="CP1581" t="s">
        <v>114</v>
      </c>
      <c r="CQ1581" t="s">
        <v>114</v>
      </c>
      <c r="CR1581" t="s">
        <v>136</v>
      </c>
      <c r="CS1581" t="s">
        <v>136</v>
      </c>
      <c r="CT1581" t="s">
        <v>136</v>
      </c>
      <c r="CU1581" t="s">
        <v>136</v>
      </c>
      <c r="CV1581" t="s">
        <v>131</v>
      </c>
      <c r="CW1581" s="10" t="str">
        <f>"+16465286671"</f>
        <v>+16465286671</v>
      </c>
      <c r="CX1581" t="s">
        <v>1407</v>
      </c>
      <c r="CY1581" t="s">
        <v>132</v>
      </c>
      <c r="CZ1581" t="s">
        <v>137</v>
      </c>
      <c r="DA1581" t="s">
        <v>114</v>
      </c>
      <c r="DB1581" t="s">
        <v>114</v>
      </c>
      <c r="DC1581" t="s">
        <v>136</v>
      </c>
      <c r="DD1581" t="s">
        <v>114</v>
      </c>
    </row>
    <row r="1582" spans="1:113" ht="15" customHeight="1" x14ac:dyDescent="0.25">
      <c r="A1582" t="s">
        <v>13238</v>
      </c>
      <c r="B1582" t="s">
        <v>152</v>
      </c>
      <c r="C1582" s="1">
        <v>45124.558524652777</v>
      </c>
      <c r="D1582" s="1">
        <v>45209</v>
      </c>
      <c r="E1582" t="s">
        <v>114</v>
      </c>
      <c r="F1582" t="s">
        <v>4017</v>
      </c>
      <c r="G1582" t="str">
        <f>"39-2021.00"</f>
        <v>39-2021.00</v>
      </c>
      <c r="H1582" t="s">
        <v>2895</v>
      </c>
      <c r="I1582">
        <v>16</v>
      </c>
      <c r="J1582">
        <v>16</v>
      </c>
      <c r="K1582" s="1">
        <v>45214</v>
      </c>
      <c r="L1582" s="1">
        <v>45412</v>
      </c>
      <c r="M1582" s="1">
        <v>45214</v>
      </c>
      <c r="N1582" s="1">
        <v>45412</v>
      </c>
      <c r="O1582" t="s">
        <v>238</v>
      </c>
      <c r="P1582" t="s">
        <v>13239</v>
      </c>
      <c r="R1582" t="s">
        <v>13240</v>
      </c>
      <c r="T1582" t="s">
        <v>13241</v>
      </c>
      <c r="U1582" t="s">
        <v>333</v>
      </c>
      <c r="V1582" s="8" t="str">
        <f>"70401"</f>
        <v>70401</v>
      </c>
      <c r="W1582" t="s">
        <v>118</v>
      </c>
      <c r="Y1582" s="10">
        <v>15046285222</v>
      </c>
      <c r="AA1582">
        <v>711212</v>
      </c>
      <c r="AB1582" t="s">
        <v>13242</v>
      </c>
      <c r="AC1582" t="s">
        <v>13243</v>
      </c>
      <c r="AE1582" t="s">
        <v>3852</v>
      </c>
      <c r="AF1582" t="s">
        <v>13244</v>
      </c>
      <c r="AH1582" t="s">
        <v>2292</v>
      </c>
      <c r="AI1582" t="s">
        <v>333</v>
      </c>
      <c r="AJ1582" s="8" t="str">
        <f>"70401"</f>
        <v>70401</v>
      </c>
      <c r="AK1582" t="s">
        <v>118</v>
      </c>
      <c r="AM1582" s="10">
        <v>15046285222</v>
      </c>
      <c r="AO1582" t="s">
        <v>13245</v>
      </c>
      <c r="AP1582" t="s">
        <v>121</v>
      </c>
      <c r="AQ1582" t="s">
        <v>3854</v>
      </c>
      <c r="AR1582" t="s">
        <v>144</v>
      </c>
      <c r="AS1582" t="s">
        <v>3855</v>
      </c>
      <c r="AT1582" t="s">
        <v>2605</v>
      </c>
      <c r="AU1582" t="s">
        <v>2606</v>
      </c>
      <c r="AV1582" t="s">
        <v>2607</v>
      </c>
      <c r="AW1582" t="s">
        <v>2608</v>
      </c>
      <c r="AX1582" s="8" t="str">
        <f>"73069"</f>
        <v>73069</v>
      </c>
      <c r="AY1582" t="s">
        <v>118</v>
      </c>
      <c r="BA1582" s="10">
        <v>14053642525</v>
      </c>
      <c r="BC1582" t="s">
        <v>2609</v>
      </c>
      <c r="BD1582" t="s">
        <v>2610</v>
      </c>
      <c r="BE1582" t="s">
        <v>2608</v>
      </c>
      <c r="BF1582" t="s">
        <v>2611</v>
      </c>
      <c r="BG1582" t="s">
        <v>333</v>
      </c>
      <c r="BH1582" s="1">
        <v>45123.833333333336</v>
      </c>
      <c r="BI1582">
        <v>40</v>
      </c>
      <c r="BJ1582">
        <v>5</v>
      </c>
      <c r="BK1582">
        <v>6</v>
      </c>
      <c r="BL1582">
        <v>6</v>
      </c>
      <c r="BM1582">
        <v>6</v>
      </c>
      <c r="BN1582">
        <v>6</v>
      </c>
      <c r="BO1582">
        <v>6</v>
      </c>
      <c r="BP1582">
        <v>5</v>
      </c>
      <c r="BQ1582" t="str">
        <f>"5:00 AM"</f>
        <v>5:00 AM</v>
      </c>
      <c r="BR1582" t="str">
        <f>"5:00 PM"</f>
        <v>5:00 PM</v>
      </c>
      <c r="BS1582" t="s">
        <v>131</v>
      </c>
      <c r="BT1582">
        <v>0</v>
      </c>
      <c r="BU1582">
        <v>1</v>
      </c>
      <c r="BV1582" t="s">
        <v>114</v>
      </c>
      <c r="BX1582" s="2" t="s">
        <v>2870</v>
      </c>
      <c r="BY1582" t="s">
        <v>13246</v>
      </c>
      <c r="BZ1582" t="s">
        <v>13247</v>
      </c>
      <c r="CA1582" t="s">
        <v>5109</v>
      </c>
      <c r="CB1582" t="s">
        <v>333</v>
      </c>
      <c r="CC1582" s="8" t="str">
        <f>"70119"</f>
        <v>70119</v>
      </c>
      <c r="CD1582" t="s">
        <v>679</v>
      </c>
      <c r="CE1582" t="s">
        <v>341</v>
      </c>
      <c r="CF1582" s="12">
        <v>11.85</v>
      </c>
      <c r="CG1582" s="12">
        <v>11.85</v>
      </c>
      <c r="CH1582" s="12">
        <v>17.78</v>
      </c>
      <c r="CI1582" s="12">
        <v>17.78</v>
      </c>
      <c r="CJ1582" t="s">
        <v>135</v>
      </c>
      <c r="CL1582" t="s">
        <v>13248</v>
      </c>
      <c r="CO1582" t="s">
        <v>132</v>
      </c>
      <c r="CP1582" t="s">
        <v>114</v>
      </c>
      <c r="CQ1582" t="s">
        <v>114</v>
      </c>
      <c r="CR1582" t="s">
        <v>136</v>
      </c>
      <c r="CS1582" t="s">
        <v>114</v>
      </c>
      <c r="CT1582" t="s">
        <v>136</v>
      </c>
      <c r="CU1582" t="s">
        <v>136</v>
      </c>
      <c r="CV1582" s="2" t="s">
        <v>13249</v>
      </c>
      <c r="CW1582" s="10" t="str">
        <f>"+15046584500"</f>
        <v>+15046584500</v>
      </c>
      <c r="CX1582" t="s">
        <v>13245</v>
      </c>
      <c r="CY1582" t="s">
        <v>132</v>
      </c>
      <c r="CZ1582" t="s">
        <v>137</v>
      </c>
      <c r="DA1582" t="s">
        <v>114</v>
      </c>
      <c r="DB1582" t="s">
        <v>114</v>
      </c>
      <c r="DC1582" t="s">
        <v>136</v>
      </c>
      <c r="DD1582" t="s">
        <v>114</v>
      </c>
    </row>
    <row r="1583" spans="1:113" ht="15" customHeight="1" x14ac:dyDescent="0.25">
      <c r="A1583" t="s">
        <v>7050</v>
      </c>
      <c r="B1583" t="s">
        <v>152</v>
      </c>
      <c r="C1583" s="1">
        <v>45124.404470833331</v>
      </c>
      <c r="D1583" s="1">
        <v>45209</v>
      </c>
      <c r="E1583" t="s">
        <v>114</v>
      </c>
      <c r="F1583" t="s">
        <v>6288</v>
      </c>
      <c r="G1583" t="str">
        <f>"37-3011.00"</f>
        <v>37-3011.00</v>
      </c>
      <c r="H1583" t="s">
        <v>429</v>
      </c>
      <c r="I1583">
        <v>25</v>
      </c>
      <c r="J1583">
        <v>25</v>
      </c>
      <c r="K1583" s="1">
        <v>45200</v>
      </c>
      <c r="L1583" s="1">
        <v>45382</v>
      </c>
      <c r="M1583" s="1">
        <v>45200</v>
      </c>
      <c r="N1583" s="1">
        <v>45382</v>
      </c>
      <c r="O1583" t="s">
        <v>238</v>
      </c>
      <c r="P1583" t="s">
        <v>7051</v>
      </c>
      <c r="Q1583" t="s">
        <v>6290</v>
      </c>
      <c r="R1583" t="s">
        <v>6291</v>
      </c>
      <c r="S1583" t="s">
        <v>6292</v>
      </c>
      <c r="T1583" t="s">
        <v>1658</v>
      </c>
      <c r="U1583" t="s">
        <v>558</v>
      </c>
      <c r="V1583" s="8" t="str">
        <f>"85260"</f>
        <v>85260</v>
      </c>
      <c r="W1583" t="s">
        <v>118</v>
      </c>
      <c r="Y1583" s="10">
        <v>16027816775</v>
      </c>
      <c r="AA1583">
        <v>111421</v>
      </c>
      <c r="AB1583" t="s">
        <v>6293</v>
      </c>
      <c r="AC1583" t="s">
        <v>3207</v>
      </c>
      <c r="AE1583" t="s">
        <v>6294</v>
      </c>
      <c r="AF1583" t="s">
        <v>6295</v>
      </c>
      <c r="AG1583" t="s">
        <v>6296</v>
      </c>
      <c r="AH1583" t="s">
        <v>1658</v>
      </c>
      <c r="AI1583" t="s">
        <v>558</v>
      </c>
      <c r="AJ1583" s="8" t="str">
        <f>"85260"</f>
        <v>85260</v>
      </c>
      <c r="AK1583" t="s">
        <v>118</v>
      </c>
      <c r="AM1583" s="10">
        <v>16027816775</v>
      </c>
      <c r="AO1583" t="s">
        <v>6297</v>
      </c>
      <c r="AP1583" t="s">
        <v>121</v>
      </c>
      <c r="AQ1583" t="s">
        <v>1902</v>
      </c>
      <c r="AR1583" t="s">
        <v>1903</v>
      </c>
      <c r="AS1583" t="s">
        <v>1555</v>
      </c>
      <c r="AT1583" t="s">
        <v>1904</v>
      </c>
      <c r="AU1583" t="s">
        <v>1905</v>
      </c>
      <c r="AV1583" t="s">
        <v>1906</v>
      </c>
      <c r="AW1583" t="s">
        <v>358</v>
      </c>
      <c r="AX1583" s="8" t="str">
        <f>"12207"</f>
        <v>12207</v>
      </c>
      <c r="AY1583" t="s">
        <v>118</v>
      </c>
      <c r="BA1583" s="10">
        <v>15187012770</v>
      </c>
      <c r="BC1583" t="s">
        <v>2117</v>
      </c>
      <c r="BD1583" t="s">
        <v>1907</v>
      </c>
      <c r="BE1583" t="s">
        <v>358</v>
      </c>
      <c r="BF1583" t="s">
        <v>1908</v>
      </c>
      <c r="BG1583" t="s">
        <v>402</v>
      </c>
      <c r="BH1583" s="1">
        <v>45123.833333333336</v>
      </c>
      <c r="BI1583">
        <v>40</v>
      </c>
      <c r="BJ1583">
        <v>0</v>
      </c>
      <c r="BK1583">
        <v>8</v>
      </c>
      <c r="BL1583">
        <v>8</v>
      </c>
      <c r="BM1583">
        <v>8</v>
      </c>
      <c r="BN1583">
        <v>8</v>
      </c>
      <c r="BO1583">
        <v>8</v>
      </c>
      <c r="BP1583">
        <v>0</v>
      </c>
      <c r="BQ1583" t="str">
        <f>"6:00 AM"</f>
        <v>6:00 AM</v>
      </c>
      <c r="BR1583" t="str">
        <f>"2:30 PM"</f>
        <v>2:30 PM</v>
      </c>
      <c r="BS1583" t="s">
        <v>131</v>
      </c>
      <c r="BT1583">
        <v>0</v>
      </c>
      <c r="BU1583">
        <v>0</v>
      </c>
      <c r="BV1583" t="s">
        <v>114</v>
      </c>
      <c r="BX1583" s="2" t="s">
        <v>7052</v>
      </c>
      <c r="BY1583" t="s">
        <v>7053</v>
      </c>
      <c r="CA1583" t="s">
        <v>7054</v>
      </c>
      <c r="CB1583" t="s">
        <v>402</v>
      </c>
      <c r="CC1583" s="8" t="str">
        <f>"92504"</f>
        <v>92504</v>
      </c>
      <c r="CD1583" t="s">
        <v>5876</v>
      </c>
      <c r="CE1583" t="s">
        <v>4484</v>
      </c>
      <c r="CF1583" s="12">
        <v>19</v>
      </c>
      <c r="CH1583" s="12">
        <v>28.5</v>
      </c>
      <c r="CJ1583" t="s">
        <v>135</v>
      </c>
      <c r="CK1583" t="s">
        <v>3061</v>
      </c>
      <c r="CL1583" t="s">
        <v>7055</v>
      </c>
      <c r="CO1583" t="s">
        <v>132</v>
      </c>
      <c r="CP1583" t="s">
        <v>136</v>
      </c>
      <c r="CQ1583" t="s">
        <v>136</v>
      </c>
      <c r="CR1583" t="s">
        <v>136</v>
      </c>
      <c r="CS1583" t="s">
        <v>136</v>
      </c>
      <c r="CT1583" t="s">
        <v>136</v>
      </c>
      <c r="CU1583" t="s">
        <v>136</v>
      </c>
      <c r="CV1583" s="2" t="s">
        <v>7056</v>
      </c>
      <c r="CW1583" s="10" t="str">
        <f>"+16027816775"</f>
        <v>+16027816775</v>
      </c>
      <c r="CX1583" t="s">
        <v>6297</v>
      </c>
      <c r="CY1583" t="s">
        <v>132</v>
      </c>
      <c r="CZ1583" t="s">
        <v>137</v>
      </c>
      <c r="DA1583" t="s">
        <v>114</v>
      </c>
      <c r="DB1583" t="s">
        <v>114</v>
      </c>
      <c r="DC1583" t="s">
        <v>136</v>
      </c>
      <c r="DD1583" t="s">
        <v>114</v>
      </c>
      <c r="DE1583" t="s">
        <v>6302</v>
      </c>
      <c r="DF1583" t="s">
        <v>7057</v>
      </c>
      <c r="DH1583" t="s">
        <v>2897</v>
      </c>
      <c r="DI1583" t="s">
        <v>2121</v>
      </c>
    </row>
    <row r="1584" spans="1:113" ht="15" customHeight="1" x14ac:dyDescent="0.25">
      <c r="A1584" t="s">
        <v>21954</v>
      </c>
      <c r="B1584" t="s">
        <v>152</v>
      </c>
      <c r="C1584" s="1">
        <v>45124.382555902775</v>
      </c>
      <c r="D1584" s="1">
        <v>45209</v>
      </c>
      <c r="E1584" t="s">
        <v>114</v>
      </c>
      <c r="F1584" t="s">
        <v>9592</v>
      </c>
      <c r="G1584" t="str">
        <f>"35-3023.00"</f>
        <v>35-3023.00</v>
      </c>
      <c r="H1584" t="s">
        <v>1365</v>
      </c>
      <c r="I1584">
        <v>15</v>
      </c>
      <c r="J1584">
        <v>15</v>
      </c>
      <c r="K1584" s="1">
        <v>45214</v>
      </c>
      <c r="L1584" s="1">
        <v>45383</v>
      </c>
      <c r="M1584" s="1">
        <v>45214</v>
      </c>
      <c r="N1584" s="1">
        <v>45383</v>
      </c>
      <c r="O1584" t="s">
        <v>238</v>
      </c>
      <c r="P1584" t="s">
        <v>21955</v>
      </c>
      <c r="R1584" t="s">
        <v>18601</v>
      </c>
      <c r="T1584" t="s">
        <v>603</v>
      </c>
      <c r="U1584" t="s">
        <v>169</v>
      </c>
      <c r="V1584" s="8" t="str">
        <f>"55912"</f>
        <v>55912</v>
      </c>
      <c r="W1584" t="s">
        <v>118</v>
      </c>
      <c r="X1584" t="s">
        <v>169</v>
      </c>
      <c r="Y1584" s="10">
        <v>15074211787</v>
      </c>
      <c r="AA1584">
        <v>7139</v>
      </c>
      <c r="AB1584" t="s">
        <v>21956</v>
      </c>
      <c r="AC1584" t="s">
        <v>6805</v>
      </c>
      <c r="AD1584" t="s">
        <v>150</v>
      </c>
      <c r="AE1584" t="s">
        <v>561</v>
      </c>
      <c r="AF1584" t="s">
        <v>18601</v>
      </c>
      <c r="AH1584" t="s">
        <v>603</v>
      </c>
      <c r="AI1584" t="s">
        <v>169</v>
      </c>
      <c r="AJ1584" s="8" t="str">
        <f>"55912"</f>
        <v>55912</v>
      </c>
      <c r="AK1584" t="s">
        <v>118</v>
      </c>
      <c r="AM1584" s="10">
        <v>15074211787</v>
      </c>
      <c r="AO1584" t="s">
        <v>21957</v>
      </c>
      <c r="AP1584" t="s">
        <v>121</v>
      </c>
      <c r="AQ1584" t="s">
        <v>1718</v>
      </c>
      <c r="AR1584" t="s">
        <v>708</v>
      </c>
      <c r="AS1584" t="s">
        <v>1719</v>
      </c>
      <c r="AT1584" t="s">
        <v>1720</v>
      </c>
      <c r="AU1584" t="s">
        <v>799</v>
      </c>
      <c r="AV1584" t="s">
        <v>1721</v>
      </c>
      <c r="AW1584" t="s">
        <v>1722</v>
      </c>
      <c r="AX1584" s="8" t="str">
        <f>"21401"</f>
        <v>21401</v>
      </c>
      <c r="AY1584" t="s">
        <v>118</v>
      </c>
      <c r="BA1584" s="10">
        <v>14105739955</v>
      </c>
      <c r="BB1584">
        <v>0</v>
      </c>
      <c r="BC1584" t="s">
        <v>1723</v>
      </c>
      <c r="BD1584" t="s">
        <v>1724</v>
      </c>
      <c r="BE1584" t="s">
        <v>1722</v>
      </c>
      <c r="BF1584" t="s">
        <v>1725</v>
      </c>
      <c r="BG1584" t="s">
        <v>169</v>
      </c>
      <c r="BH1584" s="1">
        <v>45106.833333333336</v>
      </c>
      <c r="BI1584">
        <v>35</v>
      </c>
      <c r="BJ1584">
        <v>5</v>
      </c>
      <c r="BK1584">
        <v>5</v>
      </c>
      <c r="BL1584">
        <v>5</v>
      </c>
      <c r="BM1584">
        <v>5</v>
      </c>
      <c r="BN1584">
        <v>5</v>
      </c>
      <c r="BO1584">
        <v>5</v>
      </c>
      <c r="BP1584">
        <v>5</v>
      </c>
      <c r="BQ1584" t="str">
        <f>"10:00 AM"</f>
        <v>10:00 AM</v>
      </c>
      <c r="BR1584" t="str">
        <f>"7:00 PM"</f>
        <v>7:00 PM</v>
      </c>
      <c r="BS1584" t="s">
        <v>131</v>
      </c>
      <c r="BT1584">
        <v>0</v>
      </c>
      <c r="BU1584">
        <v>0</v>
      </c>
      <c r="BV1584" t="s">
        <v>114</v>
      </c>
      <c r="BX1584" s="2" t="s">
        <v>21958</v>
      </c>
      <c r="BY1584" t="s">
        <v>21959</v>
      </c>
      <c r="CA1584" t="s">
        <v>2226</v>
      </c>
      <c r="CB1584" t="s">
        <v>169</v>
      </c>
      <c r="CC1584" s="8" t="str">
        <f>"55902"</f>
        <v>55902</v>
      </c>
      <c r="CD1584" t="s">
        <v>10858</v>
      </c>
      <c r="CE1584" t="s">
        <v>10859</v>
      </c>
      <c r="CF1584" s="12">
        <v>13.03</v>
      </c>
      <c r="CG1584" s="12">
        <v>13.66</v>
      </c>
      <c r="CJ1584" t="s">
        <v>135</v>
      </c>
      <c r="CK1584" t="s">
        <v>4224</v>
      </c>
      <c r="CL1584" t="s">
        <v>21960</v>
      </c>
      <c r="CO1584" t="s">
        <v>132</v>
      </c>
      <c r="CP1584" t="s">
        <v>136</v>
      </c>
      <c r="CQ1584" t="s">
        <v>114</v>
      </c>
      <c r="CR1584" t="s">
        <v>114</v>
      </c>
      <c r="CS1584" t="s">
        <v>136</v>
      </c>
      <c r="CT1584" t="s">
        <v>136</v>
      </c>
      <c r="CU1584" t="s">
        <v>136</v>
      </c>
      <c r="CV1584" t="s">
        <v>21961</v>
      </c>
      <c r="CW1584" s="10" t="str">
        <f>"+15074211787"</f>
        <v>+15074211787</v>
      </c>
      <c r="CX1584" t="s">
        <v>21962</v>
      </c>
      <c r="CY1584" t="s">
        <v>132</v>
      </c>
      <c r="CZ1584" t="s">
        <v>137</v>
      </c>
      <c r="DA1584" t="s">
        <v>114</v>
      </c>
      <c r="DB1584" t="s">
        <v>136</v>
      </c>
      <c r="DC1584" t="s">
        <v>136</v>
      </c>
      <c r="DD1584" t="s">
        <v>114</v>
      </c>
    </row>
    <row r="1585" spans="1:113" ht="15" customHeight="1" x14ac:dyDescent="0.25">
      <c r="A1585" t="s">
        <v>14429</v>
      </c>
      <c r="B1585" t="s">
        <v>152</v>
      </c>
      <c r="C1585" s="1">
        <v>45124.363329282409</v>
      </c>
      <c r="D1585" s="1">
        <v>45209</v>
      </c>
      <c r="E1585" t="s">
        <v>136</v>
      </c>
      <c r="F1585" t="s">
        <v>1059</v>
      </c>
      <c r="G1585" t="str">
        <f>"35-2014.00"</f>
        <v>35-2014.00</v>
      </c>
      <c r="H1585" t="s">
        <v>154</v>
      </c>
      <c r="I1585">
        <v>14</v>
      </c>
      <c r="J1585">
        <v>14</v>
      </c>
      <c r="K1585" s="1">
        <v>45214</v>
      </c>
      <c r="L1585" s="1">
        <v>45443</v>
      </c>
      <c r="M1585" s="1">
        <v>45214</v>
      </c>
      <c r="N1585" s="1">
        <v>45443</v>
      </c>
      <c r="O1585" t="s">
        <v>116</v>
      </c>
      <c r="P1585" t="s">
        <v>14430</v>
      </c>
      <c r="R1585" t="s">
        <v>14431</v>
      </c>
      <c r="T1585" t="s">
        <v>1614</v>
      </c>
      <c r="U1585" t="s">
        <v>140</v>
      </c>
      <c r="V1585" s="8" t="str">
        <f>"34120"</f>
        <v>34120</v>
      </c>
      <c r="W1585" t="s">
        <v>118</v>
      </c>
      <c r="Y1585" s="10">
        <v>12393541773</v>
      </c>
      <c r="AA1585">
        <v>713910</v>
      </c>
      <c r="AB1585" t="s">
        <v>14432</v>
      </c>
      <c r="AC1585" t="s">
        <v>1826</v>
      </c>
      <c r="AE1585" t="s">
        <v>5347</v>
      </c>
      <c r="AF1585" t="s">
        <v>14431</v>
      </c>
      <c r="AH1585" t="s">
        <v>1614</v>
      </c>
      <c r="AI1585" t="s">
        <v>140</v>
      </c>
      <c r="AJ1585" s="8" t="str">
        <f>"34120"</f>
        <v>34120</v>
      </c>
      <c r="AK1585" t="s">
        <v>118</v>
      </c>
      <c r="AM1585" s="10">
        <v>12393541773</v>
      </c>
      <c r="AO1585" t="s">
        <v>14433</v>
      </c>
      <c r="AP1585" t="s">
        <v>121</v>
      </c>
      <c r="AQ1585" t="s">
        <v>276</v>
      </c>
      <c r="AR1585" t="s">
        <v>277</v>
      </c>
      <c r="AS1585" t="s">
        <v>278</v>
      </c>
      <c r="AT1585" t="s">
        <v>279</v>
      </c>
      <c r="AU1585" t="s">
        <v>280</v>
      </c>
      <c r="AV1585" t="s">
        <v>281</v>
      </c>
      <c r="AW1585" t="s">
        <v>222</v>
      </c>
      <c r="AX1585" s="8" t="str">
        <f>"01701"</f>
        <v>01701</v>
      </c>
      <c r="AY1585" t="s">
        <v>118</v>
      </c>
      <c r="BA1585" s="10">
        <v>16179399444</v>
      </c>
      <c r="BC1585" t="s">
        <v>282</v>
      </c>
      <c r="BD1585" t="s">
        <v>283</v>
      </c>
      <c r="BE1585" t="s">
        <v>222</v>
      </c>
      <c r="BF1585" t="s">
        <v>284</v>
      </c>
      <c r="BG1585" t="s">
        <v>140</v>
      </c>
      <c r="BH1585" s="1">
        <v>45123.833333333336</v>
      </c>
      <c r="BI1585">
        <v>35</v>
      </c>
      <c r="BJ1585">
        <v>0</v>
      </c>
      <c r="BK1585">
        <v>7</v>
      </c>
      <c r="BL1585">
        <v>7</v>
      </c>
      <c r="BM1585">
        <v>7</v>
      </c>
      <c r="BN1585">
        <v>7</v>
      </c>
      <c r="BO1585">
        <v>7</v>
      </c>
      <c r="BP1585">
        <v>0</v>
      </c>
      <c r="BQ1585" t="str">
        <f>"6:00 AM"</f>
        <v>6:00 AM</v>
      </c>
      <c r="BR1585" t="str">
        <f>"1:00 PM"</f>
        <v>1:00 PM</v>
      </c>
      <c r="BS1585" t="s">
        <v>131</v>
      </c>
      <c r="BT1585">
        <v>0</v>
      </c>
      <c r="BU1585">
        <v>6</v>
      </c>
      <c r="BV1585" t="s">
        <v>114</v>
      </c>
      <c r="BX1585" s="2" t="s">
        <v>14434</v>
      </c>
      <c r="BY1585" t="s">
        <v>14431</v>
      </c>
      <c r="CA1585" t="s">
        <v>1614</v>
      </c>
      <c r="CB1585" t="s">
        <v>140</v>
      </c>
      <c r="CC1585" s="8" t="str">
        <f>"34120"</f>
        <v>34120</v>
      </c>
      <c r="CD1585" t="s">
        <v>1619</v>
      </c>
      <c r="CE1585" t="s">
        <v>1620</v>
      </c>
      <c r="CF1585" s="12">
        <v>16.75</v>
      </c>
      <c r="CG1585" s="12">
        <v>22</v>
      </c>
      <c r="CH1585" s="12">
        <v>25.13</v>
      </c>
      <c r="CI1585" s="12">
        <v>33</v>
      </c>
      <c r="CJ1585" t="s">
        <v>135</v>
      </c>
      <c r="CK1585" t="s">
        <v>14435</v>
      </c>
      <c r="CL1585" t="s">
        <v>14436</v>
      </c>
      <c r="CO1585" t="s">
        <v>132</v>
      </c>
      <c r="CP1585" t="s">
        <v>114</v>
      </c>
      <c r="CQ1585" t="s">
        <v>114</v>
      </c>
      <c r="CR1585" t="s">
        <v>136</v>
      </c>
      <c r="CS1585" t="s">
        <v>136</v>
      </c>
      <c r="CT1585" t="s">
        <v>136</v>
      </c>
      <c r="CU1585" t="s">
        <v>136</v>
      </c>
      <c r="CV1585" s="2" t="s">
        <v>14437</v>
      </c>
      <c r="CW1585" s="10" t="str">
        <f>"+12393541773"</f>
        <v>+12393541773</v>
      </c>
      <c r="CX1585" t="s">
        <v>14438</v>
      </c>
      <c r="CY1585" t="s">
        <v>132</v>
      </c>
      <c r="CZ1585" t="s">
        <v>137</v>
      </c>
      <c r="DA1585" t="s">
        <v>114</v>
      </c>
      <c r="DB1585" t="s">
        <v>114</v>
      </c>
      <c r="DC1585" t="s">
        <v>136</v>
      </c>
      <c r="DD1585" t="s">
        <v>114</v>
      </c>
    </row>
    <row r="1586" spans="1:113" ht="15" customHeight="1" x14ac:dyDescent="0.25">
      <c r="A1586" t="s">
        <v>11890</v>
      </c>
      <c r="B1586" t="s">
        <v>152</v>
      </c>
      <c r="C1586" s="1">
        <v>45124.000925462962</v>
      </c>
      <c r="D1586" s="1">
        <v>45209</v>
      </c>
      <c r="E1586" t="s">
        <v>114</v>
      </c>
      <c r="F1586" t="s">
        <v>10955</v>
      </c>
      <c r="G1586" t="str">
        <f>"45-4011.00"</f>
        <v>45-4011.00</v>
      </c>
      <c r="H1586" t="s">
        <v>842</v>
      </c>
      <c r="I1586">
        <v>27</v>
      </c>
      <c r="J1586">
        <v>27</v>
      </c>
      <c r="K1586" s="1">
        <v>45214</v>
      </c>
      <c r="L1586" s="1">
        <v>45397</v>
      </c>
      <c r="M1586" s="1">
        <v>45214</v>
      </c>
      <c r="N1586" s="1">
        <v>45397</v>
      </c>
      <c r="O1586" t="s">
        <v>238</v>
      </c>
      <c r="P1586" t="s">
        <v>11891</v>
      </c>
      <c r="R1586" t="s">
        <v>11892</v>
      </c>
      <c r="T1586" t="s">
        <v>11893</v>
      </c>
      <c r="U1586" t="s">
        <v>550</v>
      </c>
      <c r="V1586" s="8" t="str">
        <f>"39877"</f>
        <v>39877</v>
      </c>
      <c r="W1586" t="s">
        <v>118</v>
      </c>
      <c r="Y1586" s="10">
        <v>12246232020</v>
      </c>
      <c r="AA1586">
        <v>115310</v>
      </c>
      <c r="AB1586" t="s">
        <v>122</v>
      </c>
      <c r="AC1586" t="s">
        <v>986</v>
      </c>
      <c r="AE1586" t="s">
        <v>561</v>
      </c>
      <c r="AF1586" t="s">
        <v>11892</v>
      </c>
      <c r="AH1586" t="s">
        <v>11893</v>
      </c>
      <c r="AI1586" t="s">
        <v>550</v>
      </c>
      <c r="AJ1586" s="8" t="str">
        <f>"39877"</f>
        <v>39877</v>
      </c>
      <c r="AK1586" t="s">
        <v>118</v>
      </c>
      <c r="AM1586" s="10">
        <v>12246232020</v>
      </c>
      <c r="AO1586" t="s">
        <v>11894</v>
      </c>
      <c r="AP1586" t="s">
        <v>248</v>
      </c>
      <c r="AQ1586" t="s">
        <v>2010</v>
      </c>
      <c r="AR1586" t="s">
        <v>2011</v>
      </c>
      <c r="AT1586" t="s">
        <v>1032</v>
      </c>
      <c r="AU1586" t="s">
        <v>852</v>
      </c>
      <c r="AV1586" t="s">
        <v>853</v>
      </c>
      <c r="AW1586" t="s">
        <v>854</v>
      </c>
      <c r="AX1586" s="8" t="str">
        <f>"83814"</f>
        <v>83814</v>
      </c>
      <c r="AY1586" t="s">
        <v>118</v>
      </c>
      <c r="BA1586" s="10">
        <v>12087772654</v>
      </c>
      <c r="BC1586" t="s">
        <v>2012</v>
      </c>
      <c r="BD1586" t="s">
        <v>856</v>
      </c>
      <c r="BG1586" t="s">
        <v>550</v>
      </c>
      <c r="BH1586" s="1">
        <v>45123.833333333336</v>
      </c>
      <c r="BI1586">
        <v>40</v>
      </c>
      <c r="BJ1586">
        <v>0</v>
      </c>
      <c r="BK1586">
        <v>8</v>
      </c>
      <c r="BL1586">
        <v>8</v>
      </c>
      <c r="BM1586">
        <v>8</v>
      </c>
      <c r="BN1586">
        <v>8</v>
      </c>
      <c r="BO1586">
        <v>8</v>
      </c>
      <c r="BP1586">
        <v>0</v>
      </c>
      <c r="BQ1586" t="str">
        <f>"8:00 AM"</f>
        <v>8:00 AM</v>
      </c>
      <c r="BR1586" t="str">
        <f>"4:30 PM"</f>
        <v>4:30 PM</v>
      </c>
      <c r="BS1586" t="s">
        <v>131</v>
      </c>
      <c r="BT1586">
        <v>0</v>
      </c>
      <c r="BU1586">
        <v>0</v>
      </c>
      <c r="BV1586" t="s">
        <v>114</v>
      </c>
      <c r="BX1586" t="s">
        <v>11895</v>
      </c>
      <c r="BY1586" t="s">
        <v>11896</v>
      </c>
      <c r="CA1586" t="s">
        <v>11893</v>
      </c>
      <c r="CB1586" t="s">
        <v>550</v>
      </c>
      <c r="CC1586" s="8" t="str">
        <f>"39877"</f>
        <v>39877</v>
      </c>
      <c r="CD1586" t="s">
        <v>11897</v>
      </c>
      <c r="CE1586" t="s">
        <v>11898</v>
      </c>
      <c r="CF1586" s="12">
        <v>16.2</v>
      </c>
      <c r="CH1586" s="12">
        <v>24.3</v>
      </c>
      <c r="CJ1586" t="s">
        <v>135</v>
      </c>
      <c r="CK1586" t="s">
        <v>132</v>
      </c>
      <c r="CL1586" t="s">
        <v>11899</v>
      </c>
      <c r="CO1586" t="s">
        <v>132</v>
      </c>
      <c r="CP1586" t="s">
        <v>136</v>
      </c>
      <c r="CQ1586" t="s">
        <v>136</v>
      </c>
      <c r="CR1586" t="s">
        <v>136</v>
      </c>
      <c r="CS1586" t="s">
        <v>136</v>
      </c>
      <c r="CT1586" t="s">
        <v>136</v>
      </c>
      <c r="CU1586" t="s">
        <v>136</v>
      </c>
      <c r="CV1586" t="s">
        <v>11900</v>
      </c>
      <c r="CW1586" s="10" t="str">
        <f>"+12296232020"</f>
        <v>+12296232020</v>
      </c>
      <c r="CX1586" t="s">
        <v>11894</v>
      </c>
      <c r="CY1586" t="s">
        <v>132</v>
      </c>
      <c r="CZ1586" t="s">
        <v>137</v>
      </c>
      <c r="DA1586" t="s">
        <v>114</v>
      </c>
      <c r="DB1586" t="s">
        <v>114</v>
      </c>
      <c r="DC1586" t="s">
        <v>136</v>
      </c>
      <c r="DD1586" t="s">
        <v>114</v>
      </c>
    </row>
    <row r="1587" spans="1:113" ht="15" customHeight="1" x14ac:dyDescent="0.25">
      <c r="A1587" t="s">
        <v>6999</v>
      </c>
      <c r="B1587" t="s">
        <v>152</v>
      </c>
      <c r="C1587" s="1">
        <v>45123.456055324074</v>
      </c>
      <c r="D1587" s="1">
        <v>45209</v>
      </c>
      <c r="E1587" t="s">
        <v>114</v>
      </c>
      <c r="F1587" t="s">
        <v>7000</v>
      </c>
      <c r="G1587" t="str">
        <f>"45-3031.00"</f>
        <v>45-3031.00</v>
      </c>
      <c r="H1587" t="s">
        <v>3729</v>
      </c>
      <c r="I1587">
        <v>32</v>
      </c>
      <c r="J1587">
        <v>32</v>
      </c>
      <c r="K1587" s="1">
        <v>45200</v>
      </c>
      <c r="L1587" s="1">
        <v>45473</v>
      </c>
      <c r="M1587" s="1">
        <v>45200</v>
      </c>
      <c r="N1587" s="1">
        <v>45473</v>
      </c>
      <c r="O1587" t="s">
        <v>238</v>
      </c>
      <c r="P1587" t="s">
        <v>7001</v>
      </c>
      <c r="R1587" t="s">
        <v>7002</v>
      </c>
      <c r="T1587" t="s">
        <v>7003</v>
      </c>
      <c r="U1587" t="s">
        <v>127</v>
      </c>
      <c r="V1587" s="8" t="str">
        <f>"77990"</f>
        <v>77990</v>
      </c>
      <c r="W1587" t="s">
        <v>118</v>
      </c>
      <c r="Y1587" s="10">
        <v>13613336692</v>
      </c>
      <c r="AA1587">
        <v>11411</v>
      </c>
      <c r="AB1587" t="s">
        <v>7004</v>
      </c>
      <c r="AC1587" t="s">
        <v>7005</v>
      </c>
      <c r="AE1587" t="s">
        <v>7006</v>
      </c>
      <c r="AF1587" t="s">
        <v>7007</v>
      </c>
      <c r="AH1587" t="s">
        <v>7008</v>
      </c>
      <c r="AI1587" t="s">
        <v>127</v>
      </c>
      <c r="AJ1587" s="8" t="str">
        <f>"77990"</f>
        <v>77990</v>
      </c>
      <c r="AK1587" t="s">
        <v>118</v>
      </c>
      <c r="AM1587" s="10">
        <v>13613336692</v>
      </c>
      <c r="AO1587" t="s">
        <v>7009</v>
      </c>
      <c r="AP1587" t="s">
        <v>248</v>
      </c>
      <c r="AQ1587" t="s">
        <v>7010</v>
      </c>
      <c r="AR1587" t="s">
        <v>3781</v>
      </c>
      <c r="AS1587" t="s">
        <v>3976</v>
      </c>
      <c r="AT1587" t="s">
        <v>7011</v>
      </c>
      <c r="AV1587" t="s">
        <v>2568</v>
      </c>
      <c r="AW1587" t="s">
        <v>127</v>
      </c>
      <c r="AX1587" s="8" t="str">
        <f>"78526"</f>
        <v>78526</v>
      </c>
      <c r="AY1587" t="s">
        <v>118</v>
      </c>
      <c r="BA1587" s="10">
        <v>19564661656</v>
      </c>
      <c r="BC1587" t="s">
        <v>7012</v>
      </c>
      <c r="BD1587" t="s">
        <v>7013</v>
      </c>
      <c r="BG1587" t="s">
        <v>127</v>
      </c>
      <c r="BH1587" s="1">
        <v>45119.833333333336</v>
      </c>
      <c r="BI1587">
        <v>35</v>
      </c>
      <c r="BJ1587">
        <v>0</v>
      </c>
      <c r="BK1587">
        <v>7</v>
      </c>
      <c r="BL1587">
        <v>7</v>
      </c>
      <c r="BM1587">
        <v>7</v>
      </c>
      <c r="BN1587">
        <v>7</v>
      </c>
      <c r="BO1587">
        <v>7</v>
      </c>
      <c r="BP1587">
        <v>0</v>
      </c>
      <c r="BQ1587" t="str">
        <f>"6:00 AM"</f>
        <v>6:00 AM</v>
      </c>
      <c r="BR1587" t="str">
        <f>"2:00 PM"</f>
        <v>2:00 PM</v>
      </c>
      <c r="BS1587" t="s">
        <v>131</v>
      </c>
      <c r="BT1587">
        <v>0</v>
      </c>
      <c r="BU1587">
        <v>0</v>
      </c>
      <c r="BV1587" t="s">
        <v>114</v>
      </c>
      <c r="BX1587" t="s">
        <v>7014</v>
      </c>
      <c r="BY1587" t="s">
        <v>7015</v>
      </c>
      <c r="CA1587" t="s">
        <v>7016</v>
      </c>
      <c r="CB1587" t="s">
        <v>127</v>
      </c>
      <c r="CC1587" s="8" t="str">
        <f>"77983"</f>
        <v>77983</v>
      </c>
      <c r="CD1587" t="s">
        <v>7017</v>
      </c>
      <c r="CE1587" t="s">
        <v>1590</v>
      </c>
      <c r="CF1587" s="12">
        <v>14.46</v>
      </c>
      <c r="CG1587" s="12">
        <v>14.46</v>
      </c>
      <c r="CH1587" s="12">
        <v>21.69</v>
      </c>
      <c r="CI1587" s="12">
        <v>21.69</v>
      </c>
      <c r="CJ1587" t="s">
        <v>135</v>
      </c>
      <c r="CK1587" t="s">
        <v>7018</v>
      </c>
      <c r="CL1587" t="s">
        <v>7019</v>
      </c>
      <c r="CO1587" t="s">
        <v>132</v>
      </c>
      <c r="CP1587" t="s">
        <v>114</v>
      </c>
      <c r="CQ1587" t="s">
        <v>114</v>
      </c>
      <c r="CR1587" t="s">
        <v>136</v>
      </c>
      <c r="CS1587" t="s">
        <v>114</v>
      </c>
      <c r="CT1587" t="s">
        <v>136</v>
      </c>
      <c r="CU1587" t="s">
        <v>114</v>
      </c>
      <c r="CV1587" t="s">
        <v>7020</v>
      </c>
      <c r="CW1587" s="10" t="str">
        <f>"+13613336692"</f>
        <v>+13613336692</v>
      </c>
      <c r="CX1587" t="s">
        <v>7009</v>
      </c>
      <c r="CY1587" t="s">
        <v>132</v>
      </c>
      <c r="CZ1587" t="s">
        <v>137</v>
      </c>
      <c r="DA1587" t="s">
        <v>114</v>
      </c>
      <c r="DB1587" t="s">
        <v>114</v>
      </c>
      <c r="DC1587" t="s">
        <v>136</v>
      </c>
      <c r="DD1587" t="s">
        <v>114</v>
      </c>
    </row>
    <row r="1588" spans="1:113" ht="15" customHeight="1" x14ac:dyDescent="0.25">
      <c r="A1588" t="s">
        <v>6790</v>
      </c>
      <c r="B1588" t="s">
        <v>152</v>
      </c>
      <c r="C1588" s="1">
        <v>45120.710477430555</v>
      </c>
      <c r="D1588" s="1">
        <v>45209</v>
      </c>
      <c r="E1588" t="s">
        <v>114</v>
      </c>
      <c r="F1588" t="s">
        <v>1595</v>
      </c>
      <c r="G1588" t="str">
        <f>"37-3011.00"</f>
        <v>37-3011.00</v>
      </c>
      <c r="H1588" t="s">
        <v>429</v>
      </c>
      <c r="I1588">
        <v>15</v>
      </c>
      <c r="J1588">
        <v>15</v>
      </c>
      <c r="K1588" s="1">
        <v>45200</v>
      </c>
      <c r="L1588" s="1">
        <v>45505</v>
      </c>
      <c r="M1588" s="1">
        <v>45200</v>
      </c>
      <c r="N1588" s="1">
        <v>45505</v>
      </c>
      <c r="O1588" t="s">
        <v>116</v>
      </c>
      <c r="P1588" t="s">
        <v>6791</v>
      </c>
      <c r="Q1588" t="s">
        <v>6792</v>
      </c>
      <c r="R1588" t="s">
        <v>6793</v>
      </c>
      <c r="T1588" t="s">
        <v>6794</v>
      </c>
      <c r="U1588" t="s">
        <v>127</v>
      </c>
      <c r="V1588" s="8" t="str">
        <f>"78746"</f>
        <v>78746</v>
      </c>
      <c r="W1588" t="s">
        <v>118</v>
      </c>
      <c r="Y1588" s="10">
        <v>15122638450</v>
      </c>
      <c r="AA1588">
        <v>56173</v>
      </c>
      <c r="AB1588" t="s">
        <v>6795</v>
      </c>
      <c r="AC1588" t="s">
        <v>1616</v>
      </c>
      <c r="AE1588" t="s">
        <v>5154</v>
      </c>
      <c r="AF1588" t="s">
        <v>6793</v>
      </c>
      <c r="AH1588" t="s">
        <v>6794</v>
      </c>
      <c r="AI1588" t="s">
        <v>127</v>
      </c>
      <c r="AJ1588" s="8" t="str">
        <f>"78746"</f>
        <v>78746</v>
      </c>
      <c r="AK1588" t="s">
        <v>118</v>
      </c>
      <c r="AM1588" s="10">
        <v>15122638450</v>
      </c>
      <c r="AO1588" t="s">
        <v>6796</v>
      </c>
      <c r="AP1588" t="s">
        <v>248</v>
      </c>
      <c r="AQ1588" t="s">
        <v>849</v>
      </c>
      <c r="AR1588" t="s">
        <v>850</v>
      </c>
      <c r="AS1588" t="s">
        <v>132</v>
      </c>
      <c r="AT1588" t="s">
        <v>851</v>
      </c>
      <c r="AU1588" t="s">
        <v>852</v>
      </c>
      <c r="AV1588" t="s">
        <v>853</v>
      </c>
      <c r="AW1588" t="s">
        <v>854</v>
      </c>
      <c r="AX1588" s="8" t="str">
        <f>"83814"</f>
        <v>83814</v>
      </c>
      <c r="AY1588" t="s">
        <v>118</v>
      </c>
      <c r="BA1588" s="10">
        <v>12087772654</v>
      </c>
      <c r="BC1588" t="s">
        <v>855</v>
      </c>
      <c r="BD1588" t="s">
        <v>856</v>
      </c>
      <c r="BG1588" t="s">
        <v>127</v>
      </c>
      <c r="BH1588" s="1">
        <v>45119.833333333336</v>
      </c>
      <c r="BI1588">
        <v>40</v>
      </c>
      <c r="BJ1588">
        <v>0</v>
      </c>
      <c r="BK1588">
        <v>8</v>
      </c>
      <c r="BL1588">
        <v>8</v>
      </c>
      <c r="BM1588">
        <v>8</v>
      </c>
      <c r="BN1588">
        <v>8</v>
      </c>
      <c r="BO1588">
        <v>8</v>
      </c>
      <c r="BP1588">
        <v>0</v>
      </c>
      <c r="BQ1588" t="str">
        <f>"6:00 AM"</f>
        <v>6:00 AM</v>
      </c>
      <c r="BR1588" t="str">
        <f>"6:00 PM"</f>
        <v>6:00 PM</v>
      </c>
      <c r="BS1588" t="s">
        <v>131</v>
      </c>
      <c r="BT1588">
        <v>0</v>
      </c>
      <c r="BU1588">
        <v>3</v>
      </c>
      <c r="BV1588" t="s">
        <v>114</v>
      </c>
      <c r="BX1588" s="2" t="s">
        <v>2070</v>
      </c>
      <c r="BY1588" t="s">
        <v>6797</v>
      </c>
      <c r="CA1588" t="s">
        <v>603</v>
      </c>
      <c r="CB1588" t="s">
        <v>127</v>
      </c>
      <c r="CC1588" s="8" t="str">
        <f>"78754"</f>
        <v>78754</v>
      </c>
      <c r="CD1588" t="s">
        <v>323</v>
      </c>
      <c r="CE1588" t="s">
        <v>324</v>
      </c>
      <c r="CF1588" s="12">
        <v>16.91</v>
      </c>
      <c r="CG1588" s="12">
        <v>24.64</v>
      </c>
      <c r="CH1588" s="12">
        <v>25.37</v>
      </c>
      <c r="CI1588" s="12">
        <v>36.96</v>
      </c>
      <c r="CJ1588" t="s">
        <v>135</v>
      </c>
      <c r="CK1588" t="s">
        <v>1899</v>
      </c>
      <c r="CL1588" t="s">
        <v>6798</v>
      </c>
      <c r="CO1588" t="s">
        <v>132</v>
      </c>
      <c r="CP1588" t="s">
        <v>136</v>
      </c>
      <c r="CQ1588" t="s">
        <v>136</v>
      </c>
      <c r="CR1588" t="s">
        <v>136</v>
      </c>
      <c r="CS1588" t="s">
        <v>114</v>
      </c>
      <c r="CT1588" t="s">
        <v>136</v>
      </c>
      <c r="CU1588" t="s">
        <v>114</v>
      </c>
      <c r="CV1588" t="s">
        <v>1040</v>
      </c>
      <c r="CW1588" s="10" t="str">
        <f>"+15122638450"</f>
        <v>+15122638450</v>
      </c>
      <c r="CX1588" t="s">
        <v>6799</v>
      </c>
      <c r="CY1588" t="s">
        <v>132</v>
      </c>
      <c r="CZ1588" t="s">
        <v>137</v>
      </c>
      <c r="DA1588" t="s">
        <v>114</v>
      </c>
      <c r="DB1588" t="s">
        <v>136</v>
      </c>
      <c r="DC1588" t="s">
        <v>136</v>
      </c>
      <c r="DD1588" t="s">
        <v>114</v>
      </c>
    </row>
    <row r="1589" spans="1:113" ht="15" customHeight="1" x14ac:dyDescent="0.25">
      <c r="A1589" t="s">
        <v>22477</v>
      </c>
      <c r="B1589" t="s">
        <v>152</v>
      </c>
      <c r="C1589" s="1">
        <v>45117.752244675925</v>
      </c>
      <c r="D1589" s="1">
        <v>45209</v>
      </c>
      <c r="E1589" t="s">
        <v>114</v>
      </c>
      <c r="F1589" t="s">
        <v>922</v>
      </c>
      <c r="G1589" t="str">
        <f>"53-3032.00"</f>
        <v>53-3032.00</v>
      </c>
      <c r="H1589" t="s">
        <v>736</v>
      </c>
      <c r="I1589">
        <v>1</v>
      </c>
      <c r="J1589">
        <v>1</v>
      </c>
      <c r="K1589" s="1">
        <v>45200</v>
      </c>
      <c r="L1589" s="1">
        <v>45291</v>
      </c>
      <c r="M1589" s="1">
        <v>45200</v>
      </c>
      <c r="N1589" s="1">
        <v>45291</v>
      </c>
      <c r="O1589" t="s">
        <v>116</v>
      </c>
      <c r="P1589" t="s">
        <v>923</v>
      </c>
      <c r="R1589" t="s">
        <v>924</v>
      </c>
      <c r="T1589" t="s">
        <v>925</v>
      </c>
      <c r="U1589" t="s">
        <v>169</v>
      </c>
      <c r="V1589" s="8" t="str">
        <f>"56716"</f>
        <v>56716</v>
      </c>
      <c r="W1589" t="s">
        <v>118</v>
      </c>
      <c r="Y1589" s="10">
        <v>12182892058</v>
      </c>
      <c r="AA1589">
        <v>115115</v>
      </c>
      <c r="AB1589" t="s">
        <v>926</v>
      </c>
      <c r="AC1589" t="s">
        <v>3635</v>
      </c>
      <c r="AE1589" t="s">
        <v>629</v>
      </c>
      <c r="AF1589" t="s">
        <v>5682</v>
      </c>
      <c r="AH1589" t="s">
        <v>925</v>
      </c>
      <c r="AI1589" t="s">
        <v>169</v>
      </c>
      <c r="AJ1589" s="8" t="str">
        <f>"56716"</f>
        <v>56716</v>
      </c>
      <c r="AK1589" t="s">
        <v>118</v>
      </c>
      <c r="AM1589" s="10">
        <v>12182892058</v>
      </c>
      <c r="AO1589" t="s">
        <v>928</v>
      </c>
      <c r="AP1589" t="s">
        <v>121</v>
      </c>
      <c r="AQ1589" t="s">
        <v>929</v>
      </c>
      <c r="AR1589" t="s">
        <v>930</v>
      </c>
      <c r="AS1589" t="s">
        <v>931</v>
      </c>
      <c r="AT1589" t="s">
        <v>932</v>
      </c>
      <c r="AU1589" t="s">
        <v>132</v>
      </c>
      <c r="AV1589" t="s">
        <v>933</v>
      </c>
      <c r="AW1589" t="s">
        <v>740</v>
      </c>
      <c r="AX1589" s="8" t="str">
        <f>"50010"</f>
        <v>50010</v>
      </c>
      <c r="AY1589" t="s">
        <v>118</v>
      </c>
      <c r="BA1589" s="10">
        <v>15152324444</v>
      </c>
      <c r="BB1589">
        <v>0</v>
      </c>
      <c r="BC1589" t="s">
        <v>934</v>
      </c>
      <c r="BD1589" t="s">
        <v>935</v>
      </c>
      <c r="BE1589" t="s">
        <v>740</v>
      </c>
      <c r="BF1589" t="s">
        <v>172</v>
      </c>
      <c r="BG1589" t="s">
        <v>2775</v>
      </c>
      <c r="BH1589" s="1">
        <v>45116.833333333336</v>
      </c>
      <c r="BI1589">
        <v>40</v>
      </c>
      <c r="BJ1589">
        <v>0</v>
      </c>
      <c r="BK1589">
        <v>7</v>
      </c>
      <c r="BL1589">
        <v>7</v>
      </c>
      <c r="BM1589">
        <v>7</v>
      </c>
      <c r="BN1589">
        <v>7</v>
      </c>
      <c r="BO1589">
        <v>7</v>
      </c>
      <c r="BP1589">
        <v>5</v>
      </c>
      <c r="BQ1589" t="str">
        <f>"7:00 AM"</f>
        <v>7:00 AM</v>
      </c>
      <c r="BR1589" t="str">
        <f>"5:00 PM"</f>
        <v>5:00 PM</v>
      </c>
      <c r="BS1589" t="s">
        <v>131</v>
      </c>
      <c r="BT1589">
        <v>0</v>
      </c>
      <c r="BU1589">
        <v>12</v>
      </c>
      <c r="BV1589" t="s">
        <v>114</v>
      </c>
      <c r="BX1589" s="2" t="s">
        <v>22478</v>
      </c>
      <c r="BY1589" t="s">
        <v>5683</v>
      </c>
      <c r="CA1589" t="s">
        <v>5684</v>
      </c>
      <c r="CB1589" t="s">
        <v>2775</v>
      </c>
      <c r="CC1589" s="8" t="str">
        <f>"58045"</f>
        <v>58045</v>
      </c>
      <c r="CD1589" t="s">
        <v>5685</v>
      </c>
      <c r="CE1589" t="s">
        <v>5686</v>
      </c>
      <c r="CF1589" s="12">
        <v>25.41</v>
      </c>
      <c r="CH1589" s="12">
        <v>38.119999999999997</v>
      </c>
      <c r="CJ1589" t="s">
        <v>135</v>
      </c>
      <c r="CK1589" t="s">
        <v>940</v>
      </c>
      <c r="CL1589" t="s">
        <v>22479</v>
      </c>
      <c r="CO1589" t="s">
        <v>132</v>
      </c>
      <c r="CP1589" t="s">
        <v>136</v>
      </c>
      <c r="CQ1589" t="s">
        <v>136</v>
      </c>
      <c r="CR1589" t="s">
        <v>136</v>
      </c>
      <c r="CS1589" t="s">
        <v>136</v>
      </c>
      <c r="CT1589" t="s">
        <v>136</v>
      </c>
      <c r="CU1589" t="s">
        <v>136</v>
      </c>
      <c r="CV1589" t="s">
        <v>22480</v>
      </c>
      <c r="CW1589" s="10" t="str">
        <f>"+12182892058"</f>
        <v>+12182892058</v>
      </c>
      <c r="CX1589" t="s">
        <v>928</v>
      </c>
      <c r="CY1589" t="s">
        <v>132</v>
      </c>
      <c r="CZ1589" t="s">
        <v>137</v>
      </c>
      <c r="DA1589" t="s">
        <v>114</v>
      </c>
      <c r="DB1589" t="s">
        <v>136</v>
      </c>
      <c r="DC1589" t="s">
        <v>136</v>
      </c>
      <c r="DD1589" t="s">
        <v>114</v>
      </c>
    </row>
    <row r="1590" spans="1:113" ht="15" customHeight="1" x14ac:dyDescent="0.25">
      <c r="A1590" t="s">
        <v>7037</v>
      </c>
      <c r="B1590" t="s">
        <v>152</v>
      </c>
      <c r="C1590" s="1">
        <v>45113.727565624999</v>
      </c>
      <c r="D1590" s="1">
        <v>45209</v>
      </c>
      <c r="E1590" t="s">
        <v>114</v>
      </c>
      <c r="F1590" t="s">
        <v>7038</v>
      </c>
      <c r="G1590" t="str">
        <f>"45-4011.00"</f>
        <v>45-4011.00</v>
      </c>
      <c r="H1590" t="s">
        <v>842</v>
      </c>
      <c r="I1590">
        <v>15</v>
      </c>
      <c r="J1590">
        <v>15</v>
      </c>
      <c r="K1590" s="1">
        <v>45189</v>
      </c>
      <c r="L1590" s="1">
        <v>45265</v>
      </c>
      <c r="M1590" s="1">
        <v>45189</v>
      </c>
      <c r="N1590" s="1">
        <v>45265</v>
      </c>
      <c r="O1590" t="s">
        <v>238</v>
      </c>
      <c r="P1590" t="s">
        <v>788</v>
      </c>
      <c r="Q1590" t="s">
        <v>789</v>
      </c>
      <c r="R1590" t="s">
        <v>790</v>
      </c>
      <c r="T1590" t="s">
        <v>795</v>
      </c>
      <c r="U1590" t="s">
        <v>792</v>
      </c>
      <c r="V1590" s="8" t="str">
        <f>"98528"</f>
        <v>98528</v>
      </c>
      <c r="W1590" t="s">
        <v>118</v>
      </c>
      <c r="Y1590" s="10">
        <v>13602755345</v>
      </c>
      <c r="AA1590">
        <v>11321</v>
      </c>
      <c r="AB1590" t="s">
        <v>793</v>
      </c>
      <c r="AC1590" t="s">
        <v>160</v>
      </c>
      <c r="AD1590" t="s">
        <v>796</v>
      </c>
      <c r="AE1590" t="s">
        <v>1349</v>
      </c>
      <c r="AF1590" t="s">
        <v>790</v>
      </c>
      <c r="AH1590" t="s">
        <v>795</v>
      </c>
      <c r="AI1590" t="s">
        <v>792</v>
      </c>
      <c r="AJ1590" s="8" t="str">
        <f>"98528"</f>
        <v>98528</v>
      </c>
      <c r="AK1590" t="s">
        <v>118</v>
      </c>
      <c r="AM1590" s="10">
        <v>13602755345</v>
      </c>
      <c r="AO1590" t="s">
        <v>796</v>
      </c>
      <c r="AP1590" t="s">
        <v>248</v>
      </c>
      <c r="AQ1590" t="s">
        <v>797</v>
      </c>
      <c r="AR1590" t="s">
        <v>486</v>
      </c>
      <c r="AT1590" t="s">
        <v>7039</v>
      </c>
      <c r="AU1590" t="s">
        <v>799</v>
      </c>
      <c r="AV1590" t="s">
        <v>800</v>
      </c>
      <c r="AW1590" t="s">
        <v>792</v>
      </c>
      <c r="AX1590" s="8" t="str">
        <f>"98516"</f>
        <v>98516</v>
      </c>
      <c r="AY1590" t="s">
        <v>118</v>
      </c>
      <c r="BA1590" s="10">
        <v>13604558064</v>
      </c>
      <c r="BB1590">
        <v>110</v>
      </c>
      <c r="BC1590" t="s">
        <v>801</v>
      </c>
      <c r="BD1590" t="s">
        <v>7040</v>
      </c>
      <c r="BG1590" t="s">
        <v>479</v>
      </c>
      <c r="BH1590" s="1">
        <v>45112.833333333336</v>
      </c>
      <c r="BI1590">
        <v>40</v>
      </c>
      <c r="BJ1590">
        <v>0</v>
      </c>
      <c r="BK1590">
        <v>8</v>
      </c>
      <c r="BL1590">
        <v>8</v>
      </c>
      <c r="BM1590">
        <v>8</v>
      </c>
      <c r="BN1590">
        <v>8</v>
      </c>
      <c r="BO1590">
        <v>8</v>
      </c>
      <c r="BP1590">
        <v>0</v>
      </c>
      <c r="BQ1590" t="str">
        <f>"7:00 AM"</f>
        <v>7:00 AM</v>
      </c>
      <c r="BR1590" t="str">
        <f>"4:00 PM"</f>
        <v>4:00 PM</v>
      </c>
      <c r="BS1590" t="s">
        <v>131</v>
      </c>
      <c r="BT1590">
        <v>0</v>
      </c>
      <c r="BU1590">
        <v>0</v>
      </c>
      <c r="BV1590" t="s">
        <v>114</v>
      </c>
      <c r="BX1590" s="2" t="s">
        <v>7041</v>
      </c>
      <c r="BY1590" t="s">
        <v>7042</v>
      </c>
      <c r="CA1590" t="s">
        <v>7043</v>
      </c>
      <c r="CB1590" t="s">
        <v>479</v>
      </c>
      <c r="CC1590" s="8" t="str">
        <f>"97458"</f>
        <v>97458</v>
      </c>
      <c r="CD1590" t="s">
        <v>7044</v>
      </c>
      <c r="CE1590" t="s">
        <v>7045</v>
      </c>
      <c r="CF1590" s="12">
        <v>19.57</v>
      </c>
      <c r="CG1590" s="12">
        <v>19.57</v>
      </c>
      <c r="CH1590" s="12">
        <v>29.36</v>
      </c>
      <c r="CI1590" s="12">
        <v>29.36</v>
      </c>
      <c r="CJ1590" t="s">
        <v>135</v>
      </c>
      <c r="CK1590" t="s">
        <v>7046</v>
      </c>
      <c r="CL1590" t="s">
        <v>7047</v>
      </c>
      <c r="CO1590" t="s">
        <v>132</v>
      </c>
      <c r="CP1590" t="s">
        <v>136</v>
      </c>
      <c r="CQ1590" t="s">
        <v>114</v>
      </c>
      <c r="CR1590" t="s">
        <v>136</v>
      </c>
      <c r="CS1590" t="s">
        <v>114</v>
      </c>
      <c r="CT1590" t="s">
        <v>136</v>
      </c>
      <c r="CU1590" t="s">
        <v>136</v>
      </c>
      <c r="CV1590" t="s">
        <v>7048</v>
      </c>
      <c r="CW1590" s="10" t="str">
        <f>"N/A"</f>
        <v>N/A</v>
      </c>
      <c r="CX1590" t="s">
        <v>811</v>
      </c>
      <c r="CY1590" t="s">
        <v>7049</v>
      </c>
      <c r="CZ1590" t="s">
        <v>137</v>
      </c>
      <c r="DA1590" t="s">
        <v>114</v>
      </c>
      <c r="DB1590" t="s">
        <v>136</v>
      </c>
      <c r="DC1590" t="s">
        <v>136</v>
      </c>
      <c r="DD1590" t="s">
        <v>114</v>
      </c>
    </row>
    <row r="1591" spans="1:113" ht="15" customHeight="1" x14ac:dyDescent="0.25">
      <c r="A1591" t="s">
        <v>20809</v>
      </c>
      <c r="B1591" t="s">
        <v>152</v>
      </c>
      <c r="C1591" s="1">
        <v>45113.660166550922</v>
      </c>
      <c r="D1591" s="1">
        <v>45209</v>
      </c>
      <c r="E1591" t="s">
        <v>114</v>
      </c>
      <c r="F1591" t="s">
        <v>20810</v>
      </c>
      <c r="G1591" t="str">
        <f>"39-9011.00"</f>
        <v>39-9011.00</v>
      </c>
      <c r="H1591" t="s">
        <v>183</v>
      </c>
      <c r="I1591">
        <v>6</v>
      </c>
      <c r="J1591">
        <v>6</v>
      </c>
      <c r="K1591" s="1">
        <v>45200</v>
      </c>
      <c r="L1591" s="1">
        <v>45443</v>
      </c>
      <c r="M1591" s="1">
        <v>45200</v>
      </c>
      <c r="N1591" s="1">
        <v>45443</v>
      </c>
      <c r="O1591" t="s">
        <v>238</v>
      </c>
      <c r="P1591" t="s">
        <v>20811</v>
      </c>
      <c r="R1591" t="s">
        <v>20812</v>
      </c>
      <c r="T1591" t="s">
        <v>20813</v>
      </c>
      <c r="U1591" t="s">
        <v>386</v>
      </c>
      <c r="V1591" s="8" t="str">
        <f>"37129"</f>
        <v>37129</v>
      </c>
      <c r="W1591" t="s">
        <v>118</v>
      </c>
      <c r="Y1591" s="10">
        <v>16152258616</v>
      </c>
      <c r="AA1591">
        <v>62441</v>
      </c>
      <c r="AB1591" t="s">
        <v>20814</v>
      </c>
      <c r="AC1591" t="s">
        <v>1193</v>
      </c>
      <c r="AE1591" t="s">
        <v>1836</v>
      </c>
      <c r="AF1591" t="s">
        <v>20812</v>
      </c>
      <c r="AH1591" t="s">
        <v>20813</v>
      </c>
      <c r="AI1591" t="s">
        <v>386</v>
      </c>
      <c r="AJ1591" s="8" t="str">
        <f>"37129"</f>
        <v>37129</v>
      </c>
      <c r="AK1591" t="s">
        <v>118</v>
      </c>
      <c r="AM1591" s="10">
        <v>16152258616</v>
      </c>
      <c r="AO1591" t="s">
        <v>132</v>
      </c>
      <c r="AP1591" t="s">
        <v>248</v>
      </c>
      <c r="AQ1591" t="s">
        <v>577</v>
      </c>
      <c r="AR1591" t="s">
        <v>578</v>
      </c>
      <c r="AT1591" t="s">
        <v>579</v>
      </c>
      <c r="AV1591" t="s">
        <v>580</v>
      </c>
      <c r="AW1591" t="s">
        <v>581</v>
      </c>
      <c r="AX1591" s="8" t="str">
        <f>"22903"</f>
        <v>22903</v>
      </c>
      <c r="AY1591" t="s">
        <v>118</v>
      </c>
      <c r="BA1591" s="10">
        <v>14342634300</v>
      </c>
      <c r="BC1591" t="s">
        <v>20815</v>
      </c>
      <c r="BD1591" t="s">
        <v>583</v>
      </c>
      <c r="BG1591" t="s">
        <v>386</v>
      </c>
      <c r="BH1591" s="1">
        <v>45112.833333333336</v>
      </c>
      <c r="BI1591">
        <v>40</v>
      </c>
      <c r="BJ1591">
        <v>0</v>
      </c>
      <c r="BK1591">
        <v>8</v>
      </c>
      <c r="BL1591">
        <v>8</v>
      </c>
      <c r="BM1591">
        <v>8</v>
      </c>
      <c r="BN1591">
        <v>8</v>
      </c>
      <c r="BO1591">
        <v>8</v>
      </c>
      <c r="BP1591">
        <v>0</v>
      </c>
      <c r="BQ1591" t="str">
        <f>"7:00 AM"</f>
        <v>7:00 AM</v>
      </c>
      <c r="BR1591" t="str">
        <f>"4:00 PM"</f>
        <v>4:00 PM</v>
      </c>
      <c r="BS1591" t="s">
        <v>131</v>
      </c>
      <c r="BT1591">
        <v>0</v>
      </c>
      <c r="BU1591">
        <v>0</v>
      </c>
      <c r="BV1591" t="s">
        <v>114</v>
      </c>
      <c r="BX1591" s="2" t="s">
        <v>20816</v>
      </c>
      <c r="BY1591" t="s">
        <v>20817</v>
      </c>
      <c r="CA1591" t="s">
        <v>9956</v>
      </c>
      <c r="CB1591" t="s">
        <v>386</v>
      </c>
      <c r="CC1591" s="8" t="str">
        <f>"37167"</f>
        <v>37167</v>
      </c>
      <c r="CD1591" t="s">
        <v>3751</v>
      </c>
      <c r="CE1591" t="s">
        <v>3752</v>
      </c>
      <c r="CF1591" s="12">
        <v>12.83</v>
      </c>
      <c r="CH1591" s="12">
        <v>19.25</v>
      </c>
      <c r="CJ1591" t="s">
        <v>135</v>
      </c>
      <c r="CK1591" t="s">
        <v>590</v>
      </c>
      <c r="CL1591" t="s">
        <v>20818</v>
      </c>
      <c r="CO1591" t="s">
        <v>132</v>
      </c>
      <c r="CP1591" t="s">
        <v>114</v>
      </c>
      <c r="CQ1591" t="s">
        <v>136</v>
      </c>
      <c r="CR1591" t="s">
        <v>136</v>
      </c>
      <c r="CS1591" t="s">
        <v>136</v>
      </c>
      <c r="CT1591" t="s">
        <v>136</v>
      </c>
      <c r="CU1591" t="s">
        <v>136</v>
      </c>
      <c r="CV1591" t="s">
        <v>5589</v>
      </c>
      <c r="CW1591" s="10" t="str">
        <f>"N/A"</f>
        <v>N/A</v>
      </c>
      <c r="CX1591" t="s">
        <v>20819</v>
      </c>
      <c r="CY1591" t="s">
        <v>2911</v>
      </c>
      <c r="CZ1591" t="s">
        <v>137</v>
      </c>
      <c r="DA1591" t="s">
        <v>114</v>
      </c>
      <c r="DB1591" t="s">
        <v>136</v>
      </c>
      <c r="DC1591" t="s">
        <v>136</v>
      </c>
      <c r="DD1591" t="s">
        <v>114</v>
      </c>
      <c r="DE1591" t="s">
        <v>1873</v>
      </c>
      <c r="DF1591" t="s">
        <v>1265</v>
      </c>
      <c r="DH1591" t="s">
        <v>583</v>
      </c>
      <c r="DI1591" t="s">
        <v>20815</v>
      </c>
    </row>
    <row r="1592" spans="1:113" ht="15" customHeight="1" x14ac:dyDescent="0.25">
      <c r="A1592" t="s">
        <v>16039</v>
      </c>
      <c r="B1592" t="s">
        <v>152</v>
      </c>
      <c r="C1592" s="1">
        <v>45112.977760185182</v>
      </c>
      <c r="D1592" s="1">
        <v>45209</v>
      </c>
      <c r="E1592" t="s">
        <v>114</v>
      </c>
      <c r="F1592" t="s">
        <v>16040</v>
      </c>
      <c r="G1592" t="str">
        <f>"47-2061.00"</f>
        <v>47-2061.00</v>
      </c>
      <c r="H1592" t="s">
        <v>570</v>
      </c>
      <c r="I1592">
        <v>7</v>
      </c>
      <c r="J1592">
        <v>7</v>
      </c>
      <c r="K1592" s="1">
        <v>45200</v>
      </c>
      <c r="L1592" s="1">
        <v>45260</v>
      </c>
      <c r="M1592" s="1">
        <v>45200</v>
      </c>
      <c r="N1592" s="1">
        <v>45260</v>
      </c>
      <c r="O1592" t="s">
        <v>116</v>
      </c>
      <c r="P1592" t="s">
        <v>16041</v>
      </c>
      <c r="R1592" t="s">
        <v>16042</v>
      </c>
      <c r="T1592" t="s">
        <v>126</v>
      </c>
      <c r="U1592" t="s">
        <v>127</v>
      </c>
      <c r="V1592" s="8" t="str">
        <f>"78279"</f>
        <v>78279</v>
      </c>
      <c r="W1592" t="s">
        <v>118</v>
      </c>
      <c r="Y1592" s="10">
        <v>12108712700</v>
      </c>
      <c r="AA1592">
        <v>23622</v>
      </c>
      <c r="AB1592" t="s">
        <v>16043</v>
      </c>
      <c r="AC1592" t="s">
        <v>1616</v>
      </c>
      <c r="AE1592" t="s">
        <v>3876</v>
      </c>
      <c r="AF1592" t="s">
        <v>16042</v>
      </c>
      <c r="AH1592" t="s">
        <v>126</v>
      </c>
      <c r="AI1592" t="s">
        <v>127</v>
      </c>
      <c r="AJ1592" s="8" t="str">
        <f>"78279"</f>
        <v>78279</v>
      </c>
      <c r="AK1592" t="s">
        <v>118</v>
      </c>
      <c r="AM1592" s="10">
        <v>12108172700</v>
      </c>
      <c r="AO1592" t="s">
        <v>16044</v>
      </c>
      <c r="AP1592" t="s">
        <v>121</v>
      </c>
      <c r="AQ1592" t="s">
        <v>745</v>
      </c>
      <c r="AR1592" t="s">
        <v>746</v>
      </c>
      <c r="AT1592" t="s">
        <v>747</v>
      </c>
      <c r="AV1592" t="s">
        <v>603</v>
      </c>
      <c r="AW1592" t="s">
        <v>127</v>
      </c>
      <c r="AX1592" s="8" t="str">
        <f>"78737"</f>
        <v>78737</v>
      </c>
      <c r="AY1592" t="s">
        <v>118</v>
      </c>
      <c r="BA1592" s="10">
        <v>15128942128</v>
      </c>
      <c r="BC1592" t="s">
        <v>748</v>
      </c>
      <c r="BD1592" t="s">
        <v>749</v>
      </c>
      <c r="BE1592" t="s">
        <v>127</v>
      </c>
      <c r="BF1592" t="s">
        <v>1298</v>
      </c>
      <c r="BG1592" t="s">
        <v>127</v>
      </c>
      <c r="BH1592" s="1">
        <v>45111.833333333336</v>
      </c>
      <c r="BI1592">
        <v>40</v>
      </c>
      <c r="BJ1592">
        <v>0</v>
      </c>
      <c r="BK1592">
        <v>8</v>
      </c>
      <c r="BL1592">
        <v>8</v>
      </c>
      <c r="BM1592">
        <v>8</v>
      </c>
      <c r="BN1592">
        <v>8</v>
      </c>
      <c r="BO1592">
        <v>8</v>
      </c>
      <c r="BP1592">
        <v>0</v>
      </c>
      <c r="BQ1592" t="str">
        <f>"7:00 AM"</f>
        <v>7:00 AM</v>
      </c>
      <c r="BR1592" t="str">
        <f>"5:00 PM"</f>
        <v>5:00 PM</v>
      </c>
      <c r="BS1592" t="s">
        <v>131</v>
      </c>
      <c r="BT1592">
        <v>0</v>
      </c>
      <c r="BU1592">
        <v>12</v>
      </c>
      <c r="BV1592" t="s">
        <v>114</v>
      </c>
      <c r="BX1592" s="2" t="s">
        <v>16045</v>
      </c>
      <c r="BY1592" t="s">
        <v>16042</v>
      </c>
      <c r="CA1592" t="s">
        <v>126</v>
      </c>
      <c r="CB1592" t="s">
        <v>127</v>
      </c>
      <c r="CC1592" s="8" t="str">
        <f>"78216"</f>
        <v>78216</v>
      </c>
      <c r="CD1592" t="s">
        <v>1941</v>
      </c>
      <c r="CE1592" t="s">
        <v>1287</v>
      </c>
      <c r="CF1592" s="12">
        <v>17.07</v>
      </c>
      <c r="CG1592" s="12">
        <v>17.07</v>
      </c>
      <c r="CH1592" s="12">
        <v>25.61</v>
      </c>
      <c r="CI1592" s="12">
        <v>25.61</v>
      </c>
      <c r="CJ1592" t="s">
        <v>135</v>
      </c>
      <c r="CL1592" t="s">
        <v>16046</v>
      </c>
      <c r="CO1592" t="s">
        <v>132</v>
      </c>
      <c r="CP1592" t="s">
        <v>136</v>
      </c>
      <c r="CQ1592" t="s">
        <v>136</v>
      </c>
      <c r="CR1592" t="s">
        <v>136</v>
      </c>
      <c r="CS1592" t="s">
        <v>136</v>
      </c>
      <c r="CT1592" t="s">
        <v>136</v>
      </c>
      <c r="CU1592" t="s">
        <v>136</v>
      </c>
      <c r="CV1592" t="s">
        <v>16047</v>
      </c>
      <c r="CW1592" s="10" t="str">
        <f>"+12108713270"</f>
        <v>+12108713270</v>
      </c>
      <c r="CX1592" t="s">
        <v>16044</v>
      </c>
      <c r="CY1592" t="s">
        <v>132</v>
      </c>
      <c r="CZ1592" t="s">
        <v>137</v>
      </c>
      <c r="DA1592" t="s">
        <v>114</v>
      </c>
      <c r="DB1592" t="s">
        <v>114</v>
      </c>
      <c r="DC1592" t="s">
        <v>136</v>
      </c>
      <c r="DD1592" t="s">
        <v>114</v>
      </c>
    </row>
    <row r="1593" spans="1:113" ht="15" customHeight="1" x14ac:dyDescent="0.25">
      <c r="A1593" t="s">
        <v>19305</v>
      </c>
      <c r="B1593" t="s">
        <v>152</v>
      </c>
      <c r="C1593" s="1">
        <v>45112.94570034722</v>
      </c>
      <c r="D1593" s="1">
        <v>45209</v>
      </c>
      <c r="E1593" t="s">
        <v>114</v>
      </c>
      <c r="F1593" t="s">
        <v>17708</v>
      </c>
      <c r="G1593" t="str">
        <f>"53-3032.00"</f>
        <v>53-3032.00</v>
      </c>
      <c r="H1593" t="s">
        <v>736</v>
      </c>
      <c r="I1593">
        <v>8</v>
      </c>
      <c r="J1593">
        <v>8</v>
      </c>
      <c r="K1593" s="1">
        <v>45200</v>
      </c>
      <c r="L1593" s="1">
        <v>45291</v>
      </c>
      <c r="M1593" s="1">
        <v>45200</v>
      </c>
      <c r="N1593" s="1">
        <v>45291</v>
      </c>
      <c r="O1593" t="s">
        <v>116</v>
      </c>
      <c r="P1593" t="s">
        <v>9957</v>
      </c>
      <c r="Q1593" t="s">
        <v>132</v>
      </c>
      <c r="R1593" t="s">
        <v>9958</v>
      </c>
      <c r="T1593" t="s">
        <v>9959</v>
      </c>
      <c r="U1593" t="s">
        <v>984</v>
      </c>
      <c r="V1593" s="8" t="str">
        <f>"63468"</f>
        <v>63468</v>
      </c>
      <c r="W1593" t="s">
        <v>118</v>
      </c>
      <c r="Y1593" s="10">
        <v>15735884151</v>
      </c>
      <c r="AA1593">
        <v>32732</v>
      </c>
      <c r="AB1593" t="s">
        <v>3581</v>
      </c>
      <c r="AC1593" t="s">
        <v>894</v>
      </c>
      <c r="AE1593" t="s">
        <v>5154</v>
      </c>
      <c r="AF1593" t="s">
        <v>17709</v>
      </c>
      <c r="AH1593" t="s">
        <v>17710</v>
      </c>
      <c r="AI1593" t="s">
        <v>984</v>
      </c>
      <c r="AJ1593" s="8" t="str">
        <f>"63468"</f>
        <v>63468</v>
      </c>
      <c r="AK1593" t="s">
        <v>118</v>
      </c>
      <c r="AM1593" s="10">
        <v>15735884151</v>
      </c>
      <c r="AO1593" t="s">
        <v>9960</v>
      </c>
      <c r="AP1593" t="s">
        <v>121</v>
      </c>
      <c r="AQ1593" t="s">
        <v>929</v>
      </c>
      <c r="AR1593" t="s">
        <v>930</v>
      </c>
      <c r="AS1593" t="s">
        <v>931</v>
      </c>
      <c r="AT1593" t="s">
        <v>932</v>
      </c>
      <c r="AU1593" t="s">
        <v>132</v>
      </c>
      <c r="AV1593" t="s">
        <v>933</v>
      </c>
      <c r="AW1593" t="s">
        <v>740</v>
      </c>
      <c r="AX1593" s="8" t="str">
        <f>"50010"</f>
        <v>50010</v>
      </c>
      <c r="AY1593" t="s">
        <v>118</v>
      </c>
      <c r="BA1593" s="10">
        <v>15152324444</v>
      </c>
      <c r="BC1593" t="s">
        <v>934</v>
      </c>
      <c r="BD1593" t="s">
        <v>935</v>
      </c>
      <c r="BE1593" t="s">
        <v>740</v>
      </c>
      <c r="BF1593" t="s">
        <v>172</v>
      </c>
      <c r="BG1593" t="s">
        <v>984</v>
      </c>
      <c r="BH1593" s="1">
        <v>45106.833333333336</v>
      </c>
      <c r="BI1593">
        <v>40</v>
      </c>
      <c r="BJ1593">
        <v>0</v>
      </c>
      <c r="BK1593">
        <v>8</v>
      </c>
      <c r="BL1593">
        <v>8</v>
      </c>
      <c r="BM1593">
        <v>8</v>
      </c>
      <c r="BN1593">
        <v>8</v>
      </c>
      <c r="BO1593">
        <v>8</v>
      </c>
      <c r="BP1593">
        <v>0</v>
      </c>
      <c r="BQ1593" t="str">
        <f>"7:00 AM"</f>
        <v>7:00 AM</v>
      </c>
      <c r="BR1593" t="str">
        <f>"5:00 PM"</f>
        <v>5:00 PM</v>
      </c>
      <c r="BS1593" t="s">
        <v>131</v>
      </c>
      <c r="BT1593">
        <v>0</v>
      </c>
      <c r="BU1593">
        <v>0</v>
      </c>
      <c r="BV1593" t="s">
        <v>114</v>
      </c>
      <c r="BX1593" s="2" t="s">
        <v>19306</v>
      </c>
      <c r="BY1593" t="s">
        <v>17711</v>
      </c>
      <c r="BZ1593" t="s">
        <v>17712</v>
      </c>
      <c r="CA1593" t="s">
        <v>17713</v>
      </c>
      <c r="CB1593" t="s">
        <v>984</v>
      </c>
      <c r="CC1593" s="8" t="str">
        <f>"63447"</f>
        <v>63447</v>
      </c>
      <c r="CD1593" t="s">
        <v>10341</v>
      </c>
      <c r="CE1593" t="s">
        <v>4593</v>
      </c>
      <c r="CF1593" s="12">
        <v>21.86</v>
      </c>
      <c r="CH1593" s="12">
        <v>32.79</v>
      </c>
      <c r="CJ1593" t="s">
        <v>135</v>
      </c>
      <c r="CK1593" t="s">
        <v>19307</v>
      </c>
      <c r="CL1593" t="s">
        <v>19308</v>
      </c>
      <c r="CO1593" t="s">
        <v>132</v>
      </c>
      <c r="CP1593" t="s">
        <v>136</v>
      </c>
      <c r="CQ1593" t="s">
        <v>136</v>
      </c>
      <c r="CR1593" t="s">
        <v>136</v>
      </c>
      <c r="CS1593" t="s">
        <v>136</v>
      </c>
      <c r="CT1593" t="s">
        <v>136</v>
      </c>
      <c r="CU1593" t="s">
        <v>136</v>
      </c>
      <c r="CV1593" t="s">
        <v>19309</v>
      </c>
      <c r="CW1593" s="10" t="str">
        <f>"+15735884151"</f>
        <v>+15735884151</v>
      </c>
      <c r="CX1593" t="s">
        <v>9960</v>
      </c>
      <c r="CY1593" t="s">
        <v>132</v>
      </c>
      <c r="CZ1593" t="s">
        <v>137</v>
      </c>
      <c r="DA1593" t="s">
        <v>114</v>
      </c>
      <c r="DB1593" t="s">
        <v>114</v>
      </c>
      <c r="DC1593" t="s">
        <v>136</v>
      </c>
      <c r="DD1593" t="s">
        <v>114</v>
      </c>
    </row>
    <row r="1594" spans="1:113" ht="15" customHeight="1" x14ac:dyDescent="0.25">
      <c r="A1594" t="s">
        <v>785</v>
      </c>
      <c r="B1594" t="s">
        <v>152</v>
      </c>
      <c r="C1594" s="1">
        <v>45112.832071180557</v>
      </c>
      <c r="D1594" s="1">
        <v>45209</v>
      </c>
      <c r="E1594" t="s">
        <v>114</v>
      </c>
      <c r="F1594" t="s">
        <v>786</v>
      </c>
      <c r="G1594" t="str">
        <f>"27-1023.00"</f>
        <v>27-1023.00</v>
      </c>
      <c r="H1594" t="s">
        <v>787</v>
      </c>
      <c r="I1594">
        <v>110</v>
      </c>
      <c r="J1594">
        <v>110</v>
      </c>
      <c r="K1594" s="1">
        <v>45200</v>
      </c>
      <c r="L1594" s="1">
        <v>45265</v>
      </c>
      <c r="M1594" s="1">
        <v>45200</v>
      </c>
      <c r="N1594" s="1">
        <v>45265</v>
      </c>
      <c r="O1594" t="s">
        <v>238</v>
      </c>
      <c r="P1594" t="s">
        <v>788</v>
      </c>
      <c r="Q1594" t="s">
        <v>789</v>
      </c>
      <c r="R1594" t="s">
        <v>790</v>
      </c>
      <c r="T1594" t="s">
        <v>791</v>
      </c>
      <c r="U1594" t="s">
        <v>792</v>
      </c>
      <c r="V1594" s="8" t="str">
        <f>"98528"</f>
        <v>98528</v>
      </c>
      <c r="W1594" t="s">
        <v>118</v>
      </c>
      <c r="Y1594" s="10">
        <v>13602755345</v>
      </c>
      <c r="AA1594">
        <v>11321</v>
      </c>
      <c r="AB1594" t="s">
        <v>793</v>
      </c>
      <c r="AC1594" t="s">
        <v>160</v>
      </c>
      <c r="AE1594" t="s">
        <v>794</v>
      </c>
      <c r="AF1594" t="s">
        <v>790</v>
      </c>
      <c r="AH1594" t="s">
        <v>795</v>
      </c>
      <c r="AI1594" t="s">
        <v>792</v>
      </c>
      <c r="AJ1594" s="8" t="str">
        <f>"98528"</f>
        <v>98528</v>
      </c>
      <c r="AK1594" t="s">
        <v>118</v>
      </c>
      <c r="AM1594" s="10">
        <v>13602755345</v>
      </c>
      <c r="AO1594" t="s">
        <v>796</v>
      </c>
      <c r="AP1594" t="s">
        <v>248</v>
      </c>
      <c r="AQ1594" t="s">
        <v>797</v>
      </c>
      <c r="AR1594" t="s">
        <v>486</v>
      </c>
      <c r="AT1594" t="s">
        <v>798</v>
      </c>
      <c r="AU1594" t="s">
        <v>799</v>
      </c>
      <c r="AV1594" t="s">
        <v>800</v>
      </c>
      <c r="AW1594" t="s">
        <v>792</v>
      </c>
      <c r="AX1594" s="8" t="str">
        <f>"98516"</f>
        <v>98516</v>
      </c>
      <c r="AY1594" t="s">
        <v>118</v>
      </c>
      <c r="BA1594" s="10">
        <v>13604558064</v>
      </c>
      <c r="BC1594" t="s">
        <v>801</v>
      </c>
      <c r="BD1594" t="s">
        <v>802</v>
      </c>
      <c r="BG1594" t="s">
        <v>479</v>
      </c>
      <c r="BH1594" s="1">
        <v>45111.833333333336</v>
      </c>
      <c r="BI1594">
        <v>40</v>
      </c>
      <c r="BJ1594">
        <v>0</v>
      </c>
      <c r="BK1594">
        <v>8</v>
      </c>
      <c r="BL1594">
        <v>8</v>
      </c>
      <c r="BM1594">
        <v>8</v>
      </c>
      <c r="BN1594">
        <v>8</v>
      </c>
      <c r="BO1594">
        <v>8</v>
      </c>
      <c r="BP1594">
        <v>0</v>
      </c>
      <c r="BQ1594" t="str">
        <f>"7:00 AM"</f>
        <v>7:00 AM</v>
      </c>
      <c r="BR1594" t="str">
        <f>"4:00 PM"</f>
        <v>4:00 PM</v>
      </c>
      <c r="BS1594" t="s">
        <v>131</v>
      </c>
      <c r="BT1594">
        <v>0</v>
      </c>
      <c r="BU1594">
        <v>1</v>
      </c>
      <c r="BV1594" t="s">
        <v>114</v>
      </c>
      <c r="BX1594" s="2" t="s">
        <v>803</v>
      </c>
      <c r="BY1594" t="s">
        <v>804</v>
      </c>
      <c r="CA1594" t="s">
        <v>805</v>
      </c>
      <c r="CB1594" t="s">
        <v>479</v>
      </c>
      <c r="CC1594" s="8" t="str">
        <f>"97116"</f>
        <v>97116</v>
      </c>
      <c r="CD1594" t="s">
        <v>806</v>
      </c>
      <c r="CE1594" t="s">
        <v>807</v>
      </c>
      <c r="CF1594" s="12">
        <v>16.89</v>
      </c>
      <c r="CG1594" s="12">
        <v>16.89</v>
      </c>
      <c r="CJ1594" t="s">
        <v>135</v>
      </c>
      <c r="CK1594" t="s">
        <v>808</v>
      </c>
      <c r="CL1594" t="s">
        <v>809</v>
      </c>
      <c r="CO1594" t="s">
        <v>132</v>
      </c>
      <c r="CP1594" t="s">
        <v>114</v>
      </c>
      <c r="CQ1594" t="s">
        <v>114</v>
      </c>
      <c r="CR1594" t="s">
        <v>114</v>
      </c>
      <c r="CS1594" t="s">
        <v>114</v>
      </c>
      <c r="CT1594" t="s">
        <v>136</v>
      </c>
      <c r="CU1594" t="s">
        <v>136</v>
      </c>
      <c r="CV1594" t="s">
        <v>810</v>
      </c>
      <c r="CW1594" s="10" t="str">
        <f>"N/A"</f>
        <v>N/A</v>
      </c>
      <c r="CX1594" t="s">
        <v>811</v>
      </c>
      <c r="CY1594" t="s">
        <v>812</v>
      </c>
      <c r="CZ1594" t="s">
        <v>137</v>
      </c>
      <c r="DA1594" t="s">
        <v>114</v>
      </c>
      <c r="DB1594" t="s">
        <v>136</v>
      </c>
      <c r="DC1594" t="s">
        <v>136</v>
      </c>
      <c r="DD1594" t="s">
        <v>114</v>
      </c>
    </row>
    <row r="1595" spans="1:113" ht="15" customHeight="1" x14ac:dyDescent="0.25">
      <c r="A1595" t="s">
        <v>11574</v>
      </c>
      <c r="B1595" t="s">
        <v>152</v>
      </c>
      <c r="C1595" s="1">
        <v>45110.650145486114</v>
      </c>
      <c r="D1595" s="1">
        <v>45209</v>
      </c>
      <c r="E1595" t="s">
        <v>114</v>
      </c>
      <c r="F1595" t="s">
        <v>1290</v>
      </c>
      <c r="G1595" t="str">
        <f>"47-2051.00"</f>
        <v>47-2051.00</v>
      </c>
      <c r="H1595" t="s">
        <v>1291</v>
      </c>
      <c r="I1595">
        <v>3</v>
      </c>
      <c r="J1595">
        <v>3</v>
      </c>
      <c r="K1595" s="1">
        <v>45200</v>
      </c>
      <c r="L1595" s="1">
        <v>45254</v>
      </c>
      <c r="M1595" s="1">
        <v>45200</v>
      </c>
      <c r="N1595" s="1">
        <v>45254</v>
      </c>
      <c r="O1595" t="s">
        <v>116</v>
      </c>
      <c r="P1595" t="s">
        <v>11575</v>
      </c>
      <c r="R1595" t="s">
        <v>11576</v>
      </c>
      <c r="T1595" t="s">
        <v>2908</v>
      </c>
      <c r="U1595" t="s">
        <v>386</v>
      </c>
      <c r="V1595" s="8" t="str">
        <f>"37042"</f>
        <v>37042</v>
      </c>
      <c r="W1595" t="s">
        <v>118</v>
      </c>
      <c r="Y1595" s="10">
        <v>19313381928</v>
      </c>
      <c r="AA1595">
        <v>238110</v>
      </c>
      <c r="AB1595" t="s">
        <v>10470</v>
      </c>
      <c r="AC1595" t="s">
        <v>2514</v>
      </c>
      <c r="AE1595" t="s">
        <v>561</v>
      </c>
      <c r="AF1595" t="s">
        <v>11576</v>
      </c>
      <c r="AH1595" t="s">
        <v>2908</v>
      </c>
      <c r="AI1595" t="s">
        <v>386</v>
      </c>
      <c r="AJ1595" s="8" t="str">
        <f>"37042"</f>
        <v>37042</v>
      </c>
      <c r="AK1595" t="s">
        <v>118</v>
      </c>
      <c r="AM1595" s="10">
        <v>19313381928</v>
      </c>
      <c r="AO1595" t="s">
        <v>11577</v>
      </c>
      <c r="AP1595" t="s">
        <v>121</v>
      </c>
      <c r="AQ1595" t="s">
        <v>745</v>
      </c>
      <c r="AR1595" t="s">
        <v>746</v>
      </c>
      <c r="AT1595" t="s">
        <v>747</v>
      </c>
      <c r="AV1595" t="s">
        <v>603</v>
      </c>
      <c r="AW1595" t="s">
        <v>127</v>
      </c>
      <c r="AX1595" s="8" t="str">
        <f>"78737"</f>
        <v>78737</v>
      </c>
      <c r="AY1595" t="s">
        <v>118</v>
      </c>
      <c r="BA1595" s="10">
        <v>15128942128</v>
      </c>
      <c r="BC1595" t="s">
        <v>748</v>
      </c>
      <c r="BD1595" t="s">
        <v>749</v>
      </c>
      <c r="BE1595" t="s">
        <v>127</v>
      </c>
      <c r="BF1595" t="s">
        <v>750</v>
      </c>
      <c r="BG1595" t="s">
        <v>386</v>
      </c>
      <c r="BH1595" s="1">
        <v>45102.833333333336</v>
      </c>
      <c r="BI1595">
        <v>40</v>
      </c>
      <c r="BJ1595">
        <v>0</v>
      </c>
      <c r="BK1595">
        <v>8</v>
      </c>
      <c r="BL1595">
        <v>8</v>
      </c>
      <c r="BM1595">
        <v>8</v>
      </c>
      <c r="BN1595">
        <v>8</v>
      </c>
      <c r="BO1595">
        <v>8</v>
      </c>
      <c r="BP1595">
        <v>0</v>
      </c>
      <c r="BQ1595" t="str">
        <f>"7:30 AM"</f>
        <v>7:30 AM</v>
      </c>
      <c r="BR1595" t="str">
        <f>"4:30 PM"</f>
        <v>4:30 PM</v>
      </c>
      <c r="BS1595" t="s">
        <v>131</v>
      </c>
      <c r="BT1595">
        <v>0</v>
      </c>
      <c r="BU1595">
        <v>3</v>
      </c>
      <c r="BV1595" t="s">
        <v>114</v>
      </c>
      <c r="BX1595" s="2" t="s">
        <v>11578</v>
      </c>
      <c r="BY1595" t="s">
        <v>11576</v>
      </c>
      <c r="CA1595" t="s">
        <v>2908</v>
      </c>
      <c r="CB1595" t="s">
        <v>386</v>
      </c>
      <c r="CC1595" s="8" t="str">
        <f>"37042"</f>
        <v>37042</v>
      </c>
      <c r="CD1595" t="s">
        <v>878</v>
      </c>
      <c r="CE1595" t="s">
        <v>2910</v>
      </c>
      <c r="CF1595" s="12">
        <v>20.76</v>
      </c>
      <c r="CG1595" s="12">
        <v>20.76</v>
      </c>
      <c r="CH1595" s="12">
        <v>31.14</v>
      </c>
      <c r="CI1595" s="12">
        <v>31.14</v>
      </c>
      <c r="CJ1595" t="s">
        <v>135</v>
      </c>
      <c r="CL1595" t="s">
        <v>11579</v>
      </c>
      <c r="CO1595" t="s">
        <v>132</v>
      </c>
      <c r="CP1595" t="s">
        <v>136</v>
      </c>
      <c r="CQ1595" t="s">
        <v>136</v>
      </c>
      <c r="CR1595" t="s">
        <v>136</v>
      </c>
      <c r="CS1595" t="s">
        <v>136</v>
      </c>
      <c r="CT1595" t="s">
        <v>136</v>
      </c>
      <c r="CU1595" t="s">
        <v>136</v>
      </c>
      <c r="CV1595" s="2" t="s">
        <v>11580</v>
      </c>
      <c r="CW1595" s="10" t="str">
        <f>"+19313381928"</f>
        <v>+19313381928</v>
      </c>
      <c r="CX1595" t="s">
        <v>11577</v>
      </c>
      <c r="CY1595" t="s">
        <v>132</v>
      </c>
      <c r="CZ1595" t="s">
        <v>137</v>
      </c>
      <c r="DA1595" t="s">
        <v>114</v>
      </c>
      <c r="DB1595" t="s">
        <v>114</v>
      </c>
      <c r="DC1595" t="s">
        <v>136</v>
      </c>
      <c r="DD1595" t="s">
        <v>114</v>
      </c>
    </row>
    <row r="1596" spans="1:113" ht="15" customHeight="1" x14ac:dyDescent="0.25">
      <c r="A1596" t="s">
        <v>10351</v>
      </c>
      <c r="B1596" t="s">
        <v>152</v>
      </c>
      <c r="C1596" s="1">
        <v>45110.582725347223</v>
      </c>
      <c r="D1596" s="1">
        <v>45209</v>
      </c>
      <c r="E1596" t="s">
        <v>114</v>
      </c>
      <c r="F1596" t="s">
        <v>2613</v>
      </c>
      <c r="G1596" t="str">
        <f>"51-2041.00"</f>
        <v>51-2041.00</v>
      </c>
      <c r="H1596" t="s">
        <v>2613</v>
      </c>
      <c r="I1596">
        <v>48</v>
      </c>
      <c r="J1596">
        <v>48</v>
      </c>
      <c r="K1596" s="1">
        <v>45200</v>
      </c>
      <c r="L1596" s="1">
        <v>45473</v>
      </c>
      <c r="M1596" s="1">
        <v>45200</v>
      </c>
      <c r="N1596" s="1">
        <v>45473</v>
      </c>
      <c r="O1596" t="s">
        <v>116</v>
      </c>
      <c r="P1596" t="s">
        <v>10352</v>
      </c>
      <c r="R1596" t="s">
        <v>10353</v>
      </c>
      <c r="T1596" t="s">
        <v>8344</v>
      </c>
      <c r="U1596" t="s">
        <v>127</v>
      </c>
      <c r="V1596" s="8" t="str">
        <f>"77027"</f>
        <v>77027</v>
      </c>
      <c r="W1596" t="s">
        <v>118</v>
      </c>
      <c r="Y1596" s="10">
        <v>17135811778</v>
      </c>
      <c r="AA1596">
        <v>236220</v>
      </c>
      <c r="AB1596" t="s">
        <v>10354</v>
      </c>
      <c r="AC1596" t="s">
        <v>10355</v>
      </c>
      <c r="AE1596" t="s">
        <v>438</v>
      </c>
      <c r="AF1596" t="s">
        <v>10353</v>
      </c>
      <c r="AH1596" t="s">
        <v>8344</v>
      </c>
      <c r="AI1596" t="s">
        <v>127</v>
      </c>
      <c r="AJ1596" s="8" t="str">
        <f>"77027"</f>
        <v>77027</v>
      </c>
      <c r="AK1596" t="s">
        <v>118</v>
      </c>
      <c r="AM1596" s="10">
        <v>17135811778</v>
      </c>
      <c r="AO1596" t="s">
        <v>10356</v>
      </c>
      <c r="AP1596" t="s">
        <v>248</v>
      </c>
      <c r="AQ1596" t="s">
        <v>2562</v>
      </c>
      <c r="AR1596" t="s">
        <v>2563</v>
      </c>
      <c r="AT1596" t="s">
        <v>2615</v>
      </c>
      <c r="AU1596" t="s">
        <v>2570</v>
      </c>
      <c r="AV1596" t="s">
        <v>2564</v>
      </c>
      <c r="AW1596" t="s">
        <v>127</v>
      </c>
      <c r="AX1596" s="8" t="str">
        <f>"77057"</f>
        <v>77057</v>
      </c>
      <c r="AY1596" t="s">
        <v>118</v>
      </c>
      <c r="BA1596" s="10">
        <v>17138218466</v>
      </c>
      <c r="BC1596" t="s">
        <v>2565</v>
      </c>
      <c r="BD1596" t="s">
        <v>2616</v>
      </c>
      <c r="BG1596" t="s">
        <v>127</v>
      </c>
      <c r="BH1596" s="1">
        <v>45109.833333333336</v>
      </c>
      <c r="BI1596">
        <v>40</v>
      </c>
      <c r="BJ1596">
        <v>0</v>
      </c>
      <c r="BK1596">
        <v>8</v>
      </c>
      <c r="BL1596">
        <v>8</v>
      </c>
      <c r="BM1596">
        <v>8</v>
      </c>
      <c r="BN1596">
        <v>8</v>
      </c>
      <c r="BO1596">
        <v>8</v>
      </c>
      <c r="BP1596">
        <v>0</v>
      </c>
      <c r="BQ1596" t="str">
        <f>"7:00 AM"</f>
        <v>7:00 AM</v>
      </c>
      <c r="BR1596" t="str">
        <f>"4:00 PM"</f>
        <v>4:00 PM</v>
      </c>
      <c r="BS1596" t="s">
        <v>131</v>
      </c>
      <c r="BT1596">
        <v>0</v>
      </c>
      <c r="BU1596">
        <v>3</v>
      </c>
      <c r="BV1596" t="s">
        <v>114</v>
      </c>
      <c r="BX1596" t="s">
        <v>10357</v>
      </c>
      <c r="BY1596" t="s">
        <v>10358</v>
      </c>
      <c r="CA1596" t="s">
        <v>10359</v>
      </c>
      <c r="CB1596" t="s">
        <v>127</v>
      </c>
      <c r="CC1596" s="8" t="str">
        <f>"77662"</f>
        <v>77662</v>
      </c>
      <c r="CD1596" t="s">
        <v>2274</v>
      </c>
      <c r="CE1596" t="s">
        <v>2433</v>
      </c>
      <c r="CF1596" s="12">
        <v>20.78</v>
      </c>
      <c r="CG1596" s="12">
        <v>20.78</v>
      </c>
      <c r="CH1596" s="12">
        <v>31.17</v>
      </c>
      <c r="CI1596" s="12">
        <v>31.17</v>
      </c>
      <c r="CJ1596" t="s">
        <v>135</v>
      </c>
      <c r="CL1596" t="s">
        <v>10360</v>
      </c>
      <c r="CO1596" t="s">
        <v>132</v>
      </c>
      <c r="CP1596" t="s">
        <v>136</v>
      </c>
      <c r="CQ1596" t="s">
        <v>114</v>
      </c>
      <c r="CR1596" t="s">
        <v>136</v>
      </c>
      <c r="CS1596" t="s">
        <v>114</v>
      </c>
      <c r="CT1596" t="s">
        <v>136</v>
      </c>
      <c r="CU1596" t="s">
        <v>114</v>
      </c>
      <c r="CV1596" t="s">
        <v>1570</v>
      </c>
      <c r="CW1596" s="10" t="str">
        <f>"+17135811778"</f>
        <v>+17135811778</v>
      </c>
      <c r="CX1596" t="s">
        <v>10356</v>
      </c>
      <c r="CY1596" t="s">
        <v>132</v>
      </c>
      <c r="CZ1596" t="s">
        <v>137</v>
      </c>
      <c r="DA1596" t="s">
        <v>114</v>
      </c>
      <c r="DB1596" t="s">
        <v>114</v>
      </c>
      <c r="DC1596" t="s">
        <v>136</v>
      </c>
      <c r="DD1596" t="s">
        <v>114</v>
      </c>
    </row>
    <row r="1597" spans="1:113" ht="15" customHeight="1" x14ac:dyDescent="0.25">
      <c r="A1597" t="s">
        <v>18468</v>
      </c>
      <c r="B1597" t="s">
        <v>152</v>
      </c>
      <c r="C1597" s="1">
        <v>45110.45316041667</v>
      </c>
      <c r="D1597" s="1">
        <v>45209</v>
      </c>
      <c r="E1597" t="s">
        <v>114</v>
      </c>
      <c r="F1597" t="s">
        <v>1290</v>
      </c>
      <c r="G1597" t="str">
        <f>"47-2051.00"</f>
        <v>47-2051.00</v>
      </c>
      <c r="H1597" t="s">
        <v>1291</v>
      </c>
      <c r="I1597">
        <v>10</v>
      </c>
      <c r="J1597">
        <v>10</v>
      </c>
      <c r="K1597" s="1">
        <v>45200</v>
      </c>
      <c r="L1597" s="1">
        <v>45270</v>
      </c>
      <c r="M1597" s="1">
        <v>45200</v>
      </c>
      <c r="N1597" s="1">
        <v>45270</v>
      </c>
      <c r="O1597" t="s">
        <v>116</v>
      </c>
      <c r="P1597" t="s">
        <v>18469</v>
      </c>
      <c r="R1597" t="s">
        <v>18470</v>
      </c>
      <c r="T1597" t="s">
        <v>18471</v>
      </c>
      <c r="U1597" t="s">
        <v>386</v>
      </c>
      <c r="V1597" s="8" t="str">
        <f>"37347"</f>
        <v>37347</v>
      </c>
      <c r="W1597" t="s">
        <v>118</v>
      </c>
      <c r="Y1597" s="10">
        <v>19182245700</v>
      </c>
      <c r="AA1597">
        <v>238110</v>
      </c>
      <c r="AB1597" t="s">
        <v>18472</v>
      </c>
      <c r="AC1597" t="s">
        <v>2892</v>
      </c>
      <c r="AE1597" t="s">
        <v>1349</v>
      </c>
      <c r="AF1597" t="s">
        <v>18470</v>
      </c>
      <c r="AH1597" t="s">
        <v>18471</v>
      </c>
      <c r="AI1597" t="s">
        <v>386</v>
      </c>
      <c r="AJ1597" s="8" t="str">
        <f>"37347"</f>
        <v>37347</v>
      </c>
      <c r="AK1597" t="s">
        <v>118</v>
      </c>
      <c r="AM1597" s="10">
        <v>19182245700</v>
      </c>
      <c r="AO1597" t="s">
        <v>18473</v>
      </c>
      <c r="AP1597" t="s">
        <v>121</v>
      </c>
      <c r="AQ1597" t="s">
        <v>2603</v>
      </c>
      <c r="AR1597" t="s">
        <v>2604</v>
      </c>
      <c r="AS1597" t="s">
        <v>931</v>
      </c>
      <c r="AT1597" t="s">
        <v>2605</v>
      </c>
      <c r="AU1597" t="s">
        <v>2606</v>
      </c>
      <c r="AV1597" t="s">
        <v>2607</v>
      </c>
      <c r="AW1597" t="s">
        <v>2608</v>
      </c>
      <c r="AX1597" s="8" t="str">
        <f>"73069"</f>
        <v>73069</v>
      </c>
      <c r="AY1597" t="s">
        <v>118</v>
      </c>
      <c r="BA1597" s="10">
        <v>14053642525</v>
      </c>
      <c r="BC1597" t="s">
        <v>2609</v>
      </c>
      <c r="BD1597" t="s">
        <v>2610</v>
      </c>
      <c r="BE1597" t="s">
        <v>2608</v>
      </c>
      <c r="BF1597" t="s">
        <v>2611</v>
      </c>
      <c r="BG1597" t="s">
        <v>386</v>
      </c>
      <c r="BH1597" s="1">
        <v>45109.833333333336</v>
      </c>
      <c r="BI1597">
        <v>40</v>
      </c>
      <c r="BJ1597">
        <v>0</v>
      </c>
      <c r="BK1597">
        <v>8</v>
      </c>
      <c r="BL1597">
        <v>8</v>
      </c>
      <c r="BM1597">
        <v>8</v>
      </c>
      <c r="BN1597">
        <v>8</v>
      </c>
      <c r="BO1597">
        <v>8</v>
      </c>
      <c r="BP1597">
        <v>0</v>
      </c>
      <c r="BQ1597" t="str">
        <f>"7:00 AM"</f>
        <v>7:00 AM</v>
      </c>
      <c r="BR1597" t="str">
        <f>"4:00 PM"</f>
        <v>4:00 PM</v>
      </c>
      <c r="BS1597" t="s">
        <v>131</v>
      </c>
      <c r="BT1597">
        <v>0</v>
      </c>
      <c r="BU1597">
        <v>0</v>
      </c>
      <c r="BV1597" t="s">
        <v>114</v>
      </c>
      <c r="BX1597" s="2" t="s">
        <v>3116</v>
      </c>
      <c r="BY1597" t="s">
        <v>18470</v>
      </c>
      <c r="CA1597" t="s">
        <v>18471</v>
      </c>
      <c r="CB1597" t="s">
        <v>386</v>
      </c>
      <c r="CC1597" s="8" t="str">
        <f>"37347"</f>
        <v>37347</v>
      </c>
      <c r="CD1597" t="s">
        <v>1257</v>
      </c>
      <c r="CE1597" t="s">
        <v>5500</v>
      </c>
      <c r="CF1597" s="12">
        <v>21.43</v>
      </c>
      <c r="CG1597" s="12">
        <v>21.43</v>
      </c>
      <c r="CH1597" s="12">
        <v>32.15</v>
      </c>
      <c r="CI1597" s="12">
        <v>32.15</v>
      </c>
      <c r="CJ1597" t="s">
        <v>135</v>
      </c>
      <c r="CL1597" t="s">
        <v>18474</v>
      </c>
      <c r="CO1597" t="s">
        <v>132</v>
      </c>
      <c r="CP1597" t="s">
        <v>114</v>
      </c>
      <c r="CQ1597" t="s">
        <v>114</v>
      </c>
      <c r="CR1597" t="s">
        <v>136</v>
      </c>
      <c r="CS1597" t="s">
        <v>114</v>
      </c>
      <c r="CT1597" t="s">
        <v>136</v>
      </c>
      <c r="CU1597" t="s">
        <v>114</v>
      </c>
      <c r="CV1597" t="s">
        <v>2612</v>
      </c>
      <c r="CW1597" s="10" t="str">
        <f>"+19182245700"</f>
        <v>+19182245700</v>
      </c>
      <c r="CX1597" t="s">
        <v>18473</v>
      </c>
      <c r="CY1597" t="s">
        <v>132</v>
      </c>
      <c r="CZ1597" t="s">
        <v>137</v>
      </c>
      <c r="DA1597" t="s">
        <v>114</v>
      </c>
      <c r="DB1597" t="s">
        <v>114</v>
      </c>
      <c r="DC1597" t="s">
        <v>136</v>
      </c>
      <c r="DD1597" t="s">
        <v>114</v>
      </c>
    </row>
    <row r="1598" spans="1:113" ht="15" customHeight="1" x14ac:dyDescent="0.25">
      <c r="A1598" t="s">
        <v>11768</v>
      </c>
      <c r="B1598" t="s">
        <v>152</v>
      </c>
      <c r="C1598" s="1">
        <v>45110.436669097224</v>
      </c>
      <c r="D1598" s="1">
        <v>45209</v>
      </c>
      <c r="E1598" t="s">
        <v>114</v>
      </c>
      <c r="F1598" t="s">
        <v>11769</v>
      </c>
      <c r="G1598" t="str">
        <f>"45-3031.00"</f>
        <v>45-3031.00</v>
      </c>
      <c r="H1598" t="s">
        <v>3729</v>
      </c>
      <c r="I1598">
        <v>30</v>
      </c>
      <c r="J1598">
        <v>30</v>
      </c>
      <c r="K1598" s="1">
        <v>45200</v>
      </c>
      <c r="L1598" s="1">
        <v>45473</v>
      </c>
      <c r="M1598" s="1">
        <v>45200</v>
      </c>
      <c r="N1598" s="1">
        <v>45473</v>
      </c>
      <c r="O1598" t="s">
        <v>238</v>
      </c>
      <c r="P1598" t="s">
        <v>11770</v>
      </c>
      <c r="R1598" t="s">
        <v>11771</v>
      </c>
      <c r="T1598" t="s">
        <v>6540</v>
      </c>
      <c r="U1598" t="s">
        <v>333</v>
      </c>
      <c r="V1598" s="8" t="str">
        <f>"70360"</f>
        <v>70360</v>
      </c>
      <c r="W1598" t="s">
        <v>118</v>
      </c>
      <c r="Y1598" s="10">
        <v>18329969711</v>
      </c>
      <c r="AA1598">
        <v>114112</v>
      </c>
      <c r="AB1598" t="s">
        <v>11772</v>
      </c>
      <c r="AC1598" t="s">
        <v>7741</v>
      </c>
      <c r="AD1598" t="s">
        <v>5285</v>
      </c>
      <c r="AE1598" t="s">
        <v>6039</v>
      </c>
      <c r="AF1598" t="s">
        <v>11771</v>
      </c>
      <c r="AH1598" t="s">
        <v>6540</v>
      </c>
      <c r="AI1598" t="s">
        <v>333</v>
      </c>
      <c r="AJ1598" s="8" t="str">
        <f>"70360"</f>
        <v>70360</v>
      </c>
      <c r="AK1598" t="s">
        <v>118</v>
      </c>
      <c r="AM1598" s="10">
        <v>18329969711</v>
      </c>
      <c r="AO1598" t="s">
        <v>11773</v>
      </c>
      <c r="AP1598" t="s">
        <v>121</v>
      </c>
      <c r="AQ1598" t="s">
        <v>10961</v>
      </c>
      <c r="AR1598" t="s">
        <v>3022</v>
      </c>
      <c r="AS1598" t="s">
        <v>425</v>
      </c>
      <c r="AT1598" t="s">
        <v>10962</v>
      </c>
      <c r="AV1598" t="s">
        <v>5102</v>
      </c>
      <c r="AW1598" t="s">
        <v>333</v>
      </c>
      <c r="AX1598" s="8" t="str">
        <f>"70130"</f>
        <v>70130</v>
      </c>
      <c r="AY1598" t="s">
        <v>118</v>
      </c>
      <c r="BA1598" s="10">
        <v>15045861922</v>
      </c>
      <c r="BC1598" t="s">
        <v>10963</v>
      </c>
      <c r="BD1598" t="s">
        <v>10964</v>
      </c>
      <c r="BE1598" t="s">
        <v>333</v>
      </c>
      <c r="BF1598" t="s">
        <v>2190</v>
      </c>
      <c r="BG1598" t="s">
        <v>333</v>
      </c>
      <c r="BH1598" s="1">
        <v>45083.833333333336</v>
      </c>
      <c r="BI1598">
        <v>40</v>
      </c>
      <c r="BJ1598">
        <v>0</v>
      </c>
      <c r="BK1598">
        <v>8</v>
      </c>
      <c r="BL1598">
        <v>8</v>
      </c>
      <c r="BM1598">
        <v>8</v>
      </c>
      <c r="BN1598">
        <v>8</v>
      </c>
      <c r="BO1598">
        <v>8</v>
      </c>
      <c r="BP1598">
        <v>0</v>
      </c>
      <c r="BQ1598" t="str">
        <f>"6:00 AM"</f>
        <v>6:00 AM</v>
      </c>
      <c r="BR1598" t="str">
        <f>"2:00 PM"</f>
        <v>2:00 PM</v>
      </c>
      <c r="BS1598" t="s">
        <v>131</v>
      </c>
      <c r="BT1598">
        <v>0</v>
      </c>
      <c r="BU1598">
        <v>0</v>
      </c>
      <c r="BV1598" t="s">
        <v>114</v>
      </c>
      <c r="BX1598" t="s">
        <v>1480</v>
      </c>
      <c r="BY1598" t="s">
        <v>11774</v>
      </c>
      <c r="CA1598" t="s">
        <v>11775</v>
      </c>
      <c r="CB1598" t="s">
        <v>333</v>
      </c>
      <c r="CC1598" s="8" t="str">
        <f>"70397"</f>
        <v>70397</v>
      </c>
      <c r="CD1598" t="s">
        <v>6546</v>
      </c>
      <c r="CE1598" t="s">
        <v>6547</v>
      </c>
      <c r="CF1598" s="12">
        <v>25.53</v>
      </c>
      <c r="CJ1598" t="s">
        <v>135</v>
      </c>
      <c r="CK1598" t="s">
        <v>11776</v>
      </c>
      <c r="CL1598" t="s">
        <v>11777</v>
      </c>
      <c r="CO1598" t="s">
        <v>132</v>
      </c>
      <c r="CP1598" t="s">
        <v>136</v>
      </c>
      <c r="CQ1598" t="s">
        <v>114</v>
      </c>
      <c r="CR1598" t="s">
        <v>114</v>
      </c>
      <c r="CS1598" t="s">
        <v>114</v>
      </c>
      <c r="CT1598" t="s">
        <v>136</v>
      </c>
      <c r="CU1598" t="s">
        <v>114</v>
      </c>
      <c r="CV1598" t="s">
        <v>11778</v>
      </c>
      <c r="CW1598" s="10" t="str">
        <f>"+19858763799"</f>
        <v>+19858763799</v>
      </c>
      <c r="CX1598" t="s">
        <v>11773</v>
      </c>
      <c r="CY1598" t="s">
        <v>132</v>
      </c>
      <c r="CZ1598" t="s">
        <v>137</v>
      </c>
      <c r="DA1598" t="s">
        <v>114</v>
      </c>
      <c r="DB1598" t="s">
        <v>114</v>
      </c>
      <c r="DC1598" t="s">
        <v>136</v>
      </c>
      <c r="DD1598" t="s">
        <v>114</v>
      </c>
      <c r="DE1598" t="s">
        <v>5012</v>
      </c>
      <c r="DF1598" t="s">
        <v>119</v>
      </c>
      <c r="DG1598" t="s">
        <v>5973</v>
      </c>
      <c r="DH1598" t="s">
        <v>10964</v>
      </c>
      <c r="DI1598" t="s">
        <v>10965</v>
      </c>
    </row>
    <row r="1599" spans="1:113" ht="15" customHeight="1" x14ac:dyDescent="0.25">
      <c r="A1599" t="s">
        <v>20587</v>
      </c>
      <c r="B1599" t="s">
        <v>152</v>
      </c>
      <c r="C1599" s="1">
        <v>45110.039556134259</v>
      </c>
      <c r="D1599" s="1">
        <v>45209</v>
      </c>
      <c r="E1599" t="s">
        <v>114</v>
      </c>
      <c r="F1599" t="s">
        <v>5204</v>
      </c>
      <c r="G1599" t="str">
        <f>"35-9021.00"</f>
        <v>35-9021.00</v>
      </c>
      <c r="H1599" t="s">
        <v>501</v>
      </c>
      <c r="I1599">
        <v>17</v>
      </c>
      <c r="J1599">
        <v>17</v>
      </c>
      <c r="K1599" s="1">
        <v>45200</v>
      </c>
      <c r="L1599" s="1">
        <v>45473</v>
      </c>
      <c r="M1599" s="1">
        <v>45200</v>
      </c>
      <c r="N1599" s="1">
        <v>45473</v>
      </c>
      <c r="O1599" t="s">
        <v>238</v>
      </c>
      <c r="P1599" t="s">
        <v>20588</v>
      </c>
      <c r="Q1599" t="s">
        <v>20588</v>
      </c>
      <c r="R1599" t="s">
        <v>15965</v>
      </c>
      <c r="T1599" t="s">
        <v>15967</v>
      </c>
      <c r="U1599" t="s">
        <v>140</v>
      </c>
      <c r="V1599" s="8" t="str">
        <f>"32352"</f>
        <v>32352</v>
      </c>
      <c r="W1599" t="s">
        <v>118</v>
      </c>
      <c r="Y1599" s="10">
        <v>18504436908</v>
      </c>
      <c r="AA1599">
        <v>722511</v>
      </c>
      <c r="AB1599" t="s">
        <v>2869</v>
      </c>
      <c r="AC1599" t="s">
        <v>15370</v>
      </c>
      <c r="AE1599" t="s">
        <v>20589</v>
      </c>
      <c r="AF1599" t="s">
        <v>15966</v>
      </c>
      <c r="AH1599" t="s">
        <v>15967</v>
      </c>
      <c r="AI1599" t="s">
        <v>140</v>
      </c>
      <c r="AJ1599" s="8" t="str">
        <f>"32352"</f>
        <v>32352</v>
      </c>
      <c r="AK1599" t="s">
        <v>118</v>
      </c>
      <c r="AM1599" s="10">
        <v>18504436908</v>
      </c>
      <c r="AO1599" t="s">
        <v>20590</v>
      </c>
      <c r="AX1599" s="8" t="str">
        <f>""</f>
        <v/>
      </c>
      <c r="BG1599" t="s">
        <v>140</v>
      </c>
      <c r="BH1599" s="1">
        <v>45113.833333333336</v>
      </c>
      <c r="BI1599">
        <v>35</v>
      </c>
      <c r="BJ1599">
        <v>6</v>
      </c>
      <c r="BK1599">
        <v>6</v>
      </c>
      <c r="BL1599">
        <v>0</v>
      </c>
      <c r="BM1599">
        <v>6</v>
      </c>
      <c r="BN1599">
        <v>5</v>
      </c>
      <c r="BO1599">
        <v>6</v>
      </c>
      <c r="BP1599">
        <v>6</v>
      </c>
      <c r="BQ1599" t="str">
        <f>"4:00 AM"</f>
        <v>4:00 AM</v>
      </c>
      <c r="BR1599" t="str">
        <f>"12:00 PM"</f>
        <v>12:00 PM</v>
      </c>
      <c r="BS1599" t="s">
        <v>147</v>
      </c>
      <c r="BT1599">
        <v>0</v>
      </c>
      <c r="BU1599">
        <v>0</v>
      </c>
      <c r="BV1599" t="s">
        <v>114</v>
      </c>
      <c r="BX1599" t="s">
        <v>20591</v>
      </c>
      <c r="BY1599" t="s">
        <v>20592</v>
      </c>
      <c r="CA1599" t="s">
        <v>20593</v>
      </c>
      <c r="CB1599" t="s">
        <v>140</v>
      </c>
      <c r="CC1599" s="8" t="str">
        <f>"33950"</f>
        <v>33950</v>
      </c>
      <c r="CD1599" t="s">
        <v>3114</v>
      </c>
      <c r="CE1599" t="s">
        <v>3115</v>
      </c>
      <c r="CF1599" s="12">
        <v>11.61</v>
      </c>
      <c r="CG1599" s="12">
        <v>11.61</v>
      </c>
      <c r="CH1599" s="12">
        <v>17.420000000000002</v>
      </c>
      <c r="CI1599" s="12">
        <v>17.420000000000002</v>
      </c>
      <c r="CJ1599" t="s">
        <v>135</v>
      </c>
      <c r="CK1599" t="s">
        <v>20594</v>
      </c>
      <c r="CL1599" t="s">
        <v>20595</v>
      </c>
      <c r="CO1599" t="s">
        <v>132</v>
      </c>
      <c r="CP1599" t="s">
        <v>136</v>
      </c>
      <c r="CQ1599" t="s">
        <v>136</v>
      </c>
      <c r="CR1599" t="s">
        <v>136</v>
      </c>
      <c r="CS1599" t="s">
        <v>114</v>
      </c>
      <c r="CT1599" t="s">
        <v>136</v>
      </c>
      <c r="CU1599" t="s">
        <v>136</v>
      </c>
      <c r="CV1599" s="2" t="s">
        <v>20596</v>
      </c>
      <c r="CW1599" s="10" t="str">
        <f>"N/A"</f>
        <v>N/A</v>
      </c>
      <c r="CX1599" t="s">
        <v>20597</v>
      </c>
      <c r="CY1599" t="s">
        <v>15979</v>
      </c>
      <c r="CZ1599" t="s">
        <v>137</v>
      </c>
      <c r="DA1599" t="s">
        <v>114</v>
      </c>
      <c r="DB1599" t="s">
        <v>114</v>
      </c>
      <c r="DC1599" t="s">
        <v>136</v>
      </c>
      <c r="DD1599" t="s">
        <v>114</v>
      </c>
    </row>
    <row r="1600" spans="1:113" ht="15" customHeight="1" x14ac:dyDescent="0.25">
      <c r="A1600" t="s">
        <v>10631</v>
      </c>
      <c r="B1600" t="s">
        <v>152</v>
      </c>
      <c r="C1600" s="1">
        <v>45141.589919907405</v>
      </c>
      <c r="D1600" s="1">
        <v>45205</v>
      </c>
      <c r="E1600" t="s">
        <v>114</v>
      </c>
      <c r="F1600" t="s">
        <v>3746</v>
      </c>
      <c r="G1600" t="str">
        <f>"35-2021.00"</f>
        <v>35-2021.00</v>
      </c>
      <c r="H1600" t="s">
        <v>2303</v>
      </c>
      <c r="I1600">
        <v>20</v>
      </c>
      <c r="J1600">
        <v>20</v>
      </c>
      <c r="K1600" s="1">
        <v>45231</v>
      </c>
      <c r="L1600" s="1">
        <v>45402</v>
      </c>
      <c r="M1600" s="1">
        <v>45231</v>
      </c>
      <c r="N1600" s="1">
        <v>45402</v>
      </c>
      <c r="O1600" t="s">
        <v>116</v>
      </c>
      <c r="P1600" t="s">
        <v>10632</v>
      </c>
      <c r="Q1600" t="s">
        <v>10633</v>
      </c>
      <c r="R1600" t="s">
        <v>10634</v>
      </c>
      <c r="S1600" t="s">
        <v>10635</v>
      </c>
      <c r="T1600" t="s">
        <v>1457</v>
      </c>
      <c r="U1600" t="s">
        <v>188</v>
      </c>
      <c r="V1600" s="8" t="str">
        <f>"81620"</f>
        <v>81620</v>
      </c>
      <c r="W1600" t="s">
        <v>118</v>
      </c>
      <c r="Y1600" s="10">
        <v>19704013666</v>
      </c>
      <c r="AA1600">
        <v>722511</v>
      </c>
      <c r="AB1600" t="s">
        <v>3484</v>
      </c>
      <c r="AC1600" t="s">
        <v>10636</v>
      </c>
      <c r="AE1600" t="s">
        <v>1349</v>
      </c>
      <c r="AF1600" t="s">
        <v>10635</v>
      </c>
      <c r="AG1600" t="s">
        <v>10637</v>
      </c>
      <c r="AH1600" t="s">
        <v>1457</v>
      </c>
      <c r="AI1600" t="s">
        <v>188</v>
      </c>
      <c r="AJ1600" s="8" t="str">
        <f>"81620"</f>
        <v>81620</v>
      </c>
      <c r="AK1600" t="s">
        <v>118</v>
      </c>
      <c r="AM1600" s="10">
        <v>19704013666</v>
      </c>
      <c r="AO1600" t="s">
        <v>10638</v>
      </c>
      <c r="AP1600" t="s">
        <v>121</v>
      </c>
      <c r="AQ1600" t="s">
        <v>1523</v>
      </c>
      <c r="AR1600" t="s">
        <v>1524</v>
      </c>
      <c r="AS1600" t="s">
        <v>1525</v>
      </c>
      <c r="AT1600" t="s">
        <v>1526</v>
      </c>
      <c r="AU1600" t="s">
        <v>10639</v>
      </c>
      <c r="AV1600" t="s">
        <v>1084</v>
      </c>
      <c r="AW1600" t="s">
        <v>188</v>
      </c>
      <c r="AX1600" s="8" t="str">
        <f>"81657"</f>
        <v>81657</v>
      </c>
      <c r="AY1600" t="s">
        <v>118</v>
      </c>
      <c r="BA1600" s="10">
        <v>19703066476</v>
      </c>
      <c r="BC1600" t="s">
        <v>1528</v>
      </c>
      <c r="BD1600" t="s">
        <v>10640</v>
      </c>
      <c r="BE1600" t="s">
        <v>188</v>
      </c>
      <c r="BF1600" t="s">
        <v>1530</v>
      </c>
      <c r="BG1600" t="s">
        <v>188</v>
      </c>
      <c r="BH1600" s="1">
        <v>45140.833333333336</v>
      </c>
      <c r="BI1600">
        <v>35</v>
      </c>
      <c r="BJ1600">
        <v>0</v>
      </c>
      <c r="BK1600">
        <v>7</v>
      </c>
      <c r="BL1600">
        <v>7</v>
      </c>
      <c r="BM1600">
        <v>7</v>
      </c>
      <c r="BN1600">
        <v>7</v>
      </c>
      <c r="BO1600">
        <v>7</v>
      </c>
      <c r="BP1600">
        <v>0</v>
      </c>
      <c r="BQ1600" t="str">
        <f>"9:00 AM"</f>
        <v>9:00 AM</v>
      </c>
      <c r="BR1600" t="str">
        <f>"4:00 PM"</f>
        <v>4:00 PM</v>
      </c>
      <c r="BS1600" t="s">
        <v>131</v>
      </c>
      <c r="BT1600">
        <v>0</v>
      </c>
      <c r="BU1600">
        <v>6</v>
      </c>
      <c r="BV1600" t="s">
        <v>114</v>
      </c>
      <c r="BX1600" s="2" t="s">
        <v>10641</v>
      </c>
      <c r="BY1600" t="s">
        <v>10642</v>
      </c>
      <c r="CA1600" t="s">
        <v>1457</v>
      </c>
      <c r="CB1600" t="s">
        <v>188</v>
      </c>
      <c r="CC1600" s="8" t="str">
        <f>"81620"</f>
        <v>81620</v>
      </c>
      <c r="CD1600" t="s">
        <v>1037</v>
      </c>
      <c r="CE1600" t="s">
        <v>1038</v>
      </c>
      <c r="CF1600" s="12">
        <v>20.92</v>
      </c>
      <c r="CH1600" s="12">
        <v>31.38</v>
      </c>
      <c r="CJ1600" t="s">
        <v>135</v>
      </c>
      <c r="CK1600" t="e">
        <f>+DOE. Eagle Country Bus pass reimbursement provided.</f>
        <v>#NAME?</v>
      </c>
      <c r="CL1600" t="s">
        <v>10643</v>
      </c>
      <c r="CO1600" t="s">
        <v>132</v>
      </c>
      <c r="CP1600" t="s">
        <v>136</v>
      </c>
      <c r="CQ1600" t="s">
        <v>136</v>
      </c>
      <c r="CR1600" t="s">
        <v>136</v>
      </c>
      <c r="CS1600" t="s">
        <v>136</v>
      </c>
      <c r="CT1600" t="s">
        <v>136</v>
      </c>
      <c r="CU1600" t="s">
        <v>114</v>
      </c>
      <c r="CV1600" t="s">
        <v>4015</v>
      </c>
      <c r="CW1600" s="10" t="str">
        <f>"+19704013666"</f>
        <v>+19704013666</v>
      </c>
      <c r="CX1600" t="s">
        <v>10638</v>
      </c>
      <c r="CY1600" t="s">
        <v>132</v>
      </c>
      <c r="CZ1600" t="s">
        <v>137</v>
      </c>
      <c r="DA1600" t="s">
        <v>114</v>
      </c>
      <c r="DB1600" t="s">
        <v>114</v>
      </c>
      <c r="DC1600" t="s">
        <v>136</v>
      </c>
      <c r="DD1600" t="s">
        <v>114</v>
      </c>
    </row>
    <row r="1601" spans="1:113" ht="15" customHeight="1" x14ac:dyDescent="0.25">
      <c r="A1601" t="s">
        <v>23463</v>
      </c>
      <c r="B1601" t="s">
        <v>152</v>
      </c>
      <c r="C1601" s="1">
        <v>45141.485801736111</v>
      </c>
      <c r="D1601" s="1">
        <v>45205</v>
      </c>
      <c r="E1601" t="s">
        <v>114</v>
      </c>
      <c r="F1601" t="s">
        <v>1511</v>
      </c>
      <c r="G1601" t="str">
        <f>"35-9011.00"</f>
        <v>35-9011.00</v>
      </c>
      <c r="H1601" t="s">
        <v>1512</v>
      </c>
      <c r="I1601">
        <v>2</v>
      </c>
      <c r="J1601">
        <v>2</v>
      </c>
      <c r="K1601" s="1">
        <v>45231</v>
      </c>
      <c r="L1601" s="1">
        <v>45397</v>
      </c>
      <c r="M1601" s="1">
        <v>45231</v>
      </c>
      <c r="N1601" s="1">
        <v>45397</v>
      </c>
      <c r="O1601" t="s">
        <v>116</v>
      </c>
      <c r="P1601" t="s">
        <v>23464</v>
      </c>
      <c r="Q1601" t="s">
        <v>23465</v>
      </c>
      <c r="R1601" t="s">
        <v>18271</v>
      </c>
      <c r="T1601" t="s">
        <v>1084</v>
      </c>
      <c r="U1601" t="s">
        <v>188</v>
      </c>
      <c r="V1601" s="8" t="str">
        <f>"81657"</f>
        <v>81657</v>
      </c>
      <c r="W1601" t="s">
        <v>118</v>
      </c>
      <c r="Y1601" s="10">
        <v>19704763789</v>
      </c>
      <c r="AA1601">
        <v>722511</v>
      </c>
      <c r="AB1601" t="s">
        <v>18269</v>
      </c>
      <c r="AC1601" t="s">
        <v>2005</v>
      </c>
      <c r="AE1601" t="s">
        <v>18270</v>
      </c>
      <c r="AF1601" t="s">
        <v>18271</v>
      </c>
      <c r="AH1601" t="s">
        <v>1084</v>
      </c>
      <c r="AI1601" t="s">
        <v>188</v>
      </c>
      <c r="AJ1601" s="8" t="str">
        <f>"81657"</f>
        <v>81657</v>
      </c>
      <c r="AK1601" t="s">
        <v>118</v>
      </c>
      <c r="AM1601" s="10">
        <v>19704763789</v>
      </c>
      <c r="AO1601" t="s">
        <v>18272</v>
      </c>
      <c r="AP1601" t="s">
        <v>121</v>
      </c>
      <c r="AQ1601" t="s">
        <v>1523</v>
      </c>
      <c r="AR1601" t="s">
        <v>1524</v>
      </c>
      <c r="AS1601" t="s">
        <v>1525</v>
      </c>
      <c r="AT1601" t="s">
        <v>1526</v>
      </c>
      <c r="AU1601" t="s">
        <v>1527</v>
      </c>
      <c r="AV1601" t="s">
        <v>1084</v>
      </c>
      <c r="AW1601" t="s">
        <v>188</v>
      </c>
      <c r="AX1601" s="8" t="str">
        <f>"81657"</f>
        <v>81657</v>
      </c>
      <c r="AY1601" t="s">
        <v>118</v>
      </c>
      <c r="BA1601" s="10">
        <v>19703066476</v>
      </c>
      <c r="BC1601" t="s">
        <v>1528</v>
      </c>
      <c r="BD1601" t="s">
        <v>1529</v>
      </c>
      <c r="BE1601" t="s">
        <v>188</v>
      </c>
      <c r="BF1601" t="s">
        <v>1530</v>
      </c>
      <c r="BG1601" t="s">
        <v>188</v>
      </c>
      <c r="BH1601" s="1">
        <v>45140.833333333336</v>
      </c>
      <c r="BI1601">
        <v>40</v>
      </c>
      <c r="BJ1601">
        <v>0</v>
      </c>
      <c r="BK1601">
        <v>8</v>
      </c>
      <c r="BL1601">
        <v>8</v>
      </c>
      <c r="BM1601">
        <v>8</v>
      </c>
      <c r="BN1601">
        <v>8</v>
      </c>
      <c r="BO1601">
        <v>8</v>
      </c>
      <c r="BP1601">
        <v>0</v>
      </c>
      <c r="BQ1601" t="str">
        <f>"8:00 AM"</f>
        <v>8:00 AM</v>
      </c>
      <c r="BR1601" t="str">
        <f>"4:00 PM"</f>
        <v>4:00 PM</v>
      </c>
      <c r="BS1601" t="s">
        <v>147</v>
      </c>
      <c r="BT1601">
        <v>0</v>
      </c>
      <c r="BU1601">
        <v>0</v>
      </c>
      <c r="BV1601" t="s">
        <v>114</v>
      </c>
      <c r="BX1601" s="2" t="s">
        <v>23466</v>
      </c>
      <c r="BY1601" t="s">
        <v>18271</v>
      </c>
      <c r="CA1601" t="s">
        <v>1084</v>
      </c>
      <c r="CB1601" t="s">
        <v>188</v>
      </c>
      <c r="CC1601" s="8" t="str">
        <f>"81657"</f>
        <v>81657</v>
      </c>
      <c r="CD1601" t="s">
        <v>1037</v>
      </c>
      <c r="CE1601" t="s">
        <v>1038</v>
      </c>
      <c r="CF1601" s="12">
        <v>16.399999999999999</v>
      </c>
      <c r="CH1601" s="12">
        <v>24.6</v>
      </c>
      <c r="CJ1601" t="s">
        <v>135</v>
      </c>
      <c r="CK1601" t="e">
        <f>+DOE.</f>
        <v>#NAME?</v>
      </c>
      <c r="CL1601" t="s">
        <v>23467</v>
      </c>
      <c r="CO1601" t="s">
        <v>132</v>
      </c>
      <c r="CP1601" t="s">
        <v>114</v>
      </c>
      <c r="CQ1601" t="s">
        <v>114</v>
      </c>
      <c r="CR1601" t="s">
        <v>136</v>
      </c>
      <c r="CS1601" t="s">
        <v>136</v>
      </c>
      <c r="CT1601" t="s">
        <v>136</v>
      </c>
      <c r="CU1601" t="s">
        <v>114</v>
      </c>
      <c r="CV1601" t="s">
        <v>4015</v>
      </c>
      <c r="CW1601" s="10" t="str">
        <f>"+19704763789"</f>
        <v>+19704763789</v>
      </c>
      <c r="CX1601" t="s">
        <v>18272</v>
      </c>
      <c r="CY1601" t="s">
        <v>132</v>
      </c>
      <c r="CZ1601" t="s">
        <v>137</v>
      </c>
      <c r="DA1601" t="s">
        <v>114</v>
      </c>
      <c r="DB1601" t="s">
        <v>114</v>
      </c>
      <c r="DC1601" t="s">
        <v>136</v>
      </c>
      <c r="DD1601" t="s">
        <v>114</v>
      </c>
    </row>
    <row r="1602" spans="1:113" ht="15" customHeight="1" x14ac:dyDescent="0.25">
      <c r="A1602" t="s">
        <v>18265</v>
      </c>
      <c r="B1602" t="s">
        <v>152</v>
      </c>
      <c r="C1602" s="1">
        <v>45141.485358564816</v>
      </c>
      <c r="D1602" s="1">
        <v>45205</v>
      </c>
      <c r="E1602" t="s">
        <v>114</v>
      </c>
      <c r="F1602" t="s">
        <v>3746</v>
      </c>
      <c r="G1602" t="str">
        <f>"35-2021.00"</f>
        <v>35-2021.00</v>
      </c>
      <c r="H1602" t="s">
        <v>2303</v>
      </c>
      <c r="I1602">
        <v>6</v>
      </c>
      <c r="J1602">
        <v>6</v>
      </c>
      <c r="K1602" s="1">
        <v>45231</v>
      </c>
      <c r="L1602" s="1">
        <v>45397</v>
      </c>
      <c r="M1602" s="1">
        <v>45231</v>
      </c>
      <c r="N1602" s="1">
        <v>45397</v>
      </c>
      <c r="O1602" t="s">
        <v>116</v>
      </c>
      <c r="P1602" t="s">
        <v>18266</v>
      </c>
      <c r="Q1602" t="s">
        <v>18267</v>
      </c>
      <c r="R1602" t="s">
        <v>18268</v>
      </c>
      <c r="T1602" t="s">
        <v>1084</v>
      </c>
      <c r="U1602" t="s">
        <v>188</v>
      </c>
      <c r="V1602" s="8" t="str">
        <f>"81657"</f>
        <v>81657</v>
      </c>
      <c r="W1602" t="s">
        <v>118</v>
      </c>
      <c r="Y1602" s="10">
        <v>19704763789</v>
      </c>
      <c r="AA1602">
        <v>722511</v>
      </c>
      <c r="AB1602" t="s">
        <v>18269</v>
      </c>
      <c r="AC1602" t="s">
        <v>2005</v>
      </c>
      <c r="AE1602" t="s">
        <v>18270</v>
      </c>
      <c r="AF1602" t="s">
        <v>18271</v>
      </c>
      <c r="AH1602" t="s">
        <v>1084</v>
      </c>
      <c r="AI1602" t="s">
        <v>188</v>
      </c>
      <c r="AJ1602" s="8" t="str">
        <f>"81657"</f>
        <v>81657</v>
      </c>
      <c r="AK1602" t="s">
        <v>118</v>
      </c>
      <c r="AM1602" s="10">
        <v>19704763789</v>
      </c>
      <c r="AO1602" t="s">
        <v>18272</v>
      </c>
      <c r="AP1602" t="s">
        <v>121</v>
      </c>
      <c r="AQ1602" t="s">
        <v>1523</v>
      </c>
      <c r="AR1602" t="s">
        <v>1524</v>
      </c>
      <c r="AS1602" t="s">
        <v>1525</v>
      </c>
      <c r="AT1602" t="s">
        <v>18273</v>
      </c>
      <c r="AU1602" t="s">
        <v>18274</v>
      </c>
      <c r="AV1602" t="s">
        <v>1084</v>
      </c>
      <c r="AW1602" t="s">
        <v>188</v>
      </c>
      <c r="AX1602" s="8" t="str">
        <f>"81658"</f>
        <v>81658</v>
      </c>
      <c r="AY1602" t="s">
        <v>118</v>
      </c>
      <c r="BA1602" s="10">
        <v>19703066476</v>
      </c>
      <c r="BC1602" t="s">
        <v>1528</v>
      </c>
      <c r="BD1602" t="s">
        <v>10640</v>
      </c>
      <c r="BE1602" t="s">
        <v>188</v>
      </c>
      <c r="BF1602" t="s">
        <v>1530</v>
      </c>
      <c r="BG1602" t="s">
        <v>188</v>
      </c>
      <c r="BH1602" s="1">
        <v>45140.833333333336</v>
      </c>
      <c r="BI1602">
        <v>40</v>
      </c>
      <c r="BJ1602">
        <v>0</v>
      </c>
      <c r="BK1602">
        <v>8</v>
      </c>
      <c r="BL1602">
        <v>8</v>
      </c>
      <c r="BM1602">
        <v>8</v>
      </c>
      <c r="BN1602">
        <v>8</v>
      </c>
      <c r="BO1602">
        <v>8</v>
      </c>
      <c r="BP1602">
        <v>0</v>
      </c>
      <c r="BQ1602" t="str">
        <f>"8:00 AM"</f>
        <v>8:00 AM</v>
      </c>
      <c r="BR1602" t="str">
        <f>"4:00 PM"</f>
        <v>4:00 PM</v>
      </c>
      <c r="BS1602" t="s">
        <v>147</v>
      </c>
      <c r="BT1602">
        <v>0</v>
      </c>
      <c r="BU1602">
        <v>0</v>
      </c>
      <c r="BV1602" t="s">
        <v>114</v>
      </c>
      <c r="BX1602" s="2" t="s">
        <v>18275</v>
      </c>
      <c r="BY1602" t="s">
        <v>18271</v>
      </c>
      <c r="CA1602" t="s">
        <v>1084</v>
      </c>
      <c r="CB1602" t="s">
        <v>188</v>
      </c>
      <c r="CC1602" s="8" t="str">
        <f>"81657"</f>
        <v>81657</v>
      </c>
      <c r="CD1602" t="s">
        <v>1037</v>
      </c>
      <c r="CE1602" t="s">
        <v>1038</v>
      </c>
      <c r="CF1602" s="12">
        <v>20.92</v>
      </c>
      <c r="CH1602" s="12">
        <v>31.38</v>
      </c>
      <c r="CJ1602" t="s">
        <v>135</v>
      </c>
      <c r="CK1602" t="e">
        <f>+DOE.</f>
        <v>#NAME?</v>
      </c>
      <c r="CL1602" t="s">
        <v>18276</v>
      </c>
      <c r="CO1602" t="s">
        <v>132</v>
      </c>
      <c r="CP1602" t="s">
        <v>114</v>
      </c>
      <c r="CQ1602" t="s">
        <v>114</v>
      </c>
      <c r="CR1602" t="s">
        <v>136</v>
      </c>
      <c r="CS1602" t="s">
        <v>136</v>
      </c>
      <c r="CT1602" t="s">
        <v>136</v>
      </c>
      <c r="CU1602" t="s">
        <v>114</v>
      </c>
      <c r="CV1602" t="s">
        <v>4015</v>
      </c>
      <c r="CW1602" s="10" t="str">
        <f>"+19704763789"</f>
        <v>+19704763789</v>
      </c>
      <c r="CX1602" t="s">
        <v>18272</v>
      </c>
      <c r="CY1602" t="s">
        <v>132</v>
      </c>
      <c r="CZ1602" t="s">
        <v>137</v>
      </c>
      <c r="DA1602" t="s">
        <v>114</v>
      </c>
      <c r="DB1602" t="s">
        <v>114</v>
      </c>
      <c r="DC1602" t="s">
        <v>136</v>
      </c>
      <c r="DD1602" t="s">
        <v>114</v>
      </c>
    </row>
    <row r="1603" spans="1:113" ht="15" customHeight="1" x14ac:dyDescent="0.25">
      <c r="A1603" t="s">
        <v>16999</v>
      </c>
      <c r="B1603" t="s">
        <v>152</v>
      </c>
      <c r="C1603" s="1">
        <v>45141.485142824073</v>
      </c>
      <c r="D1603" s="1">
        <v>45205</v>
      </c>
      <c r="E1603" t="s">
        <v>114</v>
      </c>
      <c r="F1603" t="s">
        <v>3746</v>
      </c>
      <c r="G1603" t="str">
        <f>"35-2021.00"</f>
        <v>35-2021.00</v>
      </c>
      <c r="H1603" t="s">
        <v>2303</v>
      </c>
      <c r="I1603">
        <v>3</v>
      </c>
      <c r="J1603">
        <v>3</v>
      </c>
      <c r="K1603" s="1">
        <v>45231</v>
      </c>
      <c r="L1603" s="1">
        <v>45397</v>
      </c>
      <c r="M1603" s="1">
        <v>45231</v>
      </c>
      <c r="N1603" s="1">
        <v>45397</v>
      </c>
      <c r="O1603" t="s">
        <v>116</v>
      </c>
      <c r="P1603" t="s">
        <v>17000</v>
      </c>
      <c r="Q1603" t="s">
        <v>17001</v>
      </c>
      <c r="R1603" t="s">
        <v>17002</v>
      </c>
      <c r="T1603" t="s">
        <v>1084</v>
      </c>
      <c r="U1603" t="s">
        <v>188</v>
      </c>
      <c r="V1603" s="8" t="str">
        <f>"81657"</f>
        <v>81657</v>
      </c>
      <c r="W1603" t="s">
        <v>118</v>
      </c>
      <c r="Y1603" s="10">
        <v>15612717047</v>
      </c>
      <c r="AA1603">
        <v>722511</v>
      </c>
      <c r="AB1603" t="s">
        <v>17003</v>
      </c>
      <c r="AC1603" t="s">
        <v>746</v>
      </c>
      <c r="AE1603" t="s">
        <v>561</v>
      </c>
      <c r="AF1603" t="s">
        <v>17002</v>
      </c>
      <c r="AH1603" t="s">
        <v>1084</v>
      </c>
      <c r="AI1603" t="s">
        <v>188</v>
      </c>
      <c r="AJ1603" s="8" t="str">
        <f>"81657"</f>
        <v>81657</v>
      </c>
      <c r="AK1603" t="s">
        <v>118</v>
      </c>
      <c r="AM1603" s="10">
        <v>15612717047</v>
      </c>
      <c r="AO1603" t="s">
        <v>17004</v>
      </c>
      <c r="AP1603" t="s">
        <v>121</v>
      </c>
      <c r="AQ1603" t="s">
        <v>1523</v>
      </c>
      <c r="AR1603" t="s">
        <v>1524</v>
      </c>
      <c r="AS1603" t="s">
        <v>1525</v>
      </c>
      <c r="AT1603" t="s">
        <v>1526</v>
      </c>
      <c r="AU1603" t="s">
        <v>1527</v>
      </c>
      <c r="AV1603" t="s">
        <v>1084</v>
      </c>
      <c r="AW1603" t="s">
        <v>188</v>
      </c>
      <c r="AX1603" s="8" t="str">
        <f>"81657"</f>
        <v>81657</v>
      </c>
      <c r="AY1603" t="s">
        <v>118</v>
      </c>
      <c r="BA1603" s="10">
        <v>19703066476</v>
      </c>
      <c r="BC1603" t="s">
        <v>1528</v>
      </c>
      <c r="BD1603" t="s">
        <v>1529</v>
      </c>
      <c r="BE1603" t="s">
        <v>188</v>
      </c>
      <c r="BF1603" t="s">
        <v>1530</v>
      </c>
      <c r="BG1603" t="s">
        <v>188</v>
      </c>
      <c r="BH1603" s="1">
        <v>45140.833333333336</v>
      </c>
      <c r="BI1603">
        <v>40</v>
      </c>
      <c r="BJ1603">
        <v>0</v>
      </c>
      <c r="BK1603">
        <v>8</v>
      </c>
      <c r="BL1603">
        <v>8</v>
      </c>
      <c r="BM1603">
        <v>8</v>
      </c>
      <c r="BN1603">
        <v>8</v>
      </c>
      <c r="BO1603">
        <v>8</v>
      </c>
      <c r="BP1603">
        <v>0</v>
      </c>
      <c r="BQ1603" t="str">
        <f>"8:00 AM"</f>
        <v>8:00 AM</v>
      </c>
      <c r="BR1603" t="str">
        <f>"4:00 PM"</f>
        <v>4:00 PM</v>
      </c>
      <c r="BS1603" t="s">
        <v>147</v>
      </c>
      <c r="BT1603">
        <v>0</v>
      </c>
      <c r="BU1603">
        <v>0</v>
      </c>
      <c r="BV1603" t="s">
        <v>114</v>
      </c>
      <c r="BX1603" s="2" t="s">
        <v>17005</v>
      </c>
      <c r="BY1603" t="s">
        <v>17002</v>
      </c>
      <c r="CA1603" t="s">
        <v>1084</v>
      </c>
      <c r="CB1603" t="s">
        <v>188</v>
      </c>
      <c r="CC1603" s="8" t="str">
        <f>"81657"</f>
        <v>81657</v>
      </c>
      <c r="CD1603" t="s">
        <v>1037</v>
      </c>
      <c r="CE1603" t="s">
        <v>1038</v>
      </c>
      <c r="CF1603" s="12">
        <v>20.92</v>
      </c>
      <c r="CH1603" s="12">
        <v>31.38</v>
      </c>
      <c r="CJ1603" t="s">
        <v>135</v>
      </c>
      <c r="CK1603" t="e">
        <f>+DOE.</f>
        <v>#NAME?</v>
      </c>
      <c r="CL1603" t="s">
        <v>17006</v>
      </c>
      <c r="CO1603" t="s">
        <v>132</v>
      </c>
      <c r="CP1603" t="s">
        <v>114</v>
      </c>
      <c r="CQ1603" t="s">
        <v>114</v>
      </c>
      <c r="CR1603" t="s">
        <v>136</v>
      </c>
      <c r="CS1603" t="s">
        <v>136</v>
      </c>
      <c r="CT1603" t="s">
        <v>136</v>
      </c>
      <c r="CU1603" t="s">
        <v>114</v>
      </c>
      <c r="CV1603" s="2" t="s">
        <v>17007</v>
      </c>
      <c r="CW1603" s="10" t="str">
        <f>"+15612717047"</f>
        <v>+15612717047</v>
      </c>
      <c r="CX1603" t="s">
        <v>17008</v>
      </c>
      <c r="CY1603" t="s">
        <v>132</v>
      </c>
      <c r="CZ1603" t="s">
        <v>137</v>
      </c>
      <c r="DA1603" t="s">
        <v>114</v>
      </c>
      <c r="DB1603" t="s">
        <v>114</v>
      </c>
      <c r="DC1603" t="s">
        <v>136</v>
      </c>
      <c r="DD1603" t="s">
        <v>114</v>
      </c>
    </row>
    <row r="1604" spans="1:113" ht="15" customHeight="1" x14ac:dyDescent="0.25">
      <c r="A1604" t="s">
        <v>24209</v>
      </c>
      <c r="B1604" t="s">
        <v>152</v>
      </c>
      <c r="C1604" s="1">
        <v>45141.484170601849</v>
      </c>
      <c r="D1604" s="1">
        <v>45205</v>
      </c>
      <c r="E1604" t="s">
        <v>114</v>
      </c>
      <c r="F1604" t="s">
        <v>1511</v>
      </c>
      <c r="G1604" t="str">
        <f>"35-9011.00"</f>
        <v>35-9011.00</v>
      </c>
      <c r="H1604" t="s">
        <v>1512</v>
      </c>
      <c r="I1604">
        <v>2</v>
      </c>
      <c r="J1604">
        <v>2</v>
      </c>
      <c r="K1604" s="1">
        <v>45231</v>
      </c>
      <c r="L1604" s="1">
        <v>45397</v>
      </c>
      <c r="M1604" s="1">
        <v>45231</v>
      </c>
      <c r="N1604" s="1">
        <v>45397</v>
      </c>
      <c r="O1604" t="s">
        <v>116</v>
      </c>
      <c r="P1604" t="s">
        <v>17000</v>
      </c>
      <c r="Q1604" t="s">
        <v>17001</v>
      </c>
      <c r="R1604" t="s">
        <v>17002</v>
      </c>
      <c r="T1604" t="s">
        <v>1084</v>
      </c>
      <c r="U1604" t="s">
        <v>188</v>
      </c>
      <c r="V1604" s="8" t="str">
        <f>"81657"</f>
        <v>81657</v>
      </c>
      <c r="W1604" t="s">
        <v>118</v>
      </c>
      <c r="Y1604" s="10">
        <v>15612717047</v>
      </c>
      <c r="AA1604">
        <v>722511</v>
      </c>
      <c r="AB1604" t="s">
        <v>17003</v>
      </c>
      <c r="AC1604" t="s">
        <v>746</v>
      </c>
      <c r="AE1604" t="s">
        <v>561</v>
      </c>
      <c r="AF1604" t="s">
        <v>17002</v>
      </c>
      <c r="AH1604" t="s">
        <v>1084</v>
      </c>
      <c r="AI1604" t="s">
        <v>188</v>
      </c>
      <c r="AJ1604" s="8" t="str">
        <f>"81657"</f>
        <v>81657</v>
      </c>
      <c r="AK1604" t="s">
        <v>118</v>
      </c>
      <c r="AM1604" s="10">
        <v>15612717047</v>
      </c>
      <c r="AO1604" t="s">
        <v>17004</v>
      </c>
      <c r="AP1604" t="s">
        <v>121</v>
      </c>
      <c r="AQ1604" t="s">
        <v>1523</v>
      </c>
      <c r="AR1604" t="s">
        <v>1524</v>
      </c>
      <c r="AS1604" t="s">
        <v>1525</v>
      </c>
      <c r="AT1604" t="s">
        <v>1526</v>
      </c>
      <c r="AU1604" t="s">
        <v>1527</v>
      </c>
      <c r="AV1604" t="s">
        <v>1084</v>
      </c>
      <c r="AW1604" t="s">
        <v>188</v>
      </c>
      <c r="AX1604" s="8" t="str">
        <f>"81657"</f>
        <v>81657</v>
      </c>
      <c r="AY1604" t="s">
        <v>118</v>
      </c>
      <c r="BA1604" s="10">
        <v>19703066476</v>
      </c>
      <c r="BC1604" t="s">
        <v>1528</v>
      </c>
      <c r="BD1604" t="s">
        <v>1529</v>
      </c>
      <c r="BE1604" t="s">
        <v>188</v>
      </c>
      <c r="BF1604" t="s">
        <v>1530</v>
      </c>
      <c r="BG1604" t="s">
        <v>188</v>
      </c>
      <c r="BH1604" s="1">
        <v>45140.833333333336</v>
      </c>
      <c r="BI1604">
        <v>40</v>
      </c>
      <c r="BJ1604">
        <v>0</v>
      </c>
      <c r="BK1604">
        <v>8</v>
      </c>
      <c r="BL1604">
        <v>8</v>
      </c>
      <c r="BM1604">
        <v>8</v>
      </c>
      <c r="BN1604">
        <v>8</v>
      </c>
      <c r="BO1604">
        <v>8</v>
      </c>
      <c r="BP1604">
        <v>0</v>
      </c>
      <c r="BQ1604" t="str">
        <f>"8:00 AM"</f>
        <v>8:00 AM</v>
      </c>
      <c r="BR1604" t="str">
        <f>"4:00 PM"</f>
        <v>4:00 PM</v>
      </c>
      <c r="BS1604" t="s">
        <v>147</v>
      </c>
      <c r="BT1604">
        <v>0</v>
      </c>
      <c r="BU1604">
        <v>0</v>
      </c>
      <c r="BV1604" t="s">
        <v>114</v>
      </c>
      <c r="BX1604" s="2" t="s">
        <v>24210</v>
      </c>
      <c r="BY1604" t="s">
        <v>17002</v>
      </c>
      <c r="CA1604" t="s">
        <v>1084</v>
      </c>
      <c r="CB1604" t="s">
        <v>188</v>
      </c>
      <c r="CC1604" s="8" t="str">
        <f>"81657"</f>
        <v>81657</v>
      </c>
      <c r="CD1604" t="s">
        <v>1037</v>
      </c>
      <c r="CE1604" t="s">
        <v>1038</v>
      </c>
      <c r="CF1604" s="12">
        <v>16.399999999999999</v>
      </c>
      <c r="CH1604" s="12">
        <v>24.6</v>
      </c>
      <c r="CJ1604" t="s">
        <v>135</v>
      </c>
      <c r="CK1604" t="e">
        <f>+DOE.</f>
        <v>#NAME?</v>
      </c>
      <c r="CL1604" t="s">
        <v>24211</v>
      </c>
      <c r="CO1604" t="s">
        <v>132</v>
      </c>
      <c r="CP1604" t="s">
        <v>114</v>
      </c>
      <c r="CQ1604" t="s">
        <v>114</v>
      </c>
      <c r="CR1604" t="s">
        <v>136</v>
      </c>
      <c r="CS1604" t="s">
        <v>136</v>
      </c>
      <c r="CT1604" t="s">
        <v>136</v>
      </c>
      <c r="CU1604" t="s">
        <v>114</v>
      </c>
      <c r="CV1604" t="s">
        <v>4015</v>
      </c>
      <c r="CW1604" s="10" t="str">
        <f>"+15612717047"</f>
        <v>+15612717047</v>
      </c>
      <c r="CX1604" t="s">
        <v>17008</v>
      </c>
      <c r="CY1604" t="s">
        <v>132</v>
      </c>
      <c r="CZ1604" t="s">
        <v>137</v>
      </c>
      <c r="DA1604" t="s">
        <v>114</v>
      </c>
      <c r="DB1604" t="s">
        <v>114</v>
      </c>
      <c r="DC1604" t="s">
        <v>136</v>
      </c>
      <c r="DD1604" t="s">
        <v>114</v>
      </c>
    </row>
    <row r="1605" spans="1:113" ht="15" customHeight="1" x14ac:dyDescent="0.25">
      <c r="A1605" t="s">
        <v>4680</v>
      </c>
      <c r="B1605" t="s">
        <v>152</v>
      </c>
      <c r="C1605" s="1">
        <v>45141.472549537037</v>
      </c>
      <c r="D1605" s="1">
        <v>45205</v>
      </c>
      <c r="E1605" t="s">
        <v>136</v>
      </c>
      <c r="F1605" t="s">
        <v>2512</v>
      </c>
      <c r="G1605" t="str">
        <f>"35-3031.00"</f>
        <v>35-3031.00</v>
      </c>
      <c r="H1605" t="s">
        <v>347</v>
      </c>
      <c r="I1605">
        <v>4</v>
      </c>
      <c r="J1605">
        <v>4</v>
      </c>
      <c r="K1605" s="1">
        <v>45231</v>
      </c>
      <c r="L1605" s="1">
        <v>45412</v>
      </c>
      <c r="M1605" s="1">
        <v>45231</v>
      </c>
      <c r="N1605" s="1">
        <v>45412</v>
      </c>
      <c r="O1605" t="s">
        <v>116</v>
      </c>
      <c r="P1605" t="s">
        <v>4681</v>
      </c>
      <c r="Q1605" t="s">
        <v>4682</v>
      </c>
      <c r="R1605" t="s">
        <v>4683</v>
      </c>
      <c r="T1605" t="s">
        <v>4684</v>
      </c>
      <c r="U1605" t="s">
        <v>140</v>
      </c>
      <c r="V1605" s="8" t="str">
        <f>"33050"</f>
        <v>33050</v>
      </c>
      <c r="W1605" t="s">
        <v>118</v>
      </c>
      <c r="Y1605" s="10">
        <v>13054819451</v>
      </c>
      <c r="AA1605">
        <v>721110</v>
      </c>
      <c r="AB1605" t="s">
        <v>4685</v>
      </c>
      <c r="AC1605" t="s">
        <v>4686</v>
      </c>
      <c r="AE1605" t="s">
        <v>4687</v>
      </c>
      <c r="AF1605" t="s">
        <v>4683</v>
      </c>
      <c r="AH1605" t="s">
        <v>4684</v>
      </c>
      <c r="AI1605" t="s">
        <v>140</v>
      </c>
      <c r="AJ1605" s="8" t="str">
        <f>"33050"</f>
        <v>33050</v>
      </c>
      <c r="AK1605" t="s">
        <v>118</v>
      </c>
      <c r="AM1605" s="10">
        <v>13054819451</v>
      </c>
      <c r="AO1605" t="s">
        <v>4688</v>
      </c>
      <c r="AP1605" t="s">
        <v>121</v>
      </c>
      <c r="AQ1605" t="s">
        <v>276</v>
      </c>
      <c r="AR1605" t="s">
        <v>277</v>
      </c>
      <c r="AS1605" t="s">
        <v>278</v>
      </c>
      <c r="AT1605" t="s">
        <v>279</v>
      </c>
      <c r="AU1605" t="s">
        <v>280</v>
      </c>
      <c r="AV1605" t="s">
        <v>281</v>
      </c>
      <c r="AW1605" t="s">
        <v>222</v>
      </c>
      <c r="AX1605" s="8" t="str">
        <f>"01701"</f>
        <v>01701</v>
      </c>
      <c r="AY1605" t="s">
        <v>118</v>
      </c>
      <c r="AZ1605" s="3" t="s">
        <v>2321</v>
      </c>
      <c r="BA1605" s="10">
        <v>16179399444</v>
      </c>
      <c r="BC1605" t="s">
        <v>282</v>
      </c>
      <c r="BD1605" t="s">
        <v>283</v>
      </c>
      <c r="BE1605" t="s">
        <v>222</v>
      </c>
      <c r="BF1605" t="s">
        <v>284</v>
      </c>
      <c r="BG1605" t="s">
        <v>140</v>
      </c>
      <c r="BH1605" s="1">
        <v>45140.833333333336</v>
      </c>
      <c r="BI1605">
        <v>40</v>
      </c>
      <c r="BJ1605">
        <v>0</v>
      </c>
      <c r="BK1605">
        <v>8</v>
      </c>
      <c r="BL1605">
        <v>8</v>
      </c>
      <c r="BM1605">
        <v>8</v>
      </c>
      <c r="BN1605">
        <v>8</v>
      </c>
      <c r="BO1605">
        <v>8</v>
      </c>
      <c r="BP1605">
        <v>0</v>
      </c>
      <c r="BQ1605" t="str">
        <f>"4:00 PM"</f>
        <v>4:00 PM</v>
      </c>
      <c r="BR1605" t="str">
        <f>"12:00 AM"</f>
        <v>12:00 AM</v>
      </c>
      <c r="BS1605" t="s">
        <v>131</v>
      </c>
      <c r="BT1605">
        <v>0</v>
      </c>
      <c r="BU1605">
        <v>3</v>
      </c>
      <c r="BV1605" t="s">
        <v>114</v>
      </c>
      <c r="BX1605" s="2" t="s">
        <v>4689</v>
      </c>
      <c r="BY1605" t="s">
        <v>4683</v>
      </c>
      <c r="CA1605" t="s">
        <v>4690</v>
      </c>
      <c r="CB1605" t="s">
        <v>140</v>
      </c>
      <c r="CC1605" s="8" t="str">
        <f>"33050"</f>
        <v>33050</v>
      </c>
      <c r="CD1605" t="s">
        <v>303</v>
      </c>
      <c r="CE1605" t="s">
        <v>304</v>
      </c>
      <c r="CF1605" s="12">
        <v>15.78</v>
      </c>
      <c r="CH1605" s="12">
        <v>23.67</v>
      </c>
      <c r="CJ1605" t="s">
        <v>135</v>
      </c>
      <c r="CK1605" t="s">
        <v>4691</v>
      </c>
      <c r="CL1605" t="s">
        <v>4692</v>
      </c>
      <c r="CO1605" t="s">
        <v>132</v>
      </c>
      <c r="CP1605" t="s">
        <v>114</v>
      </c>
      <c r="CQ1605" t="s">
        <v>114</v>
      </c>
      <c r="CR1605" t="s">
        <v>136</v>
      </c>
      <c r="CS1605" t="s">
        <v>136</v>
      </c>
      <c r="CT1605" t="s">
        <v>136</v>
      </c>
      <c r="CU1605" t="s">
        <v>136</v>
      </c>
      <c r="CV1605" t="s">
        <v>4693</v>
      </c>
      <c r="CW1605" s="10" t="str">
        <f>"+13054819451"</f>
        <v>+13054819451</v>
      </c>
      <c r="CX1605" t="s">
        <v>4688</v>
      </c>
      <c r="CY1605" t="s">
        <v>132</v>
      </c>
      <c r="CZ1605" t="s">
        <v>137</v>
      </c>
      <c r="DA1605" t="s">
        <v>114</v>
      </c>
      <c r="DB1605" t="s">
        <v>114</v>
      </c>
      <c r="DC1605" t="s">
        <v>136</v>
      </c>
      <c r="DD1605" t="s">
        <v>114</v>
      </c>
    </row>
    <row r="1606" spans="1:113" ht="15" customHeight="1" x14ac:dyDescent="0.25">
      <c r="A1606" t="s">
        <v>4773</v>
      </c>
      <c r="B1606" t="s">
        <v>152</v>
      </c>
      <c r="C1606" s="1">
        <v>45141.469877199073</v>
      </c>
      <c r="D1606" s="1">
        <v>45205</v>
      </c>
      <c r="E1606" t="s">
        <v>136</v>
      </c>
      <c r="F1606" t="s">
        <v>1689</v>
      </c>
      <c r="G1606" t="str">
        <f>"37-2012.00"</f>
        <v>37-2012.00</v>
      </c>
      <c r="H1606" t="s">
        <v>205</v>
      </c>
      <c r="I1606">
        <v>8</v>
      </c>
      <c r="J1606">
        <v>8</v>
      </c>
      <c r="K1606" s="1">
        <v>45231</v>
      </c>
      <c r="L1606" s="1">
        <v>45412</v>
      </c>
      <c r="M1606" s="1">
        <v>45231</v>
      </c>
      <c r="N1606" s="1">
        <v>45412</v>
      </c>
      <c r="O1606" t="s">
        <v>116</v>
      </c>
      <c r="P1606" t="s">
        <v>4681</v>
      </c>
      <c r="Q1606" t="s">
        <v>4682</v>
      </c>
      <c r="R1606" t="s">
        <v>4683</v>
      </c>
      <c r="T1606" t="s">
        <v>4684</v>
      </c>
      <c r="U1606" t="s">
        <v>140</v>
      </c>
      <c r="V1606" s="8" t="str">
        <f>"33050"</f>
        <v>33050</v>
      </c>
      <c r="W1606" t="s">
        <v>118</v>
      </c>
      <c r="Y1606" s="10">
        <v>13054819451</v>
      </c>
      <c r="AA1606">
        <v>721110</v>
      </c>
      <c r="AB1606" t="s">
        <v>4685</v>
      </c>
      <c r="AC1606" t="s">
        <v>4686</v>
      </c>
      <c r="AE1606" t="s">
        <v>4687</v>
      </c>
      <c r="AF1606" t="s">
        <v>4683</v>
      </c>
      <c r="AH1606" t="s">
        <v>4684</v>
      </c>
      <c r="AI1606" t="s">
        <v>140</v>
      </c>
      <c r="AJ1606" s="8" t="str">
        <f>"33050"</f>
        <v>33050</v>
      </c>
      <c r="AK1606" t="s">
        <v>118</v>
      </c>
      <c r="AM1606" s="10">
        <v>13054819451</v>
      </c>
      <c r="AO1606" t="s">
        <v>4688</v>
      </c>
      <c r="AP1606" t="s">
        <v>121</v>
      </c>
      <c r="AQ1606" t="s">
        <v>276</v>
      </c>
      <c r="AR1606" t="s">
        <v>277</v>
      </c>
      <c r="AS1606" t="s">
        <v>278</v>
      </c>
      <c r="AT1606" t="s">
        <v>279</v>
      </c>
      <c r="AU1606" t="s">
        <v>280</v>
      </c>
      <c r="AV1606" t="s">
        <v>281</v>
      </c>
      <c r="AW1606" t="s">
        <v>222</v>
      </c>
      <c r="AX1606" s="8" t="str">
        <f>"01701"</f>
        <v>01701</v>
      </c>
      <c r="AY1606" t="s">
        <v>118</v>
      </c>
      <c r="AZ1606" s="3" t="s">
        <v>2321</v>
      </c>
      <c r="BA1606" s="10">
        <v>16179399444</v>
      </c>
      <c r="BC1606" t="s">
        <v>282</v>
      </c>
      <c r="BD1606" t="s">
        <v>283</v>
      </c>
      <c r="BE1606" t="s">
        <v>222</v>
      </c>
      <c r="BF1606" t="s">
        <v>284</v>
      </c>
      <c r="BG1606" t="s">
        <v>140</v>
      </c>
      <c r="BH1606" s="1">
        <v>45140.833333333336</v>
      </c>
      <c r="BI1606">
        <v>40</v>
      </c>
      <c r="BJ1606">
        <v>0</v>
      </c>
      <c r="BK1606">
        <v>8</v>
      </c>
      <c r="BL1606">
        <v>8</v>
      </c>
      <c r="BM1606">
        <v>8</v>
      </c>
      <c r="BN1606">
        <v>8</v>
      </c>
      <c r="BO1606">
        <v>8</v>
      </c>
      <c r="BP1606">
        <v>0</v>
      </c>
      <c r="BQ1606" t="str">
        <f>"8:00 AM"</f>
        <v>8:00 AM</v>
      </c>
      <c r="BR1606" t="str">
        <f>"4:00 PM"</f>
        <v>4:00 PM</v>
      </c>
      <c r="BS1606" t="s">
        <v>131</v>
      </c>
      <c r="BT1606">
        <v>0</v>
      </c>
      <c r="BU1606">
        <v>3</v>
      </c>
      <c r="BV1606" t="s">
        <v>114</v>
      </c>
      <c r="BX1606" s="2" t="s">
        <v>4774</v>
      </c>
      <c r="BY1606" t="s">
        <v>4683</v>
      </c>
      <c r="CA1606" t="s">
        <v>4684</v>
      </c>
      <c r="CB1606" t="s">
        <v>140</v>
      </c>
      <c r="CC1606" s="8" t="str">
        <f>"33050"</f>
        <v>33050</v>
      </c>
      <c r="CD1606" t="s">
        <v>303</v>
      </c>
      <c r="CE1606" t="s">
        <v>304</v>
      </c>
      <c r="CF1606" s="12">
        <v>18</v>
      </c>
      <c r="CG1606" s="12">
        <v>18</v>
      </c>
      <c r="CH1606" s="12">
        <v>27</v>
      </c>
      <c r="CI1606" s="12">
        <v>27</v>
      </c>
      <c r="CJ1606" t="s">
        <v>135</v>
      </c>
      <c r="CK1606" t="s">
        <v>4775</v>
      </c>
      <c r="CL1606" t="s">
        <v>4776</v>
      </c>
      <c r="CO1606" t="s">
        <v>132</v>
      </c>
      <c r="CP1606" t="s">
        <v>114</v>
      </c>
      <c r="CQ1606" t="s">
        <v>114</v>
      </c>
      <c r="CR1606" t="s">
        <v>136</v>
      </c>
      <c r="CS1606" t="s">
        <v>136</v>
      </c>
      <c r="CT1606" t="s">
        <v>136</v>
      </c>
      <c r="CU1606" t="s">
        <v>136</v>
      </c>
      <c r="CV1606" s="2" t="s">
        <v>4777</v>
      </c>
      <c r="CW1606" s="10" t="str">
        <f>"+13054819455"</f>
        <v>+13054819455</v>
      </c>
      <c r="CX1606" t="s">
        <v>4688</v>
      </c>
      <c r="CY1606" t="s">
        <v>132</v>
      </c>
      <c r="CZ1606" t="s">
        <v>137</v>
      </c>
      <c r="DA1606" t="s">
        <v>114</v>
      </c>
      <c r="DB1606" t="s">
        <v>114</v>
      </c>
      <c r="DC1606" t="s">
        <v>136</v>
      </c>
      <c r="DD1606" t="s">
        <v>114</v>
      </c>
    </row>
    <row r="1607" spans="1:113" ht="15" customHeight="1" x14ac:dyDescent="0.25">
      <c r="A1607" t="s">
        <v>6901</v>
      </c>
      <c r="B1607" t="s">
        <v>152</v>
      </c>
      <c r="C1607" s="1">
        <v>45141.462240046298</v>
      </c>
      <c r="D1607" s="1">
        <v>45205</v>
      </c>
      <c r="E1607" t="s">
        <v>136</v>
      </c>
      <c r="F1607" t="s">
        <v>1059</v>
      </c>
      <c r="G1607" t="str">
        <f>"35-2014.00"</f>
        <v>35-2014.00</v>
      </c>
      <c r="H1607" t="s">
        <v>154</v>
      </c>
      <c r="I1607">
        <v>5</v>
      </c>
      <c r="J1607">
        <v>5</v>
      </c>
      <c r="K1607" s="1">
        <v>45231</v>
      </c>
      <c r="L1607" s="1">
        <v>45412</v>
      </c>
      <c r="M1607" s="1">
        <v>45231</v>
      </c>
      <c r="N1607" s="1">
        <v>45412</v>
      </c>
      <c r="O1607" t="s">
        <v>116</v>
      </c>
      <c r="P1607" t="s">
        <v>6902</v>
      </c>
      <c r="Q1607" t="s">
        <v>4682</v>
      </c>
      <c r="R1607" t="s">
        <v>4683</v>
      </c>
      <c r="T1607" t="s">
        <v>4684</v>
      </c>
      <c r="U1607" t="s">
        <v>140</v>
      </c>
      <c r="V1607" s="8" t="str">
        <f>"33050"</f>
        <v>33050</v>
      </c>
      <c r="W1607" t="s">
        <v>118</v>
      </c>
      <c r="Y1607" s="10">
        <v>13054819451</v>
      </c>
      <c r="AA1607">
        <v>721110</v>
      </c>
      <c r="AB1607" t="s">
        <v>4685</v>
      </c>
      <c r="AC1607" t="s">
        <v>4686</v>
      </c>
      <c r="AE1607" t="s">
        <v>4687</v>
      </c>
      <c r="AF1607" t="s">
        <v>4683</v>
      </c>
      <c r="AH1607" t="s">
        <v>4684</v>
      </c>
      <c r="AI1607" t="s">
        <v>140</v>
      </c>
      <c r="AJ1607" s="8" t="str">
        <f>"33050"</f>
        <v>33050</v>
      </c>
      <c r="AK1607" t="s">
        <v>118</v>
      </c>
      <c r="AM1607" s="10">
        <v>13054819451</v>
      </c>
      <c r="AO1607" t="s">
        <v>4688</v>
      </c>
      <c r="AP1607" t="s">
        <v>121</v>
      </c>
      <c r="AQ1607" t="s">
        <v>276</v>
      </c>
      <c r="AR1607" t="s">
        <v>277</v>
      </c>
      <c r="AS1607" t="s">
        <v>278</v>
      </c>
      <c r="AT1607" t="s">
        <v>279</v>
      </c>
      <c r="AU1607" t="s">
        <v>280</v>
      </c>
      <c r="AV1607" t="s">
        <v>281</v>
      </c>
      <c r="AW1607" t="s">
        <v>222</v>
      </c>
      <c r="AX1607" s="8" t="str">
        <f>"01701"</f>
        <v>01701</v>
      </c>
      <c r="AY1607" t="s">
        <v>118</v>
      </c>
      <c r="AZ1607" s="3" t="s">
        <v>2321</v>
      </c>
      <c r="BA1607" s="10">
        <v>16179399444</v>
      </c>
      <c r="BC1607" t="s">
        <v>282</v>
      </c>
      <c r="BD1607" t="s">
        <v>283</v>
      </c>
      <c r="BE1607" t="s">
        <v>222</v>
      </c>
      <c r="BF1607" t="s">
        <v>284</v>
      </c>
      <c r="BG1607" t="s">
        <v>140</v>
      </c>
      <c r="BH1607" s="1">
        <v>45140.833333333336</v>
      </c>
      <c r="BI1607">
        <v>40</v>
      </c>
      <c r="BJ1607">
        <v>0</v>
      </c>
      <c r="BK1607">
        <v>8</v>
      </c>
      <c r="BL1607">
        <v>8</v>
      </c>
      <c r="BM1607">
        <v>8</v>
      </c>
      <c r="BN1607">
        <v>8</v>
      </c>
      <c r="BO1607">
        <v>8</v>
      </c>
      <c r="BP1607">
        <v>0</v>
      </c>
      <c r="BQ1607" t="str">
        <f>"4:00 PM"</f>
        <v>4:00 PM</v>
      </c>
      <c r="BR1607" t="str">
        <f>"12:00 AM"</f>
        <v>12:00 AM</v>
      </c>
      <c r="BS1607" t="s">
        <v>131</v>
      </c>
      <c r="BT1607">
        <v>0</v>
      </c>
      <c r="BU1607">
        <v>6</v>
      </c>
      <c r="BV1607" t="s">
        <v>114</v>
      </c>
      <c r="BX1607" s="2" t="s">
        <v>6903</v>
      </c>
      <c r="BY1607" t="s">
        <v>4683</v>
      </c>
      <c r="CA1607" t="s">
        <v>4684</v>
      </c>
      <c r="CB1607" t="s">
        <v>140</v>
      </c>
      <c r="CC1607" s="8" t="str">
        <f>"33050"</f>
        <v>33050</v>
      </c>
      <c r="CD1607" t="s">
        <v>303</v>
      </c>
      <c r="CE1607" t="s">
        <v>304</v>
      </c>
      <c r="CF1607" s="12">
        <v>17</v>
      </c>
      <c r="CG1607" s="12">
        <v>17</v>
      </c>
      <c r="CH1607" s="12">
        <v>25.5</v>
      </c>
      <c r="CI1607" s="12">
        <v>25.5</v>
      </c>
      <c r="CJ1607" t="s">
        <v>135</v>
      </c>
      <c r="CK1607" t="s">
        <v>6904</v>
      </c>
      <c r="CL1607" t="s">
        <v>6905</v>
      </c>
      <c r="CO1607" t="s">
        <v>132</v>
      </c>
      <c r="CP1607" t="s">
        <v>114</v>
      </c>
      <c r="CQ1607" t="s">
        <v>114</v>
      </c>
      <c r="CR1607" t="s">
        <v>136</v>
      </c>
      <c r="CS1607" t="s">
        <v>136</v>
      </c>
      <c r="CT1607" t="s">
        <v>136</v>
      </c>
      <c r="CU1607" t="s">
        <v>136</v>
      </c>
      <c r="CV1607" s="2" t="s">
        <v>4777</v>
      </c>
      <c r="CW1607" s="10" t="str">
        <f>"+13054819451"</f>
        <v>+13054819451</v>
      </c>
      <c r="CX1607" t="s">
        <v>4688</v>
      </c>
      <c r="CY1607" t="s">
        <v>132</v>
      </c>
      <c r="CZ1607" t="s">
        <v>137</v>
      </c>
      <c r="DA1607" t="s">
        <v>114</v>
      </c>
      <c r="DB1607" t="s">
        <v>114</v>
      </c>
      <c r="DC1607" t="s">
        <v>136</v>
      </c>
      <c r="DD1607" t="s">
        <v>114</v>
      </c>
    </row>
    <row r="1608" spans="1:113" ht="15" customHeight="1" x14ac:dyDescent="0.25">
      <c r="A1608" t="s">
        <v>20627</v>
      </c>
      <c r="B1608" t="s">
        <v>152</v>
      </c>
      <c r="C1608" s="1">
        <v>45141.395152893521</v>
      </c>
      <c r="D1608" s="1">
        <v>45205</v>
      </c>
      <c r="E1608" t="s">
        <v>114</v>
      </c>
      <c r="F1608" t="s">
        <v>1950</v>
      </c>
      <c r="G1608" t="str">
        <f>"37-2012.00"</f>
        <v>37-2012.00</v>
      </c>
      <c r="H1608" t="s">
        <v>205</v>
      </c>
      <c r="I1608">
        <v>12</v>
      </c>
      <c r="J1608">
        <v>12</v>
      </c>
      <c r="K1608" s="1">
        <v>45231</v>
      </c>
      <c r="L1608" s="1">
        <v>45536</v>
      </c>
      <c r="M1608" s="1">
        <v>45231</v>
      </c>
      <c r="N1608" s="1">
        <v>45536</v>
      </c>
      <c r="O1608" t="s">
        <v>116</v>
      </c>
      <c r="P1608" t="s">
        <v>20628</v>
      </c>
      <c r="R1608" t="s">
        <v>20629</v>
      </c>
      <c r="S1608" t="s">
        <v>20630</v>
      </c>
      <c r="T1608" t="s">
        <v>3120</v>
      </c>
      <c r="U1608" t="s">
        <v>892</v>
      </c>
      <c r="V1608" s="8" t="str">
        <f>"59758"</f>
        <v>59758</v>
      </c>
      <c r="W1608" t="s">
        <v>118</v>
      </c>
      <c r="Y1608" s="10">
        <v>14066401361</v>
      </c>
      <c r="Z1608">
        <v>452</v>
      </c>
      <c r="AA1608">
        <v>72111</v>
      </c>
      <c r="AB1608" t="s">
        <v>824</v>
      </c>
      <c r="AC1608" t="s">
        <v>20631</v>
      </c>
      <c r="AE1608" t="s">
        <v>20632</v>
      </c>
      <c r="AF1608" t="s">
        <v>20629</v>
      </c>
      <c r="AG1608" t="s">
        <v>20630</v>
      </c>
      <c r="AH1608" t="s">
        <v>3120</v>
      </c>
      <c r="AI1608" t="s">
        <v>892</v>
      </c>
      <c r="AJ1608" s="8" t="str">
        <f>"59758"</f>
        <v>59758</v>
      </c>
      <c r="AK1608" t="s">
        <v>118</v>
      </c>
      <c r="AM1608" s="10">
        <v>14066401361</v>
      </c>
      <c r="AN1608">
        <v>452</v>
      </c>
      <c r="AO1608" t="s">
        <v>132</v>
      </c>
      <c r="AP1608" t="s">
        <v>248</v>
      </c>
      <c r="AQ1608" t="s">
        <v>577</v>
      </c>
      <c r="AR1608" t="s">
        <v>578</v>
      </c>
      <c r="AT1608" t="s">
        <v>579</v>
      </c>
      <c r="AV1608" t="s">
        <v>580</v>
      </c>
      <c r="AW1608" t="s">
        <v>581</v>
      </c>
      <c r="AX1608" s="8" t="str">
        <f>"22903"</f>
        <v>22903</v>
      </c>
      <c r="AY1608" t="s">
        <v>118</v>
      </c>
      <c r="BA1608" s="10">
        <v>14342634300</v>
      </c>
      <c r="BC1608" t="s">
        <v>6249</v>
      </c>
      <c r="BD1608" t="s">
        <v>583</v>
      </c>
      <c r="BG1608" t="s">
        <v>892</v>
      </c>
      <c r="BH1608" s="1">
        <v>45140.833333333336</v>
      </c>
      <c r="BI1608">
        <v>35</v>
      </c>
      <c r="BJ1608">
        <v>0</v>
      </c>
      <c r="BK1608">
        <v>7</v>
      </c>
      <c r="BL1608">
        <v>7</v>
      </c>
      <c r="BM1608">
        <v>7</v>
      </c>
      <c r="BN1608">
        <v>7</v>
      </c>
      <c r="BO1608">
        <v>7</v>
      </c>
      <c r="BP1608">
        <v>0</v>
      </c>
      <c r="BQ1608" t="str">
        <f>"8:00 AM"</f>
        <v>8:00 AM</v>
      </c>
      <c r="BR1608" t="str">
        <f>"3:30 PM"</f>
        <v>3:30 PM</v>
      </c>
      <c r="BS1608" t="s">
        <v>131</v>
      </c>
      <c r="BT1608">
        <v>0</v>
      </c>
      <c r="BU1608">
        <v>0</v>
      </c>
      <c r="BV1608" t="s">
        <v>114</v>
      </c>
      <c r="BX1608" s="2" t="s">
        <v>20633</v>
      </c>
      <c r="BY1608" t="s">
        <v>20629</v>
      </c>
      <c r="CA1608" t="s">
        <v>3120</v>
      </c>
      <c r="CB1608" t="s">
        <v>892</v>
      </c>
      <c r="CC1608" s="8" t="str">
        <f>"59758"</f>
        <v>59758</v>
      </c>
      <c r="CD1608" t="s">
        <v>1957</v>
      </c>
      <c r="CE1608" t="s">
        <v>909</v>
      </c>
      <c r="CF1608" s="12">
        <v>13.69</v>
      </c>
      <c r="CH1608" s="12">
        <v>20.54</v>
      </c>
      <c r="CJ1608" t="s">
        <v>135</v>
      </c>
      <c r="CK1608" t="s">
        <v>590</v>
      </c>
      <c r="CL1608" t="s">
        <v>20634</v>
      </c>
      <c r="CO1608" t="s">
        <v>132</v>
      </c>
      <c r="CP1608" t="s">
        <v>114</v>
      </c>
      <c r="CQ1608" t="s">
        <v>114</v>
      </c>
      <c r="CR1608" t="s">
        <v>136</v>
      </c>
      <c r="CS1608" t="s">
        <v>136</v>
      </c>
      <c r="CT1608" t="s">
        <v>136</v>
      </c>
      <c r="CU1608" t="s">
        <v>136</v>
      </c>
      <c r="CV1608" t="s">
        <v>11626</v>
      </c>
      <c r="CW1608" s="10" t="str">
        <f>"N/A"</f>
        <v>N/A</v>
      </c>
      <c r="CX1608" t="s">
        <v>20635</v>
      </c>
      <c r="CY1608" t="s">
        <v>20636</v>
      </c>
      <c r="CZ1608" t="s">
        <v>137</v>
      </c>
      <c r="DA1608" t="s">
        <v>114</v>
      </c>
      <c r="DB1608" t="s">
        <v>136</v>
      </c>
      <c r="DC1608" t="s">
        <v>136</v>
      </c>
      <c r="DD1608" t="s">
        <v>114</v>
      </c>
      <c r="DE1608" t="s">
        <v>5698</v>
      </c>
      <c r="DF1608" t="s">
        <v>3175</v>
      </c>
      <c r="DH1608" t="s">
        <v>583</v>
      </c>
      <c r="DI1608" t="s">
        <v>6249</v>
      </c>
    </row>
    <row r="1609" spans="1:113" ht="15" customHeight="1" x14ac:dyDescent="0.25">
      <c r="A1609" t="s">
        <v>21805</v>
      </c>
      <c r="B1609" t="s">
        <v>152</v>
      </c>
      <c r="C1609" s="1">
        <v>45141.38402326389</v>
      </c>
      <c r="D1609" s="1">
        <v>45205</v>
      </c>
      <c r="E1609" t="s">
        <v>136</v>
      </c>
      <c r="F1609" t="s">
        <v>1059</v>
      </c>
      <c r="G1609" t="str">
        <f>"35-2014.00"</f>
        <v>35-2014.00</v>
      </c>
      <c r="H1609" t="s">
        <v>154</v>
      </c>
      <c r="I1609">
        <v>6</v>
      </c>
      <c r="J1609">
        <v>6</v>
      </c>
      <c r="K1609" s="1">
        <v>45231</v>
      </c>
      <c r="L1609" s="1">
        <v>45427</v>
      </c>
      <c r="M1609" s="1">
        <v>45231</v>
      </c>
      <c r="N1609" s="1">
        <v>45427</v>
      </c>
      <c r="O1609" t="s">
        <v>116</v>
      </c>
      <c r="P1609" t="s">
        <v>11958</v>
      </c>
      <c r="R1609" t="s">
        <v>11959</v>
      </c>
      <c r="T1609" t="s">
        <v>1614</v>
      </c>
      <c r="U1609" t="s">
        <v>140</v>
      </c>
      <c r="V1609" s="8" t="str">
        <f>"34105"</f>
        <v>34105</v>
      </c>
      <c r="W1609" t="s">
        <v>118</v>
      </c>
      <c r="Y1609" s="10">
        <v>12399191207</v>
      </c>
      <c r="AA1609">
        <v>71391</v>
      </c>
      <c r="AB1609" t="s">
        <v>7775</v>
      </c>
      <c r="AC1609" t="s">
        <v>10470</v>
      </c>
      <c r="AE1609" t="s">
        <v>11960</v>
      </c>
      <c r="AF1609" t="s">
        <v>11959</v>
      </c>
      <c r="AH1609" t="s">
        <v>1614</v>
      </c>
      <c r="AI1609" t="s">
        <v>140</v>
      </c>
      <c r="AJ1609" s="8" t="str">
        <f>"34105"</f>
        <v>34105</v>
      </c>
      <c r="AK1609" t="s">
        <v>118</v>
      </c>
      <c r="AL1609" t="s">
        <v>5542</v>
      </c>
      <c r="AM1609" s="10">
        <v>12399191207</v>
      </c>
      <c r="AO1609" t="s">
        <v>11961</v>
      </c>
      <c r="AP1609" t="s">
        <v>121</v>
      </c>
      <c r="AQ1609" t="s">
        <v>1122</v>
      </c>
      <c r="AR1609" t="s">
        <v>1123</v>
      </c>
      <c r="AS1609" t="s">
        <v>1124</v>
      </c>
      <c r="AT1609" t="s">
        <v>1125</v>
      </c>
      <c r="AU1609" t="s">
        <v>1126</v>
      </c>
      <c r="AV1609" t="s">
        <v>139</v>
      </c>
      <c r="AW1609" t="s">
        <v>140</v>
      </c>
      <c r="AX1609" s="8" t="str">
        <f>"33186"</f>
        <v>33186</v>
      </c>
      <c r="AY1609" t="s">
        <v>118</v>
      </c>
      <c r="BA1609" s="10">
        <v>13056706767</v>
      </c>
      <c r="BC1609" t="s">
        <v>1127</v>
      </c>
      <c r="BD1609" t="s">
        <v>1128</v>
      </c>
      <c r="BE1609" t="s">
        <v>140</v>
      </c>
      <c r="BF1609" t="s">
        <v>1129</v>
      </c>
      <c r="BG1609" t="s">
        <v>140</v>
      </c>
      <c r="BH1609" s="1">
        <v>45130.833333333336</v>
      </c>
      <c r="BI1609">
        <v>49</v>
      </c>
      <c r="BJ1609">
        <v>7</v>
      </c>
      <c r="BK1609">
        <v>7</v>
      </c>
      <c r="BL1609">
        <v>7</v>
      </c>
      <c r="BM1609">
        <v>7</v>
      </c>
      <c r="BN1609">
        <v>7</v>
      </c>
      <c r="BO1609">
        <v>7</v>
      </c>
      <c r="BP1609">
        <v>7</v>
      </c>
      <c r="BQ1609" t="str">
        <f>"7:00 AM"</f>
        <v>7:00 AM</v>
      </c>
      <c r="BR1609" t="str">
        <f>"2:00 PM"</f>
        <v>2:00 PM</v>
      </c>
      <c r="BS1609" t="s">
        <v>131</v>
      </c>
      <c r="BT1609">
        <v>0</v>
      </c>
      <c r="BU1609">
        <v>12</v>
      </c>
      <c r="BV1609" t="s">
        <v>114</v>
      </c>
      <c r="BX1609" s="2" t="s">
        <v>21806</v>
      </c>
      <c r="BY1609" t="s">
        <v>11959</v>
      </c>
      <c r="CA1609" t="s">
        <v>1614</v>
      </c>
      <c r="CB1609" t="s">
        <v>140</v>
      </c>
      <c r="CC1609" s="8" t="str">
        <f>"34105"</f>
        <v>34105</v>
      </c>
      <c r="CD1609" t="s">
        <v>1619</v>
      </c>
      <c r="CE1609" t="s">
        <v>1620</v>
      </c>
      <c r="CF1609" s="12">
        <v>17</v>
      </c>
      <c r="CG1609" s="12">
        <v>18</v>
      </c>
      <c r="CH1609" s="12">
        <v>25.5</v>
      </c>
      <c r="CI1609" s="12">
        <v>27</v>
      </c>
      <c r="CJ1609" t="s">
        <v>135</v>
      </c>
      <c r="CL1609" t="s">
        <v>21807</v>
      </c>
      <c r="CO1609" t="s">
        <v>132</v>
      </c>
      <c r="CP1609" t="s">
        <v>114</v>
      </c>
      <c r="CQ1609" t="s">
        <v>114</v>
      </c>
      <c r="CR1609" t="s">
        <v>136</v>
      </c>
      <c r="CS1609" t="s">
        <v>114</v>
      </c>
      <c r="CT1609" t="s">
        <v>136</v>
      </c>
      <c r="CU1609" t="s">
        <v>136</v>
      </c>
      <c r="CV1609" s="2" t="s">
        <v>21808</v>
      </c>
      <c r="CW1609" s="10" t="str">
        <f>"+12399191207"</f>
        <v>+12399191207</v>
      </c>
      <c r="CX1609" t="s">
        <v>11961</v>
      </c>
      <c r="CY1609" t="s">
        <v>132</v>
      </c>
      <c r="CZ1609" t="s">
        <v>137</v>
      </c>
      <c r="DA1609" t="s">
        <v>114</v>
      </c>
      <c r="DB1609" t="s">
        <v>136</v>
      </c>
      <c r="DC1609" t="s">
        <v>136</v>
      </c>
      <c r="DD1609" t="s">
        <v>114</v>
      </c>
    </row>
    <row r="1610" spans="1:113" ht="15" customHeight="1" x14ac:dyDescent="0.25">
      <c r="A1610" t="s">
        <v>11957</v>
      </c>
      <c r="B1610" t="s">
        <v>152</v>
      </c>
      <c r="C1610" s="1">
        <v>45141.383673958335</v>
      </c>
      <c r="D1610" s="1">
        <v>45205</v>
      </c>
      <c r="E1610" t="s">
        <v>136</v>
      </c>
      <c r="F1610" t="s">
        <v>2512</v>
      </c>
      <c r="G1610" t="str">
        <f>"35-3031.00"</f>
        <v>35-3031.00</v>
      </c>
      <c r="H1610" t="s">
        <v>347</v>
      </c>
      <c r="I1610">
        <v>18</v>
      </c>
      <c r="J1610">
        <v>18</v>
      </c>
      <c r="K1610" s="1">
        <v>45231</v>
      </c>
      <c r="L1610" s="1">
        <v>45427</v>
      </c>
      <c r="M1610" s="1">
        <v>45231</v>
      </c>
      <c r="N1610" s="1">
        <v>45427</v>
      </c>
      <c r="O1610" t="s">
        <v>116</v>
      </c>
      <c r="P1610" t="s">
        <v>11958</v>
      </c>
      <c r="R1610" t="s">
        <v>11959</v>
      </c>
      <c r="T1610" t="s">
        <v>1614</v>
      </c>
      <c r="U1610" t="s">
        <v>140</v>
      </c>
      <c r="V1610" s="8" t="str">
        <f>"34105"</f>
        <v>34105</v>
      </c>
      <c r="W1610" t="s">
        <v>118</v>
      </c>
      <c r="Y1610" s="10">
        <v>12399191207</v>
      </c>
      <c r="AA1610">
        <v>71391</v>
      </c>
      <c r="AB1610" t="s">
        <v>7775</v>
      </c>
      <c r="AC1610" t="s">
        <v>10470</v>
      </c>
      <c r="AE1610" t="s">
        <v>11960</v>
      </c>
      <c r="AF1610" t="s">
        <v>11959</v>
      </c>
      <c r="AH1610" t="s">
        <v>1614</v>
      </c>
      <c r="AI1610" t="s">
        <v>140</v>
      </c>
      <c r="AJ1610" s="8" t="str">
        <f>"34105"</f>
        <v>34105</v>
      </c>
      <c r="AK1610" t="s">
        <v>118</v>
      </c>
      <c r="AL1610" t="s">
        <v>5542</v>
      </c>
      <c r="AM1610" s="10">
        <v>12399191207</v>
      </c>
      <c r="AO1610" t="s">
        <v>11961</v>
      </c>
      <c r="AP1610" t="s">
        <v>121</v>
      </c>
      <c r="AQ1610" t="s">
        <v>1122</v>
      </c>
      <c r="AR1610" t="s">
        <v>1123</v>
      </c>
      <c r="AS1610" t="s">
        <v>1124</v>
      </c>
      <c r="AT1610" t="s">
        <v>1125</v>
      </c>
      <c r="AU1610" t="s">
        <v>1126</v>
      </c>
      <c r="AV1610" t="s">
        <v>139</v>
      </c>
      <c r="AW1610" t="s">
        <v>140</v>
      </c>
      <c r="AX1610" s="8" t="str">
        <f>"33186"</f>
        <v>33186</v>
      </c>
      <c r="AY1610" t="s">
        <v>118</v>
      </c>
      <c r="BA1610" s="10">
        <v>13056706767</v>
      </c>
      <c r="BC1610" t="s">
        <v>1127</v>
      </c>
      <c r="BD1610" t="s">
        <v>1128</v>
      </c>
      <c r="BE1610" t="s">
        <v>140</v>
      </c>
      <c r="BF1610" t="s">
        <v>1129</v>
      </c>
      <c r="BG1610" t="s">
        <v>140</v>
      </c>
      <c r="BH1610" s="1">
        <v>45130.833333333336</v>
      </c>
      <c r="BI1610">
        <v>49</v>
      </c>
      <c r="BJ1610">
        <v>7</v>
      </c>
      <c r="BK1610">
        <v>7</v>
      </c>
      <c r="BL1610">
        <v>7</v>
      </c>
      <c r="BM1610">
        <v>7</v>
      </c>
      <c r="BN1610">
        <v>7</v>
      </c>
      <c r="BO1610">
        <v>7</v>
      </c>
      <c r="BP1610">
        <v>7</v>
      </c>
      <c r="BQ1610" t="str">
        <f>"7:00 AM"</f>
        <v>7:00 AM</v>
      </c>
      <c r="BR1610" t="str">
        <f>"2:00 PM"</f>
        <v>2:00 PM</v>
      </c>
      <c r="BS1610" t="s">
        <v>131</v>
      </c>
      <c r="BT1610">
        <v>0</v>
      </c>
      <c r="BU1610">
        <v>12</v>
      </c>
      <c r="BV1610" t="s">
        <v>114</v>
      </c>
      <c r="BX1610" s="2" t="s">
        <v>11962</v>
      </c>
      <c r="BY1610" t="s">
        <v>11959</v>
      </c>
      <c r="CA1610" t="s">
        <v>1614</v>
      </c>
      <c r="CB1610" t="s">
        <v>140</v>
      </c>
      <c r="CC1610" s="8" t="str">
        <f>"34105"</f>
        <v>34105</v>
      </c>
      <c r="CD1610" t="s">
        <v>1619</v>
      </c>
      <c r="CE1610" t="s">
        <v>1620</v>
      </c>
      <c r="CF1610" s="12">
        <v>18</v>
      </c>
      <c r="CG1610" s="12">
        <v>19</v>
      </c>
      <c r="CH1610" s="12">
        <v>27</v>
      </c>
      <c r="CI1610" s="12">
        <v>28.5</v>
      </c>
      <c r="CJ1610" t="s">
        <v>135</v>
      </c>
      <c r="CL1610" t="s">
        <v>11963</v>
      </c>
      <c r="CO1610" t="s">
        <v>132</v>
      </c>
      <c r="CP1610" t="s">
        <v>114</v>
      </c>
      <c r="CQ1610" t="s">
        <v>114</v>
      </c>
      <c r="CR1610" t="s">
        <v>136</v>
      </c>
      <c r="CS1610" t="s">
        <v>114</v>
      </c>
      <c r="CT1610" t="s">
        <v>136</v>
      </c>
      <c r="CU1610" t="s">
        <v>136</v>
      </c>
      <c r="CV1610" s="2" t="s">
        <v>11964</v>
      </c>
      <c r="CW1610" s="10" t="str">
        <f>"+12399191207"</f>
        <v>+12399191207</v>
      </c>
      <c r="CX1610" t="s">
        <v>11961</v>
      </c>
      <c r="CY1610" t="s">
        <v>132</v>
      </c>
      <c r="CZ1610" t="s">
        <v>137</v>
      </c>
      <c r="DA1610" t="s">
        <v>114</v>
      </c>
      <c r="DB1610" t="s">
        <v>136</v>
      </c>
      <c r="DC1610" t="s">
        <v>136</v>
      </c>
      <c r="DD1610" t="s">
        <v>114</v>
      </c>
    </row>
    <row r="1611" spans="1:113" ht="15" customHeight="1" x14ac:dyDescent="0.25">
      <c r="A1611" t="s">
        <v>12757</v>
      </c>
      <c r="B1611" t="s">
        <v>152</v>
      </c>
      <c r="C1611" s="1">
        <v>45141.382909490741</v>
      </c>
      <c r="D1611" s="1">
        <v>45205</v>
      </c>
      <c r="E1611" t="s">
        <v>114</v>
      </c>
      <c r="F1611" t="s">
        <v>12758</v>
      </c>
      <c r="G1611" t="str">
        <f>"37-3011.00"</f>
        <v>37-3011.00</v>
      </c>
      <c r="H1611" t="s">
        <v>429</v>
      </c>
      <c r="I1611">
        <v>10</v>
      </c>
      <c r="J1611">
        <v>10</v>
      </c>
      <c r="K1611" s="1">
        <v>45231</v>
      </c>
      <c r="L1611" s="1">
        <v>45413</v>
      </c>
      <c r="M1611" s="1">
        <v>45231</v>
      </c>
      <c r="N1611" s="1">
        <v>45413</v>
      </c>
      <c r="O1611" t="s">
        <v>238</v>
      </c>
      <c r="P1611" t="s">
        <v>12759</v>
      </c>
      <c r="R1611" t="s">
        <v>12760</v>
      </c>
      <c r="T1611" t="s">
        <v>2126</v>
      </c>
      <c r="U1611" t="s">
        <v>158</v>
      </c>
      <c r="V1611" s="8" t="str">
        <f>"48083"</f>
        <v>48083</v>
      </c>
      <c r="W1611" t="s">
        <v>118</v>
      </c>
      <c r="Y1611" s="10">
        <v>12485243244</v>
      </c>
      <c r="AA1611">
        <v>56173</v>
      </c>
      <c r="AB1611" t="s">
        <v>12761</v>
      </c>
      <c r="AC1611" t="s">
        <v>2237</v>
      </c>
      <c r="AD1611" t="s">
        <v>3587</v>
      </c>
      <c r="AE1611" t="s">
        <v>12762</v>
      </c>
      <c r="AF1611" t="s">
        <v>12763</v>
      </c>
      <c r="AH1611" t="s">
        <v>2126</v>
      </c>
      <c r="AI1611" t="s">
        <v>158</v>
      </c>
      <c r="AJ1611" s="8" t="str">
        <f>"48083"</f>
        <v>48083</v>
      </c>
      <c r="AK1611" t="s">
        <v>118</v>
      </c>
      <c r="AM1611" s="10">
        <v>12485243244</v>
      </c>
      <c r="AO1611" t="s">
        <v>12764</v>
      </c>
      <c r="AP1611" t="s">
        <v>121</v>
      </c>
      <c r="AQ1611" t="s">
        <v>1771</v>
      </c>
      <c r="AR1611" t="s">
        <v>1772</v>
      </c>
      <c r="AS1611" t="s">
        <v>1410</v>
      </c>
      <c r="AT1611" t="s">
        <v>1773</v>
      </c>
      <c r="AU1611" t="s">
        <v>1774</v>
      </c>
      <c r="AV1611" t="s">
        <v>1775</v>
      </c>
      <c r="AW1611" t="s">
        <v>1776</v>
      </c>
      <c r="AX1611" s="8" t="str">
        <f>"08034"</f>
        <v>08034</v>
      </c>
      <c r="AY1611" t="s">
        <v>118</v>
      </c>
      <c r="AZ1611" t="s">
        <v>1777</v>
      </c>
      <c r="BA1611" s="10">
        <v>18562819750</v>
      </c>
      <c r="BC1611" t="s">
        <v>1778</v>
      </c>
      <c r="BD1611" t="s">
        <v>1779</v>
      </c>
      <c r="BE1611" t="s">
        <v>1776</v>
      </c>
      <c r="BF1611" t="s">
        <v>12765</v>
      </c>
      <c r="BG1611" t="s">
        <v>158</v>
      </c>
      <c r="BH1611" s="1">
        <v>45139.833333333336</v>
      </c>
      <c r="BI1611">
        <v>36</v>
      </c>
      <c r="BJ1611">
        <v>5</v>
      </c>
      <c r="BK1611">
        <v>6</v>
      </c>
      <c r="BL1611">
        <v>5</v>
      </c>
      <c r="BM1611">
        <v>5</v>
      </c>
      <c r="BN1611">
        <v>5</v>
      </c>
      <c r="BO1611">
        <v>5</v>
      </c>
      <c r="BP1611">
        <v>5</v>
      </c>
      <c r="BQ1611" t="str">
        <f>"7:00 AM"</f>
        <v>7:00 AM</v>
      </c>
      <c r="BR1611" t="str">
        <f>"3:00 PM"</f>
        <v>3:00 PM</v>
      </c>
      <c r="BS1611" t="s">
        <v>131</v>
      </c>
      <c r="BT1611">
        <v>0</v>
      </c>
      <c r="BU1611">
        <v>0</v>
      </c>
      <c r="BV1611" t="s">
        <v>114</v>
      </c>
      <c r="BX1611" s="2" t="s">
        <v>12766</v>
      </c>
      <c r="BY1611" t="s">
        <v>12767</v>
      </c>
      <c r="CA1611" t="s">
        <v>2126</v>
      </c>
      <c r="CB1611" t="s">
        <v>158</v>
      </c>
      <c r="CC1611" s="8" t="str">
        <f>"48083"</f>
        <v>48083</v>
      </c>
      <c r="CD1611" t="s">
        <v>2227</v>
      </c>
      <c r="CE1611" t="s">
        <v>2228</v>
      </c>
      <c r="CF1611" s="12">
        <v>17.82</v>
      </c>
      <c r="CG1611" s="12">
        <v>17.82</v>
      </c>
      <c r="CH1611" s="12">
        <v>26.73</v>
      </c>
      <c r="CI1611" s="12">
        <v>26.73</v>
      </c>
      <c r="CJ1611" t="s">
        <v>135</v>
      </c>
      <c r="CK1611" t="s">
        <v>1782</v>
      </c>
      <c r="CL1611" t="s">
        <v>12768</v>
      </c>
      <c r="CO1611" t="s">
        <v>132</v>
      </c>
      <c r="CP1611" t="s">
        <v>136</v>
      </c>
      <c r="CQ1611" t="s">
        <v>136</v>
      </c>
      <c r="CR1611" t="s">
        <v>136</v>
      </c>
      <c r="CS1611" t="s">
        <v>136</v>
      </c>
      <c r="CT1611" t="s">
        <v>136</v>
      </c>
      <c r="CU1611" t="s">
        <v>136</v>
      </c>
      <c r="CV1611" t="s">
        <v>12769</v>
      </c>
      <c r="CW1611" s="10" t="str">
        <f>"+12485243244"</f>
        <v>+12485243244</v>
      </c>
      <c r="CX1611" t="s">
        <v>12764</v>
      </c>
      <c r="CY1611" t="s">
        <v>132</v>
      </c>
      <c r="CZ1611" t="s">
        <v>137</v>
      </c>
      <c r="DA1611" t="s">
        <v>114</v>
      </c>
      <c r="DB1611" t="s">
        <v>136</v>
      </c>
      <c r="DC1611" t="s">
        <v>136</v>
      </c>
      <c r="DD1611" t="s">
        <v>114</v>
      </c>
    </row>
    <row r="1612" spans="1:113" ht="15" customHeight="1" x14ac:dyDescent="0.25">
      <c r="A1612" t="s">
        <v>8469</v>
      </c>
      <c r="B1612" t="s">
        <v>152</v>
      </c>
      <c r="C1612" s="1">
        <v>45141.328412847222</v>
      </c>
      <c r="D1612" s="1">
        <v>45205</v>
      </c>
      <c r="E1612" t="s">
        <v>114</v>
      </c>
      <c r="F1612" t="s">
        <v>204</v>
      </c>
      <c r="G1612" t="str">
        <f>"37-2012.00"</f>
        <v>37-2012.00</v>
      </c>
      <c r="H1612" t="s">
        <v>205</v>
      </c>
      <c r="I1612">
        <v>12</v>
      </c>
      <c r="J1612">
        <v>12</v>
      </c>
      <c r="K1612" s="1">
        <v>45231</v>
      </c>
      <c r="L1612" s="1">
        <v>45388</v>
      </c>
      <c r="M1612" s="1">
        <v>45231</v>
      </c>
      <c r="N1612" s="1">
        <v>45388</v>
      </c>
      <c r="O1612" t="s">
        <v>116</v>
      </c>
      <c r="P1612" t="s">
        <v>8470</v>
      </c>
      <c r="R1612" t="s">
        <v>8471</v>
      </c>
      <c r="S1612" t="s">
        <v>8472</v>
      </c>
      <c r="T1612" t="s">
        <v>6781</v>
      </c>
      <c r="U1612" t="s">
        <v>584</v>
      </c>
      <c r="V1612" s="8" t="str">
        <f>"83025"</f>
        <v>83025</v>
      </c>
      <c r="W1612" t="s">
        <v>118</v>
      </c>
      <c r="Y1612" s="10">
        <v>13077349777</v>
      </c>
      <c r="AA1612">
        <v>81399</v>
      </c>
      <c r="AB1612" t="s">
        <v>8473</v>
      </c>
      <c r="AC1612" t="s">
        <v>8474</v>
      </c>
      <c r="AE1612" t="s">
        <v>8475</v>
      </c>
      <c r="AF1612" t="s">
        <v>8471</v>
      </c>
      <c r="AG1612" t="s">
        <v>8472</v>
      </c>
      <c r="AH1612" t="s">
        <v>6781</v>
      </c>
      <c r="AI1612" t="s">
        <v>584</v>
      </c>
      <c r="AJ1612" s="8" t="str">
        <f>"83025"</f>
        <v>83025</v>
      </c>
      <c r="AK1612" t="s">
        <v>118</v>
      </c>
      <c r="AM1612" s="10">
        <v>13077349777</v>
      </c>
      <c r="AN1612">
        <v>556</v>
      </c>
      <c r="AO1612" t="s">
        <v>132</v>
      </c>
      <c r="AP1612" t="s">
        <v>248</v>
      </c>
      <c r="AQ1612" t="s">
        <v>673</v>
      </c>
      <c r="AR1612" t="s">
        <v>674</v>
      </c>
      <c r="AT1612" t="s">
        <v>579</v>
      </c>
      <c r="AV1612" t="s">
        <v>580</v>
      </c>
      <c r="AW1612" t="s">
        <v>581</v>
      </c>
      <c r="AX1612" s="8" t="str">
        <f>"22903"</f>
        <v>22903</v>
      </c>
      <c r="AY1612" t="s">
        <v>118</v>
      </c>
      <c r="BA1612" s="10">
        <v>14342634300</v>
      </c>
      <c r="BC1612" t="s">
        <v>675</v>
      </c>
      <c r="BD1612" t="s">
        <v>583</v>
      </c>
      <c r="BG1612" t="s">
        <v>584</v>
      </c>
      <c r="BH1612" s="1">
        <v>45140.833333333336</v>
      </c>
      <c r="BI1612">
        <v>35</v>
      </c>
      <c r="BJ1612">
        <v>0</v>
      </c>
      <c r="BK1612">
        <v>7</v>
      </c>
      <c r="BL1612">
        <v>7</v>
      </c>
      <c r="BM1612">
        <v>7</v>
      </c>
      <c r="BN1612">
        <v>7</v>
      </c>
      <c r="BO1612">
        <v>7</v>
      </c>
      <c r="BP1612">
        <v>0</v>
      </c>
      <c r="BQ1612" t="str">
        <f>"8:00 AM"</f>
        <v>8:00 AM</v>
      </c>
      <c r="BR1612" t="str">
        <f>"3:30 PM"</f>
        <v>3:30 PM</v>
      </c>
      <c r="BS1612" t="s">
        <v>131</v>
      </c>
      <c r="BT1612">
        <v>0</v>
      </c>
      <c r="BU1612">
        <v>0</v>
      </c>
      <c r="BV1612" t="s">
        <v>114</v>
      </c>
      <c r="BX1612" s="2" t="s">
        <v>8476</v>
      </c>
      <c r="BY1612" t="s">
        <v>8477</v>
      </c>
      <c r="CA1612" t="s">
        <v>6781</v>
      </c>
      <c r="CB1612" t="s">
        <v>584</v>
      </c>
      <c r="CC1612" s="8" t="str">
        <f>"83025"</f>
        <v>83025</v>
      </c>
      <c r="CD1612" t="s">
        <v>588</v>
      </c>
      <c r="CE1612" t="s">
        <v>589</v>
      </c>
      <c r="CF1612" s="12">
        <v>16</v>
      </c>
      <c r="CH1612" s="12">
        <v>24</v>
      </c>
      <c r="CJ1612" t="s">
        <v>135</v>
      </c>
      <c r="CK1612" t="s">
        <v>590</v>
      </c>
      <c r="CL1612" t="s">
        <v>8478</v>
      </c>
      <c r="CO1612" t="s">
        <v>132</v>
      </c>
      <c r="CP1612" t="s">
        <v>114</v>
      </c>
      <c r="CQ1612" t="s">
        <v>136</v>
      </c>
      <c r="CR1612" t="s">
        <v>136</v>
      </c>
      <c r="CS1612" t="s">
        <v>136</v>
      </c>
      <c r="CT1612" t="s">
        <v>136</v>
      </c>
      <c r="CU1612" t="s">
        <v>114</v>
      </c>
      <c r="CV1612" t="s">
        <v>8479</v>
      </c>
      <c r="CW1612" s="10" t="str">
        <f>"N/A"</f>
        <v>N/A</v>
      </c>
      <c r="CX1612" t="s">
        <v>8480</v>
      </c>
      <c r="CY1612" t="s">
        <v>594</v>
      </c>
      <c r="CZ1612" t="s">
        <v>137</v>
      </c>
      <c r="DA1612" t="s">
        <v>114</v>
      </c>
      <c r="DB1612" t="s">
        <v>136</v>
      </c>
      <c r="DC1612" t="s">
        <v>136</v>
      </c>
      <c r="DD1612" t="s">
        <v>114</v>
      </c>
      <c r="DE1612" t="s">
        <v>673</v>
      </c>
      <c r="DF1612" t="s">
        <v>674</v>
      </c>
      <c r="DH1612" t="s">
        <v>583</v>
      </c>
      <c r="DI1612" t="s">
        <v>675</v>
      </c>
    </row>
    <row r="1613" spans="1:113" ht="15" customHeight="1" x14ac:dyDescent="0.25">
      <c r="A1613" t="s">
        <v>20453</v>
      </c>
      <c r="B1613" t="s">
        <v>152</v>
      </c>
      <c r="C1613" s="1">
        <v>45141.270843287035</v>
      </c>
      <c r="D1613" s="1">
        <v>45205</v>
      </c>
      <c r="E1613" t="s">
        <v>114</v>
      </c>
      <c r="F1613" t="s">
        <v>1790</v>
      </c>
      <c r="G1613" t="str">
        <f>"35-2014.00"</f>
        <v>35-2014.00</v>
      </c>
      <c r="H1613" t="s">
        <v>154</v>
      </c>
      <c r="I1613">
        <v>9</v>
      </c>
      <c r="J1613">
        <v>9</v>
      </c>
      <c r="K1613" s="1">
        <v>45231</v>
      </c>
      <c r="L1613" s="1">
        <v>45443</v>
      </c>
      <c r="M1613" s="1">
        <v>45231</v>
      </c>
      <c r="N1613" s="1">
        <v>45443</v>
      </c>
      <c r="O1613" t="s">
        <v>116</v>
      </c>
      <c r="P1613" t="s">
        <v>20454</v>
      </c>
      <c r="R1613" t="s">
        <v>20455</v>
      </c>
      <c r="T1613" t="s">
        <v>3111</v>
      </c>
      <c r="U1613" t="s">
        <v>140</v>
      </c>
      <c r="V1613" s="8" t="str">
        <f>"34223"</f>
        <v>34223</v>
      </c>
      <c r="W1613" t="s">
        <v>118</v>
      </c>
      <c r="Y1613" s="10">
        <v>19414746564</v>
      </c>
      <c r="AA1613">
        <v>7225</v>
      </c>
      <c r="AB1613" t="s">
        <v>3112</v>
      </c>
      <c r="AC1613" t="s">
        <v>3113</v>
      </c>
      <c r="AE1613" t="s">
        <v>654</v>
      </c>
      <c r="AF1613" t="s">
        <v>20455</v>
      </c>
      <c r="AH1613" t="s">
        <v>3111</v>
      </c>
      <c r="AI1613" t="s">
        <v>140</v>
      </c>
      <c r="AJ1613" s="8" t="str">
        <f>"34223"</f>
        <v>34223</v>
      </c>
      <c r="AK1613" t="s">
        <v>118</v>
      </c>
      <c r="AM1613" s="10">
        <v>19414746564</v>
      </c>
      <c r="AO1613" t="s">
        <v>132</v>
      </c>
      <c r="AP1613" t="s">
        <v>248</v>
      </c>
      <c r="AQ1613" t="s">
        <v>354</v>
      </c>
      <c r="AR1613" t="s">
        <v>355</v>
      </c>
      <c r="AT1613" t="s">
        <v>356</v>
      </c>
      <c r="AV1613" t="s">
        <v>357</v>
      </c>
      <c r="AW1613" t="s">
        <v>358</v>
      </c>
      <c r="AX1613" s="8" t="str">
        <f>"11590"</f>
        <v>11590</v>
      </c>
      <c r="AY1613" t="s">
        <v>118</v>
      </c>
      <c r="BA1613" s="10">
        <v>15163307168</v>
      </c>
      <c r="BC1613" t="s">
        <v>359</v>
      </c>
      <c r="BD1613" t="s">
        <v>360</v>
      </c>
      <c r="BG1613" t="s">
        <v>140</v>
      </c>
      <c r="BH1613" s="1">
        <v>45097.833333333336</v>
      </c>
      <c r="BI1613">
        <v>35</v>
      </c>
      <c r="BJ1613">
        <v>7</v>
      </c>
      <c r="BK1613">
        <v>0</v>
      </c>
      <c r="BL1613">
        <v>7</v>
      </c>
      <c r="BM1613">
        <v>0</v>
      </c>
      <c r="BN1613">
        <v>7</v>
      </c>
      <c r="BO1613">
        <v>7</v>
      </c>
      <c r="BP1613">
        <v>7</v>
      </c>
      <c r="BQ1613" t="str">
        <f>"10:00 AM"</f>
        <v>10:00 AM</v>
      </c>
      <c r="BR1613" t="str">
        <f>"10:00 PM"</f>
        <v>10:00 PM</v>
      </c>
      <c r="BS1613" t="s">
        <v>131</v>
      </c>
      <c r="BT1613">
        <v>0</v>
      </c>
      <c r="BU1613">
        <v>0</v>
      </c>
      <c r="BV1613" t="s">
        <v>114</v>
      </c>
      <c r="BX1613" t="s">
        <v>20456</v>
      </c>
      <c r="BY1613" t="s">
        <v>20455</v>
      </c>
      <c r="CA1613" t="s">
        <v>3111</v>
      </c>
      <c r="CB1613" t="s">
        <v>140</v>
      </c>
      <c r="CC1613" s="8" t="str">
        <f>"34223"</f>
        <v>34223</v>
      </c>
      <c r="CD1613" t="s">
        <v>3114</v>
      </c>
      <c r="CE1613" t="s">
        <v>3115</v>
      </c>
      <c r="CF1613" s="12">
        <v>14.36</v>
      </c>
      <c r="CG1613" s="12">
        <v>21</v>
      </c>
      <c r="CH1613" s="12">
        <v>22.98</v>
      </c>
      <c r="CI1613" s="12">
        <v>31.5</v>
      </c>
      <c r="CJ1613" t="s">
        <v>135</v>
      </c>
      <c r="CK1613" t="s">
        <v>20457</v>
      </c>
      <c r="CL1613" t="s">
        <v>20458</v>
      </c>
      <c r="CO1613" t="s">
        <v>132</v>
      </c>
      <c r="CP1613" t="s">
        <v>114</v>
      </c>
      <c r="CQ1613" t="s">
        <v>114</v>
      </c>
      <c r="CR1613" t="s">
        <v>136</v>
      </c>
      <c r="CS1613" t="s">
        <v>114</v>
      </c>
      <c r="CT1613" t="s">
        <v>136</v>
      </c>
      <c r="CU1613" t="s">
        <v>114</v>
      </c>
      <c r="CV1613" t="s">
        <v>1480</v>
      </c>
      <c r="CW1613" s="10" t="str">
        <f>"+19414746564"</f>
        <v>+19414746564</v>
      </c>
      <c r="CX1613" t="s">
        <v>20459</v>
      </c>
      <c r="CY1613" t="s">
        <v>132</v>
      </c>
      <c r="CZ1613" t="s">
        <v>137</v>
      </c>
      <c r="DA1613" t="s">
        <v>114</v>
      </c>
      <c r="DB1613" t="s">
        <v>114</v>
      </c>
      <c r="DC1613" t="s">
        <v>136</v>
      </c>
      <c r="DD1613" t="s">
        <v>114</v>
      </c>
    </row>
    <row r="1614" spans="1:113" ht="15" customHeight="1" x14ac:dyDescent="0.25">
      <c r="A1614" t="s">
        <v>4694</v>
      </c>
      <c r="B1614" t="s">
        <v>152</v>
      </c>
      <c r="C1614" s="1">
        <v>45141.110841782407</v>
      </c>
      <c r="D1614" s="1">
        <v>45205</v>
      </c>
      <c r="E1614" t="s">
        <v>136</v>
      </c>
      <c r="F1614" t="s">
        <v>1059</v>
      </c>
      <c r="G1614" t="str">
        <f>"35-2014.00"</f>
        <v>35-2014.00</v>
      </c>
      <c r="H1614" t="s">
        <v>154</v>
      </c>
      <c r="I1614">
        <v>5</v>
      </c>
      <c r="J1614">
        <v>5</v>
      </c>
      <c r="K1614" s="1">
        <v>45231</v>
      </c>
      <c r="L1614" s="1">
        <v>45505</v>
      </c>
      <c r="M1614" s="1">
        <v>45231</v>
      </c>
      <c r="N1614" s="1">
        <v>45505</v>
      </c>
      <c r="O1614" t="s">
        <v>116</v>
      </c>
      <c r="P1614" t="s">
        <v>4695</v>
      </c>
      <c r="Q1614" t="s">
        <v>4696</v>
      </c>
      <c r="R1614" t="s">
        <v>4697</v>
      </c>
      <c r="T1614" t="s">
        <v>4698</v>
      </c>
      <c r="U1614" t="s">
        <v>140</v>
      </c>
      <c r="V1614" s="8" t="str">
        <f>"33767"</f>
        <v>33767</v>
      </c>
      <c r="W1614" t="s">
        <v>118</v>
      </c>
      <c r="Y1614" s="10">
        <v>17276744151</v>
      </c>
      <c r="AA1614">
        <v>72111</v>
      </c>
      <c r="AB1614" t="s">
        <v>4699</v>
      </c>
      <c r="AC1614" t="s">
        <v>4700</v>
      </c>
      <c r="AE1614" t="s">
        <v>764</v>
      </c>
      <c r="AF1614" t="s">
        <v>4697</v>
      </c>
      <c r="AH1614" t="s">
        <v>4698</v>
      </c>
      <c r="AI1614" t="s">
        <v>140</v>
      </c>
      <c r="AJ1614" s="8" t="str">
        <f>"33767"</f>
        <v>33767</v>
      </c>
      <c r="AK1614" t="s">
        <v>118</v>
      </c>
      <c r="AM1614" s="10">
        <v>17274412425</v>
      </c>
      <c r="AO1614" t="s">
        <v>4701</v>
      </c>
      <c r="AP1614" t="s">
        <v>248</v>
      </c>
      <c r="AQ1614" t="s">
        <v>458</v>
      </c>
      <c r="AR1614" t="s">
        <v>459</v>
      </c>
      <c r="AT1614" t="s">
        <v>460</v>
      </c>
      <c r="AU1614" t="s">
        <v>461</v>
      </c>
      <c r="AV1614" t="s">
        <v>766</v>
      </c>
      <c r="AW1614" t="s">
        <v>140</v>
      </c>
      <c r="AX1614" s="8" t="str">
        <f>"33141"</f>
        <v>33141</v>
      </c>
      <c r="AY1614" t="s">
        <v>118</v>
      </c>
      <c r="BA1614" s="10">
        <v>17863480376</v>
      </c>
      <c r="BC1614" t="s">
        <v>463</v>
      </c>
      <c r="BD1614" t="s">
        <v>464</v>
      </c>
      <c r="BG1614" t="s">
        <v>140</v>
      </c>
      <c r="BH1614" s="1">
        <v>45140.833333333336</v>
      </c>
      <c r="BI1614">
        <v>35</v>
      </c>
      <c r="BJ1614">
        <v>7</v>
      </c>
      <c r="BK1614">
        <v>7</v>
      </c>
      <c r="BL1614">
        <v>0</v>
      </c>
      <c r="BM1614">
        <v>0</v>
      </c>
      <c r="BN1614">
        <v>7</v>
      </c>
      <c r="BO1614">
        <v>7</v>
      </c>
      <c r="BP1614">
        <v>7</v>
      </c>
      <c r="BQ1614" t="str">
        <f>"7:00 AM"</f>
        <v>7:00 AM</v>
      </c>
      <c r="BR1614" t="str">
        <f>"2:00 PM"</f>
        <v>2:00 PM</v>
      </c>
      <c r="BS1614" t="s">
        <v>131</v>
      </c>
      <c r="BT1614">
        <v>0</v>
      </c>
      <c r="BU1614">
        <v>1</v>
      </c>
      <c r="BV1614" t="s">
        <v>114</v>
      </c>
      <c r="BX1614" t="s">
        <v>465</v>
      </c>
      <c r="BY1614" t="s">
        <v>4697</v>
      </c>
      <c r="CA1614" t="s">
        <v>4698</v>
      </c>
      <c r="CB1614" t="s">
        <v>140</v>
      </c>
      <c r="CC1614" s="8" t="str">
        <f>"33767"</f>
        <v>33767</v>
      </c>
      <c r="CD1614" t="s">
        <v>466</v>
      </c>
      <c r="CE1614" t="s">
        <v>467</v>
      </c>
      <c r="CF1614" s="12">
        <v>16</v>
      </c>
      <c r="CG1614" s="12">
        <v>16</v>
      </c>
      <c r="CH1614" s="12">
        <v>24</v>
      </c>
      <c r="CI1614" s="12">
        <v>24</v>
      </c>
      <c r="CJ1614" t="s">
        <v>135</v>
      </c>
      <c r="CL1614" t="s">
        <v>4702</v>
      </c>
      <c r="CO1614" t="s">
        <v>132</v>
      </c>
      <c r="CP1614" t="s">
        <v>114</v>
      </c>
      <c r="CQ1614" t="s">
        <v>114</v>
      </c>
      <c r="CR1614" t="s">
        <v>136</v>
      </c>
      <c r="CS1614" t="s">
        <v>114</v>
      </c>
      <c r="CT1614" t="s">
        <v>136</v>
      </c>
      <c r="CU1614" t="s">
        <v>114</v>
      </c>
      <c r="CV1614" s="2" t="s">
        <v>4703</v>
      </c>
      <c r="CW1614" s="10" t="str">
        <f>"N/A"</f>
        <v>N/A</v>
      </c>
      <c r="CX1614" t="s">
        <v>4701</v>
      </c>
      <c r="CY1614" t="s">
        <v>470</v>
      </c>
      <c r="CZ1614" t="s">
        <v>137</v>
      </c>
      <c r="DA1614" t="s">
        <v>114</v>
      </c>
      <c r="DB1614" t="s">
        <v>114</v>
      </c>
      <c r="DC1614" t="s">
        <v>136</v>
      </c>
      <c r="DD1614" t="s">
        <v>114</v>
      </c>
    </row>
    <row r="1615" spans="1:113" ht="15" customHeight="1" x14ac:dyDescent="0.25">
      <c r="A1615" t="s">
        <v>15655</v>
      </c>
      <c r="B1615" t="s">
        <v>152</v>
      </c>
      <c r="C1615" s="1">
        <v>45141.041912731482</v>
      </c>
      <c r="D1615" s="1">
        <v>45205</v>
      </c>
      <c r="E1615" t="s">
        <v>136</v>
      </c>
      <c r="F1615" t="s">
        <v>5204</v>
      </c>
      <c r="G1615" t="str">
        <f>"35-9021.00"</f>
        <v>35-9021.00</v>
      </c>
      <c r="H1615" t="s">
        <v>501</v>
      </c>
      <c r="I1615">
        <v>10</v>
      </c>
      <c r="J1615">
        <v>10</v>
      </c>
      <c r="K1615" s="1">
        <v>45231</v>
      </c>
      <c r="L1615" s="1">
        <v>45505</v>
      </c>
      <c r="M1615" s="1">
        <v>45231</v>
      </c>
      <c r="N1615" s="1">
        <v>45505</v>
      </c>
      <c r="O1615" t="s">
        <v>116</v>
      </c>
      <c r="P1615" t="s">
        <v>450</v>
      </c>
      <c r="Q1615" t="s">
        <v>451</v>
      </c>
      <c r="R1615" t="s">
        <v>452</v>
      </c>
      <c r="T1615" t="s">
        <v>453</v>
      </c>
      <c r="U1615" t="s">
        <v>140</v>
      </c>
      <c r="V1615" s="8" t="str">
        <f>"33767"</f>
        <v>33767</v>
      </c>
      <c r="W1615" t="s">
        <v>118</v>
      </c>
      <c r="Y1615" s="10">
        <v>17274500380</v>
      </c>
      <c r="AA1615">
        <v>72111</v>
      </c>
      <c r="AB1615" t="s">
        <v>454</v>
      </c>
      <c r="AC1615" t="s">
        <v>455</v>
      </c>
      <c r="AE1615" t="s">
        <v>456</v>
      </c>
      <c r="AF1615" t="s">
        <v>452</v>
      </c>
      <c r="AH1615" t="s">
        <v>453</v>
      </c>
      <c r="AI1615" t="s">
        <v>140</v>
      </c>
      <c r="AJ1615" s="8" t="str">
        <f>"33767"</f>
        <v>33767</v>
      </c>
      <c r="AK1615" t="s">
        <v>118</v>
      </c>
      <c r="AM1615" s="10">
        <v>17274500380</v>
      </c>
      <c r="AO1615" t="s">
        <v>457</v>
      </c>
      <c r="AP1615" t="s">
        <v>248</v>
      </c>
      <c r="AQ1615" t="s">
        <v>458</v>
      </c>
      <c r="AR1615" t="s">
        <v>459</v>
      </c>
      <c r="AT1615" t="s">
        <v>460</v>
      </c>
      <c r="AU1615" t="s">
        <v>461</v>
      </c>
      <c r="AV1615" t="s">
        <v>462</v>
      </c>
      <c r="AW1615" t="s">
        <v>140</v>
      </c>
      <c r="AX1615" s="8" t="str">
        <f>"33141"</f>
        <v>33141</v>
      </c>
      <c r="AY1615" t="s">
        <v>118</v>
      </c>
      <c r="BA1615" s="10">
        <v>17863480376</v>
      </c>
      <c r="BC1615" t="s">
        <v>463</v>
      </c>
      <c r="BD1615" t="s">
        <v>464</v>
      </c>
      <c r="BG1615" t="s">
        <v>140</v>
      </c>
      <c r="BH1615" s="1">
        <v>45140.833333333336</v>
      </c>
      <c r="BI1615">
        <v>35</v>
      </c>
      <c r="BJ1615">
        <v>7</v>
      </c>
      <c r="BK1615">
        <v>0</v>
      </c>
      <c r="BL1615">
        <v>0</v>
      </c>
      <c r="BM1615">
        <v>7</v>
      </c>
      <c r="BN1615">
        <v>7</v>
      </c>
      <c r="BO1615">
        <v>7</v>
      </c>
      <c r="BP1615">
        <v>7</v>
      </c>
      <c r="BQ1615" t="str">
        <f>"7:00 AM"</f>
        <v>7:00 AM</v>
      </c>
      <c r="BR1615" t="str">
        <f>"2:00 PM"</f>
        <v>2:00 PM</v>
      </c>
      <c r="BS1615" t="s">
        <v>131</v>
      </c>
      <c r="BT1615">
        <v>0</v>
      </c>
      <c r="BU1615">
        <v>1</v>
      </c>
      <c r="BV1615" t="s">
        <v>114</v>
      </c>
      <c r="BX1615" t="s">
        <v>465</v>
      </c>
      <c r="BY1615" t="s">
        <v>452</v>
      </c>
      <c r="CA1615" t="s">
        <v>453</v>
      </c>
      <c r="CB1615" t="s">
        <v>140</v>
      </c>
      <c r="CC1615" s="8" t="str">
        <f>"33767"</f>
        <v>33767</v>
      </c>
      <c r="CD1615" t="s">
        <v>466</v>
      </c>
      <c r="CE1615" t="s">
        <v>467</v>
      </c>
      <c r="CF1615" s="12">
        <v>14</v>
      </c>
      <c r="CG1615" s="12">
        <v>14</v>
      </c>
      <c r="CH1615" s="12">
        <v>21</v>
      </c>
      <c r="CI1615" s="12">
        <v>21</v>
      </c>
      <c r="CJ1615" t="s">
        <v>135</v>
      </c>
      <c r="CL1615" t="s">
        <v>15656</v>
      </c>
      <c r="CO1615" t="s">
        <v>132</v>
      </c>
      <c r="CP1615" t="s">
        <v>136</v>
      </c>
      <c r="CQ1615" t="s">
        <v>114</v>
      </c>
      <c r="CR1615" t="s">
        <v>136</v>
      </c>
      <c r="CS1615" t="s">
        <v>114</v>
      </c>
      <c r="CT1615" t="s">
        <v>136</v>
      </c>
      <c r="CU1615" t="s">
        <v>114</v>
      </c>
      <c r="CV1615" s="2" t="s">
        <v>469</v>
      </c>
      <c r="CW1615" s="10" t="str">
        <f>"N/A"</f>
        <v>N/A</v>
      </c>
      <c r="CX1615" t="s">
        <v>457</v>
      </c>
      <c r="CY1615" t="s">
        <v>470</v>
      </c>
      <c r="CZ1615" t="s">
        <v>137</v>
      </c>
      <c r="DA1615" t="s">
        <v>114</v>
      </c>
      <c r="DB1615" t="s">
        <v>114</v>
      </c>
      <c r="DC1615" t="s">
        <v>136</v>
      </c>
      <c r="DD1615" t="s">
        <v>114</v>
      </c>
    </row>
    <row r="1616" spans="1:113" ht="15" customHeight="1" x14ac:dyDescent="0.25">
      <c r="A1616" t="s">
        <v>15326</v>
      </c>
      <c r="B1616" t="s">
        <v>152</v>
      </c>
      <c r="C1616" s="1">
        <v>45141.040535763888</v>
      </c>
      <c r="D1616" s="1">
        <v>45205</v>
      </c>
      <c r="E1616" t="s">
        <v>136</v>
      </c>
      <c r="F1616" t="s">
        <v>951</v>
      </c>
      <c r="G1616" t="str">
        <f>"43-4081.00"</f>
        <v>43-4081.00</v>
      </c>
      <c r="H1616" t="s">
        <v>952</v>
      </c>
      <c r="I1616">
        <v>4</v>
      </c>
      <c r="J1616">
        <v>4</v>
      </c>
      <c r="K1616" s="1">
        <v>45231</v>
      </c>
      <c r="L1616" s="1">
        <v>45443</v>
      </c>
      <c r="M1616" s="1">
        <v>45231</v>
      </c>
      <c r="N1616" s="1">
        <v>45443</v>
      </c>
      <c r="O1616" t="s">
        <v>116</v>
      </c>
      <c r="P1616" t="s">
        <v>6068</v>
      </c>
      <c r="Q1616" t="s">
        <v>6069</v>
      </c>
      <c r="R1616" t="s">
        <v>6070</v>
      </c>
      <c r="T1616" t="s">
        <v>272</v>
      </c>
      <c r="U1616" t="s">
        <v>140</v>
      </c>
      <c r="V1616" s="8" t="str">
        <f>"33019"</f>
        <v>33019</v>
      </c>
      <c r="W1616" t="s">
        <v>118</v>
      </c>
      <c r="Y1616" s="10">
        <v>16035592180</v>
      </c>
      <c r="AA1616">
        <v>721110</v>
      </c>
      <c r="AB1616" t="s">
        <v>6071</v>
      </c>
      <c r="AC1616" t="s">
        <v>1193</v>
      </c>
      <c r="AE1616" t="s">
        <v>764</v>
      </c>
      <c r="AF1616" t="s">
        <v>6070</v>
      </c>
      <c r="AH1616" t="s">
        <v>272</v>
      </c>
      <c r="AI1616" t="s">
        <v>140</v>
      </c>
      <c r="AJ1616" s="8" t="str">
        <f>"33019"</f>
        <v>33019</v>
      </c>
      <c r="AK1616" t="s">
        <v>118</v>
      </c>
      <c r="AM1616" s="10">
        <v>16035592100</v>
      </c>
      <c r="AO1616" t="s">
        <v>6072</v>
      </c>
      <c r="AP1616" t="s">
        <v>248</v>
      </c>
      <c r="AQ1616" t="s">
        <v>458</v>
      </c>
      <c r="AR1616" t="s">
        <v>459</v>
      </c>
      <c r="AT1616" t="s">
        <v>460</v>
      </c>
      <c r="AU1616" t="s">
        <v>1374</v>
      </c>
      <c r="AV1616" t="s">
        <v>1375</v>
      </c>
      <c r="AW1616" t="s">
        <v>140</v>
      </c>
      <c r="AX1616" s="8" t="str">
        <f>"33141"</f>
        <v>33141</v>
      </c>
      <c r="AY1616" t="s">
        <v>118</v>
      </c>
      <c r="BA1616" s="10">
        <v>17863480376</v>
      </c>
      <c r="BC1616" t="s">
        <v>463</v>
      </c>
      <c r="BD1616" t="s">
        <v>464</v>
      </c>
      <c r="BG1616" t="s">
        <v>140</v>
      </c>
      <c r="BH1616" s="1">
        <v>45140.833333333336</v>
      </c>
      <c r="BI1616">
        <v>35</v>
      </c>
      <c r="BJ1616">
        <v>7</v>
      </c>
      <c r="BK1616">
        <v>7</v>
      </c>
      <c r="BL1616">
        <v>0</v>
      </c>
      <c r="BM1616">
        <v>7</v>
      </c>
      <c r="BN1616">
        <v>0</v>
      </c>
      <c r="BO1616">
        <v>7</v>
      </c>
      <c r="BP1616">
        <v>7</v>
      </c>
      <c r="BQ1616" t="str">
        <f>"10:00 AM"</f>
        <v>10:00 AM</v>
      </c>
      <c r="BR1616" t="str">
        <f>"5:00 PM"</f>
        <v>5:00 PM</v>
      </c>
      <c r="BS1616" t="s">
        <v>131</v>
      </c>
      <c r="BT1616">
        <v>0</v>
      </c>
      <c r="BU1616">
        <v>1</v>
      </c>
      <c r="BV1616" t="s">
        <v>114</v>
      </c>
      <c r="BX1616" t="s">
        <v>465</v>
      </c>
      <c r="BY1616" t="s">
        <v>6070</v>
      </c>
      <c r="CA1616" t="s">
        <v>272</v>
      </c>
      <c r="CB1616" t="s">
        <v>140</v>
      </c>
      <c r="CC1616" s="8" t="str">
        <f>"33019"</f>
        <v>33019</v>
      </c>
      <c r="CD1616" t="s">
        <v>287</v>
      </c>
      <c r="CE1616" t="s">
        <v>149</v>
      </c>
      <c r="CF1616" s="12">
        <v>16</v>
      </c>
      <c r="CG1616" s="12">
        <v>16</v>
      </c>
      <c r="CH1616" s="12">
        <v>24</v>
      </c>
      <c r="CI1616" s="12">
        <v>24</v>
      </c>
      <c r="CJ1616" t="s">
        <v>135</v>
      </c>
      <c r="CL1616" t="s">
        <v>15327</v>
      </c>
      <c r="CO1616" t="s">
        <v>132</v>
      </c>
      <c r="CP1616" t="s">
        <v>114</v>
      </c>
      <c r="CQ1616" t="s">
        <v>114</v>
      </c>
      <c r="CR1616" t="s">
        <v>136</v>
      </c>
      <c r="CS1616" t="s">
        <v>114</v>
      </c>
      <c r="CT1616" t="s">
        <v>136</v>
      </c>
      <c r="CU1616" t="s">
        <v>114</v>
      </c>
      <c r="CV1616" s="2" t="s">
        <v>6074</v>
      </c>
      <c r="CW1616" s="10" t="str">
        <f>"N/A"</f>
        <v>N/A</v>
      </c>
      <c r="CX1616" t="s">
        <v>6075</v>
      </c>
      <c r="CY1616" t="s">
        <v>470</v>
      </c>
      <c r="CZ1616" t="s">
        <v>137</v>
      </c>
      <c r="DA1616" t="s">
        <v>114</v>
      </c>
      <c r="DB1616" t="s">
        <v>114</v>
      </c>
      <c r="DC1616" t="s">
        <v>136</v>
      </c>
      <c r="DD1616" t="s">
        <v>114</v>
      </c>
    </row>
    <row r="1617" spans="1:108" ht="15" customHeight="1" x14ac:dyDescent="0.25">
      <c r="A1617" t="s">
        <v>19581</v>
      </c>
      <c r="B1617" t="s">
        <v>152</v>
      </c>
      <c r="C1617" s="1">
        <v>45141.040368634262</v>
      </c>
      <c r="D1617" s="1">
        <v>45205</v>
      </c>
      <c r="E1617" t="s">
        <v>136</v>
      </c>
      <c r="F1617" t="s">
        <v>293</v>
      </c>
      <c r="G1617" t="str">
        <f>"37-2012.00"</f>
        <v>37-2012.00</v>
      </c>
      <c r="H1617" t="s">
        <v>205</v>
      </c>
      <c r="I1617">
        <v>5</v>
      </c>
      <c r="J1617">
        <v>5</v>
      </c>
      <c r="K1617" s="1">
        <v>45231</v>
      </c>
      <c r="L1617" s="1">
        <v>45443</v>
      </c>
      <c r="M1617" s="1">
        <v>45231</v>
      </c>
      <c r="N1617" s="1">
        <v>45443</v>
      </c>
      <c r="O1617" t="s">
        <v>116</v>
      </c>
      <c r="P1617" t="s">
        <v>6068</v>
      </c>
      <c r="Q1617" t="s">
        <v>6069</v>
      </c>
      <c r="R1617" t="s">
        <v>6070</v>
      </c>
      <c r="T1617" t="s">
        <v>272</v>
      </c>
      <c r="U1617" t="s">
        <v>140</v>
      </c>
      <c r="V1617" s="8" t="str">
        <f>"33019"</f>
        <v>33019</v>
      </c>
      <c r="W1617" t="s">
        <v>118</v>
      </c>
      <c r="Y1617" s="10">
        <v>16035592100</v>
      </c>
      <c r="AA1617">
        <v>721110</v>
      </c>
      <c r="AB1617" t="s">
        <v>6071</v>
      </c>
      <c r="AC1617" t="s">
        <v>1193</v>
      </c>
      <c r="AE1617" t="s">
        <v>764</v>
      </c>
      <c r="AF1617" t="s">
        <v>6070</v>
      </c>
      <c r="AH1617" t="s">
        <v>272</v>
      </c>
      <c r="AI1617" t="s">
        <v>140</v>
      </c>
      <c r="AJ1617" s="8" t="str">
        <f>"33019"</f>
        <v>33019</v>
      </c>
      <c r="AK1617" t="s">
        <v>118</v>
      </c>
      <c r="AM1617" s="10">
        <v>16035592100</v>
      </c>
      <c r="AO1617" t="s">
        <v>6072</v>
      </c>
      <c r="AP1617" t="s">
        <v>248</v>
      </c>
      <c r="AQ1617" t="s">
        <v>458</v>
      </c>
      <c r="AR1617" t="s">
        <v>459</v>
      </c>
      <c r="AT1617" t="s">
        <v>460</v>
      </c>
      <c r="AU1617" t="s">
        <v>1374</v>
      </c>
      <c r="AV1617" t="s">
        <v>1375</v>
      </c>
      <c r="AW1617" t="s">
        <v>140</v>
      </c>
      <c r="AX1617" s="8" t="str">
        <f>"33141"</f>
        <v>33141</v>
      </c>
      <c r="AY1617" t="s">
        <v>118</v>
      </c>
      <c r="BA1617" s="10">
        <v>17863480376</v>
      </c>
      <c r="BC1617" t="s">
        <v>463</v>
      </c>
      <c r="BD1617" t="s">
        <v>464</v>
      </c>
      <c r="BG1617" t="s">
        <v>140</v>
      </c>
      <c r="BH1617" s="1">
        <v>45140.833333333336</v>
      </c>
      <c r="BI1617">
        <v>35</v>
      </c>
      <c r="BJ1617">
        <v>7</v>
      </c>
      <c r="BK1617">
        <v>7</v>
      </c>
      <c r="BL1617">
        <v>0</v>
      </c>
      <c r="BM1617">
        <v>7</v>
      </c>
      <c r="BN1617">
        <v>0</v>
      </c>
      <c r="BO1617">
        <v>7</v>
      </c>
      <c r="BP1617">
        <v>7</v>
      </c>
      <c r="BQ1617" t="str">
        <f>"8:00 AM"</f>
        <v>8:00 AM</v>
      </c>
      <c r="BR1617" t="str">
        <f>"3:00 PM"</f>
        <v>3:00 PM</v>
      </c>
      <c r="BS1617" t="s">
        <v>131</v>
      </c>
      <c r="BT1617">
        <v>0</v>
      </c>
      <c r="BU1617">
        <v>1</v>
      </c>
      <c r="BV1617" t="s">
        <v>114</v>
      </c>
      <c r="BX1617" t="s">
        <v>465</v>
      </c>
      <c r="BY1617" t="s">
        <v>6070</v>
      </c>
      <c r="CA1617" t="s">
        <v>272</v>
      </c>
      <c r="CB1617" t="s">
        <v>140</v>
      </c>
      <c r="CC1617" s="8" t="str">
        <f>"33019"</f>
        <v>33019</v>
      </c>
      <c r="CD1617" t="s">
        <v>287</v>
      </c>
      <c r="CE1617" t="s">
        <v>149</v>
      </c>
      <c r="CF1617" s="12">
        <v>15</v>
      </c>
      <c r="CG1617" s="12">
        <v>16</v>
      </c>
      <c r="CH1617" s="12">
        <v>22.5</v>
      </c>
      <c r="CI1617" s="12">
        <v>24</v>
      </c>
      <c r="CJ1617" t="s">
        <v>135</v>
      </c>
      <c r="CL1617" t="s">
        <v>19582</v>
      </c>
      <c r="CO1617" t="s">
        <v>132</v>
      </c>
      <c r="CP1617" t="s">
        <v>114</v>
      </c>
      <c r="CQ1617" t="s">
        <v>114</v>
      </c>
      <c r="CR1617" t="s">
        <v>136</v>
      </c>
      <c r="CS1617" t="s">
        <v>114</v>
      </c>
      <c r="CT1617" t="s">
        <v>136</v>
      </c>
      <c r="CU1617" t="s">
        <v>114</v>
      </c>
      <c r="CV1617" s="2" t="s">
        <v>6074</v>
      </c>
      <c r="CW1617" s="10" t="str">
        <f>"N/A"</f>
        <v>N/A</v>
      </c>
      <c r="CX1617" t="s">
        <v>6075</v>
      </c>
      <c r="CY1617" t="s">
        <v>470</v>
      </c>
      <c r="CZ1617" t="s">
        <v>137</v>
      </c>
      <c r="DA1617" t="s">
        <v>114</v>
      </c>
      <c r="DB1617" t="s">
        <v>114</v>
      </c>
      <c r="DC1617" t="s">
        <v>136</v>
      </c>
      <c r="DD1617" t="s">
        <v>114</v>
      </c>
    </row>
    <row r="1618" spans="1:108" ht="15" customHeight="1" x14ac:dyDescent="0.25">
      <c r="A1618" t="s">
        <v>6067</v>
      </c>
      <c r="B1618" t="s">
        <v>152</v>
      </c>
      <c r="C1618" s="1">
        <v>45141.039598842595</v>
      </c>
      <c r="D1618" s="1">
        <v>45205</v>
      </c>
      <c r="E1618" t="s">
        <v>136</v>
      </c>
      <c r="F1618" t="s">
        <v>3558</v>
      </c>
      <c r="G1618" t="str">
        <f>"35-3031.00"</f>
        <v>35-3031.00</v>
      </c>
      <c r="H1618" t="s">
        <v>347</v>
      </c>
      <c r="I1618">
        <v>5</v>
      </c>
      <c r="J1618">
        <v>5</v>
      </c>
      <c r="K1618" s="1">
        <v>45231</v>
      </c>
      <c r="L1618" s="1">
        <v>45443</v>
      </c>
      <c r="M1618" s="1">
        <v>45231</v>
      </c>
      <c r="N1618" s="1">
        <v>45443</v>
      </c>
      <c r="O1618" t="s">
        <v>116</v>
      </c>
      <c r="P1618" t="s">
        <v>6068</v>
      </c>
      <c r="Q1618" t="s">
        <v>6069</v>
      </c>
      <c r="R1618" t="s">
        <v>6070</v>
      </c>
      <c r="T1618" t="s">
        <v>272</v>
      </c>
      <c r="U1618" t="s">
        <v>140</v>
      </c>
      <c r="V1618" s="8" t="str">
        <f>"33019"</f>
        <v>33019</v>
      </c>
      <c r="W1618" t="s">
        <v>118</v>
      </c>
      <c r="Y1618" s="10">
        <v>16035592180</v>
      </c>
      <c r="AA1618">
        <v>721110</v>
      </c>
      <c r="AB1618" t="s">
        <v>6071</v>
      </c>
      <c r="AC1618" t="s">
        <v>1193</v>
      </c>
      <c r="AE1618" t="s">
        <v>764</v>
      </c>
      <c r="AF1618" t="s">
        <v>6070</v>
      </c>
      <c r="AH1618" t="s">
        <v>272</v>
      </c>
      <c r="AI1618" t="s">
        <v>140</v>
      </c>
      <c r="AJ1618" s="8" t="str">
        <f>"33019"</f>
        <v>33019</v>
      </c>
      <c r="AK1618" t="s">
        <v>118</v>
      </c>
      <c r="AM1618" s="10">
        <v>16035592100</v>
      </c>
      <c r="AO1618" t="s">
        <v>6072</v>
      </c>
      <c r="AP1618" t="s">
        <v>248</v>
      </c>
      <c r="AQ1618" t="s">
        <v>458</v>
      </c>
      <c r="AR1618" t="s">
        <v>459</v>
      </c>
      <c r="AT1618" t="s">
        <v>460</v>
      </c>
      <c r="AU1618" t="s">
        <v>1374</v>
      </c>
      <c r="AV1618" t="s">
        <v>1375</v>
      </c>
      <c r="AW1618" t="s">
        <v>140</v>
      </c>
      <c r="AX1618" s="8" t="str">
        <f>"33141"</f>
        <v>33141</v>
      </c>
      <c r="AY1618" t="s">
        <v>118</v>
      </c>
      <c r="BA1618" s="10">
        <v>17863480376</v>
      </c>
      <c r="BC1618" t="s">
        <v>463</v>
      </c>
      <c r="BD1618" t="s">
        <v>464</v>
      </c>
      <c r="BG1618" t="s">
        <v>140</v>
      </c>
      <c r="BH1618" s="1">
        <v>45140.833333333336</v>
      </c>
      <c r="BI1618">
        <v>35</v>
      </c>
      <c r="BJ1618">
        <v>7</v>
      </c>
      <c r="BK1618">
        <v>0</v>
      </c>
      <c r="BL1618">
        <v>7</v>
      </c>
      <c r="BM1618">
        <v>0</v>
      </c>
      <c r="BN1618">
        <v>7</v>
      </c>
      <c r="BO1618">
        <v>7</v>
      </c>
      <c r="BP1618">
        <v>7</v>
      </c>
      <c r="BQ1618" t="str">
        <f>"7:00 AM"</f>
        <v>7:00 AM</v>
      </c>
      <c r="BR1618" t="str">
        <f>"2:00 PM"</f>
        <v>2:00 PM</v>
      </c>
      <c r="BS1618" t="s">
        <v>131</v>
      </c>
      <c r="BT1618">
        <v>0</v>
      </c>
      <c r="BU1618">
        <v>1</v>
      </c>
      <c r="BV1618" t="s">
        <v>114</v>
      </c>
      <c r="BX1618" t="s">
        <v>465</v>
      </c>
      <c r="BY1618" t="s">
        <v>6070</v>
      </c>
      <c r="CA1618" t="s">
        <v>272</v>
      </c>
      <c r="CB1618" t="s">
        <v>140</v>
      </c>
      <c r="CC1618" s="8" t="str">
        <f>"33019"</f>
        <v>33019</v>
      </c>
      <c r="CD1618" t="s">
        <v>287</v>
      </c>
      <c r="CE1618" t="s">
        <v>149</v>
      </c>
      <c r="CF1618" s="12">
        <v>14</v>
      </c>
      <c r="CG1618" s="12">
        <v>14</v>
      </c>
      <c r="CH1618" s="12">
        <v>21</v>
      </c>
      <c r="CI1618" s="12">
        <v>21</v>
      </c>
      <c r="CJ1618" t="s">
        <v>135</v>
      </c>
      <c r="CL1618" t="s">
        <v>6073</v>
      </c>
      <c r="CO1618" t="s">
        <v>132</v>
      </c>
      <c r="CP1618" t="s">
        <v>114</v>
      </c>
      <c r="CQ1618" t="s">
        <v>114</v>
      </c>
      <c r="CR1618" t="s">
        <v>136</v>
      </c>
      <c r="CS1618" t="s">
        <v>114</v>
      </c>
      <c r="CT1618" t="s">
        <v>136</v>
      </c>
      <c r="CU1618" t="s">
        <v>114</v>
      </c>
      <c r="CV1618" s="2" t="s">
        <v>6074</v>
      </c>
      <c r="CW1618" s="10" t="str">
        <f>"N/A"</f>
        <v>N/A</v>
      </c>
      <c r="CX1618" t="s">
        <v>6075</v>
      </c>
      <c r="CY1618" t="s">
        <v>470</v>
      </c>
      <c r="CZ1618" t="s">
        <v>137</v>
      </c>
      <c r="DA1618" t="s">
        <v>114</v>
      </c>
      <c r="DB1618" t="s">
        <v>114</v>
      </c>
      <c r="DC1618" t="s">
        <v>136</v>
      </c>
      <c r="DD1618" t="s">
        <v>114</v>
      </c>
    </row>
    <row r="1619" spans="1:108" ht="15" customHeight="1" x14ac:dyDescent="0.25">
      <c r="A1619" t="s">
        <v>16624</v>
      </c>
      <c r="B1619" t="s">
        <v>152</v>
      </c>
      <c r="C1619" s="1">
        <v>45141.013184490737</v>
      </c>
      <c r="D1619" s="1">
        <v>45205</v>
      </c>
      <c r="E1619" t="s">
        <v>114</v>
      </c>
      <c r="F1619" t="s">
        <v>16625</v>
      </c>
      <c r="G1619" t="str">
        <f>"27-2022.00"</f>
        <v>27-2022.00</v>
      </c>
      <c r="H1619" t="s">
        <v>14263</v>
      </c>
      <c r="I1619">
        <v>8</v>
      </c>
      <c r="J1619">
        <v>8</v>
      </c>
      <c r="K1619" s="1">
        <v>45231</v>
      </c>
      <c r="L1619" s="1">
        <v>45410</v>
      </c>
      <c r="M1619" s="1">
        <v>45231</v>
      </c>
      <c r="N1619" s="1">
        <v>45410</v>
      </c>
      <c r="O1619" t="s">
        <v>238</v>
      </c>
      <c r="P1619" t="s">
        <v>4735</v>
      </c>
      <c r="Q1619" t="s">
        <v>4736</v>
      </c>
      <c r="R1619" t="s">
        <v>4737</v>
      </c>
      <c r="T1619" t="s">
        <v>4738</v>
      </c>
      <c r="U1619" t="s">
        <v>402</v>
      </c>
      <c r="V1619" s="8" t="str">
        <f>"96146"</f>
        <v>96146</v>
      </c>
      <c r="W1619" t="s">
        <v>118</v>
      </c>
      <c r="Y1619" s="10">
        <v>15304527114</v>
      </c>
      <c r="AA1619">
        <v>72111</v>
      </c>
      <c r="AB1619" t="s">
        <v>8150</v>
      </c>
      <c r="AC1619" t="s">
        <v>12512</v>
      </c>
      <c r="AE1619" t="s">
        <v>16626</v>
      </c>
      <c r="AF1619" t="s">
        <v>4740</v>
      </c>
      <c r="AH1619" t="s">
        <v>4738</v>
      </c>
      <c r="AI1619" t="s">
        <v>402</v>
      </c>
      <c r="AJ1619" s="8" t="str">
        <f>"96146"</f>
        <v>96146</v>
      </c>
      <c r="AK1619" t="s">
        <v>118</v>
      </c>
      <c r="AM1619" s="10">
        <v>15308077692</v>
      </c>
      <c r="AO1619" t="s">
        <v>16627</v>
      </c>
      <c r="AP1619" t="s">
        <v>121</v>
      </c>
      <c r="AQ1619" t="s">
        <v>1675</v>
      </c>
      <c r="AR1619" t="s">
        <v>1676</v>
      </c>
      <c r="AS1619" t="s">
        <v>1677</v>
      </c>
      <c r="AT1619" t="s">
        <v>1678</v>
      </c>
      <c r="AU1619" t="s">
        <v>296</v>
      </c>
      <c r="AV1619" t="s">
        <v>1679</v>
      </c>
      <c r="AW1619" t="s">
        <v>402</v>
      </c>
      <c r="AX1619" s="8" t="str">
        <f>"91361"</f>
        <v>91361</v>
      </c>
      <c r="AY1619" t="s">
        <v>118</v>
      </c>
      <c r="BA1619" s="10">
        <v>18052611393</v>
      </c>
      <c r="BC1619" t="s">
        <v>1680</v>
      </c>
      <c r="BD1619" t="s">
        <v>1681</v>
      </c>
      <c r="BE1619" t="s">
        <v>140</v>
      </c>
      <c r="BF1619" t="s">
        <v>146</v>
      </c>
      <c r="BG1619" t="s">
        <v>402</v>
      </c>
      <c r="BH1619" s="1">
        <v>45139.833333333336</v>
      </c>
      <c r="BI1619">
        <v>35</v>
      </c>
      <c r="BJ1619">
        <v>5</v>
      </c>
      <c r="BK1619">
        <v>5</v>
      </c>
      <c r="BL1619">
        <v>5</v>
      </c>
      <c r="BM1619">
        <v>5</v>
      </c>
      <c r="BN1619">
        <v>5</v>
      </c>
      <c r="BO1619">
        <v>5</v>
      </c>
      <c r="BP1619">
        <v>5</v>
      </c>
      <c r="BQ1619" t="str">
        <f>"7:30 AM"</f>
        <v>7:30 AM</v>
      </c>
      <c r="BR1619" t="str">
        <f>"4:00 PM"</f>
        <v>4:00 PM</v>
      </c>
      <c r="BS1619" t="s">
        <v>147</v>
      </c>
      <c r="BT1619">
        <v>0</v>
      </c>
      <c r="BU1619">
        <v>36</v>
      </c>
      <c r="BV1619" t="s">
        <v>114</v>
      </c>
      <c r="BX1619" s="2" t="s">
        <v>16628</v>
      </c>
      <c r="BY1619" t="s">
        <v>4744</v>
      </c>
      <c r="CA1619" t="s">
        <v>4738</v>
      </c>
      <c r="CB1619" t="s">
        <v>402</v>
      </c>
      <c r="CC1619" s="8" t="str">
        <f>"96146"</f>
        <v>96146</v>
      </c>
      <c r="CD1619" t="s">
        <v>4745</v>
      </c>
      <c r="CE1619" t="s">
        <v>728</v>
      </c>
      <c r="CF1619" s="12">
        <v>25.41</v>
      </c>
      <c r="CG1619" s="12">
        <v>35</v>
      </c>
      <c r="CH1619" s="12">
        <v>38.119999999999997</v>
      </c>
      <c r="CI1619" s="12">
        <v>52.5</v>
      </c>
      <c r="CJ1619" t="s">
        <v>135</v>
      </c>
      <c r="CK1619" t="s">
        <v>16629</v>
      </c>
      <c r="CL1619" t="s">
        <v>16630</v>
      </c>
      <c r="CO1619" t="s">
        <v>132</v>
      </c>
      <c r="CP1619" t="s">
        <v>136</v>
      </c>
      <c r="CQ1619" t="s">
        <v>136</v>
      </c>
      <c r="CR1619" t="s">
        <v>136</v>
      </c>
      <c r="CS1619" t="s">
        <v>136</v>
      </c>
      <c r="CT1619" t="s">
        <v>136</v>
      </c>
      <c r="CU1619" t="s">
        <v>136</v>
      </c>
      <c r="CV1619" s="2" t="s">
        <v>16631</v>
      </c>
      <c r="CW1619" s="10" t="str">
        <f>"+15308077692"</f>
        <v>+15308077692</v>
      </c>
      <c r="CX1619" t="s">
        <v>16627</v>
      </c>
      <c r="CY1619" t="s">
        <v>132</v>
      </c>
      <c r="CZ1619" t="s">
        <v>137</v>
      </c>
      <c r="DA1619" t="s">
        <v>114</v>
      </c>
      <c r="DB1619" t="s">
        <v>114</v>
      </c>
      <c r="DC1619" t="s">
        <v>136</v>
      </c>
      <c r="DD1619" t="s">
        <v>114</v>
      </c>
    </row>
    <row r="1620" spans="1:108" ht="15" customHeight="1" x14ac:dyDescent="0.25">
      <c r="A1620" t="s">
        <v>12122</v>
      </c>
      <c r="B1620" t="s">
        <v>152</v>
      </c>
      <c r="C1620" s="1">
        <v>45139.457665624999</v>
      </c>
      <c r="D1620" s="1">
        <v>45205</v>
      </c>
      <c r="E1620" t="s">
        <v>114</v>
      </c>
      <c r="F1620" t="s">
        <v>293</v>
      </c>
      <c r="G1620" t="str">
        <f>"37-2012.00"</f>
        <v>37-2012.00</v>
      </c>
      <c r="H1620" t="s">
        <v>205</v>
      </c>
      <c r="I1620">
        <v>28</v>
      </c>
      <c r="J1620">
        <v>28</v>
      </c>
      <c r="K1620" s="1">
        <v>45215</v>
      </c>
      <c r="L1620" s="1">
        <v>45412</v>
      </c>
      <c r="M1620" s="1">
        <v>45215</v>
      </c>
      <c r="N1620" s="1">
        <v>45412</v>
      </c>
      <c r="O1620" t="s">
        <v>116</v>
      </c>
      <c r="P1620" t="s">
        <v>8288</v>
      </c>
      <c r="R1620" t="s">
        <v>8289</v>
      </c>
      <c r="S1620" t="s">
        <v>296</v>
      </c>
      <c r="T1620" t="s">
        <v>8291</v>
      </c>
      <c r="U1620" t="s">
        <v>1722</v>
      </c>
      <c r="V1620" s="8" t="str">
        <f>"20602"</f>
        <v>20602</v>
      </c>
      <c r="W1620" t="s">
        <v>118</v>
      </c>
      <c r="Y1620" s="10">
        <v>14043881383</v>
      </c>
      <c r="AA1620">
        <v>561720</v>
      </c>
      <c r="AB1620" t="s">
        <v>7356</v>
      </c>
      <c r="AC1620" t="s">
        <v>2899</v>
      </c>
      <c r="AE1620" t="s">
        <v>1836</v>
      </c>
      <c r="AF1620" t="s">
        <v>8289</v>
      </c>
      <c r="AG1620" t="s">
        <v>8290</v>
      </c>
      <c r="AH1620" t="s">
        <v>8291</v>
      </c>
      <c r="AI1620" t="s">
        <v>1722</v>
      </c>
      <c r="AJ1620" s="8" t="str">
        <f>"20602"</f>
        <v>20602</v>
      </c>
      <c r="AK1620" t="s">
        <v>118</v>
      </c>
      <c r="AM1620" s="10">
        <v>14043881383</v>
      </c>
      <c r="AO1620" t="s">
        <v>7357</v>
      </c>
      <c r="AX1620" s="8" t="str">
        <f>""</f>
        <v/>
      </c>
      <c r="BG1620" t="s">
        <v>375</v>
      </c>
      <c r="BH1620" s="1">
        <v>45138.833333333336</v>
      </c>
      <c r="BI1620">
        <v>40</v>
      </c>
      <c r="BJ1620">
        <v>0</v>
      </c>
      <c r="BK1620">
        <v>8</v>
      </c>
      <c r="BL1620">
        <v>8</v>
      </c>
      <c r="BM1620">
        <v>8</v>
      </c>
      <c r="BN1620">
        <v>8</v>
      </c>
      <c r="BO1620">
        <v>8</v>
      </c>
      <c r="BP1620">
        <v>8</v>
      </c>
      <c r="BQ1620" t="str">
        <f>"8:00 PM"</f>
        <v>8:00 PM</v>
      </c>
      <c r="BR1620" t="str">
        <f>"5:00 PM"</f>
        <v>5:00 PM</v>
      </c>
      <c r="BS1620" t="s">
        <v>147</v>
      </c>
      <c r="BT1620">
        <v>3</v>
      </c>
      <c r="BU1620">
        <v>3</v>
      </c>
      <c r="BV1620" t="s">
        <v>114</v>
      </c>
      <c r="BX1620" s="2" t="s">
        <v>8292</v>
      </c>
      <c r="BY1620" t="s">
        <v>12123</v>
      </c>
      <c r="BZ1620" t="s">
        <v>12124</v>
      </c>
      <c r="CA1620" t="s">
        <v>3273</v>
      </c>
      <c r="CB1620" t="s">
        <v>375</v>
      </c>
      <c r="CC1620" s="8" t="str">
        <f>"28209"</f>
        <v>28209</v>
      </c>
      <c r="CD1620" t="s">
        <v>3275</v>
      </c>
      <c r="CE1620" t="s">
        <v>2940</v>
      </c>
      <c r="CF1620" s="12">
        <v>13.37</v>
      </c>
      <c r="CG1620" s="12">
        <v>15</v>
      </c>
      <c r="CH1620" s="12">
        <v>20.059999999999999</v>
      </c>
      <c r="CI1620" s="12">
        <v>22.5</v>
      </c>
      <c r="CJ1620" t="s">
        <v>135</v>
      </c>
      <c r="CL1620" t="s">
        <v>12125</v>
      </c>
      <c r="CO1620" t="s">
        <v>132</v>
      </c>
      <c r="CP1620" t="s">
        <v>136</v>
      </c>
      <c r="CQ1620" t="s">
        <v>136</v>
      </c>
      <c r="CR1620" t="s">
        <v>136</v>
      </c>
      <c r="CS1620" t="s">
        <v>136</v>
      </c>
      <c r="CT1620" t="s">
        <v>136</v>
      </c>
      <c r="CU1620" t="s">
        <v>114</v>
      </c>
      <c r="CV1620" s="2" t="s">
        <v>12126</v>
      </c>
      <c r="CW1620" s="10" t="str">
        <f>"+14043881383"</f>
        <v>+14043881383</v>
      </c>
      <c r="CX1620" t="s">
        <v>7357</v>
      </c>
      <c r="CY1620" t="s">
        <v>132</v>
      </c>
      <c r="CZ1620" t="s">
        <v>137</v>
      </c>
      <c r="DA1620" t="s">
        <v>114</v>
      </c>
      <c r="DB1620" t="s">
        <v>114</v>
      </c>
      <c r="DC1620" t="s">
        <v>136</v>
      </c>
      <c r="DD1620" t="s">
        <v>114</v>
      </c>
    </row>
    <row r="1621" spans="1:108" ht="15" customHeight="1" x14ac:dyDescent="0.25">
      <c r="A1621" t="s">
        <v>9043</v>
      </c>
      <c r="B1621" t="s">
        <v>152</v>
      </c>
      <c r="C1621" s="1">
        <v>45112.894356828707</v>
      </c>
      <c r="D1621" s="1">
        <v>45205</v>
      </c>
      <c r="E1621" t="s">
        <v>114</v>
      </c>
      <c r="F1621" t="s">
        <v>5605</v>
      </c>
      <c r="G1621" t="str">
        <f>"47-2061.00"</f>
        <v>47-2061.00</v>
      </c>
      <c r="H1621" t="s">
        <v>570</v>
      </c>
      <c r="I1621">
        <v>20</v>
      </c>
      <c r="J1621">
        <v>20</v>
      </c>
      <c r="K1621" s="1">
        <v>45200</v>
      </c>
      <c r="L1621" s="1">
        <v>45275</v>
      </c>
      <c r="M1621" s="1">
        <v>45200</v>
      </c>
      <c r="N1621" s="1">
        <v>45275</v>
      </c>
      <c r="O1621" t="s">
        <v>116</v>
      </c>
      <c r="P1621" t="s">
        <v>9044</v>
      </c>
      <c r="R1621" t="s">
        <v>9045</v>
      </c>
      <c r="T1621" t="s">
        <v>9046</v>
      </c>
      <c r="U1621" t="s">
        <v>1734</v>
      </c>
      <c r="V1621" s="8" t="str">
        <f>"67226"</f>
        <v>67226</v>
      </c>
      <c r="W1621" t="s">
        <v>118</v>
      </c>
      <c r="Y1621" s="10">
        <v>13163472727</v>
      </c>
      <c r="AA1621">
        <v>238310</v>
      </c>
      <c r="AB1621" t="s">
        <v>9047</v>
      </c>
      <c r="AC1621" t="s">
        <v>9048</v>
      </c>
      <c r="AE1621" t="s">
        <v>9049</v>
      </c>
      <c r="AF1621" t="s">
        <v>9050</v>
      </c>
      <c r="AH1621" t="s">
        <v>9046</v>
      </c>
      <c r="AI1621" t="s">
        <v>1734</v>
      </c>
      <c r="AJ1621" s="8" t="str">
        <f>"67226"</f>
        <v>67226</v>
      </c>
      <c r="AK1621" t="s">
        <v>118</v>
      </c>
      <c r="AM1621" s="10">
        <v>13163472727</v>
      </c>
      <c r="AO1621" t="s">
        <v>9051</v>
      </c>
      <c r="AX1621" s="8" t="str">
        <f>""</f>
        <v/>
      </c>
      <c r="BG1621" t="s">
        <v>1734</v>
      </c>
      <c r="BH1621" s="1">
        <v>45111.833333333336</v>
      </c>
      <c r="BI1621">
        <v>40</v>
      </c>
      <c r="BJ1621">
        <v>0</v>
      </c>
      <c r="BK1621">
        <v>8</v>
      </c>
      <c r="BL1621">
        <v>8</v>
      </c>
      <c r="BM1621">
        <v>8</v>
      </c>
      <c r="BN1621">
        <v>8</v>
      </c>
      <c r="BO1621">
        <v>8</v>
      </c>
      <c r="BP1621">
        <v>0</v>
      </c>
      <c r="BQ1621" t="str">
        <f>"7:00 AM"</f>
        <v>7:00 AM</v>
      </c>
      <c r="BR1621" t="str">
        <f>"3:00 PM"</f>
        <v>3:00 PM</v>
      </c>
      <c r="BS1621" t="s">
        <v>131</v>
      </c>
      <c r="BT1621">
        <v>0</v>
      </c>
      <c r="BU1621">
        <v>3</v>
      </c>
      <c r="BV1621" t="s">
        <v>114</v>
      </c>
      <c r="BX1621" s="2" t="s">
        <v>9052</v>
      </c>
      <c r="BY1621" t="s">
        <v>9050</v>
      </c>
      <c r="CA1621" t="s">
        <v>9046</v>
      </c>
      <c r="CB1621" t="s">
        <v>1734</v>
      </c>
      <c r="CC1621" s="8" t="str">
        <f>"67226"</f>
        <v>67226</v>
      </c>
      <c r="CD1621" t="s">
        <v>4875</v>
      </c>
      <c r="CE1621" t="s">
        <v>4876</v>
      </c>
      <c r="CF1621" s="12">
        <v>17.75</v>
      </c>
      <c r="CG1621" s="12">
        <v>17.75</v>
      </c>
      <c r="CH1621" s="12">
        <v>26.63</v>
      </c>
      <c r="CI1621" s="12">
        <v>26.63</v>
      </c>
      <c r="CJ1621" t="s">
        <v>135</v>
      </c>
      <c r="CK1621" t="s">
        <v>9053</v>
      </c>
      <c r="CL1621" t="s">
        <v>9054</v>
      </c>
      <c r="CO1621" t="s">
        <v>132</v>
      </c>
      <c r="CP1621" t="s">
        <v>114</v>
      </c>
      <c r="CQ1621" t="s">
        <v>114</v>
      </c>
      <c r="CR1621" t="s">
        <v>136</v>
      </c>
      <c r="CS1621" t="s">
        <v>136</v>
      </c>
      <c r="CT1621" t="s">
        <v>136</v>
      </c>
      <c r="CU1621" t="s">
        <v>136</v>
      </c>
      <c r="CV1621" t="s">
        <v>9055</v>
      </c>
      <c r="CW1621" s="10" t="str">
        <f>"+13163472727"</f>
        <v>+13163472727</v>
      </c>
      <c r="CX1621" t="s">
        <v>9051</v>
      </c>
      <c r="CY1621" t="s">
        <v>132</v>
      </c>
      <c r="CZ1621" t="s">
        <v>137</v>
      </c>
      <c r="DA1621" t="s">
        <v>114</v>
      </c>
      <c r="DB1621" t="s">
        <v>136</v>
      </c>
      <c r="DC1621" t="s">
        <v>136</v>
      </c>
      <c r="DD1621" t="s">
        <v>114</v>
      </c>
    </row>
    <row r="1622" spans="1:108" ht="15" customHeight="1" x14ac:dyDescent="0.25">
      <c r="A1622" t="s">
        <v>18260</v>
      </c>
      <c r="B1622" t="s">
        <v>152</v>
      </c>
      <c r="C1622" s="1">
        <v>45112.706959606483</v>
      </c>
      <c r="D1622" s="1">
        <v>45205</v>
      </c>
      <c r="E1622" t="s">
        <v>114</v>
      </c>
      <c r="F1622" t="s">
        <v>1743</v>
      </c>
      <c r="G1622" t="str">
        <f>"37-3011.00"</f>
        <v>37-3011.00</v>
      </c>
      <c r="H1622" t="s">
        <v>429</v>
      </c>
      <c r="I1622">
        <v>30</v>
      </c>
      <c r="J1622">
        <v>30</v>
      </c>
      <c r="K1622" s="1">
        <v>45200</v>
      </c>
      <c r="L1622" s="1">
        <v>45291</v>
      </c>
      <c r="M1622" s="1">
        <v>45200</v>
      </c>
      <c r="N1622" s="1">
        <v>45291</v>
      </c>
      <c r="O1622" t="s">
        <v>238</v>
      </c>
      <c r="P1622" t="s">
        <v>2722</v>
      </c>
      <c r="R1622" t="s">
        <v>2723</v>
      </c>
      <c r="T1622" t="s">
        <v>2724</v>
      </c>
      <c r="U1622" t="s">
        <v>140</v>
      </c>
      <c r="V1622" s="8" t="str">
        <f>"32407"</f>
        <v>32407</v>
      </c>
      <c r="W1622" t="s">
        <v>118</v>
      </c>
      <c r="Y1622" s="10">
        <v>18506240419</v>
      </c>
      <c r="AA1622">
        <v>72119</v>
      </c>
      <c r="AB1622" t="s">
        <v>2725</v>
      </c>
      <c r="AC1622" t="s">
        <v>2726</v>
      </c>
      <c r="AE1622" t="s">
        <v>120</v>
      </c>
      <c r="AF1622" t="s">
        <v>2723</v>
      </c>
      <c r="AH1622" t="s">
        <v>2724</v>
      </c>
      <c r="AI1622" t="s">
        <v>140</v>
      </c>
      <c r="AJ1622" s="8" t="str">
        <f>"32407"</f>
        <v>32407</v>
      </c>
      <c r="AK1622" t="s">
        <v>118</v>
      </c>
      <c r="AM1622" s="10">
        <v>18506240419</v>
      </c>
      <c r="AO1622" t="s">
        <v>18261</v>
      </c>
      <c r="AP1622" t="s">
        <v>121</v>
      </c>
      <c r="AQ1622" t="s">
        <v>1771</v>
      </c>
      <c r="AR1622" t="s">
        <v>1772</v>
      </c>
      <c r="AS1622" t="s">
        <v>1410</v>
      </c>
      <c r="AT1622" t="s">
        <v>1773</v>
      </c>
      <c r="AU1622" t="s">
        <v>1774</v>
      </c>
      <c r="AV1622" t="s">
        <v>1775</v>
      </c>
      <c r="AW1622" t="s">
        <v>1776</v>
      </c>
      <c r="AX1622" s="8" t="str">
        <f>"08034"</f>
        <v>08034</v>
      </c>
      <c r="AY1622" t="s">
        <v>118</v>
      </c>
      <c r="AZ1622" t="s">
        <v>1777</v>
      </c>
      <c r="BA1622" s="10">
        <v>18562819750</v>
      </c>
      <c r="BC1622" t="s">
        <v>1778</v>
      </c>
      <c r="BD1622" t="s">
        <v>1779</v>
      </c>
      <c r="BE1622" t="s">
        <v>1776</v>
      </c>
      <c r="BF1622" t="s">
        <v>1780</v>
      </c>
      <c r="BG1622" t="s">
        <v>140</v>
      </c>
      <c r="BH1622" s="1">
        <v>45111.833333333336</v>
      </c>
      <c r="BI1622">
        <v>40</v>
      </c>
      <c r="BJ1622">
        <v>0</v>
      </c>
      <c r="BK1622">
        <v>8</v>
      </c>
      <c r="BL1622">
        <v>8</v>
      </c>
      <c r="BM1622">
        <v>8</v>
      </c>
      <c r="BN1622">
        <v>8</v>
      </c>
      <c r="BO1622">
        <v>8</v>
      </c>
      <c r="BP1622">
        <v>0</v>
      </c>
      <c r="BQ1622" t="str">
        <f>"8:00 AM"</f>
        <v>8:00 AM</v>
      </c>
      <c r="BR1622" t="str">
        <f>"4:00 PM"</f>
        <v>4:00 PM</v>
      </c>
      <c r="BS1622" t="s">
        <v>131</v>
      </c>
      <c r="BT1622">
        <v>0</v>
      </c>
      <c r="BU1622">
        <v>0</v>
      </c>
      <c r="BV1622" t="s">
        <v>114</v>
      </c>
      <c r="BX1622" s="2" t="s">
        <v>18262</v>
      </c>
      <c r="BY1622" t="s">
        <v>2723</v>
      </c>
      <c r="CA1622" t="s">
        <v>2724</v>
      </c>
      <c r="CB1622" t="s">
        <v>140</v>
      </c>
      <c r="CC1622" s="8" t="str">
        <f>"32407"</f>
        <v>32407</v>
      </c>
      <c r="CD1622" t="s">
        <v>2727</v>
      </c>
      <c r="CE1622" t="s">
        <v>2728</v>
      </c>
      <c r="CF1622" s="12">
        <v>15.01</v>
      </c>
      <c r="CG1622" s="12">
        <v>15.01</v>
      </c>
      <c r="CH1622" s="12">
        <v>22.52</v>
      </c>
      <c r="CI1622" s="12">
        <v>22.52</v>
      </c>
      <c r="CJ1622" t="s">
        <v>135</v>
      </c>
      <c r="CK1622" t="s">
        <v>7843</v>
      </c>
      <c r="CL1622" t="s">
        <v>18263</v>
      </c>
      <c r="CO1622" t="s">
        <v>132</v>
      </c>
      <c r="CP1622" t="s">
        <v>136</v>
      </c>
      <c r="CQ1622" t="s">
        <v>136</v>
      </c>
      <c r="CR1622" t="s">
        <v>136</v>
      </c>
      <c r="CS1622" t="s">
        <v>136</v>
      </c>
      <c r="CT1622" t="s">
        <v>136</v>
      </c>
      <c r="CU1622" t="s">
        <v>136</v>
      </c>
      <c r="CV1622" t="s">
        <v>18264</v>
      </c>
      <c r="CW1622" s="10" t="str">
        <f>"+18506240419"</f>
        <v>+18506240419</v>
      </c>
      <c r="CX1622" t="s">
        <v>18261</v>
      </c>
      <c r="CY1622" t="s">
        <v>132</v>
      </c>
      <c r="CZ1622" t="s">
        <v>137</v>
      </c>
      <c r="DA1622" t="s">
        <v>114</v>
      </c>
      <c r="DB1622" t="s">
        <v>136</v>
      </c>
      <c r="DC1622" t="s">
        <v>136</v>
      </c>
      <c r="DD1622" t="s">
        <v>114</v>
      </c>
    </row>
    <row r="1623" spans="1:108" ht="15" customHeight="1" x14ac:dyDescent="0.25">
      <c r="A1623" t="s">
        <v>18369</v>
      </c>
      <c r="B1623" t="s">
        <v>152</v>
      </c>
      <c r="C1623" s="1">
        <v>45110.00161284722</v>
      </c>
      <c r="D1623" s="1">
        <v>45205</v>
      </c>
      <c r="E1623" t="s">
        <v>114</v>
      </c>
      <c r="F1623" t="s">
        <v>18370</v>
      </c>
      <c r="G1623" t="str">
        <f>"47-2044.00"</f>
        <v>47-2044.00</v>
      </c>
      <c r="H1623" t="s">
        <v>4794</v>
      </c>
      <c r="I1623">
        <v>20</v>
      </c>
      <c r="J1623">
        <v>20</v>
      </c>
      <c r="K1623" s="1">
        <v>45200</v>
      </c>
      <c r="L1623" s="1">
        <v>45473</v>
      </c>
      <c r="M1623" s="1">
        <v>45200</v>
      </c>
      <c r="N1623" s="1">
        <v>45473</v>
      </c>
      <c r="O1623" t="s">
        <v>116</v>
      </c>
      <c r="P1623" t="s">
        <v>18371</v>
      </c>
      <c r="Q1623" t="s">
        <v>132</v>
      </c>
      <c r="R1623" t="s">
        <v>18372</v>
      </c>
      <c r="S1623" t="s">
        <v>3866</v>
      </c>
      <c r="T1623" t="s">
        <v>18373</v>
      </c>
      <c r="U1623" t="s">
        <v>415</v>
      </c>
      <c r="V1623" s="8" t="str">
        <f>"00949"</f>
        <v>00949</v>
      </c>
      <c r="W1623" t="s">
        <v>118</v>
      </c>
      <c r="Y1623" s="10">
        <v>17872239946</v>
      </c>
      <c r="AA1623">
        <v>23811</v>
      </c>
      <c r="AB1623" t="s">
        <v>18374</v>
      </c>
      <c r="AC1623" t="s">
        <v>18375</v>
      </c>
      <c r="AE1623" t="s">
        <v>629</v>
      </c>
      <c r="AF1623" t="s">
        <v>18376</v>
      </c>
      <c r="AG1623" t="s">
        <v>3866</v>
      </c>
      <c r="AH1623" t="s">
        <v>18377</v>
      </c>
      <c r="AI1623" t="s">
        <v>415</v>
      </c>
      <c r="AJ1623" s="8" t="str">
        <f>"00949"</f>
        <v>00949</v>
      </c>
      <c r="AK1623" t="s">
        <v>118</v>
      </c>
      <c r="AM1623" s="10">
        <v>17872239446</v>
      </c>
      <c r="AO1623" t="s">
        <v>18378</v>
      </c>
      <c r="AP1623" t="s">
        <v>121</v>
      </c>
      <c r="AQ1623" t="s">
        <v>2708</v>
      </c>
      <c r="AR1623" t="s">
        <v>2001</v>
      </c>
      <c r="AS1623" t="s">
        <v>2709</v>
      </c>
      <c r="AT1623" t="s">
        <v>18379</v>
      </c>
      <c r="AU1623" t="s">
        <v>18380</v>
      </c>
      <c r="AV1623" t="s">
        <v>2710</v>
      </c>
      <c r="AW1623" t="s">
        <v>415</v>
      </c>
      <c r="AX1623" s="8" t="str">
        <f>"00918"</f>
        <v>00918</v>
      </c>
      <c r="AY1623" t="s">
        <v>118</v>
      </c>
      <c r="BA1623" s="10">
        <v>17879361664</v>
      </c>
      <c r="BC1623" t="s">
        <v>2711</v>
      </c>
      <c r="BD1623" t="s">
        <v>2712</v>
      </c>
      <c r="BE1623" t="s">
        <v>415</v>
      </c>
      <c r="BF1623" t="s">
        <v>2713</v>
      </c>
      <c r="BG1623" t="s">
        <v>415</v>
      </c>
      <c r="BH1623" s="1">
        <v>45109.833333333336</v>
      </c>
      <c r="BI1623">
        <v>40</v>
      </c>
      <c r="BJ1623">
        <v>0</v>
      </c>
      <c r="BK1623">
        <v>8</v>
      </c>
      <c r="BL1623">
        <v>8</v>
      </c>
      <c r="BM1623">
        <v>8</v>
      </c>
      <c r="BN1623">
        <v>8</v>
      </c>
      <c r="BO1623">
        <v>8</v>
      </c>
      <c r="BP1623">
        <v>0</v>
      </c>
      <c r="BQ1623" t="str">
        <f>"7:00 AM"</f>
        <v>7:00 AM</v>
      </c>
      <c r="BR1623" t="str">
        <f>"4:00 PM"</f>
        <v>4:00 PM</v>
      </c>
      <c r="BS1623" t="s">
        <v>131</v>
      </c>
      <c r="BT1623">
        <v>0</v>
      </c>
      <c r="BU1623">
        <v>6</v>
      </c>
      <c r="BV1623" t="s">
        <v>114</v>
      </c>
      <c r="BX1623" s="2" t="s">
        <v>18381</v>
      </c>
      <c r="BY1623" t="s">
        <v>18382</v>
      </c>
      <c r="BZ1623" t="s">
        <v>18383</v>
      </c>
      <c r="CA1623" t="s">
        <v>12609</v>
      </c>
      <c r="CB1623" t="s">
        <v>415</v>
      </c>
      <c r="CC1623" s="8" t="str">
        <f>"00646"</f>
        <v>00646</v>
      </c>
      <c r="CD1623" t="s">
        <v>18384</v>
      </c>
      <c r="CE1623" t="s">
        <v>18385</v>
      </c>
      <c r="CF1623" s="12">
        <v>10.1</v>
      </c>
      <c r="CJ1623" t="s">
        <v>135</v>
      </c>
      <c r="CK1623" t="s">
        <v>132</v>
      </c>
      <c r="CL1623" t="s">
        <v>18386</v>
      </c>
      <c r="CO1623" t="s">
        <v>132</v>
      </c>
      <c r="CP1623" t="s">
        <v>114</v>
      </c>
      <c r="CQ1623" t="s">
        <v>114</v>
      </c>
      <c r="CR1623" t="s">
        <v>114</v>
      </c>
      <c r="CS1623" t="s">
        <v>114</v>
      </c>
      <c r="CT1623" t="s">
        <v>136</v>
      </c>
      <c r="CU1623" t="s">
        <v>114</v>
      </c>
      <c r="CV1623" t="s">
        <v>18387</v>
      </c>
      <c r="CW1623" s="10" t="str">
        <f>"+17872239946"</f>
        <v>+17872239946</v>
      </c>
      <c r="CX1623" t="s">
        <v>18388</v>
      </c>
      <c r="CY1623" t="s">
        <v>132</v>
      </c>
      <c r="CZ1623" t="s">
        <v>137</v>
      </c>
      <c r="DA1623" t="s">
        <v>114</v>
      </c>
      <c r="DB1623" t="s">
        <v>114</v>
      </c>
      <c r="DC1623" t="s">
        <v>136</v>
      </c>
      <c r="DD1623" t="s">
        <v>114</v>
      </c>
    </row>
    <row r="1624" spans="1:108" ht="15" customHeight="1" x14ac:dyDescent="0.25">
      <c r="A1624" t="s">
        <v>10759</v>
      </c>
      <c r="B1624" t="s">
        <v>152</v>
      </c>
      <c r="C1624" s="1">
        <v>45142.726850462961</v>
      </c>
      <c r="D1624" s="1">
        <v>45204</v>
      </c>
      <c r="E1624" t="s">
        <v>114</v>
      </c>
      <c r="F1624" t="s">
        <v>3847</v>
      </c>
      <c r="G1624" t="str">
        <f>"39-2021.00"</f>
        <v>39-2021.00</v>
      </c>
      <c r="H1624" t="s">
        <v>2895</v>
      </c>
      <c r="I1624">
        <v>7</v>
      </c>
      <c r="J1624">
        <v>7</v>
      </c>
      <c r="K1624" s="1">
        <v>45231</v>
      </c>
      <c r="L1624" s="1">
        <v>45412</v>
      </c>
      <c r="M1624" s="1">
        <v>45231</v>
      </c>
      <c r="N1624" s="1">
        <v>45412</v>
      </c>
      <c r="O1624" t="s">
        <v>238</v>
      </c>
      <c r="P1624" t="s">
        <v>10760</v>
      </c>
      <c r="R1624" t="s">
        <v>10761</v>
      </c>
      <c r="T1624" t="s">
        <v>10762</v>
      </c>
      <c r="U1624" t="s">
        <v>434</v>
      </c>
      <c r="V1624" s="8" t="str">
        <f>"19320"</f>
        <v>19320</v>
      </c>
      <c r="W1624" t="s">
        <v>118</v>
      </c>
      <c r="Y1624" s="10">
        <v>16103809843</v>
      </c>
      <c r="AA1624">
        <v>711212</v>
      </c>
      <c r="AB1624" t="s">
        <v>10763</v>
      </c>
      <c r="AC1624" t="s">
        <v>3594</v>
      </c>
      <c r="AE1624" t="s">
        <v>120</v>
      </c>
      <c r="AF1624" t="s">
        <v>10761</v>
      </c>
      <c r="AH1624" t="s">
        <v>10764</v>
      </c>
      <c r="AI1624" t="s">
        <v>434</v>
      </c>
      <c r="AJ1624" s="8" t="str">
        <f>"19320"</f>
        <v>19320</v>
      </c>
      <c r="AK1624" t="s">
        <v>118</v>
      </c>
      <c r="AM1624" s="10">
        <v>16103809843</v>
      </c>
      <c r="AO1624" t="s">
        <v>10765</v>
      </c>
      <c r="AP1624" t="s">
        <v>121</v>
      </c>
      <c r="AQ1624" t="s">
        <v>3854</v>
      </c>
      <c r="AR1624" t="s">
        <v>144</v>
      </c>
      <c r="AS1624" t="s">
        <v>3855</v>
      </c>
      <c r="AT1624" t="s">
        <v>2605</v>
      </c>
      <c r="AU1624" t="s">
        <v>2606</v>
      </c>
      <c r="AV1624" t="s">
        <v>2607</v>
      </c>
      <c r="AW1624" t="s">
        <v>2608</v>
      </c>
      <c r="AX1624" s="8" t="str">
        <f>"73069"</f>
        <v>73069</v>
      </c>
      <c r="AY1624" t="s">
        <v>118</v>
      </c>
      <c r="BA1624" s="10">
        <v>14053642525</v>
      </c>
      <c r="BC1624" t="s">
        <v>2609</v>
      </c>
      <c r="BD1624" t="s">
        <v>2610</v>
      </c>
      <c r="BE1624" t="s">
        <v>2608</v>
      </c>
      <c r="BF1624" t="s">
        <v>2611</v>
      </c>
      <c r="BG1624" t="s">
        <v>140</v>
      </c>
      <c r="BH1624" s="1">
        <v>45140.833333333336</v>
      </c>
      <c r="BI1624">
        <v>56</v>
      </c>
      <c r="BJ1624">
        <v>8</v>
      </c>
      <c r="BK1624">
        <v>8</v>
      </c>
      <c r="BL1624">
        <v>8</v>
      </c>
      <c r="BM1624">
        <v>8</v>
      </c>
      <c r="BN1624">
        <v>8</v>
      </c>
      <c r="BO1624">
        <v>8</v>
      </c>
      <c r="BP1624">
        <v>8</v>
      </c>
      <c r="BQ1624" t="str">
        <f>"5:00 AM"</f>
        <v>5:00 AM</v>
      </c>
      <c r="BR1624" t="str">
        <f>"5:00 PM"</f>
        <v>5:00 PM</v>
      </c>
      <c r="BS1624" t="s">
        <v>131</v>
      </c>
      <c r="BT1624">
        <v>0</v>
      </c>
      <c r="BU1624">
        <v>1</v>
      </c>
      <c r="BV1624" t="s">
        <v>114</v>
      </c>
      <c r="BX1624" s="2" t="s">
        <v>3116</v>
      </c>
      <c r="BY1624" t="s">
        <v>10766</v>
      </c>
      <c r="BZ1624" t="s">
        <v>10767</v>
      </c>
      <c r="CA1624" t="s">
        <v>4524</v>
      </c>
      <c r="CB1624" t="s">
        <v>140</v>
      </c>
      <c r="CC1624" s="8" t="str">
        <f>"33472"</f>
        <v>33472</v>
      </c>
      <c r="CD1624" t="s">
        <v>767</v>
      </c>
      <c r="CE1624" t="s">
        <v>149</v>
      </c>
      <c r="CF1624" s="12">
        <v>14.11</v>
      </c>
      <c r="CG1624" s="12">
        <v>14.11</v>
      </c>
      <c r="CH1624" s="12">
        <v>21.17</v>
      </c>
      <c r="CI1624" s="12">
        <v>21.17</v>
      </c>
      <c r="CJ1624" t="s">
        <v>135</v>
      </c>
      <c r="CL1624" t="s">
        <v>10768</v>
      </c>
      <c r="CO1624" t="s">
        <v>132</v>
      </c>
      <c r="CP1624" t="s">
        <v>114</v>
      </c>
      <c r="CQ1624" t="s">
        <v>114</v>
      </c>
      <c r="CR1624" t="s">
        <v>136</v>
      </c>
      <c r="CS1624" t="s">
        <v>114</v>
      </c>
      <c r="CT1624" t="s">
        <v>136</v>
      </c>
      <c r="CU1624" t="s">
        <v>136</v>
      </c>
      <c r="CV1624" t="s">
        <v>3861</v>
      </c>
      <c r="CW1624" s="10" t="str">
        <f>"+16103809843"</f>
        <v>+16103809843</v>
      </c>
      <c r="CX1624" t="s">
        <v>10765</v>
      </c>
      <c r="CY1624" t="s">
        <v>132</v>
      </c>
      <c r="CZ1624" t="s">
        <v>137</v>
      </c>
      <c r="DA1624" t="s">
        <v>114</v>
      </c>
      <c r="DB1624" t="s">
        <v>114</v>
      </c>
      <c r="DC1624" t="s">
        <v>136</v>
      </c>
      <c r="DD1624" t="s">
        <v>114</v>
      </c>
    </row>
    <row r="1625" spans="1:108" ht="15" customHeight="1" x14ac:dyDescent="0.25">
      <c r="A1625" t="s">
        <v>16617</v>
      </c>
      <c r="B1625" t="s">
        <v>152</v>
      </c>
      <c r="C1625" s="1">
        <v>45142.583526967595</v>
      </c>
      <c r="D1625" s="1">
        <v>45204</v>
      </c>
      <c r="E1625" t="s">
        <v>114</v>
      </c>
      <c r="F1625" t="s">
        <v>6279</v>
      </c>
      <c r="G1625" t="str">
        <f>"37-2011.00"</f>
        <v>37-2011.00</v>
      </c>
      <c r="H1625" t="s">
        <v>1089</v>
      </c>
      <c r="I1625">
        <v>16</v>
      </c>
      <c r="J1625">
        <v>16</v>
      </c>
      <c r="K1625" s="1">
        <v>45231</v>
      </c>
      <c r="L1625" s="1">
        <v>45382</v>
      </c>
      <c r="M1625" s="1">
        <v>45231</v>
      </c>
      <c r="N1625" s="1">
        <v>45382</v>
      </c>
      <c r="O1625" t="s">
        <v>238</v>
      </c>
      <c r="P1625" t="s">
        <v>16618</v>
      </c>
      <c r="R1625" t="s">
        <v>16619</v>
      </c>
      <c r="T1625" t="s">
        <v>2863</v>
      </c>
      <c r="U1625" t="s">
        <v>543</v>
      </c>
      <c r="V1625" s="8" t="str">
        <f>"44026"</f>
        <v>44026</v>
      </c>
      <c r="W1625" t="s">
        <v>118</v>
      </c>
      <c r="Y1625" s="10">
        <v>14409181099</v>
      </c>
      <c r="AA1625">
        <v>5617</v>
      </c>
      <c r="AB1625" t="s">
        <v>7855</v>
      </c>
      <c r="AC1625" t="s">
        <v>144</v>
      </c>
      <c r="AE1625" t="s">
        <v>629</v>
      </c>
      <c r="AF1625" t="s">
        <v>16619</v>
      </c>
      <c r="AH1625" t="s">
        <v>2863</v>
      </c>
      <c r="AI1625" t="s">
        <v>543</v>
      </c>
      <c r="AJ1625" s="8" t="str">
        <f>"44026"</f>
        <v>44026</v>
      </c>
      <c r="AK1625" t="s">
        <v>118</v>
      </c>
      <c r="AM1625" s="10">
        <v>14409181099</v>
      </c>
      <c r="AO1625" t="s">
        <v>7856</v>
      </c>
      <c r="AP1625" t="s">
        <v>121</v>
      </c>
      <c r="AQ1625" t="s">
        <v>2104</v>
      </c>
      <c r="AR1625" t="s">
        <v>2105</v>
      </c>
      <c r="AT1625" t="s">
        <v>2106</v>
      </c>
      <c r="AV1625" t="s">
        <v>2107</v>
      </c>
      <c r="AW1625" t="s">
        <v>543</v>
      </c>
      <c r="AX1625" s="8" t="str">
        <f>"44060"</f>
        <v>44060</v>
      </c>
      <c r="AY1625" t="s">
        <v>118</v>
      </c>
      <c r="BA1625" s="10">
        <v>12162350515</v>
      </c>
      <c r="BC1625" t="s">
        <v>2108</v>
      </c>
      <c r="BD1625" t="s">
        <v>2109</v>
      </c>
      <c r="BE1625" t="s">
        <v>543</v>
      </c>
      <c r="BF1625" t="s">
        <v>11945</v>
      </c>
      <c r="BG1625" t="s">
        <v>543</v>
      </c>
      <c r="BH1625" s="1">
        <v>45141.833333333336</v>
      </c>
      <c r="BI1625">
        <v>35</v>
      </c>
      <c r="BJ1625">
        <v>0</v>
      </c>
      <c r="BK1625">
        <v>7</v>
      </c>
      <c r="BL1625">
        <v>7</v>
      </c>
      <c r="BM1625">
        <v>7</v>
      </c>
      <c r="BN1625">
        <v>7</v>
      </c>
      <c r="BO1625">
        <v>7</v>
      </c>
      <c r="BP1625">
        <v>0</v>
      </c>
      <c r="BQ1625" t="str">
        <f>"7:00 AM"</f>
        <v>7:00 AM</v>
      </c>
      <c r="BR1625" t="str">
        <f>"3:00 PM"</f>
        <v>3:00 PM</v>
      </c>
      <c r="BS1625" t="s">
        <v>131</v>
      </c>
      <c r="BT1625">
        <v>0</v>
      </c>
      <c r="BU1625">
        <v>0</v>
      </c>
      <c r="BV1625" t="s">
        <v>114</v>
      </c>
      <c r="BX1625" s="2" t="s">
        <v>16084</v>
      </c>
      <c r="BY1625" t="s">
        <v>16620</v>
      </c>
      <c r="CA1625" t="s">
        <v>7854</v>
      </c>
      <c r="CB1625" t="s">
        <v>543</v>
      </c>
      <c r="CC1625" s="8" t="str">
        <f>"44094"</f>
        <v>44094</v>
      </c>
      <c r="CD1625" t="s">
        <v>1960</v>
      </c>
      <c r="CE1625" t="s">
        <v>1839</v>
      </c>
      <c r="CF1625" s="12">
        <v>17.07</v>
      </c>
      <c r="CG1625" s="12">
        <v>17.07</v>
      </c>
      <c r="CH1625" s="12">
        <v>25.61</v>
      </c>
      <c r="CI1625" s="12">
        <v>25.61</v>
      </c>
      <c r="CJ1625" t="s">
        <v>135</v>
      </c>
      <c r="CK1625" t="s">
        <v>16621</v>
      </c>
      <c r="CL1625" t="s">
        <v>16622</v>
      </c>
      <c r="CO1625" t="s">
        <v>132</v>
      </c>
      <c r="CP1625" t="s">
        <v>136</v>
      </c>
      <c r="CQ1625" t="s">
        <v>136</v>
      </c>
      <c r="CR1625" t="s">
        <v>136</v>
      </c>
      <c r="CS1625" t="s">
        <v>136</v>
      </c>
      <c r="CT1625" t="s">
        <v>136</v>
      </c>
      <c r="CU1625" t="s">
        <v>136</v>
      </c>
      <c r="CV1625" t="s">
        <v>16623</v>
      </c>
      <c r="CW1625" s="10" t="str">
        <f>"+14409181099"</f>
        <v>+14409181099</v>
      </c>
      <c r="CX1625" t="s">
        <v>7856</v>
      </c>
      <c r="CY1625" t="s">
        <v>132</v>
      </c>
      <c r="CZ1625" t="s">
        <v>137</v>
      </c>
      <c r="DA1625" t="s">
        <v>114</v>
      </c>
      <c r="DB1625" t="s">
        <v>136</v>
      </c>
      <c r="DC1625" t="s">
        <v>136</v>
      </c>
      <c r="DD1625" t="s">
        <v>114</v>
      </c>
    </row>
    <row r="1626" spans="1:108" ht="15" customHeight="1" x14ac:dyDescent="0.25">
      <c r="A1626" t="s">
        <v>19324</v>
      </c>
      <c r="B1626" t="s">
        <v>152</v>
      </c>
      <c r="C1626" s="1">
        <v>45141.750432986111</v>
      </c>
      <c r="D1626" s="1">
        <v>45204</v>
      </c>
      <c r="E1626" t="s">
        <v>136</v>
      </c>
      <c r="F1626" t="s">
        <v>2512</v>
      </c>
      <c r="G1626" t="str">
        <f>"35-3031.00"</f>
        <v>35-3031.00</v>
      </c>
      <c r="H1626" t="s">
        <v>347</v>
      </c>
      <c r="I1626">
        <v>6</v>
      </c>
      <c r="J1626">
        <v>6</v>
      </c>
      <c r="K1626" s="1">
        <v>45231</v>
      </c>
      <c r="L1626" s="1">
        <v>45412</v>
      </c>
      <c r="M1626" s="1">
        <v>45231</v>
      </c>
      <c r="N1626" s="1">
        <v>45412</v>
      </c>
      <c r="O1626" t="s">
        <v>116</v>
      </c>
      <c r="P1626" t="s">
        <v>6563</v>
      </c>
      <c r="R1626" t="s">
        <v>6564</v>
      </c>
      <c r="T1626" t="s">
        <v>1614</v>
      </c>
      <c r="U1626" t="s">
        <v>140</v>
      </c>
      <c r="V1626" s="8" t="str">
        <f>"34108"</f>
        <v>34108</v>
      </c>
      <c r="W1626" t="s">
        <v>118</v>
      </c>
      <c r="Y1626" s="10">
        <v>12395929515</v>
      </c>
      <c r="AA1626">
        <v>713910</v>
      </c>
      <c r="AB1626" t="s">
        <v>6565</v>
      </c>
      <c r="AC1626" t="s">
        <v>1826</v>
      </c>
      <c r="AE1626" t="s">
        <v>1349</v>
      </c>
      <c r="AF1626" t="s">
        <v>6564</v>
      </c>
      <c r="AH1626" t="s">
        <v>1614</v>
      </c>
      <c r="AI1626" t="s">
        <v>140</v>
      </c>
      <c r="AJ1626" s="8" t="str">
        <f>"34108"</f>
        <v>34108</v>
      </c>
      <c r="AK1626" t="s">
        <v>118</v>
      </c>
      <c r="AM1626" s="10">
        <v>12395929515</v>
      </c>
      <c r="AO1626" t="s">
        <v>6566</v>
      </c>
      <c r="AP1626" t="s">
        <v>121</v>
      </c>
      <c r="AQ1626" t="s">
        <v>276</v>
      </c>
      <c r="AR1626" t="s">
        <v>277</v>
      </c>
      <c r="AS1626" t="s">
        <v>278</v>
      </c>
      <c r="AT1626" t="s">
        <v>279</v>
      </c>
      <c r="AU1626" t="s">
        <v>280</v>
      </c>
      <c r="AV1626" t="s">
        <v>281</v>
      </c>
      <c r="AW1626" t="s">
        <v>222</v>
      </c>
      <c r="AX1626" s="8" t="str">
        <f>"01701"</f>
        <v>01701</v>
      </c>
      <c r="AY1626" t="s">
        <v>118</v>
      </c>
      <c r="BA1626" s="10">
        <v>16179399444</v>
      </c>
      <c r="BC1626" t="s">
        <v>282</v>
      </c>
      <c r="BD1626" t="s">
        <v>283</v>
      </c>
      <c r="BE1626" t="s">
        <v>222</v>
      </c>
      <c r="BF1626" t="s">
        <v>284</v>
      </c>
      <c r="BG1626" t="s">
        <v>140</v>
      </c>
      <c r="BH1626" s="1">
        <v>45140.833333333336</v>
      </c>
      <c r="BI1626">
        <v>40</v>
      </c>
      <c r="BJ1626">
        <v>0</v>
      </c>
      <c r="BK1626">
        <v>8</v>
      </c>
      <c r="BL1626">
        <v>8</v>
      </c>
      <c r="BM1626">
        <v>8</v>
      </c>
      <c r="BN1626">
        <v>8</v>
      </c>
      <c r="BO1626">
        <v>8</v>
      </c>
      <c r="BP1626">
        <v>0</v>
      </c>
      <c r="BQ1626" t="str">
        <f>"9:00 AM"</f>
        <v>9:00 AM</v>
      </c>
      <c r="BR1626" t="str">
        <f>"5:00 PM"</f>
        <v>5:00 PM</v>
      </c>
      <c r="BS1626" t="s">
        <v>131</v>
      </c>
      <c r="BT1626">
        <v>0</v>
      </c>
      <c r="BU1626">
        <v>3</v>
      </c>
      <c r="BV1626" t="s">
        <v>114</v>
      </c>
      <c r="BX1626" s="2" t="s">
        <v>19325</v>
      </c>
      <c r="BY1626" t="s">
        <v>6564</v>
      </c>
      <c r="CA1626" t="s">
        <v>1614</v>
      </c>
      <c r="CB1626" t="s">
        <v>140</v>
      </c>
      <c r="CC1626" s="8" t="str">
        <f>"34108"</f>
        <v>34108</v>
      </c>
      <c r="CD1626" t="s">
        <v>1619</v>
      </c>
      <c r="CE1626" t="s">
        <v>1620</v>
      </c>
      <c r="CF1626" s="12">
        <v>17.260000000000002</v>
      </c>
      <c r="CH1626" s="12">
        <v>25.89</v>
      </c>
      <c r="CJ1626" t="s">
        <v>135</v>
      </c>
      <c r="CK1626" t="s">
        <v>19326</v>
      </c>
      <c r="CL1626" t="s">
        <v>19327</v>
      </c>
      <c r="CO1626" t="s">
        <v>132</v>
      </c>
      <c r="CP1626" t="s">
        <v>114</v>
      </c>
      <c r="CQ1626" t="s">
        <v>114</v>
      </c>
      <c r="CR1626" t="s">
        <v>136</v>
      </c>
      <c r="CS1626" t="s">
        <v>136</v>
      </c>
      <c r="CT1626" t="s">
        <v>136</v>
      </c>
      <c r="CU1626" t="s">
        <v>136</v>
      </c>
      <c r="CV1626" t="s">
        <v>6570</v>
      </c>
      <c r="CW1626" s="10" t="str">
        <f>"+12394494563"</f>
        <v>+12394494563</v>
      </c>
      <c r="CX1626" t="s">
        <v>6571</v>
      </c>
      <c r="CY1626" t="s">
        <v>132</v>
      </c>
      <c r="CZ1626" t="s">
        <v>137</v>
      </c>
      <c r="DA1626" t="s">
        <v>114</v>
      </c>
      <c r="DB1626" t="s">
        <v>114</v>
      </c>
      <c r="DC1626" t="s">
        <v>136</v>
      </c>
      <c r="DD1626" t="s">
        <v>114</v>
      </c>
    </row>
    <row r="1627" spans="1:108" ht="15" customHeight="1" x14ac:dyDescent="0.25">
      <c r="A1627" t="s">
        <v>10530</v>
      </c>
      <c r="B1627" t="s">
        <v>152</v>
      </c>
      <c r="C1627" s="1">
        <v>45141.683877083335</v>
      </c>
      <c r="D1627" s="1">
        <v>45204</v>
      </c>
      <c r="E1627" t="s">
        <v>136</v>
      </c>
      <c r="F1627" t="s">
        <v>293</v>
      </c>
      <c r="G1627" t="str">
        <f>"37-2012.00"</f>
        <v>37-2012.00</v>
      </c>
      <c r="H1627" t="s">
        <v>205</v>
      </c>
      <c r="I1627">
        <v>35</v>
      </c>
      <c r="J1627">
        <v>35</v>
      </c>
      <c r="K1627" s="1">
        <v>45231</v>
      </c>
      <c r="L1627" s="1">
        <v>45410</v>
      </c>
      <c r="M1627" s="1">
        <v>45231</v>
      </c>
      <c r="N1627" s="1">
        <v>45410</v>
      </c>
      <c r="O1627" t="s">
        <v>116</v>
      </c>
      <c r="P1627" t="s">
        <v>8997</v>
      </c>
      <c r="Q1627" t="s">
        <v>8998</v>
      </c>
      <c r="R1627" t="s">
        <v>8999</v>
      </c>
      <c r="T1627" t="s">
        <v>9000</v>
      </c>
      <c r="U1627" t="s">
        <v>211</v>
      </c>
      <c r="V1627" s="8" t="str">
        <f>"84092"</f>
        <v>84092</v>
      </c>
      <c r="W1627" t="s">
        <v>118</v>
      </c>
      <c r="Y1627" s="10">
        <v>18019478240</v>
      </c>
      <c r="AA1627">
        <v>721110</v>
      </c>
      <c r="AB1627" t="s">
        <v>9001</v>
      </c>
      <c r="AC1627" t="s">
        <v>9002</v>
      </c>
      <c r="AE1627" t="s">
        <v>9003</v>
      </c>
      <c r="AF1627" t="s">
        <v>8999</v>
      </c>
      <c r="AH1627" t="s">
        <v>9000</v>
      </c>
      <c r="AI1627" t="s">
        <v>211</v>
      </c>
      <c r="AJ1627" s="8" t="str">
        <f>"84092"</f>
        <v>84092</v>
      </c>
      <c r="AK1627" t="s">
        <v>118</v>
      </c>
      <c r="AM1627" s="10">
        <v>18019478240</v>
      </c>
      <c r="AO1627" t="s">
        <v>9004</v>
      </c>
      <c r="AP1627" t="s">
        <v>121</v>
      </c>
      <c r="AQ1627" t="s">
        <v>276</v>
      </c>
      <c r="AR1627" t="s">
        <v>277</v>
      </c>
      <c r="AS1627" t="s">
        <v>278</v>
      </c>
      <c r="AT1627" t="s">
        <v>279</v>
      </c>
      <c r="AU1627" t="s">
        <v>280</v>
      </c>
      <c r="AV1627" t="s">
        <v>281</v>
      </c>
      <c r="AW1627" t="s">
        <v>222</v>
      </c>
      <c r="AX1627" s="8" t="str">
        <f>"01701"</f>
        <v>01701</v>
      </c>
      <c r="AY1627" t="s">
        <v>118</v>
      </c>
      <c r="BA1627" s="10">
        <v>16179399444</v>
      </c>
      <c r="BC1627" t="s">
        <v>282</v>
      </c>
      <c r="BD1627" t="s">
        <v>283</v>
      </c>
      <c r="BE1627" t="s">
        <v>222</v>
      </c>
      <c r="BF1627" t="s">
        <v>284</v>
      </c>
      <c r="BG1627" t="s">
        <v>211</v>
      </c>
      <c r="BH1627" s="1">
        <v>45140.833333333336</v>
      </c>
      <c r="BI1627">
        <v>35</v>
      </c>
      <c r="BJ1627">
        <v>0</v>
      </c>
      <c r="BK1627">
        <v>7</v>
      </c>
      <c r="BL1627">
        <v>7</v>
      </c>
      <c r="BM1627">
        <v>7</v>
      </c>
      <c r="BN1627">
        <v>7</v>
      </c>
      <c r="BO1627">
        <v>7</v>
      </c>
      <c r="BP1627">
        <v>0</v>
      </c>
      <c r="BQ1627" t="str">
        <f>"8:00 AM"</f>
        <v>8:00 AM</v>
      </c>
      <c r="BR1627" t="str">
        <f>"3:00 PM"</f>
        <v>3:00 PM</v>
      </c>
      <c r="BS1627" t="s">
        <v>131</v>
      </c>
      <c r="BT1627">
        <v>0</v>
      </c>
      <c r="BU1627">
        <v>0</v>
      </c>
      <c r="BV1627" t="s">
        <v>114</v>
      </c>
      <c r="BX1627" t="s">
        <v>132</v>
      </c>
      <c r="BY1627" t="s">
        <v>8999</v>
      </c>
      <c r="CA1627" t="s">
        <v>9000</v>
      </c>
      <c r="CB1627" t="s">
        <v>211</v>
      </c>
      <c r="CC1627" s="8" t="str">
        <f>"84092"</f>
        <v>84092</v>
      </c>
      <c r="CD1627" t="s">
        <v>1567</v>
      </c>
      <c r="CE1627" t="s">
        <v>1568</v>
      </c>
      <c r="CF1627" s="12">
        <v>19.5</v>
      </c>
      <c r="CG1627" s="12">
        <v>21.5</v>
      </c>
      <c r="CH1627" s="12">
        <v>29.25</v>
      </c>
      <c r="CI1627" s="12">
        <v>32.25</v>
      </c>
      <c r="CJ1627" t="s">
        <v>135</v>
      </c>
      <c r="CK1627" t="s">
        <v>10531</v>
      </c>
      <c r="CL1627" t="s">
        <v>10532</v>
      </c>
      <c r="CO1627" t="s">
        <v>132</v>
      </c>
      <c r="CP1627" t="s">
        <v>114</v>
      </c>
      <c r="CQ1627" t="s">
        <v>136</v>
      </c>
      <c r="CR1627" t="s">
        <v>136</v>
      </c>
      <c r="CS1627" t="s">
        <v>136</v>
      </c>
      <c r="CT1627" t="s">
        <v>136</v>
      </c>
      <c r="CU1627" t="s">
        <v>114</v>
      </c>
      <c r="CV1627" s="2" t="s">
        <v>9007</v>
      </c>
      <c r="CW1627" s="10" t="str">
        <f>"+18019478240"</f>
        <v>+18019478240</v>
      </c>
      <c r="CX1627" t="s">
        <v>9004</v>
      </c>
      <c r="CY1627" t="s">
        <v>132</v>
      </c>
      <c r="CZ1627" t="s">
        <v>137</v>
      </c>
      <c r="DA1627" t="s">
        <v>114</v>
      </c>
      <c r="DB1627" t="s">
        <v>114</v>
      </c>
      <c r="DC1627" t="s">
        <v>136</v>
      </c>
      <c r="DD1627" t="s">
        <v>114</v>
      </c>
    </row>
    <row r="1628" spans="1:108" ht="15" customHeight="1" x14ac:dyDescent="0.25">
      <c r="A1628" t="s">
        <v>15883</v>
      </c>
      <c r="B1628" t="s">
        <v>152</v>
      </c>
      <c r="C1628" s="1">
        <v>45141.682305092596</v>
      </c>
      <c r="D1628" s="1">
        <v>45204</v>
      </c>
      <c r="E1628" t="s">
        <v>136</v>
      </c>
      <c r="F1628" t="s">
        <v>9383</v>
      </c>
      <c r="G1628" t="str">
        <f>"35-1012.00"</f>
        <v>35-1012.00</v>
      </c>
      <c r="H1628" t="s">
        <v>2122</v>
      </c>
      <c r="I1628">
        <v>3</v>
      </c>
      <c r="J1628">
        <v>3</v>
      </c>
      <c r="K1628" s="1">
        <v>45231</v>
      </c>
      <c r="L1628" s="1">
        <v>45410</v>
      </c>
      <c r="M1628" s="1">
        <v>45231</v>
      </c>
      <c r="N1628" s="1">
        <v>45410</v>
      </c>
      <c r="O1628" t="s">
        <v>116</v>
      </c>
      <c r="P1628" t="s">
        <v>8997</v>
      </c>
      <c r="Q1628" t="s">
        <v>8998</v>
      </c>
      <c r="R1628" t="s">
        <v>8999</v>
      </c>
      <c r="T1628" t="s">
        <v>9000</v>
      </c>
      <c r="U1628" t="s">
        <v>211</v>
      </c>
      <c r="V1628" s="8" t="str">
        <f>"84092"</f>
        <v>84092</v>
      </c>
      <c r="W1628" t="s">
        <v>118</v>
      </c>
      <c r="Y1628" s="10">
        <v>18019478240</v>
      </c>
      <c r="AA1628">
        <v>721110</v>
      </c>
      <c r="AB1628" t="s">
        <v>9001</v>
      </c>
      <c r="AC1628" t="s">
        <v>9002</v>
      </c>
      <c r="AE1628" t="s">
        <v>9003</v>
      </c>
      <c r="AF1628" t="s">
        <v>8999</v>
      </c>
      <c r="AH1628" t="s">
        <v>9000</v>
      </c>
      <c r="AI1628" t="s">
        <v>211</v>
      </c>
      <c r="AJ1628" s="8" t="str">
        <f>"84092"</f>
        <v>84092</v>
      </c>
      <c r="AK1628" t="s">
        <v>118</v>
      </c>
      <c r="AM1628" s="10">
        <v>18019478240</v>
      </c>
      <c r="AO1628" t="s">
        <v>9004</v>
      </c>
      <c r="AP1628" t="s">
        <v>121</v>
      </c>
      <c r="AQ1628" t="s">
        <v>276</v>
      </c>
      <c r="AR1628" t="s">
        <v>277</v>
      </c>
      <c r="AS1628" t="s">
        <v>278</v>
      </c>
      <c r="AT1628" t="s">
        <v>279</v>
      </c>
      <c r="AU1628" t="s">
        <v>280</v>
      </c>
      <c r="AV1628" t="s">
        <v>281</v>
      </c>
      <c r="AW1628" t="s">
        <v>222</v>
      </c>
      <c r="AX1628" s="8" t="str">
        <f>"01701"</f>
        <v>01701</v>
      </c>
      <c r="AY1628" t="s">
        <v>118</v>
      </c>
      <c r="BA1628" s="10">
        <v>16179399444</v>
      </c>
      <c r="BC1628" t="s">
        <v>282</v>
      </c>
      <c r="BD1628" t="s">
        <v>283</v>
      </c>
      <c r="BE1628" t="s">
        <v>222</v>
      </c>
      <c r="BF1628" t="s">
        <v>284</v>
      </c>
      <c r="BG1628" t="s">
        <v>211</v>
      </c>
      <c r="BH1628" s="1">
        <v>45140.833333333336</v>
      </c>
      <c r="BI1628">
        <v>35</v>
      </c>
      <c r="BJ1628">
        <v>0</v>
      </c>
      <c r="BK1628">
        <v>7</v>
      </c>
      <c r="BL1628">
        <v>7</v>
      </c>
      <c r="BM1628">
        <v>7</v>
      </c>
      <c r="BN1628">
        <v>7</v>
      </c>
      <c r="BO1628">
        <v>7</v>
      </c>
      <c r="BP1628">
        <v>0</v>
      </c>
      <c r="BQ1628" t="str">
        <f>"6:00 AM"</f>
        <v>6:00 AM</v>
      </c>
      <c r="BR1628" t="str">
        <f>"1:00 PM"</f>
        <v>1:00 PM</v>
      </c>
      <c r="BS1628" t="s">
        <v>131</v>
      </c>
      <c r="BT1628">
        <v>0</v>
      </c>
      <c r="BU1628">
        <v>6</v>
      </c>
      <c r="BV1628" t="s">
        <v>136</v>
      </c>
      <c r="BW1628">
        <v>15</v>
      </c>
      <c r="BX1628" s="2" t="s">
        <v>15884</v>
      </c>
      <c r="BY1628" t="s">
        <v>8999</v>
      </c>
      <c r="CA1628" t="s">
        <v>9000</v>
      </c>
      <c r="CB1628" t="s">
        <v>211</v>
      </c>
      <c r="CC1628" s="8" t="str">
        <f>"84092"</f>
        <v>84092</v>
      </c>
      <c r="CD1628" t="s">
        <v>1567</v>
      </c>
      <c r="CE1628" t="s">
        <v>1568</v>
      </c>
      <c r="CF1628" s="12">
        <v>22</v>
      </c>
      <c r="CG1628" s="12">
        <v>23</v>
      </c>
      <c r="CH1628" s="12">
        <v>33</v>
      </c>
      <c r="CI1628" s="12">
        <v>34.5</v>
      </c>
      <c r="CJ1628" t="s">
        <v>135</v>
      </c>
      <c r="CK1628" t="s">
        <v>15885</v>
      </c>
      <c r="CL1628" t="s">
        <v>15886</v>
      </c>
      <c r="CO1628" t="s">
        <v>132</v>
      </c>
      <c r="CP1628" t="s">
        <v>114</v>
      </c>
      <c r="CQ1628" t="s">
        <v>136</v>
      </c>
      <c r="CR1628" t="s">
        <v>136</v>
      </c>
      <c r="CS1628" t="s">
        <v>136</v>
      </c>
      <c r="CT1628" t="s">
        <v>136</v>
      </c>
      <c r="CU1628" t="s">
        <v>114</v>
      </c>
      <c r="CV1628" s="2" t="s">
        <v>9007</v>
      </c>
      <c r="CW1628" s="10" t="str">
        <f>"+18019478240"</f>
        <v>+18019478240</v>
      </c>
      <c r="CX1628" t="s">
        <v>9004</v>
      </c>
      <c r="CY1628" t="s">
        <v>132</v>
      </c>
      <c r="CZ1628" t="s">
        <v>137</v>
      </c>
      <c r="DA1628" t="s">
        <v>114</v>
      </c>
      <c r="DB1628" t="s">
        <v>114</v>
      </c>
      <c r="DC1628" t="s">
        <v>136</v>
      </c>
      <c r="DD1628" t="s">
        <v>114</v>
      </c>
    </row>
    <row r="1629" spans="1:108" ht="15" customHeight="1" x14ac:dyDescent="0.25">
      <c r="A1629" t="s">
        <v>16808</v>
      </c>
      <c r="B1629" t="s">
        <v>152</v>
      </c>
      <c r="C1629" s="1">
        <v>45141.664487268521</v>
      </c>
      <c r="D1629" s="1">
        <v>45204</v>
      </c>
      <c r="E1629" t="s">
        <v>136</v>
      </c>
      <c r="F1629" t="s">
        <v>1059</v>
      </c>
      <c r="G1629" t="str">
        <f>"35-2014.00"</f>
        <v>35-2014.00</v>
      </c>
      <c r="H1629" t="s">
        <v>154</v>
      </c>
      <c r="I1629">
        <v>10</v>
      </c>
      <c r="J1629">
        <v>10</v>
      </c>
      <c r="K1629" s="1">
        <v>45231</v>
      </c>
      <c r="L1629" s="1">
        <v>45473</v>
      </c>
      <c r="M1629" s="1">
        <v>45231</v>
      </c>
      <c r="N1629" s="1">
        <v>45473</v>
      </c>
      <c r="O1629" t="s">
        <v>116</v>
      </c>
      <c r="P1629" t="s">
        <v>8603</v>
      </c>
      <c r="Q1629" t="s">
        <v>8604</v>
      </c>
      <c r="R1629" t="s">
        <v>8605</v>
      </c>
      <c r="T1629" t="s">
        <v>1614</v>
      </c>
      <c r="U1629" t="s">
        <v>140</v>
      </c>
      <c r="V1629" s="8" t="str">
        <f>"34108"</f>
        <v>34108</v>
      </c>
      <c r="W1629" t="s">
        <v>118</v>
      </c>
      <c r="Y1629" s="10">
        <v>12395985102</v>
      </c>
      <c r="AA1629">
        <v>721110</v>
      </c>
      <c r="AB1629" t="s">
        <v>8606</v>
      </c>
      <c r="AC1629" t="s">
        <v>7795</v>
      </c>
      <c r="AD1629" t="s">
        <v>826</v>
      </c>
      <c r="AE1629" t="s">
        <v>4687</v>
      </c>
      <c r="AF1629" t="s">
        <v>8605</v>
      </c>
      <c r="AH1629" t="s">
        <v>1614</v>
      </c>
      <c r="AI1629" t="s">
        <v>140</v>
      </c>
      <c r="AJ1629" s="8" t="str">
        <f>"34108"</f>
        <v>34108</v>
      </c>
      <c r="AK1629" t="s">
        <v>118</v>
      </c>
      <c r="AM1629" s="10">
        <v>12395985708</v>
      </c>
      <c r="AO1629" t="s">
        <v>8607</v>
      </c>
      <c r="AP1629" t="s">
        <v>121</v>
      </c>
      <c r="AQ1629" t="s">
        <v>276</v>
      </c>
      <c r="AR1629" t="s">
        <v>277</v>
      </c>
      <c r="AS1629" t="s">
        <v>278</v>
      </c>
      <c r="AT1629" t="s">
        <v>279</v>
      </c>
      <c r="AU1629" t="s">
        <v>280</v>
      </c>
      <c r="AV1629" t="s">
        <v>281</v>
      </c>
      <c r="AW1629" t="s">
        <v>222</v>
      </c>
      <c r="AX1629" s="8" t="str">
        <f>"01701"</f>
        <v>01701</v>
      </c>
      <c r="AY1629" t="s">
        <v>118</v>
      </c>
      <c r="BA1629" s="10">
        <v>16179399444</v>
      </c>
      <c r="BC1629" t="s">
        <v>282</v>
      </c>
      <c r="BD1629" t="s">
        <v>283</v>
      </c>
      <c r="BE1629" t="s">
        <v>222</v>
      </c>
      <c r="BF1629" t="s">
        <v>284</v>
      </c>
      <c r="BG1629" t="s">
        <v>140</v>
      </c>
      <c r="BH1629" s="1">
        <v>45140.833333333336</v>
      </c>
      <c r="BI1629">
        <v>40</v>
      </c>
      <c r="BJ1629">
        <v>0</v>
      </c>
      <c r="BK1629">
        <v>8</v>
      </c>
      <c r="BL1629">
        <v>8</v>
      </c>
      <c r="BM1629">
        <v>8</v>
      </c>
      <c r="BN1629">
        <v>8</v>
      </c>
      <c r="BO1629">
        <v>8</v>
      </c>
      <c r="BP1629">
        <v>0</v>
      </c>
      <c r="BQ1629" t="str">
        <f>"6:00 AM"</f>
        <v>6:00 AM</v>
      </c>
      <c r="BR1629" t="str">
        <f>"2:00 PM"</f>
        <v>2:00 PM</v>
      </c>
      <c r="BS1629" t="s">
        <v>131</v>
      </c>
      <c r="BT1629">
        <v>0</v>
      </c>
      <c r="BU1629">
        <v>6</v>
      </c>
      <c r="BV1629" t="s">
        <v>114</v>
      </c>
      <c r="BX1629" s="2" t="s">
        <v>10663</v>
      </c>
      <c r="BY1629" t="s">
        <v>8605</v>
      </c>
      <c r="CA1629" t="s">
        <v>1614</v>
      </c>
      <c r="CB1629" t="s">
        <v>140</v>
      </c>
      <c r="CC1629" s="8" t="str">
        <f>"34108"</f>
        <v>34108</v>
      </c>
      <c r="CD1629" t="s">
        <v>1619</v>
      </c>
      <c r="CE1629" t="s">
        <v>1620</v>
      </c>
      <c r="CF1629" s="12">
        <v>17.22</v>
      </c>
      <c r="CG1629" s="12">
        <v>22</v>
      </c>
      <c r="CH1629" s="12">
        <v>25.83</v>
      </c>
      <c r="CI1629" s="12">
        <v>33</v>
      </c>
      <c r="CJ1629" t="s">
        <v>135</v>
      </c>
      <c r="CK1629" t="s">
        <v>16809</v>
      </c>
      <c r="CL1629" t="s">
        <v>16810</v>
      </c>
      <c r="CO1629" t="s">
        <v>132</v>
      </c>
      <c r="CP1629" t="s">
        <v>114</v>
      </c>
      <c r="CQ1629" t="s">
        <v>136</v>
      </c>
      <c r="CR1629" t="s">
        <v>136</v>
      </c>
      <c r="CS1629" t="s">
        <v>114</v>
      </c>
      <c r="CT1629" t="s">
        <v>136</v>
      </c>
      <c r="CU1629" t="s">
        <v>136</v>
      </c>
      <c r="CV1629" t="s">
        <v>16811</v>
      </c>
      <c r="CW1629" s="10" t="str">
        <f>"+12395985708"</f>
        <v>+12395985708</v>
      </c>
      <c r="CX1629" t="s">
        <v>8607</v>
      </c>
      <c r="CY1629" t="s">
        <v>132</v>
      </c>
      <c r="CZ1629" t="s">
        <v>137</v>
      </c>
      <c r="DA1629" t="s">
        <v>114</v>
      </c>
      <c r="DB1629" t="s">
        <v>114</v>
      </c>
      <c r="DC1629" t="s">
        <v>136</v>
      </c>
      <c r="DD1629" t="s">
        <v>114</v>
      </c>
    </row>
    <row r="1630" spans="1:108" ht="15" customHeight="1" x14ac:dyDescent="0.25">
      <c r="A1630" t="s">
        <v>13422</v>
      </c>
      <c r="B1630" t="s">
        <v>152</v>
      </c>
      <c r="C1630" s="1">
        <v>45141.662481944448</v>
      </c>
      <c r="D1630" s="1">
        <v>45204</v>
      </c>
      <c r="E1630" t="s">
        <v>136</v>
      </c>
      <c r="F1630" t="s">
        <v>293</v>
      </c>
      <c r="G1630" t="str">
        <f>"37-2012.00"</f>
        <v>37-2012.00</v>
      </c>
      <c r="H1630" t="s">
        <v>205</v>
      </c>
      <c r="I1630">
        <v>3</v>
      </c>
      <c r="J1630">
        <v>3</v>
      </c>
      <c r="K1630" s="1">
        <v>45231</v>
      </c>
      <c r="L1630" s="1">
        <v>45412</v>
      </c>
      <c r="M1630" s="1">
        <v>45231</v>
      </c>
      <c r="N1630" s="1">
        <v>45412</v>
      </c>
      <c r="O1630" t="s">
        <v>116</v>
      </c>
      <c r="P1630" t="s">
        <v>13423</v>
      </c>
      <c r="Q1630" t="s">
        <v>13424</v>
      </c>
      <c r="R1630" t="s">
        <v>13425</v>
      </c>
      <c r="T1630" t="s">
        <v>518</v>
      </c>
      <c r="U1630" t="s">
        <v>402</v>
      </c>
      <c r="V1630" s="8" t="str">
        <f>"90027"</f>
        <v>90027</v>
      </c>
      <c r="W1630" t="s">
        <v>118</v>
      </c>
      <c r="Y1630" s="10">
        <v>18006006000</v>
      </c>
      <c r="AA1630">
        <v>721110</v>
      </c>
      <c r="AB1630" t="s">
        <v>13426</v>
      </c>
      <c r="AC1630" t="s">
        <v>1328</v>
      </c>
      <c r="AE1630" t="s">
        <v>2183</v>
      </c>
      <c r="AF1630" t="s">
        <v>13425</v>
      </c>
      <c r="AH1630" t="s">
        <v>518</v>
      </c>
      <c r="AI1630" t="s">
        <v>402</v>
      </c>
      <c r="AJ1630" s="8" t="str">
        <f>"90027"</f>
        <v>90027</v>
      </c>
      <c r="AK1630" t="s">
        <v>118</v>
      </c>
      <c r="AM1630" s="10">
        <v>18006006000</v>
      </c>
      <c r="AO1630" t="s">
        <v>13427</v>
      </c>
      <c r="AP1630" t="s">
        <v>121</v>
      </c>
      <c r="AQ1630" t="s">
        <v>276</v>
      </c>
      <c r="AR1630" t="s">
        <v>277</v>
      </c>
      <c r="AS1630" t="s">
        <v>278</v>
      </c>
      <c r="AT1630" t="s">
        <v>279</v>
      </c>
      <c r="AU1630" t="s">
        <v>280</v>
      </c>
      <c r="AV1630" t="s">
        <v>281</v>
      </c>
      <c r="AW1630" t="s">
        <v>222</v>
      </c>
      <c r="AX1630" s="8" t="str">
        <f>"01701"</f>
        <v>01701</v>
      </c>
      <c r="AY1630" t="s">
        <v>118</v>
      </c>
      <c r="BA1630" s="10">
        <v>16179399444</v>
      </c>
      <c r="BC1630" t="s">
        <v>282</v>
      </c>
      <c r="BD1630" t="s">
        <v>283</v>
      </c>
      <c r="BE1630" t="s">
        <v>222</v>
      </c>
      <c r="BF1630" t="s">
        <v>284</v>
      </c>
      <c r="BG1630" t="s">
        <v>402</v>
      </c>
      <c r="BH1630" s="1">
        <v>45140.833333333336</v>
      </c>
      <c r="BI1630">
        <v>40</v>
      </c>
      <c r="BJ1630">
        <v>0</v>
      </c>
      <c r="BK1630">
        <v>8</v>
      </c>
      <c r="BL1630">
        <v>8</v>
      </c>
      <c r="BM1630">
        <v>8</v>
      </c>
      <c r="BN1630">
        <v>8</v>
      </c>
      <c r="BO1630">
        <v>8</v>
      </c>
      <c r="BP1630">
        <v>0</v>
      </c>
      <c r="BQ1630" t="str">
        <f>"9:00 AM"</f>
        <v>9:00 AM</v>
      </c>
      <c r="BR1630" t="str">
        <f>"5:00 PM"</f>
        <v>5:00 PM</v>
      </c>
      <c r="BS1630" t="s">
        <v>131</v>
      </c>
      <c r="BT1630">
        <v>0</v>
      </c>
      <c r="BU1630">
        <v>3</v>
      </c>
      <c r="BV1630" t="s">
        <v>114</v>
      </c>
      <c r="BX1630" s="2" t="s">
        <v>13428</v>
      </c>
      <c r="BY1630" t="s">
        <v>13429</v>
      </c>
      <c r="CA1630" t="s">
        <v>13430</v>
      </c>
      <c r="CB1630" t="s">
        <v>402</v>
      </c>
      <c r="CC1630" s="8" t="str">
        <f>"92315"</f>
        <v>92315</v>
      </c>
      <c r="CD1630" t="s">
        <v>4483</v>
      </c>
      <c r="CE1630" t="s">
        <v>4484</v>
      </c>
      <c r="CF1630" s="12">
        <v>18</v>
      </c>
      <c r="CH1630" s="12">
        <v>27</v>
      </c>
      <c r="CJ1630" t="s">
        <v>135</v>
      </c>
      <c r="CK1630" t="s">
        <v>13431</v>
      </c>
      <c r="CL1630" t="s">
        <v>13432</v>
      </c>
      <c r="CO1630" t="s">
        <v>132</v>
      </c>
      <c r="CP1630" t="s">
        <v>114</v>
      </c>
      <c r="CQ1630" t="s">
        <v>136</v>
      </c>
      <c r="CR1630" t="s">
        <v>136</v>
      </c>
      <c r="CS1630" t="s">
        <v>136</v>
      </c>
      <c r="CT1630" t="s">
        <v>136</v>
      </c>
      <c r="CU1630" t="s">
        <v>136</v>
      </c>
      <c r="CV1630" s="2" t="s">
        <v>13433</v>
      </c>
      <c r="CW1630" s="10" t="str">
        <f>"+18189037082"</f>
        <v>+18189037082</v>
      </c>
      <c r="CX1630" t="s">
        <v>13427</v>
      </c>
      <c r="CY1630" t="s">
        <v>132</v>
      </c>
      <c r="CZ1630" t="s">
        <v>137</v>
      </c>
      <c r="DA1630" t="s">
        <v>114</v>
      </c>
      <c r="DB1630" t="s">
        <v>114</v>
      </c>
      <c r="DC1630" t="s">
        <v>136</v>
      </c>
      <c r="DD1630" t="s">
        <v>114</v>
      </c>
    </row>
    <row r="1631" spans="1:108" ht="15" customHeight="1" x14ac:dyDescent="0.25">
      <c r="A1631" t="s">
        <v>14199</v>
      </c>
      <c r="B1631" t="s">
        <v>152</v>
      </c>
      <c r="C1631" s="1">
        <v>45141.638755555556</v>
      </c>
      <c r="D1631" s="1">
        <v>45204</v>
      </c>
      <c r="E1631" t="s">
        <v>114</v>
      </c>
      <c r="F1631" t="s">
        <v>944</v>
      </c>
      <c r="G1631" t="str">
        <f>"49-9098.00"</f>
        <v>49-9098.00</v>
      </c>
      <c r="H1631" t="s">
        <v>945</v>
      </c>
      <c r="I1631">
        <v>8</v>
      </c>
      <c r="J1631">
        <v>8</v>
      </c>
      <c r="K1631" s="1">
        <v>45231</v>
      </c>
      <c r="L1631" s="1">
        <v>45383</v>
      </c>
      <c r="M1631" s="1">
        <v>45231</v>
      </c>
      <c r="N1631" s="1">
        <v>45383</v>
      </c>
      <c r="O1631" t="s">
        <v>238</v>
      </c>
      <c r="P1631" t="s">
        <v>14200</v>
      </c>
      <c r="R1631" t="s">
        <v>14201</v>
      </c>
      <c r="T1631" t="s">
        <v>13754</v>
      </c>
      <c r="U1631" t="s">
        <v>434</v>
      </c>
      <c r="V1631" s="8" t="str">
        <f>"19330"</f>
        <v>19330</v>
      </c>
      <c r="W1631" t="s">
        <v>118</v>
      </c>
      <c r="Y1631" s="10">
        <v>16104969856</v>
      </c>
      <c r="Z1631" s="3" t="s">
        <v>256</v>
      </c>
      <c r="AA1631">
        <v>71119</v>
      </c>
      <c r="AB1631" t="s">
        <v>13755</v>
      </c>
      <c r="AC1631" t="s">
        <v>250</v>
      </c>
      <c r="AE1631" t="s">
        <v>561</v>
      </c>
      <c r="AF1631" t="s">
        <v>14202</v>
      </c>
      <c r="AH1631" t="s">
        <v>13754</v>
      </c>
      <c r="AI1631" t="s">
        <v>434</v>
      </c>
      <c r="AJ1631" s="8" t="str">
        <f>"19330"</f>
        <v>19330</v>
      </c>
      <c r="AK1631" t="s">
        <v>118</v>
      </c>
      <c r="AM1631" s="10">
        <v>18104969455</v>
      </c>
      <c r="AN1631" s="3" t="s">
        <v>256</v>
      </c>
      <c r="AO1631" t="s">
        <v>14203</v>
      </c>
      <c r="AP1631" t="s">
        <v>248</v>
      </c>
      <c r="AQ1631" t="s">
        <v>249</v>
      </c>
      <c r="AR1631" t="s">
        <v>250</v>
      </c>
      <c r="AS1631" t="s">
        <v>251</v>
      </c>
      <c r="AT1631" t="s">
        <v>252</v>
      </c>
      <c r="AU1631" t="s">
        <v>253</v>
      </c>
      <c r="AV1631" t="s">
        <v>254</v>
      </c>
      <c r="AW1631" t="s">
        <v>127</v>
      </c>
      <c r="AX1631" s="8" t="str">
        <f>"78550"</f>
        <v>78550</v>
      </c>
      <c r="AY1631" t="s">
        <v>118</v>
      </c>
      <c r="AZ1631" t="s">
        <v>255</v>
      </c>
      <c r="BA1631" s="10">
        <v>19564408720</v>
      </c>
      <c r="BB1631" s="3" t="s">
        <v>256</v>
      </c>
      <c r="BC1631" t="s">
        <v>338</v>
      </c>
      <c r="BD1631" t="s">
        <v>258</v>
      </c>
      <c r="BG1631" t="s">
        <v>434</v>
      </c>
      <c r="BH1631" s="1">
        <v>45140.833333333336</v>
      </c>
      <c r="BI1631">
        <v>40</v>
      </c>
      <c r="BJ1631">
        <v>0</v>
      </c>
      <c r="BK1631">
        <v>8</v>
      </c>
      <c r="BL1631">
        <v>8</v>
      </c>
      <c r="BM1631">
        <v>8</v>
      </c>
      <c r="BN1631">
        <v>8</v>
      </c>
      <c r="BO1631">
        <v>8</v>
      </c>
      <c r="BP1631">
        <v>0</v>
      </c>
      <c r="BQ1631" t="str">
        <f>"8:00 AM"</f>
        <v>8:00 AM</v>
      </c>
      <c r="BR1631" t="str">
        <f>"5:00 PM"</f>
        <v>5:00 PM</v>
      </c>
      <c r="BS1631" t="s">
        <v>131</v>
      </c>
      <c r="BT1631">
        <v>0</v>
      </c>
      <c r="BU1631">
        <v>0</v>
      </c>
      <c r="BV1631" t="s">
        <v>114</v>
      </c>
      <c r="BX1631" s="2" t="s">
        <v>2396</v>
      </c>
      <c r="BY1631" t="s">
        <v>14201</v>
      </c>
      <c r="CA1631" t="s">
        <v>13754</v>
      </c>
      <c r="CB1631" t="s">
        <v>434</v>
      </c>
      <c r="CC1631" s="8" t="str">
        <f>"19330"</f>
        <v>19330</v>
      </c>
      <c r="CD1631" t="s">
        <v>1781</v>
      </c>
      <c r="CE1631" t="s">
        <v>443</v>
      </c>
      <c r="CF1631" s="12">
        <v>16.510000000000002</v>
      </c>
      <c r="CG1631" s="12">
        <v>16.510000000000002</v>
      </c>
      <c r="CH1631" s="12">
        <v>0</v>
      </c>
      <c r="CI1631" s="12">
        <v>0</v>
      </c>
      <c r="CJ1631" t="s">
        <v>135</v>
      </c>
      <c r="CK1631" t="s">
        <v>342</v>
      </c>
      <c r="CL1631" t="s">
        <v>14204</v>
      </c>
      <c r="CO1631" t="s">
        <v>132</v>
      </c>
      <c r="CP1631" t="s">
        <v>114</v>
      </c>
      <c r="CQ1631" t="s">
        <v>136</v>
      </c>
      <c r="CR1631" t="s">
        <v>114</v>
      </c>
      <c r="CS1631" t="s">
        <v>136</v>
      </c>
      <c r="CT1631" t="s">
        <v>136</v>
      </c>
      <c r="CU1631" t="s">
        <v>136</v>
      </c>
      <c r="CV1631" t="s">
        <v>14205</v>
      </c>
      <c r="CW1631" s="10" t="str">
        <f>"+16104969455"</f>
        <v>+16104969455</v>
      </c>
      <c r="CX1631" t="s">
        <v>14203</v>
      </c>
      <c r="CY1631" t="s">
        <v>132</v>
      </c>
      <c r="CZ1631" t="s">
        <v>137</v>
      </c>
      <c r="DA1631" t="s">
        <v>114</v>
      </c>
      <c r="DB1631" t="s">
        <v>136</v>
      </c>
      <c r="DC1631" t="s">
        <v>136</v>
      </c>
      <c r="DD1631" t="s">
        <v>114</v>
      </c>
    </row>
    <row r="1632" spans="1:108" ht="15" customHeight="1" x14ac:dyDescent="0.25">
      <c r="A1632" t="s">
        <v>7082</v>
      </c>
      <c r="B1632" t="s">
        <v>152</v>
      </c>
      <c r="C1632" s="1">
        <v>45141.632115277775</v>
      </c>
      <c r="D1632" s="1">
        <v>45204</v>
      </c>
      <c r="E1632" t="s">
        <v>136</v>
      </c>
      <c r="F1632" t="s">
        <v>7083</v>
      </c>
      <c r="G1632" t="str">
        <f>"35-2014.00"</f>
        <v>35-2014.00</v>
      </c>
      <c r="H1632" t="s">
        <v>154</v>
      </c>
      <c r="I1632">
        <v>8</v>
      </c>
      <c r="J1632">
        <v>8</v>
      </c>
      <c r="K1632" s="1">
        <v>45231</v>
      </c>
      <c r="L1632" s="1">
        <v>45409</v>
      </c>
      <c r="M1632" s="1">
        <v>45231</v>
      </c>
      <c r="N1632" s="1">
        <v>45409</v>
      </c>
      <c r="O1632" t="s">
        <v>238</v>
      </c>
      <c r="P1632" t="s">
        <v>7084</v>
      </c>
      <c r="Q1632" t="s">
        <v>7085</v>
      </c>
      <c r="R1632" t="s">
        <v>7086</v>
      </c>
      <c r="T1632" t="s">
        <v>3170</v>
      </c>
      <c r="U1632" t="s">
        <v>2194</v>
      </c>
      <c r="V1632" s="8" t="str">
        <f>"03251"</f>
        <v>03251</v>
      </c>
      <c r="W1632" t="s">
        <v>118</v>
      </c>
      <c r="Y1632" s="10">
        <v>16037458111</v>
      </c>
      <c r="AA1632">
        <v>713920</v>
      </c>
      <c r="AB1632" t="s">
        <v>7087</v>
      </c>
      <c r="AC1632" t="s">
        <v>7088</v>
      </c>
      <c r="AE1632" t="s">
        <v>895</v>
      </c>
      <c r="AF1632" t="s">
        <v>7086</v>
      </c>
      <c r="AH1632" t="s">
        <v>3170</v>
      </c>
      <c r="AI1632" t="s">
        <v>2194</v>
      </c>
      <c r="AJ1632" s="8" t="str">
        <f>"03251"</f>
        <v>03251</v>
      </c>
      <c r="AK1632" t="s">
        <v>118</v>
      </c>
      <c r="AM1632" s="10">
        <v>16037458111</v>
      </c>
      <c r="AO1632" t="s">
        <v>7089</v>
      </c>
      <c r="AP1632" t="s">
        <v>121</v>
      </c>
      <c r="AQ1632" t="s">
        <v>276</v>
      </c>
      <c r="AR1632" t="s">
        <v>277</v>
      </c>
      <c r="AS1632" t="s">
        <v>278</v>
      </c>
      <c r="AT1632" t="s">
        <v>279</v>
      </c>
      <c r="AU1632" t="s">
        <v>280</v>
      </c>
      <c r="AV1632" t="s">
        <v>281</v>
      </c>
      <c r="AW1632" t="s">
        <v>222</v>
      </c>
      <c r="AX1632" s="8" t="str">
        <f>"01701"</f>
        <v>01701</v>
      </c>
      <c r="AY1632" t="s">
        <v>118</v>
      </c>
      <c r="BA1632" s="10">
        <v>16179399444</v>
      </c>
      <c r="BC1632" t="s">
        <v>282</v>
      </c>
      <c r="BD1632" t="s">
        <v>283</v>
      </c>
      <c r="BE1632" t="s">
        <v>222</v>
      </c>
      <c r="BF1632" t="s">
        <v>284</v>
      </c>
      <c r="BG1632" t="s">
        <v>2194</v>
      </c>
      <c r="BH1632" s="1">
        <v>45140.833333333336</v>
      </c>
      <c r="BI1632">
        <v>40</v>
      </c>
      <c r="BJ1632">
        <v>0</v>
      </c>
      <c r="BK1632">
        <v>8</v>
      </c>
      <c r="BL1632">
        <v>8</v>
      </c>
      <c r="BM1632">
        <v>8</v>
      </c>
      <c r="BN1632">
        <v>8</v>
      </c>
      <c r="BO1632">
        <v>8</v>
      </c>
      <c r="BP1632">
        <v>0</v>
      </c>
      <c r="BQ1632" t="str">
        <f>"7:00 AM"</f>
        <v>7:00 AM</v>
      </c>
      <c r="BR1632" t="str">
        <f>"3:00 PM"</f>
        <v>3:00 PM</v>
      </c>
      <c r="BS1632" t="s">
        <v>131</v>
      </c>
      <c r="BT1632">
        <v>0</v>
      </c>
      <c r="BU1632">
        <v>6</v>
      </c>
      <c r="BV1632" t="s">
        <v>114</v>
      </c>
      <c r="BX1632" s="2" t="s">
        <v>7090</v>
      </c>
      <c r="BY1632" t="s">
        <v>7086</v>
      </c>
      <c r="CA1632" t="s">
        <v>3170</v>
      </c>
      <c r="CB1632" t="s">
        <v>2194</v>
      </c>
      <c r="CC1632" s="8" t="str">
        <f>"03251"</f>
        <v>03251</v>
      </c>
      <c r="CD1632" t="s">
        <v>3924</v>
      </c>
      <c r="CE1632" t="s">
        <v>2365</v>
      </c>
      <c r="CF1632" s="12">
        <v>17.02</v>
      </c>
      <c r="CG1632" s="12">
        <v>20</v>
      </c>
      <c r="CH1632" s="12">
        <v>25.53</v>
      </c>
      <c r="CI1632" s="12">
        <v>30</v>
      </c>
      <c r="CJ1632" t="s">
        <v>135</v>
      </c>
      <c r="CK1632" t="s">
        <v>7091</v>
      </c>
      <c r="CL1632" t="s">
        <v>7092</v>
      </c>
      <c r="CO1632" t="s">
        <v>132</v>
      </c>
      <c r="CP1632" t="s">
        <v>114</v>
      </c>
      <c r="CQ1632" t="s">
        <v>136</v>
      </c>
      <c r="CR1632" t="s">
        <v>136</v>
      </c>
      <c r="CS1632" t="s">
        <v>136</v>
      </c>
      <c r="CT1632" t="s">
        <v>136</v>
      </c>
      <c r="CU1632" t="s">
        <v>136</v>
      </c>
      <c r="CV1632" s="2" t="s">
        <v>7093</v>
      </c>
      <c r="CW1632" s="10" t="str">
        <f>"+16037458111"</f>
        <v>+16037458111</v>
      </c>
      <c r="CX1632" t="s">
        <v>7094</v>
      </c>
      <c r="CY1632" t="s">
        <v>132</v>
      </c>
      <c r="CZ1632" t="s">
        <v>137</v>
      </c>
      <c r="DA1632" t="s">
        <v>114</v>
      </c>
      <c r="DB1632" t="s">
        <v>114</v>
      </c>
      <c r="DC1632" t="s">
        <v>136</v>
      </c>
      <c r="DD1632" t="s">
        <v>114</v>
      </c>
    </row>
    <row r="1633" spans="1:113" ht="15" customHeight="1" x14ac:dyDescent="0.25">
      <c r="A1633" t="s">
        <v>12889</v>
      </c>
      <c r="B1633" t="s">
        <v>152</v>
      </c>
      <c r="C1633" s="1">
        <v>45141.629155555558</v>
      </c>
      <c r="D1633" s="1">
        <v>45204</v>
      </c>
      <c r="E1633" t="s">
        <v>136</v>
      </c>
      <c r="F1633" t="s">
        <v>293</v>
      </c>
      <c r="G1633" t="str">
        <f>"37-2012.00"</f>
        <v>37-2012.00</v>
      </c>
      <c r="H1633" t="s">
        <v>205</v>
      </c>
      <c r="I1633">
        <v>5</v>
      </c>
      <c r="J1633">
        <v>5</v>
      </c>
      <c r="K1633" s="1">
        <v>45231</v>
      </c>
      <c r="L1633" s="1">
        <v>45504</v>
      </c>
      <c r="M1633" s="1">
        <v>45231</v>
      </c>
      <c r="N1633" s="1">
        <v>45504</v>
      </c>
      <c r="O1633" t="s">
        <v>116</v>
      </c>
      <c r="P1633" t="s">
        <v>12890</v>
      </c>
      <c r="Q1633" t="s">
        <v>11923</v>
      </c>
      <c r="R1633" t="s">
        <v>11924</v>
      </c>
      <c r="T1633" t="s">
        <v>11925</v>
      </c>
      <c r="U1633" t="s">
        <v>140</v>
      </c>
      <c r="V1633" s="8" t="str">
        <f>"33040"</f>
        <v>33040</v>
      </c>
      <c r="W1633" t="s">
        <v>118</v>
      </c>
      <c r="Y1633" s="10">
        <v>17868626322</v>
      </c>
      <c r="AA1633">
        <v>72111</v>
      </c>
      <c r="AB1633" t="s">
        <v>11926</v>
      </c>
      <c r="AC1633" t="s">
        <v>1173</v>
      </c>
      <c r="AE1633" t="s">
        <v>1349</v>
      </c>
      <c r="AF1633" t="s">
        <v>11924</v>
      </c>
      <c r="AH1633" t="s">
        <v>11925</v>
      </c>
      <c r="AI1633" t="s">
        <v>140</v>
      </c>
      <c r="AJ1633" s="8" t="str">
        <f>"33040"</f>
        <v>33040</v>
      </c>
      <c r="AK1633" t="s">
        <v>118</v>
      </c>
      <c r="AM1633" s="10">
        <v>17868626322</v>
      </c>
      <c r="AO1633" t="s">
        <v>11927</v>
      </c>
      <c r="AP1633" t="s">
        <v>121</v>
      </c>
      <c r="AQ1633" t="s">
        <v>276</v>
      </c>
      <c r="AR1633" t="s">
        <v>277</v>
      </c>
      <c r="AS1633" t="s">
        <v>278</v>
      </c>
      <c r="AT1633" t="s">
        <v>279</v>
      </c>
      <c r="AU1633" t="s">
        <v>280</v>
      </c>
      <c r="AV1633" t="s">
        <v>281</v>
      </c>
      <c r="AW1633" t="s">
        <v>222</v>
      </c>
      <c r="AX1633" s="8" t="str">
        <f>"01701"</f>
        <v>01701</v>
      </c>
      <c r="AY1633" t="s">
        <v>118</v>
      </c>
      <c r="BA1633" s="10">
        <v>16179399444</v>
      </c>
      <c r="BC1633" t="s">
        <v>282</v>
      </c>
      <c r="BD1633" t="s">
        <v>283</v>
      </c>
      <c r="BE1633" t="s">
        <v>222</v>
      </c>
      <c r="BF1633" t="s">
        <v>284</v>
      </c>
      <c r="BG1633" t="s">
        <v>140</v>
      </c>
      <c r="BH1633" s="1">
        <v>45140.833333333336</v>
      </c>
      <c r="BI1633">
        <v>40</v>
      </c>
      <c r="BJ1633">
        <v>0</v>
      </c>
      <c r="BK1633">
        <v>8</v>
      </c>
      <c r="BL1633">
        <v>8</v>
      </c>
      <c r="BM1633">
        <v>8</v>
      </c>
      <c r="BN1633">
        <v>8</v>
      </c>
      <c r="BO1633">
        <v>8</v>
      </c>
      <c r="BP1633">
        <v>0</v>
      </c>
      <c r="BQ1633" t="str">
        <f>"8:30 AM"</f>
        <v>8:30 AM</v>
      </c>
      <c r="BR1633" t="str">
        <f>"4:30 PM"</f>
        <v>4:30 PM</v>
      </c>
      <c r="BS1633" t="s">
        <v>131</v>
      </c>
      <c r="BT1633">
        <v>0</v>
      </c>
      <c r="BU1633">
        <v>3</v>
      </c>
      <c r="BV1633" t="s">
        <v>114</v>
      </c>
      <c r="BX1633" s="2" t="s">
        <v>12891</v>
      </c>
      <c r="BY1633" t="s">
        <v>11924</v>
      </c>
      <c r="CA1633" t="s">
        <v>11925</v>
      </c>
      <c r="CB1633" t="s">
        <v>140</v>
      </c>
      <c r="CC1633" s="8" t="str">
        <f>"33040"</f>
        <v>33040</v>
      </c>
      <c r="CD1633" t="s">
        <v>303</v>
      </c>
      <c r="CE1633" t="s">
        <v>304</v>
      </c>
      <c r="CF1633" s="12">
        <v>17</v>
      </c>
      <c r="CG1633" s="12">
        <v>19</v>
      </c>
      <c r="CH1633" s="12">
        <v>25.5</v>
      </c>
      <c r="CI1633" s="12">
        <v>28.5</v>
      </c>
      <c r="CJ1633" t="s">
        <v>135</v>
      </c>
      <c r="CK1633" t="s">
        <v>12892</v>
      </c>
      <c r="CL1633" t="s">
        <v>12893</v>
      </c>
      <c r="CO1633" t="s">
        <v>132</v>
      </c>
      <c r="CP1633" t="s">
        <v>114</v>
      </c>
      <c r="CQ1633" t="s">
        <v>114</v>
      </c>
      <c r="CR1633" t="s">
        <v>136</v>
      </c>
      <c r="CS1633" t="s">
        <v>136</v>
      </c>
      <c r="CT1633" t="s">
        <v>136</v>
      </c>
      <c r="CU1633" t="s">
        <v>136</v>
      </c>
      <c r="CV1633" t="s">
        <v>11931</v>
      </c>
      <c r="CW1633" s="10" t="str">
        <f>"+17868626322"</f>
        <v>+17868626322</v>
      </c>
      <c r="CX1633" t="s">
        <v>11932</v>
      </c>
      <c r="CY1633" t="s">
        <v>132</v>
      </c>
      <c r="CZ1633" t="s">
        <v>137</v>
      </c>
      <c r="DA1633" t="s">
        <v>114</v>
      </c>
      <c r="DB1633" t="s">
        <v>136</v>
      </c>
      <c r="DC1633" t="s">
        <v>136</v>
      </c>
      <c r="DD1633" t="s">
        <v>114</v>
      </c>
    </row>
    <row r="1634" spans="1:113" ht="15" customHeight="1" x14ac:dyDescent="0.25">
      <c r="A1634" t="s">
        <v>11921</v>
      </c>
      <c r="B1634" t="s">
        <v>152</v>
      </c>
      <c r="C1634" s="1">
        <v>45141.628150231481</v>
      </c>
      <c r="D1634" s="1">
        <v>45204</v>
      </c>
      <c r="E1634" t="s">
        <v>136</v>
      </c>
      <c r="F1634" t="s">
        <v>1059</v>
      </c>
      <c r="G1634" t="str">
        <f>"35-2014.00"</f>
        <v>35-2014.00</v>
      </c>
      <c r="H1634" t="s">
        <v>154</v>
      </c>
      <c r="I1634">
        <v>5</v>
      </c>
      <c r="J1634">
        <v>5</v>
      </c>
      <c r="K1634" s="1">
        <v>45231</v>
      </c>
      <c r="L1634" s="1">
        <v>45504</v>
      </c>
      <c r="M1634" s="1">
        <v>45231</v>
      </c>
      <c r="N1634" s="1">
        <v>45504</v>
      </c>
      <c r="O1634" t="s">
        <v>116</v>
      </c>
      <c r="P1634" t="s">
        <v>11922</v>
      </c>
      <c r="Q1634" t="s">
        <v>11923</v>
      </c>
      <c r="R1634" t="s">
        <v>11924</v>
      </c>
      <c r="T1634" t="s">
        <v>11925</v>
      </c>
      <c r="U1634" t="s">
        <v>140</v>
      </c>
      <c r="V1634" s="8" t="str">
        <f>"33040"</f>
        <v>33040</v>
      </c>
      <c r="W1634" t="s">
        <v>118</v>
      </c>
      <c r="Y1634" s="10">
        <v>17868626322</v>
      </c>
      <c r="AA1634">
        <v>721110</v>
      </c>
      <c r="AB1634" t="s">
        <v>11926</v>
      </c>
      <c r="AC1634" t="s">
        <v>1173</v>
      </c>
      <c r="AE1634" t="s">
        <v>1349</v>
      </c>
      <c r="AF1634" t="s">
        <v>11924</v>
      </c>
      <c r="AH1634" t="s">
        <v>11925</v>
      </c>
      <c r="AI1634" t="s">
        <v>140</v>
      </c>
      <c r="AJ1634" s="8" t="str">
        <f>"33040"</f>
        <v>33040</v>
      </c>
      <c r="AK1634" t="s">
        <v>118</v>
      </c>
      <c r="AM1634" s="10">
        <v>17868626322</v>
      </c>
      <c r="AO1634" t="s">
        <v>11927</v>
      </c>
      <c r="AP1634" t="s">
        <v>121</v>
      </c>
      <c r="AQ1634" t="s">
        <v>276</v>
      </c>
      <c r="AR1634" t="s">
        <v>277</v>
      </c>
      <c r="AS1634" t="s">
        <v>278</v>
      </c>
      <c r="AT1634" t="s">
        <v>279</v>
      </c>
      <c r="AU1634" t="s">
        <v>280</v>
      </c>
      <c r="AV1634" t="s">
        <v>281</v>
      </c>
      <c r="AW1634" t="s">
        <v>222</v>
      </c>
      <c r="AX1634" s="8" t="str">
        <f>"01701"</f>
        <v>01701</v>
      </c>
      <c r="AY1634" t="s">
        <v>118</v>
      </c>
      <c r="BA1634" s="10">
        <v>16179399444</v>
      </c>
      <c r="BC1634" t="s">
        <v>282</v>
      </c>
      <c r="BD1634" t="s">
        <v>283</v>
      </c>
      <c r="BE1634" t="s">
        <v>222</v>
      </c>
      <c r="BF1634" t="s">
        <v>284</v>
      </c>
      <c r="BG1634" t="s">
        <v>140</v>
      </c>
      <c r="BH1634" s="1">
        <v>45140.833333333336</v>
      </c>
      <c r="BI1634">
        <v>40</v>
      </c>
      <c r="BJ1634">
        <v>0</v>
      </c>
      <c r="BK1634">
        <v>8</v>
      </c>
      <c r="BL1634">
        <v>8</v>
      </c>
      <c r="BM1634">
        <v>8</v>
      </c>
      <c r="BN1634">
        <v>8</v>
      </c>
      <c r="BO1634">
        <v>8</v>
      </c>
      <c r="BP1634">
        <v>0</v>
      </c>
      <c r="BQ1634" t="str">
        <f>"7:00 AM"</f>
        <v>7:00 AM</v>
      </c>
      <c r="BR1634" t="str">
        <f>"3:00 PM"</f>
        <v>3:00 PM</v>
      </c>
      <c r="BS1634" t="s">
        <v>131</v>
      </c>
      <c r="BT1634">
        <v>0</v>
      </c>
      <c r="BU1634">
        <v>6</v>
      </c>
      <c r="BV1634" t="s">
        <v>114</v>
      </c>
      <c r="BX1634" s="2" t="s">
        <v>11928</v>
      </c>
      <c r="BY1634" t="s">
        <v>11924</v>
      </c>
      <c r="CA1634" t="s">
        <v>11925</v>
      </c>
      <c r="CB1634" t="s">
        <v>140</v>
      </c>
      <c r="CC1634" s="8" t="str">
        <f>"33040"</f>
        <v>33040</v>
      </c>
      <c r="CD1634" t="s">
        <v>303</v>
      </c>
      <c r="CE1634" t="s">
        <v>304</v>
      </c>
      <c r="CF1634" s="12">
        <v>19</v>
      </c>
      <c r="CG1634" s="12">
        <v>20</v>
      </c>
      <c r="CH1634" s="12">
        <v>28.5</v>
      </c>
      <c r="CI1634" s="12">
        <v>30</v>
      </c>
      <c r="CJ1634" t="s">
        <v>135</v>
      </c>
      <c r="CK1634" t="s">
        <v>11929</v>
      </c>
      <c r="CL1634" t="s">
        <v>11930</v>
      </c>
      <c r="CO1634" t="s">
        <v>132</v>
      </c>
      <c r="CP1634" t="s">
        <v>114</v>
      </c>
      <c r="CQ1634" t="s">
        <v>114</v>
      </c>
      <c r="CR1634" t="s">
        <v>136</v>
      </c>
      <c r="CS1634" t="s">
        <v>136</v>
      </c>
      <c r="CT1634" t="s">
        <v>136</v>
      </c>
      <c r="CU1634" t="s">
        <v>136</v>
      </c>
      <c r="CV1634" t="s">
        <v>11931</v>
      </c>
      <c r="CW1634" s="10" t="str">
        <f>"+17868626322"</f>
        <v>+17868626322</v>
      </c>
      <c r="CX1634" t="s">
        <v>11932</v>
      </c>
      <c r="CY1634" t="s">
        <v>132</v>
      </c>
      <c r="CZ1634" t="s">
        <v>137</v>
      </c>
      <c r="DA1634" t="s">
        <v>114</v>
      </c>
      <c r="DB1634" t="s">
        <v>136</v>
      </c>
      <c r="DC1634" t="s">
        <v>136</v>
      </c>
      <c r="DD1634" t="s">
        <v>114</v>
      </c>
    </row>
    <row r="1635" spans="1:113" ht="15" customHeight="1" x14ac:dyDescent="0.25">
      <c r="A1635" t="s">
        <v>20773</v>
      </c>
      <c r="B1635" t="s">
        <v>152</v>
      </c>
      <c r="C1635" s="1">
        <v>45141.627265625</v>
      </c>
      <c r="D1635" s="1">
        <v>45204</v>
      </c>
      <c r="E1635" t="s">
        <v>136</v>
      </c>
      <c r="F1635" t="s">
        <v>4971</v>
      </c>
      <c r="G1635" t="str">
        <f>"43-4081.00"</f>
        <v>43-4081.00</v>
      </c>
      <c r="H1635" t="s">
        <v>952</v>
      </c>
      <c r="I1635">
        <v>4</v>
      </c>
      <c r="J1635">
        <v>4</v>
      </c>
      <c r="K1635" s="1">
        <v>45231</v>
      </c>
      <c r="L1635" s="1">
        <v>45504</v>
      </c>
      <c r="M1635" s="1">
        <v>45231</v>
      </c>
      <c r="N1635" s="1">
        <v>45504</v>
      </c>
      <c r="O1635" t="s">
        <v>116</v>
      </c>
      <c r="P1635" t="s">
        <v>12890</v>
      </c>
      <c r="Q1635" t="s">
        <v>11923</v>
      </c>
      <c r="R1635" t="s">
        <v>11924</v>
      </c>
      <c r="T1635" t="s">
        <v>11925</v>
      </c>
      <c r="U1635" t="s">
        <v>140</v>
      </c>
      <c r="V1635" s="8" t="str">
        <f>"33040"</f>
        <v>33040</v>
      </c>
      <c r="W1635" t="s">
        <v>118</v>
      </c>
      <c r="Y1635" s="10">
        <v>17868626322</v>
      </c>
      <c r="AA1635">
        <v>72111</v>
      </c>
      <c r="AB1635" t="s">
        <v>11926</v>
      </c>
      <c r="AC1635" t="s">
        <v>1173</v>
      </c>
      <c r="AE1635" t="s">
        <v>1349</v>
      </c>
      <c r="AF1635" t="s">
        <v>11924</v>
      </c>
      <c r="AH1635" t="s">
        <v>11925</v>
      </c>
      <c r="AI1635" t="s">
        <v>140</v>
      </c>
      <c r="AJ1635" s="8" t="str">
        <f>"33040"</f>
        <v>33040</v>
      </c>
      <c r="AK1635" t="s">
        <v>118</v>
      </c>
      <c r="AM1635" s="10">
        <v>17868626322</v>
      </c>
      <c r="AO1635" t="s">
        <v>11927</v>
      </c>
      <c r="AP1635" t="s">
        <v>121</v>
      </c>
      <c r="AQ1635" t="s">
        <v>276</v>
      </c>
      <c r="AR1635" t="s">
        <v>277</v>
      </c>
      <c r="AS1635" t="s">
        <v>278</v>
      </c>
      <c r="AT1635" t="s">
        <v>279</v>
      </c>
      <c r="AU1635" t="s">
        <v>280</v>
      </c>
      <c r="AV1635" t="s">
        <v>281</v>
      </c>
      <c r="AW1635" t="s">
        <v>222</v>
      </c>
      <c r="AX1635" s="8" t="str">
        <f>"01701"</f>
        <v>01701</v>
      </c>
      <c r="AY1635" t="s">
        <v>118</v>
      </c>
      <c r="BA1635" s="10">
        <v>16179399444</v>
      </c>
      <c r="BC1635" t="s">
        <v>282</v>
      </c>
      <c r="BD1635" t="s">
        <v>283</v>
      </c>
      <c r="BE1635" t="s">
        <v>222</v>
      </c>
      <c r="BF1635" t="s">
        <v>284</v>
      </c>
      <c r="BG1635" t="s">
        <v>140</v>
      </c>
      <c r="BH1635" s="1">
        <v>45140.833333333336</v>
      </c>
      <c r="BI1635">
        <v>40</v>
      </c>
      <c r="BJ1635">
        <v>0</v>
      </c>
      <c r="BK1635">
        <v>8</v>
      </c>
      <c r="BL1635">
        <v>8</v>
      </c>
      <c r="BM1635">
        <v>8</v>
      </c>
      <c r="BN1635">
        <v>8</v>
      </c>
      <c r="BO1635">
        <v>8</v>
      </c>
      <c r="BP1635">
        <v>0</v>
      </c>
      <c r="BQ1635" t="str">
        <f>"7:00 AM"</f>
        <v>7:00 AM</v>
      </c>
      <c r="BR1635" t="str">
        <f>"3:00 PM"</f>
        <v>3:00 PM</v>
      </c>
      <c r="BS1635" t="s">
        <v>131</v>
      </c>
      <c r="BT1635">
        <v>0</v>
      </c>
      <c r="BU1635">
        <v>6</v>
      </c>
      <c r="BV1635" t="s">
        <v>114</v>
      </c>
      <c r="BX1635" s="2" t="s">
        <v>20774</v>
      </c>
      <c r="BY1635" t="s">
        <v>11924</v>
      </c>
      <c r="CA1635" t="s">
        <v>11925</v>
      </c>
      <c r="CB1635" t="s">
        <v>140</v>
      </c>
      <c r="CC1635" s="8" t="str">
        <f>"33040"</f>
        <v>33040</v>
      </c>
      <c r="CD1635" t="s">
        <v>303</v>
      </c>
      <c r="CE1635" t="s">
        <v>304</v>
      </c>
      <c r="CF1635" s="12">
        <v>17.5</v>
      </c>
      <c r="CG1635" s="12">
        <v>18.5</v>
      </c>
      <c r="CH1635" s="12">
        <v>26.25</v>
      </c>
      <c r="CI1635" s="12">
        <v>27.75</v>
      </c>
      <c r="CJ1635" t="s">
        <v>135</v>
      </c>
      <c r="CK1635" t="s">
        <v>20775</v>
      </c>
      <c r="CL1635" t="s">
        <v>20776</v>
      </c>
      <c r="CO1635" t="s">
        <v>132</v>
      </c>
      <c r="CP1635" t="s">
        <v>114</v>
      </c>
      <c r="CQ1635" t="s">
        <v>114</v>
      </c>
      <c r="CR1635" t="s">
        <v>136</v>
      </c>
      <c r="CS1635" t="s">
        <v>136</v>
      </c>
      <c r="CT1635" t="s">
        <v>136</v>
      </c>
      <c r="CU1635" t="s">
        <v>136</v>
      </c>
      <c r="CV1635" t="s">
        <v>11931</v>
      </c>
      <c r="CW1635" s="10" t="str">
        <f>"+17868626322"</f>
        <v>+17868626322</v>
      </c>
      <c r="CX1635" t="s">
        <v>11932</v>
      </c>
      <c r="CY1635" t="s">
        <v>132</v>
      </c>
      <c r="CZ1635" t="s">
        <v>137</v>
      </c>
      <c r="DA1635" t="s">
        <v>114</v>
      </c>
      <c r="DB1635" t="s">
        <v>136</v>
      </c>
      <c r="DC1635" t="s">
        <v>136</v>
      </c>
      <c r="DD1635" t="s">
        <v>114</v>
      </c>
    </row>
    <row r="1636" spans="1:113" ht="15" customHeight="1" x14ac:dyDescent="0.25">
      <c r="A1636" t="s">
        <v>4760</v>
      </c>
      <c r="B1636" t="s">
        <v>152</v>
      </c>
      <c r="C1636" s="1">
        <v>45141.626149074073</v>
      </c>
      <c r="D1636" s="1">
        <v>45204</v>
      </c>
      <c r="E1636" t="s">
        <v>136</v>
      </c>
      <c r="F1636" t="s">
        <v>4761</v>
      </c>
      <c r="G1636" t="str">
        <f>"35-9011.00"</f>
        <v>35-9011.00</v>
      </c>
      <c r="H1636" t="s">
        <v>1512</v>
      </c>
      <c r="I1636">
        <v>6</v>
      </c>
      <c r="J1636">
        <v>6</v>
      </c>
      <c r="K1636" s="1">
        <v>45231</v>
      </c>
      <c r="L1636" s="1">
        <v>45412</v>
      </c>
      <c r="M1636" s="1">
        <v>45231</v>
      </c>
      <c r="N1636" s="1">
        <v>45412</v>
      </c>
      <c r="O1636" t="s">
        <v>116</v>
      </c>
      <c r="P1636" t="s">
        <v>4762</v>
      </c>
      <c r="Q1636" t="s">
        <v>4763</v>
      </c>
      <c r="R1636" t="s">
        <v>4764</v>
      </c>
      <c r="T1636" t="s">
        <v>1614</v>
      </c>
      <c r="U1636" t="s">
        <v>140</v>
      </c>
      <c r="V1636" s="8" t="str">
        <f>"34112"</f>
        <v>34112</v>
      </c>
      <c r="W1636" t="s">
        <v>118</v>
      </c>
      <c r="Y1636" s="10">
        <v>12397753400</v>
      </c>
      <c r="AA1636">
        <v>713910</v>
      </c>
      <c r="AB1636" t="s">
        <v>4765</v>
      </c>
      <c r="AC1636" t="s">
        <v>2602</v>
      </c>
      <c r="AE1636" t="s">
        <v>1660</v>
      </c>
      <c r="AF1636" t="s">
        <v>4766</v>
      </c>
      <c r="AH1636" t="s">
        <v>1614</v>
      </c>
      <c r="AI1636" t="s">
        <v>140</v>
      </c>
      <c r="AJ1636" s="8" t="str">
        <f>"34112"</f>
        <v>34112</v>
      </c>
      <c r="AK1636" t="s">
        <v>118</v>
      </c>
      <c r="AM1636" s="10">
        <v>12397753400</v>
      </c>
      <c r="AO1636" t="s">
        <v>4767</v>
      </c>
      <c r="AP1636" t="s">
        <v>121</v>
      </c>
      <c r="AQ1636" t="s">
        <v>276</v>
      </c>
      <c r="AR1636" t="s">
        <v>277</v>
      </c>
      <c r="AS1636" t="s">
        <v>278</v>
      </c>
      <c r="AT1636" t="s">
        <v>279</v>
      </c>
      <c r="AU1636" t="s">
        <v>280</v>
      </c>
      <c r="AV1636" t="s">
        <v>281</v>
      </c>
      <c r="AW1636" t="s">
        <v>222</v>
      </c>
      <c r="AX1636" s="8" t="str">
        <f>"01701"</f>
        <v>01701</v>
      </c>
      <c r="AY1636" t="s">
        <v>118</v>
      </c>
      <c r="AZ1636" s="3" t="s">
        <v>2321</v>
      </c>
      <c r="BA1636" s="10">
        <v>16179399444</v>
      </c>
      <c r="BC1636" t="s">
        <v>282</v>
      </c>
      <c r="BD1636" t="s">
        <v>283</v>
      </c>
      <c r="BE1636" t="s">
        <v>222</v>
      </c>
      <c r="BF1636" t="s">
        <v>284</v>
      </c>
      <c r="BG1636" t="s">
        <v>140</v>
      </c>
      <c r="BH1636" s="1">
        <v>45140.833333333336</v>
      </c>
      <c r="BI1636">
        <v>35</v>
      </c>
      <c r="BJ1636">
        <v>0</v>
      </c>
      <c r="BK1636">
        <v>7</v>
      </c>
      <c r="BL1636">
        <v>7</v>
      </c>
      <c r="BM1636">
        <v>7</v>
      </c>
      <c r="BN1636">
        <v>7</v>
      </c>
      <c r="BO1636">
        <v>7</v>
      </c>
      <c r="BP1636">
        <v>0</v>
      </c>
      <c r="BQ1636" t="str">
        <f>"10:00 AM"</f>
        <v>10:00 AM</v>
      </c>
      <c r="BR1636" t="str">
        <f>"5:00 PM"</f>
        <v>5:00 PM</v>
      </c>
      <c r="BS1636" t="s">
        <v>131</v>
      </c>
      <c r="BT1636">
        <v>0</v>
      </c>
      <c r="BU1636">
        <v>3</v>
      </c>
      <c r="BV1636" t="s">
        <v>114</v>
      </c>
      <c r="BX1636" s="2" t="s">
        <v>4768</v>
      </c>
      <c r="BY1636" t="s">
        <v>4766</v>
      </c>
      <c r="CA1636" t="s">
        <v>1614</v>
      </c>
      <c r="CB1636" t="s">
        <v>140</v>
      </c>
      <c r="CC1636" s="8" t="str">
        <f>"34112"</f>
        <v>34112</v>
      </c>
      <c r="CD1636" t="s">
        <v>1619</v>
      </c>
      <c r="CE1636" t="s">
        <v>1620</v>
      </c>
      <c r="CF1636" s="12">
        <v>14.33</v>
      </c>
      <c r="CH1636" s="12">
        <v>21.5</v>
      </c>
      <c r="CJ1636" t="s">
        <v>135</v>
      </c>
      <c r="CK1636" t="s">
        <v>4769</v>
      </c>
      <c r="CL1636" t="s">
        <v>4770</v>
      </c>
      <c r="CO1636" t="s">
        <v>132</v>
      </c>
      <c r="CP1636" t="s">
        <v>114</v>
      </c>
      <c r="CQ1636" t="s">
        <v>114</v>
      </c>
      <c r="CR1636" t="s">
        <v>136</v>
      </c>
      <c r="CS1636" t="s">
        <v>136</v>
      </c>
      <c r="CT1636" t="s">
        <v>136</v>
      </c>
      <c r="CU1636" t="s">
        <v>136</v>
      </c>
      <c r="CV1636" t="s">
        <v>4771</v>
      </c>
      <c r="CW1636" s="10" t="str">
        <f>"+12397753400"</f>
        <v>+12397753400</v>
      </c>
      <c r="CX1636" t="s">
        <v>4772</v>
      </c>
      <c r="CY1636" t="s">
        <v>132</v>
      </c>
      <c r="CZ1636" t="s">
        <v>137</v>
      </c>
      <c r="DA1636" t="s">
        <v>114</v>
      </c>
      <c r="DB1636" t="s">
        <v>114</v>
      </c>
      <c r="DC1636" t="s">
        <v>136</v>
      </c>
      <c r="DD1636" t="s">
        <v>114</v>
      </c>
    </row>
    <row r="1637" spans="1:113" ht="15" customHeight="1" x14ac:dyDescent="0.25">
      <c r="A1637" t="s">
        <v>14402</v>
      </c>
      <c r="B1637" t="s">
        <v>152</v>
      </c>
      <c r="C1637" s="1">
        <v>45141.625314699071</v>
      </c>
      <c r="D1637" s="1">
        <v>45204</v>
      </c>
      <c r="E1637" t="s">
        <v>136</v>
      </c>
      <c r="F1637" t="s">
        <v>1059</v>
      </c>
      <c r="G1637" t="str">
        <f>"35-2014.00"</f>
        <v>35-2014.00</v>
      </c>
      <c r="H1637" t="s">
        <v>154</v>
      </c>
      <c r="I1637">
        <v>6</v>
      </c>
      <c r="J1637">
        <v>6</v>
      </c>
      <c r="K1637" s="1">
        <v>45231</v>
      </c>
      <c r="L1637" s="1">
        <v>45412</v>
      </c>
      <c r="M1637" s="1">
        <v>45231</v>
      </c>
      <c r="N1637" s="1">
        <v>45412</v>
      </c>
      <c r="O1637" t="s">
        <v>116</v>
      </c>
      <c r="P1637" t="s">
        <v>4762</v>
      </c>
      <c r="Q1637" t="s">
        <v>4763</v>
      </c>
      <c r="R1637" t="s">
        <v>4766</v>
      </c>
      <c r="T1637" t="s">
        <v>1614</v>
      </c>
      <c r="U1637" t="s">
        <v>140</v>
      </c>
      <c r="V1637" s="8" t="str">
        <f>"34112"</f>
        <v>34112</v>
      </c>
      <c r="W1637" t="s">
        <v>118</v>
      </c>
      <c r="Y1637" s="10">
        <v>12397753400</v>
      </c>
      <c r="AA1637">
        <v>713910</v>
      </c>
      <c r="AB1637" t="s">
        <v>4765</v>
      </c>
      <c r="AC1637" t="s">
        <v>2602</v>
      </c>
      <c r="AE1637" t="s">
        <v>1660</v>
      </c>
      <c r="AF1637" t="s">
        <v>4766</v>
      </c>
      <c r="AH1637" t="s">
        <v>1614</v>
      </c>
      <c r="AI1637" t="s">
        <v>140</v>
      </c>
      <c r="AJ1637" s="8" t="str">
        <f>"34112"</f>
        <v>34112</v>
      </c>
      <c r="AK1637" t="s">
        <v>118</v>
      </c>
      <c r="AM1637" s="10">
        <v>12397753400</v>
      </c>
      <c r="AO1637" t="s">
        <v>4767</v>
      </c>
      <c r="AP1637" t="s">
        <v>121</v>
      </c>
      <c r="AQ1637" t="s">
        <v>276</v>
      </c>
      <c r="AR1637" t="s">
        <v>277</v>
      </c>
      <c r="AS1637" t="s">
        <v>278</v>
      </c>
      <c r="AT1637" t="s">
        <v>279</v>
      </c>
      <c r="AU1637" t="s">
        <v>280</v>
      </c>
      <c r="AV1637" t="s">
        <v>281</v>
      </c>
      <c r="AW1637" t="s">
        <v>222</v>
      </c>
      <c r="AX1637" s="8" t="str">
        <f>"01701"</f>
        <v>01701</v>
      </c>
      <c r="AY1637" t="s">
        <v>118</v>
      </c>
      <c r="AZ1637" s="3" t="s">
        <v>2321</v>
      </c>
      <c r="BA1637" s="10">
        <v>16179399444</v>
      </c>
      <c r="BC1637" t="s">
        <v>282</v>
      </c>
      <c r="BD1637" t="s">
        <v>283</v>
      </c>
      <c r="BE1637" t="s">
        <v>222</v>
      </c>
      <c r="BF1637" t="s">
        <v>284</v>
      </c>
      <c r="BG1637" t="s">
        <v>140</v>
      </c>
      <c r="BH1637" s="1">
        <v>45140.833333333336</v>
      </c>
      <c r="BI1637">
        <v>35</v>
      </c>
      <c r="BJ1637">
        <v>0</v>
      </c>
      <c r="BK1637">
        <v>7</v>
      </c>
      <c r="BL1637">
        <v>7</v>
      </c>
      <c r="BM1637">
        <v>7</v>
      </c>
      <c r="BN1637">
        <v>7</v>
      </c>
      <c r="BO1637">
        <v>7</v>
      </c>
      <c r="BP1637">
        <v>0</v>
      </c>
      <c r="BQ1637" t="str">
        <f>"9:00 AM"</f>
        <v>9:00 AM</v>
      </c>
      <c r="BR1637" t="str">
        <f>"4:00 PM"</f>
        <v>4:00 PM</v>
      </c>
      <c r="BS1637" t="s">
        <v>131</v>
      </c>
      <c r="BT1637">
        <v>0</v>
      </c>
      <c r="BU1637">
        <v>6</v>
      </c>
      <c r="BV1637" t="s">
        <v>114</v>
      </c>
      <c r="BX1637" s="2" t="s">
        <v>14403</v>
      </c>
      <c r="BY1637" t="s">
        <v>4764</v>
      </c>
      <c r="CA1637" t="s">
        <v>1614</v>
      </c>
      <c r="CB1637" t="s">
        <v>140</v>
      </c>
      <c r="CC1637" s="8" t="str">
        <f>"34112"</f>
        <v>34112</v>
      </c>
      <c r="CD1637" t="s">
        <v>1619</v>
      </c>
      <c r="CE1637" t="s">
        <v>1620</v>
      </c>
      <c r="CF1637" s="12">
        <v>17.22</v>
      </c>
      <c r="CG1637" s="12">
        <v>26</v>
      </c>
      <c r="CH1637" s="12">
        <v>25.83</v>
      </c>
      <c r="CI1637" s="12">
        <v>39</v>
      </c>
      <c r="CJ1637" t="s">
        <v>135</v>
      </c>
      <c r="CK1637" t="s">
        <v>14404</v>
      </c>
      <c r="CL1637" t="s">
        <v>14405</v>
      </c>
      <c r="CO1637" t="s">
        <v>132</v>
      </c>
      <c r="CP1637" t="s">
        <v>114</v>
      </c>
      <c r="CQ1637" t="s">
        <v>114</v>
      </c>
      <c r="CR1637" t="s">
        <v>136</v>
      </c>
      <c r="CS1637" t="s">
        <v>136</v>
      </c>
      <c r="CT1637" t="s">
        <v>136</v>
      </c>
      <c r="CU1637" t="s">
        <v>136</v>
      </c>
      <c r="CV1637" t="s">
        <v>4771</v>
      </c>
      <c r="CW1637" s="10" t="str">
        <f>"+12397753400"</f>
        <v>+12397753400</v>
      </c>
      <c r="CX1637" t="s">
        <v>4772</v>
      </c>
      <c r="CY1637" t="s">
        <v>132</v>
      </c>
      <c r="CZ1637" t="s">
        <v>137</v>
      </c>
      <c r="DA1637" t="s">
        <v>114</v>
      </c>
      <c r="DB1637" t="s">
        <v>114</v>
      </c>
      <c r="DC1637" t="s">
        <v>136</v>
      </c>
      <c r="DD1637" t="s">
        <v>114</v>
      </c>
    </row>
    <row r="1638" spans="1:113" ht="15" customHeight="1" x14ac:dyDescent="0.25">
      <c r="A1638" t="s">
        <v>19734</v>
      </c>
      <c r="B1638" t="s">
        <v>152</v>
      </c>
      <c r="C1638" s="1">
        <v>45141.625065740744</v>
      </c>
      <c r="D1638" s="1">
        <v>45204</v>
      </c>
      <c r="E1638" t="s">
        <v>136</v>
      </c>
      <c r="F1638" t="s">
        <v>2512</v>
      </c>
      <c r="G1638" t="str">
        <f>"35-3031.00"</f>
        <v>35-3031.00</v>
      </c>
      <c r="H1638" t="s">
        <v>347</v>
      </c>
      <c r="I1638">
        <v>6</v>
      </c>
      <c r="J1638">
        <v>6</v>
      </c>
      <c r="K1638" s="1">
        <v>45231</v>
      </c>
      <c r="L1638" s="1">
        <v>45412</v>
      </c>
      <c r="M1638" s="1">
        <v>45231</v>
      </c>
      <c r="N1638" s="1">
        <v>45412</v>
      </c>
      <c r="O1638" t="s">
        <v>116</v>
      </c>
      <c r="P1638" t="s">
        <v>4762</v>
      </c>
      <c r="Q1638" t="s">
        <v>4763</v>
      </c>
      <c r="R1638" t="s">
        <v>4764</v>
      </c>
      <c r="T1638" t="s">
        <v>1614</v>
      </c>
      <c r="U1638" t="s">
        <v>140</v>
      </c>
      <c r="V1638" s="8" t="str">
        <f>"34112"</f>
        <v>34112</v>
      </c>
      <c r="W1638" t="s">
        <v>118</v>
      </c>
      <c r="Y1638" s="10">
        <v>12397753400</v>
      </c>
      <c r="AA1638">
        <v>713910</v>
      </c>
      <c r="AB1638" t="s">
        <v>4765</v>
      </c>
      <c r="AC1638" t="s">
        <v>2602</v>
      </c>
      <c r="AE1638" t="s">
        <v>1660</v>
      </c>
      <c r="AF1638" t="s">
        <v>4766</v>
      </c>
      <c r="AH1638" t="s">
        <v>1614</v>
      </c>
      <c r="AI1638" t="s">
        <v>140</v>
      </c>
      <c r="AJ1638" s="8" t="str">
        <f>"34112"</f>
        <v>34112</v>
      </c>
      <c r="AK1638" t="s">
        <v>118</v>
      </c>
      <c r="AM1638" s="10">
        <v>12397753400</v>
      </c>
      <c r="AO1638" t="s">
        <v>4767</v>
      </c>
      <c r="AP1638" t="s">
        <v>121</v>
      </c>
      <c r="AQ1638" t="s">
        <v>276</v>
      </c>
      <c r="AR1638" t="s">
        <v>277</v>
      </c>
      <c r="AS1638" t="s">
        <v>278</v>
      </c>
      <c r="AT1638" t="s">
        <v>279</v>
      </c>
      <c r="AU1638" t="s">
        <v>280</v>
      </c>
      <c r="AV1638" t="s">
        <v>281</v>
      </c>
      <c r="AW1638" t="s">
        <v>222</v>
      </c>
      <c r="AX1638" s="8" t="str">
        <f>"01701"</f>
        <v>01701</v>
      </c>
      <c r="AY1638" t="s">
        <v>118</v>
      </c>
      <c r="AZ1638" s="3" t="s">
        <v>2321</v>
      </c>
      <c r="BA1638" s="10">
        <v>16179399444</v>
      </c>
      <c r="BC1638" t="s">
        <v>282</v>
      </c>
      <c r="BD1638" t="s">
        <v>283</v>
      </c>
      <c r="BE1638" t="s">
        <v>222</v>
      </c>
      <c r="BF1638" t="s">
        <v>284</v>
      </c>
      <c r="BG1638" t="s">
        <v>140</v>
      </c>
      <c r="BH1638" s="1">
        <v>45140.833333333336</v>
      </c>
      <c r="BI1638">
        <v>35</v>
      </c>
      <c r="BJ1638">
        <v>0</v>
      </c>
      <c r="BK1638">
        <v>7</v>
      </c>
      <c r="BL1638">
        <v>7</v>
      </c>
      <c r="BM1638">
        <v>7</v>
      </c>
      <c r="BN1638">
        <v>7</v>
      </c>
      <c r="BO1638">
        <v>7</v>
      </c>
      <c r="BP1638">
        <v>0</v>
      </c>
      <c r="BQ1638" t="str">
        <f>"10:00 AM"</f>
        <v>10:00 AM</v>
      </c>
      <c r="BR1638" t="str">
        <f>"5:00 PM"</f>
        <v>5:00 PM</v>
      </c>
      <c r="BS1638" t="s">
        <v>131</v>
      </c>
      <c r="BT1638">
        <v>0</v>
      </c>
      <c r="BU1638">
        <v>12</v>
      </c>
      <c r="BV1638" t="s">
        <v>114</v>
      </c>
      <c r="BX1638" s="2" t="s">
        <v>19735</v>
      </c>
      <c r="BY1638" t="s">
        <v>4766</v>
      </c>
      <c r="CA1638" t="s">
        <v>1614</v>
      </c>
      <c r="CB1638" t="s">
        <v>140</v>
      </c>
      <c r="CC1638" s="8" t="str">
        <f>"34112"</f>
        <v>34112</v>
      </c>
      <c r="CD1638" t="s">
        <v>1619</v>
      </c>
      <c r="CE1638" t="s">
        <v>1620</v>
      </c>
      <c r="CF1638" s="12">
        <v>17.260000000000002</v>
      </c>
      <c r="CH1638" s="12">
        <v>25.89</v>
      </c>
      <c r="CJ1638" t="s">
        <v>135</v>
      </c>
      <c r="CK1638" t="s">
        <v>19736</v>
      </c>
      <c r="CL1638" t="s">
        <v>19737</v>
      </c>
      <c r="CO1638" t="s">
        <v>132</v>
      </c>
      <c r="CP1638" t="s">
        <v>114</v>
      </c>
      <c r="CQ1638" t="s">
        <v>114</v>
      </c>
      <c r="CR1638" t="s">
        <v>136</v>
      </c>
      <c r="CS1638" t="s">
        <v>136</v>
      </c>
      <c r="CT1638" t="s">
        <v>136</v>
      </c>
      <c r="CU1638" t="s">
        <v>136</v>
      </c>
      <c r="CV1638" t="s">
        <v>4771</v>
      </c>
      <c r="CW1638" s="10" t="str">
        <f>"+12397753400"</f>
        <v>+12397753400</v>
      </c>
      <c r="CX1638" t="s">
        <v>4772</v>
      </c>
      <c r="CY1638" t="s">
        <v>132</v>
      </c>
      <c r="CZ1638" t="s">
        <v>137</v>
      </c>
      <c r="DA1638" t="s">
        <v>114</v>
      </c>
      <c r="DB1638" t="s">
        <v>114</v>
      </c>
      <c r="DC1638" t="s">
        <v>136</v>
      </c>
      <c r="DD1638" t="s">
        <v>114</v>
      </c>
    </row>
    <row r="1639" spans="1:113" ht="15" customHeight="1" x14ac:dyDescent="0.25">
      <c r="A1639" t="s">
        <v>19711</v>
      </c>
      <c r="B1639" t="s">
        <v>152</v>
      </c>
      <c r="C1639" s="1">
        <v>45141.623835185186</v>
      </c>
      <c r="D1639" s="1">
        <v>45204</v>
      </c>
      <c r="E1639" t="s">
        <v>136</v>
      </c>
      <c r="F1639" t="s">
        <v>2512</v>
      </c>
      <c r="G1639" t="str">
        <f>"35-3031.00"</f>
        <v>35-3031.00</v>
      </c>
      <c r="H1639" t="s">
        <v>347</v>
      </c>
      <c r="I1639">
        <v>4</v>
      </c>
      <c r="J1639">
        <v>4</v>
      </c>
      <c r="K1639" s="1">
        <v>45231</v>
      </c>
      <c r="L1639" s="1">
        <v>45504</v>
      </c>
      <c r="M1639" s="1">
        <v>45231</v>
      </c>
      <c r="N1639" s="1">
        <v>45504</v>
      </c>
      <c r="O1639" t="s">
        <v>116</v>
      </c>
      <c r="P1639" t="s">
        <v>12890</v>
      </c>
      <c r="Q1639" t="s">
        <v>11923</v>
      </c>
      <c r="R1639" t="s">
        <v>11924</v>
      </c>
      <c r="T1639" t="s">
        <v>11925</v>
      </c>
      <c r="U1639" t="s">
        <v>140</v>
      </c>
      <c r="V1639" s="8" t="str">
        <f>"33040"</f>
        <v>33040</v>
      </c>
      <c r="W1639" t="s">
        <v>118</v>
      </c>
      <c r="Y1639" s="10">
        <v>17868626322</v>
      </c>
      <c r="AA1639">
        <v>72111</v>
      </c>
      <c r="AB1639" t="s">
        <v>11926</v>
      </c>
      <c r="AC1639" t="s">
        <v>1173</v>
      </c>
      <c r="AE1639" t="s">
        <v>1349</v>
      </c>
      <c r="AF1639" t="s">
        <v>11924</v>
      </c>
      <c r="AH1639" t="s">
        <v>11925</v>
      </c>
      <c r="AI1639" t="s">
        <v>140</v>
      </c>
      <c r="AJ1639" s="8" t="str">
        <f>"33040"</f>
        <v>33040</v>
      </c>
      <c r="AK1639" t="s">
        <v>118</v>
      </c>
      <c r="AM1639" s="10">
        <v>17868626322</v>
      </c>
      <c r="AO1639" t="s">
        <v>11927</v>
      </c>
      <c r="AP1639" t="s">
        <v>121</v>
      </c>
      <c r="AQ1639" t="s">
        <v>276</v>
      </c>
      <c r="AR1639" t="s">
        <v>277</v>
      </c>
      <c r="AS1639" t="s">
        <v>278</v>
      </c>
      <c r="AT1639" t="s">
        <v>279</v>
      </c>
      <c r="AU1639" t="s">
        <v>280</v>
      </c>
      <c r="AV1639" t="s">
        <v>281</v>
      </c>
      <c r="AW1639" t="s">
        <v>222</v>
      </c>
      <c r="AX1639" s="8" t="str">
        <f>"01701"</f>
        <v>01701</v>
      </c>
      <c r="AY1639" t="s">
        <v>118</v>
      </c>
      <c r="BA1639" s="10">
        <v>16179399444</v>
      </c>
      <c r="BC1639" t="s">
        <v>282</v>
      </c>
      <c r="BD1639" t="s">
        <v>283</v>
      </c>
      <c r="BE1639" t="s">
        <v>222</v>
      </c>
      <c r="BF1639" t="s">
        <v>284</v>
      </c>
      <c r="BG1639" t="s">
        <v>140</v>
      </c>
      <c r="BH1639" s="1">
        <v>45140.833333333336</v>
      </c>
      <c r="BI1639">
        <v>40</v>
      </c>
      <c r="BJ1639">
        <v>0</v>
      </c>
      <c r="BK1639">
        <v>8</v>
      </c>
      <c r="BL1639">
        <v>8</v>
      </c>
      <c r="BM1639">
        <v>8</v>
      </c>
      <c r="BN1639">
        <v>8</v>
      </c>
      <c r="BO1639">
        <v>8</v>
      </c>
      <c r="BP1639">
        <v>0</v>
      </c>
      <c r="BQ1639" t="str">
        <f>"7:00 AM"</f>
        <v>7:00 AM</v>
      </c>
      <c r="BR1639" t="str">
        <f>"3:00 PM"</f>
        <v>3:00 PM</v>
      </c>
      <c r="BS1639" t="s">
        <v>131</v>
      </c>
      <c r="BT1639">
        <v>0</v>
      </c>
      <c r="BU1639">
        <v>3</v>
      </c>
      <c r="BV1639" t="s">
        <v>114</v>
      </c>
      <c r="BX1639" s="2" t="s">
        <v>19712</v>
      </c>
      <c r="BY1639" t="s">
        <v>11924</v>
      </c>
      <c r="CA1639" t="s">
        <v>11925</v>
      </c>
      <c r="CB1639" t="s">
        <v>140</v>
      </c>
      <c r="CC1639" s="8" t="str">
        <f>"33040"</f>
        <v>33040</v>
      </c>
      <c r="CD1639" t="s">
        <v>303</v>
      </c>
      <c r="CE1639" t="s">
        <v>304</v>
      </c>
      <c r="CF1639" s="12">
        <v>15.78</v>
      </c>
      <c r="CG1639" s="12">
        <v>15.78</v>
      </c>
      <c r="CH1639" s="12">
        <v>23.67</v>
      </c>
      <c r="CI1639" s="12">
        <v>23.67</v>
      </c>
      <c r="CJ1639" t="s">
        <v>135</v>
      </c>
      <c r="CK1639" t="s">
        <v>19713</v>
      </c>
      <c r="CL1639" t="s">
        <v>19714</v>
      </c>
      <c r="CO1639" t="s">
        <v>132</v>
      </c>
      <c r="CP1639" t="s">
        <v>114</v>
      </c>
      <c r="CQ1639" t="s">
        <v>114</v>
      </c>
      <c r="CR1639" t="s">
        <v>136</v>
      </c>
      <c r="CS1639" t="s">
        <v>136</v>
      </c>
      <c r="CT1639" t="s">
        <v>136</v>
      </c>
      <c r="CU1639" t="s">
        <v>136</v>
      </c>
      <c r="CV1639" t="s">
        <v>11931</v>
      </c>
      <c r="CW1639" s="10" t="str">
        <f>"+17868626322"</f>
        <v>+17868626322</v>
      </c>
      <c r="CX1639" t="s">
        <v>11932</v>
      </c>
      <c r="CY1639" t="s">
        <v>132</v>
      </c>
      <c r="CZ1639" t="s">
        <v>137</v>
      </c>
      <c r="DA1639" t="s">
        <v>114</v>
      </c>
      <c r="DB1639" t="s">
        <v>136</v>
      </c>
      <c r="DC1639" t="s">
        <v>136</v>
      </c>
      <c r="DD1639" t="s">
        <v>114</v>
      </c>
    </row>
    <row r="1640" spans="1:113" ht="15" customHeight="1" x14ac:dyDescent="0.25">
      <c r="A1640" t="s">
        <v>24182</v>
      </c>
      <c r="B1640" t="s">
        <v>152</v>
      </c>
      <c r="C1640" s="1">
        <v>45141.616465277781</v>
      </c>
      <c r="D1640" s="1">
        <v>45204</v>
      </c>
      <c r="E1640" t="s">
        <v>114</v>
      </c>
      <c r="F1640" t="s">
        <v>24183</v>
      </c>
      <c r="G1640" t="str">
        <f>"37-2012.00"</f>
        <v>37-2012.00</v>
      </c>
      <c r="H1640" t="s">
        <v>205</v>
      </c>
      <c r="I1640">
        <v>35</v>
      </c>
      <c r="J1640">
        <v>35</v>
      </c>
      <c r="K1640" s="1">
        <v>45231</v>
      </c>
      <c r="L1640" s="1">
        <v>45411</v>
      </c>
      <c r="M1640" s="1">
        <v>45231</v>
      </c>
      <c r="N1640" s="1">
        <v>45411</v>
      </c>
      <c r="O1640" t="s">
        <v>116</v>
      </c>
      <c r="P1640" t="s">
        <v>24184</v>
      </c>
      <c r="Q1640" t="s">
        <v>24185</v>
      </c>
      <c r="R1640" t="s">
        <v>24186</v>
      </c>
      <c r="T1640" t="s">
        <v>1084</v>
      </c>
      <c r="U1640" t="s">
        <v>188</v>
      </c>
      <c r="V1640" s="8" t="str">
        <f>"81657"</f>
        <v>81657</v>
      </c>
      <c r="W1640" t="s">
        <v>118</v>
      </c>
      <c r="Y1640" s="10">
        <v>19704778100</v>
      </c>
      <c r="AA1640">
        <v>721110</v>
      </c>
      <c r="AB1640" t="s">
        <v>603</v>
      </c>
      <c r="AC1640" t="s">
        <v>927</v>
      </c>
      <c r="AE1640" t="s">
        <v>1349</v>
      </c>
      <c r="AF1640" t="s">
        <v>24186</v>
      </c>
      <c r="AH1640" t="s">
        <v>24187</v>
      </c>
      <c r="AI1640" t="s">
        <v>188</v>
      </c>
      <c r="AJ1640" s="8" t="str">
        <f>"81657"</f>
        <v>81657</v>
      </c>
      <c r="AK1640" t="s">
        <v>118</v>
      </c>
      <c r="AM1640" s="10">
        <v>19704778102</v>
      </c>
      <c r="AO1640" t="s">
        <v>24188</v>
      </c>
      <c r="AP1640" t="s">
        <v>121</v>
      </c>
      <c r="AQ1640" t="s">
        <v>513</v>
      </c>
      <c r="AR1640" t="s">
        <v>514</v>
      </c>
      <c r="AS1640" t="s">
        <v>515</v>
      </c>
      <c r="AT1640" t="s">
        <v>516</v>
      </c>
      <c r="AU1640" t="s">
        <v>517</v>
      </c>
      <c r="AV1640" t="s">
        <v>518</v>
      </c>
      <c r="AW1640" t="s">
        <v>402</v>
      </c>
      <c r="AX1640" s="8" t="str">
        <f>"90071"</f>
        <v>90071</v>
      </c>
      <c r="AY1640" t="s">
        <v>118</v>
      </c>
      <c r="BA1640" s="10">
        <v>13108203322</v>
      </c>
      <c r="BC1640" t="s">
        <v>519</v>
      </c>
      <c r="BD1640" t="s">
        <v>520</v>
      </c>
      <c r="BE1640" t="s">
        <v>188</v>
      </c>
      <c r="BF1640" t="s">
        <v>172</v>
      </c>
      <c r="BG1640" t="s">
        <v>188</v>
      </c>
      <c r="BH1640" s="1">
        <v>45132.833333333336</v>
      </c>
      <c r="BI1640">
        <v>35</v>
      </c>
      <c r="BJ1640">
        <v>5</v>
      </c>
      <c r="BK1640">
        <v>5</v>
      </c>
      <c r="BL1640">
        <v>5</v>
      </c>
      <c r="BM1640">
        <v>5</v>
      </c>
      <c r="BN1640">
        <v>5</v>
      </c>
      <c r="BO1640">
        <v>5</v>
      </c>
      <c r="BP1640">
        <v>5</v>
      </c>
      <c r="BQ1640" t="str">
        <f>"8:00 AM"</f>
        <v>8:00 AM</v>
      </c>
      <c r="BR1640" t="str">
        <f>"4:30 PM"</f>
        <v>4:30 PM</v>
      </c>
      <c r="BS1640" t="s">
        <v>131</v>
      </c>
      <c r="BT1640">
        <v>0</v>
      </c>
      <c r="BU1640">
        <v>12</v>
      </c>
      <c r="BV1640" t="s">
        <v>114</v>
      </c>
      <c r="BX1640" s="2" t="s">
        <v>24189</v>
      </c>
      <c r="BY1640" t="s">
        <v>24186</v>
      </c>
      <c r="CA1640" t="s">
        <v>1084</v>
      </c>
      <c r="CB1640" t="s">
        <v>188</v>
      </c>
      <c r="CC1640" s="8" t="str">
        <f>"81657"</f>
        <v>81657</v>
      </c>
      <c r="CD1640" t="s">
        <v>1037</v>
      </c>
      <c r="CE1640" t="s">
        <v>1038</v>
      </c>
      <c r="CF1640" s="12">
        <v>20</v>
      </c>
      <c r="CH1640" s="12">
        <v>30</v>
      </c>
      <c r="CJ1640" t="s">
        <v>135</v>
      </c>
      <c r="CK1640" t="s">
        <v>729</v>
      </c>
      <c r="CL1640" t="s">
        <v>24190</v>
      </c>
      <c r="CO1640" t="s">
        <v>132</v>
      </c>
      <c r="CP1640" t="s">
        <v>114</v>
      </c>
      <c r="CQ1640" t="s">
        <v>114</v>
      </c>
      <c r="CR1640" t="s">
        <v>136</v>
      </c>
      <c r="CS1640" t="s">
        <v>114</v>
      </c>
      <c r="CT1640" t="s">
        <v>136</v>
      </c>
      <c r="CU1640" t="s">
        <v>114</v>
      </c>
      <c r="CV1640" t="s">
        <v>131</v>
      </c>
      <c r="CW1640" s="10" t="str">
        <f>"+19704778102"</f>
        <v>+19704778102</v>
      </c>
      <c r="CX1640" t="s">
        <v>24191</v>
      </c>
      <c r="CY1640" t="s">
        <v>132</v>
      </c>
      <c r="CZ1640" t="s">
        <v>137</v>
      </c>
      <c r="DA1640" t="s">
        <v>114</v>
      </c>
      <c r="DB1640" t="s">
        <v>114</v>
      </c>
      <c r="DC1640" t="s">
        <v>136</v>
      </c>
      <c r="DD1640" t="s">
        <v>114</v>
      </c>
      <c r="DE1640" t="s">
        <v>527</v>
      </c>
      <c r="DF1640" t="s">
        <v>528</v>
      </c>
      <c r="DG1640" t="s">
        <v>732</v>
      </c>
      <c r="DH1640" t="s">
        <v>733</v>
      </c>
      <c r="DI1640" t="s">
        <v>529</v>
      </c>
    </row>
    <row r="1641" spans="1:113" ht="15" customHeight="1" x14ac:dyDescent="0.25">
      <c r="A1641" t="s">
        <v>21796</v>
      </c>
      <c r="B1641" t="s">
        <v>152</v>
      </c>
      <c r="C1641" s="1">
        <v>45141.53920590278</v>
      </c>
      <c r="D1641" s="1">
        <v>45204</v>
      </c>
      <c r="E1641" t="s">
        <v>114</v>
      </c>
      <c r="F1641" t="s">
        <v>1059</v>
      </c>
      <c r="G1641" t="str">
        <f>"35-2014.00"</f>
        <v>35-2014.00</v>
      </c>
      <c r="H1641" t="s">
        <v>154</v>
      </c>
      <c r="I1641">
        <v>46</v>
      </c>
      <c r="J1641">
        <v>46</v>
      </c>
      <c r="K1641" s="1">
        <v>45231</v>
      </c>
      <c r="L1641" s="1">
        <v>45392</v>
      </c>
      <c r="M1641" s="1">
        <v>45231</v>
      </c>
      <c r="N1641" s="1">
        <v>45392</v>
      </c>
      <c r="O1641" t="s">
        <v>116</v>
      </c>
      <c r="P1641" t="s">
        <v>10326</v>
      </c>
      <c r="Q1641" t="s">
        <v>10327</v>
      </c>
      <c r="R1641" t="s">
        <v>10328</v>
      </c>
      <c r="T1641" t="s">
        <v>210</v>
      </c>
      <c r="U1641" t="s">
        <v>211</v>
      </c>
      <c r="V1641" s="8" t="str">
        <f>"84098"</f>
        <v>84098</v>
      </c>
      <c r="W1641" t="s">
        <v>118</v>
      </c>
      <c r="Y1641" s="10">
        <v>14356153381</v>
      </c>
      <c r="AA1641">
        <v>713920</v>
      </c>
      <c r="AB1641" t="s">
        <v>507</v>
      </c>
      <c r="AC1641" t="s">
        <v>508</v>
      </c>
      <c r="AE1641" t="s">
        <v>509</v>
      </c>
      <c r="AF1641" t="s">
        <v>510</v>
      </c>
      <c r="AH1641" t="s">
        <v>511</v>
      </c>
      <c r="AI1641" t="s">
        <v>188</v>
      </c>
      <c r="AJ1641" s="8" t="str">
        <f>"80021"</f>
        <v>80021</v>
      </c>
      <c r="AK1641" t="s">
        <v>118</v>
      </c>
      <c r="AM1641" s="10">
        <v>13034041800</v>
      </c>
      <c r="AO1641" t="s">
        <v>512</v>
      </c>
      <c r="AP1641" t="s">
        <v>121</v>
      </c>
      <c r="AQ1641" t="s">
        <v>513</v>
      </c>
      <c r="AR1641" t="s">
        <v>514</v>
      </c>
      <c r="AS1641" t="s">
        <v>515</v>
      </c>
      <c r="AT1641" t="s">
        <v>516</v>
      </c>
      <c r="AU1641" t="s">
        <v>517</v>
      </c>
      <c r="AV1641" t="s">
        <v>518</v>
      </c>
      <c r="AW1641" t="s">
        <v>402</v>
      </c>
      <c r="AX1641" s="8" t="str">
        <f>"90071"</f>
        <v>90071</v>
      </c>
      <c r="AY1641" t="s">
        <v>118</v>
      </c>
      <c r="BA1641" s="10">
        <v>13108203322</v>
      </c>
      <c r="BC1641" t="s">
        <v>519</v>
      </c>
      <c r="BD1641" t="s">
        <v>520</v>
      </c>
      <c r="BE1641" t="s">
        <v>188</v>
      </c>
      <c r="BF1641" t="s">
        <v>172</v>
      </c>
      <c r="BG1641" t="s">
        <v>211</v>
      </c>
      <c r="BH1641" s="1">
        <v>45134.833333333336</v>
      </c>
      <c r="BI1641">
        <v>35</v>
      </c>
      <c r="BJ1641">
        <v>5</v>
      </c>
      <c r="BK1641">
        <v>5</v>
      </c>
      <c r="BL1641">
        <v>5</v>
      </c>
      <c r="BM1641">
        <v>5</v>
      </c>
      <c r="BN1641">
        <v>5</v>
      </c>
      <c r="BO1641">
        <v>5</v>
      </c>
      <c r="BP1641">
        <v>5</v>
      </c>
      <c r="BQ1641" t="str">
        <f>"6:00 AM"</f>
        <v>6:00 AM</v>
      </c>
      <c r="BR1641" t="str">
        <f>"11:00 PM"</f>
        <v>11:00 PM</v>
      </c>
      <c r="BS1641" t="s">
        <v>131</v>
      </c>
      <c r="BT1641">
        <v>0</v>
      </c>
      <c r="BU1641">
        <v>36</v>
      </c>
      <c r="BV1641" t="s">
        <v>114</v>
      </c>
      <c r="BX1641" s="2" t="s">
        <v>1082</v>
      </c>
      <c r="BY1641" t="s">
        <v>10328</v>
      </c>
      <c r="CA1641" t="s">
        <v>210</v>
      </c>
      <c r="CB1641" t="s">
        <v>211</v>
      </c>
      <c r="CC1641" s="8" t="str">
        <f>"84098"</f>
        <v>84098</v>
      </c>
      <c r="CD1641" t="s">
        <v>228</v>
      </c>
      <c r="CE1641" t="s">
        <v>229</v>
      </c>
      <c r="CF1641" s="12">
        <v>22</v>
      </c>
      <c r="CH1641" s="12">
        <v>33</v>
      </c>
      <c r="CJ1641" t="s">
        <v>135</v>
      </c>
      <c r="CK1641" t="s">
        <v>524</v>
      </c>
      <c r="CL1641" t="s">
        <v>21797</v>
      </c>
      <c r="CO1641" t="s">
        <v>132</v>
      </c>
      <c r="CP1641" t="s">
        <v>136</v>
      </c>
      <c r="CQ1641" t="s">
        <v>114</v>
      </c>
      <c r="CR1641" t="s">
        <v>136</v>
      </c>
      <c r="CS1641" t="s">
        <v>114</v>
      </c>
      <c r="CT1641" t="s">
        <v>136</v>
      </c>
      <c r="CU1641" t="s">
        <v>136</v>
      </c>
      <c r="CV1641" t="s">
        <v>10330</v>
      </c>
      <c r="CW1641" s="10" t="str">
        <f>"+13034041800"</f>
        <v>+13034041800</v>
      </c>
      <c r="CX1641" t="s">
        <v>512</v>
      </c>
      <c r="CY1641" t="s">
        <v>132</v>
      </c>
      <c r="CZ1641" t="s">
        <v>137</v>
      </c>
      <c r="DA1641" t="s">
        <v>114</v>
      </c>
      <c r="DB1641" t="s">
        <v>114</v>
      </c>
      <c r="DC1641" t="s">
        <v>136</v>
      </c>
      <c r="DD1641" t="s">
        <v>114</v>
      </c>
      <c r="DE1641" t="s">
        <v>527</v>
      </c>
      <c r="DF1641" t="s">
        <v>528</v>
      </c>
      <c r="DG1641" t="s">
        <v>732</v>
      </c>
      <c r="DH1641" t="s">
        <v>520</v>
      </c>
      <c r="DI1641" t="s">
        <v>529</v>
      </c>
    </row>
    <row r="1642" spans="1:113" ht="15" customHeight="1" x14ac:dyDescent="0.25">
      <c r="A1642" t="s">
        <v>16939</v>
      </c>
      <c r="B1642" t="s">
        <v>152</v>
      </c>
      <c r="C1642" s="1">
        <v>45141.491418287034</v>
      </c>
      <c r="D1642" s="1">
        <v>45204</v>
      </c>
      <c r="E1642" t="s">
        <v>136</v>
      </c>
      <c r="F1642" t="s">
        <v>15407</v>
      </c>
      <c r="G1642" t="str">
        <f>"35-9011.00"</f>
        <v>35-9011.00</v>
      </c>
      <c r="H1642" t="s">
        <v>1512</v>
      </c>
      <c r="I1642">
        <v>10</v>
      </c>
      <c r="J1642">
        <v>10</v>
      </c>
      <c r="K1642" s="1">
        <v>45231</v>
      </c>
      <c r="L1642" s="1">
        <v>45413</v>
      </c>
      <c r="M1642" s="1">
        <v>45231</v>
      </c>
      <c r="N1642" s="1">
        <v>45413</v>
      </c>
      <c r="O1642" t="s">
        <v>116</v>
      </c>
      <c r="P1642" t="s">
        <v>294</v>
      </c>
      <c r="R1642" t="s">
        <v>295</v>
      </c>
      <c r="S1642" t="s">
        <v>296</v>
      </c>
      <c r="T1642" t="s">
        <v>297</v>
      </c>
      <c r="U1642" t="s">
        <v>140</v>
      </c>
      <c r="V1642" s="8" t="str">
        <f>"33037"</f>
        <v>33037</v>
      </c>
      <c r="W1642" t="s">
        <v>118</v>
      </c>
      <c r="Y1642" s="10">
        <v>13053675902</v>
      </c>
      <c r="AA1642">
        <v>721110</v>
      </c>
      <c r="AB1642" t="s">
        <v>298</v>
      </c>
      <c r="AC1642" t="s">
        <v>299</v>
      </c>
      <c r="AE1642" t="s">
        <v>300</v>
      </c>
      <c r="AF1642" t="s">
        <v>295</v>
      </c>
      <c r="AG1642" t="s">
        <v>296</v>
      </c>
      <c r="AH1642" t="s">
        <v>297</v>
      </c>
      <c r="AI1642" t="s">
        <v>140</v>
      </c>
      <c r="AJ1642" s="8" t="str">
        <f>"33037"</f>
        <v>33037</v>
      </c>
      <c r="AK1642" t="s">
        <v>118</v>
      </c>
      <c r="AM1642" s="10">
        <v>13053675902</v>
      </c>
      <c r="AO1642" t="s">
        <v>301</v>
      </c>
      <c r="AP1642" t="s">
        <v>121</v>
      </c>
      <c r="AQ1642" t="s">
        <v>276</v>
      </c>
      <c r="AR1642" t="s">
        <v>277</v>
      </c>
      <c r="AS1642" t="s">
        <v>278</v>
      </c>
      <c r="AT1642" t="s">
        <v>279</v>
      </c>
      <c r="AU1642" t="s">
        <v>280</v>
      </c>
      <c r="AV1642" t="s">
        <v>281</v>
      </c>
      <c r="AW1642" t="s">
        <v>222</v>
      </c>
      <c r="AX1642" s="8" t="str">
        <f>"01701"</f>
        <v>01701</v>
      </c>
      <c r="AY1642" t="s">
        <v>118</v>
      </c>
      <c r="BA1642" s="10">
        <v>16179399444</v>
      </c>
      <c r="BC1642" t="s">
        <v>282</v>
      </c>
      <c r="BD1642" t="s">
        <v>283</v>
      </c>
      <c r="BE1642" t="s">
        <v>222</v>
      </c>
      <c r="BF1642" t="s">
        <v>284</v>
      </c>
      <c r="BG1642" t="s">
        <v>140</v>
      </c>
      <c r="BH1642" s="1">
        <v>45140.833333333336</v>
      </c>
      <c r="BI1642">
        <v>35</v>
      </c>
      <c r="BJ1642">
        <v>0</v>
      </c>
      <c r="BK1642">
        <v>7</v>
      </c>
      <c r="BL1642">
        <v>7</v>
      </c>
      <c r="BM1642">
        <v>7</v>
      </c>
      <c r="BN1642">
        <v>7</v>
      </c>
      <c r="BO1642">
        <v>7</v>
      </c>
      <c r="BP1642">
        <v>0</v>
      </c>
      <c r="BQ1642" t="str">
        <f>"6:00 AM"</f>
        <v>6:00 AM</v>
      </c>
      <c r="BR1642" t="str">
        <f>"1:00 PM"</f>
        <v>1:00 PM</v>
      </c>
      <c r="BS1642" t="s">
        <v>131</v>
      </c>
      <c r="BT1642">
        <v>0</v>
      </c>
      <c r="BU1642">
        <v>3</v>
      </c>
      <c r="BV1642" t="s">
        <v>114</v>
      </c>
      <c r="BX1642" s="2" t="s">
        <v>16940</v>
      </c>
      <c r="BY1642" t="s">
        <v>295</v>
      </c>
      <c r="CA1642" t="s">
        <v>297</v>
      </c>
      <c r="CB1642" t="s">
        <v>140</v>
      </c>
      <c r="CC1642" s="8" t="str">
        <f>"33037"</f>
        <v>33037</v>
      </c>
      <c r="CD1642" t="s">
        <v>303</v>
      </c>
      <c r="CE1642" t="s">
        <v>304</v>
      </c>
      <c r="CF1642" s="12">
        <v>11.54</v>
      </c>
      <c r="CH1642" s="12">
        <v>17.309999999999999</v>
      </c>
      <c r="CJ1642" t="s">
        <v>135</v>
      </c>
      <c r="CK1642" t="s">
        <v>16941</v>
      </c>
      <c r="CL1642" t="s">
        <v>16942</v>
      </c>
      <c r="CO1642" t="s">
        <v>132</v>
      </c>
      <c r="CP1642" t="s">
        <v>114</v>
      </c>
      <c r="CQ1642" t="s">
        <v>114</v>
      </c>
      <c r="CR1642" t="s">
        <v>136</v>
      </c>
      <c r="CS1642" t="s">
        <v>114</v>
      </c>
      <c r="CT1642" t="s">
        <v>136</v>
      </c>
      <c r="CU1642" t="s">
        <v>136</v>
      </c>
      <c r="CV1642" t="s">
        <v>920</v>
      </c>
      <c r="CW1642" s="10" t="str">
        <f>"+13053675902"</f>
        <v>+13053675902</v>
      </c>
      <c r="CX1642" t="s">
        <v>301</v>
      </c>
      <c r="CY1642" t="s">
        <v>132</v>
      </c>
      <c r="CZ1642" t="s">
        <v>137</v>
      </c>
      <c r="DA1642" t="s">
        <v>114</v>
      </c>
      <c r="DB1642" t="s">
        <v>136</v>
      </c>
      <c r="DC1642" t="s">
        <v>136</v>
      </c>
      <c r="DD1642" t="s">
        <v>114</v>
      </c>
    </row>
    <row r="1643" spans="1:113" ht="15" customHeight="1" x14ac:dyDescent="0.25">
      <c r="A1643" t="s">
        <v>21747</v>
      </c>
      <c r="B1643" t="s">
        <v>152</v>
      </c>
      <c r="C1643" s="1">
        <v>45141.490268981484</v>
      </c>
      <c r="D1643" s="1">
        <v>45204</v>
      </c>
      <c r="E1643" t="s">
        <v>136</v>
      </c>
      <c r="F1643" t="s">
        <v>2866</v>
      </c>
      <c r="G1643" t="str">
        <f>"35-2021.00"</f>
        <v>35-2021.00</v>
      </c>
      <c r="H1643" t="s">
        <v>2303</v>
      </c>
      <c r="I1643">
        <v>5</v>
      </c>
      <c r="J1643">
        <v>5</v>
      </c>
      <c r="K1643" s="1">
        <v>45231</v>
      </c>
      <c r="L1643" s="1">
        <v>45413</v>
      </c>
      <c r="M1643" s="1">
        <v>45231</v>
      </c>
      <c r="N1643" s="1">
        <v>45413</v>
      </c>
      <c r="O1643" t="s">
        <v>116</v>
      </c>
      <c r="P1643" t="s">
        <v>294</v>
      </c>
      <c r="R1643" t="s">
        <v>295</v>
      </c>
      <c r="S1643" t="s">
        <v>296</v>
      </c>
      <c r="T1643" t="s">
        <v>297</v>
      </c>
      <c r="U1643" t="s">
        <v>140</v>
      </c>
      <c r="V1643" s="8" t="str">
        <f>"33037"</f>
        <v>33037</v>
      </c>
      <c r="W1643" t="s">
        <v>118</v>
      </c>
      <c r="Y1643" s="10">
        <v>13053675902</v>
      </c>
      <c r="AA1643">
        <v>721110</v>
      </c>
      <c r="AB1643" t="s">
        <v>298</v>
      </c>
      <c r="AC1643" t="s">
        <v>299</v>
      </c>
      <c r="AE1643" t="s">
        <v>300</v>
      </c>
      <c r="AF1643" t="s">
        <v>295</v>
      </c>
      <c r="AG1643" t="s">
        <v>296</v>
      </c>
      <c r="AH1643" t="s">
        <v>297</v>
      </c>
      <c r="AI1643" t="s">
        <v>140</v>
      </c>
      <c r="AJ1643" s="8" t="str">
        <f>"33037"</f>
        <v>33037</v>
      </c>
      <c r="AK1643" t="s">
        <v>118</v>
      </c>
      <c r="AM1643" s="10">
        <v>13053675902</v>
      </c>
      <c r="AO1643" t="s">
        <v>301</v>
      </c>
      <c r="AP1643" t="s">
        <v>121</v>
      </c>
      <c r="AQ1643" t="s">
        <v>276</v>
      </c>
      <c r="AR1643" t="s">
        <v>277</v>
      </c>
      <c r="AS1643" t="s">
        <v>278</v>
      </c>
      <c r="AT1643" t="s">
        <v>279</v>
      </c>
      <c r="AU1643" t="s">
        <v>280</v>
      </c>
      <c r="AV1643" t="s">
        <v>281</v>
      </c>
      <c r="AW1643" t="s">
        <v>222</v>
      </c>
      <c r="AX1643" s="8" t="str">
        <f>"01701"</f>
        <v>01701</v>
      </c>
      <c r="AY1643" t="s">
        <v>118</v>
      </c>
      <c r="BA1643" s="10">
        <v>16179399444</v>
      </c>
      <c r="BC1643" t="s">
        <v>282</v>
      </c>
      <c r="BD1643" t="s">
        <v>283</v>
      </c>
      <c r="BE1643" t="s">
        <v>222</v>
      </c>
      <c r="BF1643" t="s">
        <v>284</v>
      </c>
      <c r="BG1643" t="s">
        <v>140</v>
      </c>
      <c r="BH1643" s="1">
        <v>45140.833333333336</v>
      </c>
      <c r="BI1643">
        <v>35</v>
      </c>
      <c r="BJ1643">
        <v>0</v>
      </c>
      <c r="BK1643">
        <v>7</v>
      </c>
      <c r="BL1643">
        <v>7</v>
      </c>
      <c r="BM1643">
        <v>7</v>
      </c>
      <c r="BN1643">
        <v>7</v>
      </c>
      <c r="BO1643">
        <v>7</v>
      </c>
      <c r="BP1643">
        <v>0</v>
      </c>
      <c r="BQ1643" t="str">
        <f>"6:00 AM"</f>
        <v>6:00 AM</v>
      </c>
      <c r="BR1643" t="str">
        <f>"1:00 PM"</f>
        <v>1:00 PM</v>
      </c>
      <c r="BS1643" t="s">
        <v>131</v>
      </c>
      <c r="BT1643">
        <v>0</v>
      </c>
      <c r="BU1643">
        <v>3</v>
      </c>
      <c r="BV1643" t="s">
        <v>114</v>
      </c>
      <c r="BX1643" s="2" t="s">
        <v>21748</v>
      </c>
      <c r="BY1643" t="s">
        <v>295</v>
      </c>
      <c r="CA1643" t="s">
        <v>297</v>
      </c>
      <c r="CB1643" t="s">
        <v>140</v>
      </c>
      <c r="CC1643" s="8" t="str">
        <f>"33037"</f>
        <v>33037</v>
      </c>
      <c r="CD1643" t="s">
        <v>303</v>
      </c>
      <c r="CE1643" t="s">
        <v>304</v>
      </c>
      <c r="CF1643" s="12">
        <v>13.5</v>
      </c>
      <c r="CG1643" s="12">
        <v>16.600000000000001</v>
      </c>
      <c r="CH1643" s="12">
        <v>20.25</v>
      </c>
      <c r="CI1643" s="12">
        <v>24.9</v>
      </c>
      <c r="CJ1643" t="s">
        <v>135</v>
      </c>
      <c r="CK1643" t="s">
        <v>21749</v>
      </c>
      <c r="CL1643" t="s">
        <v>21750</v>
      </c>
      <c r="CO1643" t="s">
        <v>132</v>
      </c>
      <c r="CP1643" t="s">
        <v>114</v>
      </c>
      <c r="CQ1643" t="s">
        <v>114</v>
      </c>
      <c r="CR1643" t="s">
        <v>136</v>
      </c>
      <c r="CS1643" t="s">
        <v>114</v>
      </c>
      <c r="CT1643" t="s">
        <v>136</v>
      </c>
      <c r="CU1643" t="s">
        <v>136</v>
      </c>
      <c r="CV1643" t="s">
        <v>920</v>
      </c>
      <c r="CW1643" s="10" t="str">
        <f>"+13053675902"</f>
        <v>+13053675902</v>
      </c>
      <c r="CX1643" t="s">
        <v>301</v>
      </c>
      <c r="CY1643" t="s">
        <v>132</v>
      </c>
      <c r="CZ1643" t="s">
        <v>137</v>
      </c>
      <c r="DA1643" t="s">
        <v>114</v>
      </c>
      <c r="DB1643" t="s">
        <v>136</v>
      </c>
      <c r="DC1643" t="s">
        <v>136</v>
      </c>
      <c r="DD1643" t="s">
        <v>114</v>
      </c>
    </row>
    <row r="1644" spans="1:113" ht="15" customHeight="1" x14ac:dyDescent="0.25">
      <c r="A1644" t="s">
        <v>914</v>
      </c>
      <c r="B1644" t="s">
        <v>152</v>
      </c>
      <c r="C1644" s="1">
        <v>45141.488751736113</v>
      </c>
      <c r="D1644" s="1">
        <v>45204</v>
      </c>
      <c r="E1644" t="s">
        <v>136</v>
      </c>
      <c r="F1644" t="s">
        <v>915</v>
      </c>
      <c r="G1644" t="str">
        <f>"35-9031.00"</f>
        <v>35-9031.00</v>
      </c>
      <c r="H1644" t="s">
        <v>916</v>
      </c>
      <c r="I1644">
        <v>5</v>
      </c>
      <c r="J1644">
        <v>5</v>
      </c>
      <c r="K1644" s="1">
        <v>45231</v>
      </c>
      <c r="L1644" s="1">
        <v>45413</v>
      </c>
      <c r="M1644" s="1">
        <v>45231</v>
      </c>
      <c r="N1644" s="1">
        <v>45413</v>
      </c>
      <c r="O1644" t="s">
        <v>116</v>
      </c>
      <c r="P1644" t="s">
        <v>294</v>
      </c>
      <c r="R1644" t="s">
        <v>295</v>
      </c>
      <c r="S1644" t="s">
        <v>296</v>
      </c>
      <c r="T1644" t="s">
        <v>297</v>
      </c>
      <c r="U1644" t="s">
        <v>140</v>
      </c>
      <c r="V1644" s="8" t="str">
        <f>"33037"</f>
        <v>33037</v>
      </c>
      <c r="W1644" t="s">
        <v>118</v>
      </c>
      <c r="Y1644" s="10">
        <v>13053675902</v>
      </c>
      <c r="AA1644">
        <v>721110</v>
      </c>
      <c r="AB1644" t="s">
        <v>298</v>
      </c>
      <c r="AC1644" t="s">
        <v>299</v>
      </c>
      <c r="AE1644" t="s">
        <v>300</v>
      </c>
      <c r="AF1644" t="s">
        <v>295</v>
      </c>
      <c r="AG1644" t="s">
        <v>296</v>
      </c>
      <c r="AH1644" t="s">
        <v>297</v>
      </c>
      <c r="AI1644" t="s">
        <v>140</v>
      </c>
      <c r="AJ1644" s="8" t="str">
        <f>"33037"</f>
        <v>33037</v>
      </c>
      <c r="AK1644" t="s">
        <v>118</v>
      </c>
      <c r="AM1644" s="10">
        <v>13053675902</v>
      </c>
      <c r="AO1644" t="s">
        <v>301</v>
      </c>
      <c r="AP1644" t="s">
        <v>121</v>
      </c>
      <c r="AQ1644" t="s">
        <v>276</v>
      </c>
      <c r="AR1644" t="s">
        <v>277</v>
      </c>
      <c r="AS1644" t="s">
        <v>278</v>
      </c>
      <c r="AT1644" t="s">
        <v>279</v>
      </c>
      <c r="AU1644" t="s">
        <v>280</v>
      </c>
      <c r="AV1644" t="s">
        <v>281</v>
      </c>
      <c r="AW1644" t="s">
        <v>222</v>
      </c>
      <c r="AX1644" s="8" t="str">
        <f>"01701"</f>
        <v>01701</v>
      </c>
      <c r="AY1644" t="s">
        <v>118</v>
      </c>
      <c r="BA1644" s="10">
        <v>16179399444</v>
      </c>
      <c r="BC1644" t="s">
        <v>282</v>
      </c>
      <c r="BD1644" t="s">
        <v>283</v>
      </c>
      <c r="BE1644" t="s">
        <v>222</v>
      </c>
      <c r="BF1644" t="s">
        <v>284</v>
      </c>
      <c r="BG1644" t="s">
        <v>140</v>
      </c>
      <c r="BH1644" s="1">
        <v>45140.833333333336</v>
      </c>
      <c r="BI1644">
        <v>35</v>
      </c>
      <c r="BJ1644">
        <v>0</v>
      </c>
      <c r="BK1644">
        <v>7</v>
      </c>
      <c r="BL1644">
        <v>7</v>
      </c>
      <c r="BM1644">
        <v>7</v>
      </c>
      <c r="BN1644">
        <v>7</v>
      </c>
      <c r="BO1644">
        <v>7</v>
      </c>
      <c r="BP1644">
        <v>0</v>
      </c>
      <c r="BQ1644" t="str">
        <f>"11:00 AM"</f>
        <v>11:00 AM</v>
      </c>
      <c r="BR1644" t="str">
        <f>"6:00 PM"</f>
        <v>6:00 PM</v>
      </c>
      <c r="BS1644" t="s">
        <v>131</v>
      </c>
      <c r="BT1644">
        <v>0</v>
      </c>
      <c r="BU1644">
        <v>12</v>
      </c>
      <c r="BV1644" t="s">
        <v>114</v>
      </c>
      <c r="BX1644" s="2" t="s">
        <v>917</v>
      </c>
      <c r="BY1644" t="s">
        <v>295</v>
      </c>
      <c r="CA1644" t="s">
        <v>297</v>
      </c>
      <c r="CB1644" t="s">
        <v>140</v>
      </c>
      <c r="CC1644" s="8" t="str">
        <f>"33037"</f>
        <v>33037</v>
      </c>
      <c r="CD1644" t="s">
        <v>303</v>
      </c>
      <c r="CE1644" t="s">
        <v>304</v>
      </c>
      <c r="CF1644" s="12">
        <v>12.43</v>
      </c>
      <c r="CH1644" s="12">
        <v>18.649999999999999</v>
      </c>
      <c r="CJ1644" t="s">
        <v>135</v>
      </c>
      <c r="CK1644" t="s">
        <v>918</v>
      </c>
      <c r="CL1644" t="s">
        <v>919</v>
      </c>
      <c r="CO1644" t="s">
        <v>132</v>
      </c>
      <c r="CP1644" t="s">
        <v>114</v>
      </c>
      <c r="CQ1644" t="s">
        <v>114</v>
      </c>
      <c r="CR1644" t="s">
        <v>136</v>
      </c>
      <c r="CS1644" t="s">
        <v>114</v>
      </c>
      <c r="CT1644" t="s">
        <v>136</v>
      </c>
      <c r="CU1644" t="s">
        <v>136</v>
      </c>
      <c r="CV1644" t="s">
        <v>920</v>
      </c>
      <c r="CW1644" s="10" t="str">
        <f>"+13053675902"</f>
        <v>+13053675902</v>
      </c>
      <c r="CX1644" t="s">
        <v>301</v>
      </c>
      <c r="CY1644" t="s">
        <v>132</v>
      </c>
      <c r="CZ1644" t="s">
        <v>137</v>
      </c>
      <c r="DA1644" t="s">
        <v>114</v>
      </c>
      <c r="DB1644" t="s">
        <v>136</v>
      </c>
      <c r="DC1644" t="s">
        <v>136</v>
      </c>
      <c r="DD1644" t="s">
        <v>114</v>
      </c>
    </row>
    <row r="1645" spans="1:113" ht="15" customHeight="1" x14ac:dyDescent="0.25">
      <c r="A1645" t="s">
        <v>292</v>
      </c>
      <c r="B1645" t="s">
        <v>152</v>
      </c>
      <c r="C1645" s="1">
        <v>45141.487222800926</v>
      </c>
      <c r="D1645" s="1">
        <v>45204</v>
      </c>
      <c r="E1645" t="s">
        <v>136</v>
      </c>
      <c r="F1645" t="s">
        <v>293</v>
      </c>
      <c r="G1645" t="str">
        <f>"37-2012.00"</f>
        <v>37-2012.00</v>
      </c>
      <c r="H1645" t="s">
        <v>205</v>
      </c>
      <c r="I1645">
        <v>9</v>
      </c>
      <c r="J1645">
        <v>9</v>
      </c>
      <c r="K1645" s="1">
        <v>45231</v>
      </c>
      <c r="L1645" s="1">
        <v>45413</v>
      </c>
      <c r="M1645" s="1">
        <v>45231</v>
      </c>
      <c r="N1645" s="1">
        <v>45413</v>
      </c>
      <c r="O1645" t="s">
        <v>116</v>
      </c>
      <c r="P1645" t="s">
        <v>294</v>
      </c>
      <c r="Q1645" t="s">
        <v>132</v>
      </c>
      <c r="R1645" t="s">
        <v>295</v>
      </c>
      <c r="S1645" t="s">
        <v>296</v>
      </c>
      <c r="T1645" t="s">
        <v>297</v>
      </c>
      <c r="U1645" t="s">
        <v>140</v>
      </c>
      <c r="V1645" s="8" t="str">
        <f>"33037"</f>
        <v>33037</v>
      </c>
      <c r="W1645" t="s">
        <v>118</v>
      </c>
      <c r="Y1645" s="10">
        <v>13053675902</v>
      </c>
      <c r="AA1645">
        <v>721110</v>
      </c>
      <c r="AB1645" t="s">
        <v>298</v>
      </c>
      <c r="AC1645" t="s">
        <v>299</v>
      </c>
      <c r="AE1645" t="s">
        <v>300</v>
      </c>
      <c r="AF1645" t="s">
        <v>295</v>
      </c>
      <c r="AG1645" t="s">
        <v>296</v>
      </c>
      <c r="AH1645" t="s">
        <v>297</v>
      </c>
      <c r="AI1645" t="s">
        <v>140</v>
      </c>
      <c r="AJ1645" s="8" t="str">
        <f>"33037"</f>
        <v>33037</v>
      </c>
      <c r="AK1645" t="s">
        <v>118</v>
      </c>
      <c r="AM1645" s="10">
        <v>13053675902</v>
      </c>
      <c r="AO1645" t="s">
        <v>301</v>
      </c>
      <c r="AP1645" t="s">
        <v>121</v>
      </c>
      <c r="AQ1645" t="s">
        <v>276</v>
      </c>
      <c r="AR1645" t="s">
        <v>277</v>
      </c>
      <c r="AS1645" t="s">
        <v>278</v>
      </c>
      <c r="AT1645" t="s">
        <v>279</v>
      </c>
      <c r="AU1645" t="s">
        <v>280</v>
      </c>
      <c r="AV1645" t="s">
        <v>281</v>
      </c>
      <c r="AW1645" t="s">
        <v>222</v>
      </c>
      <c r="AX1645" s="8" t="str">
        <f>"01701"</f>
        <v>01701</v>
      </c>
      <c r="AY1645" t="s">
        <v>118</v>
      </c>
      <c r="BA1645" s="10">
        <v>16179399444</v>
      </c>
      <c r="BC1645" t="s">
        <v>282</v>
      </c>
      <c r="BD1645" t="s">
        <v>283</v>
      </c>
      <c r="BE1645" t="s">
        <v>222</v>
      </c>
      <c r="BF1645" t="s">
        <v>284</v>
      </c>
      <c r="BG1645" t="s">
        <v>140</v>
      </c>
      <c r="BH1645" s="1">
        <v>45140.833333333336</v>
      </c>
      <c r="BI1645">
        <v>35</v>
      </c>
      <c r="BJ1645">
        <v>0</v>
      </c>
      <c r="BK1645">
        <v>7</v>
      </c>
      <c r="BL1645">
        <v>7</v>
      </c>
      <c r="BM1645">
        <v>7</v>
      </c>
      <c r="BN1645">
        <v>7</v>
      </c>
      <c r="BO1645">
        <v>7</v>
      </c>
      <c r="BP1645">
        <v>0</v>
      </c>
      <c r="BQ1645" t="str">
        <f>"6:00 AM"</f>
        <v>6:00 AM</v>
      </c>
      <c r="BR1645" t="str">
        <f>"1:00 PM"</f>
        <v>1:00 PM</v>
      </c>
      <c r="BS1645" t="s">
        <v>131</v>
      </c>
      <c r="BT1645">
        <v>0</v>
      </c>
      <c r="BU1645">
        <v>3</v>
      </c>
      <c r="BV1645" t="s">
        <v>114</v>
      </c>
      <c r="BX1645" s="2" t="s">
        <v>302</v>
      </c>
      <c r="BY1645" t="s">
        <v>295</v>
      </c>
      <c r="BZ1645" t="s">
        <v>132</v>
      </c>
      <c r="CA1645" t="s">
        <v>297</v>
      </c>
      <c r="CB1645" t="s">
        <v>140</v>
      </c>
      <c r="CC1645" s="8" t="str">
        <f>"33037"</f>
        <v>33037</v>
      </c>
      <c r="CD1645" t="s">
        <v>303</v>
      </c>
      <c r="CE1645" t="s">
        <v>304</v>
      </c>
      <c r="CF1645" s="12">
        <v>15</v>
      </c>
      <c r="CH1645" s="12">
        <v>22.5</v>
      </c>
      <c r="CJ1645" t="s">
        <v>305</v>
      </c>
      <c r="CK1645" t="s">
        <v>306</v>
      </c>
      <c r="CL1645" t="s">
        <v>307</v>
      </c>
      <c r="CO1645" t="s">
        <v>132</v>
      </c>
      <c r="CP1645" t="s">
        <v>114</v>
      </c>
      <c r="CQ1645" t="s">
        <v>114</v>
      </c>
      <c r="CR1645" t="s">
        <v>136</v>
      </c>
      <c r="CS1645" t="s">
        <v>114</v>
      </c>
      <c r="CT1645" t="s">
        <v>136</v>
      </c>
      <c r="CU1645" t="s">
        <v>136</v>
      </c>
      <c r="CV1645" t="s">
        <v>308</v>
      </c>
      <c r="CW1645" s="10" t="str">
        <f>"+13053675902"</f>
        <v>+13053675902</v>
      </c>
      <c r="CX1645" t="s">
        <v>301</v>
      </c>
      <c r="CY1645" t="s">
        <v>132</v>
      </c>
      <c r="CZ1645" t="s">
        <v>137</v>
      </c>
      <c r="DA1645" t="s">
        <v>114</v>
      </c>
      <c r="DB1645" t="s">
        <v>136</v>
      </c>
      <c r="DC1645" t="s">
        <v>136</v>
      </c>
      <c r="DD1645" t="s">
        <v>114</v>
      </c>
    </row>
    <row r="1646" spans="1:113" ht="15" customHeight="1" x14ac:dyDescent="0.25">
      <c r="A1646" t="s">
        <v>22649</v>
      </c>
      <c r="B1646" t="s">
        <v>152</v>
      </c>
      <c r="C1646" s="1">
        <v>45141.485544560186</v>
      </c>
      <c r="D1646" s="1">
        <v>45204</v>
      </c>
      <c r="E1646" t="s">
        <v>136</v>
      </c>
      <c r="F1646" t="s">
        <v>153</v>
      </c>
      <c r="G1646" t="str">
        <f>"35-2014.00"</f>
        <v>35-2014.00</v>
      </c>
      <c r="H1646" t="s">
        <v>154</v>
      </c>
      <c r="I1646">
        <v>45</v>
      </c>
      <c r="J1646">
        <v>45</v>
      </c>
      <c r="K1646" s="1">
        <v>45231</v>
      </c>
      <c r="L1646" s="1">
        <v>45413</v>
      </c>
      <c r="M1646" s="1">
        <v>45231</v>
      </c>
      <c r="N1646" s="1">
        <v>45413</v>
      </c>
      <c r="O1646" t="s">
        <v>116</v>
      </c>
      <c r="P1646" t="s">
        <v>294</v>
      </c>
      <c r="Q1646" t="s">
        <v>132</v>
      </c>
      <c r="R1646" t="s">
        <v>295</v>
      </c>
      <c r="S1646" t="s">
        <v>296</v>
      </c>
      <c r="T1646" t="s">
        <v>297</v>
      </c>
      <c r="U1646" t="s">
        <v>140</v>
      </c>
      <c r="V1646" s="8" t="str">
        <f>"33037"</f>
        <v>33037</v>
      </c>
      <c r="W1646" t="s">
        <v>118</v>
      </c>
      <c r="Y1646" s="10">
        <v>13053675902</v>
      </c>
      <c r="AA1646">
        <v>721110</v>
      </c>
      <c r="AB1646" t="s">
        <v>298</v>
      </c>
      <c r="AC1646" t="s">
        <v>299</v>
      </c>
      <c r="AE1646" t="s">
        <v>300</v>
      </c>
      <c r="AF1646" t="s">
        <v>295</v>
      </c>
      <c r="AG1646" t="s">
        <v>296</v>
      </c>
      <c r="AH1646" t="s">
        <v>297</v>
      </c>
      <c r="AI1646" t="s">
        <v>140</v>
      </c>
      <c r="AJ1646" s="8" t="str">
        <f>"33037"</f>
        <v>33037</v>
      </c>
      <c r="AK1646" t="s">
        <v>118</v>
      </c>
      <c r="AM1646" s="10">
        <v>13053675902</v>
      </c>
      <c r="AO1646" t="s">
        <v>301</v>
      </c>
      <c r="AP1646" t="s">
        <v>121</v>
      </c>
      <c r="AQ1646" t="s">
        <v>276</v>
      </c>
      <c r="AR1646" t="s">
        <v>277</v>
      </c>
      <c r="AS1646" t="s">
        <v>278</v>
      </c>
      <c r="AT1646" t="s">
        <v>279</v>
      </c>
      <c r="AU1646" t="s">
        <v>280</v>
      </c>
      <c r="AV1646" t="s">
        <v>281</v>
      </c>
      <c r="AW1646" t="s">
        <v>222</v>
      </c>
      <c r="AX1646" s="8" t="str">
        <f>"01701"</f>
        <v>01701</v>
      </c>
      <c r="AY1646" t="s">
        <v>118</v>
      </c>
      <c r="BA1646" s="10">
        <v>16179399444</v>
      </c>
      <c r="BC1646" t="s">
        <v>282</v>
      </c>
      <c r="BD1646" t="s">
        <v>283</v>
      </c>
      <c r="BE1646" t="s">
        <v>222</v>
      </c>
      <c r="BF1646" t="s">
        <v>284</v>
      </c>
      <c r="BG1646" t="s">
        <v>140</v>
      </c>
      <c r="BH1646" s="1">
        <v>45140.833333333336</v>
      </c>
      <c r="BI1646">
        <v>35</v>
      </c>
      <c r="BJ1646">
        <v>0</v>
      </c>
      <c r="BK1646">
        <v>7</v>
      </c>
      <c r="BL1646">
        <v>7</v>
      </c>
      <c r="BM1646">
        <v>7</v>
      </c>
      <c r="BN1646">
        <v>7</v>
      </c>
      <c r="BO1646">
        <v>7</v>
      </c>
      <c r="BP1646">
        <v>0</v>
      </c>
      <c r="BQ1646" t="str">
        <f>"6:00 AM"</f>
        <v>6:00 AM</v>
      </c>
      <c r="BR1646" t="str">
        <f>"1:00 PM"</f>
        <v>1:00 PM</v>
      </c>
      <c r="BS1646" t="s">
        <v>131</v>
      </c>
      <c r="BT1646">
        <v>0</v>
      </c>
      <c r="BU1646">
        <v>12</v>
      </c>
      <c r="BV1646" t="s">
        <v>114</v>
      </c>
      <c r="BX1646" s="2" t="s">
        <v>22650</v>
      </c>
      <c r="BY1646" t="s">
        <v>295</v>
      </c>
      <c r="BZ1646" t="s">
        <v>132</v>
      </c>
      <c r="CA1646" t="s">
        <v>297</v>
      </c>
      <c r="CB1646" t="s">
        <v>140</v>
      </c>
      <c r="CC1646" s="8" t="str">
        <f>"33037"</f>
        <v>33037</v>
      </c>
      <c r="CD1646" t="s">
        <v>303</v>
      </c>
      <c r="CE1646" t="s">
        <v>304</v>
      </c>
      <c r="CF1646" s="12">
        <v>16.5</v>
      </c>
      <c r="CG1646" s="12">
        <v>23.25</v>
      </c>
      <c r="CH1646" s="12">
        <v>24.75</v>
      </c>
      <c r="CI1646" s="12">
        <v>34.880000000000003</v>
      </c>
      <c r="CJ1646" t="s">
        <v>135</v>
      </c>
      <c r="CK1646" t="s">
        <v>22651</v>
      </c>
      <c r="CL1646" t="s">
        <v>22652</v>
      </c>
      <c r="CO1646" t="s">
        <v>132</v>
      </c>
      <c r="CP1646" t="s">
        <v>114</v>
      </c>
      <c r="CQ1646" t="s">
        <v>114</v>
      </c>
      <c r="CR1646" t="s">
        <v>136</v>
      </c>
      <c r="CS1646" t="s">
        <v>114</v>
      </c>
      <c r="CT1646" t="s">
        <v>136</v>
      </c>
      <c r="CU1646" t="s">
        <v>136</v>
      </c>
      <c r="CV1646" t="s">
        <v>308</v>
      </c>
      <c r="CW1646" s="10" t="str">
        <f>"+13053675902"</f>
        <v>+13053675902</v>
      </c>
      <c r="CX1646" t="s">
        <v>301</v>
      </c>
      <c r="CY1646" t="s">
        <v>132</v>
      </c>
      <c r="CZ1646" t="s">
        <v>137</v>
      </c>
      <c r="DA1646" t="s">
        <v>114</v>
      </c>
      <c r="DB1646" t="s">
        <v>136</v>
      </c>
      <c r="DC1646" t="s">
        <v>136</v>
      </c>
      <c r="DD1646" t="s">
        <v>114</v>
      </c>
    </row>
    <row r="1647" spans="1:113" ht="15" customHeight="1" x14ac:dyDescent="0.25">
      <c r="A1647" t="s">
        <v>13319</v>
      </c>
      <c r="B1647" t="s">
        <v>152</v>
      </c>
      <c r="C1647" s="1">
        <v>45141.483469675928</v>
      </c>
      <c r="D1647" s="1">
        <v>45204</v>
      </c>
      <c r="E1647" t="s">
        <v>136</v>
      </c>
      <c r="F1647" t="s">
        <v>2512</v>
      </c>
      <c r="G1647" t="str">
        <f>"35-3031.00"</f>
        <v>35-3031.00</v>
      </c>
      <c r="H1647" t="s">
        <v>347</v>
      </c>
      <c r="I1647">
        <v>35</v>
      </c>
      <c r="J1647">
        <v>35</v>
      </c>
      <c r="K1647" s="1">
        <v>45231</v>
      </c>
      <c r="L1647" s="1">
        <v>45413</v>
      </c>
      <c r="M1647" s="1">
        <v>45231</v>
      </c>
      <c r="N1647" s="1">
        <v>45413</v>
      </c>
      <c r="O1647" t="s">
        <v>116</v>
      </c>
      <c r="P1647" t="s">
        <v>294</v>
      </c>
      <c r="R1647" t="s">
        <v>295</v>
      </c>
      <c r="S1647" t="s">
        <v>296</v>
      </c>
      <c r="T1647" t="s">
        <v>297</v>
      </c>
      <c r="U1647" t="s">
        <v>140</v>
      </c>
      <c r="V1647" s="8" t="str">
        <f>"33037"</f>
        <v>33037</v>
      </c>
      <c r="W1647" t="s">
        <v>118</v>
      </c>
      <c r="Y1647" s="10">
        <v>13053675902</v>
      </c>
      <c r="AA1647">
        <v>721110</v>
      </c>
      <c r="AB1647" t="s">
        <v>298</v>
      </c>
      <c r="AC1647" t="s">
        <v>299</v>
      </c>
      <c r="AE1647" t="s">
        <v>300</v>
      </c>
      <c r="AF1647" t="s">
        <v>295</v>
      </c>
      <c r="AG1647" t="s">
        <v>296</v>
      </c>
      <c r="AH1647" t="s">
        <v>297</v>
      </c>
      <c r="AI1647" t="s">
        <v>140</v>
      </c>
      <c r="AJ1647" s="8" t="str">
        <f>"33037"</f>
        <v>33037</v>
      </c>
      <c r="AK1647" t="s">
        <v>118</v>
      </c>
      <c r="AM1647" s="10">
        <v>13053675902</v>
      </c>
      <c r="AO1647" t="s">
        <v>301</v>
      </c>
      <c r="AP1647" t="s">
        <v>121</v>
      </c>
      <c r="AQ1647" t="s">
        <v>276</v>
      </c>
      <c r="AR1647" t="s">
        <v>277</v>
      </c>
      <c r="AS1647" t="s">
        <v>278</v>
      </c>
      <c r="AT1647" t="s">
        <v>279</v>
      </c>
      <c r="AU1647" t="s">
        <v>280</v>
      </c>
      <c r="AV1647" t="s">
        <v>281</v>
      </c>
      <c r="AW1647" t="s">
        <v>222</v>
      </c>
      <c r="AX1647" s="8" t="str">
        <f>"01701"</f>
        <v>01701</v>
      </c>
      <c r="AY1647" t="s">
        <v>118</v>
      </c>
      <c r="BA1647" s="10">
        <v>16179399444</v>
      </c>
      <c r="BC1647" t="s">
        <v>282</v>
      </c>
      <c r="BD1647" t="s">
        <v>283</v>
      </c>
      <c r="BE1647" t="s">
        <v>222</v>
      </c>
      <c r="BF1647" t="s">
        <v>284</v>
      </c>
      <c r="BG1647" t="s">
        <v>140</v>
      </c>
      <c r="BH1647" s="1">
        <v>45140.833333333336</v>
      </c>
      <c r="BI1647">
        <v>35</v>
      </c>
      <c r="BJ1647">
        <v>0</v>
      </c>
      <c r="BK1647">
        <v>7</v>
      </c>
      <c r="BL1647">
        <v>7</v>
      </c>
      <c r="BM1647">
        <v>7</v>
      </c>
      <c r="BN1647">
        <v>7</v>
      </c>
      <c r="BO1647">
        <v>7</v>
      </c>
      <c r="BP1647">
        <v>0</v>
      </c>
      <c r="BQ1647" t="str">
        <f>"6:00 AM"</f>
        <v>6:00 AM</v>
      </c>
      <c r="BR1647" t="str">
        <f>"1:00 PM"</f>
        <v>1:00 PM</v>
      </c>
      <c r="BS1647" t="s">
        <v>131</v>
      </c>
      <c r="BT1647">
        <v>0</v>
      </c>
      <c r="BU1647">
        <v>6</v>
      </c>
      <c r="BV1647" t="s">
        <v>114</v>
      </c>
      <c r="BX1647" s="2" t="s">
        <v>13320</v>
      </c>
      <c r="BY1647" t="s">
        <v>295</v>
      </c>
      <c r="CA1647" t="s">
        <v>297</v>
      </c>
      <c r="CB1647" t="s">
        <v>140</v>
      </c>
      <c r="CC1647" s="8" t="str">
        <f>"33037"</f>
        <v>33037</v>
      </c>
      <c r="CD1647" t="s">
        <v>303</v>
      </c>
      <c r="CE1647" t="s">
        <v>304</v>
      </c>
      <c r="CF1647" s="12">
        <v>14.2</v>
      </c>
      <c r="CH1647" s="12">
        <v>21.3</v>
      </c>
      <c r="CJ1647" t="s">
        <v>135</v>
      </c>
      <c r="CK1647" t="s">
        <v>13321</v>
      </c>
      <c r="CL1647" t="s">
        <v>13322</v>
      </c>
      <c r="CO1647" t="s">
        <v>132</v>
      </c>
      <c r="CP1647" t="s">
        <v>114</v>
      </c>
      <c r="CQ1647" t="s">
        <v>114</v>
      </c>
      <c r="CR1647" t="s">
        <v>136</v>
      </c>
      <c r="CS1647" t="s">
        <v>114</v>
      </c>
      <c r="CT1647" t="s">
        <v>136</v>
      </c>
      <c r="CU1647" t="s">
        <v>136</v>
      </c>
      <c r="CV1647" t="s">
        <v>920</v>
      </c>
      <c r="CW1647" s="10" t="str">
        <f>"+13053675902"</f>
        <v>+13053675902</v>
      </c>
      <c r="CX1647" t="s">
        <v>301</v>
      </c>
      <c r="CY1647" t="s">
        <v>132</v>
      </c>
      <c r="CZ1647" t="s">
        <v>137</v>
      </c>
      <c r="DA1647" t="s">
        <v>114</v>
      </c>
      <c r="DB1647" t="s">
        <v>136</v>
      </c>
      <c r="DC1647" t="s">
        <v>136</v>
      </c>
      <c r="DD1647" t="s">
        <v>114</v>
      </c>
    </row>
    <row r="1648" spans="1:113" ht="15" customHeight="1" x14ac:dyDescent="0.25">
      <c r="A1648" t="s">
        <v>22639</v>
      </c>
      <c r="B1648" t="s">
        <v>152</v>
      </c>
      <c r="C1648" s="1">
        <v>45141.480642824077</v>
      </c>
      <c r="D1648" s="1">
        <v>45204</v>
      </c>
      <c r="E1648" t="s">
        <v>114</v>
      </c>
      <c r="F1648" t="s">
        <v>3847</v>
      </c>
      <c r="G1648" t="str">
        <f>"39-2021.00"</f>
        <v>39-2021.00</v>
      </c>
      <c r="H1648" t="s">
        <v>2895</v>
      </c>
      <c r="I1648">
        <v>17</v>
      </c>
      <c r="J1648">
        <v>17</v>
      </c>
      <c r="K1648" s="1">
        <v>45231</v>
      </c>
      <c r="L1648" s="1">
        <v>45412</v>
      </c>
      <c r="M1648" s="1">
        <v>45231</v>
      </c>
      <c r="N1648" s="1">
        <v>45412</v>
      </c>
      <c r="O1648" t="s">
        <v>238</v>
      </c>
      <c r="P1648" t="s">
        <v>22640</v>
      </c>
      <c r="R1648" t="s">
        <v>22641</v>
      </c>
      <c r="T1648" t="s">
        <v>3255</v>
      </c>
      <c r="U1648" t="s">
        <v>434</v>
      </c>
      <c r="V1648" s="8" t="str">
        <f>"19351"</f>
        <v>19351</v>
      </c>
      <c r="W1648" t="s">
        <v>118</v>
      </c>
      <c r="Y1648" s="10">
        <v>14109911434</v>
      </c>
      <c r="AA1648">
        <v>711212</v>
      </c>
      <c r="AB1648" t="s">
        <v>22642</v>
      </c>
      <c r="AC1648" t="s">
        <v>22643</v>
      </c>
      <c r="AE1648" t="s">
        <v>3852</v>
      </c>
      <c r="AF1648" t="s">
        <v>22641</v>
      </c>
      <c r="AH1648" t="s">
        <v>3255</v>
      </c>
      <c r="AI1648" t="s">
        <v>434</v>
      </c>
      <c r="AJ1648" s="8" t="str">
        <f>"19351"</f>
        <v>19351</v>
      </c>
      <c r="AK1648" t="s">
        <v>118</v>
      </c>
      <c r="AM1648" s="10">
        <v>14109911434</v>
      </c>
      <c r="AO1648" t="s">
        <v>22644</v>
      </c>
      <c r="AP1648" t="s">
        <v>121</v>
      </c>
      <c r="AQ1648" t="s">
        <v>3854</v>
      </c>
      <c r="AR1648" t="s">
        <v>144</v>
      </c>
      <c r="AS1648" t="s">
        <v>3855</v>
      </c>
      <c r="AT1648" t="s">
        <v>2605</v>
      </c>
      <c r="AU1648" t="s">
        <v>2606</v>
      </c>
      <c r="AV1648" t="s">
        <v>2607</v>
      </c>
      <c r="AW1648" t="s">
        <v>2608</v>
      </c>
      <c r="AX1648" s="8" t="str">
        <f>"73069"</f>
        <v>73069</v>
      </c>
      <c r="AY1648" t="s">
        <v>118</v>
      </c>
      <c r="BA1648" s="10">
        <v>14053642525</v>
      </c>
      <c r="BC1648" t="s">
        <v>2609</v>
      </c>
      <c r="BD1648" t="s">
        <v>2610</v>
      </c>
      <c r="BE1648" t="s">
        <v>2608</v>
      </c>
      <c r="BF1648" t="s">
        <v>2611</v>
      </c>
      <c r="BG1648" t="s">
        <v>140</v>
      </c>
      <c r="BH1648" s="1">
        <v>45140.833333333336</v>
      </c>
      <c r="BI1648">
        <v>56</v>
      </c>
      <c r="BJ1648">
        <v>8</v>
      </c>
      <c r="BK1648">
        <v>8</v>
      </c>
      <c r="BL1648">
        <v>8</v>
      </c>
      <c r="BM1648">
        <v>8</v>
      </c>
      <c r="BN1648">
        <v>8</v>
      </c>
      <c r="BO1648">
        <v>8</v>
      </c>
      <c r="BP1648">
        <v>8</v>
      </c>
      <c r="BQ1648" t="str">
        <f>"5:00 AM"</f>
        <v>5:00 AM</v>
      </c>
      <c r="BR1648" t="str">
        <f>"5:00 PM"</f>
        <v>5:00 PM</v>
      </c>
      <c r="BS1648" t="s">
        <v>131</v>
      </c>
      <c r="BT1648">
        <v>0</v>
      </c>
      <c r="BU1648">
        <v>1</v>
      </c>
      <c r="BV1648" t="s">
        <v>114</v>
      </c>
      <c r="BX1648" s="2" t="s">
        <v>3116</v>
      </c>
      <c r="BY1648" t="s">
        <v>16908</v>
      </c>
      <c r="BZ1648" t="s">
        <v>16909</v>
      </c>
      <c r="CA1648" t="s">
        <v>16910</v>
      </c>
      <c r="CB1648" t="s">
        <v>140</v>
      </c>
      <c r="CC1648" s="8" t="str">
        <f>"33626"</f>
        <v>33626</v>
      </c>
      <c r="CD1648" t="s">
        <v>781</v>
      </c>
      <c r="CE1648" t="s">
        <v>467</v>
      </c>
      <c r="CF1648" s="12">
        <v>12.83</v>
      </c>
      <c r="CG1648" s="12">
        <v>12.83</v>
      </c>
      <c r="CH1648" s="12">
        <v>19.25</v>
      </c>
      <c r="CI1648" s="12">
        <v>19.25</v>
      </c>
      <c r="CJ1648" t="s">
        <v>135</v>
      </c>
      <c r="CL1648" t="s">
        <v>22645</v>
      </c>
      <c r="CO1648" t="s">
        <v>132</v>
      </c>
      <c r="CP1648" t="s">
        <v>114</v>
      </c>
      <c r="CQ1648" t="s">
        <v>114</v>
      </c>
      <c r="CR1648" t="s">
        <v>136</v>
      </c>
      <c r="CS1648" t="s">
        <v>114</v>
      </c>
      <c r="CT1648" t="s">
        <v>136</v>
      </c>
      <c r="CU1648" t="s">
        <v>136</v>
      </c>
      <c r="CV1648" t="s">
        <v>4029</v>
      </c>
      <c r="CW1648" s="10" t="str">
        <f>"+18139307400"</f>
        <v>+18139307400</v>
      </c>
      <c r="CX1648" t="s">
        <v>22644</v>
      </c>
      <c r="CY1648" t="s">
        <v>132</v>
      </c>
      <c r="CZ1648" t="s">
        <v>137</v>
      </c>
      <c r="DA1648" t="s">
        <v>114</v>
      </c>
      <c r="DB1648" t="s">
        <v>114</v>
      </c>
      <c r="DC1648" t="s">
        <v>136</v>
      </c>
      <c r="DD1648" t="s">
        <v>114</v>
      </c>
    </row>
    <row r="1649" spans="1:113" ht="15" customHeight="1" x14ac:dyDescent="0.25">
      <c r="A1649" t="s">
        <v>15684</v>
      </c>
      <c r="B1649" t="s">
        <v>152</v>
      </c>
      <c r="C1649" s="1">
        <v>45141.475021990744</v>
      </c>
      <c r="D1649" s="1">
        <v>45204</v>
      </c>
      <c r="E1649" t="s">
        <v>136</v>
      </c>
      <c r="F1649" t="s">
        <v>15685</v>
      </c>
      <c r="G1649" t="str">
        <f>"53-6031.00"</f>
        <v>53-6031.00</v>
      </c>
      <c r="H1649" t="s">
        <v>11982</v>
      </c>
      <c r="I1649">
        <v>2</v>
      </c>
      <c r="J1649">
        <v>2</v>
      </c>
      <c r="K1649" s="1">
        <v>45231</v>
      </c>
      <c r="L1649" s="1">
        <v>45427</v>
      </c>
      <c r="M1649" s="1">
        <v>45231</v>
      </c>
      <c r="N1649" s="1">
        <v>45427</v>
      </c>
      <c r="O1649" t="s">
        <v>116</v>
      </c>
      <c r="P1649" t="s">
        <v>1611</v>
      </c>
      <c r="Q1649" t="s">
        <v>1612</v>
      </c>
      <c r="R1649" t="s">
        <v>1613</v>
      </c>
      <c r="T1649" t="s">
        <v>1614</v>
      </c>
      <c r="U1649" t="s">
        <v>140</v>
      </c>
      <c r="V1649" s="8" t="str">
        <f>"34112"</f>
        <v>34112</v>
      </c>
      <c r="W1649" t="s">
        <v>118</v>
      </c>
      <c r="Y1649" s="10">
        <v>12397750506</v>
      </c>
      <c r="AA1649">
        <v>713930</v>
      </c>
      <c r="AB1649" t="s">
        <v>1615</v>
      </c>
      <c r="AC1649" t="s">
        <v>1616</v>
      </c>
      <c r="AE1649" t="s">
        <v>1349</v>
      </c>
      <c r="AF1649" t="s">
        <v>1613</v>
      </c>
      <c r="AH1649" t="s">
        <v>1614</v>
      </c>
      <c r="AI1649" t="s">
        <v>140</v>
      </c>
      <c r="AJ1649" s="8" t="str">
        <f>"34112"</f>
        <v>34112</v>
      </c>
      <c r="AK1649" t="s">
        <v>118</v>
      </c>
      <c r="AM1649" s="10">
        <v>12397750506</v>
      </c>
      <c r="AO1649" t="s">
        <v>1617</v>
      </c>
      <c r="AP1649" t="s">
        <v>121</v>
      </c>
      <c r="AQ1649" t="s">
        <v>276</v>
      </c>
      <c r="AR1649" t="s">
        <v>277</v>
      </c>
      <c r="AS1649" t="s">
        <v>278</v>
      </c>
      <c r="AT1649" t="s">
        <v>279</v>
      </c>
      <c r="AU1649" t="s">
        <v>280</v>
      </c>
      <c r="AV1649" t="s">
        <v>281</v>
      </c>
      <c r="AW1649" t="s">
        <v>222</v>
      </c>
      <c r="AX1649" s="8" t="str">
        <f>"01701"</f>
        <v>01701</v>
      </c>
      <c r="AY1649" t="s">
        <v>118</v>
      </c>
      <c r="BA1649" s="10">
        <v>16179399444</v>
      </c>
      <c r="BC1649" t="s">
        <v>282</v>
      </c>
      <c r="BD1649" t="s">
        <v>283</v>
      </c>
      <c r="BE1649" t="s">
        <v>222</v>
      </c>
      <c r="BF1649" t="s">
        <v>284</v>
      </c>
      <c r="BG1649" t="s">
        <v>140</v>
      </c>
      <c r="BH1649" s="1">
        <v>45140.833333333336</v>
      </c>
      <c r="BI1649">
        <v>40</v>
      </c>
      <c r="BJ1649">
        <v>0</v>
      </c>
      <c r="BK1649">
        <v>8</v>
      </c>
      <c r="BL1649">
        <v>8</v>
      </c>
      <c r="BM1649">
        <v>8</v>
      </c>
      <c r="BN1649">
        <v>8</v>
      </c>
      <c r="BO1649">
        <v>8</v>
      </c>
      <c r="BP1649">
        <v>0</v>
      </c>
      <c r="BQ1649" t="str">
        <f>"7:00 AM"</f>
        <v>7:00 AM</v>
      </c>
      <c r="BR1649" t="str">
        <f>"3:00 PM"</f>
        <v>3:00 PM</v>
      </c>
      <c r="BS1649" t="s">
        <v>131</v>
      </c>
      <c r="BT1649">
        <v>0</v>
      </c>
      <c r="BU1649">
        <v>6</v>
      </c>
      <c r="BV1649" t="s">
        <v>114</v>
      </c>
      <c r="BX1649" s="2" t="s">
        <v>15686</v>
      </c>
      <c r="BY1649" t="s">
        <v>1613</v>
      </c>
      <c r="CA1649" t="s">
        <v>1614</v>
      </c>
      <c r="CB1649" t="s">
        <v>140</v>
      </c>
      <c r="CC1649" s="8" t="str">
        <f>"34112"</f>
        <v>34112</v>
      </c>
      <c r="CD1649" t="s">
        <v>1619</v>
      </c>
      <c r="CE1649" t="s">
        <v>1620</v>
      </c>
      <c r="CF1649" s="12">
        <v>16.350000000000001</v>
      </c>
      <c r="CG1649" s="12">
        <v>17.5</v>
      </c>
      <c r="CH1649" s="12">
        <v>24.53</v>
      </c>
      <c r="CI1649" s="12">
        <v>26.25</v>
      </c>
      <c r="CJ1649" t="s">
        <v>135</v>
      </c>
      <c r="CK1649" t="s">
        <v>15687</v>
      </c>
      <c r="CL1649" t="s">
        <v>15688</v>
      </c>
      <c r="CO1649" t="s">
        <v>132</v>
      </c>
      <c r="CP1649" t="s">
        <v>114</v>
      </c>
      <c r="CQ1649" t="s">
        <v>114</v>
      </c>
      <c r="CR1649" t="s">
        <v>136</v>
      </c>
      <c r="CS1649" t="s">
        <v>136</v>
      </c>
      <c r="CT1649" t="s">
        <v>136</v>
      </c>
      <c r="CU1649" t="s">
        <v>136</v>
      </c>
      <c r="CV1649" t="s">
        <v>1623</v>
      </c>
      <c r="CW1649" s="10" t="str">
        <f>"+12397750506"</f>
        <v>+12397750506</v>
      </c>
      <c r="CX1649" t="s">
        <v>1617</v>
      </c>
      <c r="CY1649" t="s">
        <v>132</v>
      </c>
      <c r="CZ1649" t="s">
        <v>137</v>
      </c>
      <c r="DA1649" t="s">
        <v>114</v>
      </c>
      <c r="DB1649" t="s">
        <v>114</v>
      </c>
      <c r="DC1649" t="s">
        <v>136</v>
      </c>
      <c r="DD1649" t="s">
        <v>114</v>
      </c>
    </row>
    <row r="1650" spans="1:113" ht="15" customHeight="1" x14ac:dyDescent="0.25">
      <c r="A1650" t="s">
        <v>14544</v>
      </c>
      <c r="B1650" t="s">
        <v>152</v>
      </c>
      <c r="C1650" s="1">
        <v>45141.47423310185</v>
      </c>
      <c r="D1650" s="1">
        <v>45204</v>
      </c>
      <c r="E1650" t="s">
        <v>136</v>
      </c>
      <c r="F1650" t="s">
        <v>2512</v>
      </c>
      <c r="G1650" t="str">
        <f>"35-3031.00"</f>
        <v>35-3031.00</v>
      </c>
      <c r="H1650" t="s">
        <v>347</v>
      </c>
      <c r="I1650">
        <v>3</v>
      </c>
      <c r="J1650">
        <v>3</v>
      </c>
      <c r="K1650" s="1">
        <v>45231</v>
      </c>
      <c r="L1650" s="1">
        <v>45535</v>
      </c>
      <c r="M1650" s="1">
        <v>45231</v>
      </c>
      <c r="N1650" s="1">
        <v>45535</v>
      </c>
      <c r="O1650" t="s">
        <v>116</v>
      </c>
      <c r="P1650" t="s">
        <v>4681</v>
      </c>
      <c r="Q1650" t="s">
        <v>4682</v>
      </c>
      <c r="R1650" t="s">
        <v>4683</v>
      </c>
      <c r="T1650" t="s">
        <v>4684</v>
      </c>
      <c r="U1650" t="s">
        <v>140</v>
      </c>
      <c r="V1650" s="8" t="str">
        <f>"33050"</f>
        <v>33050</v>
      </c>
      <c r="W1650" t="s">
        <v>118</v>
      </c>
      <c r="Y1650" s="10">
        <v>13054819451</v>
      </c>
      <c r="AA1650">
        <v>721110</v>
      </c>
      <c r="AB1650" t="s">
        <v>4685</v>
      </c>
      <c r="AC1650" t="s">
        <v>4686</v>
      </c>
      <c r="AE1650" t="s">
        <v>4687</v>
      </c>
      <c r="AF1650" t="s">
        <v>4683</v>
      </c>
      <c r="AH1650" t="s">
        <v>4684</v>
      </c>
      <c r="AI1650" t="s">
        <v>140</v>
      </c>
      <c r="AJ1650" s="8" t="str">
        <f>"33050"</f>
        <v>33050</v>
      </c>
      <c r="AK1650" t="s">
        <v>118</v>
      </c>
      <c r="AM1650" s="10">
        <v>13054819451</v>
      </c>
      <c r="AO1650" t="s">
        <v>4688</v>
      </c>
      <c r="AP1650" t="s">
        <v>121</v>
      </c>
      <c r="AQ1650" t="s">
        <v>276</v>
      </c>
      <c r="AR1650" t="s">
        <v>277</v>
      </c>
      <c r="AS1650" t="s">
        <v>278</v>
      </c>
      <c r="AT1650" t="s">
        <v>279</v>
      </c>
      <c r="AU1650" t="s">
        <v>280</v>
      </c>
      <c r="AV1650" t="s">
        <v>281</v>
      </c>
      <c r="AW1650" t="s">
        <v>222</v>
      </c>
      <c r="AX1650" s="8" t="str">
        <f>"01701"</f>
        <v>01701</v>
      </c>
      <c r="AY1650" t="s">
        <v>118</v>
      </c>
      <c r="AZ1650" s="3" t="s">
        <v>2321</v>
      </c>
      <c r="BA1650" s="10">
        <v>16179399444</v>
      </c>
      <c r="BC1650" t="s">
        <v>282</v>
      </c>
      <c r="BD1650" t="s">
        <v>283</v>
      </c>
      <c r="BE1650" t="s">
        <v>222</v>
      </c>
      <c r="BF1650" t="s">
        <v>284</v>
      </c>
      <c r="BG1650" t="s">
        <v>140</v>
      </c>
      <c r="BH1650" s="1">
        <v>45140.833333333336</v>
      </c>
      <c r="BI1650">
        <v>40</v>
      </c>
      <c r="BJ1650">
        <v>0</v>
      </c>
      <c r="BK1650">
        <v>8</v>
      </c>
      <c r="BL1650">
        <v>8</v>
      </c>
      <c r="BM1650">
        <v>8</v>
      </c>
      <c r="BN1650">
        <v>8</v>
      </c>
      <c r="BO1650">
        <v>8</v>
      </c>
      <c r="BP1650">
        <v>0</v>
      </c>
      <c r="BQ1650" t="str">
        <f>"4:00 PM"</f>
        <v>4:00 PM</v>
      </c>
      <c r="BR1650" t="str">
        <f>"12:00 AM"</f>
        <v>12:00 AM</v>
      </c>
      <c r="BS1650" t="s">
        <v>131</v>
      </c>
      <c r="BT1650">
        <v>0</v>
      </c>
      <c r="BU1650">
        <v>3</v>
      </c>
      <c r="BV1650" t="s">
        <v>114</v>
      </c>
      <c r="BX1650" s="2" t="s">
        <v>4689</v>
      </c>
      <c r="BY1650" t="s">
        <v>4683</v>
      </c>
      <c r="CA1650" t="s">
        <v>4690</v>
      </c>
      <c r="CB1650" t="s">
        <v>140</v>
      </c>
      <c r="CC1650" s="8" t="str">
        <f>"33050"</f>
        <v>33050</v>
      </c>
      <c r="CD1650" t="s">
        <v>303</v>
      </c>
      <c r="CE1650" t="s">
        <v>304</v>
      </c>
      <c r="CF1650" s="12">
        <v>15.78</v>
      </c>
      <c r="CH1650" s="12">
        <v>23.67</v>
      </c>
      <c r="CJ1650" t="s">
        <v>135</v>
      </c>
      <c r="CK1650" t="s">
        <v>14545</v>
      </c>
      <c r="CL1650" t="s">
        <v>4692</v>
      </c>
      <c r="CO1650" t="s">
        <v>132</v>
      </c>
      <c r="CP1650" t="s">
        <v>114</v>
      </c>
      <c r="CQ1650" t="s">
        <v>114</v>
      </c>
      <c r="CR1650" t="s">
        <v>136</v>
      </c>
      <c r="CS1650" t="s">
        <v>136</v>
      </c>
      <c r="CT1650" t="s">
        <v>136</v>
      </c>
      <c r="CU1650" t="s">
        <v>136</v>
      </c>
      <c r="CV1650" t="s">
        <v>4693</v>
      </c>
      <c r="CW1650" s="10" t="str">
        <f>"+13054819451"</f>
        <v>+13054819451</v>
      </c>
      <c r="CX1650" t="s">
        <v>4688</v>
      </c>
      <c r="CY1650" t="s">
        <v>132</v>
      </c>
      <c r="CZ1650" t="s">
        <v>137</v>
      </c>
      <c r="DA1650" t="s">
        <v>114</v>
      </c>
      <c r="DB1650" t="s">
        <v>136</v>
      </c>
      <c r="DC1650" t="s">
        <v>136</v>
      </c>
      <c r="DD1650" t="s">
        <v>114</v>
      </c>
    </row>
    <row r="1651" spans="1:113" ht="15" customHeight="1" x14ac:dyDescent="0.25">
      <c r="A1651" t="s">
        <v>1610</v>
      </c>
      <c r="B1651" t="s">
        <v>152</v>
      </c>
      <c r="C1651" s="1">
        <v>45141.471528819442</v>
      </c>
      <c r="D1651" s="1">
        <v>45204</v>
      </c>
      <c r="E1651" t="s">
        <v>136</v>
      </c>
      <c r="F1651" t="s">
        <v>153</v>
      </c>
      <c r="G1651" t="str">
        <f>"35-2014.00"</f>
        <v>35-2014.00</v>
      </c>
      <c r="H1651" t="s">
        <v>154</v>
      </c>
      <c r="I1651">
        <v>5</v>
      </c>
      <c r="J1651">
        <v>5</v>
      </c>
      <c r="K1651" s="1">
        <v>45231</v>
      </c>
      <c r="L1651" s="1">
        <v>45427</v>
      </c>
      <c r="M1651" s="1">
        <v>45231</v>
      </c>
      <c r="N1651" s="1">
        <v>45427</v>
      </c>
      <c r="O1651" t="s">
        <v>116</v>
      </c>
      <c r="P1651" t="s">
        <v>1611</v>
      </c>
      <c r="Q1651" t="s">
        <v>1612</v>
      </c>
      <c r="R1651" t="s">
        <v>1613</v>
      </c>
      <c r="T1651" t="s">
        <v>1614</v>
      </c>
      <c r="U1651" t="s">
        <v>140</v>
      </c>
      <c r="V1651" s="8" t="str">
        <f>"34112"</f>
        <v>34112</v>
      </c>
      <c r="W1651" t="s">
        <v>118</v>
      </c>
      <c r="Y1651" s="10">
        <v>12397750506</v>
      </c>
      <c r="AA1651">
        <v>713930</v>
      </c>
      <c r="AB1651" t="s">
        <v>1615</v>
      </c>
      <c r="AC1651" t="s">
        <v>1616</v>
      </c>
      <c r="AE1651" t="s">
        <v>1349</v>
      </c>
      <c r="AF1651" t="s">
        <v>1613</v>
      </c>
      <c r="AH1651" t="s">
        <v>1614</v>
      </c>
      <c r="AI1651" t="s">
        <v>140</v>
      </c>
      <c r="AJ1651" s="8" t="str">
        <f>"34112"</f>
        <v>34112</v>
      </c>
      <c r="AK1651" t="s">
        <v>118</v>
      </c>
      <c r="AM1651" s="10">
        <v>12397750506</v>
      </c>
      <c r="AO1651" t="s">
        <v>1617</v>
      </c>
      <c r="AP1651" t="s">
        <v>121</v>
      </c>
      <c r="AQ1651" t="s">
        <v>276</v>
      </c>
      <c r="AR1651" t="s">
        <v>277</v>
      </c>
      <c r="AS1651" t="s">
        <v>278</v>
      </c>
      <c r="AT1651" t="s">
        <v>279</v>
      </c>
      <c r="AU1651" t="s">
        <v>280</v>
      </c>
      <c r="AV1651" t="s">
        <v>281</v>
      </c>
      <c r="AW1651" t="s">
        <v>222</v>
      </c>
      <c r="AX1651" s="8" t="str">
        <f>"01701"</f>
        <v>01701</v>
      </c>
      <c r="AY1651" t="s">
        <v>118</v>
      </c>
      <c r="BA1651" s="10">
        <v>16179399444</v>
      </c>
      <c r="BC1651" t="s">
        <v>282</v>
      </c>
      <c r="BD1651" t="s">
        <v>283</v>
      </c>
      <c r="BE1651" t="s">
        <v>222</v>
      </c>
      <c r="BF1651" t="s">
        <v>284</v>
      </c>
      <c r="BG1651" t="s">
        <v>140</v>
      </c>
      <c r="BH1651" s="1">
        <v>45140.833333333336</v>
      </c>
      <c r="BI1651">
        <v>40</v>
      </c>
      <c r="BJ1651">
        <v>0</v>
      </c>
      <c r="BK1651">
        <v>8</v>
      </c>
      <c r="BL1651">
        <v>8</v>
      </c>
      <c r="BM1651">
        <v>8</v>
      </c>
      <c r="BN1651">
        <v>8</v>
      </c>
      <c r="BO1651">
        <v>8</v>
      </c>
      <c r="BP1651">
        <v>0</v>
      </c>
      <c r="BQ1651" t="str">
        <f>"9:00 AM"</f>
        <v>9:00 AM</v>
      </c>
      <c r="BR1651" t="str">
        <f>"5:00 PM"</f>
        <v>5:00 PM</v>
      </c>
      <c r="BS1651" t="s">
        <v>131</v>
      </c>
      <c r="BT1651">
        <v>0</v>
      </c>
      <c r="BU1651">
        <v>12</v>
      </c>
      <c r="BV1651" t="s">
        <v>114</v>
      </c>
      <c r="BX1651" s="2" t="s">
        <v>1618</v>
      </c>
      <c r="BY1651" t="s">
        <v>1613</v>
      </c>
      <c r="CA1651" t="s">
        <v>1614</v>
      </c>
      <c r="CB1651" t="s">
        <v>140</v>
      </c>
      <c r="CC1651" s="8" t="str">
        <f>"34112"</f>
        <v>34112</v>
      </c>
      <c r="CD1651" t="s">
        <v>1619</v>
      </c>
      <c r="CE1651" t="s">
        <v>1620</v>
      </c>
      <c r="CF1651" s="12">
        <v>17.22</v>
      </c>
      <c r="CG1651" s="12">
        <v>22</v>
      </c>
      <c r="CH1651" s="12">
        <v>25.83</v>
      </c>
      <c r="CI1651" s="12">
        <v>33</v>
      </c>
      <c r="CJ1651" t="s">
        <v>135</v>
      </c>
      <c r="CK1651" t="s">
        <v>1621</v>
      </c>
      <c r="CL1651" t="s">
        <v>1622</v>
      </c>
      <c r="CO1651" t="s">
        <v>132</v>
      </c>
      <c r="CP1651" t="s">
        <v>114</v>
      </c>
      <c r="CQ1651" t="s">
        <v>114</v>
      </c>
      <c r="CR1651" t="s">
        <v>136</v>
      </c>
      <c r="CS1651" t="s">
        <v>136</v>
      </c>
      <c r="CT1651" t="s">
        <v>136</v>
      </c>
      <c r="CU1651" t="s">
        <v>136</v>
      </c>
      <c r="CV1651" t="s">
        <v>1623</v>
      </c>
      <c r="CW1651" s="10" t="str">
        <f>"+12397750506"</f>
        <v>+12397750506</v>
      </c>
      <c r="CX1651" t="s">
        <v>1624</v>
      </c>
      <c r="CY1651" t="s">
        <v>132</v>
      </c>
      <c r="CZ1651" t="s">
        <v>137</v>
      </c>
      <c r="DA1651" t="s">
        <v>114</v>
      </c>
      <c r="DB1651" t="s">
        <v>114</v>
      </c>
      <c r="DC1651" t="s">
        <v>136</v>
      </c>
      <c r="DD1651" t="s">
        <v>114</v>
      </c>
    </row>
    <row r="1652" spans="1:113" ht="15" customHeight="1" x14ac:dyDescent="0.25">
      <c r="A1652" t="s">
        <v>22362</v>
      </c>
      <c r="B1652" t="s">
        <v>152</v>
      </c>
      <c r="C1652" s="1">
        <v>45141.470842013892</v>
      </c>
      <c r="D1652" s="1">
        <v>45204</v>
      </c>
      <c r="E1652" t="s">
        <v>136</v>
      </c>
      <c r="F1652" t="s">
        <v>2512</v>
      </c>
      <c r="G1652" t="str">
        <f>"35-3031.00"</f>
        <v>35-3031.00</v>
      </c>
      <c r="H1652" t="s">
        <v>347</v>
      </c>
      <c r="I1652">
        <v>8</v>
      </c>
      <c r="J1652">
        <v>8</v>
      </c>
      <c r="K1652" s="1">
        <v>45231</v>
      </c>
      <c r="L1652" s="1">
        <v>45427</v>
      </c>
      <c r="M1652" s="1">
        <v>45231</v>
      </c>
      <c r="N1652" s="1">
        <v>45427</v>
      </c>
      <c r="O1652" t="s">
        <v>116</v>
      </c>
      <c r="P1652" t="s">
        <v>1611</v>
      </c>
      <c r="Q1652" t="s">
        <v>1612</v>
      </c>
      <c r="R1652" t="s">
        <v>1613</v>
      </c>
      <c r="T1652" t="s">
        <v>1614</v>
      </c>
      <c r="U1652" t="s">
        <v>140</v>
      </c>
      <c r="V1652" s="8" t="str">
        <f>"34112"</f>
        <v>34112</v>
      </c>
      <c r="W1652" t="s">
        <v>118</v>
      </c>
      <c r="Y1652" s="10">
        <v>12397750506</v>
      </c>
      <c r="AA1652">
        <v>713930</v>
      </c>
      <c r="AB1652" t="s">
        <v>1615</v>
      </c>
      <c r="AC1652" t="s">
        <v>1616</v>
      </c>
      <c r="AE1652" t="s">
        <v>1349</v>
      </c>
      <c r="AF1652" t="s">
        <v>1613</v>
      </c>
      <c r="AH1652" t="s">
        <v>1614</v>
      </c>
      <c r="AI1652" t="s">
        <v>140</v>
      </c>
      <c r="AJ1652" s="8" t="str">
        <f>"34112"</f>
        <v>34112</v>
      </c>
      <c r="AK1652" t="s">
        <v>118</v>
      </c>
      <c r="AM1652" s="10">
        <v>12397750506</v>
      </c>
      <c r="AO1652" t="s">
        <v>1617</v>
      </c>
      <c r="AP1652" t="s">
        <v>121</v>
      </c>
      <c r="AQ1652" t="s">
        <v>276</v>
      </c>
      <c r="AR1652" t="s">
        <v>277</v>
      </c>
      <c r="AS1652" t="s">
        <v>278</v>
      </c>
      <c r="AT1652" t="s">
        <v>279</v>
      </c>
      <c r="AU1652" t="s">
        <v>280</v>
      </c>
      <c r="AV1652" t="s">
        <v>281</v>
      </c>
      <c r="AW1652" t="s">
        <v>222</v>
      </c>
      <c r="AX1652" s="8" t="str">
        <f>"01701"</f>
        <v>01701</v>
      </c>
      <c r="AY1652" t="s">
        <v>118</v>
      </c>
      <c r="BA1652" s="10">
        <v>16179399444</v>
      </c>
      <c r="BC1652" t="s">
        <v>282</v>
      </c>
      <c r="BD1652" t="s">
        <v>283</v>
      </c>
      <c r="BE1652" t="s">
        <v>222</v>
      </c>
      <c r="BF1652" t="s">
        <v>284</v>
      </c>
      <c r="BG1652" t="s">
        <v>140</v>
      </c>
      <c r="BH1652" s="1">
        <v>45140.833333333336</v>
      </c>
      <c r="BI1652">
        <v>40</v>
      </c>
      <c r="BJ1652">
        <v>0</v>
      </c>
      <c r="BK1652">
        <v>8</v>
      </c>
      <c r="BL1652">
        <v>8</v>
      </c>
      <c r="BM1652">
        <v>8</v>
      </c>
      <c r="BN1652">
        <v>8</v>
      </c>
      <c r="BO1652">
        <v>8</v>
      </c>
      <c r="BP1652">
        <v>0</v>
      </c>
      <c r="BQ1652" t="str">
        <f>"10:00 AM"</f>
        <v>10:00 AM</v>
      </c>
      <c r="BR1652" t="str">
        <f>"6:00 PM"</f>
        <v>6:00 PM</v>
      </c>
      <c r="BS1652" t="s">
        <v>131</v>
      </c>
      <c r="BT1652">
        <v>0</v>
      </c>
      <c r="BU1652">
        <v>6</v>
      </c>
      <c r="BV1652" t="s">
        <v>114</v>
      </c>
      <c r="BX1652" s="2" t="s">
        <v>22363</v>
      </c>
      <c r="BY1652" t="s">
        <v>1613</v>
      </c>
      <c r="CA1652" t="s">
        <v>1614</v>
      </c>
      <c r="CB1652" t="s">
        <v>140</v>
      </c>
      <c r="CC1652" s="8" t="str">
        <f>"34112"</f>
        <v>34112</v>
      </c>
      <c r="CD1652" t="s">
        <v>1619</v>
      </c>
      <c r="CE1652" t="s">
        <v>1620</v>
      </c>
      <c r="CF1652" s="12">
        <v>17.260000000000002</v>
      </c>
      <c r="CG1652" s="12">
        <v>23.5</v>
      </c>
      <c r="CH1652" s="12">
        <v>25.89</v>
      </c>
      <c r="CI1652" s="12">
        <v>35.25</v>
      </c>
      <c r="CJ1652" t="s">
        <v>135</v>
      </c>
      <c r="CK1652" t="s">
        <v>22364</v>
      </c>
      <c r="CL1652" t="s">
        <v>22365</v>
      </c>
      <c r="CO1652" t="s">
        <v>132</v>
      </c>
      <c r="CP1652" t="s">
        <v>114</v>
      </c>
      <c r="CQ1652" t="s">
        <v>114</v>
      </c>
      <c r="CR1652" t="s">
        <v>136</v>
      </c>
      <c r="CS1652" t="s">
        <v>136</v>
      </c>
      <c r="CT1652" t="s">
        <v>136</v>
      </c>
      <c r="CU1652" t="s">
        <v>136</v>
      </c>
      <c r="CV1652" t="s">
        <v>1623</v>
      </c>
      <c r="CW1652" s="10" t="str">
        <f>"+12397750506"</f>
        <v>+12397750506</v>
      </c>
      <c r="CX1652" t="s">
        <v>1624</v>
      </c>
      <c r="CY1652" t="s">
        <v>132</v>
      </c>
      <c r="CZ1652" t="s">
        <v>137</v>
      </c>
      <c r="DA1652" t="s">
        <v>114</v>
      </c>
      <c r="DB1652" t="s">
        <v>114</v>
      </c>
      <c r="DC1652" t="s">
        <v>136</v>
      </c>
      <c r="DD1652" t="s">
        <v>114</v>
      </c>
    </row>
    <row r="1653" spans="1:113" ht="15" customHeight="1" x14ac:dyDescent="0.25">
      <c r="A1653" t="s">
        <v>23312</v>
      </c>
      <c r="B1653" t="s">
        <v>152</v>
      </c>
      <c r="C1653" s="1">
        <v>45141.466909606483</v>
      </c>
      <c r="D1653" s="1">
        <v>45204</v>
      </c>
      <c r="E1653" t="s">
        <v>136</v>
      </c>
      <c r="F1653" t="s">
        <v>6045</v>
      </c>
      <c r="G1653" t="str">
        <f>"37-2012.00"</f>
        <v>37-2012.00</v>
      </c>
      <c r="H1653" t="s">
        <v>205</v>
      </c>
      <c r="I1653">
        <v>3</v>
      </c>
      <c r="J1653">
        <v>3</v>
      </c>
      <c r="K1653" s="1">
        <v>45231</v>
      </c>
      <c r="L1653" s="1">
        <v>45412</v>
      </c>
      <c r="M1653" s="1">
        <v>45231</v>
      </c>
      <c r="N1653" s="1">
        <v>45412</v>
      </c>
      <c r="O1653" t="s">
        <v>116</v>
      </c>
      <c r="P1653" t="s">
        <v>6902</v>
      </c>
      <c r="Q1653" t="s">
        <v>4682</v>
      </c>
      <c r="R1653" t="s">
        <v>4683</v>
      </c>
      <c r="T1653" t="s">
        <v>4684</v>
      </c>
      <c r="U1653" t="s">
        <v>140</v>
      </c>
      <c r="V1653" s="8" t="str">
        <f>"33050"</f>
        <v>33050</v>
      </c>
      <c r="W1653" t="s">
        <v>118</v>
      </c>
      <c r="Y1653" s="10">
        <v>13054819451</v>
      </c>
      <c r="AA1653">
        <v>721110</v>
      </c>
      <c r="AB1653" t="s">
        <v>4685</v>
      </c>
      <c r="AC1653" t="s">
        <v>4686</v>
      </c>
      <c r="AE1653" t="s">
        <v>4687</v>
      </c>
      <c r="AF1653" t="s">
        <v>4683</v>
      </c>
      <c r="AH1653" t="s">
        <v>4684</v>
      </c>
      <c r="AI1653" t="s">
        <v>140</v>
      </c>
      <c r="AJ1653" s="8" t="str">
        <f>"33050"</f>
        <v>33050</v>
      </c>
      <c r="AK1653" t="s">
        <v>118</v>
      </c>
      <c r="AM1653" s="10">
        <v>13054819451</v>
      </c>
      <c r="AO1653" t="s">
        <v>4688</v>
      </c>
      <c r="AP1653" t="s">
        <v>121</v>
      </c>
      <c r="AQ1653" t="s">
        <v>276</v>
      </c>
      <c r="AR1653" t="s">
        <v>277</v>
      </c>
      <c r="AS1653" t="s">
        <v>278</v>
      </c>
      <c r="AT1653" t="s">
        <v>279</v>
      </c>
      <c r="AU1653" t="s">
        <v>280</v>
      </c>
      <c r="AV1653" t="s">
        <v>281</v>
      </c>
      <c r="AW1653" t="s">
        <v>222</v>
      </c>
      <c r="AX1653" s="8" t="str">
        <f>"01701"</f>
        <v>01701</v>
      </c>
      <c r="AY1653" t="s">
        <v>118</v>
      </c>
      <c r="AZ1653" s="3" t="s">
        <v>2321</v>
      </c>
      <c r="BA1653" s="10">
        <v>16179399444</v>
      </c>
      <c r="BC1653" t="s">
        <v>282</v>
      </c>
      <c r="BD1653" t="s">
        <v>283</v>
      </c>
      <c r="BE1653" t="s">
        <v>222</v>
      </c>
      <c r="BF1653" t="s">
        <v>284</v>
      </c>
      <c r="BG1653" t="s">
        <v>140</v>
      </c>
      <c r="BH1653" s="1">
        <v>45140.833333333336</v>
      </c>
      <c r="BI1653">
        <v>40</v>
      </c>
      <c r="BJ1653">
        <v>0</v>
      </c>
      <c r="BK1653">
        <v>8</v>
      </c>
      <c r="BL1653">
        <v>8</v>
      </c>
      <c r="BM1653">
        <v>8</v>
      </c>
      <c r="BN1653">
        <v>8</v>
      </c>
      <c r="BO1653">
        <v>8</v>
      </c>
      <c r="BP1653">
        <v>0</v>
      </c>
      <c r="BQ1653" t="str">
        <f>"7:00 AM"</f>
        <v>7:00 AM</v>
      </c>
      <c r="BR1653" t="str">
        <f>"3:00 PM"</f>
        <v>3:00 PM</v>
      </c>
      <c r="BS1653" t="s">
        <v>131</v>
      </c>
      <c r="BT1653">
        <v>0</v>
      </c>
      <c r="BU1653">
        <v>3</v>
      </c>
      <c r="BV1653" t="s">
        <v>114</v>
      </c>
      <c r="BX1653" s="2" t="s">
        <v>11395</v>
      </c>
      <c r="BY1653" t="s">
        <v>4683</v>
      </c>
      <c r="CA1653" t="s">
        <v>4684</v>
      </c>
      <c r="CB1653" t="s">
        <v>140</v>
      </c>
      <c r="CC1653" s="8" t="str">
        <f>"33050"</f>
        <v>33050</v>
      </c>
      <c r="CD1653" t="s">
        <v>303</v>
      </c>
      <c r="CE1653" t="s">
        <v>304</v>
      </c>
      <c r="CF1653" s="12">
        <v>16</v>
      </c>
      <c r="CG1653" s="12">
        <v>16</v>
      </c>
      <c r="CH1653" s="12">
        <v>24</v>
      </c>
      <c r="CI1653" s="12">
        <v>24</v>
      </c>
      <c r="CJ1653" t="s">
        <v>135</v>
      </c>
      <c r="CK1653" t="s">
        <v>23313</v>
      </c>
      <c r="CL1653" t="s">
        <v>11397</v>
      </c>
      <c r="CO1653" t="s">
        <v>132</v>
      </c>
      <c r="CP1653" t="s">
        <v>114</v>
      </c>
      <c r="CQ1653" t="s">
        <v>114</v>
      </c>
      <c r="CR1653" t="s">
        <v>136</v>
      </c>
      <c r="CS1653" t="s">
        <v>136</v>
      </c>
      <c r="CT1653" t="s">
        <v>136</v>
      </c>
      <c r="CU1653" t="s">
        <v>136</v>
      </c>
      <c r="CV1653" t="s">
        <v>11398</v>
      </c>
      <c r="CW1653" s="10" t="str">
        <f>"+13054819451"</f>
        <v>+13054819451</v>
      </c>
      <c r="CX1653" t="s">
        <v>4688</v>
      </c>
      <c r="CY1653" t="s">
        <v>132</v>
      </c>
      <c r="CZ1653" t="s">
        <v>137</v>
      </c>
      <c r="DA1653" t="s">
        <v>114</v>
      </c>
      <c r="DB1653" t="s">
        <v>114</v>
      </c>
      <c r="DC1653" t="s">
        <v>136</v>
      </c>
      <c r="DD1653" t="s">
        <v>114</v>
      </c>
    </row>
    <row r="1654" spans="1:113" ht="15" customHeight="1" x14ac:dyDescent="0.25">
      <c r="A1654" t="s">
        <v>18717</v>
      </c>
      <c r="B1654" t="s">
        <v>152</v>
      </c>
      <c r="C1654" s="1">
        <v>45141.46517476852</v>
      </c>
      <c r="D1654" s="1">
        <v>45204</v>
      </c>
      <c r="E1654" t="s">
        <v>136</v>
      </c>
      <c r="F1654" t="s">
        <v>1059</v>
      </c>
      <c r="G1654" t="str">
        <f>"35-2014.00"</f>
        <v>35-2014.00</v>
      </c>
      <c r="H1654" t="s">
        <v>154</v>
      </c>
      <c r="I1654">
        <v>2</v>
      </c>
      <c r="J1654">
        <v>2</v>
      </c>
      <c r="K1654" s="1">
        <v>45231</v>
      </c>
      <c r="L1654" s="1">
        <v>45535</v>
      </c>
      <c r="M1654" s="1">
        <v>45231</v>
      </c>
      <c r="N1654" s="1">
        <v>45535</v>
      </c>
      <c r="O1654" t="s">
        <v>116</v>
      </c>
      <c r="P1654" t="s">
        <v>6902</v>
      </c>
      <c r="Q1654" t="s">
        <v>4682</v>
      </c>
      <c r="R1654" t="s">
        <v>4683</v>
      </c>
      <c r="T1654" t="s">
        <v>4684</v>
      </c>
      <c r="U1654" t="s">
        <v>140</v>
      </c>
      <c r="V1654" s="8" t="str">
        <f>"33050"</f>
        <v>33050</v>
      </c>
      <c r="W1654" t="s">
        <v>118</v>
      </c>
      <c r="Y1654" s="10">
        <v>13054819451</v>
      </c>
      <c r="AA1654">
        <v>721110</v>
      </c>
      <c r="AB1654" t="s">
        <v>4685</v>
      </c>
      <c r="AC1654" t="s">
        <v>4686</v>
      </c>
      <c r="AE1654" t="s">
        <v>4687</v>
      </c>
      <c r="AF1654" t="s">
        <v>4683</v>
      </c>
      <c r="AH1654" t="s">
        <v>4684</v>
      </c>
      <c r="AI1654" t="s">
        <v>140</v>
      </c>
      <c r="AJ1654" s="8" t="str">
        <f>"33050"</f>
        <v>33050</v>
      </c>
      <c r="AK1654" t="s">
        <v>118</v>
      </c>
      <c r="AM1654" s="10">
        <v>13054819451</v>
      </c>
      <c r="AO1654" t="s">
        <v>4688</v>
      </c>
      <c r="AP1654" t="s">
        <v>121</v>
      </c>
      <c r="AQ1654" t="s">
        <v>276</v>
      </c>
      <c r="AR1654" t="s">
        <v>277</v>
      </c>
      <c r="AS1654" t="s">
        <v>278</v>
      </c>
      <c r="AT1654" t="s">
        <v>279</v>
      </c>
      <c r="AU1654" t="s">
        <v>280</v>
      </c>
      <c r="AV1654" t="s">
        <v>281</v>
      </c>
      <c r="AW1654" t="s">
        <v>222</v>
      </c>
      <c r="AX1654" s="8" t="str">
        <f>"01701"</f>
        <v>01701</v>
      </c>
      <c r="AY1654" t="s">
        <v>118</v>
      </c>
      <c r="AZ1654" s="3" t="s">
        <v>2321</v>
      </c>
      <c r="BA1654" s="10">
        <v>16179399444</v>
      </c>
      <c r="BC1654" t="s">
        <v>282</v>
      </c>
      <c r="BD1654" t="s">
        <v>283</v>
      </c>
      <c r="BE1654" t="s">
        <v>222</v>
      </c>
      <c r="BF1654" t="s">
        <v>284</v>
      </c>
      <c r="BG1654" t="s">
        <v>140</v>
      </c>
      <c r="BH1654" s="1">
        <v>45140.833333333336</v>
      </c>
      <c r="BI1654">
        <v>40</v>
      </c>
      <c r="BJ1654">
        <v>0</v>
      </c>
      <c r="BK1654">
        <v>8</v>
      </c>
      <c r="BL1654">
        <v>8</v>
      </c>
      <c r="BM1654">
        <v>8</v>
      </c>
      <c r="BN1654">
        <v>8</v>
      </c>
      <c r="BO1654">
        <v>8</v>
      </c>
      <c r="BP1654">
        <v>0</v>
      </c>
      <c r="BQ1654" t="str">
        <f>"4:00 PM"</f>
        <v>4:00 PM</v>
      </c>
      <c r="BR1654" t="str">
        <f>"12:00 AM"</f>
        <v>12:00 AM</v>
      </c>
      <c r="BS1654" t="s">
        <v>131</v>
      </c>
      <c r="BT1654">
        <v>0</v>
      </c>
      <c r="BU1654">
        <v>6</v>
      </c>
      <c r="BV1654" t="s">
        <v>114</v>
      </c>
      <c r="BX1654" s="2" t="s">
        <v>6903</v>
      </c>
      <c r="BY1654" t="s">
        <v>4683</v>
      </c>
      <c r="CA1654" t="s">
        <v>4684</v>
      </c>
      <c r="CB1654" t="s">
        <v>140</v>
      </c>
      <c r="CC1654" s="8" t="str">
        <f>"33050"</f>
        <v>33050</v>
      </c>
      <c r="CD1654" t="s">
        <v>303</v>
      </c>
      <c r="CE1654" t="s">
        <v>304</v>
      </c>
      <c r="CF1654" s="12">
        <v>17</v>
      </c>
      <c r="CG1654" s="12">
        <v>17</v>
      </c>
      <c r="CH1654" s="12">
        <v>25.5</v>
      </c>
      <c r="CI1654" s="12">
        <v>25.5</v>
      </c>
      <c r="CJ1654" t="s">
        <v>135</v>
      </c>
      <c r="CK1654" t="s">
        <v>6904</v>
      </c>
      <c r="CL1654" t="s">
        <v>6905</v>
      </c>
      <c r="CO1654" t="s">
        <v>132</v>
      </c>
      <c r="CP1654" t="s">
        <v>114</v>
      </c>
      <c r="CQ1654" t="s">
        <v>114</v>
      </c>
      <c r="CR1654" t="s">
        <v>136</v>
      </c>
      <c r="CS1654" t="s">
        <v>136</v>
      </c>
      <c r="CT1654" t="s">
        <v>136</v>
      </c>
      <c r="CU1654" t="s">
        <v>136</v>
      </c>
      <c r="CV1654" s="2" t="s">
        <v>4777</v>
      </c>
      <c r="CW1654" s="10" t="str">
        <f>"+13054819451"</f>
        <v>+13054819451</v>
      </c>
      <c r="CX1654" t="s">
        <v>4688</v>
      </c>
      <c r="CY1654" t="s">
        <v>132</v>
      </c>
      <c r="CZ1654" t="s">
        <v>137</v>
      </c>
      <c r="DA1654" t="s">
        <v>114</v>
      </c>
      <c r="DB1654" t="s">
        <v>136</v>
      </c>
      <c r="DC1654" t="s">
        <v>136</v>
      </c>
      <c r="DD1654" t="s">
        <v>114</v>
      </c>
    </row>
    <row r="1655" spans="1:113" ht="15" customHeight="1" x14ac:dyDescent="0.25">
      <c r="A1655" t="s">
        <v>1572</v>
      </c>
      <c r="B1655" t="s">
        <v>152</v>
      </c>
      <c r="C1655" s="1">
        <v>45141.464360300924</v>
      </c>
      <c r="D1655" s="1">
        <v>45204</v>
      </c>
      <c r="E1655" t="s">
        <v>114</v>
      </c>
      <c r="F1655" t="s">
        <v>1573</v>
      </c>
      <c r="G1655" t="str">
        <f>"51-3022.00"</f>
        <v>51-3022.00</v>
      </c>
      <c r="H1655" t="s">
        <v>1004</v>
      </c>
      <c r="I1655">
        <v>20</v>
      </c>
      <c r="J1655">
        <v>20</v>
      </c>
      <c r="K1655" s="1">
        <v>45231</v>
      </c>
      <c r="L1655" s="1">
        <v>45444</v>
      </c>
      <c r="M1655" s="1">
        <v>45231</v>
      </c>
      <c r="N1655" s="1">
        <v>45444</v>
      </c>
      <c r="O1655" t="s">
        <v>238</v>
      </c>
      <c r="P1655" t="s">
        <v>1574</v>
      </c>
      <c r="R1655" t="s">
        <v>1575</v>
      </c>
      <c r="S1655" t="s">
        <v>1576</v>
      </c>
      <c r="T1655" t="s">
        <v>1577</v>
      </c>
      <c r="U1655" t="s">
        <v>127</v>
      </c>
      <c r="V1655" s="8" t="str">
        <f>"77457"</f>
        <v>77457</v>
      </c>
      <c r="W1655" t="s">
        <v>118</v>
      </c>
      <c r="Y1655" s="10">
        <v>19798637563</v>
      </c>
      <c r="AA1655">
        <v>31171</v>
      </c>
      <c r="AB1655" t="s">
        <v>1578</v>
      </c>
      <c r="AC1655" t="s">
        <v>1579</v>
      </c>
      <c r="AE1655" t="s">
        <v>1580</v>
      </c>
      <c r="AF1655" t="s">
        <v>1575</v>
      </c>
      <c r="AG1655" t="s">
        <v>1576</v>
      </c>
      <c r="AH1655" t="s">
        <v>1577</v>
      </c>
      <c r="AI1655" t="s">
        <v>127</v>
      </c>
      <c r="AJ1655" s="8" t="str">
        <f>"77457"</f>
        <v>77457</v>
      </c>
      <c r="AK1655" t="s">
        <v>118</v>
      </c>
      <c r="AM1655" s="10">
        <v>19798637563</v>
      </c>
      <c r="AO1655" t="s">
        <v>1581</v>
      </c>
      <c r="AP1655" t="s">
        <v>248</v>
      </c>
      <c r="AQ1655" t="s">
        <v>1582</v>
      </c>
      <c r="AR1655" t="s">
        <v>1583</v>
      </c>
      <c r="AS1655" t="s">
        <v>631</v>
      </c>
      <c r="AT1655" t="s">
        <v>1584</v>
      </c>
      <c r="AU1655" t="s">
        <v>132</v>
      </c>
      <c r="AV1655" t="s">
        <v>1585</v>
      </c>
      <c r="AW1655" t="s">
        <v>127</v>
      </c>
      <c r="AX1655" s="8" t="str">
        <f>"77414"</f>
        <v>77414</v>
      </c>
      <c r="AY1655" t="s">
        <v>118</v>
      </c>
      <c r="BA1655" s="10">
        <v>19793187280</v>
      </c>
      <c r="BC1655" t="s">
        <v>1586</v>
      </c>
      <c r="BD1655" t="s">
        <v>1587</v>
      </c>
      <c r="BG1655" t="s">
        <v>127</v>
      </c>
      <c r="BH1655" s="1">
        <v>45140.833333333336</v>
      </c>
      <c r="BI1655">
        <v>35</v>
      </c>
      <c r="BJ1655">
        <v>0</v>
      </c>
      <c r="BK1655">
        <v>7</v>
      </c>
      <c r="BL1655">
        <v>7</v>
      </c>
      <c r="BM1655">
        <v>7</v>
      </c>
      <c r="BN1655">
        <v>7</v>
      </c>
      <c r="BO1655">
        <v>7</v>
      </c>
      <c r="BP1655">
        <v>0</v>
      </c>
      <c r="BQ1655" t="str">
        <f>"6:00 AM"</f>
        <v>6:00 AM</v>
      </c>
      <c r="BR1655" t="str">
        <f>"1:00 PM"</f>
        <v>1:00 PM</v>
      </c>
      <c r="BS1655" t="s">
        <v>131</v>
      </c>
      <c r="BT1655">
        <v>0</v>
      </c>
      <c r="BU1655">
        <v>0</v>
      </c>
      <c r="BV1655" t="s">
        <v>114</v>
      </c>
      <c r="BX1655" s="2" t="s">
        <v>1588</v>
      </c>
      <c r="BY1655" t="s">
        <v>1575</v>
      </c>
      <c r="BZ1655" t="s">
        <v>132</v>
      </c>
      <c r="CA1655" t="s">
        <v>1577</v>
      </c>
      <c r="CB1655" t="s">
        <v>127</v>
      </c>
      <c r="CC1655" s="8" t="str">
        <f>"77457"</f>
        <v>77457</v>
      </c>
      <c r="CD1655" t="s">
        <v>1589</v>
      </c>
      <c r="CE1655" t="s">
        <v>1590</v>
      </c>
      <c r="CF1655" s="12">
        <v>13.28</v>
      </c>
      <c r="CH1655" s="12">
        <v>19.920000000000002</v>
      </c>
      <c r="CJ1655" t="s">
        <v>135</v>
      </c>
      <c r="CK1655" t="s">
        <v>1591</v>
      </c>
      <c r="CL1655" t="s">
        <v>1592</v>
      </c>
      <c r="CO1655" t="s">
        <v>132</v>
      </c>
      <c r="CP1655" t="s">
        <v>114</v>
      </c>
      <c r="CQ1655" t="s">
        <v>114</v>
      </c>
      <c r="CR1655" t="s">
        <v>136</v>
      </c>
      <c r="CS1655" t="s">
        <v>136</v>
      </c>
      <c r="CT1655" t="s">
        <v>136</v>
      </c>
      <c r="CU1655" t="s">
        <v>136</v>
      </c>
      <c r="CV1655" t="s">
        <v>1593</v>
      </c>
      <c r="CW1655" s="10" t="str">
        <f>"+19798637563"</f>
        <v>+19798637563</v>
      </c>
      <c r="CX1655" t="s">
        <v>1581</v>
      </c>
      <c r="CY1655" t="s">
        <v>132</v>
      </c>
      <c r="CZ1655" t="s">
        <v>137</v>
      </c>
      <c r="DA1655" t="s">
        <v>114</v>
      </c>
      <c r="DB1655" t="s">
        <v>114</v>
      </c>
      <c r="DC1655" t="s">
        <v>136</v>
      </c>
      <c r="DD1655" t="s">
        <v>114</v>
      </c>
    </row>
    <row r="1656" spans="1:113" ht="15" customHeight="1" x14ac:dyDescent="0.25">
      <c r="A1656" t="s">
        <v>11642</v>
      </c>
      <c r="B1656" t="s">
        <v>152</v>
      </c>
      <c r="C1656" s="1">
        <v>45141.418897337964</v>
      </c>
      <c r="D1656" s="1">
        <v>45204</v>
      </c>
      <c r="E1656" t="s">
        <v>114</v>
      </c>
      <c r="F1656" t="s">
        <v>11643</v>
      </c>
      <c r="G1656" t="str">
        <f>"37-2011.00"</f>
        <v>37-2011.00</v>
      </c>
      <c r="H1656" t="s">
        <v>1089</v>
      </c>
      <c r="I1656">
        <v>10</v>
      </c>
      <c r="J1656">
        <v>10</v>
      </c>
      <c r="K1656" s="1">
        <v>45231</v>
      </c>
      <c r="L1656" s="1">
        <v>45382</v>
      </c>
      <c r="M1656" s="1">
        <v>45231</v>
      </c>
      <c r="N1656" s="1">
        <v>45382</v>
      </c>
      <c r="O1656" t="s">
        <v>238</v>
      </c>
      <c r="P1656" t="s">
        <v>11644</v>
      </c>
      <c r="R1656" t="s">
        <v>11645</v>
      </c>
      <c r="S1656" t="s">
        <v>11646</v>
      </c>
      <c r="T1656" t="s">
        <v>7738</v>
      </c>
      <c r="U1656" t="s">
        <v>584</v>
      </c>
      <c r="V1656" s="8" t="str">
        <f>"83128"</f>
        <v>83128</v>
      </c>
      <c r="W1656" t="s">
        <v>118</v>
      </c>
      <c r="Y1656" s="10">
        <v>12088215224</v>
      </c>
      <c r="AA1656">
        <v>56173</v>
      </c>
      <c r="AB1656" t="s">
        <v>11647</v>
      </c>
      <c r="AC1656" t="s">
        <v>11648</v>
      </c>
      <c r="AE1656" t="s">
        <v>629</v>
      </c>
      <c r="AF1656" t="s">
        <v>11645</v>
      </c>
      <c r="AG1656" t="s">
        <v>11646</v>
      </c>
      <c r="AH1656" t="s">
        <v>7738</v>
      </c>
      <c r="AI1656" t="s">
        <v>584</v>
      </c>
      <c r="AJ1656" s="8" t="str">
        <f>"83128"</f>
        <v>83128</v>
      </c>
      <c r="AK1656" t="s">
        <v>118</v>
      </c>
      <c r="AM1656" s="10">
        <v>12088215224</v>
      </c>
      <c r="AO1656" t="s">
        <v>132</v>
      </c>
      <c r="AP1656" t="s">
        <v>248</v>
      </c>
      <c r="AQ1656" t="s">
        <v>577</v>
      </c>
      <c r="AR1656" t="s">
        <v>578</v>
      </c>
      <c r="AT1656" t="s">
        <v>579</v>
      </c>
      <c r="AV1656" t="s">
        <v>580</v>
      </c>
      <c r="AW1656" t="s">
        <v>581</v>
      </c>
      <c r="AX1656" s="8" t="str">
        <f>"22903"</f>
        <v>22903</v>
      </c>
      <c r="AY1656" t="s">
        <v>118</v>
      </c>
      <c r="BA1656" s="10">
        <v>14342634300</v>
      </c>
      <c r="BC1656" t="s">
        <v>6249</v>
      </c>
      <c r="BD1656" t="s">
        <v>583</v>
      </c>
      <c r="BG1656" t="s">
        <v>584</v>
      </c>
      <c r="BH1656" s="1">
        <v>45140.833333333336</v>
      </c>
      <c r="BI1656">
        <v>35</v>
      </c>
      <c r="BJ1656">
        <v>0</v>
      </c>
      <c r="BK1656">
        <v>7</v>
      </c>
      <c r="BL1656">
        <v>7</v>
      </c>
      <c r="BM1656">
        <v>7</v>
      </c>
      <c r="BN1656">
        <v>7</v>
      </c>
      <c r="BO1656">
        <v>7</v>
      </c>
      <c r="BP1656">
        <v>0</v>
      </c>
      <c r="BQ1656" t="str">
        <f>"5:00 AM"</f>
        <v>5:00 AM</v>
      </c>
      <c r="BR1656" t="str">
        <f>"1:00 PM"</f>
        <v>1:00 PM</v>
      </c>
      <c r="BS1656" t="s">
        <v>131</v>
      </c>
      <c r="BT1656">
        <v>0</v>
      </c>
      <c r="BU1656">
        <v>0</v>
      </c>
      <c r="BV1656" t="s">
        <v>114</v>
      </c>
      <c r="BX1656" s="2" t="s">
        <v>11649</v>
      </c>
      <c r="BY1656" t="s">
        <v>11148</v>
      </c>
      <c r="CA1656" t="s">
        <v>6781</v>
      </c>
      <c r="CB1656" t="s">
        <v>584</v>
      </c>
      <c r="CC1656" s="8" t="str">
        <f>"83025"</f>
        <v>83025</v>
      </c>
      <c r="CD1656" t="s">
        <v>588</v>
      </c>
      <c r="CE1656" t="s">
        <v>589</v>
      </c>
      <c r="CF1656" s="12">
        <v>16.48</v>
      </c>
      <c r="CH1656" s="12">
        <v>24.72</v>
      </c>
      <c r="CJ1656" t="s">
        <v>135</v>
      </c>
      <c r="CK1656" t="s">
        <v>590</v>
      </c>
      <c r="CL1656" t="s">
        <v>11650</v>
      </c>
      <c r="CO1656" t="s">
        <v>132</v>
      </c>
      <c r="CP1656" t="s">
        <v>136</v>
      </c>
      <c r="CQ1656" t="s">
        <v>114</v>
      </c>
      <c r="CR1656" t="s">
        <v>136</v>
      </c>
      <c r="CS1656" t="s">
        <v>136</v>
      </c>
      <c r="CT1656" t="s">
        <v>136</v>
      </c>
      <c r="CU1656" t="s">
        <v>136</v>
      </c>
      <c r="CV1656" t="s">
        <v>9101</v>
      </c>
      <c r="CW1656" s="10" t="str">
        <f>"N/A"</f>
        <v>N/A</v>
      </c>
      <c r="CX1656" t="s">
        <v>11651</v>
      </c>
      <c r="CY1656" t="s">
        <v>594</v>
      </c>
      <c r="CZ1656" t="s">
        <v>137</v>
      </c>
      <c r="DA1656" t="s">
        <v>114</v>
      </c>
      <c r="DB1656" t="s">
        <v>114</v>
      </c>
      <c r="DC1656" t="s">
        <v>136</v>
      </c>
      <c r="DD1656" t="s">
        <v>114</v>
      </c>
      <c r="DE1656" t="s">
        <v>5698</v>
      </c>
      <c r="DF1656" t="s">
        <v>3175</v>
      </c>
      <c r="DH1656" t="s">
        <v>583</v>
      </c>
      <c r="DI1656" t="s">
        <v>6249</v>
      </c>
    </row>
    <row r="1657" spans="1:113" ht="15" customHeight="1" x14ac:dyDescent="0.25">
      <c r="A1657" t="s">
        <v>6197</v>
      </c>
      <c r="B1657" t="s">
        <v>152</v>
      </c>
      <c r="C1657" s="1">
        <v>45141.346423263887</v>
      </c>
      <c r="D1657" s="1">
        <v>45204</v>
      </c>
      <c r="E1657" t="s">
        <v>114</v>
      </c>
      <c r="F1657" t="s">
        <v>6198</v>
      </c>
      <c r="G1657" t="str">
        <f>"51-3022.00"</f>
        <v>51-3022.00</v>
      </c>
      <c r="H1657" t="s">
        <v>1004</v>
      </c>
      <c r="I1657">
        <v>16</v>
      </c>
      <c r="J1657">
        <v>16</v>
      </c>
      <c r="K1657" s="1">
        <v>45231</v>
      </c>
      <c r="L1657" s="1">
        <v>45504</v>
      </c>
      <c r="M1657" s="1">
        <v>45231</v>
      </c>
      <c r="N1657" s="1">
        <v>45504</v>
      </c>
      <c r="O1657" t="s">
        <v>116</v>
      </c>
      <c r="P1657" t="s">
        <v>6199</v>
      </c>
      <c r="R1657" t="s">
        <v>6200</v>
      </c>
      <c r="T1657" t="s">
        <v>6201</v>
      </c>
      <c r="U1657" t="s">
        <v>140</v>
      </c>
      <c r="V1657" s="8" t="str">
        <f>"32466"</f>
        <v>32466</v>
      </c>
      <c r="W1657" t="s">
        <v>118</v>
      </c>
      <c r="Y1657" s="10">
        <v>18507229598</v>
      </c>
      <c r="AA1657">
        <v>31171</v>
      </c>
      <c r="AB1657" t="s">
        <v>6202</v>
      </c>
      <c r="AC1657" t="s">
        <v>1069</v>
      </c>
      <c r="AD1657" t="s">
        <v>2356</v>
      </c>
      <c r="AE1657" t="s">
        <v>1799</v>
      </c>
      <c r="AF1657" t="s">
        <v>6200</v>
      </c>
      <c r="AH1657" t="s">
        <v>6201</v>
      </c>
      <c r="AI1657" t="s">
        <v>140</v>
      </c>
      <c r="AJ1657" s="8" t="str">
        <f>"32466"</f>
        <v>32466</v>
      </c>
      <c r="AK1657" t="s">
        <v>118</v>
      </c>
      <c r="AM1657" s="10">
        <v>18507229598</v>
      </c>
      <c r="AO1657" t="s">
        <v>6203</v>
      </c>
      <c r="AP1657" t="s">
        <v>248</v>
      </c>
      <c r="AQ1657" t="s">
        <v>1860</v>
      </c>
      <c r="AR1657" t="s">
        <v>1861</v>
      </c>
      <c r="AS1657" t="s">
        <v>1862</v>
      </c>
      <c r="AT1657" t="s">
        <v>1863</v>
      </c>
      <c r="AU1657" t="s">
        <v>1864</v>
      </c>
      <c r="AV1657" t="s">
        <v>1865</v>
      </c>
      <c r="AW1657" t="s">
        <v>581</v>
      </c>
      <c r="AX1657" s="8" t="str">
        <f>"24521"</f>
        <v>24521</v>
      </c>
      <c r="AY1657" t="s">
        <v>118</v>
      </c>
      <c r="BA1657" s="10">
        <v>14349460035</v>
      </c>
      <c r="BB1657">
        <v>11</v>
      </c>
      <c r="BC1657" t="s">
        <v>1866</v>
      </c>
      <c r="BD1657" t="s">
        <v>1867</v>
      </c>
      <c r="BG1657" t="s">
        <v>140</v>
      </c>
      <c r="BH1657" s="1">
        <v>45140.833333333336</v>
      </c>
      <c r="BI1657">
        <v>35</v>
      </c>
      <c r="BJ1657">
        <v>0</v>
      </c>
      <c r="BK1657">
        <v>7</v>
      </c>
      <c r="BL1657">
        <v>7</v>
      </c>
      <c r="BM1657">
        <v>7</v>
      </c>
      <c r="BN1657">
        <v>7</v>
      </c>
      <c r="BO1657">
        <v>7</v>
      </c>
      <c r="BP1657">
        <v>0</v>
      </c>
      <c r="BQ1657" t="str">
        <f>"7:00 AM"</f>
        <v>7:00 AM</v>
      </c>
      <c r="BR1657" t="str">
        <f>"3:00 PM"</f>
        <v>3:00 PM</v>
      </c>
      <c r="BS1657" t="s">
        <v>131</v>
      </c>
      <c r="BT1657">
        <v>0</v>
      </c>
      <c r="BU1657">
        <v>0</v>
      </c>
      <c r="BV1657" t="s">
        <v>114</v>
      </c>
      <c r="BX1657" s="2" t="s">
        <v>6204</v>
      </c>
      <c r="BY1657" t="s">
        <v>6200</v>
      </c>
      <c r="CA1657" t="s">
        <v>6201</v>
      </c>
      <c r="CB1657" t="s">
        <v>140</v>
      </c>
      <c r="CC1657" s="8" t="str">
        <f>"32466"</f>
        <v>32466</v>
      </c>
      <c r="CD1657" t="s">
        <v>2727</v>
      </c>
      <c r="CE1657" t="s">
        <v>2728</v>
      </c>
      <c r="CF1657" s="12">
        <v>14.09</v>
      </c>
      <c r="CG1657" s="12">
        <v>14.09</v>
      </c>
      <c r="CH1657" s="12">
        <v>21.14</v>
      </c>
      <c r="CI1657" s="12">
        <v>21.14</v>
      </c>
      <c r="CJ1657" t="s">
        <v>135</v>
      </c>
      <c r="CK1657" t="s">
        <v>1870</v>
      </c>
      <c r="CL1657" t="s">
        <v>6205</v>
      </c>
      <c r="CO1657" t="s">
        <v>132</v>
      </c>
      <c r="CP1657" t="s">
        <v>114</v>
      </c>
      <c r="CQ1657" t="s">
        <v>114</v>
      </c>
      <c r="CR1657" t="s">
        <v>136</v>
      </c>
      <c r="CS1657" t="s">
        <v>136</v>
      </c>
      <c r="CT1657" t="s">
        <v>136</v>
      </c>
      <c r="CU1657" t="s">
        <v>136</v>
      </c>
      <c r="CV1657" s="2" t="s">
        <v>6206</v>
      </c>
      <c r="CW1657" s="10" t="str">
        <f>"+18507229598"</f>
        <v>+18507229598</v>
      </c>
      <c r="CX1657" t="s">
        <v>132</v>
      </c>
      <c r="CY1657" t="s">
        <v>6175</v>
      </c>
      <c r="CZ1657" t="s">
        <v>137</v>
      </c>
      <c r="DA1657" t="s">
        <v>114</v>
      </c>
      <c r="DB1657" t="s">
        <v>136</v>
      </c>
      <c r="DC1657" t="s">
        <v>136</v>
      </c>
      <c r="DD1657" t="s">
        <v>114</v>
      </c>
    </row>
    <row r="1658" spans="1:113" ht="15" customHeight="1" x14ac:dyDescent="0.25">
      <c r="A1658" t="s">
        <v>8394</v>
      </c>
      <c r="B1658" t="s">
        <v>152</v>
      </c>
      <c r="C1658" s="1">
        <v>45141.268553472219</v>
      </c>
      <c r="D1658" s="1">
        <v>45204</v>
      </c>
      <c r="E1658" t="s">
        <v>114</v>
      </c>
      <c r="F1658" t="s">
        <v>8395</v>
      </c>
      <c r="G1658" t="str">
        <f>"37-3011.00"</f>
        <v>37-3011.00</v>
      </c>
      <c r="H1658" t="s">
        <v>429</v>
      </c>
      <c r="I1658">
        <v>6</v>
      </c>
      <c r="J1658">
        <v>6</v>
      </c>
      <c r="K1658" s="1">
        <v>45231</v>
      </c>
      <c r="L1658" s="1">
        <v>45532</v>
      </c>
      <c r="M1658" s="1">
        <v>45231</v>
      </c>
      <c r="N1658" s="1">
        <v>45532</v>
      </c>
      <c r="O1658" t="s">
        <v>116</v>
      </c>
      <c r="P1658" t="s">
        <v>8396</v>
      </c>
      <c r="R1658" t="s">
        <v>8397</v>
      </c>
      <c r="T1658" t="s">
        <v>8398</v>
      </c>
      <c r="U1658" t="s">
        <v>1642</v>
      </c>
      <c r="V1658" s="8" t="str">
        <f>"26003"</f>
        <v>26003</v>
      </c>
      <c r="W1658" t="s">
        <v>118</v>
      </c>
      <c r="Y1658" s="10">
        <v>13042434032</v>
      </c>
      <c r="AA1658">
        <v>713110</v>
      </c>
      <c r="AB1658" t="s">
        <v>8399</v>
      </c>
      <c r="AC1658" t="s">
        <v>7528</v>
      </c>
      <c r="AE1658" t="s">
        <v>7804</v>
      </c>
      <c r="AF1658" t="s">
        <v>8397</v>
      </c>
      <c r="AH1658" t="s">
        <v>8398</v>
      </c>
      <c r="AI1658" t="s">
        <v>1642</v>
      </c>
      <c r="AJ1658" s="8" t="str">
        <f>"26003"</f>
        <v>26003</v>
      </c>
      <c r="AK1658" t="s">
        <v>118</v>
      </c>
      <c r="AM1658" s="10">
        <v>13042434032</v>
      </c>
      <c r="AO1658" t="s">
        <v>132</v>
      </c>
      <c r="AP1658" t="s">
        <v>248</v>
      </c>
      <c r="AQ1658" t="s">
        <v>354</v>
      </c>
      <c r="AR1658" t="s">
        <v>355</v>
      </c>
      <c r="AT1658" t="s">
        <v>356</v>
      </c>
      <c r="AV1658" t="s">
        <v>357</v>
      </c>
      <c r="AW1658" t="s">
        <v>358</v>
      </c>
      <c r="AX1658" s="8" t="str">
        <f>"11590"</f>
        <v>11590</v>
      </c>
      <c r="AY1658" t="s">
        <v>118</v>
      </c>
      <c r="BA1658" s="10">
        <v>15163307168</v>
      </c>
      <c r="BC1658" t="s">
        <v>359</v>
      </c>
      <c r="BD1658" t="s">
        <v>360</v>
      </c>
      <c r="BG1658" t="s">
        <v>1642</v>
      </c>
      <c r="BH1658" s="1">
        <v>45131.833333333336</v>
      </c>
      <c r="BI1658">
        <v>35</v>
      </c>
      <c r="BJ1658">
        <v>7</v>
      </c>
      <c r="BK1658">
        <v>0</v>
      </c>
      <c r="BL1658">
        <v>7</v>
      </c>
      <c r="BM1658">
        <v>0</v>
      </c>
      <c r="BN1658">
        <v>7</v>
      </c>
      <c r="BO1658">
        <v>7</v>
      </c>
      <c r="BP1658">
        <v>7</v>
      </c>
      <c r="BQ1658" t="str">
        <f>"7:00 AM"</f>
        <v>7:00 AM</v>
      </c>
      <c r="BR1658" t="str">
        <f>"7:00 PM"</f>
        <v>7:00 PM</v>
      </c>
      <c r="BS1658" t="s">
        <v>131</v>
      </c>
      <c r="BT1658">
        <v>0</v>
      </c>
      <c r="BU1658">
        <v>0</v>
      </c>
      <c r="BV1658" t="s">
        <v>114</v>
      </c>
      <c r="BX1658" t="s">
        <v>1480</v>
      </c>
      <c r="BY1658" t="s">
        <v>8397</v>
      </c>
      <c r="CA1658" t="s">
        <v>8398</v>
      </c>
      <c r="CB1658" t="s">
        <v>1642</v>
      </c>
      <c r="CC1658" s="8" t="str">
        <f>"26003"</f>
        <v>26003</v>
      </c>
      <c r="CD1658" t="s">
        <v>8400</v>
      </c>
      <c r="CE1658" t="s">
        <v>2478</v>
      </c>
      <c r="CF1658" s="12">
        <v>15.64</v>
      </c>
      <c r="CG1658" s="12">
        <v>15.64</v>
      </c>
      <c r="CH1658" s="12">
        <v>23.46</v>
      </c>
      <c r="CI1658" s="12">
        <v>23.46</v>
      </c>
      <c r="CJ1658" t="s">
        <v>135</v>
      </c>
      <c r="CL1658" t="s">
        <v>8401</v>
      </c>
      <c r="CO1658" t="s">
        <v>132</v>
      </c>
      <c r="CP1658" t="s">
        <v>114</v>
      </c>
      <c r="CQ1658" t="s">
        <v>114</v>
      </c>
      <c r="CR1658" t="s">
        <v>136</v>
      </c>
      <c r="CS1658" t="s">
        <v>114</v>
      </c>
      <c r="CT1658" t="s">
        <v>136</v>
      </c>
      <c r="CU1658" t="s">
        <v>136</v>
      </c>
      <c r="CV1658" t="s">
        <v>8402</v>
      </c>
      <c r="CW1658" s="10" t="str">
        <f>"+13042434147"</f>
        <v>+13042434147</v>
      </c>
      <c r="CX1658" t="s">
        <v>8403</v>
      </c>
      <c r="CY1658" t="s">
        <v>132</v>
      </c>
      <c r="CZ1658" t="s">
        <v>137</v>
      </c>
      <c r="DA1658" t="s">
        <v>114</v>
      </c>
      <c r="DB1658" t="s">
        <v>114</v>
      </c>
      <c r="DC1658" t="s">
        <v>136</v>
      </c>
      <c r="DD1658" t="s">
        <v>114</v>
      </c>
    </row>
    <row r="1659" spans="1:113" ht="15" customHeight="1" x14ac:dyDescent="0.25">
      <c r="A1659" t="s">
        <v>6278</v>
      </c>
      <c r="B1659" t="s">
        <v>152</v>
      </c>
      <c r="C1659" s="1">
        <v>45141.145284953702</v>
      </c>
      <c r="D1659" s="1">
        <v>45204</v>
      </c>
      <c r="E1659" t="s">
        <v>114</v>
      </c>
      <c r="F1659" t="s">
        <v>6279</v>
      </c>
      <c r="G1659" t="str">
        <f>"37-2011.00"</f>
        <v>37-2011.00</v>
      </c>
      <c r="H1659" t="s">
        <v>1089</v>
      </c>
      <c r="I1659">
        <v>16</v>
      </c>
      <c r="J1659">
        <v>16</v>
      </c>
      <c r="K1659" s="1">
        <v>45231</v>
      </c>
      <c r="L1659" s="1">
        <v>45382</v>
      </c>
      <c r="M1659" s="1">
        <v>45231</v>
      </c>
      <c r="N1659" s="1">
        <v>45382</v>
      </c>
      <c r="O1659" t="s">
        <v>238</v>
      </c>
      <c r="P1659" t="s">
        <v>6280</v>
      </c>
      <c r="R1659" t="s">
        <v>6281</v>
      </c>
      <c r="T1659" t="s">
        <v>3380</v>
      </c>
      <c r="U1659" t="s">
        <v>543</v>
      </c>
      <c r="V1659" s="8" t="str">
        <f>"44256"</f>
        <v>44256</v>
      </c>
      <c r="W1659" t="s">
        <v>118</v>
      </c>
      <c r="X1659" t="s">
        <v>543</v>
      </c>
      <c r="Y1659" s="10">
        <v>14407738196</v>
      </c>
      <c r="AA1659">
        <v>5617</v>
      </c>
      <c r="AB1659" t="s">
        <v>3510</v>
      </c>
      <c r="AC1659" t="s">
        <v>2742</v>
      </c>
      <c r="AE1659" t="s">
        <v>120</v>
      </c>
      <c r="AF1659" t="s">
        <v>6281</v>
      </c>
      <c r="AH1659" t="s">
        <v>3380</v>
      </c>
      <c r="AI1659" t="s">
        <v>543</v>
      </c>
      <c r="AJ1659" s="8" t="str">
        <f>"44256"</f>
        <v>44256</v>
      </c>
      <c r="AK1659" t="s">
        <v>118</v>
      </c>
      <c r="AM1659" s="10">
        <v>14407738196</v>
      </c>
      <c r="AO1659" t="s">
        <v>6282</v>
      </c>
      <c r="AP1659" t="s">
        <v>121</v>
      </c>
      <c r="AQ1659" t="s">
        <v>2104</v>
      </c>
      <c r="AR1659" t="s">
        <v>2105</v>
      </c>
      <c r="AT1659" t="s">
        <v>2106</v>
      </c>
      <c r="AV1659" t="s">
        <v>2107</v>
      </c>
      <c r="AW1659" t="s">
        <v>543</v>
      </c>
      <c r="AX1659" s="8" t="str">
        <f>"44060"</f>
        <v>44060</v>
      </c>
      <c r="AY1659" t="s">
        <v>118</v>
      </c>
      <c r="BA1659" s="10">
        <v>12162350515</v>
      </c>
      <c r="BC1659" t="s">
        <v>6283</v>
      </c>
      <c r="BD1659" t="s">
        <v>2109</v>
      </c>
      <c r="BE1659" t="s">
        <v>543</v>
      </c>
      <c r="BF1659" t="s">
        <v>2110</v>
      </c>
      <c r="BG1659" t="s">
        <v>543</v>
      </c>
      <c r="BH1659" s="1">
        <v>45140.833333333336</v>
      </c>
      <c r="BI1659">
        <v>35</v>
      </c>
      <c r="BJ1659">
        <v>0</v>
      </c>
      <c r="BK1659">
        <v>7</v>
      </c>
      <c r="BL1659">
        <v>7</v>
      </c>
      <c r="BM1659">
        <v>7</v>
      </c>
      <c r="BN1659">
        <v>7</v>
      </c>
      <c r="BO1659">
        <v>7</v>
      </c>
      <c r="BP1659">
        <v>0</v>
      </c>
      <c r="BQ1659" t="str">
        <f>"12:00 AM"</f>
        <v>12:00 AM</v>
      </c>
      <c r="BR1659" t="str">
        <f>"7:00 AM"</f>
        <v>7:00 AM</v>
      </c>
      <c r="BS1659" t="s">
        <v>131</v>
      </c>
      <c r="BT1659">
        <v>0</v>
      </c>
      <c r="BU1659">
        <v>0</v>
      </c>
      <c r="BV1659" t="s">
        <v>114</v>
      </c>
      <c r="BX1659" s="2" t="s">
        <v>6284</v>
      </c>
      <c r="BY1659" t="s">
        <v>6281</v>
      </c>
      <c r="CA1659" t="s">
        <v>3380</v>
      </c>
      <c r="CB1659" t="s">
        <v>543</v>
      </c>
      <c r="CC1659" s="8" t="str">
        <f>"44256"</f>
        <v>44256</v>
      </c>
      <c r="CD1659" t="s">
        <v>2024</v>
      </c>
      <c r="CE1659" t="s">
        <v>1839</v>
      </c>
      <c r="CF1659" s="12">
        <v>17.07</v>
      </c>
      <c r="CH1659" s="12">
        <v>25.61</v>
      </c>
      <c r="CJ1659" t="s">
        <v>135</v>
      </c>
      <c r="CK1659" t="s">
        <v>2112</v>
      </c>
      <c r="CL1659" t="s">
        <v>6285</v>
      </c>
      <c r="CO1659" t="s">
        <v>132</v>
      </c>
      <c r="CP1659" t="s">
        <v>136</v>
      </c>
      <c r="CQ1659" t="s">
        <v>136</v>
      </c>
      <c r="CR1659" t="s">
        <v>136</v>
      </c>
      <c r="CS1659" t="s">
        <v>136</v>
      </c>
      <c r="CT1659" t="s">
        <v>136</v>
      </c>
      <c r="CU1659" t="s">
        <v>136</v>
      </c>
      <c r="CV1659" t="s">
        <v>6286</v>
      </c>
      <c r="CW1659" s="10" t="str">
        <f>"+14407738196"</f>
        <v>+14407738196</v>
      </c>
      <c r="CX1659" t="s">
        <v>6282</v>
      </c>
      <c r="CY1659" t="s">
        <v>132</v>
      </c>
      <c r="CZ1659" t="s">
        <v>137</v>
      </c>
      <c r="DA1659" t="s">
        <v>114</v>
      </c>
      <c r="DB1659" t="s">
        <v>136</v>
      </c>
      <c r="DC1659" t="s">
        <v>136</v>
      </c>
      <c r="DD1659" t="s">
        <v>114</v>
      </c>
    </row>
    <row r="1660" spans="1:113" ht="15" customHeight="1" x14ac:dyDescent="0.25">
      <c r="A1660" t="s">
        <v>21641</v>
      </c>
      <c r="B1660" t="s">
        <v>152</v>
      </c>
      <c r="C1660" s="1">
        <v>45141.103752777781</v>
      </c>
      <c r="D1660" s="1">
        <v>45204</v>
      </c>
      <c r="E1660" t="s">
        <v>136</v>
      </c>
      <c r="F1660" t="s">
        <v>2866</v>
      </c>
      <c r="G1660" t="str">
        <f>"35-9021.00"</f>
        <v>35-9021.00</v>
      </c>
      <c r="H1660" t="s">
        <v>501</v>
      </c>
      <c r="I1660">
        <v>5</v>
      </c>
      <c r="J1660">
        <v>5</v>
      </c>
      <c r="K1660" s="1">
        <v>45231</v>
      </c>
      <c r="L1660" s="1">
        <v>45505</v>
      </c>
      <c r="M1660" s="1">
        <v>45231</v>
      </c>
      <c r="N1660" s="1">
        <v>45505</v>
      </c>
      <c r="O1660" t="s">
        <v>116</v>
      </c>
      <c r="P1660" t="s">
        <v>4695</v>
      </c>
      <c r="Q1660" t="s">
        <v>4696</v>
      </c>
      <c r="R1660" t="s">
        <v>4697</v>
      </c>
      <c r="T1660" t="s">
        <v>4698</v>
      </c>
      <c r="U1660" t="s">
        <v>140</v>
      </c>
      <c r="V1660" s="8" t="str">
        <f>"33767"</f>
        <v>33767</v>
      </c>
      <c r="W1660" t="s">
        <v>118</v>
      </c>
      <c r="Y1660" s="10">
        <v>17274412425</v>
      </c>
      <c r="AA1660">
        <v>72111</v>
      </c>
      <c r="AB1660" t="s">
        <v>4699</v>
      </c>
      <c r="AC1660" t="s">
        <v>4700</v>
      </c>
      <c r="AE1660" t="s">
        <v>764</v>
      </c>
      <c r="AF1660" t="s">
        <v>4697</v>
      </c>
      <c r="AH1660" t="s">
        <v>4698</v>
      </c>
      <c r="AI1660" t="s">
        <v>140</v>
      </c>
      <c r="AJ1660" s="8" t="str">
        <f>"33767"</f>
        <v>33767</v>
      </c>
      <c r="AK1660" t="s">
        <v>118</v>
      </c>
      <c r="AM1660" s="10">
        <v>17274412425</v>
      </c>
      <c r="AO1660" t="s">
        <v>4701</v>
      </c>
      <c r="AP1660" t="s">
        <v>248</v>
      </c>
      <c r="AQ1660" t="s">
        <v>458</v>
      </c>
      <c r="AR1660" t="s">
        <v>459</v>
      </c>
      <c r="AT1660" t="s">
        <v>460</v>
      </c>
      <c r="AU1660" t="s">
        <v>461</v>
      </c>
      <c r="AV1660" t="s">
        <v>766</v>
      </c>
      <c r="AW1660" t="s">
        <v>140</v>
      </c>
      <c r="AX1660" s="8" t="str">
        <f>"33141"</f>
        <v>33141</v>
      </c>
      <c r="AY1660" t="s">
        <v>118</v>
      </c>
      <c r="BA1660" s="10">
        <v>17863480376</v>
      </c>
      <c r="BC1660" t="s">
        <v>463</v>
      </c>
      <c r="BD1660" t="s">
        <v>464</v>
      </c>
      <c r="BG1660" t="s">
        <v>140</v>
      </c>
      <c r="BH1660" s="1">
        <v>45140.833333333336</v>
      </c>
      <c r="BI1660">
        <v>35</v>
      </c>
      <c r="BJ1660">
        <v>7</v>
      </c>
      <c r="BK1660">
        <v>7</v>
      </c>
      <c r="BL1660">
        <v>0</v>
      </c>
      <c r="BM1660">
        <v>0</v>
      </c>
      <c r="BN1660">
        <v>7</v>
      </c>
      <c r="BO1660">
        <v>7</v>
      </c>
      <c r="BP1660">
        <v>7</v>
      </c>
      <c r="BQ1660" t="str">
        <f>"7:00 AM"</f>
        <v>7:00 AM</v>
      </c>
      <c r="BR1660" t="str">
        <f>"2:00 PM"</f>
        <v>2:00 PM</v>
      </c>
      <c r="BS1660" t="s">
        <v>131</v>
      </c>
      <c r="BT1660">
        <v>0</v>
      </c>
      <c r="BU1660">
        <v>1</v>
      </c>
      <c r="BV1660" t="s">
        <v>114</v>
      </c>
      <c r="BX1660" t="s">
        <v>465</v>
      </c>
      <c r="BY1660" t="s">
        <v>4697</v>
      </c>
      <c r="CA1660" t="s">
        <v>4698</v>
      </c>
      <c r="CB1660" t="s">
        <v>140</v>
      </c>
      <c r="CC1660" s="8" t="str">
        <f>"33767"</f>
        <v>33767</v>
      </c>
      <c r="CD1660" t="s">
        <v>466</v>
      </c>
      <c r="CE1660" t="s">
        <v>467</v>
      </c>
      <c r="CF1660" s="12">
        <v>14</v>
      </c>
      <c r="CG1660" s="12">
        <v>14</v>
      </c>
      <c r="CH1660" s="12">
        <v>21</v>
      </c>
      <c r="CI1660" s="12">
        <v>21</v>
      </c>
      <c r="CJ1660" t="s">
        <v>135</v>
      </c>
      <c r="CL1660" t="s">
        <v>21642</v>
      </c>
      <c r="CO1660" t="s">
        <v>132</v>
      </c>
      <c r="CP1660" t="s">
        <v>114</v>
      </c>
      <c r="CQ1660" t="s">
        <v>114</v>
      </c>
      <c r="CR1660" t="s">
        <v>136</v>
      </c>
      <c r="CS1660" t="s">
        <v>114</v>
      </c>
      <c r="CT1660" t="s">
        <v>136</v>
      </c>
      <c r="CU1660" t="s">
        <v>114</v>
      </c>
      <c r="CV1660" s="2" t="s">
        <v>4703</v>
      </c>
      <c r="CW1660" s="10" t="str">
        <f>"N/A"</f>
        <v>N/A</v>
      </c>
      <c r="CX1660" t="s">
        <v>4701</v>
      </c>
      <c r="CY1660" t="s">
        <v>470</v>
      </c>
      <c r="CZ1660" t="s">
        <v>137</v>
      </c>
      <c r="DA1660" t="s">
        <v>114</v>
      </c>
      <c r="DB1660" t="s">
        <v>114</v>
      </c>
      <c r="DC1660" t="s">
        <v>136</v>
      </c>
      <c r="DD1660" t="s">
        <v>114</v>
      </c>
    </row>
    <row r="1661" spans="1:113" ht="15" customHeight="1" x14ac:dyDescent="0.25">
      <c r="A1661" t="s">
        <v>6050</v>
      </c>
      <c r="B1661" t="s">
        <v>152</v>
      </c>
      <c r="C1661" s="1">
        <v>45141.093604745372</v>
      </c>
      <c r="D1661" s="1">
        <v>45204</v>
      </c>
      <c r="E1661" t="s">
        <v>136</v>
      </c>
      <c r="F1661" t="s">
        <v>6051</v>
      </c>
      <c r="G1661" t="str">
        <f>"35-3031.00"</f>
        <v>35-3031.00</v>
      </c>
      <c r="H1661" t="s">
        <v>347</v>
      </c>
      <c r="I1661">
        <v>4</v>
      </c>
      <c r="J1661">
        <v>4</v>
      </c>
      <c r="K1661" s="1">
        <v>45231</v>
      </c>
      <c r="L1661" s="1">
        <v>45504</v>
      </c>
      <c r="M1661" s="1">
        <v>45231</v>
      </c>
      <c r="N1661" s="1">
        <v>45504</v>
      </c>
      <c r="O1661" t="s">
        <v>116</v>
      </c>
      <c r="P1661" t="s">
        <v>6052</v>
      </c>
      <c r="Q1661" t="s">
        <v>6053</v>
      </c>
      <c r="R1661" t="s">
        <v>6054</v>
      </c>
      <c r="T1661" t="s">
        <v>6055</v>
      </c>
      <c r="U1661" t="s">
        <v>140</v>
      </c>
      <c r="V1661" s="8" t="str">
        <f>"34236"</f>
        <v>34236</v>
      </c>
      <c r="W1661" t="s">
        <v>118</v>
      </c>
      <c r="Y1661" s="10">
        <v>19413882181</v>
      </c>
      <c r="AA1661">
        <v>72111</v>
      </c>
      <c r="AB1661" t="s">
        <v>6056</v>
      </c>
      <c r="AC1661" t="s">
        <v>6057</v>
      </c>
      <c r="AE1661" t="s">
        <v>764</v>
      </c>
      <c r="AF1661" t="s">
        <v>6054</v>
      </c>
      <c r="AH1661" t="s">
        <v>6055</v>
      </c>
      <c r="AI1661" t="s">
        <v>140</v>
      </c>
      <c r="AJ1661" s="8" t="str">
        <f>"34236"</f>
        <v>34236</v>
      </c>
      <c r="AK1661" t="s">
        <v>118</v>
      </c>
      <c r="AM1661" s="10">
        <v>19413882181</v>
      </c>
      <c r="AO1661" t="s">
        <v>6058</v>
      </c>
      <c r="AP1661" t="s">
        <v>248</v>
      </c>
      <c r="AQ1661" t="s">
        <v>458</v>
      </c>
      <c r="AR1661" t="s">
        <v>459</v>
      </c>
      <c r="AT1661" t="s">
        <v>460</v>
      </c>
      <c r="AU1661" t="s">
        <v>461</v>
      </c>
      <c r="AV1661" t="s">
        <v>766</v>
      </c>
      <c r="AW1661" t="s">
        <v>140</v>
      </c>
      <c r="AX1661" s="8" t="str">
        <f>"33141"</f>
        <v>33141</v>
      </c>
      <c r="AY1661" t="s">
        <v>118</v>
      </c>
      <c r="BA1661" s="10">
        <v>17863480376</v>
      </c>
      <c r="BC1661" t="s">
        <v>463</v>
      </c>
      <c r="BD1661" t="s">
        <v>464</v>
      </c>
      <c r="BG1661" t="s">
        <v>140</v>
      </c>
      <c r="BH1661" s="1">
        <v>45140.833333333336</v>
      </c>
      <c r="BI1661">
        <v>35</v>
      </c>
      <c r="BJ1661">
        <v>7</v>
      </c>
      <c r="BK1661">
        <v>7</v>
      </c>
      <c r="BL1661">
        <v>0</v>
      </c>
      <c r="BM1661">
        <v>0</v>
      </c>
      <c r="BN1661">
        <v>7</v>
      </c>
      <c r="BO1661">
        <v>7</v>
      </c>
      <c r="BP1661">
        <v>7</v>
      </c>
      <c r="BQ1661" t="str">
        <f>"7:00 AM"</f>
        <v>7:00 AM</v>
      </c>
      <c r="BR1661" t="str">
        <f>"2:00 PM"</f>
        <v>2:00 PM</v>
      </c>
      <c r="BS1661" t="s">
        <v>131</v>
      </c>
      <c r="BT1661">
        <v>0</v>
      </c>
      <c r="BU1661">
        <v>1</v>
      </c>
      <c r="BV1661" t="s">
        <v>114</v>
      </c>
      <c r="BX1661" t="s">
        <v>465</v>
      </c>
      <c r="BY1661" t="s">
        <v>6054</v>
      </c>
      <c r="CA1661" t="s">
        <v>6055</v>
      </c>
      <c r="CB1661" t="s">
        <v>140</v>
      </c>
      <c r="CC1661" s="8" t="str">
        <f>"34236"</f>
        <v>34236</v>
      </c>
      <c r="CD1661" t="s">
        <v>6059</v>
      </c>
      <c r="CE1661" t="s">
        <v>1730</v>
      </c>
      <c r="CF1661" s="12">
        <v>13.84</v>
      </c>
      <c r="CG1661" s="12">
        <v>13.84</v>
      </c>
      <c r="CH1661" s="12">
        <v>20.76</v>
      </c>
      <c r="CI1661" s="12">
        <v>20.76</v>
      </c>
      <c r="CJ1661" t="s">
        <v>135</v>
      </c>
      <c r="CL1661" t="s">
        <v>6060</v>
      </c>
      <c r="CO1661" t="s">
        <v>132</v>
      </c>
      <c r="CP1661" t="s">
        <v>114</v>
      </c>
      <c r="CQ1661" t="s">
        <v>114</v>
      </c>
      <c r="CR1661" t="s">
        <v>136</v>
      </c>
      <c r="CS1661" t="s">
        <v>114</v>
      </c>
      <c r="CT1661" t="s">
        <v>136</v>
      </c>
      <c r="CU1661" t="s">
        <v>114</v>
      </c>
      <c r="CV1661" s="2" t="s">
        <v>4703</v>
      </c>
      <c r="CW1661" s="10" t="str">
        <f>"N/A"</f>
        <v>N/A</v>
      </c>
      <c r="CX1661" t="s">
        <v>6058</v>
      </c>
      <c r="CY1661" t="s">
        <v>470</v>
      </c>
      <c r="CZ1661" t="s">
        <v>137</v>
      </c>
      <c r="DA1661" t="s">
        <v>114</v>
      </c>
      <c r="DB1661" t="s">
        <v>114</v>
      </c>
      <c r="DC1661" t="s">
        <v>136</v>
      </c>
      <c r="DD1661" t="s">
        <v>114</v>
      </c>
    </row>
    <row r="1662" spans="1:113" ht="15" customHeight="1" x14ac:dyDescent="0.25">
      <c r="A1662" t="s">
        <v>24192</v>
      </c>
      <c r="B1662" t="s">
        <v>152</v>
      </c>
      <c r="C1662" s="1">
        <v>45141.089397569442</v>
      </c>
      <c r="D1662" s="1">
        <v>45204</v>
      </c>
      <c r="E1662" t="s">
        <v>136</v>
      </c>
      <c r="F1662" t="s">
        <v>951</v>
      </c>
      <c r="G1662" t="str">
        <f>"43-4081.00"</f>
        <v>43-4081.00</v>
      </c>
      <c r="H1662" t="s">
        <v>952</v>
      </c>
      <c r="I1662">
        <v>4</v>
      </c>
      <c r="J1662">
        <v>4</v>
      </c>
      <c r="K1662" s="1">
        <v>45231</v>
      </c>
      <c r="L1662" s="1">
        <v>45504</v>
      </c>
      <c r="M1662" s="1">
        <v>45231</v>
      </c>
      <c r="N1662" s="1">
        <v>45504</v>
      </c>
      <c r="O1662" t="s">
        <v>116</v>
      </c>
      <c r="P1662" t="s">
        <v>6052</v>
      </c>
      <c r="Q1662" t="s">
        <v>6053</v>
      </c>
      <c r="R1662" t="s">
        <v>6054</v>
      </c>
      <c r="T1662" t="s">
        <v>6055</v>
      </c>
      <c r="U1662" t="s">
        <v>140</v>
      </c>
      <c r="V1662" s="8" t="str">
        <f>"34236"</f>
        <v>34236</v>
      </c>
      <c r="W1662" t="s">
        <v>118</v>
      </c>
      <c r="Y1662" s="10">
        <v>19413882181</v>
      </c>
      <c r="AA1662">
        <v>72111</v>
      </c>
      <c r="AB1662" t="s">
        <v>6056</v>
      </c>
      <c r="AC1662" t="s">
        <v>6057</v>
      </c>
      <c r="AE1662" t="s">
        <v>764</v>
      </c>
      <c r="AF1662" t="s">
        <v>6054</v>
      </c>
      <c r="AH1662" t="s">
        <v>6055</v>
      </c>
      <c r="AI1662" t="s">
        <v>140</v>
      </c>
      <c r="AJ1662" s="8" t="str">
        <f>"34236"</f>
        <v>34236</v>
      </c>
      <c r="AK1662" t="s">
        <v>118</v>
      </c>
      <c r="AM1662" s="10">
        <v>19413882187</v>
      </c>
      <c r="AO1662" t="s">
        <v>6058</v>
      </c>
      <c r="AP1662" t="s">
        <v>248</v>
      </c>
      <c r="AQ1662" t="s">
        <v>458</v>
      </c>
      <c r="AR1662" t="s">
        <v>459</v>
      </c>
      <c r="AT1662" t="s">
        <v>460</v>
      </c>
      <c r="AU1662" t="s">
        <v>461</v>
      </c>
      <c r="AV1662" t="s">
        <v>766</v>
      </c>
      <c r="AW1662" t="s">
        <v>140</v>
      </c>
      <c r="AX1662" s="8" t="str">
        <f>"33141"</f>
        <v>33141</v>
      </c>
      <c r="AY1662" t="s">
        <v>118</v>
      </c>
      <c r="BA1662" s="10">
        <v>17863480376</v>
      </c>
      <c r="BC1662" t="s">
        <v>463</v>
      </c>
      <c r="BD1662" t="s">
        <v>464</v>
      </c>
      <c r="BG1662" t="s">
        <v>140</v>
      </c>
      <c r="BH1662" s="1">
        <v>45140.833333333336</v>
      </c>
      <c r="BI1662">
        <v>35</v>
      </c>
      <c r="BJ1662">
        <v>7</v>
      </c>
      <c r="BK1662">
        <v>7</v>
      </c>
      <c r="BL1662">
        <v>0</v>
      </c>
      <c r="BM1662">
        <v>0</v>
      </c>
      <c r="BN1662">
        <v>7</v>
      </c>
      <c r="BO1662">
        <v>7</v>
      </c>
      <c r="BP1662">
        <v>7</v>
      </c>
      <c r="BQ1662" t="str">
        <f>"10:00 AM"</f>
        <v>10:00 AM</v>
      </c>
      <c r="BR1662" t="str">
        <f>"5:00 PM"</f>
        <v>5:00 PM</v>
      </c>
      <c r="BS1662" t="s">
        <v>131</v>
      </c>
      <c r="BT1662">
        <v>0</v>
      </c>
      <c r="BU1662">
        <v>1</v>
      </c>
      <c r="BV1662" t="s">
        <v>114</v>
      </c>
      <c r="BX1662" t="s">
        <v>465</v>
      </c>
      <c r="BY1662" t="s">
        <v>6054</v>
      </c>
      <c r="CA1662" t="s">
        <v>6055</v>
      </c>
      <c r="CB1662" t="s">
        <v>140</v>
      </c>
      <c r="CC1662" s="8" t="str">
        <f>"34236"</f>
        <v>34236</v>
      </c>
      <c r="CD1662" t="s">
        <v>6059</v>
      </c>
      <c r="CE1662" t="s">
        <v>1730</v>
      </c>
      <c r="CF1662" s="12">
        <v>15</v>
      </c>
      <c r="CG1662" s="12">
        <v>16</v>
      </c>
      <c r="CH1662" s="12">
        <v>22.5</v>
      </c>
      <c r="CI1662" s="12">
        <v>24</v>
      </c>
      <c r="CJ1662" t="s">
        <v>135</v>
      </c>
      <c r="CL1662" t="s">
        <v>24193</v>
      </c>
      <c r="CO1662" t="s">
        <v>132</v>
      </c>
      <c r="CP1662" t="s">
        <v>114</v>
      </c>
      <c r="CQ1662" t="s">
        <v>114</v>
      </c>
      <c r="CR1662" t="s">
        <v>136</v>
      </c>
      <c r="CS1662" t="s">
        <v>114</v>
      </c>
      <c r="CT1662" t="s">
        <v>136</v>
      </c>
      <c r="CU1662" t="s">
        <v>114</v>
      </c>
      <c r="CV1662" s="2" t="s">
        <v>24194</v>
      </c>
      <c r="CW1662" s="10" t="str">
        <f>"N/A"</f>
        <v>N/A</v>
      </c>
      <c r="CX1662" t="s">
        <v>6058</v>
      </c>
      <c r="CY1662" t="s">
        <v>470</v>
      </c>
      <c r="CZ1662" t="s">
        <v>137</v>
      </c>
      <c r="DA1662" t="s">
        <v>114</v>
      </c>
      <c r="DB1662" t="s">
        <v>114</v>
      </c>
      <c r="DC1662" t="s">
        <v>136</v>
      </c>
      <c r="DD1662" t="s">
        <v>114</v>
      </c>
    </row>
    <row r="1663" spans="1:113" ht="15" customHeight="1" x14ac:dyDescent="0.25">
      <c r="A1663" t="s">
        <v>8148</v>
      </c>
      <c r="B1663" t="s">
        <v>152</v>
      </c>
      <c r="C1663" s="1">
        <v>45141.085095717594</v>
      </c>
      <c r="D1663" s="1">
        <v>45204</v>
      </c>
      <c r="E1663" t="s">
        <v>136</v>
      </c>
      <c r="F1663" t="s">
        <v>5204</v>
      </c>
      <c r="G1663" t="str">
        <f>"35-9021.00"</f>
        <v>35-9021.00</v>
      </c>
      <c r="H1663" t="s">
        <v>501</v>
      </c>
      <c r="I1663">
        <v>4</v>
      </c>
      <c r="J1663">
        <v>4</v>
      </c>
      <c r="K1663" s="1">
        <v>45231</v>
      </c>
      <c r="L1663" s="1">
        <v>45504</v>
      </c>
      <c r="M1663" s="1">
        <v>45231</v>
      </c>
      <c r="N1663" s="1">
        <v>45504</v>
      </c>
      <c r="O1663" t="s">
        <v>116</v>
      </c>
      <c r="P1663" t="s">
        <v>6052</v>
      </c>
      <c r="Q1663" t="s">
        <v>6053</v>
      </c>
      <c r="R1663" t="s">
        <v>6054</v>
      </c>
      <c r="T1663" t="s">
        <v>6055</v>
      </c>
      <c r="U1663" t="s">
        <v>140</v>
      </c>
      <c r="V1663" s="8" t="str">
        <f>"34236"</f>
        <v>34236</v>
      </c>
      <c r="W1663" t="s">
        <v>118</v>
      </c>
      <c r="Y1663" s="10">
        <v>19413882181</v>
      </c>
      <c r="AA1663">
        <v>72111</v>
      </c>
      <c r="AB1663" t="s">
        <v>6056</v>
      </c>
      <c r="AC1663" t="s">
        <v>6057</v>
      </c>
      <c r="AE1663" t="s">
        <v>764</v>
      </c>
      <c r="AF1663" t="s">
        <v>6054</v>
      </c>
      <c r="AH1663" t="s">
        <v>6055</v>
      </c>
      <c r="AI1663" t="s">
        <v>140</v>
      </c>
      <c r="AJ1663" s="8" t="str">
        <f>"34236"</f>
        <v>34236</v>
      </c>
      <c r="AK1663" t="s">
        <v>118</v>
      </c>
      <c r="AM1663" s="10">
        <v>19413882181</v>
      </c>
      <c r="AO1663" t="s">
        <v>6058</v>
      </c>
      <c r="AP1663" t="s">
        <v>248</v>
      </c>
      <c r="AQ1663" t="s">
        <v>458</v>
      </c>
      <c r="AR1663" t="s">
        <v>459</v>
      </c>
      <c r="AT1663" t="s">
        <v>460</v>
      </c>
      <c r="AU1663" t="s">
        <v>461</v>
      </c>
      <c r="AV1663" t="s">
        <v>766</v>
      </c>
      <c r="AW1663" t="s">
        <v>140</v>
      </c>
      <c r="AX1663" s="8" t="str">
        <f>"33141"</f>
        <v>33141</v>
      </c>
      <c r="AY1663" t="s">
        <v>118</v>
      </c>
      <c r="BA1663" s="10">
        <v>17863480376</v>
      </c>
      <c r="BC1663" t="s">
        <v>463</v>
      </c>
      <c r="BD1663" t="s">
        <v>464</v>
      </c>
      <c r="BG1663" t="s">
        <v>140</v>
      </c>
      <c r="BH1663" s="1">
        <v>45230.833333333336</v>
      </c>
      <c r="BI1663">
        <v>35</v>
      </c>
      <c r="BJ1663">
        <v>7</v>
      </c>
      <c r="BK1663">
        <v>7</v>
      </c>
      <c r="BL1663">
        <v>0</v>
      </c>
      <c r="BM1663">
        <v>0</v>
      </c>
      <c r="BN1663">
        <v>7</v>
      </c>
      <c r="BO1663">
        <v>7</v>
      </c>
      <c r="BP1663">
        <v>7</v>
      </c>
      <c r="BQ1663" t="str">
        <f>"7:00 AM"</f>
        <v>7:00 AM</v>
      </c>
      <c r="BR1663" t="str">
        <f>"2:00 PM"</f>
        <v>2:00 PM</v>
      </c>
      <c r="BS1663" t="s">
        <v>131</v>
      </c>
      <c r="BT1663">
        <v>0</v>
      </c>
      <c r="BU1663">
        <v>1</v>
      </c>
      <c r="BV1663" t="s">
        <v>114</v>
      </c>
      <c r="BX1663" t="s">
        <v>465</v>
      </c>
      <c r="BY1663" t="s">
        <v>6054</v>
      </c>
      <c r="CA1663" t="s">
        <v>6055</v>
      </c>
      <c r="CB1663" t="s">
        <v>140</v>
      </c>
      <c r="CC1663" s="8" t="str">
        <f>"34236"</f>
        <v>34236</v>
      </c>
      <c r="CD1663" t="s">
        <v>6059</v>
      </c>
      <c r="CE1663" t="s">
        <v>1730</v>
      </c>
      <c r="CF1663" s="12">
        <v>15.5</v>
      </c>
      <c r="CG1663" s="12">
        <v>15.5</v>
      </c>
      <c r="CH1663" s="12">
        <v>23.25</v>
      </c>
      <c r="CI1663" s="12">
        <v>23.25</v>
      </c>
      <c r="CJ1663" t="s">
        <v>135</v>
      </c>
      <c r="CL1663" t="s">
        <v>8149</v>
      </c>
      <c r="CO1663" t="s">
        <v>132</v>
      </c>
      <c r="CP1663" t="s">
        <v>114</v>
      </c>
      <c r="CQ1663" t="s">
        <v>114</v>
      </c>
      <c r="CR1663" t="s">
        <v>136</v>
      </c>
      <c r="CS1663" t="s">
        <v>114</v>
      </c>
      <c r="CT1663" t="s">
        <v>136</v>
      </c>
      <c r="CU1663" t="s">
        <v>114</v>
      </c>
      <c r="CV1663" s="2" t="s">
        <v>4703</v>
      </c>
      <c r="CW1663" s="10" t="str">
        <f>"N/A"</f>
        <v>N/A</v>
      </c>
      <c r="CX1663" t="s">
        <v>6058</v>
      </c>
      <c r="CY1663" t="s">
        <v>470</v>
      </c>
      <c r="CZ1663" t="s">
        <v>137</v>
      </c>
      <c r="DA1663" t="s">
        <v>114</v>
      </c>
      <c r="DB1663" t="s">
        <v>114</v>
      </c>
      <c r="DC1663" t="s">
        <v>136</v>
      </c>
      <c r="DD1663" t="s">
        <v>114</v>
      </c>
    </row>
    <row r="1664" spans="1:113" ht="15" customHeight="1" x14ac:dyDescent="0.25">
      <c r="A1664" t="s">
        <v>20901</v>
      </c>
      <c r="B1664" t="s">
        <v>152</v>
      </c>
      <c r="C1664" s="1">
        <v>45141.081071180553</v>
      </c>
      <c r="D1664" s="1">
        <v>45204</v>
      </c>
      <c r="E1664" t="s">
        <v>136</v>
      </c>
      <c r="F1664" t="s">
        <v>1059</v>
      </c>
      <c r="G1664" t="str">
        <f>"35-2014.00"</f>
        <v>35-2014.00</v>
      </c>
      <c r="H1664" t="s">
        <v>154</v>
      </c>
      <c r="I1664">
        <v>4</v>
      </c>
      <c r="J1664">
        <v>4</v>
      </c>
      <c r="K1664" s="1">
        <v>45231</v>
      </c>
      <c r="L1664" s="1">
        <v>45504</v>
      </c>
      <c r="M1664" s="1">
        <v>45231</v>
      </c>
      <c r="N1664" s="1">
        <v>45504</v>
      </c>
      <c r="O1664" t="s">
        <v>116</v>
      </c>
      <c r="P1664" t="s">
        <v>6052</v>
      </c>
      <c r="Q1664" t="s">
        <v>20902</v>
      </c>
      <c r="R1664" t="s">
        <v>6054</v>
      </c>
      <c r="T1664" t="s">
        <v>6055</v>
      </c>
      <c r="U1664" t="s">
        <v>140</v>
      </c>
      <c r="V1664" s="8" t="str">
        <f>"34236"</f>
        <v>34236</v>
      </c>
      <c r="W1664" t="s">
        <v>118</v>
      </c>
      <c r="Y1664" s="10">
        <v>19413882181</v>
      </c>
      <c r="AA1664">
        <v>72111</v>
      </c>
      <c r="AB1664" t="s">
        <v>6056</v>
      </c>
      <c r="AC1664" t="s">
        <v>6057</v>
      </c>
      <c r="AE1664" t="s">
        <v>764</v>
      </c>
      <c r="AF1664" t="s">
        <v>6054</v>
      </c>
      <c r="AH1664" t="s">
        <v>6055</v>
      </c>
      <c r="AI1664" t="s">
        <v>140</v>
      </c>
      <c r="AJ1664" s="8" t="str">
        <f>"34236"</f>
        <v>34236</v>
      </c>
      <c r="AK1664" t="s">
        <v>118</v>
      </c>
      <c r="AM1664" s="10">
        <v>19413882187</v>
      </c>
      <c r="AO1664" t="s">
        <v>6058</v>
      </c>
      <c r="AP1664" t="s">
        <v>248</v>
      </c>
      <c r="AQ1664" t="s">
        <v>458</v>
      </c>
      <c r="AR1664" t="s">
        <v>459</v>
      </c>
      <c r="AT1664" t="s">
        <v>460</v>
      </c>
      <c r="AU1664" t="s">
        <v>461</v>
      </c>
      <c r="AV1664" t="s">
        <v>766</v>
      </c>
      <c r="AW1664" t="s">
        <v>140</v>
      </c>
      <c r="AX1664" s="8" t="str">
        <f>"33141"</f>
        <v>33141</v>
      </c>
      <c r="AY1664" t="s">
        <v>118</v>
      </c>
      <c r="BA1664" s="10">
        <v>17863480376</v>
      </c>
      <c r="BC1664" t="s">
        <v>463</v>
      </c>
      <c r="BD1664" t="s">
        <v>464</v>
      </c>
      <c r="BG1664" t="s">
        <v>140</v>
      </c>
      <c r="BH1664" s="1">
        <v>45140.833333333336</v>
      </c>
      <c r="BI1664">
        <v>35</v>
      </c>
      <c r="BJ1664">
        <v>7</v>
      </c>
      <c r="BK1664">
        <v>0</v>
      </c>
      <c r="BL1664">
        <v>7</v>
      </c>
      <c r="BM1664">
        <v>0</v>
      </c>
      <c r="BN1664">
        <v>7</v>
      </c>
      <c r="BO1664">
        <v>7</v>
      </c>
      <c r="BP1664">
        <v>7</v>
      </c>
      <c r="BQ1664" t="str">
        <f>"7:00 AM"</f>
        <v>7:00 AM</v>
      </c>
      <c r="BR1664" t="str">
        <f>"2:00 PM"</f>
        <v>2:00 PM</v>
      </c>
      <c r="BS1664" t="s">
        <v>131</v>
      </c>
      <c r="BT1664">
        <v>0</v>
      </c>
      <c r="BU1664">
        <v>1</v>
      </c>
      <c r="BV1664" t="s">
        <v>114</v>
      </c>
      <c r="BX1664" t="s">
        <v>465</v>
      </c>
      <c r="BY1664" t="s">
        <v>6054</v>
      </c>
      <c r="CA1664" t="s">
        <v>6055</v>
      </c>
      <c r="CB1664" t="s">
        <v>140</v>
      </c>
      <c r="CC1664" s="8" t="str">
        <f>"34236"</f>
        <v>34236</v>
      </c>
      <c r="CD1664" t="s">
        <v>6059</v>
      </c>
      <c r="CE1664" t="s">
        <v>1730</v>
      </c>
      <c r="CF1664" s="12">
        <v>17</v>
      </c>
      <c r="CG1664" s="12">
        <v>19</v>
      </c>
      <c r="CH1664" s="12">
        <v>25.5</v>
      </c>
      <c r="CI1664" s="12">
        <v>28.5</v>
      </c>
      <c r="CJ1664" t="s">
        <v>135</v>
      </c>
      <c r="CL1664" t="s">
        <v>20903</v>
      </c>
      <c r="CO1664" t="s">
        <v>132</v>
      </c>
      <c r="CP1664" t="s">
        <v>114</v>
      </c>
      <c r="CQ1664" t="s">
        <v>114</v>
      </c>
      <c r="CR1664" t="s">
        <v>136</v>
      </c>
      <c r="CS1664" t="s">
        <v>114</v>
      </c>
      <c r="CT1664" t="s">
        <v>136</v>
      </c>
      <c r="CU1664" t="s">
        <v>114</v>
      </c>
      <c r="CV1664" s="2" t="s">
        <v>4703</v>
      </c>
      <c r="CW1664" s="10" t="str">
        <f>"N/A"</f>
        <v>N/A</v>
      </c>
      <c r="CX1664" t="s">
        <v>6058</v>
      </c>
      <c r="CY1664" t="s">
        <v>470</v>
      </c>
      <c r="CZ1664" t="s">
        <v>137</v>
      </c>
      <c r="DA1664" t="s">
        <v>114</v>
      </c>
      <c r="DB1664" t="s">
        <v>114</v>
      </c>
      <c r="DC1664" t="s">
        <v>136</v>
      </c>
      <c r="DD1664" t="s">
        <v>114</v>
      </c>
    </row>
    <row r="1665" spans="1:113" ht="15" customHeight="1" x14ac:dyDescent="0.25">
      <c r="A1665" t="s">
        <v>22462</v>
      </c>
      <c r="B1665" t="s">
        <v>152</v>
      </c>
      <c r="C1665" s="1">
        <v>45141.024410879632</v>
      </c>
      <c r="D1665" s="1">
        <v>45204</v>
      </c>
      <c r="E1665" t="s">
        <v>136</v>
      </c>
      <c r="F1665" t="s">
        <v>5756</v>
      </c>
      <c r="G1665" t="str">
        <f>"35-2014.00"</f>
        <v>35-2014.00</v>
      </c>
      <c r="H1665" t="s">
        <v>154</v>
      </c>
      <c r="I1665">
        <v>8</v>
      </c>
      <c r="J1665">
        <v>8</v>
      </c>
      <c r="K1665" s="1">
        <v>45231</v>
      </c>
      <c r="L1665" s="1">
        <v>45443</v>
      </c>
      <c r="M1665" s="1">
        <v>45231</v>
      </c>
      <c r="N1665" s="1">
        <v>45443</v>
      </c>
      <c r="O1665" t="s">
        <v>116</v>
      </c>
      <c r="P1665" t="s">
        <v>17055</v>
      </c>
      <c r="Q1665" t="s">
        <v>17056</v>
      </c>
      <c r="R1665" t="s">
        <v>17057</v>
      </c>
      <c r="T1665" t="s">
        <v>17058</v>
      </c>
      <c r="U1665" t="s">
        <v>140</v>
      </c>
      <c r="V1665" s="8" t="str">
        <f>"34228"</f>
        <v>34228</v>
      </c>
      <c r="W1665" t="s">
        <v>118</v>
      </c>
      <c r="Y1665" s="10">
        <v>19413838821</v>
      </c>
      <c r="AA1665">
        <v>72111</v>
      </c>
      <c r="AB1665" t="s">
        <v>17059</v>
      </c>
      <c r="AC1665" t="s">
        <v>17060</v>
      </c>
      <c r="AE1665" t="s">
        <v>456</v>
      </c>
      <c r="AF1665" t="s">
        <v>17057</v>
      </c>
      <c r="AH1665" t="s">
        <v>17058</v>
      </c>
      <c r="AI1665" t="s">
        <v>140</v>
      </c>
      <c r="AJ1665" s="8" t="str">
        <f>"34228"</f>
        <v>34228</v>
      </c>
      <c r="AK1665" t="s">
        <v>118</v>
      </c>
      <c r="AM1665" s="10">
        <v>19413838821</v>
      </c>
      <c r="AO1665" t="s">
        <v>17061</v>
      </c>
      <c r="AP1665" t="s">
        <v>248</v>
      </c>
      <c r="AQ1665" t="s">
        <v>458</v>
      </c>
      <c r="AR1665" t="s">
        <v>459</v>
      </c>
      <c r="AT1665" t="s">
        <v>460</v>
      </c>
      <c r="AU1665" t="s">
        <v>461</v>
      </c>
      <c r="AV1665" t="s">
        <v>1375</v>
      </c>
      <c r="AW1665" t="s">
        <v>140</v>
      </c>
      <c r="AX1665" s="8" t="str">
        <f>"33141"</f>
        <v>33141</v>
      </c>
      <c r="AY1665" t="s">
        <v>118</v>
      </c>
      <c r="BA1665" s="10">
        <v>17863480376</v>
      </c>
      <c r="BC1665" t="s">
        <v>463</v>
      </c>
      <c r="BD1665" t="s">
        <v>464</v>
      </c>
      <c r="BG1665" t="s">
        <v>140</v>
      </c>
      <c r="BH1665" s="1">
        <v>45140.833333333336</v>
      </c>
      <c r="BI1665">
        <v>35</v>
      </c>
      <c r="BJ1665">
        <v>7</v>
      </c>
      <c r="BK1665">
        <v>7</v>
      </c>
      <c r="BL1665">
        <v>0</v>
      </c>
      <c r="BM1665">
        <v>0</v>
      </c>
      <c r="BN1665">
        <v>7</v>
      </c>
      <c r="BO1665">
        <v>7</v>
      </c>
      <c r="BP1665">
        <v>7</v>
      </c>
      <c r="BQ1665" t="str">
        <f>"7:00 AM"</f>
        <v>7:00 AM</v>
      </c>
      <c r="BR1665" t="str">
        <f>"2:00 PM"</f>
        <v>2:00 PM</v>
      </c>
      <c r="BS1665" t="s">
        <v>131</v>
      </c>
      <c r="BT1665">
        <v>0</v>
      </c>
      <c r="BU1665">
        <v>1</v>
      </c>
      <c r="BV1665" t="s">
        <v>114</v>
      </c>
      <c r="BX1665" t="s">
        <v>465</v>
      </c>
      <c r="BY1665" t="s">
        <v>17057</v>
      </c>
      <c r="CA1665" t="s">
        <v>17058</v>
      </c>
      <c r="CB1665" t="s">
        <v>140</v>
      </c>
      <c r="CC1665" s="8" t="str">
        <f>"34228"</f>
        <v>34228</v>
      </c>
      <c r="CD1665" t="s">
        <v>6059</v>
      </c>
      <c r="CE1665" t="s">
        <v>1730</v>
      </c>
      <c r="CF1665" s="12">
        <v>17</v>
      </c>
      <c r="CG1665" s="12">
        <v>19</v>
      </c>
      <c r="CH1665" s="12">
        <v>25.5</v>
      </c>
      <c r="CI1665" s="12">
        <v>28.5</v>
      </c>
      <c r="CJ1665" t="s">
        <v>135</v>
      </c>
      <c r="CL1665" t="s">
        <v>22463</v>
      </c>
      <c r="CO1665" t="s">
        <v>132</v>
      </c>
      <c r="CP1665" t="s">
        <v>114</v>
      </c>
      <c r="CQ1665" t="s">
        <v>114</v>
      </c>
      <c r="CR1665" t="s">
        <v>136</v>
      </c>
      <c r="CS1665" t="s">
        <v>114</v>
      </c>
      <c r="CT1665" t="s">
        <v>136</v>
      </c>
      <c r="CU1665" t="s">
        <v>114</v>
      </c>
      <c r="CV1665" s="2" t="s">
        <v>4703</v>
      </c>
      <c r="CW1665" s="10" t="str">
        <f>"N/A"</f>
        <v>N/A</v>
      </c>
      <c r="CX1665" t="s">
        <v>17061</v>
      </c>
      <c r="CY1665" t="s">
        <v>470</v>
      </c>
      <c r="CZ1665" t="s">
        <v>137</v>
      </c>
      <c r="DA1665" t="s">
        <v>114</v>
      </c>
      <c r="DB1665" t="s">
        <v>114</v>
      </c>
      <c r="DC1665" t="s">
        <v>136</v>
      </c>
      <c r="DD1665" t="s">
        <v>114</v>
      </c>
    </row>
    <row r="1666" spans="1:113" ht="15" customHeight="1" x14ac:dyDescent="0.25">
      <c r="A1666" t="s">
        <v>22755</v>
      </c>
      <c r="B1666" t="s">
        <v>152</v>
      </c>
      <c r="C1666" s="1">
        <v>45141.017972106485</v>
      </c>
      <c r="D1666" s="1">
        <v>45204</v>
      </c>
      <c r="E1666" t="s">
        <v>136</v>
      </c>
      <c r="F1666" t="s">
        <v>3558</v>
      </c>
      <c r="G1666" t="str">
        <f>"35-3031.00"</f>
        <v>35-3031.00</v>
      </c>
      <c r="H1666" t="s">
        <v>347</v>
      </c>
      <c r="I1666">
        <v>5</v>
      </c>
      <c r="J1666">
        <v>5</v>
      </c>
      <c r="K1666" s="1">
        <v>45231</v>
      </c>
      <c r="L1666" s="1">
        <v>45504</v>
      </c>
      <c r="M1666" s="1">
        <v>45231</v>
      </c>
      <c r="N1666" s="1">
        <v>45504</v>
      </c>
      <c r="O1666" t="s">
        <v>116</v>
      </c>
      <c r="P1666" t="s">
        <v>6366</v>
      </c>
      <c r="Q1666" t="s">
        <v>6367</v>
      </c>
      <c r="R1666" t="s">
        <v>6368</v>
      </c>
      <c r="T1666" t="s">
        <v>6055</v>
      </c>
      <c r="U1666" t="s">
        <v>140</v>
      </c>
      <c r="V1666" s="8" t="str">
        <f>"34236"</f>
        <v>34236</v>
      </c>
      <c r="W1666" t="s">
        <v>118</v>
      </c>
      <c r="Y1666" s="10">
        <v>19413882161</v>
      </c>
      <c r="AA1666">
        <v>72111</v>
      </c>
      <c r="AB1666" t="s">
        <v>6369</v>
      </c>
      <c r="AC1666" t="s">
        <v>1410</v>
      </c>
      <c r="AE1666" t="s">
        <v>6370</v>
      </c>
      <c r="AF1666" t="s">
        <v>6368</v>
      </c>
      <c r="AH1666" t="s">
        <v>6055</v>
      </c>
      <c r="AI1666" t="s">
        <v>140</v>
      </c>
      <c r="AJ1666" s="8" t="str">
        <f>"34236"</f>
        <v>34236</v>
      </c>
      <c r="AK1666" t="s">
        <v>118</v>
      </c>
      <c r="AM1666" s="10">
        <v>19413882161</v>
      </c>
      <c r="AO1666" t="s">
        <v>6371</v>
      </c>
      <c r="AP1666" t="s">
        <v>248</v>
      </c>
      <c r="AQ1666" t="s">
        <v>458</v>
      </c>
      <c r="AR1666" t="s">
        <v>459</v>
      </c>
      <c r="AT1666" t="s">
        <v>460</v>
      </c>
      <c r="AU1666" t="s">
        <v>461</v>
      </c>
      <c r="AV1666" t="s">
        <v>766</v>
      </c>
      <c r="AW1666" t="s">
        <v>140</v>
      </c>
      <c r="AX1666" s="8" t="str">
        <f>"33141"</f>
        <v>33141</v>
      </c>
      <c r="AY1666" t="s">
        <v>118</v>
      </c>
      <c r="BA1666" s="10">
        <v>17863480376</v>
      </c>
      <c r="BC1666" t="s">
        <v>463</v>
      </c>
      <c r="BD1666" t="s">
        <v>464</v>
      </c>
      <c r="BG1666" t="s">
        <v>140</v>
      </c>
      <c r="BH1666" s="1">
        <v>45140.833333333336</v>
      </c>
      <c r="BI1666">
        <v>35</v>
      </c>
      <c r="BJ1666">
        <v>7</v>
      </c>
      <c r="BK1666">
        <v>7</v>
      </c>
      <c r="BL1666">
        <v>0</v>
      </c>
      <c r="BM1666">
        <v>0</v>
      </c>
      <c r="BN1666">
        <v>7</v>
      </c>
      <c r="BO1666">
        <v>7</v>
      </c>
      <c r="BP1666">
        <v>7</v>
      </c>
      <c r="BQ1666" t="str">
        <f>"7:00 AM"</f>
        <v>7:00 AM</v>
      </c>
      <c r="BR1666" t="str">
        <f>"2:00 PM"</f>
        <v>2:00 PM</v>
      </c>
      <c r="BS1666" t="s">
        <v>131</v>
      </c>
      <c r="BT1666">
        <v>0</v>
      </c>
      <c r="BU1666">
        <v>1</v>
      </c>
      <c r="BV1666" t="s">
        <v>114</v>
      </c>
      <c r="BX1666" t="s">
        <v>465</v>
      </c>
      <c r="BY1666" t="s">
        <v>6368</v>
      </c>
      <c r="CA1666" t="s">
        <v>6055</v>
      </c>
      <c r="CB1666" t="s">
        <v>140</v>
      </c>
      <c r="CC1666" s="8" t="str">
        <f>"34236"</f>
        <v>34236</v>
      </c>
      <c r="CD1666" t="s">
        <v>6059</v>
      </c>
      <c r="CE1666" t="s">
        <v>1730</v>
      </c>
      <c r="CF1666" s="12">
        <v>13.84</v>
      </c>
      <c r="CG1666" s="12">
        <v>13.84</v>
      </c>
      <c r="CH1666" s="12">
        <v>20.76</v>
      </c>
      <c r="CI1666" s="12">
        <v>20.76</v>
      </c>
      <c r="CJ1666" t="s">
        <v>135</v>
      </c>
      <c r="CL1666" t="s">
        <v>22756</v>
      </c>
      <c r="CO1666" t="s">
        <v>132</v>
      </c>
      <c r="CP1666" t="s">
        <v>114</v>
      </c>
      <c r="CQ1666" t="s">
        <v>114</v>
      </c>
      <c r="CR1666" t="s">
        <v>136</v>
      </c>
      <c r="CS1666" t="s">
        <v>114</v>
      </c>
      <c r="CT1666" t="s">
        <v>136</v>
      </c>
      <c r="CU1666" t="s">
        <v>114</v>
      </c>
      <c r="CV1666" s="2" t="s">
        <v>4703</v>
      </c>
      <c r="CW1666" s="10" t="str">
        <f>"N/A"</f>
        <v>N/A</v>
      </c>
      <c r="CX1666" t="s">
        <v>6371</v>
      </c>
      <c r="CY1666" t="s">
        <v>470</v>
      </c>
      <c r="CZ1666" t="s">
        <v>137</v>
      </c>
      <c r="DA1666" t="s">
        <v>114</v>
      </c>
      <c r="DB1666" t="s">
        <v>114</v>
      </c>
      <c r="DC1666" t="s">
        <v>136</v>
      </c>
      <c r="DD1666" t="s">
        <v>114</v>
      </c>
    </row>
    <row r="1667" spans="1:113" ht="15" customHeight="1" x14ac:dyDescent="0.25">
      <c r="A1667" t="s">
        <v>6365</v>
      </c>
      <c r="B1667" t="s">
        <v>152</v>
      </c>
      <c r="C1667" s="1">
        <v>45141.013790740741</v>
      </c>
      <c r="D1667" s="1">
        <v>45204</v>
      </c>
      <c r="E1667" t="s">
        <v>136</v>
      </c>
      <c r="F1667" t="s">
        <v>951</v>
      </c>
      <c r="G1667" t="str">
        <f>"43-4081.00"</f>
        <v>43-4081.00</v>
      </c>
      <c r="H1667" t="s">
        <v>952</v>
      </c>
      <c r="I1667">
        <v>5</v>
      </c>
      <c r="J1667">
        <v>5</v>
      </c>
      <c r="K1667" s="1">
        <v>45231</v>
      </c>
      <c r="L1667" s="1">
        <v>45504</v>
      </c>
      <c r="M1667" s="1">
        <v>45231</v>
      </c>
      <c r="N1667" s="1">
        <v>45504</v>
      </c>
      <c r="O1667" t="s">
        <v>116</v>
      </c>
      <c r="P1667" t="s">
        <v>6366</v>
      </c>
      <c r="Q1667" t="s">
        <v>6367</v>
      </c>
      <c r="R1667" t="s">
        <v>6368</v>
      </c>
      <c r="T1667" t="s">
        <v>6055</v>
      </c>
      <c r="U1667" t="s">
        <v>140</v>
      </c>
      <c r="V1667" s="8" t="str">
        <f>"34236"</f>
        <v>34236</v>
      </c>
      <c r="W1667" t="s">
        <v>118</v>
      </c>
      <c r="Y1667" s="10">
        <v>19413882161</v>
      </c>
      <c r="AA1667">
        <v>72111</v>
      </c>
      <c r="AB1667" t="s">
        <v>6369</v>
      </c>
      <c r="AC1667" t="s">
        <v>1410</v>
      </c>
      <c r="AE1667" t="s">
        <v>6370</v>
      </c>
      <c r="AF1667" t="s">
        <v>6368</v>
      </c>
      <c r="AH1667" t="s">
        <v>6055</v>
      </c>
      <c r="AI1667" t="s">
        <v>140</v>
      </c>
      <c r="AJ1667" s="8" t="str">
        <f>"34236"</f>
        <v>34236</v>
      </c>
      <c r="AK1667" t="s">
        <v>118</v>
      </c>
      <c r="AM1667" s="10">
        <v>19413882161</v>
      </c>
      <c r="AO1667" t="s">
        <v>6371</v>
      </c>
      <c r="AP1667" t="s">
        <v>248</v>
      </c>
      <c r="AQ1667" t="s">
        <v>458</v>
      </c>
      <c r="AR1667" t="s">
        <v>459</v>
      </c>
      <c r="AT1667" t="s">
        <v>460</v>
      </c>
      <c r="AU1667" t="s">
        <v>461</v>
      </c>
      <c r="AV1667" t="s">
        <v>766</v>
      </c>
      <c r="AW1667" t="s">
        <v>140</v>
      </c>
      <c r="AX1667" s="8" t="str">
        <f>"33141"</f>
        <v>33141</v>
      </c>
      <c r="AY1667" t="s">
        <v>118</v>
      </c>
      <c r="BA1667" s="10">
        <v>17863480376</v>
      </c>
      <c r="BC1667" t="s">
        <v>463</v>
      </c>
      <c r="BD1667" t="s">
        <v>464</v>
      </c>
      <c r="BG1667" t="s">
        <v>140</v>
      </c>
      <c r="BH1667" s="1">
        <v>45140.833333333336</v>
      </c>
      <c r="BI1667">
        <v>35</v>
      </c>
      <c r="BJ1667">
        <v>7</v>
      </c>
      <c r="BK1667">
        <v>7</v>
      </c>
      <c r="BL1667">
        <v>0</v>
      </c>
      <c r="BM1667">
        <v>0</v>
      </c>
      <c r="BN1667">
        <v>7</v>
      </c>
      <c r="BO1667">
        <v>7</v>
      </c>
      <c r="BP1667">
        <v>7</v>
      </c>
      <c r="BQ1667" t="str">
        <f>"10:00 AM"</f>
        <v>10:00 AM</v>
      </c>
      <c r="BR1667" t="str">
        <f>"5:00 PM"</f>
        <v>5:00 PM</v>
      </c>
      <c r="BS1667" t="s">
        <v>131</v>
      </c>
      <c r="BT1667">
        <v>0</v>
      </c>
      <c r="BU1667">
        <v>1</v>
      </c>
      <c r="BV1667" t="s">
        <v>114</v>
      </c>
      <c r="BX1667" t="s">
        <v>465</v>
      </c>
      <c r="BY1667" t="s">
        <v>6368</v>
      </c>
      <c r="CA1667" t="s">
        <v>6055</v>
      </c>
      <c r="CB1667" t="s">
        <v>140</v>
      </c>
      <c r="CC1667" s="8" t="str">
        <f>"34236"</f>
        <v>34236</v>
      </c>
      <c r="CD1667" t="s">
        <v>6059</v>
      </c>
      <c r="CE1667" t="s">
        <v>1730</v>
      </c>
      <c r="CF1667" s="12">
        <v>17</v>
      </c>
      <c r="CG1667" s="12">
        <v>17</v>
      </c>
      <c r="CH1667" s="12">
        <v>25.5</v>
      </c>
      <c r="CI1667" s="12">
        <v>25.5</v>
      </c>
      <c r="CJ1667" t="s">
        <v>135</v>
      </c>
      <c r="CL1667" t="s">
        <v>6372</v>
      </c>
      <c r="CO1667" t="s">
        <v>132</v>
      </c>
      <c r="CP1667" t="s">
        <v>114</v>
      </c>
      <c r="CQ1667" t="s">
        <v>114</v>
      </c>
      <c r="CR1667" t="s">
        <v>136</v>
      </c>
      <c r="CS1667" t="s">
        <v>114</v>
      </c>
      <c r="CT1667" t="s">
        <v>136</v>
      </c>
      <c r="CU1667" t="s">
        <v>114</v>
      </c>
      <c r="CV1667" s="2" t="s">
        <v>4703</v>
      </c>
      <c r="CW1667" s="10" t="str">
        <f>"N/A"</f>
        <v>N/A</v>
      </c>
      <c r="CX1667" t="s">
        <v>6371</v>
      </c>
      <c r="CY1667" t="s">
        <v>470</v>
      </c>
      <c r="CZ1667" t="s">
        <v>137</v>
      </c>
      <c r="DA1667" t="s">
        <v>114</v>
      </c>
      <c r="DB1667" t="s">
        <v>114</v>
      </c>
      <c r="DC1667" t="s">
        <v>136</v>
      </c>
      <c r="DD1667" t="s">
        <v>114</v>
      </c>
    </row>
    <row r="1668" spans="1:113" ht="15" customHeight="1" x14ac:dyDescent="0.25">
      <c r="A1668" t="s">
        <v>9139</v>
      </c>
      <c r="B1668" t="s">
        <v>152</v>
      </c>
      <c r="C1668" s="1">
        <v>45141.009190393517</v>
      </c>
      <c r="D1668" s="1">
        <v>45204</v>
      </c>
      <c r="E1668" t="s">
        <v>136</v>
      </c>
      <c r="F1668" t="s">
        <v>2866</v>
      </c>
      <c r="G1668" t="str">
        <f>"35-9021.00"</f>
        <v>35-9021.00</v>
      </c>
      <c r="H1668" t="s">
        <v>501</v>
      </c>
      <c r="I1668">
        <v>5</v>
      </c>
      <c r="J1668">
        <v>5</v>
      </c>
      <c r="K1668" s="1">
        <v>45231</v>
      </c>
      <c r="L1668" s="1">
        <v>45504</v>
      </c>
      <c r="M1668" s="1">
        <v>45231</v>
      </c>
      <c r="N1668" s="1">
        <v>45504</v>
      </c>
      <c r="O1668" t="s">
        <v>116</v>
      </c>
      <c r="P1668" t="s">
        <v>6366</v>
      </c>
      <c r="Q1668" t="s">
        <v>6367</v>
      </c>
      <c r="R1668" t="s">
        <v>6368</v>
      </c>
      <c r="T1668" t="s">
        <v>6055</v>
      </c>
      <c r="U1668" t="s">
        <v>140</v>
      </c>
      <c r="V1668" s="8" t="str">
        <f>"34236"</f>
        <v>34236</v>
      </c>
      <c r="W1668" t="s">
        <v>118</v>
      </c>
      <c r="Y1668" s="10">
        <v>19413882161</v>
      </c>
      <c r="AA1668">
        <v>72111</v>
      </c>
      <c r="AB1668" t="s">
        <v>6369</v>
      </c>
      <c r="AC1668" t="s">
        <v>1410</v>
      </c>
      <c r="AE1668" t="s">
        <v>6370</v>
      </c>
      <c r="AF1668" t="s">
        <v>6368</v>
      </c>
      <c r="AH1668" t="s">
        <v>6055</v>
      </c>
      <c r="AI1668" t="s">
        <v>140</v>
      </c>
      <c r="AJ1668" s="8" t="str">
        <f>"34236"</f>
        <v>34236</v>
      </c>
      <c r="AK1668" t="s">
        <v>118</v>
      </c>
      <c r="AM1668" s="10">
        <v>19413882161</v>
      </c>
      <c r="AO1668" t="s">
        <v>6371</v>
      </c>
      <c r="AP1668" t="s">
        <v>248</v>
      </c>
      <c r="AQ1668" t="s">
        <v>458</v>
      </c>
      <c r="AR1668" t="s">
        <v>459</v>
      </c>
      <c r="AT1668" t="s">
        <v>460</v>
      </c>
      <c r="AU1668" t="s">
        <v>461</v>
      </c>
      <c r="AV1668" t="s">
        <v>766</v>
      </c>
      <c r="AW1668" t="s">
        <v>140</v>
      </c>
      <c r="AX1668" s="8" t="str">
        <f>"33141"</f>
        <v>33141</v>
      </c>
      <c r="AY1668" t="s">
        <v>118</v>
      </c>
      <c r="BA1668" s="10">
        <v>17863480376</v>
      </c>
      <c r="BC1668" t="s">
        <v>463</v>
      </c>
      <c r="BD1668" t="s">
        <v>464</v>
      </c>
      <c r="BG1668" t="s">
        <v>140</v>
      </c>
      <c r="BH1668" s="1">
        <v>45140.833333333336</v>
      </c>
      <c r="BI1668">
        <v>35</v>
      </c>
      <c r="BJ1668">
        <v>7</v>
      </c>
      <c r="BK1668">
        <v>7</v>
      </c>
      <c r="BL1668">
        <v>0</v>
      </c>
      <c r="BM1668">
        <v>7</v>
      </c>
      <c r="BN1668">
        <v>7</v>
      </c>
      <c r="BO1668">
        <v>7</v>
      </c>
      <c r="BP1668">
        <v>0</v>
      </c>
      <c r="BQ1668" t="str">
        <f>"7:00 AM"</f>
        <v>7:00 AM</v>
      </c>
      <c r="BR1668" t="str">
        <f>"2:00 PM"</f>
        <v>2:00 PM</v>
      </c>
      <c r="BS1668" t="s">
        <v>131</v>
      </c>
      <c r="BT1668">
        <v>0</v>
      </c>
      <c r="BU1668">
        <v>1</v>
      </c>
      <c r="BV1668" t="s">
        <v>114</v>
      </c>
      <c r="BX1668" t="s">
        <v>465</v>
      </c>
      <c r="BY1668" t="s">
        <v>6368</v>
      </c>
      <c r="CA1668" t="s">
        <v>6055</v>
      </c>
      <c r="CB1668" t="s">
        <v>140</v>
      </c>
      <c r="CC1668" s="8" t="str">
        <f>"34236"</f>
        <v>34236</v>
      </c>
      <c r="CD1668" t="s">
        <v>6059</v>
      </c>
      <c r="CE1668" t="s">
        <v>1730</v>
      </c>
      <c r="CF1668" s="12">
        <v>16</v>
      </c>
      <c r="CG1668" s="12">
        <v>16</v>
      </c>
      <c r="CH1668" s="12">
        <v>24</v>
      </c>
      <c r="CI1668" s="12">
        <v>24</v>
      </c>
      <c r="CJ1668" t="s">
        <v>135</v>
      </c>
      <c r="CL1668" t="s">
        <v>9140</v>
      </c>
      <c r="CO1668" t="s">
        <v>132</v>
      </c>
      <c r="CP1668" t="s">
        <v>114</v>
      </c>
      <c r="CQ1668" t="s">
        <v>114</v>
      </c>
      <c r="CR1668" t="s">
        <v>136</v>
      </c>
      <c r="CS1668" t="s">
        <v>114</v>
      </c>
      <c r="CT1668" t="s">
        <v>136</v>
      </c>
      <c r="CU1668" t="s">
        <v>114</v>
      </c>
      <c r="CV1668" s="2" t="s">
        <v>4703</v>
      </c>
      <c r="CW1668" s="10" t="str">
        <f>"N/A"</f>
        <v>N/A</v>
      </c>
      <c r="CX1668" t="s">
        <v>6371</v>
      </c>
      <c r="CY1668" t="s">
        <v>470</v>
      </c>
      <c r="CZ1668" t="s">
        <v>137</v>
      </c>
      <c r="DA1668" t="s">
        <v>114</v>
      </c>
      <c r="DB1668" t="s">
        <v>114</v>
      </c>
      <c r="DC1668" t="s">
        <v>136</v>
      </c>
      <c r="DD1668" t="s">
        <v>114</v>
      </c>
    </row>
    <row r="1669" spans="1:113" ht="15" customHeight="1" x14ac:dyDescent="0.25">
      <c r="A1669" t="s">
        <v>21751</v>
      </c>
      <c r="B1669" t="s">
        <v>152</v>
      </c>
      <c r="C1669" s="1">
        <v>45141.00527361111</v>
      </c>
      <c r="D1669" s="1">
        <v>45204</v>
      </c>
      <c r="E1669" t="s">
        <v>136</v>
      </c>
      <c r="F1669" t="s">
        <v>1059</v>
      </c>
      <c r="G1669" t="str">
        <f>"35-2014.00"</f>
        <v>35-2014.00</v>
      </c>
      <c r="H1669" t="s">
        <v>154</v>
      </c>
      <c r="I1669">
        <v>5</v>
      </c>
      <c r="J1669">
        <v>5</v>
      </c>
      <c r="K1669" s="1">
        <v>45231</v>
      </c>
      <c r="L1669" s="1">
        <v>45504</v>
      </c>
      <c r="M1669" s="1">
        <v>45231</v>
      </c>
      <c r="N1669" s="1">
        <v>45504</v>
      </c>
      <c r="O1669" t="s">
        <v>116</v>
      </c>
      <c r="P1669" t="s">
        <v>6366</v>
      </c>
      <c r="Q1669" t="s">
        <v>6367</v>
      </c>
      <c r="R1669" t="s">
        <v>6368</v>
      </c>
      <c r="T1669" t="s">
        <v>6055</v>
      </c>
      <c r="U1669" t="s">
        <v>140</v>
      </c>
      <c r="V1669" s="8" t="str">
        <f>"34236"</f>
        <v>34236</v>
      </c>
      <c r="W1669" t="s">
        <v>118</v>
      </c>
      <c r="Y1669" s="10">
        <v>19413882161</v>
      </c>
      <c r="AA1669">
        <v>72111</v>
      </c>
      <c r="AB1669" t="s">
        <v>6369</v>
      </c>
      <c r="AC1669" t="s">
        <v>1410</v>
      </c>
      <c r="AE1669" t="s">
        <v>764</v>
      </c>
      <c r="AF1669" t="s">
        <v>21752</v>
      </c>
      <c r="AH1669" t="s">
        <v>6055</v>
      </c>
      <c r="AI1669" t="s">
        <v>140</v>
      </c>
      <c r="AJ1669" s="8" t="str">
        <f>"34236"</f>
        <v>34236</v>
      </c>
      <c r="AK1669" t="s">
        <v>118</v>
      </c>
      <c r="AM1669" s="10">
        <v>19413882161</v>
      </c>
      <c r="AO1669" t="s">
        <v>6371</v>
      </c>
      <c r="AP1669" t="s">
        <v>248</v>
      </c>
      <c r="AQ1669" t="s">
        <v>458</v>
      </c>
      <c r="AR1669" t="s">
        <v>459</v>
      </c>
      <c r="AT1669" t="s">
        <v>460</v>
      </c>
      <c r="AU1669" t="s">
        <v>461</v>
      </c>
      <c r="AV1669" t="s">
        <v>766</v>
      </c>
      <c r="AW1669" t="s">
        <v>140</v>
      </c>
      <c r="AX1669" s="8" t="str">
        <f>"33141"</f>
        <v>33141</v>
      </c>
      <c r="AY1669" t="s">
        <v>118</v>
      </c>
      <c r="BA1669" s="10">
        <v>17863480376</v>
      </c>
      <c r="BC1669" t="s">
        <v>463</v>
      </c>
      <c r="BD1669" t="s">
        <v>464</v>
      </c>
      <c r="BG1669" t="s">
        <v>140</v>
      </c>
      <c r="BH1669" s="1">
        <v>45140.833333333336</v>
      </c>
      <c r="BI1669">
        <v>35</v>
      </c>
      <c r="BJ1669">
        <v>7</v>
      </c>
      <c r="BK1669">
        <v>7</v>
      </c>
      <c r="BL1669">
        <v>0</v>
      </c>
      <c r="BM1669">
        <v>0</v>
      </c>
      <c r="BN1669">
        <v>7</v>
      </c>
      <c r="BO1669">
        <v>7</v>
      </c>
      <c r="BP1669">
        <v>7</v>
      </c>
      <c r="BQ1669" t="str">
        <f>"7:00 AM"</f>
        <v>7:00 AM</v>
      </c>
      <c r="BR1669" t="str">
        <f>"2:00 PM"</f>
        <v>2:00 PM</v>
      </c>
      <c r="BS1669" t="s">
        <v>131</v>
      </c>
      <c r="BT1669">
        <v>0</v>
      </c>
      <c r="BU1669">
        <v>1</v>
      </c>
      <c r="BV1669" t="s">
        <v>114</v>
      </c>
      <c r="BX1669" t="s">
        <v>465</v>
      </c>
      <c r="BY1669" t="s">
        <v>6368</v>
      </c>
      <c r="CA1669" t="s">
        <v>6055</v>
      </c>
      <c r="CB1669" t="s">
        <v>140</v>
      </c>
      <c r="CC1669" s="8" t="str">
        <f>"34236"</f>
        <v>34236</v>
      </c>
      <c r="CD1669" t="s">
        <v>6059</v>
      </c>
      <c r="CE1669" t="s">
        <v>1730</v>
      </c>
      <c r="CF1669" s="12">
        <v>17</v>
      </c>
      <c r="CG1669" s="12">
        <v>19</v>
      </c>
      <c r="CH1669" s="12">
        <v>25.5</v>
      </c>
      <c r="CI1669" s="12">
        <v>28.5</v>
      </c>
      <c r="CJ1669" t="s">
        <v>135</v>
      </c>
      <c r="CL1669" t="s">
        <v>21753</v>
      </c>
      <c r="CO1669" t="s">
        <v>132</v>
      </c>
      <c r="CP1669" t="s">
        <v>114</v>
      </c>
      <c r="CQ1669" t="s">
        <v>114</v>
      </c>
      <c r="CR1669" t="s">
        <v>136</v>
      </c>
      <c r="CS1669" t="s">
        <v>114</v>
      </c>
      <c r="CT1669" t="s">
        <v>136</v>
      </c>
      <c r="CU1669" t="s">
        <v>114</v>
      </c>
      <c r="CV1669" s="2" t="s">
        <v>4703</v>
      </c>
      <c r="CW1669" s="10" t="str">
        <f>"N/A"</f>
        <v>N/A</v>
      </c>
      <c r="CX1669" t="s">
        <v>6371</v>
      </c>
      <c r="CY1669" t="s">
        <v>470</v>
      </c>
      <c r="CZ1669" t="s">
        <v>137</v>
      </c>
      <c r="DA1669" t="s">
        <v>114</v>
      </c>
      <c r="DB1669" t="s">
        <v>114</v>
      </c>
      <c r="DC1669" t="s">
        <v>136</v>
      </c>
      <c r="DD1669" t="s">
        <v>114</v>
      </c>
    </row>
    <row r="1670" spans="1:113" ht="15" customHeight="1" x14ac:dyDescent="0.25">
      <c r="A1670" t="s">
        <v>10044</v>
      </c>
      <c r="B1670" t="s">
        <v>152</v>
      </c>
      <c r="C1670" s="1">
        <v>45141.004671064817</v>
      </c>
      <c r="D1670" s="1">
        <v>45204</v>
      </c>
      <c r="E1670" t="s">
        <v>114</v>
      </c>
      <c r="F1670" t="s">
        <v>2512</v>
      </c>
      <c r="G1670" t="str">
        <f>"35-3031.00"</f>
        <v>35-3031.00</v>
      </c>
      <c r="H1670" t="s">
        <v>347</v>
      </c>
      <c r="I1670">
        <v>12</v>
      </c>
      <c r="J1670">
        <v>12</v>
      </c>
      <c r="K1670" s="1">
        <v>45231</v>
      </c>
      <c r="L1670" s="1">
        <v>45397</v>
      </c>
      <c r="M1670" s="1">
        <v>45231</v>
      </c>
      <c r="N1670" s="1">
        <v>45397</v>
      </c>
      <c r="O1670" t="s">
        <v>116</v>
      </c>
      <c r="P1670" t="s">
        <v>1669</v>
      </c>
      <c r="Q1670" t="s">
        <v>1670</v>
      </c>
      <c r="R1670" t="s">
        <v>1671</v>
      </c>
      <c r="T1670" t="s">
        <v>1672</v>
      </c>
      <c r="U1670" t="s">
        <v>506</v>
      </c>
      <c r="V1670" s="8" t="str">
        <f>"05672"</f>
        <v>05672</v>
      </c>
      <c r="W1670" t="s">
        <v>118</v>
      </c>
      <c r="Y1670" s="10">
        <v>18027604701</v>
      </c>
      <c r="Z1670">
        <v>0</v>
      </c>
      <c r="AA1670">
        <v>72111</v>
      </c>
      <c r="AB1670" t="s">
        <v>1673</v>
      </c>
      <c r="AC1670" t="s">
        <v>931</v>
      </c>
      <c r="AE1670" t="s">
        <v>1349</v>
      </c>
      <c r="AF1670" t="s">
        <v>1671</v>
      </c>
      <c r="AH1670" t="s">
        <v>1672</v>
      </c>
      <c r="AI1670" t="s">
        <v>506</v>
      </c>
      <c r="AJ1670" s="8" t="str">
        <f>"05672"</f>
        <v>05672</v>
      </c>
      <c r="AK1670" t="s">
        <v>118</v>
      </c>
      <c r="AM1670" s="10">
        <v>18027604701</v>
      </c>
      <c r="AO1670" t="s">
        <v>1674</v>
      </c>
      <c r="AP1670" t="s">
        <v>121</v>
      </c>
      <c r="AQ1670" t="s">
        <v>1675</v>
      </c>
      <c r="AR1670" t="s">
        <v>1676</v>
      </c>
      <c r="AS1670" t="s">
        <v>1677</v>
      </c>
      <c r="AT1670" t="s">
        <v>1678</v>
      </c>
      <c r="AU1670" t="s">
        <v>296</v>
      </c>
      <c r="AV1670" t="s">
        <v>1679</v>
      </c>
      <c r="AW1670" t="s">
        <v>402</v>
      </c>
      <c r="AX1670" s="8" t="str">
        <f>"91361"</f>
        <v>91361</v>
      </c>
      <c r="AY1670" t="s">
        <v>118</v>
      </c>
      <c r="BA1670" s="10">
        <v>18052611393</v>
      </c>
      <c r="BC1670" t="s">
        <v>1680</v>
      </c>
      <c r="BD1670" t="s">
        <v>1681</v>
      </c>
      <c r="BE1670" t="s">
        <v>140</v>
      </c>
      <c r="BF1670" t="s">
        <v>146</v>
      </c>
      <c r="BG1670" t="s">
        <v>506</v>
      </c>
      <c r="BH1670" s="1">
        <v>45118.833333333336</v>
      </c>
      <c r="BI1670">
        <v>35</v>
      </c>
      <c r="BJ1670">
        <v>5</v>
      </c>
      <c r="BK1670">
        <v>5</v>
      </c>
      <c r="BL1670">
        <v>5</v>
      </c>
      <c r="BM1670">
        <v>5</v>
      </c>
      <c r="BN1670">
        <v>5</v>
      </c>
      <c r="BO1670">
        <v>5</v>
      </c>
      <c r="BP1670">
        <v>5</v>
      </c>
      <c r="BQ1670" t="str">
        <f>"5:00 AM"</f>
        <v>5:00 AM</v>
      </c>
      <c r="BR1670" t="str">
        <f>"1:00 PM"</f>
        <v>1:00 PM</v>
      </c>
      <c r="BS1670" t="s">
        <v>131</v>
      </c>
      <c r="BT1670">
        <v>0</v>
      </c>
      <c r="BU1670">
        <v>0</v>
      </c>
      <c r="BV1670" t="s">
        <v>114</v>
      </c>
      <c r="BX1670" s="2" t="s">
        <v>10045</v>
      </c>
      <c r="BY1670" t="s">
        <v>1671</v>
      </c>
      <c r="CA1670" t="s">
        <v>1672</v>
      </c>
      <c r="CB1670" t="s">
        <v>506</v>
      </c>
      <c r="CC1670" s="8" t="str">
        <f>"05672"</f>
        <v>05672</v>
      </c>
      <c r="CD1670" t="s">
        <v>1683</v>
      </c>
      <c r="CE1670" t="s">
        <v>1108</v>
      </c>
      <c r="CF1670" s="12">
        <v>15.78</v>
      </c>
      <c r="CH1670" s="12">
        <v>23.67</v>
      </c>
      <c r="CJ1670" t="s">
        <v>135</v>
      </c>
      <c r="CK1670" t="s">
        <v>10046</v>
      </c>
      <c r="CL1670" t="s">
        <v>10047</v>
      </c>
      <c r="CO1670" t="s">
        <v>132</v>
      </c>
      <c r="CP1670" t="s">
        <v>114</v>
      </c>
      <c r="CQ1670" t="s">
        <v>136</v>
      </c>
      <c r="CR1670" t="s">
        <v>136</v>
      </c>
      <c r="CS1670" t="s">
        <v>136</v>
      </c>
      <c r="CT1670" t="s">
        <v>136</v>
      </c>
      <c r="CU1670" t="s">
        <v>136</v>
      </c>
      <c r="CV1670" s="2" t="s">
        <v>10048</v>
      </c>
      <c r="CW1670" s="10" t="str">
        <f>"N/A"</f>
        <v>N/A</v>
      </c>
      <c r="CX1670" t="s">
        <v>1687</v>
      </c>
      <c r="CY1670" t="s">
        <v>1688</v>
      </c>
      <c r="CZ1670" t="s">
        <v>137</v>
      </c>
      <c r="DA1670" t="s">
        <v>114</v>
      </c>
      <c r="DB1670" t="s">
        <v>136</v>
      </c>
      <c r="DC1670" t="s">
        <v>136</v>
      </c>
      <c r="DD1670" t="s">
        <v>114</v>
      </c>
    </row>
    <row r="1671" spans="1:113" ht="15" customHeight="1" x14ac:dyDescent="0.25">
      <c r="A1671" t="s">
        <v>22402</v>
      </c>
      <c r="B1671" t="s">
        <v>152</v>
      </c>
      <c r="C1671" s="1">
        <v>45140.005507060188</v>
      </c>
      <c r="D1671" s="1">
        <v>45204</v>
      </c>
      <c r="E1671" t="s">
        <v>114</v>
      </c>
      <c r="F1671" t="s">
        <v>1247</v>
      </c>
      <c r="G1671" t="str">
        <f>"45-4011.00"</f>
        <v>45-4011.00</v>
      </c>
      <c r="H1671" t="s">
        <v>842</v>
      </c>
      <c r="I1671">
        <v>158</v>
      </c>
      <c r="J1671">
        <v>158</v>
      </c>
      <c r="K1671" s="1">
        <v>45230</v>
      </c>
      <c r="L1671" s="1">
        <v>45352</v>
      </c>
      <c r="M1671" s="1">
        <v>45230</v>
      </c>
      <c r="N1671" s="1">
        <v>45352</v>
      </c>
      <c r="O1671" t="s">
        <v>238</v>
      </c>
      <c r="P1671" t="s">
        <v>13497</v>
      </c>
      <c r="R1671" t="s">
        <v>13498</v>
      </c>
      <c r="S1671" t="s">
        <v>13499</v>
      </c>
      <c r="T1671" t="s">
        <v>2411</v>
      </c>
      <c r="U1671" t="s">
        <v>1598</v>
      </c>
      <c r="V1671" s="8" t="str">
        <f>"35244"</f>
        <v>35244</v>
      </c>
      <c r="W1671" t="s">
        <v>118</v>
      </c>
      <c r="Y1671" s="10">
        <v>12054244564</v>
      </c>
      <c r="AA1671">
        <v>11531</v>
      </c>
      <c r="AB1671" t="s">
        <v>3023</v>
      </c>
      <c r="AC1671" t="s">
        <v>1826</v>
      </c>
      <c r="AD1671" t="s">
        <v>132</v>
      </c>
      <c r="AE1671" t="s">
        <v>629</v>
      </c>
      <c r="AF1671" t="s">
        <v>13498</v>
      </c>
      <c r="AG1671" t="s">
        <v>13499</v>
      </c>
      <c r="AH1671" t="s">
        <v>2411</v>
      </c>
      <c r="AI1671" t="s">
        <v>1598</v>
      </c>
      <c r="AJ1671" s="8" t="str">
        <f>"35244"</f>
        <v>35244</v>
      </c>
      <c r="AK1671" t="s">
        <v>118</v>
      </c>
      <c r="AM1671" s="10">
        <v>12054244564</v>
      </c>
      <c r="AO1671" t="s">
        <v>22403</v>
      </c>
      <c r="AP1671" t="s">
        <v>248</v>
      </c>
      <c r="AQ1671" t="s">
        <v>4335</v>
      </c>
      <c r="AR1671" t="s">
        <v>4336</v>
      </c>
      <c r="AS1671" t="s">
        <v>1798</v>
      </c>
      <c r="AT1671" t="s">
        <v>3080</v>
      </c>
      <c r="AU1671" t="s">
        <v>3081</v>
      </c>
      <c r="AV1671" t="s">
        <v>3082</v>
      </c>
      <c r="AW1671" t="s">
        <v>854</v>
      </c>
      <c r="AX1671" s="8" t="str">
        <f>"83814"</f>
        <v>83814</v>
      </c>
      <c r="AY1671" t="s">
        <v>118</v>
      </c>
      <c r="BA1671" s="10">
        <v>12087772654</v>
      </c>
      <c r="BC1671" t="s">
        <v>2154</v>
      </c>
      <c r="BD1671" t="s">
        <v>856</v>
      </c>
      <c r="BG1671" t="s">
        <v>1598</v>
      </c>
      <c r="BH1671" s="1">
        <v>45138.833333333336</v>
      </c>
      <c r="BI1671">
        <v>40</v>
      </c>
      <c r="BJ1671">
        <v>0</v>
      </c>
      <c r="BK1671">
        <v>8</v>
      </c>
      <c r="BL1671">
        <v>8</v>
      </c>
      <c r="BM1671">
        <v>8</v>
      </c>
      <c r="BN1671">
        <v>8</v>
      </c>
      <c r="BO1671">
        <v>8</v>
      </c>
      <c r="BP1671">
        <v>0</v>
      </c>
      <c r="BQ1671" t="str">
        <f>"8:00 AM"</f>
        <v>8:00 AM</v>
      </c>
      <c r="BR1671" t="str">
        <f>"4:00 PM"</f>
        <v>4:00 PM</v>
      </c>
      <c r="BS1671" t="s">
        <v>131</v>
      </c>
      <c r="BT1671">
        <v>0</v>
      </c>
      <c r="BU1671">
        <v>0</v>
      </c>
      <c r="BV1671" t="s">
        <v>114</v>
      </c>
      <c r="BX1671" t="s">
        <v>13500</v>
      </c>
      <c r="BY1671" t="s">
        <v>13501</v>
      </c>
      <c r="CA1671" t="s">
        <v>12130</v>
      </c>
      <c r="CB1671" t="s">
        <v>1598</v>
      </c>
      <c r="CC1671" s="8" t="str">
        <f>"35555"</f>
        <v>35555</v>
      </c>
      <c r="CD1671" t="s">
        <v>2868</v>
      </c>
      <c r="CE1671" t="s">
        <v>12134</v>
      </c>
      <c r="CF1671" s="12">
        <v>11.78</v>
      </c>
      <c r="CG1671" s="12">
        <v>26.74</v>
      </c>
      <c r="CH1671" s="12">
        <v>17.670000000000002</v>
      </c>
      <c r="CI1671" s="12">
        <v>40.11</v>
      </c>
      <c r="CJ1671" t="s">
        <v>135</v>
      </c>
      <c r="CK1671" t="s">
        <v>861</v>
      </c>
      <c r="CL1671" t="s">
        <v>22404</v>
      </c>
      <c r="CO1671" t="s">
        <v>132</v>
      </c>
      <c r="CP1671" t="s">
        <v>136</v>
      </c>
      <c r="CQ1671" t="s">
        <v>136</v>
      </c>
      <c r="CR1671" t="s">
        <v>136</v>
      </c>
      <c r="CS1671" t="s">
        <v>136</v>
      </c>
      <c r="CT1671" t="s">
        <v>136</v>
      </c>
      <c r="CU1671" t="s">
        <v>136</v>
      </c>
      <c r="CV1671" t="s">
        <v>1040</v>
      </c>
      <c r="CW1671" s="10" t="str">
        <f>"+12054244564"</f>
        <v>+12054244564</v>
      </c>
      <c r="CX1671" t="s">
        <v>13502</v>
      </c>
      <c r="CY1671" t="s">
        <v>132</v>
      </c>
      <c r="CZ1671" t="s">
        <v>137</v>
      </c>
      <c r="DA1671" t="s">
        <v>114</v>
      </c>
      <c r="DB1671" t="s">
        <v>136</v>
      </c>
      <c r="DC1671" t="s">
        <v>136</v>
      </c>
      <c r="DD1671" t="s">
        <v>114</v>
      </c>
    </row>
    <row r="1672" spans="1:113" ht="15" customHeight="1" x14ac:dyDescent="0.25">
      <c r="A1672" t="s">
        <v>22371</v>
      </c>
      <c r="B1672" t="s">
        <v>152</v>
      </c>
      <c r="C1672" s="1">
        <v>45139.388176967594</v>
      </c>
      <c r="D1672" s="1">
        <v>45204</v>
      </c>
      <c r="E1672" t="s">
        <v>114</v>
      </c>
      <c r="F1672" t="s">
        <v>22372</v>
      </c>
      <c r="G1672" t="str">
        <f>"25-3021.00"</f>
        <v>25-3021.00</v>
      </c>
      <c r="H1672" t="s">
        <v>720</v>
      </c>
      <c r="I1672">
        <v>10</v>
      </c>
      <c r="J1672">
        <v>10</v>
      </c>
      <c r="K1672" s="1">
        <v>45229</v>
      </c>
      <c r="L1672" s="1">
        <v>45412</v>
      </c>
      <c r="M1672" s="1">
        <v>45229</v>
      </c>
      <c r="N1672" s="1">
        <v>45412</v>
      </c>
      <c r="O1672" t="s">
        <v>238</v>
      </c>
      <c r="P1672" t="s">
        <v>887</v>
      </c>
      <c r="Q1672" t="s">
        <v>888</v>
      </c>
      <c r="R1672" t="s">
        <v>889</v>
      </c>
      <c r="T1672" t="s">
        <v>891</v>
      </c>
      <c r="U1672" t="s">
        <v>892</v>
      </c>
      <c r="V1672" s="8" t="str">
        <f>"59716"</f>
        <v>59716</v>
      </c>
      <c r="W1672" t="s">
        <v>118</v>
      </c>
      <c r="Y1672" s="10">
        <v>14069955706</v>
      </c>
      <c r="AA1672">
        <v>721110</v>
      </c>
      <c r="AB1672" t="s">
        <v>22373</v>
      </c>
      <c r="AC1672" t="s">
        <v>508</v>
      </c>
      <c r="AE1672" t="s">
        <v>22374</v>
      </c>
      <c r="AF1672" t="s">
        <v>890</v>
      </c>
      <c r="AH1672" t="s">
        <v>891</v>
      </c>
      <c r="AI1672" t="s">
        <v>892</v>
      </c>
      <c r="AJ1672" s="8" t="str">
        <f>"59716"</f>
        <v>59716</v>
      </c>
      <c r="AK1672" t="s">
        <v>118</v>
      </c>
      <c r="AM1672" s="10">
        <v>14069955730</v>
      </c>
      <c r="AO1672" t="s">
        <v>22375</v>
      </c>
      <c r="AP1672" t="s">
        <v>121</v>
      </c>
      <c r="AQ1672" t="s">
        <v>1675</v>
      </c>
      <c r="AR1672" t="s">
        <v>1676</v>
      </c>
      <c r="AS1672" t="s">
        <v>1677</v>
      </c>
      <c r="AT1672" t="s">
        <v>1678</v>
      </c>
      <c r="AU1672" t="s">
        <v>296</v>
      </c>
      <c r="AV1672" t="s">
        <v>1679</v>
      </c>
      <c r="AW1672" t="s">
        <v>402</v>
      </c>
      <c r="AX1672" s="8" t="str">
        <f>"91361"</f>
        <v>91361</v>
      </c>
      <c r="AY1672" t="s">
        <v>118</v>
      </c>
      <c r="BA1672" s="10">
        <v>18052611393</v>
      </c>
      <c r="BC1672" t="s">
        <v>1680</v>
      </c>
      <c r="BD1672" t="s">
        <v>1681</v>
      </c>
      <c r="BE1672" t="s">
        <v>140</v>
      </c>
      <c r="BF1672" t="s">
        <v>146</v>
      </c>
      <c r="BG1672" t="s">
        <v>892</v>
      </c>
      <c r="BH1672" s="1">
        <v>45130.833333333336</v>
      </c>
      <c r="BI1672">
        <v>35</v>
      </c>
      <c r="BJ1672">
        <v>5</v>
      </c>
      <c r="BK1672">
        <v>5</v>
      </c>
      <c r="BL1672">
        <v>5</v>
      </c>
      <c r="BM1672">
        <v>5</v>
      </c>
      <c r="BN1672">
        <v>5</v>
      </c>
      <c r="BO1672">
        <v>5</v>
      </c>
      <c r="BP1672">
        <v>5</v>
      </c>
      <c r="BQ1672" t="str">
        <f>"7:45 AM"</f>
        <v>7:45 AM</v>
      </c>
      <c r="BR1672" t="str">
        <f>"2:45 PM"</f>
        <v>2:45 PM</v>
      </c>
      <c r="BS1672" t="s">
        <v>131</v>
      </c>
      <c r="BT1672">
        <v>0</v>
      </c>
      <c r="BU1672">
        <v>20</v>
      </c>
      <c r="BV1672" t="s">
        <v>114</v>
      </c>
      <c r="BX1672" s="2" t="s">
        <v>22376</v>
      </c>
      <c r="BY1672" t="s">
        <v>889</v>
      </c>
      <c r="CA1672" t="s">
        <v>891</v>
      </c>
      <c r="CB1672" t="s">
        <v>892</v>
      </c>
      <c r="CC1672" s="8" t="str">
        <f>"59716"</f>
        <v>59716</v>
      </c>
      <c r="CD1672" t="s">
        <v>1957</v>
      </c>
      <c r="CE1672" t="s">
        <v>909</v>
      </c>
      <c r="CF1672" s="12">
        <v>18.61</v>
      </c>
      <c r="CG1672" s="12">
        <v>52</v>
      </c>
      <c r="CH1672" s="12">
        <v>27.92</v>
      </c>
      <c r="CI1672" s="12">
        <v>78</v>
      </c>
      <c r="CJ1672" t="s">
        <v>135</v>
      </c>
      <c r="CK1672" t="s">
        <v>22377</v>
      </c>
      <c r="CL1672" t="s">
        <v>22378</v>
      </c>
      <c r="CO1672" t="s">
        <v>132</v>
      </c>
      <c r="CP1672" t="s">
        <v>114</v>
      </c>
      <c r="CQ1672" t="s">
        <v>114</v>
      </c>
      <c r="CR1672" t="s">
        <v>136</v>
      </c>
      <c r="CS1672" t="s">
        <v>136</v>
      </c>
      <c r="CT1672" t="s">
        <v>136</v>
      </c>
      <c r="CU1672" t="s">
        <v>136</v>
      </c>
      <c r="CV1672" s="2" t="s">
        <v>22379</v>
      </c>
      <c r="CW1672" s="10" t="str">
        <f>"+14069955730"</f>
        <v>+14069955730</v>
      </c>
      <c r="CX1672" t="s">
        <v>22375</v>
      </c>
      <c r="CY1672" t="s">
        <v>132</v>
      </c>
      <c r="CZ1672" t="s">
        <v>137</v>
      </c>
      <c r="DA1672" t="s">
        <v>114</v>
      </c>
      <c r="DB1672" t="s">
        <v>114</v>
      </c>
      <c r="DC1672" t="s">
        <v>136</v>
      </c>
      <c r="DD1672" t="s">
        <v>114</v>
      </c>
    </row>
    <row r="1673" spans="1:113" ht="15" customHeight="1" x14ac:dyDescent="0.25">
      <c r="A1673" t="s">
        <v>16067</v>
      </c>
      <c r="B1673" t="s">
        <v>152</v>
      </c>
      <c r="C1673" s="1">
        <v>45138.650814004628</v>
      </c>
      <c r="D1673" s="1">
        <v>45204</v>
      </c>
      <c r="E1673" t="s">
        <v>136</v>
      </c>
      <c r="F1673" t="s">
        <v>1059</v>
      </c>
      <c r="G1673" t="str">
        <f>"35-2014.00"</f>
        <v>35-2014.00</v>
      </c>
      <c r="H1673" t="s">
        <v>154</v>
      </c>
      <c r="I1673">
        <v>6</v>
      </c>
      <c r="J1673">
        <v>6</v>
      </c>
      <c r="K1673" s="1">
        <v>45214</v>
      </c>
      <c r="L1673" s="1">
        <v>45412</v>
      </c>
      <c r="M1673" s="1">
        <v>45214</v>
      </c>
      <c r="N1673" s="1">
        <v>45412</v>
      </c>
      <c r="O1673" t="s">
        <v>116</v>
      </c>
      <c r="P1673" t="s">
        <v>14358</v>
      </c>
      <c r="R1673" t="s">
        <v>14359</v>
      </c>
      <c r="T1673" t="s">
        <v>1614</v>
      </c>
      <c r="U1673" t="s">
        <v>140</v>
      </c>
      <c r="V1673" s="8" t="str">
        <f>"34119"</f>
        <v>34119</v>
      </c>
      <c r="W1673" t="s">
        <v>118</v>
      </c>
      <c r="Y1673" s="10">
        <v>12392547409</v>
      </c>
      <c r="AA1673">
        <v>713910</v>
      </c>
      <c r="AB1673" t="s">
        <v>9417</v>
      </c>
      <c r="AC1673" t="s">
        <v>1826</v>
      </c>
      <c r="AE1673" t="s">
        <v>2707</v>
      </c>
      <c r="AF1673" t="s">
        <v>14359</v>
      </c>
      <c r="AH1673" t="s">
        <v>1614</v>
      </c>
      <c r="AI1673" t="s">
        <v>140</v>
      </c>
      <c r="AJ1673" s="8" t="str">
        <f>"34119"</f>
        <v>34119</v>
      </c>
      <c r="AK1673" t="s">
        <v>118</v>
      </c>
      <c r="AM1673" s="10">
        <v>12392547409</v>
      </c>
      <c r="AO1673" t="s">
        <v>14360</v>
      </c>
      <c r="AP1673" t="s">
        <v>121</v>
      </c>
      <c r="AQ1673" t="s">
        <v>276</v>
      </c>
      <c r="AR1673" t="s">
        <v>277</v>
      </c>
      <c r="AS1673" t="s">
        <v>278</v>
      </c>
      <c r="AT1673" t="s">
        <v>279</v>
      </c>
      <c r="AU1673" t="s">
        <v>280</v>
      </c>
      <c r="AV1673" t="s">
        <v>281</v>
      </c>
      <c r="AW1673" t="s">
        <v>222</v>
      </c>
      <c r="AX1673" s="8" t="str">
        <f>"01701"</f>
        <v>01701</v>
      </c>
      <c r="AY1673" t="s">
        <v>118</v>
      </c>
      <c r="BA1673" s="10">
        <v>16179399444</v>
      </c>
      <c r="BC1673" t="s">
        <v>282</v>
      </c>
      <c r="BD1673" t="s">
        <v>283</v>
      </c>
      <c r="BE1673" t="s">
        <v>222</v>
      </c>
      <c r="BF1673" t="s">
        <v>284</v>
      </c>
      <c r="BG1673" t="s">
        <v>140</v>
      </c>
      <c r="BH1673" s="1">
        <v>45137.833333333336</v>
      </c>
      <c r="BI1673">
        <v>40</v>
      </c>
      <c r="BJ1673">
        <v>0</v>
      </c>
      <c r="BK1673">
        <v>8</v>
      </c>
      <c r="BL1673">
        <v>8</v>
      </c>
      <c r="BM1673">
        <v>8</v>
      </c>
      <c r="BN1673">
        <v>8</v>
      </c>
      <c r="BO1673">
        <v>8</v>
      </c>
      <c r="BP1673">
        <v>0</v>
      </c>
      <c r="BQ1673" t="str">
        <f>"9:00 AM"</f>
        <v>9:00 AM</v>
      </c>
      <c r="BR1673" t="str">
        <f>"5:00 PM"</f>
        <v>5:00 PM</v>
      </c>
      <c r="BS1673" t="s">
        <v>131</v>
      </c>
      <c r="BT1673">
        <v>0</v>
      </c>
      <c r="BU1673">
        <v>6</v>
      </c>
      <c r="BV1673" t="s">
        <v>114</v>
      </c>
      <c r="BX1673" s="2" t="s">
        <v>16068</v>
      </c>
      <c r="BY1673" t="s">
        <v>14362</v>
      </c>
      <c r="CA1673" t="s">
        <v>1614</v>
      </c>
      <c r="CB1673" t="s">
        <v>140</v>
      </c>
      <c r="CC1673" s="8" t="str">
        <f>"34119"</f>
        <v>34119</v>
      </c>
      <c r="CD1673" t="s">
        <v>1619</v>
      </c>
      <c r="CE1673" t="s">
        <v>1620</v>
      </c>
      <c r="CF1673" s="12">
        <v>19</v>
      </c>
      <c r="CG1673" s="12">
        <v>25</v>
      </c>
      <c r="CH1673" s="12">
        <v>28.5</v>
      </c>
      <c r="CI1673" s="12">
        <v>37.5</v>
      </c>
      <c r="CJ1673" t="s">
        <v>135</v>
      </c>
      <c r="CK1673" t="s">
        <v>16069</v>
      </c>
      <c r="CL1673" t="s">
        <v>16070</v>
      </c>
      <c r="CO1673" t="s">
        <v>132</v>
      </c>
      <c r="CP1673" t="s">
        <v>114</v>
      </c>
      <c r="CQ1673" t="s">
        <v>114</v>
      </c>
      <c r="CR1673" t="s">
        <v>136</v>
      </c>
      <c r="CS1673" t="s">
        <v>136</v>
      </c>
      <c r="CT1673" t="s">
        <v>136</v>
      </c>
      <c r="CU1673" t="s">
        <v>136</v>
      </c>
      <c r="CV1673" s="2" t="s">
        <v>16071</v>
      </c>
      <c r="CW1673" s="10" t="str">
        <f>"+12392547409"</f>
        <v>+12392547409</v>
      </c>
      <c r="CX1673" t="s">
        <v>14360</v>
      </c>
      <c r="CY1673" t="s">
        <v>132</v>
      </c>
      <c r="CZ1673" t="s">
        <v>137</v>
      </c>
      <c r="DA1673" t="s">
        <v>114</v>
      </c>
      <c r="DB1673" t="s">
        <v>114</v>
      </c>
      <c r="DC1673" t="s">
        <v>136</v>
      </c>
      <c r="DD1673" t="s">
        <v>114</v>
      </c>
    </row>
    <row r="1674" spans="1:113" ht="15" customHeight="1" x14ac:dyDescent="0.25">
      <c r="A1674" t="s">
        <v>3846</v>
      </c>
      <c r="B1674" t="s">
        <v>152</v>
      </c>
      <c r="C1674" s="1">
        <v>45138.556274421295</v>
      </c>
      <c r="D1674" s="1">
        <v>45204</v>
      </c>
      <c r="E1674" t="s">
        <v>114</v>
      </c>
      <c r="F1674" t="s">
        <v>3847</v>
      </c>
      <c r="G1674" t="str">
        <f>"39-2021.00"</f>
        <v>39-2021.00</v>
      </c>
      <c r="H1674" t="s">
        <v>2895</v>
      </c>
      <c r="I1674">
        <v>2</v>
      </c>
      <c r="J1674">
        <v>2</v>
      </c>
      <c r="K1674" s="1">
        <v>45213</v>
      </c>
      <c r="L1674" s="1">
        <v>45504</v>
      </c>
      <c r="M1674" s="1">
        <v>45213</v>
      </c>
      <c r="N1674" s="1">
        <v>45504</v>
      </c>
      <c r="O1674" t="s">
        <v>238</v>
      </c>
      <c r="P1674" t="s">
        <v>3848</v>
      </c>
      <c r="R1674" t="s">
        <v>3849</v>
      </c>
      <c r="T1674" t="s">
        <v>3850</v>
      </c>
      <c r="U1674" t="s">
        <v>1776</v>
      </c>
      <c r="V1674" s="8" t="str">
        <f>"08052"</f>
        <v>08052</v>
      </c>
      <c r="W1674" t="s">
        <v>118</v>
      </c>
      <c r="Y1674" s="10">
        <v>12153562083</v>
      </c>
      <c r="AA1674">
        <v>711212</v>
      </c>
      <c r="AB1674" t="s">
        <v>3851</v>
      </c>
      <c r="AC1674" t="s">
        <v>1852</v>
      </c>
      <c r="AE1674" t="s">
        <v>3852</v>
      </c>
      <c r="AF1674" t="s">
        <v>3849</v>
      </c>
      <c r="AH1674" t="s">
        <v>3850</v>
      </c>
      <c r="AI1674" t="s">
        <v>1776</v>
      </c>
      <c r="AJ1674" s="8" t="str">
        <f>"08052"</f>
        <v>08052</v>
      </c>
      <c r="AK1674" t="s">
        <v>118</v>
      </c>
      <c r="AM1674" s="10">
        <v>12153562083</v>
      </c>
      <c r="AO1674" t="s">
        <v>3853</v>
      </c>
      <c r="AP1674" t="s">
        <v>121</v>
      </c>
      <c r="AQ1674" t="s">
        <v>3854</v>
      </c>
      <c r="AR1674" t="s">
        <v>144</v>
      </c>
      <c r="AS1674" t="s">
        <v>3855</v>
      </c>
      <c r="AT1674" t="s">
        <v>2605</v>
      </c>
      <c r="AU1674" t="s">
        <v>2606</v>
      </c>
      <c r="AV1674" t="s">
        <v>2607</v>
      </c>
      <c r="AW1674" t="s">
        <v>2608</v>
      </c>
      <c r="AX1674" s="8" t="str">
        <f>"73069"</f>
        <v>73069</v>
      </c>
      <c r="AY1674" t="s">
        <v>118</v>
      </c>
      <c r="BA1674" s="10">
        <v>14053642525</v>
      </c>
      <c r="BC1674" t="s">
        <v>2609</v>
      </c>
      <c r="BD1674" t="s">
        <v>2610</v>
      </c>
      <c r="BE1674" t="s">
        <v>2608</v>
      </c>
      <c r="BF1674" t="s">
        <v>2611</v>
      </c>
      <c r="BG1674" t="s">
        <v>434</v>
      </c>
      <c r="BH1674" s="1">
        <v>45137.833333333336</v>
      </c>
      <c r="BI1674">
        <v>56</v>
      </c>
      <c r="BJ1674">
        <v>8</v>
      </c>
      <c r="BK1674">
        <v>8</v>
      </c>
      <c r="BL1674">
        <v>8</v>
      </c>
      <c r="BM1674">
        <v>8</v>
      </c>
      <c r="BN1674">
        <v>8</v>
      </c>
      <c r="BO1674">
        <v>8</v>
      </c>
      <c r="BP1674">
        <v>8</v>
      </c>
      <c r="BQ1674" t="str">
        <f>"5:00 AM"</f>
        <v>5:00 AM</v>
      </c>
      <c r="BR1674" t="str">
        <f>"5:00 PM"</f>
        <v>5:00 PM</v>
      </c>
      <c r="BS1674" t="s">
        <v>131</v>
      </c>
      <c r="BT1674">
        <v>0</v>
      </c>
      <c r="BU1674">
        <v>1</v>
      </c>
      <c r="BV1674" t="s">
        <v>114</v>
      </c>
      <c r="BX1674" t="s">
        <v>3856</v>
      </c>
      <c r="BY1674" t="s">
        <v>3857</v>
      </c>
      <c r="BZ1674" t="s">
        <v>3858</v>
      </c>
      <c r="CA1674" t="s">
        <v>3859</v>
      </c>
      <c r="CB1674" t="s">
        <v>434</v>
      </c>
      <c r="CC1674" s="8" t="str">
        <f>"19020"</f>
        <v>19020</v>
      </c>
      <c r="CD1674" t="s">
        <v>3073</v>
      </c>
      <c r="CE1674" t="s">
        <v>443</v>
      </c>
      <c r="CF1674" s="12">
        <v>15.44</v>
      </c>
      <c r="CG1674" s="12">
        <v>15.44</v>
      </c>
      <c r="CH1674" s="12">
        <v>23.16</v>
      </c>
      <c r="CI1674" s="12">
        <v>23.16</v>
      </c>
      <c r="CJ1674" t="s">
        <v>135</v>
      </c>
      <c r="CL1674" t="s">
        <v>3860</v>
      </c>
      <c r="CO1674" t="s">
        <v>132</v>
      </c>
      <c r="CP1674" t="s">
        <v>114</v>
      </c>
      <c r="CQ1674" t="s">
        <v>114</v>
      </c>
      <c r="CR1674" t="s">
        <v>136</v>
      </c>
      <c r="CS1674" t="s">
        <v>114</v>
      </c>
      <c r="CT1674" t="s">
        <v>136</v>
      </c>
      <c r="CU1674" t="s">
        <v>136</v>
      </c>
      <c r="CV1674" t="s">
        <v>3861</v>
      </c>
      <c r="CW1674" s="10" t="str">
        <f>"+12153562083"</f>
        <v>+12153562083</v>
      </c>
      <c r="CX1674" t="s">
        <v>3853</v>
      </c>
      <c r="CY1674" t="s">
        <v>132</v>
      </c>
      <c r="CZ1674" t="s">
        <v>137</v>
      </c>
      <c r="DA1674" t="s">
        <v>114</v>
      </c>
      <c r="DB1674" t="s">
        <v>114</v>
      </c>
      <c r="DC1674" t="s">
        <v>136</v>
      </c>
      <c r="DD1674" t="s">
        <v>114</v>
      </c>
    </row>
    <row r="1675" spans="1:113" ht="15" customHeight="1" x14ac:dyDescent="0.25">
      <c r="A1675" t="s">
        <v>568</v>
      </c>
      <c r="B1675" t="s">
        <v>152</v>
      </c>
      <c r="C1675" s="1">
        <v>45138.488846296299</v>
      </c>
      <c r="D1675" s="1">
        <v>45204</v>
      </c>
      <c r="E1675" t="s">
        <v>114</v>
      </c>
      <c r="F1675" t="s">
        <v>569</v>
      </c>
      <c r="G1675" t="str">
        <f>"47-2061.00"</f>
        <v>47-2061.00</v>
      </c>
      <c r="H1675" t="s">
        <v>570</v>
      </c>
      <c r="I1675">
        <v>30</v>
      </c>
      <c r="J1675">
        <v>30</v>
      </c>
      <c r="K1675" s="1">
        <v>45227</v>
      </c>
      <c r="L1675" s="1">
        <v>45382</v>
      </c>
      <c r="M1675" s="1">
        <v>45227</v>
      </c>
      <c r="N1675" s="1">
        <v>45382</v>
      </c>
      <c r="O1675" t="s">
        <v>238</v>
      </c>
      <c r="P1675" t="s">
        <v>571</v>
      </c>
      <c r="R1675" t="s">
        <v>572</v>
      </c>
      <c r="T1675" t="s">
        <v>573</v>
      </c>
      <c r="U1675" t="s">
        <v>550</v>
      </c>
      <c r="V1675" s="8" t="str">
        <f>"30305"</f>
        <v>30305</v>
      </c>
      <c r="W1675" t="s">
        <v>118</v>
      </c>
      <c r="Y1675" s="10">
        <v>14044434762</v>
      </c>
      <c r="AA1675">
        <v>23611</v>
      </c>
      <c r="AB1675" t="s">
        <v>574</v>
      </c>
      <c r="AC1675" t="s">
        <v>575</v>
      </c>
      <c r="AE1675" t="s">
        <v>576</v>
      </c>
      <c r="AF1675" t="s">
        <v>572</v>
      </c>
      <c r="AH1675" t="s">
        <v>573</v>
      </c>
      <c r="AI1675" t="s">
        <v>550</v>
      </c>
      <c r="AJ1675" s="8" t="str">
        <f>"30305"</f>
        <v>30305</v>
      </c>
      <c r="AK1675" t="s">
        <v>118</v>
      </c>
      <c r="AM1675" s="10">
        <v>14044434762</v>
      </c>
      <c r="AO1675" t="s">
        <v>132</v>
      </c>
      <c r="AP1675" t="s">
        <v>248</v>
      </c>
      <c r="AQ1675" t="s">
        <v>577</v>
      </c>
      <c r="AR1675" t="s">
        <v>578</v>
      </c>
      <c r="AT1675" t="s">
        <v>579</v>
      </c>
      <c r="AV1675" t="s">
        <v>580</v>
      </c>
      <c r="AW1675" t="s">
        <v>581</v>
      </c>
      <c r="AX1675" s="8" t="str">
        <f>"22903"</f>
        <v>22903</v>
      </c>
      <c r="AY1675" t="s">
        <v>118</v>
      </c>
      <c r="BA1675" s="10">
        <v>14342634300</v>
      </c>
      <c r="BC1675" t="s">
        <v>582</v>
      </c>
      <c r="BD1675" t="s">
        <v>583</v>
      </c>
      <c r="BG1675" t="s">
        <v>584</v>
      </c>
      <c r="BH1675" s="1">
        <v>45137.833333333336</v>
      </c>
      <c r="BI1675">
        <v>40</v>
      </c>
      <c r="BJ1675">
        <v>0</v>
      </c>
      <c r="BK1675">
        <v>8</v>
      </c>
      <c r="BL1675">
        <v>8</v>
      </c>
      <c r="BM1675">
        <v>8</v>
      </c>
      <c r="BN1675">
        <v>8</v>
      </c>
      <c r="BO1675">
        <v>8</v>
      </c>
      <c r="BP1675">
        <v>0</v>
      </c>
      <c r="BQ1675" t="str">
        <f>"6:00 AM"</f>
        <v>6:00 AM</v>
      </c>
      <c r="BR1675" t="str">
        <f>"2:30 PM"</f>
        <v>2:30 PM</v>
      </c>
      <c r="BS1675" t="s">
        <v>131</v>
      </c>
      <c r="BT1675">
        <v>0</v>
      </c>
      <c r="BU1675">
        <v>0</v>
      </c>
      <c r="BV1675" t="s">
        <v>114</v>
      </c>
      <c r="BX1675" s="2" t="s">
        <v>585</v>
      </c>
      <c r="BY1675" t="s">
        <v>586</v>
      </c>
      <c r="CA1675" t="s">
        <v>587</v>
      </c>
      <c r="CB1675" t="s">
        <v>584</v>
      </c>
      <c r="CC1675" s="8" t="str">
        <f>"83001"</f>
        <v>83001</v>
      </c>
      <c r="CD1675" t="s">
        <v>588</v>
      </c>
      <c r="CE1675" t="s">
        <v>589</v>
      </c>
      <c r="CF1675" s="12">
        <v>19.78</v>
      </c>
      <c r="CH1675" s="12">
        <v>29.67</v>
      </c>
      <c r="CJ1675" t="s">
        <v>135</v>
      </c>
      <c r="CK1675" t="s">
        <v>590</v>
      </c>
      <c r="CL1675" t="s">
        <v>591</v>
      </c>
      <c r="CO1675" t="s">
        <v>132</v>
      </c>
      <c r="CP1675" t="s">
        <v>136</v>
      </c>
      <c r="CQ1675" t="s">
        <v>136</v>
      </c>
      <c r="CR1675" t="s">
        <v>136</v>
      </c>
      <c r="CS1675" t="s">
        <v>136</v>
      </c>
      <c r="CT1675" t="s">
        <v>136</v>
      </c>
      <c r="CU1675" t="s">
        <v>136</v>
      </c>
      <c r="CV1675" t="s">
        <v>592</v>
      </c>
      <c r="CW1675" s="10" t="str">
        <f>"N/A"</f>
        <v>N/A</v>
      </c>
      <c r="CX1675" t="s">
        <v>593</v>
      </c>
      <c r="CY1675" t="s">
        <v>594</v>
      </c>
      <c r="CZ1675" t="s">
        <v>137</v>
      </c>
      <c r="DA1675" t="s">
        <v>114</v>
      </c>
      <c r="DB1675" t="s">
        <v>136</v>
      </c>
      <c r="DC1675" t="s">
        <v>136</v>
      </c>
      <c r="DD1675" t="s">
        <v>114</v>
      </c>
      <c r="DE1675" t="s">
        <v>595</v>
      </c>
      <c r="DF1675" t="s">
        <v>596</v>
      </c>
      <c r="DH1675" t="s">
        <v>583</v>
      </c>
      <c r="DI1675" t="s">
        <v>582</v>
      </c>
    </row>
    <row r="1676" spans="1:113" ht="15" customHeight="1" x14ac:dyDescent="0.25">
      <c r="A1676" t="s">
        <v>9073</v>
      </c>
      <c r="B1676" t="s">
        <v>152</v>
      </c>
      <c r="C1676" s="1">
        <v>45134.688574652777</v>
      </c>
      <c r="D1676" s="1">
        <v>45204</v>
      </c>
      <c r="E1676" t="s">
        <v>114</v>
      </c>
      <c r="F1676" t="s">
        <v>700</v>
      </c>
      <c r="G1676" t="str">
        <f>"37-3011.00"</f>
        <v>37-3011.00</v>
      </c>
      <c r="H1676" t="s">
        <v>429</v>
      </c>
      <c r="I1676">
        <v>15</v>
      </c>
      <c r="J1676">
        <v>15</v>
      </c>
      <c r="K1676" s="1">
        <v>45209</v>
      </c>
      <c r="L1676" s="1">
        <v>45291</v>
      </c>
      <c r="M1676" s="1">
        <v>45209</v>
      </c>
      <c r="N1676" s="1">
        <v>45291</v>
      </c>
      <c r="O1676" t="s">
        <v>238</v>
      </c>
      <c r="P1676" t="s">
        <v>9074</v>
      </c>
      <c r="R1676" t="s">
        <v>9075</v>
      </c>
      <c r="T1676" t="s">
        <v>5955</v>
      </c>
      <c r="U1676" t="s">
        <v>188</v>
      </c>
      <c r="V1676" s="8" t="str">
        <f>"80123"</f>
        <v>80123</v>
      </c>
      <c r="W1676" t="s">
        <v>118</v>
      </c>
      <c r="Y1676" s="10">
        <v>17205365340</v>
      </c>
      <c r="AA1676">
        <v>56173</v>
      </c>
      <c r="AB1676" t="s">
        <v>9076</v>
      </c>
      <c r="AC1676" t="s">
        <v>9077</v>
      </c>
      <c r="AE1676" t="s">
        <v>561</v>
      </c>
      <c r="AF1676" t="s">
        <v>9078</v>
      </c>
      <c r="AG1676" t="s">
        <v>9079</v>
      </c>
      <c r="AH1676" t="s">
        <v>5955</v>
      </c>
      <c r="AI1676" t="s">
        <v>188</v>
      </c>
      <c r="AJ1676" s="8" t="str">
        <f>"80123"</f>
        <v>80123</v>
      </c>
      <c r="AK1676" t="s">
        <v>118</v>
      </c>
      <c r="AM1676" s="10">
        <v>17205365340</v>
      </c>
      <c r="AO1676" t="s">
        <v>9080</v>
      </c>
      <c r="AP1676" t="s">
        <v>121</v>
      </c>
      <c r="AQ1676" t="s">
        <v>1771</v>
      </c>
      <c r="AR1676" t="s">
        <v>1772</v>
      </c>
      <c r="AS1676" t="s">
        <v>1410</v>
      </c>
      <c r="AT1676" t="s">
        <v>1773</v>
      </c>
      <c r="AU1676" t="s">
        <v>1774</v>
      </c>
      <c r="AV1676" t="s">
        <v>1775</v>
      </c>
      <c r="AW1676" t="s">
        <v>1776</v>
      </c>
      <c r="AX1676" s="8" t="str">
        <f>"08034"</f>
        <v>08034</v>
      </c>
      <c r="AY1676" t="s">
        <v>118</v>
      </c>
      <c r="AZ1676" t="s">
        <v>1777</v>
      </c>
      <c r="BA1676" s="10">
        <v>18562819750</v>
      </c>
      <c r="BC1676" t="s">
        <v>1778</v>
      </c>
      <c r="BD1676" t="s">
        <v>1779</v>
      </c>
      <c r="BE1676" t="s">
        <v>1776</v>
      </c>
      <c r="BF1676" t="s">
        <v>1780</v>
      </c>
      <c r="BG1676" t="s">
        <v>188</v>
      </c>
      <c r="BH1676" s="1">
        <v>45133.833333333336</v>
      </c>
      <c r="BI1676">
        <v>40</v>
      </c>
      <c r="BJ1676">
        <v>0</v>
      </c>
      <c r="BK1676">
        <v>8</v>
      </c>
      <c r="BL1676">
        <v>8</v>
      </c>
      <c r="BM1676">
        <v>8</v>
      </c>
      <c r="BN1676">
        <v>8</v>
      </c>
      <c r="BO1676">
        <v>8</v>
      </c>
      <c r="BP1676">
        <v>0</v>
      </c>
      <c r="BQ1676" t="str">
        <f>"7:00 AM"</f>
        <v>7:00 AM</v>
      </c>
      <c r="BR1676" t="str">
        <f>"4:00 PM"</f>
        <v>4:00 PM</v>
      </c>
      <c r="BS1676" t="s">
        <v>131</v>
      </c>
      <c r="BT1676">
        <v>0</v>
      </c>
      <c r="BU1676">
        <v>0</v>
      </c>
      <c r="BV1676" t="s">
        <v>114</v>
      </c>
      <c r="BX1676" s="2" t="s">
        <v>9081</v>
      </c>
      <c r="BY1676" t="s">
        <v>9075</v>
      </c>
      <c r="CA1676" t="s">
        <v>5955</v>
      </c>
      <c r="CB1676" t="s">
        <v>188</v>
      </c>
      <c r="CC1676" s="8" t="str">
        <f>"80123"</f>
        <v>80123</v>
      </c>
      <c r="CD1676" t="s">
        <v>1767</v>
      </c>
      <c r="CE1676" t="s">
        <v>195</v>
      </c>
      <c r="CF1676" s="12">
        <v>21.69</v>
      </c>
      <c r="CG1676" s="12">
        <v>21.69</v>
      </c>
      <c r="CH1676" s="12">
        <v>32.54</v>
      </c>
      <c r="CI1676" s="12">
        <v>32.54</v>
      </c>
      <c r="CJ1676" t="s">
        <v>135</v>
      </c>
      <c r="CK1676" t="s">
        <v>9082</v>
      </c>
      <c r="CL1676" t="s">
        <v>9083</v>
      </c>
      <c r="CO1676" t="s">
        <v>132</v>
      </c>
      <c r="CP1676" t="s">
        <v>136</v>
      </c>
      <c r="CQ1676" t="s">
        <v>136</v>
      </c>
      <c r="CR1676" t="s">
        <v>136</v>
      </c>
      <c r="CS1676" t="s">
        <v>136</v>
      </c>
      <c r="CT1676" t="s">
        <v>136</v>
      </c>
      <c r="CU1676" t="s">
        <v>114</v>
      </c>
      <c r="CV1676" t="s">
        <v>131</v>
      </c>
      <c r="CW1676" s="10" t="str">
        <f>"+17205365340"</f>
        <v>+17205365340</v>
      </c>
      <c r="CX1676" t="s">
        <v>9080</v>
      </c>
      <c r="CY1676" t="s">
        <v>132</v>
      </c>
      <c r="CZ1676" t="s">
        <v>137</v>
      </c>
      <c r="DA1676" t="s">
        <v>114</v>
      </c>
      <c r="DB1676" t="s">
        <v>136</v>
      </c>
      <c r="DC1676" t="s">
        <v>136</v>
      </c>
      <c r="DD1676" t="s">
        <v>114</v>
      </c>
    </row>
    <row r="1677" spans="1:113" ht="15" customHeight="1" x14ac:dyDescent="0.25">
      <c r="A1677" t="s">
        <v>10164</v>
      </c>
      <c r="B1677" t="s">
        <v>152</v>
      </c>
      <c r="C1677" s="1">
        <v>45126.627636342593</v>
      </c>
      <c r="D1677" s="1">
        <v>45204</v>
      </c>
      <c r="E1677" t="s">
        <v>114</v>
      </c>
      <c r="F1677" t="s">
        <v>10165</v>
      </c>
      <c r="G1677" t="str">
        <f>"37-3011.00"</f>
        <v>37-3011.00</v>
      </c>
      <c r="H1677" t="s">
        <v>429</v>
      </c>
      <c r="I1677">
        <v>50</v>
      </c>
      <c r="J1677">
        <v>50</v>
      </c>
      <c r="K1677" s="1">
        <v>45201</v>
      </c>
      <c r="L1677" s="1">
        <v>45504</v>
      </c>
      <c r="M1677" s="1">
        <v>45201</v>
      </c>
      <c r="N1677" s="1">
        <v>45504</v>
      </c>
      <c r="O1677" t="s">
        <v>238</v>
      </c>
      <c r="P1677" t="s">
        <v>10166</v>
      </c>
      <c r="R1677" t="s">
        <v>10167</v>
      </c>
      <c r="T1677" t="s">
        <v>10168</v>
      </c>
      <c r="U1677" t="s">
        <v>140</v>
      </c>
      <c r="V1677" s="8" t="str">
        <f>"32060"</f>
        <v>32060</v>
      </c>
      <c r="W1677" t="s">
        <v>118</v>
      </c>
      <c r="Y1677" s="10">
        <v>13866883124</v>
      </c>
      <c r="AA1677">
        <v>56173</v>
      </c>
      <c r="AB1677" t="s">
        <v>10169</v>
      </c>
      <c r="AC1677" t="s">
        <v>10170</v>
      </c>
      <c r="AE1677" t="s">
        <v>1836</v>
      </c>
      <c r="AF1677" t="s">
        <v>10171</v>
      </c>
      <c r="AH1677" t="s">
        <v>10168</v>
      </c>
      <c r="AI1677" t="s">
        <v>140</v>
      </c>
      <c r="AJ1677" s="8" t="str">
        <f>"32060"</f>
        <v>32060</v>
      </c>
      <c r="AK1677" t="s">
        <v>118</v>
      </c>
      <c r="AM1677" s="10">
        <v>13866883124</v>
      </c>
      <c r="AO1677" t="s">
        <v>10172</v>
      </c>
      <c r="AP1677" t="s">
        <v>248</v>
      </c>
      <c r="AQ1677" t="s">
        <v>10173</v>
      </c>
      <c r="AR1677" t="s">
        <v>119</v>
      </c>
      <c r="AS1677" t="s">
        <v>1217</v>
      </c>
      <c r="AT1677" t="s">
        <v>10174</v>
      </c>
      <c r="AU1677" t="s">
        <v>10175</v>
      </c>
      <c r="AV1677" t="s">
        <v>2087</v>
      </c>
      <c r="AW1677" t="s">
        <v>1691</v>
      </c>
      <c r="AX1677" s="8" t="str">
        <f>"29607"</f>
        <v>29607</v>
      </c>
      <c r="AY1677" t="s">
        <v>118</v>
      </c>
      <c r="BA1677" s="10">
        <v>17867719001</v>
      </c>
      <c r="BC1677" t="s">
        <v>10176</v>
      </c>
      <c r="BD1677" t="s">
        <v>10177</v>
      </c>
      <c r="BG1677" t="s">
        <v>140</v>
      </c>
      <c r="BH1677" s="1">
        <v>45088.833333333336</v>
      </c>
      <c r="BI1677">
        <v>35</v>
      </c>
      <c r="BJ1677">
        <v>0</v>
      </c>
      <c r="BK1677">
        <v>7</v>
      </c>
      <c r="BL1677">
        <v>7</v>
      </c>
      <c r="BM1677">
        <v>7</v>
      </c>
      <c r="BN1677">
        <v>7</v>
      </c>
      <c r="BO1677">
        <v>7</v>
      </c>
      <c r="BP1677">
        <v>0</v>
      </c>
      <c r="BQ1677" t="str">
        <f>"7:30 AM"</f>
        <v>7:30 AM</v>
      </c>
      <c r="BR1677" t="str">
        <f>"3:30 PM"</f>
        <v>3:30 PM</v>
      </c>
      <c r="BS1677" t="s">
        <v>131</v>
      </c>
      <c r="BT1677">
        <v>3</v>
      </c>
      <c r="BU1677">
        <v>3</v>
      </c>
      <c r="BV1677" t="s">
        <v>114</v>
      </c>
      <c r="BX1677" s="2" t="s">
        <v>10178</v>
      </c>
      <c r="BY1677" t="s">
        <v>10167</v>
      </c>
      <c r="CA1677" t="s">
        <v>10179</v>
      </c>
      <c r="CB1677" t="s">
        <v>140</v>
      </c>
      <c r="CC1677" s="8" t="str">
        <f>"32060"</f>
        <v>32060</v>
      </c>
      <c r="CD1677" t="s">
        <v>10180</v>
      </c>
      <c r="CE1677" t="s">
        <v>10009</v>
      </c>
      <c r="CF1677" s="12">
        <v>15.61</v>
      </c>
      <c r="CG1677" s="12">
        <v>15.61</v>
      </c>
      <c r="CJ1677" t="s">
        <v>135</v>
      </c>
      <c r="CK1677" t="s">
        <v>10181</v>
      </c>
      <c r="CL1677" t="s">
        <v>10182</v>
      </c>
      <c r="CO1677" t="s">
        <v>132</v>
      </c>
      <c r="CP1677" t="s">
        <v>136</v>
      </c>
      <c r="CQ1677" t="s">
        <v>136</v>
      </c>
      <c r="CR1677" t="s">
        <v>114</v>
      </c>
      <c r="CS1677" t="s">
        <v>136</v>
      </c>
      <c r="CT1677" t="s">
        <v>136</v>
      </c>
      <c r="CU1677" t="s">
        <v>136</v>
      </c>
      <c r="CV1677" s="2" t="s">
        <v>10183</v>
      </c>
      <c r="CW1677" s="10" t="str">
        <f>"+13866883124"</f>
        <v>+13866883124</v>
      </c>
      <c r="CX1677" t="s">
        <v>10172</v>
      </c>
      <c r="CY1677" t="s">
        <v>132</v>
      </c>
      <c r="CZ1677" t="s">
        <v>137</v>
      </c>
      <c r="DA1677" t="s">
        <v>114</v>
      </c>
      <c r="DB1677" t="s">
        <v>114</v>
      </c>
      <c r="DC1677" t="s">
        <v>136</v>
      </c>
      <c r="DD1677" t="s">
        <v>114</v>
      </c>
    </row>
    <row r="1678" spans="1:113" ht="15" customHeight="1" x14ac:dyDescent="0.25">
      <c r="A1678" t="s">
        <v>8936</v>
      </c>
      <c r="B1678" t="s">
        <v>152</v>
      </c>
      <c r="C1678" s="1">
        <v>45124.672340972225</v>
      </c>
      <c r="D1678" s="1">
        <v>45204</v>
      </c>
      <c r="E1678" t="s">
        <v>114</v>
      </c>
      <c r="F1678" t="s">
        <v>8937</v>
      </c>
      <c r="G1678" t="str">
        <f>"49-9099.00"</f>
        <v>49-9099.00</v>
      </c>
      <c r="H1678" t="s">
        <v>3863</v>
      </c>
      <c r="I1678">
        <v>8</v>
      </c>
      <c r="J1678">
        <v>8</v>
      </c>
      <c r="K1678" s="1">
        <v>45200</v>
      </c>
      <c r="L1678" s="1">
        <v>45397</v>
      </c>
      <c r="M1678" s="1">
        <v>45200</v>
      </c>
      <c r="N1678" s="1">
        <v>45397</v>
      </c>
      <c r="O1678" t="s">
        <v>238</v>
      </c>
      <c r="P1678" t="s">
        <v>8938</v>
      </c>
      <c r="R1678" t="s">
        <v>7692</v>
      </c>
      <c r="S1678" t="s">
        <v>8939</v>
      </c>
      <c r="T1678" t="s">
        <v>3618</v>
      </c>
      <c r="U1678" t="s">
        <v>2608</v>
      </c>
      <c r="V1678" s="8" t="str">
        <f>"74019"</f>
        <v>74019</v>
      </c>
      <c r="W1678" t="s">
        <v>118</v>
      </c>
      <c r="Y1678" s="10">
        <v>19183521421</v>
      </c>
      <c r="Z1678" s="3" t="s">
        <v>256</v>
      </c>
      <c r="AA1678">
        <v>5617</v>
      </c>
      <c r="AB1678" t="s">
        <v>1192</v>
      </c>
      <c r="AC1678" t="s">
        <v>8940</v>
      </c>
      <c r="AD1678" t="s">
        <v>2291</v>
      </c>
      <c r="AE1678" t="s">
        <v>1580</v>
      </c>
      <c r="AF1678" t="s">
        <v>7692</v>
      </c>
      <c r="AG1678" t="s">
        <v>8939</v>
      </c>
      <c r="AH1678" t="s">
        <v>3618</v>
      </c>
      <c r="AI1678" t="s">
        <v>2608</v>
      </c>
      <c r="AJ1678" s="8" t="str">
        <f>"74019"</f>
        <v>74019</v>
      </c>
      <c r="AK1678" t="s">
        <v>118</v>
      </c>
      <c r="AM1678" s="10">
        <v>19183521421</v>
      </c>
      <c r="AN1678" s="3" t="s">
        <v>256</v>
      </c>
      <c r="AO1678" t="s">
        <v>8941</v>
      </c>
      <c r="AP1678" t="s">
        <v>248</v>
      </c>
      <c r="AQ1678" t="s">
        <v>249</v>
      </c>
      <c r="AR1678" t="s">
        <v>250</v>
      </c>
      <c r="AS1678" t="s">
        <v>251</v>
      </c>
      <c r="AT1678" t="s">
        <v>252</v>
      </c>
      <c r="AU1678" t="s">
        <v>253</v>
      </c>
      <c r="AV1678" t="s">
        <v>254</v>
      </c>
      <c r="AW1678" t="s">
        <v>127</v>
      </c>
      <c r="AX1678" s="8" t="str">
        <f>"78550"</f>
        <v>78550</v>
      </c>
      <c r="AY1678" t="s">
        <v>118</v>
      </c>
      <c r="AZ1678" t="s">
        <v>255</v>
      </c>
      <c r="BA1678" s="10">
        <v>19564408720</v>
      </c>
      <c r="BB1678" s="3" t="s">
        <v>256</v>
      </c>
      <c r="BC1678" t="s">
        <v>338</v>
      </c>
      <c r="BD1678" t="s">
        <v>258</v>
      </c>
      <c r="BG1678" t="s">
        <v>2608</v>
      </c>
      <c r="BH1678" s="1">
        <v>45123.833333333336</v>
      </c>
      <c r="BI1678">
        <v>40</v>
      </c>
      <c r="BJ1678">
        <v>0</v>
      </c>
      <c r="BK1678">
        <v>8</v>
      </c>
      <c r="BL1678">
        <v>8</v>
      </c>
      <c r="BM1678">
        <v>8</v>
      </c>
      <c r="BN1678">
        <v>8</v>
      </c>
      <c r="BO1678">
        <v>8</v>
      </c>
      <c r="BP1678">
        <v>0</v>
      </c>
      <c r="BQ1678" t="str">
        <f>"7:00 AM"</f>
        <v>7:00 AM</v>
      </c>
      <c r="BR1678" t="str">
        <f>"4:00 PM"</f>
        <v>4:00 PM</v>
      </c>
      <c r="BS1678" t="s">
        <v>131</v>
      </c>
      <c r="BT1678">
        <v>0</v>
      </c>
      <c r="BU1678">
        <v>0</v>
      </c>
      <c r="BV1678" t="s">
        <v>114</v>
      </c>
      <c r="BX1678" s="2" t="s">
        <v>8942</v>
      </c>
      <c r="BY1678" t="s">
        <v>8943</v>
      </c>
      <c r="CA1678" t="s">
        <v>3618</v>
      </c>
      <c r="CB1678" t="s">
        <v>2608</v>
      </c>
      <c r="CC1678" s="8" t="str">
        <f>"74019"</f>
        <v>74019</v>
      </c>
      <c r="CD1678" t="s">
        <v>3623</v>
      </c>
      <c r="CE1678" t="s">
        <v>2817</v>
      </c>
      <c r="CF1678" s="12">
        <v>20.9</v>
      </c>
      <c r="CG1678" s="12">
        <v>20.9</v>
      </c>
      <c r="CH1678" s="12">
        <v>0</v>
      </c>
      <c r="CI1678" s="12">
        <v>0</v>
      </c>
      <c r="CJ1678" t="s">
        <v>135</v>
      </c>
      <c r="CK1678" t="s">
        <v>342</v>
      </c>
      <c r="CL1678" t="s">
        <v>8944</v>
      </c>
      <c r="CO1678" t="s">
        <v>132</v>
      </c>
      <c r="CP1678" t="s">
        <v>136</v>
      </c>
      <c r="CQ1678" t="s">
        <v>136</v>
      </c>
      <c r="CR1678" t="s">
        <v>114</v>
      </c>
      <c r="CS1678" t="s">
        <v>136</v>
      </c>
      <c r="CT1678" t="s">
        <v>136</v>
      </c>
      <c r="CU1678" t="s">
        <v>114</v>
      </c>
      <c r="CV1678" t="s">
        <v>8945</v>
      </c>
      <c r="CW1678" s="10" t="str">
        <f>"+19183521421"</f>
        <v>+19183521421</v>
      </c>
      <c r="CX1678" t="s">
        <v>8941</v>
      </c>
      <c r="CY1678" t="s">
        <v>132</v>
      </c>
      <c r="CZ1678" t="s">
        <v>137</v>
      </c>
      <c r="DA1678" t="s">
        <v>114</v>
      </c>
      <c r="DB1678" t="s">
        <v>136</v>
      </c>
      <c r="DC1678" t="s">
        <v>136</v>
      </c>
      <c r="DD1678" t="s">
        <v>114</v>
      </c>
    </row>
    <row r="1679" spans="1:113" ht="15" customHeight="1" x14ac:dyDescent="0.25">
      <c r="A1679" t="s">
        <v>19589</v>
      </c>
      <c r="B1679" t="s">
        <v>152</v>
      </c>
      <c r="C1679" s="1">
        <v>45121.710004398148</v>
      </c>
      <c r="D1679" s="1">
        <v>45204</v>
      </c>
      <c r="E1679" t="s">
        <v>114</v>
      </c>
      <c r="F1679" t="s">
        <v>944</v>
      </c>
      <c r="G1679" t="str">
        <f>"49-9098.00"</f>
        <v>49-9098.00</v>
      </c>
      <c r="H1679" t="s">
        <v>945</v>
      </c>
      <c r="I1679">
        <v>25</v>
      </c>
      <c r="J1679">
        <v>25</v>
      </c>
      <c r="K1679" s="1">
        <v>45200</v>
      </c>
      <c r="L1679" s="1">
        <v>45322</v>
      </c>
      <c r="M1679" s="1">
        <v>45200</v>
      </c>
      <c r="N1679" s="1">
        <v>45322</v>
      </c>
      <c r="O1679" t="s">
        <v>238</v>
      </c>
      <c r="P1679" t="s">
        <v>14923</v>
      </c>
      <c r="R1679" t="s">
        <v>14924</v>
      </c>
      <c r="S1679" t="s">
        <v>14925</v>
      </c>
      <c r="T1679" t="s">
        <v>14926</v>
      </c>
      <c r="U1679" t="s">
        <v>402</v>
      </c>
      <c r="V1679" s="8" t="str">
        <f>"92605"</f>
        <v>92605</v>
      </c>
      <c r="W1679" t="s">
        <v>118</v>
      </c>
      <c r="Y1679" s="10">
        <v>13104894047</v>
      </c>
      <c r="Z1679" s="3" t="s">
        <v>256</v>
      </c>
      <c r="AA1679">
        <v>71119</v>
      </c>
      <c r="AB1679" t="s">
        <v>7548</v>
      </c>
      <c r="AC1679" t="s">
        <v>2947</v>
      </c>
      <c r="AE1679" t="s">
        <v>561</v>
      </c>
      <c r="AF1679" t="s">
        <v>14927</v>
      </c>
      <c r="AG1679" t="s">
        <v>14928</v>
      </c>
      <c r="AH1679" t="s">
        <v>14929</v>
      </c>
      <c r="AI1679" t="s">
        <v>402</v>
      </c>
      <c r="AJ1679" s="8" t="str">
        <f>"92605"</f>
        <v>92605</v>
      </c>
      <c r="AK1679" t="s">
        <v>118</v>
      </c>
      <c r="AM1679" s="10">
        <v>13104894047</v>
      </c>
      <c r="AN1679" s="3" t="s">
        <v>256</v>
      </c>
      <c r="AO1679" t="s">
        <v>14930</v>
      </c>
      <c r="AP1679" t="s">
        <v>248</v>
      </c>
      <c r="AQ1679" t="s">
        <v>249</v>
      </c>
      <c r="AR1679" t="s">
        <v>250</v>
      </c>
      <c r="AS1679" t="s">
        <v>251</v>
      </c>
      <c r="AT1679" t="s">
        <v>252</v>
      </c>
      <c r="AU1679" t="s">
        <v>253</v>
      </c>
      <c r="AV1679" t="s">
        <v>254</v>
      </c>
      <c r="AW1679" t="s">
        <v>127</v>
      </c>
      <c r="AX1679" s="8" t="str">
        <f>"78550"</f>
        <v>78550</v>
      </c>
      <c r="AY1679" t="s">
        <v>118</v>
      </c>
      <c r="AZ1679" t="s">
        <v>255</v>
      </c>
      <c r="BA1679" s="10">
        <v>19564408720</v>
      </c>
      <c r="BB1679" s="3" t="s">
        <v>256</v>
      </c>
      <c r="BC1679" t="s">
        <v>338</v>
      </c>
      <c r="BD1679" t="s">
        <v>258</v>
      </c>
      <c r="BG1679" t="s">
        <v>402</v>
      </c>
      <c r="BH1679" s="1">
        <v>45120.833333333336</v>
      </c>
      <c r="BI1679">
        <v>40</v>
      </c>
      <c r="BJ1679">
        <v>0</v>
      </c>
      <c r="BK1679">
        <v>8</v>
      </c>
      <c r="BL1679">
        <v>8</v>
      </c>
      <c r="BM1679">
        <v>8</v>
      </c>
      <c r="BN1679">
        <v>8</v>
      </c>
      <c r="BO1679">
        <v>8</v>
      </c>
      <c r="BP1679">
        <v>0</v>
      </c>
      <c r="BQ1679" t="str">
        <f>"8:00 AM"</f>
        <v>8:00 AM</v>
      </c>
      <c r="BR1679" t="str">
        <f>"5:00 PM"</f>
        <v>5:00 PM</v>
      </c>
      <c r="BS1679" t="s">
        <v>131</v>
      </c>
      <c r="BT1679">
        <v>0</v>
      </c>
      <c r="BU1679">
        <v>0</v>
      </c>
      <c r="BV1679" t="s">
        <v>114</v>
      </c>
      <c r="BX1679" s="2" t="s">
        <v>2396</v>
      </c>
      <c r="BY1679" t="s">
        <v>19590</v>
      </c>
      <c r="CA1679" t="s">
        <v>19591</v>
      </c>
      <c r="CB1679" t="s">
        <v>402</v>
      </c>
      <c r="CC1679" s="8" t="str">
        <f>"92284"</f>
        <v>92284</v>
      </c>
      <c r="CD1679" t="s">
        <v>4483</v>
      </c>
      <c r="CE1679" t="s">
        <v>4484</v>
      </c>
      <c r="CF1679" s="12">
        <v>18.579999999999998</v>
      </c>
      <c r="CG1679" s="12">
        <v>18.579999999999998</v>
      </c>
      <c r="CH1679" s="12">
        <v>0</v>
      </c>
      <c r="CI1679" s="12">
        <v>0</v>
      </c>
      <c r="CJ1679" t="s">
        <v>135</v>
      </c>
      <c r="CK1679" t="s">
        <v>342</v>
      </c>
      <c r="CL1679" t="s">
        <v>19592</v>
      </c>
      <c r="CO1679" t="s">
        <v>132</v>
      </c>
      <c r="CP1679" t="s">
        <v>114</v>
      </c>
      <c r="CQ1679" t="s">
        <v>136</v>
      </c>
      <c r="CR1679" t="s">
        <v>114</v>
      </c>
      <c r="CS1679" t="s">
        <v>136</v>
      </c>
      <c r="CT1679" t="s">
        <v>136</v>
      </c>
      <c r="CU1679" t="s">
        <v>136</v>
      </c>
      <c r="CV1679" t="s">
        <v>4970</v>
      </c>
      <c r="CW1679" s="10" t="str">
        <f>"+13104894047"</f>
        <v>+13104894047</v>
      </c>
      <c r="CX1679" t="s">
        <v>14930</v>
      </c>
      <c r="CY1679" t="s">
        <v>132</v>
      </c>
      <c r="CZ1679" t="s">
        <v>137</v>
      </c>
      <c r="DA1679" t="s">
        <v>114</v>
      </c>
      <c r="DB1679" t="s">
        <v>114</v>
      </c>
      <c r="DC1679" t="s">
        <v>136</v>
      </c>
      <c r="DD1679" t="s">
        <v>114</v>
      </c>
    </row>
    <row r="1680" spans="1:113" ht="15" customHeight="1" x14ac:dyDescent="0.25">
      <c r="A1680" t="s">
        <v>22525</v>
      </c>
      <c r="B1680" t="s">
        <v>152</v>
      </c>
      <c r="C1680" s="1">
        <v>45118.421538310184</v>
      </c>
      <c r="D1680" s="1">
        <v>45204</v>
      </c>
      <c r="E1680" t="s">
        <v>114</v>
      </c>
      <c r="F1680" t="s">
        <v>22247</v>
      </c>
      <c r="G1680" t="str">
        <f>"37-2012.00"</f>
        <v>37-2012.00</v>
      </c>
      <c r="H1680" t="s">
        <v>205</v>
      </c>
      <c r="I1680">
        <v>75</v>
      </c>
      <c r="J1680">
        <v>75</v>
      </c>
      <c r="K1680" s="1">
        <v>45200</v>
      </c>
      <c r="L1680" s="1">
        <v>45504</v>
      </c>
      <c r="M1680" s="1">
        <v>45200</v>
      </c>
      <c r="N1680" s="1">
        <v>45504</v>
      </c>
      <c r="O1680" t="s">
        <v>116</v>
      </c>
      <c r="P1680" t="s">
        <v>22526</v>
      </c>
      <c r="R1680" t="s">
        <v>22527</v>
      </c>
      <c r="T1680" t="s">
        <v>7720</v>
      </c>
      <c r="U1680" t="s">
        <v>140</v>
      </c>
      <c r="V1680" s="8" t="str">
        <f>"33325"</f>
        <v>33325</v>
      </c>
      <c r="W1680" t="s">
        <v>118</v>
      </c>
      <c r="Y1680" s="10">
        <v>19542283424</v>
      </c>
      <c r="AA1680">
        <v>561720</v>
      </c>
      <c r="AB1680" t="s">
        <v>8226</v>
      </c>
      <c r="AC1680" t="s">
        <v>22528</v>
      </c>
      <c r="AE1680" t="s">
        <v>629</v>
      </c>
      <c r="AF1680" t="s">
        <v>22529</v>
      </c>
      <c r="AG1680" t="s">
        <v>22530</v>
      </c>
      <c r="AH1680" t="s">
        <v>1614</v>
      </c>
      <c r="AI1680" t="s">
        <v>140</v>
      </c>
      <c r="AJ1680" s="8" t="str">
        <f>"34113"</f>
        <v>34113</v>
      </c>
      <c r="AK1680" t="s">
        <v>118</v>
      </c>
      <c r="AM1680" s="10">
        <v>19543284677</v>
      </c>
      <c r="AO1680" t="s">
        <v>22531</v>
      </c>
      <c r="AP1680" t="s">
        <v>121</v>
      </c>
      <c r="AQ1680" t="s">
        <v>380</v>
      </c>
      <c r="AR1680" t="s">
        <v>381</v>
      </c>
      <c r="AT1680" t="s">
        <v>383</v>
      </c>
      <c r="AV1680" t="s">
        <v>385</v>
      </c>
      <c r="AW1680" t="s">
        <v>386</v>
      </c>
      <c r="AX1680" s="8" t="str">
        <f>"37122"</f>
        <v>37122</v>
      </c>
      <c r="AY1680" t="s">
        <v>118</v>
      </c>
      <c r="BA1680" s="10">
        <v>16154227130</v>
      </c>
      <c r="BC1680" t="s">
        <v>1012</v>
      </c>
      <c r="BD1680" t="s">
        <v>1013</v>
      </c>
      <c r="BE1680" t="s">
        <v>386</v>
      </c>
      <c r="BF1680" t="s">
        <v>389</v>
      </c>
      <c r="BG1680" t="s">
        <v>892</v>
      </c>
      <c r="BH1680" s="1">
        <v>45117.833333333336</v>
      </c>
      <c r="BI1680">
        <v>40</v>
      </c>
      <c r="BJ1680">
        <v>0</v>
      </c>
      <c r="BK1680">
        <v>8</v>
      </c>
      <c r="BL1680">
        <v>8</v>
      </c>
      <c r="BM1680">
        <v>8</v>
      </c>
      <c r="BN1680">
        <v>8</v>
      </c>
      <c r="BO1680">
        <v>8</v>
      </c>
      <c r="BP1680">
        <v>0</v>
      </c>
      <c r="BQ1680" t="str">
        <f>"7:30 AM"</f>
        <v>7:30 AM</v>
      </c>
      <c r="BR1680" t="str">
        <f>"4:30 PM"</f>
        <v>4:30 PM</v>
      </c>
      <c r="BS1680" t="s">
        <v>147</v>
      </c>
      <c r="BT1680">
        <v>0</v>
      </c>
      <c r="BU1680">
        <v>0</v>
      </c>
      <c r="BV1680" t="s">
        <v>114</v>
      </c>
      <c r="BX1680" s="2" t="s">
        <v>22532</v>
      </c>
      <c r="BY1680" t="s">
        <v>22533</v>
      </c>
      <c r="CA1680" t="s">
        <v>891</v>
      </c>
      <c r="CB1680" t="s">
        <v>892</v>
      </c>
      <c r="CC1680" s="8" t="str">
        <f>"59716"</f>
        <v>59716</v>
      </c>
      <c r="CD1680" t="s">
        <v>1957</v>
      </c>
      <c r="CE1680" t="s">
        <v>909</v>
      </c>
      <c r="CF1680" s="12">
        <v>13.69</v>
      </c>
      <c r="CG1680" s="12">
        <v>13.69</v>
      </c>
      <c r="CH1680" s="12">
        <v>20.54</v>
      </c>
      <c r="CI1680" s="12">
        <v>20.54</v>
      </c>
      <c r="CJ1680" t="s">
        <v>135</v>
      </c>
      <c r="CL1680" t="s">
        <v>22534</v>
      </c>
      <c r="CO1680" t="s">
        <v>132</v>
      </c>
      <c r="CP1680" t="s">
        <v>136</v>
      </c>
      <c r="CQ1680" t="s">
        <v>114</v>
      </c>
      <c r="CR1680" t="s">
        <v>136</v>
      </c>
      <c r="CS1680" t="s">
        <v>114</v>
      </c>
      <c r="CT1680" t="s">
        <v>136</v>
      </c>
      <c r="CU1680" t="s">
        <v>114</v>
      </c>
      <c r="CV1680" t="s">
        <v>394</v>
      </c>
      <c r="CW1680" s="10" t="str">
        <f>"+19542283424"</f>
        <v>+19542283424</v>
      </c>
      <c r="CX1680" t="s">
        <v>22535</v>
      </c>
      <c r="CY1680" t="s">
        <v>132</v>
      </c>
      <c r="CZ1680" t="s">
        <v>137</v>
      </c>
      <c r="DA1680" t="s">
        <v>114</v>
      </c>
      <c r="DB1680" t="s">
        <v>114</v>
      </c>
      <c r="DC1680" t="s">
        <v>136</v>
      </c>
      <c r="DD1680" t="s">
        <v>114</v>
      </c>
    </row>
    <row r="1681" spans="1:113" ht="15" customHeight="1" x14ac:dyDescent="0.25">
      <c r="A1681" t="s">
        <v>14171</v>
      </c>
      <c r="B1681" t="s">
        <v>152</v>
      </c>
      <c r="C1681" s="1">
        <v>45117.715589467596</v>
      </c>
      <c r="D1681" s="1">
        <v>45204</v>
      </c>
      <c r="E1681" t="s">
        <v>114</v>
      </c>
      <c r="F1681" t="s">
        <v>14172</v>
      </c>
      <c r="G1681" t="str">
        <f>"45-2041.00"</f>
        <v>45-2041.00</v>
      </c>
      <c r="H1681" t="s">
        <v>5215</v>
      </c>
      <c r="I1681">
        <v>15</v>
      </c>
      <c r="J1681">
        <v>15</v>
      </c>
      <c r="K1681" s="1">
        <v>45200</v>
      </c>
      <c r="L1681" s="1">
        <v>45444</v>
      </c>
      <c r="M1681" s="1">
        <v>45200</v>
      </c>
      <c r="N1681" s="1">
        <v>45444</v>
      </c>
      <c r="O1681" t="s">
        <v>238</v>
      </c>
      <c r="P1681" t="s">
        <v>14173</v>
      </c>
      <c r="R1681" t="s">
        <v>14174</v>
      </c>
      <c r="T1681" t="s">
        <v>5608</v>
      </c>
      <c r="U1681" t="s">
        <v>358</v>
      </c>
      <c r="V1681" s="8" t="str">
        <f>"12534"</f>
        <v>12534</v>
      </c>
      <c r="W1681" t="s">
        <v>118</v>
      </c>
      <c r="Y1681" s="10">
        <v>15188281151</v>
      </c>
      <c r="AA1681">
        <v>3331</v>
      </c>
      <c r="AB1681" t="s">
        <v>14175</v>
      </c>
      <c r="AC1681" t="s">
        <v>14176</v>
      </c>
      <c r="AE1681" t="s">
        <v>14177</v>
      </c>
      <c r="AF1681" t="s">
        <v>14174</v>
      </c>
      <c r="AH1681" t="s">
        <v>5608</v>
      </c>
      <c r="AI1681" t="s">
        <v>358</v>
      </c>
      <c r="AJ1681" s="8" t="str">
        <f>"12534"</f>
        <v>12534</v>
      </c>
      <c r="AK1681" t="s">
        <v>118</v>
      </c>
      <c r="AM1681" s="10">
        <v>15188281151</v>
      </c>
      <c r="AO1681" t="s">
        <v>14178</v>
      </c>
      <c r="AP1681" t="s">
        <v>248</v>
      </c>
      <c r="AQ1681" t="s">
        <v>14179</v>
      </c>
      <c r="AR1681" t="s">
        <v>14180</v>
      </c>
      <c r="AT1681" t="s">
        <v>14181</v>
      </c>
      <c r="AU1681" t="s">
        <v>14182</v>
      </c>
      <c r="AV1681" t="s">
        <v>14183</v>
      </c>
      <c r="AW1681" t="s">
        <v>358</v>
      </c>
      <c r="AX1681" s="8" t="str">
        <f>"12547"</f>
        <v>12547</v>
      </c>
      <c r="AY1681" t="s">
        <v>118</v>
      </c>
      <c r="BA1681" s="10">
        <v>18457952128</v>
      </c>
      <c r="BC1681" t="s">
        <v>14184</v>
      </c>
      <c r="BD1681" t="s">
        <v>14185</v>
      </c>
      <c r="BG1681" t="s">
        <v>358</v>
      </c>
      <c r="BH1681" s="1">
        <v>45104.833333333336</v>
      </c>
      <c r="BI1681">
        <v>40</v>
      </c>
      <c r="BJ1681">
        <v>0</v>
      </c>
      <c r="BK1681">
        <v>7</v>
      </c>
      <c r="BL1681">
        <v>7</v>
      </c>
      <c r="BM1681">
        <v>7</v>
      </c>
      <c r="BN1681">
        <v>7</v>
      </c>
      <c r="BO1681">
        <v>7</v>
      </c>
      <c r="BP1681">
        <v>5</v>
      </c>
      <c r="BQ1681" t="str">
        <f>"7:30 AM"</f>
        <v>7:30 AM</v>
      </c>
      <c r="BR1681" t="str">
        <f>"5:00 PM"</f>
        <v>5:00 PM</v>
      </c>
      <c r="BS1681" t="s">
        <v>131</v>
      </c>
      <c r="BT1681">
        <v>0</v>
      </c>
      <c r="BU1681">
        <v>0</v>
      </c>
      <c r="BV1681" t="s">
        <v>114</v>
      </c>
      <c r="BX1681" s="2" t="s">
        <v>14186</v>
      </c>
      <c r="BY1681" t="s">
        <v>14187</v>
      </c>
      <c r="CA1681" t="s">
        <v>5608</v>
      </c>
      <c r="CB1681" t="s">
        <v>358</v>
      </c>
      <c r="CC1681" s="8" t="str">
        <f>"12534"</f>
        <v>12534</v>
      </c>
      <c r="CD1681" t="s">
        <v>2767</v>
      </c>
      <c r="CE1681" t="s">
        <v>3574</v>
      </c>
      <c r="CF1681" s="12">
        <v>15.91</v>
      </c>
      <c r="CG1681" s="12">
        <v>15.91</v>
      </c>
      <c r="CH1681" s="12">
        <v>23.87</v>
      </c>
      <c r="CI1681" s="12">
        <v>23.87</v>
      </c>
      <c r="CJ1681" t="s">
        <v>135</v>
      </c>
      <c r="CL1681" t="s">
        <v>14188</v>
      </c>
      <c r="CO1681" t="s">
        <v>132</v>
      </c>
      <c r="CP1681" t="s">
        <v>114</v>
      </c>
      <c r="CQ1681" t="s">
        <v>114</v>
      </c>
      <c r="CR1681" t="s">
        <v>136</v>
      </c>
      <c r="CS1681" t="s">
        <v>136</v>
      </c>
      <c r="CT1681" t="s">
        <v>136</v>
      </c>
      <c r="CU1681" t="s">
        <v>136</v>
      </c>
      <c r="CV1681" s="2" t="s">
        <v>14189</v>
      </c>
      <c r="CW1681" s="10" t="str">
        <f>"+15188281151"</f>
        <v>+15188281151</v>
      </c>
      <c r="CX1681" t="s">
        <v>14178</v>
      </c>
      <c r="CY1681" t="s">
        <v>132</v>
      </c>
      <c r="CZ1681" t="s">
        <v>137</v>
      </c>
      <c r="DA1681" t="s">
        <v>114</v>
      </c>
      <c r="DB1681" t="s">
        <v>136</v>
      </c>
      <c r="DC1681" t="s">
        <v>136</v>
      </c>
      <c r="DD1681" t="s">
        <v>114</v>
      </c>
    </row>
    <row r="1682" spans="1:113" ht="15" customHeight="1" x14ac:dyDescent="0.25">
      <c r="A1682" t="s">
        <v>345</v>
      </c>
      <c r="B1682" t="s">
        <v>152</v>
      </c>
      <c r="C1682" s="1">
        <v>45112.815228125</v>
      </c>
      <c r="D1682" s="1">
        <v>45204</v>
      </c>
      <c r="E1682" t="s">
        <v>114</v>
      </c>
      <c r="F1682" t="s">
        <v>346</v>
      </c>
      <c r="G1682" t="str">
        <f>"35-3031.00"</f>
        <v>35-3031.00</v>
      </c>
      <c r="H1682" t="s">
        <v>347</v>
      </c>
      <c r="I1682">
        <v>12</v>
      </c>
      <c r="J1682">
        <v>12</v>
      </c>
      <c r="K1682" s="1">
        <v>45200</v>
      </c>
      <c r="L1682" s="1">
        <v>45443</v>
      </c>
      <c r="M1682" s="1">
        <v>45200</v>
      </c>
      <c r="N1682" s="1">
        <v>45443</v>
      </c>
      <c r="O1682" t="s">
        <v>238</v>
      </c>
      <c r="P1682" t="s">
        <v>348</v>
      </c>
      <c r="R1682" t="s">
        <v>349</v>
      </c>
      <c r="T1682" t="s">
        <v>350</v>
      </c>
      <c r="U1682" t="s">
        <v>140</v>
      </c>
      <c r="V1682" s="8" t="str">
        <f>"34135"</f>
        <v>34135</v>
      </c>
      <c r="W1682" t="s">
        <v>118</v>
      </c>
      <c r="Y1682" s="10">
        <v>12399490710</v>
      </c>
      <c r="AA1682">
        <v>713910</v>
      </c>
      <c r="AB1682" t="s">
        <v>351</v>
      </c>
      <c r="AC1682" t="s">
        <v>352</v>
      </c>
      <c r="AE1682" t="s">
        <v>353</v>
      </c>
      <c r="AF1682" t="s">
        <v>349</v>
      </c>
      <c r="AH1682" t="s">
        <v>350</v>
      </c>
      <c r="AI1682" t="s">
        <v>140</v>
      </c>
      <c r="AJ1682" s="8" t="str">
        <f>"34135"</f>
        <v>34135</v>
      </c>
      <c r="AK1682" t="s">
        <v>118</v>
      </c>
      <c r="AM1682" s="10">
        <v>12399490710</v>
      </c>
      <c r="AO1682" t="s">
        <v>132</v>
      </c>
      <c r="AP1682" t="s">
        <v>248</v>
      </c>
      <c r="AQ1682" t="s">
        <v>354</v>
      </c>
      <c r="AR1682" t="s">
        <v>355</v>
      </c>
      <c r="AT1682" t="s">
        <v>356</v>
      </c>
      <c r="AV1682" t="s">
        <v>357</v>
      </c>
      <c r="AW1682" t="s">
        <v>358</v>
      </c>
      <c r="AX1682" s="8" t="str">
        <f>"11590"</f>
        <v>11590</v>
      </c>
      <c r="AY1682" t="s">
        <v>118</v>
      </c>
      <c r="BA1682" s="10">
        <v>15163307168</v>
      </c>
      <c r="BC1682" t="s">
        <v>359</v>
      </c>
      <c r="BD1682" t="s">
        <v>360</v>
      </c>
      <c r="BG1682" t="s">
        <v>140</v>
      </c>
      <c r="BH1682" s="1">
        <v>45109.833333333336</v>
      </c>
      <c r="BI1682">
        <v>40</v>
      </c>
      <c r="BJ1682">
        <v>8</v>
      </c>
      <c r="BK1682">
        <v>0</v>
      </c>
      <c r="BL1682">
        <v>8</v>
      </c>
      <c r="BM1682">
        <v>0</v>
      </c>
      <c r="BN1682">
        <v>8</v>
      </c>
      <c r="BO1682">
        <v>8</v>
      </c>
      <c r="BP1682">
        <v>8</v>
      </c>
      <c r="BQ1682" t="str">
        <f>"6:00 AM"</f>
        <v>6:00 AM</v>
      </c>
      <c r="BR1682" t="str">
        <f>"10:00 PM"</f>
        <v>10:00 PM</v>
      </c>
      <c r="BS1682" t="s">
        <v>131</v>
      </c>
      <c r="BT1682">
        <v>0</v>
      </c>
      <c r="BU1682">
        <v>3</v>
      </c>
      <c r="BV1682" t="s">
        <v>114</v>
      </c>
      <c r="BX1682" t="s">
        <v>132</v>
      </c>
      <c r="BY1682" t="s">
        <v>361</v>
      </c>
      <c r="CA1682" t="s">
        <v>350</v>
      </c>
      <c r="CB1682" t="s">
        <v>140</v>
      </c>
      <c r="CC1682" s="8" t="str">
        <f>"34135"</f>
        <v>34135</v>
      </c>
      <c r="CD1682" t="s">
        <v>362</v>
      </c>
      <c r="CE1682" t="s">
        <v>363</v>
      </c>
      <c r="CF1682" s="12">
        <v>14.03</v>
      </c>
      <c r="CG1682" s="12">
        <v>14.03</v>
      </c>
      <c r="CH1682" s="12">
        <v>21.05</v>
      </c>
      <c r="CI1682" s="12">
        <v>21.05</v>
      </c>
      <c r="CJ1682" t="s">
        <v>135</v>
      </c>
      <c r="CL1682" t="s">
        <v>364</v>
      </c>
      <c r="CO1682" t="s">
        <v>132</v>
      </c>
      <c r="CP1682" t="s">
        <v>114</v>
      </c>
      <c r="CQ1682" t="s">
        <v>114</v>
      </c>
      <c r="CR1682" t="s">
        <v>136</v>
      </c>
      <c r="CS1682" t="s">
        <v>114</v>
      </c>
      <c r="CT1682" t="s">
        <v>136</v>
      </c>
      <c r="CU1682" t="s">
        <v>136</v>
      </c>
      <c r="CV1682" t="s">
        <v>365</v>
      </c>
      <c r="CW1682" s="10" t="str">
        <f>"+12399490710"</f>
        <v>+12399490710</v>
      </c>
      <c r="CX1682" t="s">
        <v>366</v>
      </c>
      <c r="CY1682" t="s">
        <v>132</v>
      </c>
      <c r="CZ1682" t="s">
        <v>137</v>
      </c>
      <c r="DA1682" t="s">
        <v>114</v>
      </c>
      <c r="DB1682" t="s">
        <v>114</v>
      </c>
      <c r="DC1682" t="s">
        <v>136</v>
      </c>
      <c r="DD1682" t="s">
        <v>114</v>
      </c>
    </row>
    <row r="1683" spans="1:113" ht="15" customHeight="1" x14ac:dyDescent="0.25">
      <c r="A1683" t="s">
        <v>12923</v>
      </c>
      <c r="B1683" t="s">
        <v>152</v>
      </c>
      <c r="C1683" s="1">
        <v>45112.631117476849</v>
      </c>
      <c r="D1683" s="1">
        <v>45204</v>
      </c>
      <c r="E1683" t="s">
        <v>136</v>
      </c>
      <c r="F1683" t="s">
        <v>2512</v>
      </c>
      <c r="G1683" t="str">
        <f>"35-3031.00"</f>
        <v>35-3031.00</v>
      </c>
      <c r="H1683" t="s">
        <v>347</v>
      </c>
      <c r="I1683">
        <v>10</v>
      </c>
      <c r="J1683">
        <v>10</v>
      </c>
      <c r="K1683" s="1">
        <v>45200</v>
      </c>
      <c r="L1683" s="1">
        <v>45443</v>
      </c>
      <c r="M1683" s="1">
        <v>45200</v>
      </c>
      <c r="N1683" s="1">
        <v>45443</v>
      </c>
      <c r="O1683" t="s">
        <v>116</v>
      </c>
      <c r="P1683" t="s">
        <v>7155</v>
      </c>
      <c r="R1683" t="s">
        <v>7156</v>
      </c>
      <c r="T1683" t="s">
        <v>4524</v>
      </c>
      <c r="U1683" t="s">
        <v>140</v>
      </c>
      <c r="V1683" s="8" t="str">
        <f>"33472"</f>
        <v>33472</v>
      </c>
      <c r="W1683" t="s">
        <v>118</v>
      </c>
      <c r="Y1683" s="10">
        <v>15617384903</v>
      </c>
      <c r="AA1683">
        <v>713910</v>
      </c>
      <c r="AB1683" t="s">
        <v>7157</v>
      </c>
      <c r="AC1683" t="s">
        <v>2001</v>
      </c>
      <c r="AE1683" t="s">
        <v>1104</v>
      </c>
      <c r="AF1683" t="s">
        <v>7156</v>
      </c>
      <c r="AH1683" t="s">
        <v>4524</v>
      </c>
      <c r="AI1683" t="s">
        <v>140</v>
      </c>
      <c r="AJ1683" s="8" t="str">
        <f>"33472"</f>
        <v>33472</v>
      </c>
      <c r="AK1683" t="s">
        <v>118</v>
      </c>
      <c r="AM1683" s="10">
        <v>15617384903</v>
      </c>
      <c r="AO1683" t="s">
        <v>7158</v>
      </c>
      <c r="AP1683" t="s">
        <v>121</v>
      </c>
      <c r="AQ1683" t="s">
        <v>7159</v>
      </c>
      <c r="AR1683" t="s">
        <v>218</v>
      </c>
      <c r="AS1683" t="s">
        <v>7160</v>
      </c>
      <c r="AT1683" t="s">
        <v>7161</v>
      </c>
      <c r="AU1683" t="s">
        <v>7162</v>
      </c>
      <c r="AV1683" t="s">
        <v>1220</v>
      </c>
      <c r="AW1683" t="s">
        <v>358</v>
      </c>
      <c r="AX1683" s="8" t="str">
        <f>"10036"</f>
        <v>10036</v>
      </c>
      <c r="AY1683" t="s">
        <v>118</v>
      </c>
      <c r="BA1683" s="10">
        <v>12127159408</v>
      </c>
      <c r="BC1683" t="s">
        <v>7163</v>
      </c>
      <c r="BD1683" t="s">
        <v>7164</v>
      </c>
      <c r="BE1683" t="s">
        <v>358</v>
      </c>
      <c r="BF1683" t="s">
        <v>7165</v>
      </c>
      <c r="BG1683" t="s">
        <v>140</v>
      </c>
      <c r="BH1683" s="1">
        <v>45111.833333333336</v>
      </c>
      <c r="BI1683">
        <v>40</v>
      </c>
      <c r="BJ1683">
        <v>8</v>
      </c>
      <c r="BK1683">
        <v>0</v>
      </c>
      <c r="BL1683">
        <v>8</v>
      </c>
      <c r="BM1683">
        <v>8</v>
      </c>
      <c r="BN1683">
        <v>0</v>
      </c>
      <c r="BO1683">
        <v>8</v>
      </c>
      <c r="BP1683">
        <v>8</v>
      </c>
      <c r="BQ1683" t="str">
        <f>"9:00 AM"</f>
        <v>9:00 AM</v>
      </c>
      <c r="BR1683" t="str">
        <f>"6:00 PM"</f>
        <v>6:00 PM</v>
      </c>
      <c r="BS1683" t="s">
        <v>131</v>
      </c>
      <c r="BT1683">
        <v>0</v>
      </c>
      <c r="BU1683">
        <v>0</v>
      </c>
      <c r="BV1683" t="s">
        <v>114</v>
      </c>
      <c r="BX1683" s="2" t="s">
        <v>12924</v>
      </c>
      <c r="BY1683" t="s">
        <v>7156</v>
      </c>
      <c r="CA1683" t="s">
        <v>4524</v>
      </c>
      <c r="CB1683" t="s">
        <v>140</v>
      </c>
      <c r="CC1683" s="8" t="str">
        <f>"33472"</f>
        <v>33472</v>
      </c>
      <c r="CD1683" t="s">
        <v>767</v>
      </c>
      <c r="CE1683" t="s">
        <v>149</v>
      </c>
      <c r="CF1683" s="12">
        <v>15.5</v>
      </c>
      <c r="CH1683" s="12">
        <v>23.25</v>
      </c>
      <c r="CJ1683" t="s">
        <v>135</v>
      </c>
      <c r="CK1683" t="s">
        <v>7167</v>
      </c>
      <c r="CL1683" t="s">
        <v>12925</v>
      </c>
      <c r="CO1683" t="s">
        <v>132</v>
      </c>
      <c r="CP1683" t="s">
        <v>114</v>
      </c>
      <c r="CQ1683" t="s">
        <v>136</v>
      </c>
      <c r="CR1683" t="s">
        <v>136</v>
      </c>
      <c r="CS1683" t="s">
        <v>136</v>
      </c>
      <c r="CT1683" t="s">
        <v>136</v>
      </c>
      <c r="CU1683" t="s">
        <v>136</v>
      </c>
      <c r="CV1683" s="2" t="s">
        <v>12926</v>
      </c>
      <c r="CW1683" s="10" t="str">
        <f>"+15617384903"</f>
        <v>+15617384903</v>
      </c>
      <c r="CX1683" t="s">
        <v>7170</v>
      </c>
      <c r="CY1683" t="s">
        <v>132</v>
      </c>
      <c r="CZ1683" t="s">
        <v>137</v>
      </c>
      <c r="DA1683" t="s">
        <v>114</v>
      </c>
      <c r="DB1683" t="s">
        <v>136</v>
      </c>
      <c r="DC1683" t="s">
        <v>136</v>
      </c>
      <c r="DD1683" t="s">
        <v>114</v>
      </c>
    </row>
    <row r="1684" spans="1:113" ht="15" customHeight="1" x14ac:dyDescent="0.25">
      <c r="A1684" t="s">
        <v>7153</v>
      </c>
      <c r="B1684" t="s">
        <v>152</v>
      </c>
      <c r="C1684" s="1">
        <v>45112.619445833334</v>
      </c>
      <c r="D1684" s="1">
        <v>45204</v>
      </c>
      <c r="E1684" t="s">
        <v>136</v>
      </c>
      <c r="F1684" t="s">
        <v>7154</v>
      </c>
      <c r="G1684" t="str">
        <f>"39-3091.00"</f>
        <v>39-3091.00</v>
      </c>
      <c r="H1684" t="s">
        <v>237</v>
      </c>
      <c r="I1684">
        <v>3</v>
      </c>
      <c r="J1684">
        <v>3</v>
      </c>
      <c r="K1684" s="1">
        <v>45200</v>
      </c>
      <c r="L1684" s="1">
        <v>45443</v>
      </c>
      <c r="M1684" s="1">
        <v>45200</v>
      </c>
      <c r="N1684" s="1">
        <v>45443</v>
      </c>
      <c r="O1684" t="s">
        <v>116</v>
      </c>
      <c r="P1684" t="s">
        <v>7155</v>
      </c>
      <c r="R1684" t="s">
        <v>7156</v>
      </c>
      <c r="T1684" t="s">
        <v>4524</v>
      </c>
      <c r="U1684" t="s">
        <v>140</v>
      </c>
      <c r="V1684" s="8" t="str">
        <f>"33472"</f>
        <v>33472</v>
      </c>
      <c r="W1684" t="s">
        <v>118</v>
      </c>
      <c r="Y1684" s="10">
        <v>15617384903</v>
      </c>
      <c r="AA1684">
        <v>713910</v>
      </c>
      <c r="AB1684" t="s">
        <v>7157</v>
      </c>
      <c r="AC1684" t="s">
        <v>2001</v>
      </c>
      <c r="AE1684" t="s">
        <v>1104</v>
      </c>
      <c r="AF1684" t="s">
        <v>7156</v>
      </c>
      <c r="AH1684" t="s">
        <v>4524</v>
      </c>
      <c r="AI1684" t="s">
        <v>140</v>
      </c>
      <c r="AJ1684" s="8" t="str">
        <f>"33472"</f>
        <v>33472</v>
      </c>
      <c r="AK1684" t="s">
        <v>118</v>
      </c>
      <c r="AM1684" s="10">
        <v>15617384903</v>
      </c>
      <c r="AO1684" t="s">
        <v>7158</v>
      </c>
      <c r="AP1684" t="s">
        <v>121</v>
      </c>
      <c r="AQ1684" t="s">
        <v>7159</v>
      </c>
      <c r="AR1684" t="s">
        <v>218</v>
      </c>
      <c r="AS1684" t="s">
        <v>7160</v>
      </c>
      <c r="AT1684" t="s">
        <v>7161</v>
      </c>
      <c r="AU1684" t="s">
        <v>7162</v>
      </c>
      <c r="AV1684" t="s">
        <v>1220</v>
      </c>
      <c r="AW1684" t="s">
        <v>358</v>
      </c>
      <c r="AX1684" s="8" t="str">
        <f>"10036"</f>
        <v>10036</v>
      </c>
      <c r="AY1684" t="s">
        <v>118</v>
      </c>
      <c r="BA1684" s="10">
        <v>12127159408</v>
      </c>
      <c r="BC1684" t="s">
        <v>7163</v>
      </c>
      <c r="BD1684" t="s">
        <v>7164</v>
      </c>
      <c r="BE1684" t="s">
        <v>358</v>
      </c>
      <c r="BF1684" t="s">
        <v>7165</v>
      </c>
      <c r="BG1684" t="s">
        <v>140</v>
      </c>
      <c r="BH1684" s="1">
        <v>45111.833333333336</v>
      </c>
      <c r="BI1684">
        <v>40</v>
      </c>
      <c r="BJ1684">
        <v>8</v>
      </c>
      <c r="BK1684">
        <v>0</v>
      </c>
      <c r="BL1684">
        <v>8</v>
      </c>
      <c r="BM1684">
        <v>8</v>
      </c>
      <c r="BN1684">
        <v>0</v>
      </c>
      <c r="BO1684">
        <v>8</v>
      </c>
      <c r="BP1684">
        <v>8</v>
      </c>
      <c r="BQ1684" t="str">
        <f>"9:00 AM"</f>
        <v>9:00 AM</v>
      </c>
      <c r="BR1684" t="str">
        <f>"6:00 PM"</f>
        <v>6:00 PM</v>
      </c>
      <c r="BS1684" t="s">
        <v>131</v>
      </c>
      <c r="BT1684">
        <v>0</v>
      </c>
      <c r="BU1684">
        <v>0</v>
      </c>
      <c r="BV1684" t="s">
        <v>114</v>
      </c>
      <c r="BX1684" s="2" t="s">
        <v>7166</v>
      </c>
      <c r="BY1684" t="s">
        <v>7156</v>
      </c>
      <c r="CA1684" t="s">
        <v>4524</v>
      </c>
      <c r="CB1684" t="s">
        <v>140</v>
      </c>
      <c r="CC1684" s="8" t="str">
        <f>"33472"</f>
        <v>33472</v>
      </c>
      <c r="CD1684" t="s">
        <v>767</v>
      </c>
      <c r="CE1684" t="s">
        <v>149</v>
      </c>
      <c r="CF1684" s="12">
        <v>13.5</v>
      </c>
      <c r="CH1684" s="12">
        <v>20.25</v>
      </c>
      <c r="CJ1684" t="s">
        <v>135</v>
      </c>
      <c r="CK1684" t="s">
        <v>7167</v>
      </c>
      <c r="CL1684" t="s">
        <v>7168</v>
      </c>
      <c r="CO1684" t="s">
        <v>132</v>
      </c>
      <c r="CP1684" t="s">
        <v>114</v>
      </c>
      <c r="CQ1684" t="s">
        <v>136</v>
      </c>
      <c r="CR1684" t="s">
        <v>136</v>
      </c>
      <c r="CS1684" t="s">
        <v>136</v>
      </c>
      <c r="CT1684" t="s">
        <v>136</v>
      </c>
      <c r="CU1684" t="s">
        <v>136</v>
      </c>
      <c r="CV1684" s="2" t="s">
        <v>7169</v>
      </c>
      <c r="CW1684" s="10" t="str">
        <f>"+15617384903"</f>
        <v>+15617384903</v>
      </c>
      <c r="CX1684" t="s">
        <v>7170</v>
      </c>
      <c r="CY1684" t="s">
        <v>132</v>
      </c>
      <c r="CZ1684" t="s">
        <v>137</v>
      </c>
      <c r="DA1684" t="s">
        <v>114</v>
      </c>
      <c r="DB1684" t="s">
        <v>136</v>
      </c>
      <c r="DC1684" t="s">
        <v>136</v>
      </c>
      <c r="DD1684" t="s">
        <v>114</v>
      </c>
    </row>
    <row r="1685" spans="1:113" ht="15" customHeight="1" x14ac:dyDescent="0.25">
      <c r="A1685" t="s">
        <v>22763</v>
      </c>
      <c r="B1685" t="s">
        <v>152</v>
      </c>
      <c r="C1685" s="1">
        <v>45110.575882407407</v>
      </c>
      <c r="D1685" s="1">
        <v>45204</v>
      </c>
      <c r="E1685" t="s">
        <v>114</v>
      </c>
      <c r="F1685" t="s">
        <v>1059</v>
      </c>
      <c r="G1685" t="str">
        <f>"35-2014.00"</f>
        <v>35-2014.00</v>
      </c>
      <c r="H1685" t="s">
        <v>154</v>
      </c>
      <c r="I1685">
        <v>10</v>
      </c>
      <c r="J1685">
        <v>10</v>
      </c>
      <c r="K1685" s="1">
        <v>45200</v>
      </c>
      <c r="L1685" s="1">
        <v>45473</v>
      </c>
      <c r="M1685" s="1">
        <v>45200</v>
      </c>
      <c r="N1685" s="1">
        <v>45473</v>
      </c>
      <c r="O1685" t="s">
        <v>116</v>
      </c>
      <c r="P1685" t="s">
        <v>5099</v>
      </c>
      <c r="Q1685" t="s">
        <v>5100</v>
      </c>
      <c r="R1685" t="s">
        <v>5101</v>
      </c>
      <c r="T1685" t="s">
        <v>5102</v>
      </c>
      <c r="U1685" t="s">
        <v>333</v>
      </c>
      <c r="V1685" s="8" t="str">
        <f>"70130"</f>
        <v>70130</v>
      </c>
      <c r="W1685" t="s">
        <v>118</v>
      </c>
      <c r="Y1685" s="10">
        <v>15045256000</v>
      </c>
      <c r="AA1685">
        <v>721110</v>
      </c>
      <c r="AB1685" t="s">
        <v>2823</v>
      </c>
      <c r="AC1685" t="s">
        <v>5103</v>
      </c>
      <c r="AE1685" t="s">
        <v>161</v>
      </c>
      <c r="AF1685" t="s">
        <v>5101</v>
      </c>
      <c r="AH1685" t="s">
        <v>5102</v>
      </c>
      <c r="AI1685" t="s">
        <v>333</v>
      </c>
      <c r="AJ1685" s="8" t="str">
        <f>"70130"</f>
        <v>70130</v>
      </c>
      <c r="AK1685" t="s">
        <v>118</v>
      </c>
      <c r="AM1685" s="10">
        <v>15047171201</v>
      </c>
      <c r="AO1685" t="s">
        <v>5104</v>
      </c>
      <c r="AP1685" t="s">
        <v>121</v>
      </c>
      <c r="AQ1685" t="s">
        <v>4300</v>
      </c>
      <c r="AR1685" t="s">
        <v>5105</v>
      </c>
      <c r="AS1685" t="s">
        <v>5106</v>
      </c>
      <c r="AT1685" t="s">
        <v>5107</v>
      </c>
      <c r="AU1685" t="s">
        <v>5108</v>
      </c>
      <c r="AV1685" t="s">
        <v>5109</v>
      </c>
      <c r="AW1685" t="s">
        <v>333</v>
      </c>
      <c r="AX1685" s="8" t="str">
        <f>"70130"</f>
        <v>70130</v>
      </c>
      <c r="AY1685" t="s">
        <v>118</v>
      </c>
      <c r="AZ1685" t="s">
        <v>5110</v>
      </c>
      <c r="BA1685" s="10">
        <v>15045849312</v>
      </c>
      <c r="BC1685" t="s">
        <v>5111</v>
      </c>
      <c r="BD1685" t="s">
        <v>5112</v>
      </c>
      <c r="BE1685" t="s">
        <v>333</v>
      </c>
      <c r="BF1685" t="s">
        <v>10364</v>
      </c>
      <c r="BG1685" t="s">
        <v>333</v>
      </c>
      <c r="BH1685" s="1">
        <v>45109.833333333336</v>
      </c>
      <c r="BI1685">
        <v>40</v>
      </c>
      <c r="BJ1685">
        <v>0</v>
      </c>
      <c r="BK1685">
        <v>8</v>
      </c>
      <c r="BL1685">
        <v>8</v>
      </c>
      <c r="BM1685">
        <v>8</v>
      </c>
      <c r="BN1685">
        <v>8</v>
      </c>
      <c r="BO1685">
        <v>8</v>
      </c>
      <c r="BP1685">
        <v>0</v>
      </c>
      <c r="BQ1685" t="str">
        <f>"9:00 AM"</f>
        <v>9:00 AM</v>
      </c>
      <c r="BR1685" t="str">
        <f>"5:00 PM"</f>
        <v>5:00 PM</v>
      </c>
      <c r="BS1685" t="s">
        <v>131</v>
      </c>
      <c r="BT1685">
        <v>9</v>
      </c>
      <c r="BU1685">
        <v>12</v>
      </c>
      <c r="BV1685" t="s">
        <v>114</v>
      </c>
      <c r="BX1685" t="s">
        <v>1570</v>
      </c>
      <c r="BY1685" t="s">
        <v>22764</v>
      </c>
      <c r="CA1685" t="s">
        <v>5102</v>
      </c>
      <c r="CB1685" t="s">
        <v>333</v>
      </c>
      <c r="CC1685" s="8" t="str">
        <f>"70130"</f>
        <v>70130</v>
      </c>
      <c r="CD1685" t="s">
        <v>679</v>
      </c>
      <c r="CE1685" t="s">
        <v>341</v>
      </c>
      <c r="CF1685" s="12">
        <v>16</v>
      </c>
      <c r="CH1685" s="12">
        <v>24</v>
      </c>
      <c r="CJ1685" t="s">
        <v>135</v>
      </c>
      <c r="CL1685" t="s">
        <v>22765</v>
      </c>
      <c r="CO1685" t="s">
        <v>132</v>
      </c>
      <c r="CP1685" t="s">
        <v>114</v>
      </c>
      <c r="CQ1685" t="s">
        <v>114</v>
      </c>
      <c r="CR1685" t="s">
        <v>136</v>
      </c>
      <c r="CS1685" t="s">
        <v>136</v>
      </c>
      <c r="CT1685" t="s">
        <v>136</v>
      </c>
      <c r="CU1685" t="s">
        <v>136</v>
      </c>
      <c r="CV1685" t="s">
        <v>22766</v>
      </c>
      <c r="CW1685" s="10" t="str">
        <f>"+15045964761"</f>
        <v>+15045964761</v>
      </c>
      <c r="CX1685" t="s">
        <v>5115</v>
      </c>
      <c r="CY1685" t="s">
        <v>132</v>
      </c>
      <c r="CZ1685" t="s">
        <v>137</v>
      </c>
      <c r="DA1685" t="s">
        <v>114</v>
      </c>
      <c r="DB1685" t="s">
        <v>136</v>
      </c>
      <c r="DC1685" t="s">
        <v>136</v>
      </c>
      <c r="DD1685" t="s">
        <v>114</v>
      </c>
    </row>
    <row r="1686" spans="1:113" ht="15" customHeight="1" x14ac:dyDescent="0.25">
      <c r="A1686" t="s">
        <v>15626</v>
      </c>
      <c r="B1686" t="s">
        <v>152</v>
      </c>
      <c r="C1686" s="1">
        <v>45141.750956944445</v>
      </c>
      <c r="D1686" s="1">
        <v>45203</v>
      </c>
      <c r="E1686" t="s">
        <v>136</v>
      </c>
      <c r="F1686" t="s">
        <v>4761</v>
      </c>
      <c r="G1686" t="str">
        <f>"35-9011.00"</f>
        <v>35-9011.00</v>
      </c>
      <c r="H1686" t="s">
        <v>1512</v>
      </c>
      <c r="I1686">
        <v>3</v>
      </c>
      <c r="J1686">
        <v>3</v>
      </c>
      <c r="K1686" s="1">
        <v>45231</v>
      </c>
      <c r="L1686" s="1">
        <v>45412</v>
      </c>
      <c r="M1686" s="1">
        <v>45231</v>
      </c>
      <c r="N1686" s="1">
        <v>45412</v>
      </c>
      <c r="O1686" t="s">
        <v>116</v>
      </c>
      <c r="P1686" t="s">
        <v>6563</v>
      </c>
      <c r="R1686" t="s">
        <v>6564</v>
      </c>
      <c r="T1686" t="s">
        <v>1614</v>
      </c>
      <c r="U1686" t="s">
        <v>140</v>
      </c>
      <c r="V1686" s="8" t="str">
        <f>"34108"</f>
        <v>34108</v>
      </c>
      <c r="W1686" t="s">
        <v>118</v>
      </c>
      <c r="Y1686" s="10">
        <v>12395929515</v>
      </c>
      <c r="AA1686">
        <v>713910</v>
      </c>
      <c r="AB1686" t="s">
        <v>6565</v>
      </c>
      <c r="AC1686" t="s">
        <v>1826</v>
      </c>
      <c r="AE1686" t="s">
        <v>1349</v>
      </c>
      <c r="AF1686" t="s">
        <v>6564</v>
      </c>
      <c r="AH1686" t="s">
        <v>1614</v>
      </c>
      <c r="AI1686" t="s">
        <v>140</v>
      </c>
      <c r="AJ1686" s="8" t="str">
        <f>"34108"</f>
        <v>34108</v>
      </c>
      <c r="AK1686" t="s">
        <v>118</v>
      </c>
      <c r="AM1686" s="10">
        <v>12395929515</v>
      </c>
      <c r="AO1686" t="s">
        <v>6566</v>
      </c>
      <c r="AP1686" t="s">
        <v>121</v>
      </c>
      <c r="AQ1686" t="s">
        <v>276</v>
      </c>
      <c r="AR1686" t="s">
        <v>277</v>
      </c>
      <c r="AS1686" t="s">
        <v>278</v>
      </c>
      <c r="AT1686" t="s">
        <v>279</v>
      </c>
      <c r="AU1686" t="s">
        <v>280</v>
      </c>
      <c r="AV1686" t="s">
        <v>281</v>
      </c>
      <c r="AW1686" t="s">
        <v>222</v>
      </c>
      <c r="AX1686" s="8" t="str">
        <f>"01701"</f>
        <v>01701</v>
      </c>
      <c r="AY1686" t="s">
        <v>118</v>
      </c>
      <c r="BA1686" s="10">
        <v>16179399444</v>
      </c>
      <c r="BC1686" t="s">
        <v>282</v>
      </c>
      <c r="BD1686" t="s">
        <v>283</v>
      </c>
      <c r="BE1686" t="s">
        <v>222</v>
      </c>
      <c r="BF1686" t="s">
        <v>284</v>
      </c>
      <c r="BG1686" t="s">
        <v>140</v>
      </c>
      <c r="BH1686" s="1">
        <v>45140.833333333336</v>
      </c>
      <c r="BI1686">
        <v>40</v>
      </c>
      <c r="BJ1686">
        <v>0</v>
      </c>
      <c r="BK1686">
        <v>8</v>
      </c>
      <c r="BL1686">
        <v>8</v>
      </c>
      <c r="BM1686">
        <v>8</v>
      </c>
      <c r="BN1686">
        <v>8</v>
      </c>
      <c r="BO1686">
        <v>8</v>
      </c>
      <c r="BP1686">
        <v>0</v>
      </c>
      <c r="BQ1686" t="str">
        <f>"9:00 AM"</f>
        <v>9:00 AM</v>
      </c>
      <c r="BR1686" t="str">
        <f>"5:00 PM"</f>
        <v>5:00 PM</v>
      </c>
      <c r="BS1686" t="s">
        <v>131</v>
      </c>
      <c r="BT1686">
        <v>0</v>
      </c>
      <c r="BU1686">
        <v>3</v>
      </c>
      <c r="BV1686" t="s">
        <v>114</v>
      </c>
      <c r="BX1686" s="2" t="s">
        <v>15627</v>
      </c>
      <c r="BY1686" t="s">
        <v>6564</v>
      </c>
      <c r="CA1686" t="s">
        <v>1614</v>
      </c>
      <c r="CB1686" t="s">
        <v>140</v>
      </c>
      <c r="CC1686" s="8" t="str">
        <f>"34108"</f>
        <v>34108</v>
      </c>
      <c r="CD1686" t="s">
        <v>1619</v>
      </c>
      <c r="CE1686" t="s">
        <v>1620</v>
      </c>
      <c r="CF1686" s="12">
        <v>14.33</v>
      </c>
      <c r="CH1686" s="12">
        <v>21.5</v>
      </c>
      <c r="CJ1686" t="s">
        <v>135</v>
      </c>
      <c r="CK1686" t="s">
        <v>15628</v>
      </c>
      <c r="CL1686" t="s">
        <v>15629</v>
      </c>
      <c r="CO1686" t="s">
        <v>132</v>
      </c>
      <c r="CP1686" t="s">
        <v>114</v>
      </c>
      <c r="CQ1686" t="s">
        <v>114</v>
      </c>
      <c r="CR1686" t="s">
        <v>136</v>
      </c>
      <c r="CS1686" t="s">
        <v>136</v>
      </c>
      <c r="CT1686" t="s">
        <v>136</v>
      </c>
      <c r="CU1686" t="s">
        <v>136</v>
      </c>
      <c r="CV1686" t="s">
        <v>6570</v>
      </c>
      <c r="CW1686" s="10" t="str">
        <f>"+12394494563"</f>
        <v>+12394494563</v>
      </c>
      <c r="CX1686" t="s">
        <v>6571</v>
      </c>
      <c r="CY1686" t="s">
        <v>132</v>
      </c>
      <c r="CZ1686" t="s">
        <v>137</v>
      </c>
      <c r="DA1686" t="s">
        <v>114</v>
      </c>
      <c r="DB1686" t="s">
        <v>114</v>
      </c>
      <c r="DC1686" t="s">
        <v>136</v>
      </c>
      <c r="DD1686" t="s">
        <v>114</v>
      </c>
    </row>
    <row r="1687" spans="1:113" ht="15" customHeight="1" x14ac:dyDescent="0.25">
      <c r="A1687" t="s">
        <v>6562</v>
      </c>
      <c r="B1687" t="s">
        <v>152</v>
      </c>
      <c r="C1687" s="1">
        <v>45141.750177662034</v>
      </c>
      <c r="D1687" s="1">
        <v>45203</v>
      </c>
      <c r="E1687" t="s">
        <v>136</v>
      </c>
      <c r="F1687" t="s">
        <v>1059</v>
      </c>
      <c r="G1687" t="str">
        <f>"35-2014.00"</f>
        <v>35-2014.00</v>
      </c>
      <c r="H1687" t="s">
        <v>154</v>
      </c>
      <c r="I1687">
        <v>7</v>
      </c>
      <c r="J1687">
        <v>7</v>
      </c>
      <c r="K1687" s="1">
        <v>45231</v>
      </c>
      <c r="L1687" s="1">
        <v>45412</v>
      </c>
      <c r="M1687" s="1">
        <v>45231</v>
      </c>
      <c r="N1687" s="1">
        <v>45412</v>
      </c>
      <c r="O1687" t="s">
        <v>116</v>
      </c>
      <c r="P1687" t="s">
        <v>6563</v>
      </c>
      <c r="R1687" t="s">
        <v>6564</v>
      </c>
      <c r="T1687" t="s">
        <v>1614</v>
      </c>
      <c r="U1687" t="s">
        <v>140</v>
      </c>
      <c r="V1687" s="8" t="str">
        <f>"34108"</f>
        <v>34108</v>
      </c>
      <c r="W1687" t="s">
        <v>118</v>
      </c>
      <c r="Y1687" s="10">
        <v>12395929515</v>
      </c>
      <c r="AA1687">
        <v>713910</v>
      </c>
      <c r="AB1687" t="s">
        <v>6565</v>
      </c>
      <c r="AC1687" t="s">
        <v>1826</v>
      </c>
      <c r="AE1687" t="s">
        <v>1349</v>
      </c>
      <c r="AF1687" t="s">
        <v>6564</v>
      </c>
      <c r="AH1687" t="s">
        <v>1614</v>
      </c>
      <c r="AI1687" t="s">
        <v>140</v>
      </c>
      <c r="AJ1687" s="8" t="str">
        <f>"34108"</f>
        <v>34108</v>
      </c>
      <c r="AK1687" t="s">
        <v>118</v>
      </c>
      <c r="AM1687" s="10">
        <v>12395929515</v>
      </c>
      <c r="AO1687" t="s">
        <v>6566</v>
      </c>
      <c r="AP1687" t="s">
        <v>121</v>
      </c>
      <c r="AQ1687" t="s">
        <v>276</v>
      </c>
      <c r="AR1687" t="s">
        <v>277</v>
      </c>
      <c r="AS1687" t="s">
        <v>278</v>
      </c>
      <c r="AT1687" t="s">
        <v>279</v>
      </c>
      <c r="AU1687" t="s">
        <v>280</v>
      </c>
      <c r="AV1687" t="s">
        <v>281</v>
      </c>
      <c r="AW1687" t="s">
        <v>222</v>
      </c>
      <c r="AX1687" s="8" t="str">
        <f>"01701"</f>
        <v>01701</v>
      </c>
      <c r="AY1687" t="s">
        <v>118</v>
      </c>
      <c r="BA1687" s="10">
        <v>16179399444</v>
      </c>
      <c r="BC1687" t="s">
        <v>282</v>
      </c>
      <c r="BD1687" t="s">
        <v>283</v>
      </c>
      <c r="BE1687" t="s">
        <v>222</v>
      </c>
      <c r="BF1687" t="s">
        <v>284</v>
      </c>
      <c r="BG1687" t="s">
        <v>140</v>
      </c>
      <c r="BH1687" s="1">
        <v>45140.833333333336</v>
      </c>
      <c r="BI1687">
        <v>40</v>
      </c>
      <c r="BJ1687">
        <v>0</v>
      </c>
      <c r="BK1687">
        <v>8</v>
      </c>
      <c r="BL1687">
        <v>8</v>
      </c>
      <c r="BM1687">
        <v>8</v>
      </c>
      <c r="BN1687">
        <v>8</v>
      </c>
      <c r="BO1687">
        <v>8</v>
      </c>
      <c r="BP1687">
        <v>0</v>
      </c>
      <c r="BQ1687" t="str">
        <f>"9:00 AM"</f>
        <v>9:00 AM</v>
      </c>
      <c r="BR1687" t="str">
        <f>"5:00 PM"</f>
        <v>5:00 PM</v>
      </c>
      <c r="BS1687" t="s">
        <v>131</v>
      </c>
      <c r="BT1687">
        <v>0</v>
      </c>
      <c r="BU1687">
        <v>6</v>
      </c>
      <c r="BV1687" t="s">
        <v>114</v>
      </c>
      <c r="BX1687" s="2" t="s">
        <v>6567</v>
      </c>
      <c r="BY1687" t="s">
        <v>6564</v>
      </c>
      <c r="CA1687" t="s">
        <v>1614</v>
      </c>
      <c r="CB1687" t="s">
        <v>140</v>
      </c>
      <c r="CC1687" s="8" t="str">
        <f>"34108"</f>
        <v>34108</v>
      </c>
      <c r="CD1687" t="s">
        <v>1619</v>
      </c>
      <c r="CE1687" t="s">
        <v>1620</v>
      </c>
      <c r="CF1687" s="12">
        <v>20</v>
      </c>
      <c r="CG1687" s="12">
        <v>26.5</v>
      </c>
      <c r="CH1687" s="12">
        <v>30</v>
      </c>
      <c r="CI1687" s="12">
        <v>39.75</v>
      </c>
      <c r="CJ1687" t="s">
        <v>135</v>
      </c>
      <c r="CK1687" t="s">
        <v>6568</v>
      </c>
      <c r="CL1687" t="s">
        <v>6569</v>
      </c>
      <c r="CO1687" t="s">
        <v>132</v>
      </c>
      <c r="CP1687" t="s">
        <v>114</v>
      </c>
      <c r="CQ1687" t="s">
        <v>114</v>
      </c>
      <c r="CR1687" t="s">
        <v>136</v>
      </c>
      <c r="CS1687" t="s">
        <v>136</v>
      </c>
      <c r="CT1687" t="s">
        <v>136</v>
      </c>
      <c r="CU1687" t="s">
        <v>136</v>
      </c>
      <c r="CV1687" t="s">
        <v>6570</v>
      </c>
      <c r="CW1687" s="10" t="str">
        <f>"+12394494563"</f>
        <v>+12394494563</v>
      </c>
      <c r="CX1687" t="s">
        <v>6571</v>
      </c>
      <c r="CY1687" t="s">
        <v>132</v>
      </c>
      <c r="CZ1687" t="s">
        <v>137</v>
      </c>
      <c r="DA1687" t="s">
        <v>114</v>
      </c>
      <c r="DB1687" t="s">
        <v>114</v>
      </c>
      <c r="DC1687" t="s">
        <v>136</v>
      </c>
      <c r="DD1687" t="s">
        <v>114</v>
      </c>
    </row>
    <row r="1688" spans="1:113" ht="15" customHeight="1" x14ac:dyDescent="0.25">
      <c r="A1688" t="s">
        <v>12127</v>
      </c>
      <c r="B1688" t="s">
        <v>152</v>
      </c>
      <c r="C1688" s="1">
        <v>45141.616017245367</v>
      </c>
      <c r="D1688" s="1">
        <v>45203</v>
      </c>
      <c r="E1688" t="s">
        <v>114</v>
      </c>
      <c r="F1688" t="s">
        <v>9623</v>
      </c>
      <c r="G1688" t="str">
        <f>"45-4011.00"</f>
        <v>45-4011.00</v>
      </c>
      <c r="H1688" t="s">
        <v>842</v>
      </c>
      <c r="I1688">
        <v>30</v>
      </c>
      <c r="J1688">
        <v>30</v>
      </c>
      <c r="K1688" s="1">
        <v>45231</v>
      </c>
      <c r="L1688" s="1">
        <v>45411</v>
      </c>
      <c r="M1688" s="1">
        <v>45231</v>
      </c>
      <c r="N1688" s="1">
        <v>45411</v>
      </c>
      <c r="O1688" t="s">
        <v>238</v>
      </c>
      <c r="P1688" t="s">
        <v>12128</v>
      </c>
      <c r="R1688" t="s">
        <v>12129</v>
      </c>
      <c r="T1688" t="s">
        <v>12130</v>
      </c>
      <c r="U1688" t="s">
        <v>1598</v>
      </c>
      <c r="V1688" s="8" t="str">
        <f>"35555"</f>
        <v>35555</v>
      </c>
      <c r="W1688" t="s">
        <v>118</v>
      </c>
      <c r="Y1688" s="10">
        <v>12052700946</v>
      </c>
      <c r="AA1688">
        <v>11531</v>
      </c>
      <c r="AB1688" t="s">
        <v>12131</v>
      </c>
      <c r="AC1688" t="s">
        <v>9376</v>
      </c>
      <c r="AE1688" t="s">
        <v>629</v>
      </c>
      <c r="AF1688" t="s">
        <v>12129</v>
      </c>
      <c r="AG1688" t="s">
        <v>12132</v>
      </c>
      <c r="AH1688" t="s">
        <v>12130</v>
      </c>
      <c r="AI1688" t="s">
        <v>1598</v>
      </c>
      <c r="AJ1688" s="8" t="str">
        <f>"35555"</f>
        <v>35555</v>
      </c>
      <c r="AK1688" t="s">
        <v>118</v>
      </c>
      <c r="AM1688" s="10">
        <v>12052700946</v>
      </c>
      <c r="AO1688" t="s">
        <v>132</v>
      </c>
      <c r="AP1688" t="s">
        <v>248</v>
      </c>
      <c r="AQ1688" t="s">
        <v>577</v>
      </c>
      <c r="AR1688" t="s">
        <v>578</v>
      </c>
      <c r="AT1688" t="s">
        <v>579</v>
      </c>
      <c r="AV1688" t="s">
        <v>580</v>
      </c>
      <c r="AW1688" t="s">
        <v>581</v>
      </c>
      <c r="AX1688" s="8" t="str">
        <f>"22903"</f>
        <v>22903</v>
      </c>
      <c r="AY1688" t="s">
        <v>118</v>
      </c>
      <c r="BA1688" s="10">
        <v>14342634300</v>
      </c>
      <c r="BC1688" t="s">
        <v>1996</v>
      </c>
      <c r="BD1688" t="s">
        <v>583</v>
      </c>
      <c r="BG1688" t="s">
        <v>1598</v>
      </c>
      <c r="BH1688" s="1">
        <v>45140.833333333336</v>
      </c>
      <c r="BI1688">
        <v>35</v>
      </c>
      <c r="BJ1688">
        <v>0</v>
      </c>
      <c r="BK1688">
        <v>7</v>
      </c>
      <c r="BL1688">
        <v>7</v>
      </c>
      <c r="BM1688">
        <v>7</v>
      </c>
      <c r="BN1688">
        <v>7</v>
      </c>
      <c r="BO1688">
        <v>7</v>
      </c>
      <c r="BP1688">
        <v>0</v>
      </c>
      <c r="BQ1688" t="str">
        <f>"8:00 AM"</f>
        <v>8:00 AM</v>
      </c>
      <c r="BR1688" t="str">
        <f>"3:30 PM"</f>
        <v>3:30 PM</v>
      </c>
      <c r="BS1688" t="s">
        <v>131</v>
      </c>
      <c r="BT1688">
        <v>0</v>
      </c>
      <c r="BU1688">
        <v>0</v>
      </c>
      <c r="BV1688" t="s">
        <v>114</v>
      </c>
      <c r="BX1688" s="2" t="s">
        <v>12133</v>
      </c>
      <c r="BY1688" t="s">
        <v>12129</v>
      </c>
      <c r="CA1688" t="s">
        <v>12130</v>
      </c>
      <c r="CB1688" t="s">
        <v>1598</v>
      </c>
      <c r="CC1688" s="8" t="str">
        <f>"35555"</f>
        <v>35555</v>
      </c>
      <c r="CD1688" t="s">
        <v>2868</v>
      </c>
      <c r="CE1688" t="s">
        <v>12134</v>
      </c>
      <c r="CF1688" s="12">
        <v>16.2</v>
      </c>
      <c r="CH1688" s="12">
        <v>24.3</v>
      </c>
      <c r="CJ1688" t="s">
        <v>135</v>
      </c>
      <c r="CL1688" t="s">
        <v>12135</v>
      </c>
      <c r="CO1688" t="s">
        <v>132</v>
      </c>
      <c r="CP1688" t="s">
        <v>136</v>
      </c>
      <c r="CQ1688" t="s">
        <v>136</v>
      </c>
      <c r="CR1688" t="s">
        <v>136</v>
      </c>
      <c r="CS1688" t="s">
        <v>136</v>
      </c>
      <c r="CT1688" t="s">
        <v>136</v>
      </c>
      <c r="CU1688" t="s">
        <v>136</v>
      </c>
      <c r="CV1688" t="s">
        <v>12136</v>
      </c>
      <c r="CW1688" s="10" t="str">
        <f>"+12052700946"</f>
        <v>+12052700946</v>
      </c>
      <c r="CX1688" t="s">
        <v>132</v>
      </c>
      <c r="CY1688" t="s">
        <v>5884</v>
      </c>
      <c r="CZ1688" t="s">
        <v>137</v>
      </c>
      <c r="DA1688" t="s">
        <v>114</v>
      </c>
      <c r="DB1688" t="s">
        <v>136</v>
      </c>
      <c r="DC1688" t="s">
        <v>136</v>
      </c>
      <c r="DD1688" t="s">
        <v>114</v>
      </c>
      <c r="DE1688" t="s">
        <v>1998</v>
      </c>
      <c r="DF1688" t="s">
        <v>1999</v>
      </c>
      <c r="DH1688" t="s">
        <v>583</v>
      </c>
      <c r="DI1688" t="s">
        <v>1996</v>
      </c>
    </row>
    <row r="1689" spans="1:113" ht="15" customHeight="1" x14ac:dyDescent="0.25">
      <c r="A1689" t="s">
        <v>19473</v>
      </c>
      <c r="B1689" t="s">
        <v>152</v>
      </c>
      <c r="C1689" s="1">
        <v>45141.562089930558</v>
      </c>
      <c r="D1689" s="1">
        <v>45203</v>
      </c>
      <c r="E1689" t="s">
        <v>136</v>
      </c>
      <c r="F1689" t="s">
        <v>2512</v>
      </c>
      <c r="G1689" t="str">
        <f>"35-3031.00"</f>
        <v>35-3031.00</v>
      </c>
      <c r="H1689" t="s">
        <v>347</v>
      </c>
      <c r="I1689">
        <v>10</v>
      </c>
      <c r="J1689">
        <v>10</v>
      </c>
      <c r="K1689" s="1">
        <v>45231</v>
      </c>
      <c r="L1689" s="1">
        <v>45427</v>
      </c>
      <c r="M1689" s="1">
        <v>45231</v>
      </c>
      <c r="N1689" s="1">
        <v>45427</v>
      </c>
      <c r="O1689" t="s">
        <v>116</v>
      </c>
      <c r="P1689" t="s">
        <v>19474</v>
      </c>
      <c r="R1689" t="s">
        <v>19475</v>
      </c>
      <c r="T1689" t="s">
        <v>1614</v>
      </c>
      <c r="U1689" t="s">
        <v>140</v>
      </c>
      <c r="V1689" s="8" t="str">
        <f>"34102"</f>
        <v>34102</v>
      </c>
      <c r="W1689" t="s">
        <v>118</v>
      </c>
      <c r="Y1689" s="10">
        <v>12392626648</v>
      </c>
      <c r="AA1689">
        <v>71393</v>
      </c>
      <c r="AB1689" t="s">
        <v>3411</v>
      </c>
      <c r="AC1689" t="s">
        <v>19476</v>
      </c>
      <c r="AE1689" t="s">
        <v>1770</v>
      </c>
      <c r="AF1689" t="s">
        <v>19475</v>
      </c>
      <c r="AH1689" t="s">
        <v>1614</v>
      </c>
      <c r="AI1689" t="s">
        <v>140</v>
      </c>
      <c r="AJ1689" s="8" t="str">
        <f>"34102"</f>
        <v>34102</v>
      </c>
      <c r="AK1689" t="s">
        <v>118</v>
      </c>
      <c r="AM1689" s="10">
        <v>12392626648</v>
      </c>
      <c r="AO1689" t="s">
        <v>19477</v>
      </c>
      <c r="AP1689" t="s">
        <v>121</v>
      </c>
      <c r="AQ1689" t="s">
        <v>276</v>
      </c>
      <c r="AR1689" t="s">
        <v>277</v>
      </c>
      <c r="AS1689" t="s">
        <v>278</v>
      </c>
      <c r="AT1689" t="s">
        <v>279</v>
      </c>
      <c r="AU1689" t="s">
        <v>280</v>
      </c>
      <c r="AV1689" t="s">
        <v>281</v>
      </c>
      <c r="AW1689" t="s">
        <v>222</v>
      </c>
      <c r="AX1689" s="8" t="str">
        <f>"01701"</f>
        <v>01701</v>
      </c>
      <c r="AY1689" t="s">
        <v>118</v>
      </c>
      <c r="BA1689" s="10">
        <v>16179399444</v>
      </c>
      <c r="BC1689" t="s">
        <v>282</v>
      </c>
      <c r="BD1689" t="s">
        <v>283</v>
      </c>
      <c r="BE1689" t="s">
        <v>222</v>
      </c>
      <c r="BF1689" t="s">
        <v>284</v>
      </c>
      <c r="BG1689" t="s">
        <v>140</v>
      </c>
      <c r="BH1689" s="1">
        <v>45140.833333333336</v>
      </c>
      <c r="BI1689">
        <v>40</v>
      </c>
      <c r="BJ1689">
        <v>0</v>
      </c>
      <c r="BK1689">
        <v>8</v>
      </c>
      <c r="BL1689">
        <v>8</v>
      </c>
      <c r="BM1689">
        <v>8</v>
      </c>
      <c r="BN1689">
        <v>8</v>
      </c>
      <c r="BO1689">
        <v>8</v>
      </c>
      <c r="BP1689">
        <v>0</v>
      </c>
      <c r="BQ1689" t="str">
        <f>"7:00 AM"</f>
        <v>7:00 AM</v>
      </c>
      <c r="BR1689" t="str">
        <f>"3:00 PM"</f>
        <v>3:00 PM</v>
      </c>
      <c r="BS1689" t="s">
        <v>131</v>
      </c>
      <c r="BT1689">
        <v>0</v>
      </c>
      <c r="BU1689">
        <v>3</v>
      </c>
      <c r="BV1689" t="s">
        <v>114</v>
      </c>
      <c r="BX1689" s="2" t="s">
        <v>10551</v>
      </c>
      <c r="BY1689" t="s">
        <v>19475</v>
      </c>
      <c r="CA1689" t="s">
        <v>1614</v>
      </c>
      <c r="CB1689" t="s">
        <v>140</v>
      </c>
      <c r="CC1689" s="8" t="str">
        <f>"34102"</f>
        <v>34102</v>
      </c>
      <c r="CD1689" t="s">
        <v>1619</v>
      </c>
      <c r="CE1689" t="s">
        <v>1620</v>
      </c>
      <c r="CF1689" s="12">
        <v>25</v>
      </c>
      <c r="CH1689" s="12">
        <v>37.5</v>
      </c>
      <c r="CJ1689" t="s">
        <v>135</v>
      </c>
      <c r="CK1689" t="s">
        <v>19478</v>
      </c>
      <c r="CL1689" t="s">
        <v>19479</v>
      </c>
      <c r="CO1689" t="s">
        <v>132</v>
      </c>
      <c r="CP1689" t="s">
        <v>114</v>
      </c>
      <c r="CQ1689" t="s">
        <v>114</v>
      </c>
      <c r="CR1689" t="s">
        <v>136</v>
      </c>
      <c r="CS1689" t="s">
        <v>136</v>
      </c>
      <c r="CT1689" t="s">
        <v>136</v>
      </c>
      <c r="CU1689" t="s">
        <v>136</v>
      </c>
      <c r="CV1689" s="2" t="s">
        <v>19480</v>
      </c>
      <c r="CW1689" s="10" t="str">
        <f>"+12392626648"</f>
        <v>+12392626648</v>
      </c>
      <c r="CX1689" t="s">
        <v>19477</v>
      </c>
      <c r="CY1689" t="s">
        <v>132</v>
      </c>
      <c r="CZ1689" t="s">
        <v>137</v>
      </c>
      <c r="DA1689" t="s">
        <v>114</v>
      </c>
      <c r="DB1689" t="s">
        <v>114</v>
      </c>
      <c r="DC1689" t="s">
        <v>136</v>
      </c>
      <c r="DD1689" t="s">
        <v>114</v>
      </c>
    </row>
    <row r="1690" spans="1:113" ht="15" customHeight="1" x14ac:dyDescent="0.25">
      <c r="A1690" t="s">
        <v>22626</v>
      </c>
      <c r="B1690" t="s">
        <v>152</v>
      </c>
      <c r="C1690" s="1">
        <v>45141.527391319447</v>
      </c>
      <c r="D1690" s="1">
        <v>45203</v>
      </c>
      <c r="E1690" t="s">
        <v>114</v>
      </c>
      <c r="F1690" t="s">
        <v>4718</v>
      </c>
      <c r="G1690" t="str">
        <f>"37-2012.00"</f>
        <v>37-2012.00</v>
      </c>
      <c r="H1690" t="s">
        <v>205</v>
      </c>
      <c r="I1690">
        <v>8</v>
      </c>
      <c r="J1690">
        <v>8</v>
      </c>
      <c r="K1690" s="1">
        <v>45231</v>
      </c>
      <c r="L1690" s="1">
        <v>45408</v>
      </c>
      <c r="M1690" s="1">
        <v>45231</v>
      </c>
      <c r="N1690" s="1">
        <v>45408</v>
      </c>
      <c r="O1690" t="s">
        <v>116</v>
      </c>
      <c r="P1690" t="s">
        <v>22627</v>
      </c>
      <c r="Q1690" t="s">
        <v>22628</v>
      </c>
      <c r="R1690" t="s">
        <v>22629</v>
      </c>
      <c r="T1690" t="s">
        <v>22630</v>
      </c>
      <c r="U1690" t="s">
        <v>434</v>
      </c>
      <c r="V1690" s="8" t="str">
        <f>"15622"</f>
        <v>15622</v>
      </c>
      <c r="W1690" t="s">
        <v>118</v>
      </c>
      <c r="Y1690" s="10">
        <v>13034041800</v>
      </c>
      <c r="AA1690">
        <v>713920</v>
      </c>
      <c r="AB1690" t="s">
        <v>507</v>
      </c>
      <c r="AC1690" t="s">
        <v>508</v>
      </c>
      <c r="AE1690" t="s">
        <v>509</v>
      </c>
      <c r="AF1690" t="s">
        <v>510</v>
      </c>
      <c r="AH1690" t="s">
        <v>511</v>
      </c>
      <c r="AI1690" t="s">
        <v>188</v>
      </c>
      <c r="AJ1690" s="8" t="str">
        <f>"80021"</f>
        <v>80021</v>
      </c>
      <c r="AK1690" t="s">
        <v>118</v>
      </c>
      <c r="AM1690" s="10">
        <v>13034041800</v>
      </c>
      <c r="AO1690" t="s">
        <v>512</v>
      </c>
      <c r="AP1690" t="s">
        <v>121</v>
      </c>
      <c r="AQ1690" t="s">
        <v>513</v>
      </c>
      <c r="AR1690" t="s">
        <v>514</v>
      </c>
      <c r="AS1690" t="s">
        <v>515</v>
      </c>
      <c r="AT1690" t="s">
        <v>516</v>
      </c>
      <c r="AU1690" t="s">
        <v>517</v>
      </c>
      <c r="AV1690" t="s">
        <v>518</v>
      </c>
      <c r="AW1690" t="s">
        <v>402</v>
      </c>
      <c r="AX1690" s="8" t="str">
        <f>"90071"</f>
        <v>90071</v>
      </c>
      <c r="AY1690" t="s">
        <v>118</v>
      </c>
      <c r="BA1690" s="10">
        <v>13108203322</v>
      </c>
      <c r="BC1690" t="s">
        <v>519</v>
      </c>
      <c r="BD1690" t="s">
        <v>520</v>
      </c>
      <c r="BE1690" t="s">
        <v>188</v>
      </c>
      <c r="BF1690" t="s">
        <v>172</v>
      </c>
      <c r="BG1690" t="s">
        <v>434</v>
      </c>
      <c r="BH1690" s="1">
        <v>45138.833333333336</v>
      </c>
      <c r="BI1690">
        <v>35</v>
      </c>
      <c r="BJ1690">
        <v>5</v>
      </c>
      <c r="BK1690">
        <v>5</v>
      </c>
      <c r="BL1690">
        <v>5</v>
      </c>
      <c r="BM1690">
        <v>5</v>
      </c>
      <c r="BN1690">
        <v>5</v>
      </c>
      <c r="BO1690">
        <v>5</v>
      </c>
      <c r="BP1690">
        <v>5</v>
      </c>
      <c r="BQ1690" t="str">
        <f>"8:00 AM"</f>
        <v>8:00 AM</v>
      </c>
      <c r="BR1690" t="str">
        <f>"5:00 PM"</f>
        <v>5:00 PM</v>
      </c>
      <c r="BS1690" t="s">
        <v>131</v>
      </c>
      <c r="BT1690">
        <v>0</v>
      </c>
      <c r="BU1690">
        <v>12</v>
      </c>
      <c r="BV1690" t="s">
        <v>114</v>
      </c>
      <c r="BX1690" s="2" t="s">
        <v>6533</v>
      </c>
      <c r="BY1690" t="s">
        <v>22629</v>
      </c>
      <c r="CA1690" t="s">
        <v>22630</v>
      </c>
      <c r="CB1690" t="s">
        <v>434</v>
      </c>
      <c r="CC1690" s="8" t="str">
        <f>"15622"</f>
        <v>15622</v>
      </c>
      <c r="CD1690" t="s">
        <v>1947</v>
      </c>
      <c r="CE1690" t="s">
        <v>10885</v>
      </c>
      <c r="CF1690" s="12">
        <v>22</v>
      </c>
      <c r="CH1690" s="12">
        <v>33</v>
      </c>
      <c r="CJ1690" t="s">
        <v>135</v>
      </c>
      <c r="CK1690" t="s">
        <v>1094</v>
      </c>
      <c r="CL1690" t="s">
        <v>22631</v>
      </c>
      <c r="CO1690" t="s">
        <v>132</v>
      </c>
      <c r="CP1690" t="s">
        <v>114</v>
      </c>
      <c r="CQ1690" t="s">
        <v>114</v>
      </c>
      <c r="CR1690" t="s">
        <v>136</v>
      </c>
      <c r="CS1690" t="s">
        <v>114</v>
      </c>
      <c r="CT1690" t="s">
        <v>136</v>
      </c>
      <c r="CU1690" t="s">
        <v>136</v>
      </c>
      <c r="CV1690" s="2" t="s">
        <v>22632</v>
      </c>
      <c r="CW1690" s="10" t="str">
        <f>"+13034041800"</f>
        <v>+13034041800</v>
      </c>
      <c r="CX1690" t="s">
        <v>512</v>
      </c>
      <c r="CY1690" t="s">
        <v>132</v>
      </c>
      <c r="CZ1690" t="s">
        <v>137</v>
      </c>
      <c r="DA1690" t="s">
        <v>114</v>
      </c>
      <c r="DB1690" t="s">
        <v>114</v>
      </c>
      <c r="DC1690" t="s">
        <v>136</v>
      </c>
      <c r="DD1690" t="s">
        <v>114</v>
      </c>
      <c r="DE1690" t="s">
        <v>527</v>
      </c>
      <c r="DF1690" t="s">
        <v>528</v>
      </c>
      <c r="DG1690" t="s">
        <v>732</v>
      </c>
      <c r="DH1690" t="s">
        <v>733</v>
      </c>
      <c r="DI1690" t="s">
        <v>529</v>
      </c>
    </row>
    <row r="1691" spans="1:113" ht="15" customHeight="1" x14ac:dyDescent="0.25">
      <c r="A1691" t="s">
        <v>17216</v>
      </c>
      <c r="B1691" t="s">
        <v>152</v>
      </c>
      <c r="C1691" s="1">
        <v>45141.480006712962</v>
      </c>
      <c r="D1691" s="1">
        <v>45203</v>
      </c>
      <c r="E1691" t="s">
        <v>136</v>
      </c>
      <c r="F1691" t="s">
        <v>2512</v>
      </c>
      <c r="G1691" t="str">
        <f>"35-3031.00"</f>
        <v>35-3031.00</v>
      </c>
      <c r="H1691" t="s">
        <v>347</v>
      </c>
      <c r="I1691">
        <v>10</v>
      </c>
      <c r="J1691">
        <v>10</v>
      </c>
      <c r="K1691" s="1">
        <v>45231</v>
      </c>
      <c r="L1691" s="1">
        <v>45412</v>
      </c>
      <c r="M1691" s="1">
        <v>45231</v>
      </c>
      <c r="N1691" s="1">
        <v>45412</v>
      </c>
      <c r="O1691" t="s">
        <v>116</v>
      </c>
      <c r="P1691" t="s">
        <v>15859</v>
      </c>
      <c r="R1691" t="s">
        <v>15860</v>
      </c>
      <c r="T1691" t="s">
        <v>350</v>
      </c>
      <c r="U1691" t="s">
        <v>140</v>
      </c>
      <c r="V1691" s="8" t="str">
        <f>"33928"</f>
        <v>33928</v>
      </c>
      <c r="W1691" t="s">
        <v>118</v>
      </c>
      <c r="Y1691" s="10">
        <v>12399484331</v>
      </c>
      <c r="AA1691">
        <v>713910</v>
      </c>
      <c r="AB1691" t="s">
        <v>824</v>
      </c>
      <c r="AC1691" t="s">
        <v>2849</v>
      </c>
      <c r="AE1691" t="s">
        <v>1349</v>
      </c>
      <c r="AF1691" t="s">
        <v>15860</v>
      </c>
      <c r="AH1691" t="s">
        <v>350</v>
      </c>
      <c r="AI1691" t="s">
        <v>140</v>
      </c>
      <c r="AJ1691" s="8" t="str">
        <f>"33928"</f>
        <v>33928</v>
      </c>
      <c r="AK1691" t="s">
        <v>118</v>
      </c>
      <c r="AM1691" s="10">
        <v>12399484331</v>
      </c>
      <c r="AO1691" t="s">
        <v>15861</v>
      </c>
      <c r="AP1691" t="s">
        <v>121</v>
      </c>
      <c r="AQ1691" t="s">
        <v>276</v>
      </c>
      <c r="AR1691" t="s">
        <v>277</v>
      </c>
      <c r="AS1691" t="s">
        <v>278</v>
      </c>
      <c r="AT1691" t="s">
        <v>279</v>
      </c>
      <c r="AU1691" t="s">
        <v>280</v>
      </c>
      <c r="AV1691" t="s">
        <v>281</v>
      </c>
      <c r="AW1691" t="s">
        <v>222</v>
      </c>
      <c r="AX1691" s="8" t="str">
        <f>"01701"</f>
        <v>01701</v>
      </c>
      <c r="AY1691" t="s">
        <v>118</v>
      </c>
      <c r="BA1691" s="10">
        <v>16179399444</v>
      </c>
      <c r="BC1691" t="s">
        <v>282</v>
      </c>
      <c r="BD1691" t="s">
        <v>283</v>
      </c>
      <c r="BE1691" t="s">
        <v>222</v>
      </c>
      <c r="BF1691" t="s">
        <v>284</v>
      </c>
      <c r="BG1691" t="s">
        <v>140</v>
      </c>
      <c r="BH1691" s="1">
        <v>45140.833333333336</v>
      </c>
      <c r="BI1691">
        <v>40</v>
      </c>
      <c r="BJ1691">
        <v>0</v>
      </c>
      <c r="BK1691">
        <v>8</v>
      </c>
      <c r="BL1691">
        <v>8</v>
      </c>
      <c r="BM1691">
        <v>8</v>
      </c>
      <c r="BN1691">
        <v>8</v>
      </c>
      <c r="BO1691">
        <v>8</v>
      </c>
      <c r="BP1691">
        <v>0</v>
      </c>
      <c r="BQ1691" t="str">
        <f>"8:00 AM"</f>
        <v>8:00 AM</v>
      </c>
      <c r="BR1691" t="str">
        <f>"4:00 PM"</f>
        <v>4:00 PM</v>
      </c>
      <c r="BS1691" t="s">
        <v>131</v>
      </c>
      <c r="BT1691">
        <v>0</v>
      </c>
      <c r="BU1691">
        <v>3</v>
      </c>
      <c r="BV1691" t="s">
        <v>114</v>
      </c>
      <c r="BX1691" s="2" t="s">
        <v>17217</v>
      </c>
      <c r="BY1691" t="s">
        <v>15863</v>
      </c>
      <c r="CA1691" t="s">
        <v>350</v>
      </c>
      <c r="CB1691" t="s">
        <v>140</v>
      </c>
      <c r="CC1691" s="8" t="str">
        <f>"33928"</f>
        <v>33928</v>
      </c>
      <c r="CD1691" t="s">
        <v>362</v>
      </c>
      <c r="CE1691" t="s">
        <v>363</v>
      </c>
      <c r="CF1691" s="12">
        <v>15.7</v>
      </c>
      <c r="CH1691" s="12">
        <v>23.55</v>
      </c>
      <c r="CJ1691" t="s">
        <v>135</v>
      </c>
      <c r="CK1691" t="s">
        <v>17218</v>
      </c>
      <c r="CL1691" t="s">
        <v>17219</v>
      </c>
      <c r="CO1691" t="s">
        <v>132</v>
      </c>
      <c r="CP1691" t="s">
        <v>114</v>
      </c>
      <c r="CQ1691" t="s">
        <v>136</v>
      </c>
      <c r="CR1691" t="s">
        <v>136</v>
      </c>
      <c r="CS1691" t="s">
        <v>136</v>
      </c>
      <c r="CT1691" t="s">
        <v>136</v>
      </c>
      <c r="CU1691" t="s">
        <v>136</v>
      </c>
      <c r="CV1691" s="2" t="s">
        <v>15866</v>
      </c>
      <c r="CW1691" s="10" t="str">
        <f>"+12399484331"</f>
        <v>+12399484331</v>
      </c>
      <c r="CX1691" t="s">
        <v>15867</v>
      </c>
      <c r="CY1691" t="s">
        <v>132</v>
      </c>
      <c r="CZ1691" t="s">
        <v>137</v>
      </c>
      <c r="DA1691" t="s">
        <v>114</v>
      </c>
      <c r="DB1691" t="s">
        <v>114</v>
      </c>
      <c r="DC1691" t="s">
        <v>136</v>
      </c>
      <c r="DD1691" t="s">
        <v>114</v>
      </c>
    </row>
    <row r="1692" spans="1:113" ht="15" customHeight="1" x14ac:dyDescent="0.25">
      <c r="A1692" t="s">
        <v>15858</v>
      </c>
      <c r="B1692" t="s">
        <v>152</v>
      </c>
      <c r="C1692" s="1">
        <v>45141.477206134259</v>
      </c>
      <c r="D1692" s="1">
        <v>45203</v>
      </c>
      <c r="E1692" t="s">
        <v>136</v>
      </c>
      <c r="F1692" t="s">
        <v>1059</v>
      </c>
      <c r="G1692" t="str">
        <f>"35-2014.00"</f>
        <v>35-2014.00</v>
      </c>
      <c r="H1692" t="s">
        <v>154</v>
      </c>
      <c r="I1692">
        <v>10</v>
      </c>
      <c r="J1692">
        <v>10</v>
      </c>
      <c r="K1692" s="1">
        <v>45231</v>
      </c>
      <c r="L1692" s="1">
        <v>45412</v>
      </c>
      <c r="M1692" s="1">
        <v>45231</v>
      </c>
      <c r="N1692" s="1">
        <v>45412</v>
      </c>
      <c r="O1692" t="s">
        <v>116</v>
      </c>
      <c r="P1692" t="s">
        <v>15859</v>
      </c>
      <c r="R1692" t="s">
        <v>15860</v>
      </c>
      <c r="T1692" t="s">
        <v>350</v>
      </c>
      <c r="U1692" t="s">
        <v>140</v>
      </c>
      <c r="V1692" s="8" t="str">
        <f>"33928"</f>
        <v>33928</v>
      </c>
      <c r="W1692" t="s">
        <v>118</v>
      </c>
      <c r="Y1692" s="10">
        <v>12399484331</v>
      </c>
      <c r="AA1692">
        <v>713910</v>
      </c>
      <c r="AB1692" t="s">
        <v>824</v>
      </c>
      <c r="AC1692" t="s">
        <v>2849</v>
      </c>
      <c r="AE1692" t="s">
        <v>1349</v>
      </c>
      <c r="AF1692" t="s">
        <v>15860</v>
      </c>
      <c r="AH1692" t="s">
        <v>350</v>
      </c>
      <c r="AI1692" t="s">
        <v>140</v>
      </c>
      <c r="AJ1692" s="8" t="str">
        <f>"33928"</f>
        <v>33928</v>
      </c>
      <c r="AK1692" t="s">
        <v>118</v>
      </c>
      <c r="AM1692" s="10">
        <v>12399484331</v>
      </c>
      <c r="AO1692" t="s">
        <v>15861</v>
      </c>
      <c r="AP1692" t="s">
        <v>121</v>
      </c>
      <c r="AQ1692" t="s">
        <v>276</v>
      </c>
      <c r="AR1692" t="s">
        <v>277</v>
      </c>
      <c r="AS1692" t="s">
        <v>278</v>
      </c>
      <c r="AT1692" t="s">
        <v>279</v>
      </c>
      <c r="AU1692" t="s">
        <v>280</v>
      </c>
      <c r="AV1692" t="s">
        <v>281</v>
      </c>
      <c r="AW1692" t="s">
        <v>222</v>
      </c>
      <c r="AX1692" s="8" t="str">
        <f>"01701"</f>
        <v>01701</v>
      </c>
      <c r="AY1692" t="s">
        <v>118</v>
      </c>
      <c r="BA1692" s="10">
        <v>16179399444</v>
      </c>
      <c r="BC1692" t="s">
        <v>282</v>
      </c>
      <c r="BD1692" t="s">
        <v>283</v>
      </c>
      <c r="BE1692" t="s">
        <v>222</v>
      </c>
      <c r="BF1692" t="s">
        <v>284</v>
      </c>
      <c r="BG1692" t="s">
        <v>140</v>
      </c>
      <c r="BH1692" s="1">
        <v>45140.833333333336</v>
      </c>
      <c r="BI1692">
        <v>40</v>
      </c>
      <c r="BJ1692">
        <v>0</v>
      </c>
      <c r="BK1692">
        <v>8</v>
      </c>
      <c r="BL1692">
        <v>8</v>
      </c>
      <c r="BM1692">
        <v>8</v>
      </c>
      <c r="BN1692">
        <v>8</v>
      </c>
      <c r="BO1692">
        <v>8</v>
      </c>
      <c r="BP1692">
        <v>0</v>
      </c>
      <c r="BQ1692" t="str">
        <f>"8:00 AM"</f>
        <v>8:00 AM</v>
      </c>
      <c r="BR1692" t="str">
        <f>"4:00 PM"</f>
        <v>4:00 PM</v>
      </c>
      <c r="BS1692" t="s">
        <v>131</v>
      </c>
      <c r="BT1692">
        <v>0</v>
      </c>
      <c r="BU1692">
        <v>6</v>
      </c>
      <c r="BV1692" t="s">
        <v>114</v>
      </c>
      <c r="BX1692" s="2" t="s">
        <v>15862</v>
      </c>
      <c r="BY1692" t="s">
        <v>15863</v>
      </c>
      <c r="CA1692" t="s">
        <v>350</v>
      </c>
      <c r="CB1692" t="s">
        <v>140</v>
      </c>
      <c r="CC1692" s="8" t="str">
        <f>"33928"</f>
        <v>33928</v>
      </c>
      <c r="CD1692" t="s">
        <v>362</v>
      </c>
      <c r="CE1692" t="s">
        <v>363</v>
      </c>
      <c r="CF1692" s="12">
        <v>16.07</v>
      </c>
      <c r="CG1692" s="12">
        <v>22.5</v>
      </c>
      <c r="CH1692" s="12">
        <v>24.11</v>
      </c>
      <c r="CI1692" s="12">
        <v>33.75</v>
      </c>
      <c r="CJ1692" t="s">
        <v>135</v>
      </c>
      <c r="CK1692" t="s">
        <v>15864</v>
      </c>
      <c r="CL1692" t="s">
        <v>15865</v>
      </c>
      <c r="CO1692" t="s">
        <v>132</v>
      </c>
      <c r="CP1692" t="s">
        <v>114</v>
      </c>
      <c r="CQ1692" t="s">
        <v>136</v>
      </c>
      <c r="CR1692" t="s">
        <v>136</v>
      </c>
      <c r="CS1692" t="s">
        <v>136</v>
      </c>
      <c r="CT1692" t="s">
        <v>136</v>
      </c>
      <c r="CU1692" t="s">
        <v>136</v>
      </c>
      <c r="CV1692" s="2" t="s">
        <v>15866</v>
      </c>
      <c r="CW1692" s="10" t="str">
        <f>"+12399484331"</f>
        <v>+12399484331</v>
      </c>
      <c r="CX1692" t="s">
        <v>15867</v>
      </c>
      <c r="CY1692" t="s">
        <v>132</v>
      </c>
      <c r="CZ1692" t="s">
        <v>137</v>
      </c>
      <c r="DA1692" t="s">
        <v>114</v>
      </c>
      <c r="DB1692" t="s">
        <v>114</v>
      </c>
      <c r="DC1692" t="s">
        <v>136</v>
      </c>
      <c r="DD1692" t="s">
        <v>114</v>
      </c>
    </row>
    <row r="1693" spans="1:113" ht="15" customHeight="1" x14ac:dyDescent="0.25">
      <c r="A1693" t="s">
        <v>19260</v>
      </c>
      <c r="B1693" t="s">
        <v>152</v>
      </c>
      <c r="C1693" s="1">
        <v>45141.463387731485</v>
      </c>
      <c r="D1693" s="1">
        <v>45203</v>
      </c>
      <c r="E1693" t="s">
        <v>114</v>
      </c>
      <c r="F1693" t="s">
        <v>19261</v>
      </c>
      <c r="G1693" t="str">
        <f>"45-3031.00"</f>
        <v>45-3031.00</v>
      </c>
      <c r="H1693" t="s">
        <v>3729</v>
      </c>
      <c r="I1693">
        <v>28</v>
      </c>
      <c r="J1693">
        <v>28</v>
      </c>
      <c r="K1693" s="1">
        <v>45231</v>
      </c>
      <c r="L1693" s="1">
        <v>45444</v>
      </c>
      <c r="M1693" s="1">
        <v>45231</v>
      </c>
      <c r="N1693" s="1">
        <v>45444</v>
      </c>
      <c r="O1693" t="s">
        <v>238</v>
      </c>
      <c r="P1693" t="s">
        <v>1574</v>
      </c>
      <c r="R1693" t="s">
        <v>1575</v>
      </c>
      <c r="S1693" t="s">
        <v>1576</v>
      </c>
      <c r="T1693" t="s">
        <v>1577</v>
      </c>
      <c r="U1693" t="s">
        <v>127</v>
      </c>
      <c r="V1693" s="8" t="str">
        <f>"77457"</f>
        <v>77457</v>
      </c>
      <c r="W1693" t="s">
        <v>118</v>
      </c>
      <c r="Y1693" s="10">
        <v>19798637563</v>
      </c>
      <c r="AA1693">
        <v>31171</v>
      </c>
      <c r="AB1693" t="s">
        <v>1578</v>
      </c>
      <c r="AC1693" t="s">
        <v>1579</v>
      </c>
      <c r="AE1693" t="s">
        <v>1580</v>
      </c>
      <c r="AF1693" t="s">
        <v>1575</v>
      </c>
      <c r="AG1693" t="s">
        <v>1576</v>
      </c>
      <c r="AH1693" t="s">
        <v>1577</v>
      </c>
      <c r="AI1693" t="s">
        <v>127</v>
      </c>
      <c r="AJ1693" s="8" t="str">
        <f>"77457"</f>
        <v>77457</v>
      </c>
      <c r="AK1693" t="s">
        <v>118</v>
      </c>
      <c r="AM1693" s="10">
        <v>19798637563</v>
      </c>
      <c r="AO1693" t="s">
        <v>1581</v>
      </c>
      <c r="AP1693" t="s">
        <v>248</v>
      </c>
      <c r="AQ1693" t="s">
        <v>1582</v>
      </c>
      <c r="AR1693" t="s">
        <v>1583</v>
      </c>
      <c r="AS1693" t="s">
        <v>631</v>
      </c>
      <c r="AT1693" t="s">
        <v>1584</v>
      </c>
      <c r="AU1693" t="s">
        <v>132</v>
      </c>
      <c r="AV1693" t="s">
        <v>1585</v>
      </c>
      <c r="AW1693" t="s">
        <v>127</v>
      </c>
      <c r="AX1693" s="8" t="str">
        <f>"77414"</f>
        <v>77414</v>
      </c>
      <c r="AY1693" t="s">
        <v>118</v>
      </c>
      <c r="BA1693" s="10">
        <v>19793187280</v>
      </c>
      <c r="BC1693" t="s">
        <v>1586</v>
      </c>
      <c r="BD1693" t="s">
        <v>1587</v>
      </c>
      <c r="BG1693" t="s">
        <v>127</v>
      </c>
      <c r="BH1693" s="1">
        <v>45140.833333333336</v>
      </c>
      <c r="BI1693">
        <v>35</v>
      </c>
      <c r="BJ1693">
        <v>0</v>
      </c>
      <c r="BK1693">
        <v>7</v>
      </c>
      <c r="BL1693">
        <v>7</v>
      </c>
      <c r="BM1693">
        <v>7</v>
      </c>
      <c r="BN1693">
        <v>7</v>
      </c>
      <c r="BO1693">
        <v>7</v>
      </c>
      <c r="BP1693">
        <v>0</v>
      </c>
      <c r="BQ1693" t="str">
        <f>"7:00 AM"</f>
        <v>7:00 AM</v>
      </c>
      <c r="BR1693" t="str">
        <f>"2:00 PM"</f>
        <v>2:00 PM</v>
      </c>
      <c r="BS1693" t="s">
        <v>131</v>
      </c>
      <c r="BT1693">
        <v>0</v>
      </c>
      <c r="BU1693">
        <v>0</v>
      </c>
      <c r="BV1693" t="s">
        <v>114</v>
      </c>
      <c r="BX1693" s="2" t="s">
        <v>19262</v>
      </c>
      <c r="BY1693" t="s">
        <v>1575</v>
      </c>
      <c r="BZ1693" t="s">
        <v>132</v>
      </c>
      <c r="CA1693" t="s">
        <v>1577</v>
      </c>
      <c r="CB1693" t="s">
        <v>127</v>
      </c>
      <c r="CC1693" s="8" t="str">
        <f>"77457"</f>
        <v>77457</v>
      </c>
      <c r="CD1693" t="s">
        <v>1589</v>
      </c>
      <c r="CE1693" t="s">
        <v>1590</v>
      </c>
      <c r="CF1693" s="12">
        <v>17.399999999999999</v>
      </c>
      <c r="CH1693" s="12">
        <v>26.1</v>
      </c>
      <c r="CJ1693" t="s">
        <v>135</v>
      </c>
      <c r="CK1693" t="s">
        <v>19263</v>
      </c>
      <c r="CL1693" t="s">
        <v>19264</v>
      </c>
      <c r="CO1693" t="s">
        <v>132</v>
      </c>
      <c r="CP1693" t="s">
        <v>136</v>
      </c>
      <c r="CQ1693" t="s">
        <v>136</v>
      </c>
      <c r="CR1693" t="s">
        <v>136</v>
      </c>
      <c r="CS1693" t="s">
        <v>136</v>
      </c>
      <c r="CT1693" t="s">
        <v>136</v>
      </c>
      <c r="CU1693" t="s">
        <v>136</v>
      </c>
      <c r="CV1693" t="s">
        <v>1593</v>
      </c>
      <c r="CW1693" s="10" t="str">
        <f>"+19798637563"</f>
        <v>+19798637563</v>
      </c>
      <c r="CX1693" t="s">
        <v>1581</v>
      </c>
      <c r="CY1693" t="s">
        <v>132</v>
      </c>
      <c r="CZ1693" t="s">
        <v>137</v>
      </c>
      <c r="DA1693" t="s">
        <v>114</v>
      </c>
      <c r="DB1693" t="s">
        <v>114</v>
      </c>
      <c r="DC1693" t="s">
        <v>136</v>
      </c>
      <c r="DD1693" t="s">
        <v>114</v>
      </c>
    </row>
    <row r="1694" spans="1:113" ht="15" customHeight="1" x14ac:dyDescent="0.25">
      <c r="A1694" t="s">
        <v>23487</v>
      </c>
      <c r="B1694" t="s">
        <v>152</v>
      </c>
      <c r="C1694" s="1">
        <v>45141.420355787035</v>
      </c>
      <c r="D1694" s="1">
        <v>45203</v>
      </c>
      <c r="E1694" t="s">
        <v>114</v>
      </c>
      <c r="F1694" t="s">
        <v>4218</v>
      </c>
      <c r="G1694" t="str">
        <f>"49-9098.00"</f>
        <v>49-9098.00</v>
      </c>
      <c r="H1694" t="s">
        <v>945</v>
      </c>
      <c r="I1694">
        <v>15</v>
      </c>
      <c r="J1694">
        <v>15</v>
      </c>
      <c r="K1694" s="1">
        <v>45231</v>
      </c>
      <c r="L1694" s="1">
        <v>45444</v>
      </c>
      <c r="M1694" s="1">
        <v>45231</v>
      </c>
      <c r="N1694" s="1">
        <v>45444</v>
      </c>
      <c r="O1694" t="s">
        <v>238</v>
      </c>
      <c r="P1694" t="s">
        <v>12689</v>
      </c>
      <c r="Q1694" t="s">
        <v>12689</v>
      </c>
      <c r="R1694" t="s">
        <v>12690</v>
      </c>
      <c r="T1694" t="s">
        <v>12691</v>
      </c>
      <c r="U1694" t="s">
        <v>117</v>
      </c>
      <c r="V1694" s="8" t="str">
        <f>"60004"</f>
        <v>60004</v>
      </c>
      <c r="W1694" t="s">
        <v>118</v>
      </c>
      <c r="Y1694" s="10">
        <v>18472599090</v>
      </c>
      <c r="Z1694">
        <v>0</v>
      </c>
      <c r="AA1694">
        <v>7139</v>
      </c>
      <c r="AB1694" t="s">
        <v>3274</v>
      </c>
      <c r="AC1694" t="s">
        <v>6232</v>
      </c>
      <c r="AE1694" t="s">
        <v>378</v>
      </c>
      <c r="AF1694" t="s">
        <v>12690</v>
      </c>
      <c r="AH1694" t="s">
        <v>12691</v>
      </c>
      <c r="AI1694" t="s">
        <v>117</v>
      </c>
      <c r="AJ1694" s="8" t="str">
        <f>"60004"</f>
        <v>60004</v>
      </c>
      <c r="AK1694" t="s">
        <v>118</v>
      </c>
      <c r="AM1694" s="10">
        <v>18472599090</v>
      </c>
      <c r="AN1694">
        <v>0</v>
      </c>
      <c r="AO1694" t="s">
        <v>12692</v>
      </c>
      <c r="AP1694" t="s">
        <v>121</v>
      </c>
      <c r="AQ1694" t="s">
        <v>1718</v>
      </c>
      <c r="AR1694" t="s">
        <v>708</v>
      </c>
      <c r="AS1694" t="s">
        <v>1719</v>
      </c>
      <c r="AT1694" t="s">
        <v>1720</v>
      </c>
      <c r="AU1694" t="s">
        <v>799</v>
      </c>
      <c r="AV1694" t="s">
        <v>1721</v>
      </c>
      <c r="AW1694" t="s">
        <v>1722</v>
      </c>
      <c r="AX1694" s="8" t="str">
        <f>"21401"</f>
        <v>21401</v>
      </c>
      <c r="AY1694" t="s">
        <v>118</v>
      </c>
      <c r="BA1694" s="10">
        <v>14105739955</v>
      </c>
      <c r="BB1694">
        <v>0</v>
      </c>
      <c r="BC1694" t="s">
        <v>1723</v>
      </c>
      <c r="BD1694" t="s">
        <v>1724</v>
      </c>
      <c r="BE1694" t="s">
        <v>1722</v>
      </c>
      <c r="BF1694" t="s">
        <v>1725</v>
      </c>
      <c r="BG1694" t="s">
        <v>117</v>
      </c>
      <c r="BH1694" s="1">
        <v>45138.833333333336</v>
      </c>
      <c r="BI1694">
        <v>35</v>
      </c>
      <c r="BJ1694">
        <v>0</v>
      </c>
      <c r="BK1694">
        <v>7</v>
      </c>
      <c r="BL1694">
        <v>7</v>
      </c>
      <c r="BM1694">
        <v>7</v>
      </c>
      <c r="BN1694">
        <v>7</v>
      </c>
      <c r="BO1694">
        <v>7</v>
      </c>
      <c r="BP1694">
        <v>0</v>
      </c>
      <c r="BQ1694" t="str">
        <f>"8:30 AM"</f>
        <v>8:30 AM</v>
      </c>
      <c r="BR1694" t="str">
        <f>"5:00 PM"</f>
        <v>5:00 PM</v>
      </c>
      <c r="BS1694" t="s">
        <v>131</v>
      </c>
      <c r="BT1694">
        <v>0</v>
      </c>
      <c r="BU1694">
        <v>0</v>
      </c>
      <c r="BV1694" t="s">
        <v>114</v>
      </c>
      <c r="BX1694" s="2" t="s">
        <v>23488</v>
      </c>
      <c r="BY1694" t="s">
        <v>23489</v>
      </c>
      <c r="CA1694" t="s">
        <v>12693</v>
      </c>
      <c r="CB1694" t="s">
        <v>117</v>
      </c>
      <c r="CC1694" s="8" t="str">
        <f>"60468"</f>
        <v>60468</v>
      </c>
      <c r="CD1694" t="s">
        <v>133</v>
      </c>
      <c r="CE1694" t="s">
        <v>134</v>
      </c>
      <c r="CF1694" s="12">
        <v>17.05</v>
      </c>
      <c r="CG1694" s="12">
        <v>17.05</v>
      </c>
      <c r="CJ1694" t="s">
        <v>135</v>
      </c>
      <c r="CK1694" t="s">
        <v>4224</v>
      </c>
      <c r="CL1694" t="s">
        <v>23490</v>
      </c>
      <c r="CO1694" t="s">
        <v>132</v>
      </c>
      <c r="CP1694" t="s">
        <v>136</v>
      </c>
      <c r="CQ1694" t="s">
        <v>114</v>
      </c>
      <c r="CR1694" t="s">
        <v>114</v>
      </c>
      <c r="CS1694" t="s">
        <v>114</v>
      </c>
      <c r="CT1694" t="s">
        <v>136</v>
      </c>
      <c r="CU1694" t="s">
        <v>136</v>
      </c>
      <c r="CV1694" t="s">
        <v>23491</v>
      </c>
      <c r="CW1694" s="10" t="str">
        <f>"N/A"</f>
        <v>N/A</v>
      </c>
      <c r="CX1694" t="s">
        <v>12692</v>
      </c>
      <c r="CY1694" t="s">
        <v>12694</v>
      </c>
      <c r="CZ1694" t="s">
        <v>137</v>
      </c>
      <c r="DA1694" t="s">
        <v>114</v>
      </c>
      <c r="DB1694" t="s">
        <v>136</v>
      </c>
      <c r="DC1694" t="s">
        <v>136</v>
      </c>
      <c r="DD1694" t="s">
        <v>114</v>
      </c>
    </row>
    <row r="1695" spans="1:113" ht="15" customHeight="1" x14ac:dyDescent="0.25">
      <c r="A1695" t="s">
        <v>20617</v>
      </c>
      <c r="B1695" t="s">
        <v>152</v>
      </c>
      <c r="C1695" s="1">
        <v>45141.3661931713</v>
      </c>
      <c r="D1695" s="1">
        <v>45203</v>
      </c>
      <c r="E1695" t="s">
        <v>136</v>
      </c>
      <c r="F1695" t="s">
        <v>20618</v>
      </c>
      <c r="G1695" t="str">
        <f>"37-3013.00"</f>
        <v>37-3013.00</v>
      </c>
      <c r="H1695" t="s">
        <v>666</v>
      </c>
      <c r="I1695">
        <v>17</v>
      </c>
      <c r="J1695">
        <v>17</v>
      </c>
      <c r="K1695" s="1">
        <v>45231</v>
      </c>
      <c r="L1695" s="1">
        <v>45397</v>
      </c>
      <c r="M1695" s="1">
        <v>45231</v>
      </c>
      <c r="N1695" s="1">
        <v>45397</v>
      </c>
      <c r="O1695" t="s">
        <v>116</v>
      </c>
      <c r="P1695" t="s">
        <v>20619</v>
      </c>
      <c r="Q1695" t="s">
        <v>20620</v>
      </c>
      <c r="R1695" t="s">
        <v>20621</v>
      </c>
      <c r="T1695" t="s">
        <v>3270</v>
      </c>
      <c r="U1695" t="s">
        <v>117</v>
      </c>
      <c r="V1695" s="8" t="str">
        <f>"62240"</f>
        <v>62240</v>
      </c>
      <c r="W1695" t="s">
        <v>118</v>
      </c>
      <c r="Y1695" s="10">
        <v>13145754617</v>
      </c>
      <c r="AA1695">
        <v>5617</v>
      </c>
      <c r="AB1695" t="s">
        <v>3268</v>
      </c>
      <c r="AC1695" t="s">
        <v>486</v>
      </c>
      <c r="AE1695" t="s">
        <v>561</v>
      </c>
      <c r="AF1695" t="s">
        <v>3266</v>
      </c>
      <c r="AH1695" t="s">
        <v>3267</v>
      </c>
      <c r="AI1695" t="s">
        <v>117</v>
      </c>
      <c r="AJ1695" s="8" t="str">
        <f>"62240"</f>
        <v>62240</v>
      </c>
      <c r="AK1695" t="s">
        <v>118</v>
      </c>
      <c r="AM1695" s="10">
        <v>13145754617</v>
      </c>
      <c r="AO1695" t="s">
        <v>3269</v>
      </c>
      <c r="AP1695" t="s">
        <v>121</v>
      </c>
      <c r="AQ1695" t="s">
        <v>2123</v>
      </c>
      <c r="AR1695" t="s">
        <v>160</v>
      </c>
      <c r="AS1695" t="s">
        <v>962</v>
      </c>
      <c r="AT1695" t="s">
        <v>2124</v>
      </c>
      <c r="AU1695" t="s">
        <v>2125</v>
      </c>
      <c r="AV1695" t="s">
        <v>2126</v>
      </c>
      <c r="AW1695" t="s">
        <v>158</v>
      </c>
      <c r="AX1695" s="8" t="str">
        <f>"48084"</f>
        <v>48084</v>
      </c>
      <c r="AY1695" t="s">
        <v>118</v>
      </c>
      <c r="BA1695" s="10">
        <v>12482582506</v>
      </c>
      <c r="BC1695" t="s">
        <v>2127</v>
      </c>
      <c r="BD1695" t="s">
        <v>2128</v>
      </c>
      <c r="BE1695" t="s">
        <v>158</v>
      </c>
      <c r="BF1695" t="s">
        <v>172</v>
      </c>
      <c r="BG1695" t="s">
        <v>117</v>
      </c>
      <c r="BH1695" s="1">
        <v>45140.833333333336</v>
      </c>
      <c r="BI1695">
        <v>40</v>
      </c>
      <c r="BJ1695">
        <v>0</v>
      </c>
      <c r="BK1695">
        <v>8</v>
      </c>
      <c r="BL1695">
        <v>8</v>
      </c>
      <c r="BM1695">
        <v>8</v>
      </c>
      <c r="BN1695">
        <v>8</v>
      </c>
      <c r="BO1695">
        <v>8</v>
      </c>
      <c r="BP1695">
        <v>0</v>
      </c>
      <c r="BQ1695" t="str">
        <f>"8:00 AM"</f>
        <v>8:00 AM</v>
      </c>
      <c r="BR1695" t="str">
        <f>"4:00 PM"</f>
        <v>4:00 PM</v>
      </c>
      <c r="BS1695" t="s">
        <v>131</v>
      </c>
      <c r="BT1695">
        <v>0</v>
      </c>
      <c r="BU1695">
        <v>0</v>
      </c>
      <c r="BV1695" t="s">
        <v>114</v>
      </c>
      <c r="BX1695" s="2" t="s">
        <v>20622</v>
      </c>
      <c r="BY1695" t="s">
        <v>20623</v>
      </c>
      <c r="CA1695" t="s">
        <v>3270</v>
      </c>
      <c r="CB1695" t="s">
        <v>117</v>
      </c>
      <c r="CC1695" s="8" t="str">
        <f>"62240"</f>
        <v>62240</v>
      </c>
      <c r="CD1695" t="s">
        <v>3271</v>
      </c>
      <c r="CE1695" t="s">
        <v>1856</v>
      </c>
      <c r="CF1695" s="12">
        <v>22.8</v>
      </c>
      <c r="CG1695" s="12">
        <v>22.8</v>
      </c>
      <c r="CH1695" s="12">
        <v>34.200000000000003</v>
      </c>
      <c r="CI1695" s="12">
        <v>34.200000000000003</v>
      </c>
      <c r="CJ1695" t="s">
        <v>135</v>
      </c>
      <c r="CK1695" t="s">
        <v>2131</v>
      </c>
      <c r="CL1695" t="s">
        <v>20624</v>
      </c>
      <c r="CO1695" t="s">
        <v>132</v>
      </c>
      <c r="CP1695" t="s">
        <v>136</v>
      </c>
      <c r="CQ1695" t="s">
        <v>136</v>
      </c>
      <c r="CR1695" t="s">
        <v>136</v>
      </c>
      <c r="CS1695" t="s">
        <v>114</v>
      </c>
      <c r="CT1695" t="s">
        <v>136</v>
      </c>
      <c r="CU1695" t="s">
        <v>136</v>
      </c>
      <c r="CV1695" s="2" t="s">
        <v>20625</v>
      </c>
      <c r="CW1695" s="10" t="str">
        <f>"+13145754617"</f>
        <v>+13145754617</v>
      </c>
      <c r="CX1695" t="s">
        <v>20626</v>
      </c>
      <c r="CY1695" t="s">
        <v>132</v>
      </c>
      <c r="CZ1695" t="s">
        <v>137</v>
      </c>
      <c r="DA1695" t="s">
        <v>114</v>
      </c>
      <c r="DB1695" t="s">
        <v>136</v>
      </c>
      <c r="DC1695" t="s">
        <v>136</v>
      </c>
      <c r="DD1695" t="s">
        <v>114</v>
      </c>
    </row>
    <row r="1696" spans="1:113" ht="15" customHeight="1" x14ac:dyDescent="0.25">
      <c r="A1696" t="s">
        <v>10465</v>
      </c>
      <c r="B1696" t="s">
        <v>152</v>
      </c>
      <c r="C1696" s="1">
        <v>45141.328116550925</v>
      </c>
      <c r="D1696" s="1">
        <v>45203</v>
      </c>
      <c r="E1696" t="s">
        <v>114</v>
      </c>
      <c r="F1696" t="s">
        <v>8251</v>
      </c>
      <c r="G1696" t="str">
        <f>"37-3011.00"</f>
        <v>37-3011.00</v>
      </c>
      <c r="H1696" t="s">
        <v>429</v>
      </c>
      <c r="I1696">
        <v>15</v>
      </c>
      <c r="J1696">
        <v>15</v>
      </c>
      <c r="K1696" s="1">
        <v>45231</v>
      </c>
      <c r="L1696" s="1">
        <v>45389</v>
      </c>
      <c r="M1696" s="1">
        <v>45231</v>
      </c>
      <c r="N1696" s="1">
        <v>45389</v>
      </c>
      <c r="O1696" t="s">
        <v>238</v>
      </c>
      <c r="P1696" t="s">
        <v>10466</v>
      </c>
      <c r="R1696" t="s">
        <v>10467</v>
      </c>
      <c r="T1696" t="s">
        <v>10468</v>
      </c>
      <c r="U1696" t="s">
        <v>434</v>
      </c>
      <c r="V1696" s="8" t="str">
        <f>"15314"</f>
        <v>15314</v>
      </c>
      <c r="W1696" t="s">
        <v>118</v>
      </c>
      <c r="Y1696" s="10">
        <v>17247474564</v>
      </c>
      <c r="AA1696">
        <v>56173</v>
      </c>
      <c r="AB1696" t="s">
        <v>10469</v>
      </c>
      <c r="AC1696" t="s">
        <v>10470</v>
      </c>
      <c r="AE1696" t="s">
        <v>378</v>
      </c>
      <c r="AF1696" t="s">
        <v>10467</v>
      </c>
      <c r="AH1696" t="s">
        <v>10468</v>
      </c>
      <c r="AI1696" t="s">
        <v>434</v>
      </c>
      <c r="AJ1696" s="8" t="str">
        <f>"15314"</f>
        <v>15314</v>
      </c>
      <c r="AK1696" t="s">
        <v>118</v>
      </c>
      <c r="AM1696" s="10">
        <v>17247474564</v>
      </c>
      <c r="AO1696" t="s">
        <v>132</v>
      </c>
      <c r="AP1696" t="s">
        <v>248</v>
      </c>
      <c r="AQ1696" t="s">
        <v>673</v>
      </c>
      <c r="AR1696" t="s">
        <v>674</v>
      </c>
      <c r="AT1696" t="s">
        <v>579</v>
      </c>
      <c r="AV1696" t="s">
        <v>580</v>
      </c>
      <c r="AW1696" t="s">
        <v>581</v>
      </c>
      <c r="AX1696" s="8" t="str">
        <f>"22903"</f>
        <v>22903</v>
      </c>
      <c r="AY1696" t="s">
        <v>118</v>
      </c>
      <c r="BA1696" s="10">
        <v>14342634300</v>
      </c>
      <c r="BC1696" t="s">
        <v>675</v>
      </c>
      <c r="BD1696" t="s">
        <v>583</v>
      </c>
      <c r="BG1696" t="s">
        <v>434</v>
      </c>
      <c r="BH1696" s="1">
        <v>45140.833333333336</v>
      </c>
      <c r="BI1696">
        <v>40</v>
      </c>
      <c r="BJ1696">
        <v>0</v>
      </c>
      <c r="BK1696">
        <v>8</v>
      </c>
      <c r="BL1696">
        <v>8</v>
      </c>
      <c r="BM1696">
        <v>8</v>
      </c>
      <c r="BN1696">
        <v>8</v>
      </c>
      <c r="BO1696">
        <v>8</v>
      </c>
      <c r="BP1696">
        <v>0</v>
      </c>
      <c r="BQ1696" t="str">
        <f>"7:00 AM"</f>
        <v>7:00 AM</v>
      </c>
      <c r="BR1696" t="str">
        <f>"3:30 PM"</f>
        <v>3:30 PM</v>
      </c>
      <c r="BS1696" t="s">
        <v>131</v>
      </c>
      <c r="BT1696">
        <v>0</v>
      </c>
      <c r="BU1696">
        <v>3</v>
      </c>
      <c r="BV1696" t="s">
        <v>114</v>
      </c>
      <c r="BX1696" s="2" t="s">
        <v>10471</v>
      </c>
      <c r="BY1696" t="s">
        <v>10467</v>
      </c>
      <c r="CA1696" t="s">
        <v>10468</v>
      </c>
      <c r="CB1696" t="s">
        <v>434</v>
      </c>
      <c r="CC1696" s="8" t="str">
        <f>"15314"</f>
        <v>15314</v>
      </c>
      <c r="CD1696" t="s">
        <v>806</v>
      </c>
      <c r="CE1696" t="s">
        <v>1887</v>
      </c>
      <c r="CF1696" s="12">
        <v>15.95</v>
      </c>
      <c r="CG1696" s="12">
        <v>15.95</v>
      </c>
      <c r="CH1696" s="12">
        <v>23.93</v>
      </c>
      <c r="CI1696" s="12">
        <v>23.93</v>
      </c>
      <c r="CJ1696" t="s">
        <v>135</v>
      </c>
      <c r="CK1696" t="s">
        <v>590</v>
      </c>
      <c r="CL1696" t="s">
        <v>10472</v>
      </c>
      <c r="CO1696" t="s">
        <v>132</v>
      </c>
      <c r="CP1696" t="s">
        <v>136</v>
      </c>
      <c r="CQ1696" t="s">
        <v>136</v>
      </c>
      <c r="CR1696" t="s">
        <v>136</v>
      </c>
      <c r="CS1696" t="s">
        <v>114</v>
      </c>
      <c r="CT1696" t="s">
        <v>136</v>
      </c>
      <c r="CU1696" t="s">
        <v>136</v>
      </c>
      <c r="CV1696" t="s">
        <v>10473</v>
      </c>
      <c r="CW1696" s="10" t="str">
        <f>"+17247474564"</f>
        <v>+17247474564</v>
      </c>
      <c r="CX1696" t="s">
        <v>132</v>
      </c>
      <c r="CY1696" t="s">
        <v>1997</v>
      </c>
      <c r="CZ1696" t="s">
        <v>137</v>
      </c>
      <c r="DA1696" t="s">
        <v>114</v>
      </c>
      <c r="DB1696" t="s">
        <v>136</v>
      </c>
      <c r="DC1696" t="s">
        <v>136</v>
      </c>
      <c r="DD1696" t="s">
        <v>114</v>
      </c>
      <c r="DE1696" t="s">
        <v>673</v>
      </c>
      <c r="DF1696" t="s">
        <v>674</v>
      </c>
      <c r="DH1696" t="s">
        <v>583</v>
      </c>
      <c r="DI1696" t="s">
        <v>675</v>
      </c>
    </row>
    <row r="1697" spans="1:108" ht="15" customHeight="1" x14ac:dyDescent="0.25">
      <c r="A1697" t="s">
        <v>11656</v>
      </c>
      <c r="B1697" t="s">
        <v>152</v>
      </c>
      <c r="C1697" s="1">
        <v>45141.270482870372</v>
      </c>
      <c r="D1697" s="1">
        <v>45203</v>
      </c>
      <c r="E1697" t="s">
        <v>114</v>
      </c>
      <c r="F1697" t="s">
        <v>3416</v>
      </c>
      <c r="G1697" t="str">
        <f>"35-2014.00"</f>
        <v>35-2014.00</v>
      </c>
      <c r="H1697" t="s">
        <v>154</v>
      </c>
      <c r="I1697">
        <v>3</v>
      </c>
      <c r="J1697">
        <v>3</v>
      </c>
      <c r="K1697" s="1">
        <v>45231</v>
      </c>
      <c r="L1697" s="1">
        <v>45443</v>
      </c>
      <c r="M1697" s="1">
        <v>45231</v>
      </c>
      <c r="N1697" s="1">
        <v>45443</v>
      </c>
      <c r="O1697" t="s">
        <v>238</v>
      </c>
      <c r="P1697" t="s">
        <v>11657</v>
      </c>
      <c r="R1697" t="s">
        <v>11658</v>
      </c>
      <c r="T1697" t="s">
        <v>9917</v>
      </c>
      <c r="U1697" t="s">
        <v>140</v>
      </c>
      <c r="V1697" s="8" t="str">
        <f>"34285"</f>
        <v>34285</v>
      </c>
      <c r="W1697" t="s">
        <v>118</v>
      </c>
      <c r="Y1697" s="10">
        <v>19414887708</v>
      </c>
      <c r="AA1697">
        <v>713930</v>
      </c>
      <c r="AB1697" t="s">
        <v>11659</v>
      </c>
      <c r="AC1697" t="s">
        <v>11660</v>
      </c>
      <c r="AE1697" t="s">
        <v>1119</v>
      </c>
      <c r="AF1697" t="s">
        <v>11658</v>
      </c>
      <c r="AH1697" t="s">
        <v>9917</v>
      </c>
      <c r="AI1697" t="s">
        <v>140</v>
      </c>
      <c r="AJ1697" s="8" t="str">
        <f>"34285"</f>
        <v>34285</v>
      </c>
      <c r="AK1697" t="s">
        <v>118</v>
      </c>
      <c r="AM1697" s="10">
        <v>19414887708</v>
      </c>
      <c r="AO1697" t="s">
        <v>796</v>
      </c>
      <c r="AP1697" t="s">
        <v>248</v>
      </c>
      <c r="AQ1697" t="s">
        <v>354</v>
      </c>
      <c r="AR1697" t="s">
        <v>355</v>
      </c>
      <c r="AT1697" t="s">
        <v>356</v>
      </c>
      <c r="AV1697" t="s">
        <v>357</v>
      </c>
      <c r="AW1697" t="s">
        <v>358</v>
      </c>
      <c r="AX1697" s="8" t="str">
        <f>"11590"</f>
        <v>11590</v>
      </c>
      <c r="AY1697" t="s">
        <v>118</v>
      </c>
      <c r="BA1697" s="10">
        <v>15163307168</v>
      </c>
      <c r="BC1697" t="s">
        <v>359</v>
      </c>
      <c r="BD1697" t="s">
        <v>360</v>
      </c>
      <c r="BG1697" t="s">
        <v>140</v>
      </c>
      <c r="BH1697" s="1">
        <v>45134.833333333336</v>
      </c>
      <c r="BI1697">
        <v>40</v>
      </c>
      <c r="BJ1697">
        <v>8</v>
      </c>
      <c r="BK1697">
        <v>0</v>
      </c>
      <c r="BL1697">
        <v>8</v>
      </c>
      <c r="BM1697">
        <v>0</v>
      </c>
      <c r="BN1697">
        <v>8</v>
      </c>
      <c r="BO1697">
        <v>8</v>
      </c>
      <c r="BP1697">
        <v>8</v>
      </c>
      <c r="BQ1697" t="str">
        <f>"6:00 AM"</f>
        <v>6:00 AM</v>
      </c>
      <c r="BR1697" t="str">
        <f>"10:00 PM"</f>
        <v>10:00 PM</v>
      </c>
      <c r="BS1697" t="s">
        <v>131</v>
      </c>
      <c r="BT1697">
        <v>0</v>
      </c>
      <c r="BU1697">
        <v>3</v>
      </c>
      <c r="BV1697" t="s">
        <v>114</v>
      </c>
      <c r="BX1697" t="s">
        <v>796</v>
      </c>
      <c r="BY1697" t="s">
        <v>11658</v>
      </c>
      <c r="CA1697" t="s">
        <v>9917</v>
      </c>
      <c r="CB1697" t="s">
        <v>140</v>
      </c>
      <c r="CC1697" s="8" t="str">
        <f>"34285"</f>
        <v>34285</v>
      </c>
      <c r="CD1697" t="s">
        <v>6059</v>
      </c>
      <c r="CE1697" t="s">
        <v>1730</v>
      </c>
      <c r="CF1697" s="12">
        <v>16.41</v>
      </c>
      <c r="CG1697" s="12">
        <v>19</v>
      </c>
      <c r="CH1697" s="12">
        <v>24.62</v>
      </c>
      <c r="CI1697" s="12">
        <v>28.5</v>
      </c>
      <c r="CJ1697" t="s">
        <v>135</v>
      </c>
      <c r="CL1697" t="s">
        <v>11661</v>
      </c>
      <c r="CO1697" t="s">
        <v>132</v>
      </c>
      <c r="CP1697" t="s">
        <v>114</v>
      </c>
      <c r="CQ1697" t="s">
        <v>114</v>
      </c>
      <c r="CR1697" t="s">
        <v>136</v>
      </c>
      <c r="CS1697" t="s">
        <v>114</v>
      </c>
      <c r="CT1697" t="s">
        <v>136</v>
      </c>
      <c r="CU1697" t="s">
        <v>114</v>
      </c>
      <c r="CV1697" t="s">
        <v>11662</v>
      </c>
      <c r="CW1697" s="10" t="str">
        <f>"+19414887708"</f>
        <v>+19414887708</v>
      </c>
      <c r="CX1697" t="s">
        <v>11663</v>
      </c>
      <c r="CY1697" t="s">
        <v>132</v>
      </c>
      <c r="CZ1697" t="s">
        <v>137</v>
      </c>
      <c r="DA1697" t="s">
        <v>114</v>
      </c>
      <c r="DB1697" t="s">
        <v>114</v>
      </c>
      <c r="DC1697" t="s">
        <v>136</v>
      </c>
      <c r="DD1697" t="s">
        <v>114</v>
      </c>
    </row>
    <row r="1698" spans="1:108" ht="15" customHeight="1" x14ac:dyDescent="0.25">
      <c r="A1698" t="s">
        <v>23355</v>
      </c>
      <c r="B1698" t="s">
        <v>152</v>
      </c>
      <c r="C1698" s="1">
        <v>45141.268105671297</v>
      </c>
      <c r="D1698" s="1">
        <v>45203</v>
      </c>
      <c r="E1698" t="s">
        <v>114</v>
      </c>
      <c r="F1698" t="s">
        <v>12236</v>
      </c>
      <c r="G1698" t="str">
        <f>"35-2014.00"</f>
        <v>35-2014.00</v>
      </c>
      <c r="H1698" t="s">
        <v>154</v>
      </c>
      <c r="I1698">
        <v>12</v>
      </c>
      <c r="J1698">
        <v>12</v>
      </c>
      <c r="K1698" s="1">
        <v>45231</v>
      </c>
      <c r="L1698" s="1">
        <v>45532</v>
      </c>
      <c r="M1698" s="1">
        <v>45231</v>
      </c>
      <c r="N1698" s="1">
        <v>45532</v>
      </c>
      <c r="O1698" t="s">
        <v>116</v>
      </c>
      <c r="P1698" t="s">
        <v>8396</v>
      </c>
      <c r="R1698" t="s">
        <v>8397</v>
      </c>
      <c r="T1698" t="s">
        <v>8398</v>
      </c>
      <c r="U1698" t="s">
        <v>1642</v>
      </c>
      <c r="V1698" s="8" t="str">
        <f>"26003"</f>
        <v>26003</v>
      </c>
      <c r="W1698" t="s">
        <v>118</v>
      </c>
      <c r="Y1698" s="10">
        <v>13042434032</v>
      </c>
      <c r="AA1698">
        <v>713110</v>
      </c>
      <c r="AB1698" t="s">
        <v>15406</v>
      </c>
      <c r="AC1698" t="s">
        <v>2001</v>
      </c>
      <c r="AE1698" t="s">
        <v>7804</v>
      </c>
      <c r="AF1698" t="s">
        <v>8397</v>
      </c>
      <c r="AH1698" t="s">
        <v>8398</v>
      </c>
      <c r="AI1698" t="s">
        <v>1642</v>
      </c>
      <c r="AJ1698" s="8" t="str">
        <f>"26003"</f>
        <v>26003</v>
      </c>
      <c r="AK1698" t="s">
        <v>118</v>
      </c>
      <c r="AM1698" s="10">
        <v>13042434032</v>
      </c>
      <c r="AO1698" t="s">
        <v>132</v>
      </c>
      <c r="AP1698" t="s">
        <v>248</v>
      </c>
      <c r="AQ1698" t="s">
        <v>354</v>
      </c>
      <c r="AR1698" t="s">
        <v>355</v>
      </c>
      <c r="AT1698" t="s">
        <v>356</v>
      </c>
      <c r="AV1698" t="s">
        <v>357</v>
      </c>
      <c r="AW1698" t="s">
        <v>358</v>
      </c>
      <c r="AX1698" s="8" t="str">
        <f>"11590"</f>
        <v>11590</v>
      </c>
      <c r="AY1698" t="s">
        <v>118</v>
      </c>
      <c r="BA1698" s="10">
        <v>15163307168</v>
      </c>
      <c r="BC1698" t="s">
        <v>359</v>
      </c>
      <c r="BD1698" t="s">
        <v>360</v>
      </c>
      <c r="BG1698" t="s">
        <v>1642</v>
      </c>
      <c r="BH1698" s="1">
        <v>45131.833333333336</v>
      </c>
      <c r="BI1698">
        <v>35</v>
      </c>
      <c r="BJ1698">
        <v>7</v>
      </c>
      <c r="BK1698">
        <v>0</v>
      </c>
      <c r="BL1698">
        <v>7</v>
      </c>
      <c r="BM1698">
        <v>0</v>
      </c>
      <c r="BN1698">
        <v>7</v>
      </c>
      <c r="BO1698">
        <v>7</v>
      </c>
      <c r="BP1698">
        <v>7</v>
      </c>
      <c r="BQ1698" t="str">
        <f>"6:00 AM"</f>
        <v>6:00 AM</v>
      </c>
      <c r="BR1698" t="str">
        <f>"11:00 PM"</f>
        <v>11:00 PM</v>
      </c>
      <c r="BS1698" t="s">
        <v>131</v>
      </c>
      <c r="BT1698">
        <v>0</v>
      </c>
      <c r="BU1698">
        <v>0</v>
      </c>
      <c r="BV1698" t="s">
        <v>114</v>
      </c>
      <c r="BX1698" t="s">
        <v>1480</v>
      </c>
      <c r="BY1698" t="s">
        <v>8397</v>
      </c>
      <c r="CA1698" t="s">
        <v>8398</v>
      </c>
      <c r="CB1698" t="s">
        <v>1642</v>
      </c>
      <c r="CC1698" s="8" t="str">
        <f>"26003"</f>
        <v>26003</v>
      </c>
      <c r="CD1698" t="s">
        <v>8400</v>
      </c>
      <c r="CE1698" t="s">
        <v>2478</v>
      </c>
      <c r="CF1698" s="12">
        <v>15.21</v>
      </c>
      <c r="CG1698" s="12">
        <v>16</v>
      </c>
      <c r="CH1698" s="12">
        <v>22.82</v>
      </c>
      <c r="CI1698" s="12">
        <v>24</v>
      </c>
      <c r="CJ1698" t="s">
        <v>135</v>
      </c>
      <c r="CL1698" t="s">
        <v>23356</v>
      </c>
      <c r="CO1698" t="s">
        <v>132</v>
      </c>
      <c r="CP1698" t="s">
        <v>114</v>
      </c>
      <c r="CQ1698" t="s">
        <v>114</v>
      </c>
      <c r="CR1698" t="s">
        <v>136</v>
      </c>
      <c r="CS1698" t="s">
        <v>114</v>
      </c>
      <c r="CT1698" t="s">
        <v>136</v>
      </c>
      <c r="CU1698" t="s">
        <v>136</v>
      </c>
      <c r="CV1698" t="s">
        <v>23357</v>
      </c>
      <c r="CW1698" s="10" t="str">
        <f>"+13042434147"</f>
        <v>+13042434147</v>
      </c>
      <c r="CX1698" t="s">
        <v>8403</v>
      </c>
      <c r="CY1698" t="s">
        <v>132</v>
      </c>
      <c r="CZ1698" t="s">
        <v>137</v>
      </c>
      <c r="DA1698" t="s">
        <v>114</v>
      </c>
      <c r="DB1698" t="s">
        <v>114</v>
      </c>
      <c r="DC1698" t="s">
        <v>136</v>
      </c>
      <c r="DD1698" t="s">
        <v>114</v>
      </c>
    </row>
    <row r="1699" spans="1:108" ht="15" customHeight="1" x14ac:dyDescent="0.25">
      <c r="A1699" t="s">
        <v>15583</v>
      </c>
      <c r="B1699" t="s">
        <v>152</v>
      </c>
      <c r="C1699" s="1">
        <v>45141.181474537036</v>
      </c>
      <c r="D1699" s="1">
        <v>45203</v>
      </c>
      <c r="E1699" t="s">
        <v>136</v>
      </c>
      <c r="F1699" t="s">
        <v>449</v>
      </c>
      <c r="G1699" t="str">
        <f>"37-2012.00"</f>
        <v>37-2012.00</v>
      </c>
      <c r="H1699" t="s">
        <v>205</v>
      </c>
      <c r="I1699">
        <v>25</v>
      </c>
      <c r="J1699">
        <v>25</v>
      </c>
      <c r="K1699" s="1">
        <v>45231</v>
      </c>
      <c r="L1699" s="1">
        <v>45397</v>
      </c>
      <c r="M1699" s="1">
        <v>45231</v>
      </c>
      <c r="N1699" s="1">
        <v>45397</v>
      </c>
      <c r="O1699" t="s">
        <v>116</v>
      </c>
      <c r="P1699" t="s">
        <v>1366</v>
      </c>
      <c r="Q1699" t="s">
        <v>1367</v>
      </c>
      <c r="R1699" t="s">
        <v>1368</v>
      </c>
      <c r="T1699" t="s">
        <v>1369</v>
      </c>
      <c r="U1699" t="s">
        <v>188</v>
      </c>
      <c r="V1699" s="8" t="str">
        <f>"80424"</f>
        <v>80424</v>
      </c>
      <c r="W1699" t="s">
        <v>118</v>
      </c>
      <c r="Y1699" s="10">
        <v>19704536000</v>
      </c>
      <c r="AA1699">
        <v>72111</v>
      </c>
      <c r="AB1699" t="s">
        <v>1370</v>
      </c>
      <c r="AC1699" t="s">
        <v>1371</v>
      </c>
      <c r="AE1699" t="s">
        <v>15584</v>
      </c>
      <c r="AF1699" t="s">
        <v>1368</v>
      </c>
      <c r="AH1699" t="s">
        <v>1369</v>
      </c>
      <c r="AI1699" t="s">
        <v>188</v>
      </c>
      <c r="AJ1699" s="8" t="str">
        <f>"80424"</f>
        <v>80424</v>
      </c>
      <c r="AK1699" t="s">
        <v>118</v>
      </c>
      <c r="AM1699" s="10">
        <v>19704536000</v>
      </c>
      <c r="AO1699" t="s">
        <v>1373</v>
      </c>
      <c r="AP1699" t="s">
        <v>248</v>
      </c>
      <c r="AQ1699" t="s">
        <v>458</v>
      </c>
      <c r="AR1699" t="s">
        <v>459</v>
      </c>
      <c r="AT1699" t="s">
        <v>460</v>
      </c>
      <c r="AU1699" t="s">
        <v>1374</v>
      </c>
      <c r="AV1699" t="s">
        <v>1375</v>
      </c>
      <c r="AW1699" t="s">
        <v>140</v>
      </c>
      <c r="AX1699" s="8" t="str">
        <f>"33131"</f>
        <v>33131</v>
      </c>
      <c r="AY1699" t="s">
        <v>118</v>
      </c>
      <c r="BA1699" s="10">
        <v>17863480376</v>
      </c>
      <c r="BC1699" t="s">
        <v>463</v>
      </c>
      <c r="BD1699" t="s">
        <v>464</v>
      </c>
      <c r="BG1699" t="s">
        <v>188</v>
      </c>
      <c r="BH1699" s="1">
        <v>45140.833333333336</v>
      </c>
      <c r="BI1699">
        <v>35</v>
      </c>
      <c r="BJ1699">
        <v>7</v>
      </c>
      <c r="BK1699">
        <v>7</v>
      </c>
      <c r="BL1699">
        <v>0</v>
      </c>
      <c r="BM1699">
        <v>0</v>
      </c>
      <c r="BN1699">
        <v>7</v>
      </c>
      <c r="BO1699">
        <v>7</v>
      </c>
      <c r="BP1699">
        <v>7</v>
      </c>
      <c r="BQ1699" t="str">
        <f>"8:00 AM"</f>
        <v>8:00 AM</v>
      </c>
      <c r="BR1699" t="str">
        <f>"3:00 PM"</f>
        <v>3:00 PM</v>
      </c>
      <c r="BS1699" t="s">
        <v>131</v>
      </c>
      <c r="BT1699">
        <v>0</v>
      </c>
      <c r="BU1699">
        <v>1</v>
      </c>
      <c r="BV1699" t="s">
        <v>114</v>
      </c>
      <c r="BX1699" t="s">
        <v>465</v>
      </c>
      <c r="BY1699" t="s">
        <v>1368</v>
      </c>
      <c r="CA1699" t="s">
        <v>1369</v>
      </c>
      <c r="CB1699" t="s">
        <v>188</v>
      </c>
      <c r="CC1699" s="8" t="str">
        <f>"80424"</f>
        <v>80424</v>
      </c>
      <c r="CD1699" t="s">
        <v>228</v>
      </c>
      <c r="CE1699" t="s">
        <v>1038</v>
      </c>
      <c r="CF1699" s="12">
        <v>18.29</v>
      </c>
      <c r="CG1699" s="12">
        <v>18.29</v>
      </c>
      <c r="CH1699" s="12">
        <v>27.44</v>
      </c>
      <c r="CI1699" s="12">
        <v>27.44</v>
      </c>
      <c r="CJ1699" t="s">
        <v>135</v>
      </c>
      <c r="CL1699" t="s">
        <v>15585</v>
      </c>
      <c r="CO1699" t="s">
        <v>132</v>
      </c>
      <c r="CP1699" t="s">
        <v>114</v>
      </c>
      <c r="CQ1699" t="s">
        <v>114</v>
      </c>
      <c r="CR1699" t="s">
        <v>136</v>
      </c>
      <c r="CS1699" t="s">
        <v>114</v>
      </c>
      <c r="CT1699" t="s">
        <v>136</v>
      </c>
      <c r="CU1699" t="s">
        <v>136</v>
      </c>
      <c r="CV1699" t="s">
        <v>1378</v>
      </c>
      <c r="CW1699" s="10" t="str">
        <f>"+19704538737"</f>
        <v>+19704538737</v>
      </c>
      <c r="CX1699" t="s">
        <v>1379</v>
      </c>
      <c r="CY1699" t="s">
        <v>132</v>
      </c>
      <c r="CZ1699" t="s">
        <v>137</v>
      </c>
      <c r="DA1699" t="s">
        <v>114</v>
      </c>
      <c r="DB1699" t="s">
        <v>114</v>
      </c>
      <c r="DC1699" t="s">
        <v>136</v>
      </c>
      <c r="DD1699" t="s">
        <v>114</v>
      </c>
    </row>
    <row r="1700" spans="1:108" ht="15" customHeight="1" x14ac:dyDescent="0.25">
      <c r="A1700" t="s">
        <v>1363</v>
      </c>
      <c r="B1700" t="s">
        <v>152</v>
      </c>
      <c r="C1700" s="1">
        <v>45141.177976388892</v>
      </c>
      <c r="D1700" s="1">
        <v>45203</v>
      </c>
      <c r="E1700" t="s">
        <v>136</v>
      </c>
      <c r="F1700" t="s">
        <v>1364</v>
      </c>
      <c r="G1700" t="str">
        <f>"35-3023.00"</f>
        <v>35-3023.00</v>
      </c>
      <c r="H1700" t="s">
        <v>1365</v>
      </c>
      <c r="I1700">
        <v>10</v>
      </c>
      <c r="J1700">
        <v>10</v>
      </c>
      <c r="K1700" s="1">
        <v>45231</v>
      </c>
      <c r="L1700" s="1">
        <v>45397</v>
      </c>
      <c r="M1700" s="1">
        <v>45231</v>
      </c>
      <c r="N1700" s="1">
        <v>45397</v>
      </c>
      <c r="O1700" t="s">
        <v>116</v>
      </c>
      <c r="P1700" t="s">
        <v>1366</v>
      </c>
      <c r="Q1700" t="s">
        <v>1367</v>
      </c>
      <c r="R1700" t="s">
        <v>1368</v>
      </c>
      <c r="T1700" t="s">
        <v>1369</v>
      </c>
      <c r="U1700" t="s">
        <v>188</v>
      </c>
      <c r="V1700" s="8" t="str">
        <f>"80424"</f>
        <v>80424</v>
      </c>
      <c r="W1700" t="s">
        <v>118</v>
      </c>
      <c r="Y1700" s="10">
        <v>19704536000</v>
      </c>
      <c r="AA1700">
        <v>72111</v>
      </c>
      <c r="AB1700" t="s">
        <v>1370</v>
      </c>
      <c r="AC1700" t="s">
        <v>1371</v>
      </c>
      <c r="AE1700" t="s">
        <v>1372</v>
      </c>
      <c r="AF1700" t="s">
        <v>1368</v>
      </c>
      <c r="AH1700" t="s">
        <v>1369</v>
      </c>
      <c r="AI1700" t="s">
        <v>188</v>
      </c>
      <c r="AJ1700" s="8" t="str">
        <f>"80424"</f>
        <v>80424</v>
      </c>
      <c r="AK1700" t="s">
        <v>118</v>
      </c>
      <c r="AM1700" s="10">
        <v>19704536000</v>
      </c>
      <c r="AO1700" t="s">
        <v>1373</v>
      </c>
      <c r="AP1700" t="s">
        <v>248</v>
      </c>
      <c r="AQ1700" t="s">
        <v>458</v>
      </c>
      <c r="AR1700" t="s">
        <v>459</v>
      </c>
      <c r="AT1700" t="s">
        <v>460</v>
      </c>
      <c r="AU1700" t="s">
        <v>1374</v>
      </c>
      <c r="AV1700" t="s">
        <v>1375</v>
      </c>
      <c r="AW1700" t="s">
        <v>140</v>
      </c>
      <c r="AX1700" s="8" t="str">
        <f>"33131"</f>
        <v>33131</v>
      </c>
      <c r="AY1700" t="s">
        <v>118</v>
      </c>
      <c r="BA1700" s="10">
        <v>17863480376</v>
      </c>
      <c r="BC1700" t="s">
        <v>463</v>
      </c>
      <c r="BD1700" t="s">
        <v>464</v>
      </c>
      <c r="BG1700" t="s">
        <v>188</v>
      </c>
      <c r="BH1700" s="1">
        <v>45140.833333333336</v>
      </c>
      <c r="BI1700">
        <v>35</v>
      </c>
      <c r="BJ1700">
        <v>7</v>
      </c>
      <c r="BK1700">
        <v>7</v>
      </c>
      <c r="BL1700">
        <v>0</v>
      </c>
      <c r="BM1700">
        <v>0</v>
      </c>
      <c r="BN1700">
        <v>7</v>
      </c>
      <c r="BO1700">
        <v>7</v>
      </c>
      <c r="BP1700">
        <v>7</v>
      </c>
      <c r="BQ1700" t="str">
        <f>"7:00 AM"</f>
        <v>7:00 AM</v>
      </c>
      <c r="BR1700" t="str">
        <f>"2:00 PM"</f>
        <v>2:00 PM</v>
      </c>
      <c r="BS1700" t="s">
        <v>131</v>
      </c>
      <c r="BT1700">
        <v>0</v>
      </c>
      <c r="BU1700">
        <v>1</v>
      </c>
      <c r="BV1700" t="s">
        <v>114</v>
      </c>
      <c r="BX1700" t="s">
        <v>1376</v>
      </c>
      <c r="BY1700" t="s">
        <v>1368</v>
      </c>
      <c r="CA1700" t="s">
        <v>1369</v>
      </c>
      <c r="CB1700" t="s">
        <v>188</v>
      </c>
      <c r="CC1700" s="8" t="str">
        <f>"80424"</f>
        <v>80424</v>
      </c>
      <c r="CD1700" t="s">
        <v>228</v>
      </c>
      <c r="CE1700" t="s">
        <v>1038</v>
      </c>
      <c r="CF1700" s="12">
        <v>15.04</v>
      </c>
      <c r="CG1700" s="12">
        <v>15.04</v>
      </c>
      <c r="CH1700" s="12">
        <v>22.56</v>
      </c>
      <c r="CI1700" s="12">
        <v>22.56</v>
      </c>
      <c r="CJ1700" t="s">
        <v>135</v>
      </c>
      <c r="CL1700" t="s">
        <v>1377</v>
      </c>
      <c r="CO1700" t="s">
        <v>132</v>
      </c>
      <c r="CP1700" t="s">
        <v>114</v>
      </c>
      <c r="CQ1700" t="s">
        <v>114</v>
      </c>
      <c r="CR1700" t="s">
        <v>136</v>
      </c>
      <c r="CS1700" t="s">
        <v>114</v>
      </c>
      <c r="CT1700" t="s">
        <v>136</v>
      </c>
      <c r="CU1700" t="s">
        <v>136</v>
      </c>
      <c r="CV1700" t="s">
        <v>1378</v>
      </c>
      <c r="CW1700" s="10" t="str">
        <f>"+19704538737"</f>
        <v>+19704538737</v>
      </c>
      <c r="CX1700" t="s">
        <v>1379</v>
      </c>
      <c r="CY1700" t="s">
        <v>132</v>
      </c>
      <c r="CZ1700" t="s">
        <v>137</v>
      </c>
      <c r="DA1700" t="s">
        <v>114</v>
      </c>
      <c r="DB1700" t="s">
        <v>114</v>
      </c>
      <c r="DC1700" t="s">
        <v>136</v>
      </c>
      <c r="DD1700" t="s">
        <v>114</v>
      </c>
    </row>
    <row r="1701" spans="1:108" ht="15" customHeight="1" x14ac:dyDescent="0.25">
      <c r="A1701" t="s">
        <v>14289</v>
      </c>
      <c r="B1701" t="s">
        <v>152</v>
      </c>
      <c r="C1701" s="1">
        <v>45141.174037847224</v>
      </c>
      <c r="D1701" s="1">
        <v>45203</v>
      </c>
      <c r="E1701" t="s">
        <v>136</v>
      </c>
      <c r="F1701" t="s">
        <v>5756</v>
      </c>
      <c r="G1701" t="str">
        <f>"35-2014.00"</f>
        <v>35-2014.00</v>
      </c>
      <c r="H1701" t="s">
        <v>154</v>
      </c>
      <c r="I1701">
        <v>10</v>
      </c>
      <c r="J1701">
        <v>10</v>
      </c>
      <c r="K1701" s="1">
        <v>45231</v>
      </c>
      <c r="L1701" s="1">
        <v>45397</v>
      </c>
      <c r="M1701" s="1">
        <v>45231</v>
      </c>
      <c r="N1701" s="1">
        <v>45397</v>
      </c>
      <c r="O1701" t="s">
        <v>116</v>
      </c>
      <c r="P1701" t="s">
        <v>1366</v>
      </c>
      <c r="Q1701" t="s">
        <v>1367</v>
      </c>
      <c r="R1701" t="s">
        <v>1368</v>
      </c>
      <c r="T1701" t="s">
        <v>1369</v>
      </c>
      <c r="U1701" t="s">
        <v>188</v>
      </c>
      <c r="V1701" s="8" t="str">
        <f>"80424"</f>
        <v>80424</v>
      </c>
      <c r="W1701" t="s">
        <v>118</v>
      </c>
      <c r="Y1701" s="10">
        <v>19704536000</v>
      </c>
      <c r="AA1701">
        <v>72111</v>
      </c>
      <c r="AB1701" t="s">
        <v>1370</v>
      </c>
      <c r="AC1701" t="s">
        <v>1371</v>
      </c>
      <c r="AE1701" t="s">
        <v>1372</v>
      </c>
      <c r="AF1701" t="s">
        <v>1368</v>
      </c>
      <c r="AH1701" t="s">
        <v>1369</v>
      </c>
      <c r="AI1701" t="s">
        <v>188</v>
      </c>
      <c r="AJ1701" s="8" t="str">
        <f>"80424"</f>
        <v>80424</v>
      </c>
      <c r="AK1701" t="s">
        <v>118</v>
      </c>
      <c r="AM1701" s="10">
        <v>19704536000</v>
      </c>
      <c r="AO1701" t="s">
        <v>1373</v>
      </c>
      <c r="AP1701" t="s">
        <v>248</v>
      </c>
      <c r="AQ1701" t="s">
        <v>458</v>
      </c>
      <c r="AR1701" t="s">
        <v>459</v>
      </c>
      <c r="AT1701" t="s">
        <v>460</v>
      </c>
      <c r="AU1701" t="s">
        <v>1374</v>
      </c>
      <c r="AV1701" t="s">
        <v>1375</v>
      </c>
      <c r="AW1701" t="s">
        <v>140</v>
      </c>
      <c r="AX1701" s="8" t="str">
        <f>"33141"</f>
        <v>33141</v>
      </c>
      <c r="AY1701" t="s">
        <v>118</v>
      </c>
      <c r="BA1701" s="10">
        <v>17863480376</v>
      </c>
      <c r="BC1701" t="s">
        <v>463</v>
      </c>
      <c r="BD1701" t="s">
        <v>464</v>
      </c>
      <c r="BG1701" t="s">
        <v>188</v>
      </c>
      <c r="BH1701" s="1">
        <v>45140.833333333336</v>
      </c>
      <c r="BI1701">
        <v>35</v>
      </c>
      <c r="BJ1701">
        <v>7</v>
      </c>
      <c r="BK1701">
        <v>7</v>
      </c>
      <c r="BL1701">
        <v>0</v>
      </c>
      <c r="BM1701">
        <v>0</v>
      </c>
      <c r="BN1701">
        <v>7</v>
      </c>
      <c r="BO1701">
        <v>7</v>
      </c>
      <c r="BP1701">
        <v>7</v>
      </c>
      <c r="BQ1701" t="str">
        <f>"7:00 AM"</f>
        <v>7:00 AM</v>
      </c>
      <c r="BR1701" t="str">
        <f>"2:00 PM"</f>
        <v>2:00 PM</v>
      </c>
      <c r="BS1701" t="s">
        <v>131</v>
      </c>
      <c r="BT1701">
        <v>0</v>
      </c>
      <c r="BU1701">
        <v>1</v>
      </c>
      <c r="BV1701" t="s">
        <v>114</v>
      </c>
      <c r="BX1701" t="s">
        <v>465</v>
      </c>
      <c r="BY1701" t="s">
        <v>1368</v>
      </c>
      <c r="CA1701" t="s">
        <v>1369</v>
      </c>
      <c r="CB1701" t="s">
        <v>188</v>
      </c>
      <c r="CC1701" s="8" t="str">
        <f>"80424"</f>
        <v>80424</v>
      </c>
      <c r="CD1701" t="s">
        <v>228</v>
      </c>
      <c r="CE1701" t="s">
        <v>1038</v>
      </c>
      <c r="CF1701" s="12">
        <v>18.11</v>
      </c>
      <c r="CG1701" s="12">
        <v>18.11</v>
      </c>
      <c r="CH1701" s="12">
        <v>27.17</v>
      </c>
      <c r="CI1701" s="12">
        <v>27.17</v>
      </c>
      <c r="CJ1701" t="s">
        <v>135</v>
      </c>
      <c r="CL1701" t="s">
        <v>14290</v>
      </c>
      <c r="CO1701" t="s">
        <v>132</v>
      </c>
      <c r="CP1701" t="s">
        <v>114</v>
      </c>
      <c r="CQ1701" t="s">
        <v>114</v>
      </c>
      <c r="CR1701" t="s">
        <v>136</v>
      </c>
      <c r="CS1701" t="s">
        <v>114</v>
      </c>
      <c r="CT1701" t="s">
        <v>136</v>
      </c>
      <c r="CU1701" t="s">
        <v>136</v>
      </c>
      <c r="CV1701" t="s">
        <v>1378</v>
      </c>
      <c r="CW1701" s="10" t="str">
        <f>"+19704538737"</f>
        <v>+19704538737</v>
      </c>
      <c r="CX1701" t="s">
        <v>1379</v>
      </c>
      <c r="CY1701" t="s">
        <v>132</v>
      </c>
      <c r="CZ1701" t="s">
        <v>137</v>
      </c>
      <c r="DA1701" t="s">
        <v>114</v>
      </c>
      <c r="DB1701" t="s">
        <v>114</v>
      </c>
      <c r="DC1701" t="s">
        <v>136</v>
      </c>
      <c r="DD1701" t="s">
        <v>114</v>
      </c>
    </row>
    <row r="1702" spans="1:108" ht="15" customHeight="1" x14ac:dyDescent="0.25">
      <c r="A1702" t="s">
        <v>8252</v>
      </c>
      <c r="B1702" t="s">
        <v>152</v>
      </c>
      <c r="C1702" s="1">
        <v>45141.042654050929</v>
      </c>
      <c r="D1702" s="1">
        <v>45203</v>
      </c>
      <c r="E1702" t="s">
        <v>136</v>
      </c>
      <c r="F1702" t="s">
        <v>1059</v>
      </c>
      <c r="G1702" t="str">
        <f>"35-2014.00"</f>
        <v>35-2014.00</v>
      </c>
      <c r="H1702" t="s">
        <v>154</v>
      </c>
      <c r="I1702">
        <v>15</v>
      </c>
      <c r="J1702">
        <v>15</v>
      </c>
      <c r="K1702" s="1">
        <v>45231</v>
      </c>
      <c r="L1702" s="1">
        <v>45505</v>
      </c>
      <c r="M1702" s="1">
        <v>45231</v>
      </c>
      <c r="N1702" s="1">
        <v>45505</v>
      </c>
      <c r="O1702" t="s">
        <v>116</v>
      </c>
      <c r="P1702" t="s">
        <v>758</v>
      </c>
      <c r="Q1702" t="s">
        <v>759</v>
      </c>
      <c r="R1702" t="s">
        <v>760</v>
      </c>
      <c r="T1702" t="s">
        <v>761</v>
      </c>
      <c r="U1702" t="s">
        <v>140</v>
      </c>
      <c r="V1702" s="8" t="str">
        <f>"33483"</f>
        <v>33483</v>
      </c>
      <c r="W1702" t="s">
        <v>118</v>
      </c>
      <c r="Y1702" s="10">
        <v>15612743200</v>
      </c>
      <c r="AA1702">
        <v>72111</v>
      </c>
      <c r="AB1702" t="s">
        <v>762</v>
      </c>
      <c r="AC1702" t="s">
        <v>763</v>
      </c>
      <c r="AE1702" t="s">
        <v>764</v>
      </c>
      <c r="AF1702" t="s">
        <v>760</v>
      </c>
      <c r="AH1702" t="s">
        <v>761</v>
      </c>
      <c r="AI1702" t="s">
        <v>140</v>
      </c>
      <c r="AJ1702" s="8" t="str">
        <f>"33483"</f>
        <v>33483</v>
      </c>
      <c r="AK1702" t="s">
        <v>118</v>
      </c>
      <c r="AM1702" s="10">
        <v>15612743200</v>
      </c>
      <c r="AO1702" t="s">
        <v>765</v>
      </c>
      <c r="AP1702" t="s">
        <v>248</v>
      </c>
      <c r="AQ1702" t="s">
        <v>458</v>
      </c>
      <c r="AR1702" t="s">
        <v>459</v>
      </c>
      <c r="AT1702" t="s">
        <v>460</v>
      </c>
      <c r="AU1702" t="s">
        <v>461</v>
      </c>
      <c r="AV1702" t="s">
        <v>766</v>
      </c>
      <c r="AW1702" t="s">
        <v>140</v>
      </c>
      <c r="AX1702" s="8" t="str">
        <f>"33141"</f>
        <v>33141</v>
      </c>
      <c r="AY1702" t="s">
        <v>118</v>
      </c>
      <c r="BA1702" s="10">
        <v>17863480376</v>
      </c>
      <c r="BC1702" t="s">
        <v>463</v>
      </c>
      <c r="BD1702" t="s">
        <v>464</v>
      </c>
      <c r="BG1702" t="s">
        <v>140</v>
      </c>
      <c r="BH1702" s="1">
        <v>45140.833333333336</v>
      </c>
      <c r="BI1702">
        <v>35</v>
      </c>
      <c r="BJ1702">
        <v>7</v>
      </c>
      <c r="BK1702">
        <v>7</v>
      </c>
      <c r="BL1702">
        <v>0</v>
      </c>
      <c r="BM1702">
        <v>0</v>
      </c>
      <c r="BN1702">
        <v>7</v>
      </c>
      <c r="BO1702">
        <v>7</v>
      </c>
      <c r="BP1702">
        <v>7</v>
      </c>
      <c r="BQ1702" t="str">
        <f>"7:00 AM"</f>
        <v>7:00 AM</v>
      </c>
      <c r="BR1702" t="str">
        <f>"2:00 PM"</f>
        <v>2:00 PM</v>
      </c>
      <c r="BS1702" t="s">
        <v>131</v>
      </c>
      <c r="BT1702">
        <v>0</v>
      </c>
      <c r="BU1702">
        <v>1</v>
      </c>
      <c r="BV1702" t="s">
        <v>114</v>
      </c>
      <c r="BX1702" t="s">
        <v>465</v>
      </c>
      <c r="BY1702" t="s">
        <v>760</v>
      </c>
      <c r="CA1702" t="s">
        <v>761</v>
      </c>
      <c r="CB1702" t="s">
        <v>140</v>
      </c>
      <c r="CC1702" s="8" t="str">
        <f>"33483"</f>
        <v>33483</v>
      </c>
      <c r="CD1702" t="s">
        <v>767</v>
      </c>
      <c r="CE1702" t="s">
        <v>149</v>
      </c>
      <c r="CF1702" s="12">
        <v>18</v>
      </c>
      <c r="CG1702" s="12">
        <v>20</v>
      </c>
      <c r="CH1702" s="12">
        <v>27</v>
      </c>
      <c r="CI1702" s="12">
        <v>30</v>
      </c>
      <c r="CJ1702" t="s">
        <v>135</v>
      </c>
      <c r="CL1702" t="s">
        <v>8253</v>
      </c>
      <c r="CO1702" t="s">
        <v>132</v>
      </c>
      <c r="CP1702" t="s">
        <v>136</v>
      </c>
      <c r="CQ1702" t="s">
        <v>114</v>
      </c>
      <c r="CR1702" t="s">
        <v>136</v>
      </c>
      <c r="CS1702" t="s">
        <v>114</v>
      </c>
      <c r="CT1702" t="s">
        <v>136</v>
      </c>
      <c r="CU1702" t="s">
        <v>114</v>
      </c>
      <c r="CV1702" s="2" t="s">
        <v>769</v>
      </c>
      <c r="CW1702" s="10" t="str">
        <f>"N/A"</f>
        <v>N/A</v>
      </c>
      <c r="CX1702" t="s">
        <v>765</v>
      </c>
      <c r="CY1702" t="s">
        <v>470</v>
      </c>
      <c r="CZ1702" t="s">
        <v>137</v>
      </c>
      <c r="DA1702" t="s">
        <v>114</v>
      </c>
      <c r="DB1702" t="s">
        <v>114</v>
      </c>
      <c r="DC1702" t="s">
        <v>136</v>
      </c>
      <c r="DD1702" t="s">
        <v>114</v>
      </c>
    </row>
    <row r="1703" spans="1:108" ht="15" customHeight="1" x14ac:dyDescent="0.25">
      <c r="A1703" t="s">
        <v>20585</v>
      </c>
      <c r="B1703" t="s">
        <v>152</v>
      </c>
      <c r="C1703" s="1">
        <v>45141.042457754629</v>
      </c>
      <c r="D1703" s="1">
        <v>45203</v>
      </c>
      <c r="E1703" t="s">
        <v>136</v>
      </c>
      <c r="F1703" t="s">
        <v>951</v>
      </c>
      <c r="G1703" t="str">
        <f>"43-4081.00"</f>
        <v>43-4081.00</v>
      </c>
      <c r="H1703" t="s">
        <v>952</v>
      </c>
      <c r="I1703">
        <v>10</v>
      </c>
      <c r="J1703">
        <v>10</v>
      </c>
      <c r="K1703" s="1">
        <v>45231</v>
      </c>
      <c r="L1703" s="1">
        <v>45505</v>
      </c>
      <c r="M1703" s="1">
        <v>45231</v>
      </c>
      <c r="N1703" s="1">
        <v>45505</v>
      </c>
      <c r="O1703" t="s">
        <v>116</v>
      </c>
      <c r="P1703" t="s">
        <v>758</v>
      </c>
      <c r="Q1703" t="s">
        <v>759</v>
      </c>
      <c r="R1703" t="s">
        <v>760</v>
      </c>
      <c r="T1703" t="s">
        <v>761</v>
      </c>
      <c r="U1703" t="s">
        <v>140</v>
      </c>
      <c r="V1703" s="8" t="str">
        <f>"33483"</f>
        <v>33483</v>
      </c>
      <c r="W1703" t="s">
        <v>118</v>
      </c>
      <c r="Y1703" s="10">
        <v>15612743200</v>
      </c>
      <c r="AA1703">
        <v>72111</v>
      </c>
      <c r="AB1703" t="s">
        <v>762</v>
      </c>
      <c r="AC1703" t="s">
        <v>763</v>
      </c>
      <c r="AE1703" t="s">
        <v>764</v>
      </c>
      <c r="AF1703" t="s">
        <v>760</v>
      </c>
      <c r="AH1703" t="s">
        <v>761</v>
      </c>
      <c r="AI1703" t="s">
        <v>140</v>
      </c>
      <c r="AJ1703" s="8" t="str">
        <f>"33483"</f>
        <v>33483</v>
      </c>
      <c r="AK1703" t="s">
        <v>118</v>
      </c>
      <c r="AM1703" s="10">
        <v>15612743200</v>
      </c>
      <c r="AO1703" t="s">
        <v>765</v>
      </c>
      <c r="AP1703" t="s">
        <v>248</v>
      </c>
      <c r="AQ1703" t="s">
        <v>458</v>
      </c>
      <c r="AR1703" t="s">
        <v>459</v>
      </c>
      <c r="AT1703" t="s">
        <v>460</v>
      </c>
      <c r="AU1703" t="s">
        <v>461</v>
      </c>
      <c r="AV1703" t="s">
        <v>766</v>
      </c>
      <c r="AW1703" t="s">
        <v>140</v>
      </c>
      <c r="AX1703" s="8" t="str">
        <f>"33141"</f>
        <v>33141</v>
      </c>
      <c r="AY1703" t="s">
        <v>118</v>
      </c>
      <c r="BA1703" s="10">
        <v>17863480376</v>
      </c>
      <c r="BC1703" t="s">
        <v>463</v>
      </c>
      <c r="BD1703" t="s">
        <v>464</v>
      </c>
      <c r="BG1703" t="s">
        <v>140</v>
      </c>
      <c r="BH1703" s="1">
        <v>45140.833333333336</v>
      </c>
      <c r="BI1703">
        <v>35</v>
      </c>
      <c r="BJ1703">
        <v>7</v>
      </c>
      <c r="BK1703">
        <v>7</v>
      </c>
      <c r="BL1703">
        <v>0</v>
      </c>
      <c r="BM1703">
        <v>0</v>
      </c>
      <c r="BN1703">
        <v>7</v>
      </c>
      <c r="BO1703">
        <v>7</v>
      </c>
      <c r="BP1703">
        <v>7</v>
      </c>
      <c r="BQ1703" t="str">
        <f>"10:00 AM"</f>
        <v>10:00 AM</v>
      </c>
      <c r="BR1703" t="str">
        <f>"5:00 PM"</f>
        <v>5:00 PM</v>
      </c>
      <c r="BS1703" t="s">
        <v>131</v>
      </c>
      <c r="BT1703">
        <v>0</v>
      </c>
      <c r="BU1703">
        <v>1</v>
      </c>
      <c r="BV1703" t="s">
        <v>114</v>
      </c>
      <c r="BX1703" t="s">
        <v>465</v>
      </c>
      <c r="BY1703" t="s">
        <v>760</v>
      </c>
      <c r="CA1703" t="s">
        <v>761</v>
      </c>
      <c r="CB1703" t="s">
        <v>140</v>
      </c>
      <c r="CC1703" s="8" t="str">
        <f>"33483"</f>
        <v>33483</v>
      </c>
      <c r="CD1703" t="s">
        <v>767</v>
      </c>
      <c r="CE1703" t="s">
        <v>149</v>
      </c>
      <c r="CF1703" s="12">
        <v>18</v>
      </c>
      <c r="CG1703" s="12">
        <v>18</v>
      </c>
      <c r="CH1703" s="12">
        <v>27</v>
      </c>
      <c r="CI1703" s="12">
        <v>27</v>
      </c>
      <c r="CJ1703" t="s">
        <v>135</v>
      </c>
      <c r="CL1703" t="s">
        <v>20586</v>
      </c>
      <c r="CO1703" t="s">
        <v>132</v>
      </c>
      <c r="CP1703" t="s">
        <v>136</v>
      </c>
      <c r="CQ1703" t="s">
        <v>114</v>
      </c>
      <c r="CR1703" t="s">
        <v>136</v>
      </c>
      <c r="CS1703" t="s">
        <v>114</v>
      </c>
      <c r="CT1703" t="s">
        <v>136</v>
      </c>
      <c r="CU1703" t="s">
        <v>114</v>
      </c>
      <c r="CV1703" s="2" t="s">
        <v>769</v>
      </c>
      <c r="CW1703" s="10" t="str">
        <f>"N/A"</f>
        <v>N/A</v>
      </c>
      <c r="CX1703" t="s">
        <v>765</v>
      </c>
      <c r="CY1703" t="s">
        <v>470</v>
      </c>
      <c r="CZ1703" t="s">
        <v>137</v>
      </c>
      <c r="DA1703" t="s">
        <v>114</v>
      </c>
      <c r="DB1703" t="s">
        <v>114</v>
      </c>
      <c r="DC1703" t="s">
        <v>136</v>
      </c>
      <c r="DD1703" t="s">
        <v>114</v>
      </c>
    </row>
    <row r="1704" spans="1:108" ht="15" customHeight="1" x14ac:dyDescent="0.25">
      <c r="A1704" t="s">
        <v>757</v>
      </c>
      <c r="B1704" t="s">
        <v>152</v>
      </c>
      <c r="C1704" s="1">
        <v>45141.042268055557</v>
      </c>
      <c r="D1704" s="1">
        <v>45203</v>
      </c>
      <c r="E1704" t="s">
        <v>136</v>
      </c>
      <c r="F1704" t="s">
        <v>293</v>
      </c>
      <c r="G1704" t="str">
        <f>"37-2012.00"</f>
        <v>37-2012.00</v>
      </c>
      <c r="H1704" t="s">
        <v>205</v>
      </c>
      <c r="I1704">
        <v>11</v>
      </c>
      <c r="J1704">
        <v>11</v>
      </c>
      <c r="K1704" s="1">
        <v>45231</v>
      </c>
      <c r="L1704" s="1">
        <v>45505</v>
      </c>
      <c r="M1704" s="1">
        <v>45231</v>
      </c>
      <c r="N1704" s="1">
        <v>45505</v>
      </c>
      <c r="O1704" t="s">
        <v>116</v>
      </c>
      <c r="P1704" t="s">
        <v>758</v>
      </c>
      <c r="Q1704" t="s">
        <v>759</v>
      </c>
      <c r="R1704" t="s">
        <v>760</v>
      </c>
      <c r="T1704" t="s">
        <v>761</v>
      </c>
      <c r="U1704" t="s">
        <v>140</v>
      </c>
      <c r="V1704" s="8" t="str">
        <f>"33483"</f>
        <v>33483</v>
      </c>
      <c r="W1704" t="s">
        <v>118</v>
      </c>
      <c r="Y1704" s="10">
        <v>15612743200</v>
      </c>
      <c r="AA1704">
        <v>72111</v>
      </c>
      <c r="AB1704" t="s">
        <v>762</v>
      </c>
      <c r="AC1704" t="s">
        <v>763</v>
      </c>
      <c r="AE1704" t="s">
        <v>764</v>
      </c>
      <c r="AF1704" t="s">
        <v>760</v>
      </c>
      <c r="AH1704" t="s">
        <v>761</v>
      </c>
      <c r="AI1704" t="s">
        <v>140</v>
      </c>
      <c r="AJ1704" s="8" t="str">
        <f>"33483"</f>
        <v>33483</v>
      </c>
      <c r="AK1704" t="s">
        <v>118</v>
      </c>
      <c r="AM1704" s="10">
        <v>15612743200</v>
      </c>
      <c r="AO1704" t="s">
        <v>765</v>
      </c>
      <c r="AP1704" t="s">
        <v>248</v>
      </c>
      <c r="AQ1704" t="s">
        <v>458</v>
      </c>
      <c r="AR1704" t="s">
        <v>459</v>
      </c>
      <c r="AT1704" t="s">
        <v>460</v>
      </c>
      <c r="AU1704" t="s">
        <v>461</v>
      </c>
      <c r="AV1704" t="s">
        <v>766</v>
      </c>
      <c r="AW1704" t="s">
        <v>140</v>
      </c>
      <c r="AX1704" s="8" t="str">
        <f>"33141"</f>
        <v>33141</v>
      </c>
      <c r="AY1704" t="s">
        <v>118</v>
      </c>
      <c r="BA1704" s="10">
        <v>17863480376</v>
      </c>
      <c r="BC1704" t="s">
        <v>463</v>
      </c>
      <c r="BD1704" t="s">
        <v>464</v>
      </c>
      <c r="BG1704" t="s">
        <v>140</v>
      </c>
      <c r="BH1704" s="1">
        <v>45140.833333333336</v>
      </c>
      <c r="BI1704">
        <v>35</v>
      </c>
      <c r="BJ1704">
        <v>7</v>
      </c>
      <c r="BK1704">
        <v>7</v>
      </c>
      <c r="BL1704">
        <v>0</v>
      </c>
      <c r="BM1704">
        <v>0</v>
      </c>
      <c r="BN1704">
        <v>7</v>
      </c>
      <c r="BO1704">
        <v>7</v>
      </c>
      <c r="BP1704">
        <v>7</v>
      </c>
      <c r="BQ1704" t="str">
        <f>"8:00 AM"</f>
        <v>8:00 AM</v>
      </c>
      <c r="BR1704" t="str">
        <f>"3:00 PM"</f>
        <v>3:00 PM</v>
      </c>
      <c r="BS1704" t="s">
        <v>131</v>
      </c>
      <c r="BT1704">
        <v>0</v>
      </c>
      <c r="BU1704">
        <v>1</v>
      </c>
      <c r="BV1704" t="s">
        <v>114</v>
      </c>
      <c r="BX1704" t="s">
        <v>465</v>
      </c>
      <c r="BY1704" t="s">
        <v>760</v>
      </c>
      <c r="CA1704" t="s">
        <v>761</v>
      </c>
      <c r="CB1704" t="s">
        <v>140</v>
      </c>
      <c r="CC1704" s="8" t="str">
        <f>"33483"</f>
        <v>33483</v>
      </c>
      <c r="CD1704" t="s">
        <v>767</v>
      </c>
      <c r="CE1704" t="s">
        <v>149</v>
      </c>
      <c r="CF1704" s="12">
        <v>15</v>
      </c>
      <c r="CG1704" s="12">
        <v>15</v>
      </c>
      <c r="CH1704" s="12">
        <v>22.5</v>
      </c>
      <c r="CI1704" s="12">
        <v>22.5</v>
      </c>
      <c r="CJ1704" t="s">
        <v>135</v>
      </c>
      <c r="CL1704" t="s">
        <v>768</v>
      </c>
      <c r="CO1704" t="s">
        <v>132</v>
      </c>
      <c r="CP1704" t="s">
        <v>136</v>
      </c>
      <c r="CQ1704" t="s">
        <v>114</v>
      </c>
      <c r="CR1704" t="s">
        <v>136</v>
      </c>
      <c r="CS1704" t="s">
        <v>114</v>
      </c>
      <c r="CT1704" t="s">
        <v>136</v>
      </c>
      <c r="CU1704" t="s">
        <v>114</v>
      </c>
      <c r="CV1704" s="2" t="s">
        <v>769</v>
      </c>
      <c r="CW1704" s="10" t="str">
        <f>"N/A"</f>
        <v>N/A</v>
      </c>
      <c r="CX1704" t="s">
        <v>765</v>
      </c>
      <c r="CY1704" t="s">
        <v>470</v>
      </c>
      <c r="CZ1704" t="s">
        <v>137</v>
      </c>
      <c r="DA1704" t="s">
        <v>114</v>
      </c>
      <c r="DB1704" t="s">
        <v>114</v>
      </c>
      <c r="DC1704" t="s">
        <v>136</v>
      </c>
      <c r="DD1704" t="s">
        <v>114</v>
      </c>
    </row>
    <row r="1705" spans="1:108" ht="15" customHeight="1" x14ac:dyDescent="0.25">
      <c r="A1705" t="s">
        <v>21721</v>
      </c>
      <c r="B1705" t="s">
        <v>152</v>
      </c>
      <c r="C1705" s="1">
        <v>45141.042100231483</v>
      </c>
      <c r="D1705" s="1">
        <v>45203</v>
      </c>
      <c r="E1705" t="s">
        <v>136</v>
      </c>
      <c r="F1705" t="s">
        <v>5756</v>
      </c>
      <c r="G1705" t="str">
        <f>"35-2014.00"</f>
        <v>35-2014.00</v>
      </c>
      <c r="H1705" t="s">
        <v>154</v>
      </c>
      <c r="I1705">
        <v>10</v>
      </c>
      <c r="J1705">
        <v>10</v>
      </c>
      <c r="K1705" s="1">
        <v>45231</v>
      </c>
      <c r="L1705" s="1">
        <v>45505</v>
      </c>
      <c r="M1705" s="1">
        <v>45231</v>
      </c>
      <c r="N1705" s="1">
        <v>45505</v>
      </c>
      <c r="O1705" t="s">
        <v>116</v>
      </c>
      <c r="P1705" t="s">
        <v>450</v>
      </c>
      <c r="Q1705" t="s">
        <v>451</v>
      </c>
      <c r="R1705" t="s">
        <v>452</v>
      </c>
      <c r="T1705" t="s">
        <v>453</v>
      </c>
      <c r="U1705" t="s">
        <v>140</v>
      </c>
      <c r="V1705" s="8" t="str">
        <f>"33767"</f>
        <v>33767</v>
      </c>
      <c r="W1705" t="s">
        <v>118</v>
      </c>
      <c r="Y1705" s="10">
        <v>17274500380</v>
      </c>
      <c r="AA1705">
        <v>72111</v>
      </c>
      <c r="AB1705" t="s">
        <v>454</v>
      </c>
      <c r="AC1705" t="s">
        <v>455</v>
      </c>
      <c r="AE1705" t="s">
        <v>456</v>
      </c>
      <c r="AF1705" t="s">
        <v>452</v>
      </c>
      <c r="AH1705" t="s">
        <v>453</v>
      </c>
      <c r="AI1705" t="s">
        <v>140</v>
      </c>
      <c r="AJ1705" s="8" t="str">
        <f>"33767"</f>
        <v>33767</v>
      </c>
      <c r="AK1705" t="s">
        <v>118</v>
      </c>
      <c r="AM1705" s="10">
        <v>17274500380</v>
      </c>
      <c r="AO1705" t="s">
        <v>457</v>
      </c>
      <c r="AP1705" t="s">
        <v>248</v>
      </c>
      <c r="AQ1705" t="s">
        <v>458</v>
      </c>
      <c r="AR1705" t="s">
        <v>459</v>
      </c>
      <c r="AT1705" t="s">
        <v>460</v>
      </c>
      <c r="AU1705" t="s">
        <v>461</v>
      </c>
      <c r="AV1705" t="s">
        <v>462</v>
      </c>
      <c r="AW1705" t="s">
        <v>140</v>
      </c>
      <c r="AX1705" s="8" t="str">
        <f>"33141"</f>
        <v>33141</v>
      </c>
      <c r="AY1705" t="s">
        <v>118</v>
      </c>
      <c r="BA1705" s="10">
        <v>17863480376</v>
      </c>
      <c r="BC1705" t="s">
        <v>463</v>
      </c>
      <c r="BD1705" t="s">
        <v>464</v>
      </c>
      <c r="BG1705" t="s">
        <v>140</v>
      </c>
      <c r="BH1705" s="1">
        <v>45140.833333333336</v>
      </c>
      <c r="BI1705">
        <v>35</v>
      </c>
      <c r="BJ1705">
        <v>7</v>
      </c>
      <c r="BK1705">
        <v>7</v>
      </c>
      <c r="BL1705">
        <v>0</v>
      </c>
      <c r="BM1705">
        <v>0</v>
      </c>
      <c r="BN1705">
        <v>7</v>
      </c>
      <c r="BO1705">
        <v>7</v>
      </c>
      <c r="BP1705">
        <v>7</v>
      </c>
      <c r="BQ1705" t="str">
        <f>"7:00 AM"</f>
        <v>7:00 AM</v>
      </c>
      <c r="BR1705" t="str">
        <f>"2:00 PM"</f>
        <v>2:00 PM</v>
      </c>
      <c r="BS1705" t="s">
        <v>131</v>
      </c>
      <c r="BT1705">
        <v>0</v>
      </c>
      <c r="BU1705">
        <v>1</v>
      </c>
      <c r="BV1705" t="s">
        <v>114</v>
      </c>
      <c r="BX1705" t="s">
        <v>21722</v>
      </c>
      <c r="BY1705" t="s">
        <v>452</v>
      </c>
      <c r="CA1705" t="s">
        <v>453</v>
      </c>
      <c r="CB1705" t="s">
        <v>140</v>
      </c>
      <c r="CC1705" s="8" t="str">
        <f>"33767"</f>
        <v>33767</v>
      </c>
      <c r="CD1705" t="s">
        <v>466</v>
      </c>
      <c r="CE1705" t="s">
        <v>467</v>
      </c>
      <c r="CF1705" s="12">
        <v>17</v>
      </c>
      <c r="CG1705" s="12">
        <v>17</v>
      </c>
      <c r="CH1705" s="12">
        <v>25.5</v>
      </c>
      <c r="CI1705" s="12">
        <v>25.5</v>
      </c>
      <c r="CJ1705" t="s">
        <v>135</v>
      </c>
      <c r="CL1705" t="s">
        <v>21723</v>
      </c>
      <c r="CO1705" t="s">
        <v>132</v>
      </c>
      <c r="CP1705" t="s">
        <v>136</v>
      </c>
      <c r="CQ1705" t="s">
        <v>114</v>
      </c>
      <c r="CR1705" t="s">
        <v>136</v>
      </c>
      <c r="CS1705" t="s">
        <v>114</v>
      </c>
      <c r="CT1705" t="s">
        <v>136</v>
      </c>
      <c r="CU1705" t="s">
        <v>114</v>
      </c>
      <c r="CV1705" s="2" t="s">
        <v>469</v>
      </c>
      <c r="CW1705" s="10" t="str">
        <f>"N/A"</f>
        <v>N/A</v>
      </c>
      <c r="CX1705" t="s">
        <v>457</v>
      </c>
      <c r="CY1705" t="s">
        <v>470</v>
      </c>
      <c r="CZ1705" t="s">
        <v>137</v>
      </c>
      <c r="DA1705" t="s">
        <v>114</v>
      </c>
      <c r="DB1705" t="s">
        <v>114</v>
      </c>
      <c r="DC1705" t="s">
        <v>136</v>
      </c>
      <c r="DD1705" t="s">
        <v>114</v>
      </c>
    </row>
    <row r="1706" spans="1:108" ht="15" customHeight="1" x14ac:dyDescent="0.25">
      <c r="A1706" t="s">
        <v>19583</v>
      </c>
      <c r="B1706" t="s">
        <v>152</v>
      </c>
      <c r="C1706" s="1">
        <v>45141.041749074073</v>
      </c>
      <c r="D1706" s="1">
        <v>45203</v>
      </c>
      <c r="E1706" t="s">
        <v>136</v>
      </c>
      <c r="F1706" t="s">
        <v>3843</v>
      </c>
      <c r="G1706" t="str">
        <f>"43-4081.00"</f>
        <v>43-4081.00</v>
      </c>
      <c r="H1706" t="s">
        <v>952</v>
      </c>
      <c r="I1706">
        <v>5</v>
      </c>
      <c r="J1706">
        <v>5</v>
      </c>
      <c r="K1706" s="1">
        <v>45231</v>
      </c>
      <c r="L1706" s="1">
        <v>45505</v>
      </c>
      <c r="M1706" s="1">
        <v>45231</v>
      </c>
      <c r="N1706" s="1">
        <v>45505</v>
      </c>
      <c r="O1706" t="s">
        <v>116</v>
      </c>
      <c r="P1706" t="s">
        <v>450</v>
      </c>
      <c r="Q1706" t="s">
        <v>451</v>
      </c>
      <c r="R1706" t="s">
        <v>452</v>
      </c>
      <c r="T1706" t="s">
        <v>453</v>
      </c>
      <c r="U1706" t="s">
        <v>140</v>
      </c>
      <c r="V1706" s="8" t="str">
        <f>"33767"</f>
        <v>33767</v>
      </c>
      <c r="W1706" t="s">
        <v>118</v>
      </c>
      <c r="Y1706" s="10">
        <v>17274500380</v>
      </c>
      <c r="AA1706">
        <v>72111</v>
      </c>
      <c r="AB1706" t="s">
        <v>454</v>
      </c>
      <c r="AC1706" t="s">
        <v>455</v>
      </c>
      <c r="AE1706" t="s">
        <v>456</v>
      </c>
      <c r="AF1706" t="s">
        <v>452</v>
      </c>
      <c r="AH1706" t="s">
        <v>453</v>
      </c>
      <c r="AI1706" t="s">
        <v>140</v>
      </c>
      <c r="AJ1706" s="8" t="str">
        <f>"33767"</f>
        <v>33767</v>
      </c>
      <c r="AK1706" t="s">
        <v>118</v>
      </c>
      <c r="AM1706" s="10">
        <v>17274500380</v>
      </c>
      <c r="AO1706" t="s">
        <v>457</v>
      </c>
      <c r="AP1706" t="s">
        <v>248</v>
      </c>
      <c r="AQ1706" t="s">
        <v>458</v>
      </c>
      <c r="AR1706" t="s">
        <v>459</v>
      </c>
      <c r="AT1706" t="s">
        <v>460</v>
      </c>
      <c r="AU1706" t="s">
        <v>461</v>
      </c>
      <c r="AV1706" t="s">
        <v>462</v>
      </c>
      <c r="AW1706" t="s">
        <v>140</v>
      </c>
      <c r="AX1706" s="8" t="str">
        <f>"33141"</f>
        <v>33141</v>
      </c>
      <c r="AY1706" t="s">
        <v>118</v>
      </c>
      <c r="BA1706" s="10">
        <v>17863480376</v>
      </c>
      <c r="BC1706" t="s">
        <v>463</v>
      </c>
      <c r="BD1706" t="s">
        <v>464</v>
      </c>
      <c r="BG1706" t="s">
        <v>140</v>
      </c>
      <c r="BH1706" s="1">
        <v>45140.833333333336</v>
      </c>
      <c r="BI1706">
        <v>35</v>
      </c>
      <c r="BJ1706">
        <v>7</v>
      </c>
      <c r="BK1706">
        <v>7</v>
      </c>
      <c r="BL1706">
        <v>0</v>
      </c>
      <c r="BM1706">
        <v>0</v>
      </c>
      <c r="BN1706">
        <v>7</v>
      </c>
      <c r="BO1706">
        <v>7</v>
      </c>
      <c r="BP1706">
        <v>7</v>
      </c>
      <c r="BQ1706" t="str">
        <f>"10:00 AM"</f>
        <v>10:00 AM</v>
      </c>
      <c r="BR1706" t="str">
        <f>"5:00 PM"</f>
        <v>5:00 PM</v>
      </c>
      <c r="BS1706" t="s">
        <v>131</v>
      </c>
      <c r="BT1706">
        <v>0</v>
      </c>
      <c r="BU1706">
        <v>1</v>
      </c>
      <c r="BV1706" t="s">
        <v>114</v>
      </c>
      <c r="BX1706" t="s">
        <v>465</v>
      </c>
      <c r="BY1706" t="s">
        <v>452</v>
      </c>
      <c r="CA1706" t="s">
        <v>453</v>
      </c>
      <c r="CB1706" t="s">
        <v>140</v>
      </c>
      <c r="CC1706" s="8" t="str">
        <f>"33767"</f>
        <v>33767</v>
      </c>
      <c r="CD1706" t="s">
        <v>466</v>
      </c>
      <c r="CE1706" t="s">
        <v>467</v>
      </c>
      <c r="CF1706" s="12">
        <v>16</v>
      </c>
      <c r="CG1706" s="12">
        <v>16</v>
      </c>
      <c r="CH1706" s="12">
        <v>24</v>
      </c>
      <c r="CI1706" s="12">
        <v>24</v>
      </c>
      <c r="CJ1706" t="s">
        <v>135</v>
      </c>
      <c r="CL1706" t="s">
        <v>19584</v>
      </c>
      <c r="CO1706" t="s">
        <v>132</v>
      </c>
      <c r="CP1706" t="s">
        <v>136</v>
      </c>
      <c r="CQ1706" t="s">
        <v>114</v>
      </c>
      <c r="CR1706" t="s">
        <v>136</v>
      </c>
      <c r="CS1706" t="s">
        <v>114</v>
      </c>
      <c r="CT1706" t="s">
        <v>136</v>
      </c>
      <c r="CU1706" t="s">
        <v>114</v>
      </c>
      <c r="CV1706" s="2" t="s">
        <v>469</v>
      </c>
      <c r="CW1706" s="10" t="str">
        <f>"N/A"</f>
        <v>N/A</v>
      </c>
      <c r="CX1706" t="s">
        <v>457</v>
      </c>
      <c r="CY1706" t="s">
        <v>470</v>
      </c>
      <c r="CZ1706" t="s">
        <v>137</v>
      </c>
      <c r="DA1706" t="s">
        <v>114</v>
      </c>
      <c r="DB1706" t="s">
        <v>114</v>
      </c>
      <c r="DC1706" t="s">
        <v>136</v>
      </c>
      <c r="DD1706" t="s">
        <v>114</v>
      </c>
    </row>
    <row r="1707" spans="1:108" ht="15" customHeight="1" x14ac:dyDescent="0.25">
      <c r="A1707" t="s">
        <v>448</v>
      </c>
      <c r="B1707" t="s">
        <v>152</v>
      </c>
      <c r="C1707" s="1">
        <v>45141.041570370369</v>
      </c>
      <c r="D1707" s="1">
        <v>45203</v>
      </c>
      <c r="E1707" t="s">
        <v>136</v>
      </c>
      <c r="F1707" t="s">
        <v>449</v>
      </c>
      <c r="G1707" t="str">
        <f>"37-2012.00"</f>
        <v>37-2012.00</v>
      </c>
      <c r="H1707" t="s">
        <v>205</v>
      </c>
      <c r="I1707">
        <v>39</v>
      </c>
      <c r="J1707">
        <v>39</v>
      </c>
      <c r="K1707" s="1">
        <v>45231</v>
      </c>
      <c r="L1707" s="1">
        <v>45505</v>
      </c>
      <c r="M1707" s="1">
        <v>45231</v>
      </c>
      <c r="N1707" s="1">
        <v>45505</v>
      </c>
      <c r="O1707" t="s">
        <v>116</v>
      </c>
      <c r="P1707" t="s">
        <v>450</v>
      </c>
      <c r="Q1707" t="s">
        <v>451</v>
      </c>
      <c r="R1707" t="s">
        <v>452</v>
      </c>
      <c r="T1707" t="s">
        <v>453</v>
      </c>
      <c r="U1707" t="s">
        <v>140</v>
      </c>
      <c r="V1707" s="8" t="str">
        <f>"33767"</f>
        <v>33767</v>
      </c>
      <c r="W1707" t="s">
        <v>118</v>
      </c>
      <c r="Y1707" s="10">
        <v>17274500380</v>
      </c>
      <c r="AA1707">
        <v>72111</v>
      </c>
      <c r="AB1707" t="s">
        <v>454</v>
      </c>
      <c r="AC1707" t="s">
        <v>455</v>
      </c>
      <c r="AE1707" t="s">
        <v>456</v>
      </c>
      <c r="AF1707" t="s">
        <v>452</v>
      </c>
      <c r="AH1707" t="s">
        <v>453</v>
      </c>
      <c r="AI1707" t="s">
        <v>140</v>
      </c>
      <c r="AJ1707" s="8" t="str">
        <f>"33767"</f>
        <v>33767</v>
      </c>
      <c r="AK1707" t="s">
        <v>118</v>
      </c>
      <c r="AM1707" s="10">
        <v>17274500380</v>
      </c>
      <c r="AO1707" t="s">
        <v>457</v>
      </c>
      <c r="AP1707" t="s">
        <v>248</v>
      </c>
      <c r="AQ1707" t="s">
        <v>458</v>
      </c>
      <c r="AR1707" t="s">
        <v>459</v>
      </c>
      <c r="AT1707" t="s">
        <v>460</v>
      </c>
      <c r="AU1707" t="s">
        <v>461</v>
      </c>
      <c r="AV1707" t="s">
        <v>462</v>
      </c>
      <c r="AW1707" t="s">
        <v>140</v>
      </c>
      <c r="AX1707" s="8" t="str">
        <f>"33141"</f>
        <v>33141</v>
      </c>
      <c r="AY1707" t="s">
        <v>118</v>
      </c>
      <c r="BA1707" s="10">
        <v>17863480376</v>
      </c>
      <c r="BC1707" t="s">
        <v>463</v>
      </c>
      <c r="BD1707" t="s">
        <v>464</v>
      </c>
      <c r="BG1707" t="s">
        <v>140</v>
      </c>
      <c r="BH1707" s="1">
        <v>45140.833333333336</v>
      </c>
      <c r="BI1707">
        <v>35</v>
      </c>
      <c r="BJ1707">
        <v>7</v>
      </c>
      <c r="BK1707">
        <v>7</v>
      </c>
      <c r="BL1707">
        <v>0</v>
      </c>
      <c r="BM1707">
        <v>0</v>
      </c>
      <c r="BN1707">
        <v>7</v>
      </c>
      <c r="BO1707">
        <v>7</v>
      </c>
      <c r="BP1707">
        <v>7</v>
      </c>
      <c r="BQ1707" t="str">
        <f>"8:00 AM"</f>
        <v>8:00 AM</v>
      </c>
      <c r="BR1707" t="str">
        <f>"3:00 PM"</f>
        <v>3:00 PM</v>
      </c>
      <c r="BS1707" t="s">
        <v>131</v>
      </c>
      <c r="BT1707">
        <v>0</v>
      </c>
      <c r="BU1707">
        <v>1</v>
      </c>
      <c r="BV1707" t="s">
        <v>114</v>
      </c>
      <c r="BX1707" t="s">
        <v>465</v>
      </c>
      <c r="BY1707" t="s">
        <v>452</v>
      </c>
      <c r="CA1707" t="s">
        <v>453</v>
      </c>
      <c r="CB1707" t="s">
        <v>140</v>
      </c>
      <c r="CC1707" s="8" t="str">
        <f>"33767"</f>
        <v>33767</v>
      </c>
      <c r="CD1707" t="s">
        <v>466</v>
      </c>
      <c r="CE1707" t="s">
        <v>467</v>
      </c>
      <c r="CF1707" s="12">
        <v>14</v>
      </c>
      <c r="CG1707" s="12">
        <v>14</v>
      </c>
      <c r="CH1707" s="12">
        <v>21</v>
      </c>
      <c r="CI1707" s="12">
        <v>21</v>
      </c>
      <c r="CJ1707" t="s">
        <v>135</v>
      </c>
      <c r="CL1707" t="s">
        <v>468</v>
      </c>
      <c r="CO1707" t="s">
        <v>132</v>
      </c>
      <c r="CP1707" t="s">
        <v>136</v>
      </c>
      <c r="CQ1707" t="s">
        <v>114</v>
      </c>
      <c r="CR1707" t="s">
        <v>136</v>
      </c>
      <c r="CS1707" t="s">
        <v>114</v>
      </c>
      <c r="CT1707" t="s">
        <v>136</v>
      </c>
      <c r="CU1707" t="s">
        <v>114</v>
      </c>
      <c r="CV1707" s="2" t="s">
        <v>469</v>
      </c>
      <c r="CW1707" s="10" t="str">
        <f>"N/A"</f>
        <v>N/A</v>
      </c>
      <c r="CX1707" t="s">
        <v>457</v>
      </c>
      <c r="CY1707" t="s">
        <v>470</v>
      </c>
      <c r="CZ1707" t="s">
        <v>137</v>
      </c>
      <c r="DA1707" t="s">
        <v>114</v>
      </c>
      <c r="DB1707" t="s">
        <v>114</v>
      </c>
      <c r="DC1707" t="s">
        <v>136</v>
      </c>
      <c r="DD1707" t="s">
        <v>114</v>
      </c>
    </row>
    <row r="1708" spans="1:108" ht="15" customHeight="1" x14ac:dyDescent="0.25">
      <c r="A1708" t="s">
        <v>8383</v>
      </c>
      <c r="B1708" t="s">
        <v>152</v>
      </c>
      <c r="C1708" s="1">
        <v>45141.04068888889</v>
      </c>
      <c r="D1708" s="1">
        <v>45203</v>
      </c>
      <c r="E1708" t="s">
        <v>136</v>
      </c>
      <c r="F1708" t="s">
        <v>5756</v>
      </c>
      <c r="G1708" t="str">
        <f>"35-2014.00"</f>
        <v>35-2014.00</v>
      </c>
      <c r="H1708" t="s">
        <v>154</v>
      </c>
      <c r="I1708">
        <v>5</v>
      </c>
      <c r="J1708">
        <v>5</v>
      </c>
      <c r="K1708" s="1">
        <v>45231</v>
      </c>
      <c r="L1708" s="1">
        <v>45443</v>
      </c>
      <c r="M1708" s="1">
        <v>45231</v>
      </c>
      <c r="N1708" s="1">
        <v>45443</v>
      </c>
      <c r="O1708" t="s">
        <v>116</v>
      </c>
      <c r="P1708" t="s">
        <v>6068</v>
      </c>
      <c r="Q1708" t="s">
        <v>6069</v>
      </c>
      <c r="R1708" t="s">
        <v>6070</v>
      </c>
      <c r="T1708" t="s">
        <v>272</v>
      </c>
      <c r="U1708" t="s">
        <v>140</v>
      </c>
      <c r="V1708" s="8" t="str">
        <f>"33019"</f>
        <v>33019</v>
      </c>
      <c r="W1708" t="s">
        <v>118</v>
      </c>
      <c r="Y1708" s="10">
        <v>16035592180</v>
      </c>
      <c r="AA1708">
        <v>721110</v>
      </c>
      <c r="AB1708" t="s">
        <v>6071</v>
      </c>
      <c r="AC1708" t="s">
        <v>1193</v>
      </c>
      <c r="AE1708" t="s">
        <v>764</v>
      </c>
      <c r="AF1708" t="s">
        <v>6070</v>
      </c>
      <c r="AH1708" t="s">
        <v>272</v>
      </c>
      <c r="AI1708" t="s">
        <v>140</v>
      </c>
      <c r="AJ1708" s="8" t="str">
        <f>"33019"</f>
        <v>33019</v>
      </c>
      <c r="AK1708" t="s">
        <v>118</v>
      </c>
      <c r="AM1708" s="10">
        <v>16035592100</v>
      </c>
      <c r="AO1708" t="s">
        <v>6072</v>
      </c>
      <c r="AP1708" t="s">
        <v>248</v>
      </c>
      <c r="AQ1708" t="s">
        <v>458</v>
      </c>
      <c r="AR1708" t="s">
        <v>459</v>
      </c>
      <c r="AT1708" t="s">
        <v>460</v>
      </c>
      <c r="AU1708" t="s">
        <v>1374</v>
      </c>
      <c r="AV1708" t="s">
        <v>1375</v>
      </c>
      <c r="AW1708" t="s">
        <v>140</v>
      </c>
      <c r="AX1708" s="8" t="str">
        <f>"33141"</f>
        <v>33141</v>
      </c>
      <c r="AY1708" t="s">
        <v>118</v>
      </c>
      <c r="BA1708" s="10">
        <v>17863480376</v>
      </c>
      <c r="BC1708" t="s">
        <v>463</v>
      </c>
      <c r="BD1708" t="s">
        <v>464</v>
      </c>
      <c r="BG1708" t="s">
        <v>140</v>
      </c>
      <c r="BH1708" s="1">
        <v>45140.833333333336</v>
      </c>
      <c r="BI1708">
        <v>35</v>
      </c>
      <c r="BJ1708">
        <v>7</v>
      </c>
      <c r="BK1708">
        <v>7</v>
      </c>
      <c r="BL1708">
        <v>0</v>
      </c>
      <c r="BM1708">
        <v>0</v>
      </c>
      <c r="BN1708">
        <v>7</v>
      </c>
      <c r="BO1708">
        <v>7</v>
      </c>
      <c r="BP1708">
        <v>7</v>
      </c>
      <c r="BQ1708" t="str">
        <f>"7:00 AM"</f>
        <v>7:00 AM</v>
      </c>
      <c r="BR1708" t="str">
        <f>"2:00 PM"</f>
        <v>2:00 PM</v>
      </c>
      <c r="BS1708" t="s">
        <v>131</v>
      </c>
      <c r="BT1708">
        <v>0</v>
      </c>
      <c r="BU1708">
        <v>1</v>
      </c>
      <c r="BV1708" t="s">
        <v>114</v>
      </c>
      <c r="BX1708" t="s">
        <v>465</v>
      </c>
      <c r="BY1708" t="s">
        <v>6070</v>
      </c>
      <c r="CA1708" t="s">
        <v>272</v>
      </c>
      <c r="CB1708" t="s">
        <v>140</v>
      </c>
      <c r="CC1708" s="8" t="str">
        <f>"33019"</f>
        <v>33019</v>
      </c>
      <c r="CD1708" t="s">
        <v>287</v>
      </c>
      <c r="CE1708" t="s">
        <v>149</v>
      </c>
      <c r="CF1708" s="12">
        <v>17</v>
      </c>
      <c r="CG1708" s="12">
        <v>19</v>
      </c>
      <c r="CH1708" s="12">
        <v>25.5</v>
      </c>
      <c r="CI1708" s="12">
        <v>28.5</v>
      </c>
      <c r="CJ1708" t="s">
        <v>135</v>
      </c>
      <c r="CL1708" t="s">
        <v>8384</v>
      </c>
      <c r="CO1708" t="s">
        <v>132</v>
      </c>
      <c r="CP1708" t="s">
        <v>114</v>
      </c>
      <c r="CQ1708" t="s">
        <v>114</v>
      </c>
      <c r="CR1708" t="s">
        <v>136</v>
      </c>
      <c r="CS1708" t="s">
        <v>114</v>
      </c>
      <c r="CT1708" t="s">
        <v>136</v>
      </c>
      <c r="CU1708" t="s">
        <v>114</v>
      </c>
      <c r="CV1708" s="2" t="s">
        <v>6074</v>
      </c>
      <c r="CW1708" s="10" t="str">
        <f>"N/A"</f>
        <v>N/A</v>
      </c>
      <c r="CX1708" t="s">
        <v>6075</v>
      </c>
      <c r="CY1708" t="s">
        <v>470</v>
      </c>
      <c r="CZ1708" t="s">
        <v>137</v>
      </c>
      <c r="DA1708" t="s">
        <v>114</v>
      </c>
      <c r="DB1708" t="s">
        <v>114</v>
      </c>
      <c r="DC1708" t="s">
        <v>136</v>
      </c>
      <c r="DD1708" t="s">
        <v>114</v>
      </c>
    </row>
    <row r="1709" spans="1:108" ht="15" customHeight="1" x14ac:dyDescent="0.25">
      <c r="A1709" t="s">
        <v>17054</v>
      </c>
      <c r="B1709" t="s">
        <v>152</v>
      </c>
      <c r="C1709" s="1">
        <v>45141.038278356478</v>
      </c>
      <c r="D1709" s="1">
        <v>45203</v>
      </c>
      <c r="E1709" t="s">
        <v>114</v>
      </c>
      <c r="F1709" t="s">
        <v>6051</v>
      </c>
      <c r="G1709" t="str">
        <f>"35-3031.00"</f>
        <v>35-3031.00</v>
      </c>
      <c r="H1709" t="s">
        <v>347</v>
      </c>
      <c r="I1709">
        <v>10</v>
      </c>
      <c r="J1709">
        <v>10</v>
      </c>
      <c r="K1709" s="1">
        <v>45231</v>
      </c>
      <c r="L1709" s="1">
        <v>45443</v>
      </c>
      <c r="M1709" s="1">
        <v>45231</v>
      </c>
      <c r="N1709" s="1">
        <v>45443</v>
      </c>
      <c r="O1709" t="s">
        <v>116</v>
      </c>
      <c r="P1709" t="s">
        <v>17055</v>
      </c>
      <c r="Q1709" t="s">
        <v>17056</v>
      </c>
      <c r="R1709" t="s">
        <v>17057</v>
      </c>
      <c r="T1709" t="s">
        <v>17058</v>
      </c>
      <c r="U1709" t="s">
        <v>140</v>
      </c>
      <c r="V1709" s="8" t="str">
        <f>"34228"</f>
        <v>34228</v>
      </c>
      <c r="W1709" t="s">
        <v>118</v>
      </c>
      <c r="Y1709" s="10">
        <v>19413838821</v>
      </c>
      <c r="AA1709">
        <v>72111</v>
      </c>
      <c r="AB1709" t="s">
        <v>17059</v>
      </c>
      <c r="AC1709" t="s">
        <v>17060</v>
      </c>
      <c r="AE1709" t="s">
        <v>456</v>
      </c>
      <c r="AF1709" t="s">
        <v>17057</v>
      </c>
      <c r="AH1709" t="s">
        <v>17058</v>
      </c>
      <c r="AI1709" t="s">
        <v>140</v>
      </c>
      <c r="AJ1709" s="8" t="str">
        <f>"34228"</f>
        <v>34228</v>
      </c>
      <c r="AK1709" t="s">
        <v>118</v>
      </c>
      <c r="AM1709" s="10">
        <v>19413838821</v>
      </c>
      <c r="AO1709" t="s">
        <v>17061</v>
      </c>
      <c r="AP1709" t="s">
        <v>248</v>
      </c>
      <c r="AQ1709" t="s">
        <v>458</v>
      </c>
      <c r="AR1709" t="s">
        <v>459</v>
      </c>
      <c r="AT1709" t="s">
        <v>460</v>
      </c>
      <c r="AU1709" t="s">
        <v>461</v>
      </c>
      <c r="AV1709" t="s">
        <v>1375</v>
      </c>
      <c r="AW1709" t="s">
        <v>140</v>
      </c>
      <c r="AX1709" s="8" t="str">
        <f>"33141"</f>
        <v>33141</v>
      </c>
      <c r="AY1709" t="s">
        <v>118</v>
      </c>
      <c r="BA1709" s="10">
        <v>17863480376</v>
      </c>
      <c r="BC1709" t="s">
        <v>463</v>
      </c>
      <c r="BD1709" t="s">
        <v>464</v>
      </c>
      <c r="BG1709" t="s">
        <v>140</v>
      </c>
      <c r="BH1709" s="1">
        <v>45140.833333333336</v>
      </c>
      <c r="BI1709">
        <v>35</v>
      </c>
      <c r="BJ1709">
        <v>7</v>
      </c>
      <c r="BK1709">
        <v>7</v>
      </c>
      <c r="BL1709">
        <v>0</v>
      </c>
      <c r="BM1709">
        <v>0</v>
      </c>
      <c r="BN1709">
        <v>7</v>
      </c>
      <c r="BO1709">
        <v>7</v>
      </c>
      <c r="BP1709">
        <v>7</v>
      </c>
      <c r="BQ1709" t="str">
        <f>"7:00 AM"</f>
        <v>7:00 AM</v>
      </c>
      <c r="BR1709" t="str">
        <f>"2:00 PM"</f>
        <v>2:00 PM</v>
      </c>
      <c r="BS1709" t="s">
        <v>131</v>
      </c>
      <c r="BT1709">
        <v>0</v>
      </c>
      <c r="BU1709">
        <v>1</v>
      </c>
      <c r="BV1709" t="s">
        <v>114</v>
      </c>
      <c r="BX1709" t="s">
        <v>465</v>
      </c>
      <c r="BY1709" t="s">
        <v>17057</v>
      </c>
      <c r="CA1709" t="s">
        <v>17058</v>
      </c>
      <c r="CB1709" t="s">
        <v>140</v>
      </c>
      <c r="CC1709" s="8" t="str">
        <f>"34228"</f>
        <v>34228</v>
      </c>
      <c r="CD1709" t="s">
        <v>6059</v>
      </c>
      <c r="CE1709" t="s">
        <v>1730</v>
      </c>
      <c r="CF1709" s="12">
        <v>13.84</v>
      </c>
      <c r="CG1709" s="12">
        <v>13.84</v>
      </c>
      <c r="CH1709" s="12">
        <v>20.76</v>
      </c>
      <c r="CI1709" s="12">
        <v>20.76</v>
      </c>
      <c r="CJ1709" t="s">
        <v>135</v>
      </c>
      <c r="CL1709" t="s">
        <v>17062</v>
      </c>
      <c r="CO1709" t="s">
        <v>132</v>
      </c>
      <c r="CP1709" t="s">
        <v>114</v>
      </c>
      <c r="CQ1709" t="s">
        <v>114</v>
      </c>
      <c r="CR1709" t="s">
        <v>136</v>
      </c>
      <c r="CS1709" t="s">
        <v>114</v>
      </c>
      <c r="CT1709" t="s">
        <v>136</v>
      </c>
      <c r="CU1709" t="s">
        <v>114</v>
      </c>
      <c r="CV1709" s="2" t="s">
        <v>4703</v>
      </c>
      <c r="CW1709" s="10" t="str">
        <f>"N/A"</f>
        <v>N/A</v>
      </c>
      <c r="CX1709" t="s">
        <v>17061</v>
      </c>
      <c r="CY1709" t="s">
        <v>470</v>
      </c>
      <c r="CZ1709" t="s">
        <v>137</v>
      </c>
      <c r="DA1709" t="s">
        <v>114</v>
      </c>
      <c r="DB1709" t="s">
        <v>114</v>
      </c>
      <c r="DC1709" t="s">
        <v>136</v>
      </c>
      <c r="DD1709" t="s">
        <v>114</v>
      </c>
    </row>
    <row r="1710" spans="1:108" ht="15" customHeight="1" x14ac:dyDescent="0.25">
      <c r="A1710" t="s">
        <v>8528</v>
      </c>
      <c r="B1710" t="s">
        <v>152</v>
      </c>
      <c r="C1710" s="1">
        <v>45141.037080439812</v>
      </c>
      <c r="D1710" s="1">
        <v>45203</v>
      </c>
      <c r="E1710" t="s">
        <v>114</v>
      </c>
      <c r="F1710" t="s">
        <v>8529</v>
      </c>
      <c r="G1710" t="str">
        <f>"51-9193.00"</f>
        <v>51-9193.00</v>
      </c>
      <c r="H1710" t="s">
        <v>8530</v>
      </c>
      <c r="I1710">
        <v>6</v>
      </c>
      <c r="J1710">
        <v>6</v>
      </c>
      <c r="K1710" s="1">
        <v>45231</v>
      </c>
      <c r="L1710" s="1">
        <v>45382</v>
      </c>
      <c r="M1710" s="1">
        <v>45231</v>
      </c>
      <c r="N1710" s="1">
        <v>45382</v>
      </c>
      <c r="O1710" t="s">
        <v>116</v>
      </c>
      <c r="P1710" t="s">
        <v>6305</v>
      </c>
      <c r="Q1710" t="s">
        <v>6306</v>
      </c>
      <c r="R1710" t="s">
        <v>6307</v>
      </c>
      <c r="T1710" t="s">
        <v>6308</v>
      </c>
      <c r="U1710" t="s">
        <v>506</v>
      </c>
      <c r="V1710" s="8" t="str">
        <f>"05155"</f>
        <v>05155</v>
      </c>
      <c r="W1710" t="s">
        <v>118</v>
      </c>
      <c r="Y1710" s="10">
        <v>18022974103</v>
      </c>
      <c r="AA1710">
        <v>72111</v>
      </c>
      <c r="AB1710" t="s">
        <v>1211</v>
      </c>
      <c r="AC1710" t="s">
        <v>6309</v>
      </c>
      <c r="AE1710" t="s">
        <v>3922</v>
      </c>
      <c r="AF1710" t="s">
        <v>6310</v>
      </c>
      <c r="AH1710" t="s">
        <v>6308</v>
      </c>
      <c r="AI1710" t="s">
        <v>506</v>
      </c>
      <c r="AJ1710" s="8" t="str">
        <f>"05155"</f>
        <v>05155</v>
      </c>
      <c r="AK1710" t="s">
        <v>118</v>
      </c>
      <c r="AM1710" s="10">
        <v>18022974103</v>
      </c>
      <c r="AO1710" t="s">
        <v>6311</v>
      </c>
      <c r="AP1710" t="s">
        <v>121</v>
      </c>
      <c r="AQ1710" t="s">
        <v>1675</v>
      </c>
      <c r="AR1710" t="s">
        <v>1676</v>
      </c>
      <c r="AS1710" t="s">
        <v>1677</v>
      </c>
      <c r="AT1710" t="s">
        <v>1678</v>
      </c>
      <c r="AU1710" t="s">
        <v>296</v>
      </c>
      <c r="AV1710" t="s">
        <v>1679</v>
      </c>
      <c r="AW1710" t="s">
        <v>402</v>
      </c>
      <c r="AX1710" s="8" t="str">
        <f>"91361"</f>
        <v>91361</v>
      </c>
      <c r="AY1710" t="s">
        <v>118</v>
      </c>
      <c r="BA1710" s="10">
        <v>18052611393</v>
      </c>
      <c r="BC1710" t="s">
        <v>1680</v>
      </c>
      <c r="BD1710" t="s">
        <v>1681</v>
      </c>
      <c r="BE1710" t="s">
        <v>140</v>
      </c>
      <c r="BF1710" t="s">
        <v>146</v>
      </c>
      <c r="BG1710" t="s">
        <v>506</v>
      </c>
      <c r="BH1710" s="1">
        <v>45124.833333333336</v>
      </c>
      <c r="BI1710">
        <v>35</v>
      </c>
      <c r="BJ1710">
        <v>5</v>
      </c>
      <c r="BK1710">
        <v>5</v>
      </c>
      <c r="BL1710">
        <v>5</v>
      </c>
      <c r="BM1710">
        <v>5</v>
      </c>
      <c r="BN1710">
        <v>5</v>
      </c>
      <c r="BO1710">
        <v>5</v>
      </c>
      <c r="BP1710">
        <v>5</v>
      </c>
      <c r="BQ1710" t="str">
        <f>"4:00 AM"</f>
        <v>4:00 AM</v>
      </c>
      <c r="BR1710" t="str">
        <f>"11:00 AM"</f>
        <v>11:00 AM</v>
      </c>
      <c r="BS1710" t="s">
        <v>131</v>
      </c>
      <c r="BT1710">
        <v>0</v>
      </c>
      <c r="BU1710">
        <v>3</v>
      </c>
      <c r="BV1710" t="s">
        <v>114</v>
      </c>
      <c r="BX1710" s="2" t="s">
        <v>8531</v>
      </c>
      <c r="BY1710" t="s">
        <v>6310</v>
      </c>
      <c r="CA1710" t="s">
        <v>6313</v>
      </c>
      <c r="CB1710" t="s">
        <v>506</v>
      </c>
      <c r="CC1710" s="8" t="str">
        <f>"05155"</f>
        <v>05155</v>
      </c>
      <c r="CD1710" t="s">
        <v>6314</v>
      </c>
      <c r="CE1710" t="s">
        <v>523</v>
      </c>
      <c r="CF1710" s="12">
        <v>21.27</v>
      </c>
      <c r="CG1710" s="12">
        <v>25</v>
      </c>
      <c r="CH1710" s="12">
        <v>31.91</v>
      </c>
      <c r="CI1710" s="12">
        <v>37.5</v>
      </c>
      <c r="CJ1710" t="s">
        <v>135</v>
      </c>
      <c r="CK1710" t="s">
        <v>6315</v>
      </c>
      <c r="CL1710" t="s">
        <v>8532</v>
      </c>
      <c r="CO1710" t="s">
        <v>132</v>
      </c>
      <c r="CP1710" t="s">
        <v>114</v>
      </c>
      <c r="CQ1710" t="s">
        <v>136</v>
      </c>
      <c r="CR1710" t="s">
        <v>136</v>
      </c>
      <c r="CS1710" t="s">
        <v>136</v>
      </c>
      <c r="CT1710" t="s">
        <v>136</v>
      </c>
      <c r="CU1710" t="s">
        <v>136</v>
      </c>
      <c r="CV1710" s="2" t="s">
        <v>8533</v>
      </c>
      <c r="CW1710" s="10" t="str">
        <f>"+18022974106"</f>
        <v>+18022974106</v>
      </c>
      <c r="CX1710" t="s">
        <v>6318</v>
      </c>
      <c r="CY1710" t="s">
        <v>132</v>
      </c>
      <c r="CZ1710" t="s">
        <v>137</v>
      </c>
      <c r="DA1710" t="s">
        <v>114</v>
      </c>
      <c r="DB1710" t="s">
        <v>114</v>
      </c>
      <c r="DC1710" t="s">
        <v>136</v>
      </c>
      <c r="DD1710" t="s">
        <v>114</v>
      </c>
    </row>
    <row r="1711" spans="1:108" ht="15" customHeight="1" x14ac:dyDescent="0.25">
      <c r="A1711" t="s">
        <v>15336</v>
      </c>
      <c r="B1711" t="s">
        <v>152</v>
      </c>
      <c r="C1711" s="1">
        <v>45141.03380636574</v>
      </c>
      <c r="D1711" s="1">
        <v>45203</v>
      </c>
      <c r="E1711" t="s">
        <v>114</v>
      </c>
      <c r="F1711" t="s">
        <v>15337</v>
      </c>
      <c r="G1711" t="str">
        <f>"25-3021.00"</f>
        <v>25-3021.00</v>
      </c>
      <c r="H1711" t="s">
        <v>720</v>
      </c>
      <c r="I1711">
        <v>4</v>
      </c>
      <c r="J1711">
        <v>4</v>
      </c>
      <c r="K1711" s="1">
        <v>45231</v>
      </c>
      <c r="L1711" s="1">
        <v>45382</v>
      </c>
      <c r="M1711" s="1">
        <v>45231</v>
      </c>
      <c r="N1711" s="1">
        <v>45382</v>
      </c>
      <c r="O1711" t="s">
        <v>238</v>
      </c>
      <c r="P1711" t="s">
        <v>6305</v>
      </c>
      <c r="Q1711" t="s">
        <v>6306</v>
      </c>
      <c r="R1711" t="s">
        <v>6307</v>
      </c>
      <c r="T1711" t="s">
        <v>6308</v>
      </c>
      <c r="U1711" t="s">
        <v>506</v>
      </c>
      <c r="V1711" s="8" t="str">
        <f>"05155"</f>
        <v>05155</v>
      </c>
      <c r="W1711" t="s">
        <v>118</v>
      </c>
      <c r="Y1711" s="10">
        <v>18022974103</v>
      </c>
      <c r="AA1711">
        <v>72111</v>
      </c>
      <c r="AB1711" t="s">
        <v>1211</v>
      </c>
      <c r="AC1711" t="s">
        <v>6309</v>
      </c>
      <c r="AE1711" t="s">
        <v>3922</v>
      </c>
      <c r="AF1711" t="s">
        <v>6310</v>
      </c>
      <c r="AH1711" t="s">
        <v>6308</v>
      </c>
      <c r="AI1711" t="s">
        <v>506</v>
      </c>
      <c r="AJ1711" s="8" t="str">
        <f>"05155"</f>
        <v>05155</v>
      </c>
      <c r="AK1711" t="s">
        <v>118</v>
      </c>
      <c r="AM1711" s="10">
        <v>18022974103</v>
      </c>
      <c r="AO1711" t="s">
        <v>6311</v>
      </c>
      <c r="AP1711" t="s">
        <v>121</v>
      </c>
      <c r="AQ1711" t="s">
        <v>1675</v>
      </c>
      <c r="AR1711" t="s">
        <v>1676</v>
      </c>
      <c r="AS1711" t="s">
        <v>1677</v>
      </c>
      <c r="AT1711" t="s">
        <v>1678</v>
      </c>
      <c r="AU1711" t="s">
        <v>296</v>
      </c>
      <c r="AV1711" t="s">
        <v>1679</v>
      </c>
      <c r="AW1711" t="s">
        <v>402</v>
      </c>
      <c r="AX1711" s="8" t="str">
        <f>"91361"</f>
        <v>91361</v>
      </c>
      <c r="AY1711" t="s">
        <v>118</v>
      </c>
      <c r="BA1711" s="10">
        <v>18052611393</v>
      </c>
      <c r="BC1711" t="s">
        <v>1680</v>
      </c>
      <c r="BD1711" t="s">
        <v>1681</v>
      </c>
      <c r="BE1711" t="s">
        <v>140</v>
      </c>
      <c r="BF1711" t="s">
        <v>146</v>
      </c>
      <c r="BG1711" t="s">
        <v>506</v>
      </c>
      <c r="BH1711" s="1">
        <v>45130.833333333336</v>
      </c>
      <c r="BI1711">
        <v>35</v>
      </c>
      <c r="BJ1711">
        <v>5</v>
      </c>
      <c r="BK1711">
        <v>5</v>
      </c>
      <c r="BL1711">
        <v>5</v>
      </c>
      <c r="BM1711">
        <v>5</v>
      </c>
      <c r="BN1711">
        <v>5</v>
      </c>
      <c r="BO1711">
        <v>5</v>
      </c>
      <c r="BP1711">
        <v>5</v>
      </c>
      <c r="BQ1711" t="str">
        <f>"7:00 AM"</f>
        <v>7:00 AM</v>
      </c>
      <c r="BR1711" t="str">
        <f>"2:00 PM"</f>
        <v>2:00 PM</v>
      </c>
      <c r="BS1711" t="s">
        <v>131</v>
      </c>
      <c r="BT1711">
        <v>0</v>
      </c>
      <c r="BU1711">
        <v>3</v>
      </c>
      <c r="BV1711" t="s">
        <v>114</v>
      </c>
      <c r="BX1711" s="2" t="s">
        <v>15338</v>
      </c>
      <c r="BY1711" t="s">
        <v>6310</v>
      </c>
      <c r="CA1711" t="s">
        <v>6313</v>
      </c>
      <c r="CB1711" t="s">
        <v>506</v>
      </c>
      <c r="CC1711" s="8" t="str">
        <f>"05155"</f>
        <v>05155</v>
      </c>
      <c r="CD1711" t="s">
        <v>6314</v>
      </c>
      <c r="CE1711" t="s">
        <v>523</v>
      </c>
      <c r="CF1711" s="12">
        <v>24.51</v>
      </c>
      <c r="CG1711" s="12">
        <v>30</v>
      </c>
      <c r="CH1711" s="12">
        <v>36.770000000000003</v>
      </c>
      <c r="CI1711" s="12">
        <v>45</v>
      </c>
      <c r="CJ1711" t="s">
        <v>135</v>
      </c>
      <c r="CK1711" t="s">
        <v>15339</v>
      </c>
      <c r="CL1711" t="s">
        <v>15340</v>
      </c>
      <c r="CO1711" t="s">
        <v>132</v>
      </c>
      <c r="CP1711" t="s">
        <v>114</v>
      </c>
      <c r="CQ1711" t="s">
        <v>136</v>
      </c>
      <c r="CR1711" t="s">
        <v>136</v>
      </c>
      <c r="CS1711" t="s">
        <v>136</v>
      </c>
      <c r="CT1711" t="s">
        <v>136</v>
      </c>
      <c r="CU1711" t="s">
        <v>136</v>
      </c>
      <c r="CV1711" s="2" t="s">
        <v>15341</v>
      </c>
      <c r="CW1711" s="10" t="str">
        <f>"+18022974106"</f>
        <v>+18022974106</v>
      </c>
      <c r="CX1711" t="s">
        <v>6318</v>
      </c>
      <c r="CY1711" t="s">
        <v>132</v>
      </c>
      <c r="CZ1711" t="s">
        <v>137</v>
      </c>
      <c r="DA1711" t="s">
        <v>114</v>
      </c>
      <c r="DB1711" t="s">
        <v>114</v>
      </c>
      <c r="DC1711" t="s">
        <v>136</v>
      </c>
      <c r="DD1711" t="s">
        <v>114</v>
      </c>
    </row>
    <row r="1712" spans="1:108" ht="15" customHeight="1" x14ac:dyDescent="0.25">
      <c r="A1712" t="s">
        <v>17220</v>
      </c>
      <c r="B1712" t="s">
        <v>152</v>
      </c>
      <c r="C1712" s="1">
        <v>45141.033693634257</v>
      </c>
      <c r="D1712" s="1">
        <v>45203</v>
      </c>
      <c r="E1712" t="s">
        <v>136</v>
      </c>
      <c r="F1712" t="s">
        <v>3843</v>
      </c>
      <c r="G1712" t="str">
        <f>"43-4081.00"</f>
        <v>43-4081.00</v>
      </c>
      <c r="H1712" t="s">
        <v>952</v>
      </c>
      <c r="I1712">
        <v>4</v>
      </c>
      <c r="J1712">
        <v>4</v>
      </c>
      <c r="K1712" s="1">
        <v>45231</v>
      </c>
      <c r="L1712" s="1">
        <v>45443</v>
      </c>
      <c r="M1712" s="1">
        <v>45231</v>
      </c>
      <c r="N1712" s="1">
        <v>45443</v>
      </c>
      <c r="O1712" t="s">
        <v>116</v>
      </c>
      <c r="P1712" t="s">
        <v>17055</v>
      </c>
      <c r="Q1712" t="s">
        <v>17056</v>
      </c>
      <c r="R1712" t="s">
        <v>17057</v>
      </c>
      <c r="T1712" t="s">
        <v>17058</v>
      </c>
      <c r="U1712" t="s">
        <v>140</v>
      </c>
      <c r="V1712" s="8" t="str">
        <f>"34228"</f>
        <v>34228</v>
      </c>
      <c r="W1712" t="s">
        <v>118</v>
      </c>
      <c r="Y1712" s="10">
        <v>19413838821</v>
      </c>
      <c r="AA1712">
        <v>72111</v>
      </c>
      <c r="AB1712" t="s">
        <v>17059</v>
      </c>
      <c r="AC1712" t="s">
        <v>17060</v>
      </c>
      <c r="AE1712" t="s">
        <v>456</v>
      </c>
      <c r="AF1712" t="s">
        <v>17057</v>
      </c>
      <c r="AH1712" t="s">
        <v>17058</v>
      </c>
      <c r="AI1712" t="s">
        <v>140</v>
      </c>
      <c r="AJ1712" s="8" t="str">
        <f>"34228"</f>
        <v>34228</v>
      </c>
      <c r="AK1712" t="s">
        <v>118</v>
      </c>
      <c r="AM1712" s="10">
        <v>19413838821</v>
      </c>
      <c r="AO1712" t="s">
        <v>17061</v>
      </c>
      <c r="AP1712" t="s">
        <v>248</v>
      </c>
      <c r="AQ1712" t="s">
        <v>458</v>
      </c>
      <c r="AR1712" t="s">
        <v>459</v>
      </c>
      <c r="AT1712" t="s">
        <v>460</v>
      </c>
      <c r="AU1712" t="s">
        <v>461</v>
      </c>
      <c r="AV1712" t="s">
        <v>1375</v>
      </c>
      <c r="AW1712" t="s">
        <v>140</v>
      </c>
      <c r="AX1712" s="8" t="str">
        <f>"33141"</f>
        <v>33141</v>
      </c>
      <c r="AY1712" t="s">
        <v>118</v>
      </c>
      <c r="BA1712" s="10">
        <v>17863480376</v>
      </c>
      <c r="BC1712" t="s">
        <v>463</v>
      </c>
      <c r="BD1712" t="s">
        <v>464</v>
      </c>
      <c r="BG1712" t="s">
        <v>140</v>
      </c>
      <c r="BH1712" s="1">
        <v>45140.833333333336</v>
      </c>
      <c r="BI1712">
        <v>35</v>
      </c>
      <c r="BJ1712">
        <v>7</v>
      </c>
      <c r="BK1712">
        <v>7</v>
      </c>
      <c r="BL1712">
        <v>0</v>
      </c>
      <c r="BM1712">
        <v>0</v>
      </c>
      <c r="BN1712">
        <v>7</v>
      </c>
      <c r="BO1712">
        <v>7</v>
      </c>
      <c r="BP1712">
        <v>7</v>
      </c>
      <c r="BQ1712" t="str">
        <f>"10:00 AM"</f>
        <v>10:00 AM</v>
      </c>
      <c r="BR1712" t="str">
        <f>"5:00 PM"</f>
        <v>5:00 PM</v>
      </c>
      <c r="BS1712" t="s">
        <v>131</v>
      </c>
      <c r="BT1712">
        <v>0</v>
      </c>
      <c r="BU1712">
        <v>1</v>
      </c>
      <c r="BV1712" t="s">
        <v>114</v>
      </c>
      <c r="BX1712" t="s">
        <v>465</v>
      </c>
      <c r="BY1712" t="s">
        <v>17057</v>
      </c>
      <c r="CA1712" t="s">
        <v>17058</v>
      </c>
      <c r="CB1712" t="s">
        <v>140</v>
      </c>
      <c r="CC1712" s="8" t="str">
        <f>"34228"</f>
        <v>34228</v>
      </c>
      <c r="CD1712" t="s">
        <v>6059</v>
      </c>
      <c r="CE1712" t="s">
        <v>1730</v>
      </c>
      <c r="CF1712" s="12">
        <v>18</v>
      </c>
      <c r="CG1712" s="12">
        <v>18</v>
      </c>
      <c r="CH1712" s="12">
        <v>27</v>
      </c>
      <c r="CI1712" s="12">
        <v>27</v>
      </c>
      <c r="CJ1712" t="s">
        <v>135</v>
      </c>
      <c r="CL1712" t="s">
        <v>17221</v>
      </c>
      <c r="CO1712" t="s">
        <v>132</v>
      </c>
      <c r="CP1712" t="s">
        <v>114</v>
      </c>
      <c r="CQ1712" t="s">
        <v>114</v>
      </c>
      <c r="CR1712" t="s">
        <v>136</v>
      </c>
      <c r="CS1712" t="s">
        <v>114</v>
      </c>
      <c r="CT1712" t="s">
        <v>136</v>
      </c>
      <c r="CU1712" t="s">
        <v>114</v>
      </c>
      <c r="CV1712" s="2" t="s">
        <v>4703</v>
      </c>
      <c r="CW1712" s="10" t="str">
        <f>"N/A"</f>
        <v>N/A</v>
      </c>
      <c r="CX1712" t="s">
        <v>17061</v>
      </c>
      <c r="CY1712" t="s">
        <v>470</v>
      </c>
      <c r="CZ1712" t="s">
        <v>137</v>
      </c>
      <c r="DA1712" t="s">
        <v>114</v>
      </c>
      <c r="DB1712" t="s">
        <v>114</v>
      </c>
      <c r="DC1712" t="s">
        <v>136</v>
      </c>
      <c r="DD1712" t="s">
        <v>114</v>
      </c>
    </row>
    <row r="1713" spans="1:113" ht="15" customHeight="1" x14ac:dyDescent="0.25">
      <c r="A1713" t="s">
        <v>6303</v>
      </c>
      <c r="B1713" t="s">
        <v>152</v>
      </c>
      <c r="C1713" s="1">
        <v>45141.030150462961</v>
      </c>
      <c r="D1713" s="1">
        <v>45203</v>
      </c>
      <c r="E1713" t="s">
        <v>114</v>
      </c>
      <c r="F1713" t="s">
        <v>6304</v>
      </c>
      <c r="G1713" t="str">
        <f>"35-2021.00"</f>
        <v>35-2021.00</v>
      </c>
      <c r="H1713" t="s">
        <v>2303</v>
      </c>
      <c r="I1713">
        <v>16</v>
      </c>
      <c r="J1713">
        <v>16</v>
      </c>
      <c r="K1713" s="1">
        <v>45231</v>
      </c>
      <c r="L1713" s="1">
        <v>45397</v>
      </c>
      <c r="M1713" s="1">
        <v>45231</v>
      </c>
      <c r="N1713" s="1">
        <v>45397</v>
      </c>
      <c r="O1713" t="s">
        <v>238</v>
      </c>
      <c r="P1713" t="s">
        <v>6305</v>
      </c>
      <c r="Q1713" t="s">
        <v>6306</v>
      </c>
      <c r="R1713" t="s">
        <v>6307</v>
      </c>
      <c r="T1713" t="s">
        <v>6308</v>
      </c>
      <c r="U1713" t="s">
        <v>506</v>
      </c>
      <c r="V1713" s="8" t="str">
        <f>"05155"</f>
        <v>05155</v>
      </c>
      <c r="W1713" t="s">
        <v>118</v>
      </c>
      <c r="Y1713" s="10">
        <v>18022974103</v>
      </c>
      <c r="AA1713">
        <v>72111</v>
      </c>
      <c r="AB1713" t="s">
        <v>1211</v>
      </c>
      <c r="AC1713" t="s">
        <v>6309</v>
      </c>
      <c r="AE1713" t="s">
        <v>3922</v>
      </c>
      <c r="AF1713" t="s">
        <v>6310</v>
      </c>
      <c r="AH1713" t="s">
        <v>6308</v>
      </c>
      <c r="AI1713" t="s">
        <v>506</v>
      </c>
      <c r="AJ1713" s="8" t="str">
        <f>"05155"</f>
        <v>05155</v>
      </c>
      <c r="AK1713" t="s">
        <v>118</v>
      </c>
      <c r="AM1713" s="10">
        <v>18022974103</v>
      </c>
      <c r="AO1713" t="s">
        <v>6311</v>
      </c>
      <c r="AP1713" t="s">
        <v>121</v>
      </c>
      <c r="AQ1713" t="s">
        <v>1675</v>
      </c>
      <c r="AR1713" t="s">
        <v>1676</v>
      </c>
      <c r="AS1713" t="s">
        <v>1677</v>
      </c>
      <c r="AT1713" t="s">
        <v>1678</v>
      </c>
      <c r="AU1713" t="s">
        <v>296</v>
      </c>
      <c r="AV1713" t="s">
        <v>1679</v>
      </c>
      <c r="AW1713" t="s">
        <v>402</v>
      </c>
      <c r="AX1713" s="8" t="str">
        <f>"91361"</f>
        <v>91361</v>
      </c>
      <c r="AY1713" t="s">
        <v>118</v>
      </c>
      <c r="BA1713" s="10">
        <v>18052611393</v>
      </c>
      <c r="BC1713" t="s">
        <v>1680</v>
      </c>
      <c r="BD1713" t="s">
        <v>1681</v>
      </c>
      <c r="BE1713" t="s">
        <v>140</v>
      </c>
      <c r="BF1713" t="s">
        <v>146</v>
      </c>
      <c r="BG1713" t="s">
        <v>506</v>
      </c>
      <c r="BH1713" s="1">
        <v>45103.833333333336</v>
      </c>
      <c r="BI1713">
        <v>35</v>
      </c>
      <c r="BJ1713">
        <v>5</v>
      </c>
      <c r="BK1713">
        <v>5</v>
      </c>
      <c r="BL1713">
        <v>5</v>
      </c>
      <c r="BM1713">
        <v>5</v>
      </c>
      <c r="BN1713">
        <v>5</v>
      </c>
      <c r="BO1713">
        <v>5</v>
      </c>
      <c r="BP1713">
        <v>5</v>
      </c>
      <c r="BQ1713" t="str">
        <f>"8:00 AM"</f>
        <v>8:00 AM</v>
      </c>
      <c r="BR1713" t="str">
        <f>"10:00 PM"</f>
        <v>10:00 PM</v>
      </c>
      <c r="BS1713" t="s">
        <v>131</v>
      </c>
      <c r="BT1713">
        <v>0</v>
      </c>
      <c r="BU1713">
        <v>3</v>
      </c>
      <c r="BV1713" t="s">
        <v>114</v>
      </c>
      <c r="BX1713" s="2" t="s">
        <v>6312</v>
      </c>
      <c r="BY1713" t="s">
        <v>6310</v>
      </c>
      <c r="CA1713" t="s">
        <v>6313</v>
      </c>
      <c r="CB1713" t="s">
        <v>506</v>
      </c>
      <c r="CC1713" s="8" t="str">
        <f>"05155"</f>
        <v>05155</v>
      </c>
      <c r="CD1713" t="s">
        <v>6314</v>
      </c>
      <c r="CE1713" t="s">
        <v>523</v>
      </c>
      <c r="CF1713" s="12">
        <v>14.53</v>
      </c>
      <c r="CG1713" s="12">
        <v>21</v>
      </c>
      <c r="CH1713" s="12">
        <v>21.8</v>
      </c>
      <c r="CI1713" s="12">
        <v>31.5</v>
      </c>
      <c r="CJ1713" t="s">
        <v>135</v>
      </c>
      <c r="CK1713" t="s">
        <v>6315</v>
      </c>
      <c r="CL1713" t="s">
        <v>6316</v>
      </c>
      <c r="CO1713" t="s">
        <v>132</v>
      </c>
      <c r="CP1713" t="s">
        <v>114</v>
      </c>
      <c r="CQ1713" t="s">
        <v>136</v>
      </c>
      <c r="CR1713" t="s">
        <v>136</v>
      </c>
      <c r="CS1713" t="s">
        <v>136</v>
      </c>
      <c r="CT1713" t="s">
        <v>136</v>
      </c>
      <c r="CU1713" t="s">
        <v>136</v>
      </c>
      <c r="CV1713" s="2" t="s">
        <v>6317</v>
      </c>
      <c r="CW1713" s="10" t="str">
        <f>"+18022974106"</f>
        <v>+18022974106</v>
      </c>
      <c r="CX1713" t="s">
        <v>6318</v>
      </c>
      <c r="CY1713" t="s">
        <v>132</v>
      </c>
      <c r="CZ1713" t="s">
        <v>137</v>
      </c>
      <c r="DA1713" t="s">
        <v>114</v>
      </c>
      <c r="DB1713" t="s">
        <v>114</v>
      </c>
      <c r="DC1713" t="s">
        <v>136</v>
      </c>
      <c r="DD1713" t="s">
        <v>114</v>
      </c>
    </row>
    <row r="1714" spans="1:113" ht="15" customHeight="1" x14ac:dyDescent="0.25">
      <c r="A1714" t="s">
        <v>13094</v>
      </c>
      <c r="B1714" t="s">
        <v>152</v>
      </c>
      <c r="C1714" s="1">
        <v>45141.027483333331</v>
      </c>
      <c r="D1714" s="1">
        <v>45203</v>
      </c>
      <c r="E1714" t="s">
        <v>114</v>
      </c>
      <c r="F1714" t="s">
        <v>1364</v>
      </c>
      <c r="G1714" t="str">
        <f>"35-9011.00"</f>
        <v>35-9011.00</v>
      </c>
      <c r="H1714" t="s">
        <v>1512</v>
      </c>
      <c r="I1714">
        <v>11</v>
      </c>
      <c r="J1714">
        <v>11</v>
      </c>
      <c r="K1714" s="1">
        <v>45231</v>
      </c>
      <c r="L1714" s="1">
        <v>45397</v>
      </c>
      <c r="M1714" s="1">
        <v>45231</v>
      </c>
      <c r="N1714" s="1">
        <v>45397</v>
      </c>
      <c r="O1714" t="s">
        <v>238</v>
      </c>
      <c r="P1714" t="s">
        <v>6305</v>
      </c>
      <c r="Q1714" t="s">
        <v>6306</v>
      </c>
      <c r="R1714" t="s">
        <v>6307</v>
      </c>
      <c r="T1714" t="s">
        <v>6308</v>
      </c>
      <c r="U1714" t="s">
        <v>506</v>
      </c>
      <c r="V1714" s="8" t="str">
        <f>"05155"</f>
        <v>05155</v>
      </c>
      <c r="W1714" t="s">
        <v>118</v>
      </c>
      <c r="Y1714" s="10">
        <v>18022974103</v>
      </c>
      <c r="AA1714">
        <v>72111</v>
      </c>
      <c r="AB1714" t="s">
        <v>1211</v>
      </c>
      <c r="AC1714" t="s">
        <v>6309</v>
      </c>
      <c r="AE1714" t="s">
        <v>3922</v>
      </c>
      <c r="AF1714" t="s">
        <v>6310</v>
      </c>
      <c r="AH1714" t="s">
        <v>6308</v>
      </c>
      <c r="AI1714" t="s">
        <v>506</v>
      </c>
      <c r="AJ1714" s="8" t="str">
        <f>"05155"</f>
        <v>05155</v>
      </c>
      <c r="AK1714" t="s">
        <v>118</v>
      </c>
      <c r="AM1714" s="10">
        <v>18022974103</v>
      </c>
      <c r="AO1714" t="s">
        <v>6311</v>
      </c>
      <c r="AP1714" t="s">
        <v>121</v>
      </c>
      <c r="AQ1714" t="s">
        <v>1675</v>
      </c>
      <c r="AR1714" t="s">
        <v>1676</v>
      </c>
      <c r="AS1714" t="s">
        <v>1677</v>
      </c>
      <c r="AT1714" t="s">
        <v>1678</v>
      </c>
      <c r="AU1714" t="s">
        <v>296</v>
      </c>
      <c r="AV1714" t="s">
        <v>1679</v>
      </c>
      <c r="AW1714" t="s">
        <v>402</v>
      </c>
      <c r="AX1714" s="8" t="str">
        <f>"91361"</f>
        <v>91361</v>
      </c>
      <c r="AY1714" t="s">
        <v>118</v>
      </c>
      <c r="BA1714" s="10">
        <v>18052611393</v>
      </c>
      <c r="BC1714" t="s">
        <v>1680</v>
      </c>
      <c r="BD1714" t="s">
        <v>1681</v>
      </c>
      <c r="BE1714" t="s">
        <v>140</v>
      </c>
      <c r="BF1714" t="s">
        <v>146</v>
      </c>
      <c r="BG1714" t="s">
        <v>506</v>
      </c>
      <c r="BH1714" s="1">
        <v>45103.833333333336</v>
      </c>
      <c r="BI1714">
        <v>35</v>
      </c>
      <c r="BJ1714">
        <v>5</v>
      </c>
      <c r="BK1714">
        <v>5</v>
      </c>
      <c r="BL1714">
        <v>5</v>
      </c>
      <c r="BM1714">
        <v>5</v>
      </c>
      <c r="BN1714">
        <v>5</v>
      </c>
      <c r="BO1714">
        <v>5</v>
      </c>
      <c r="BP1714">
        <v>5</v>
      </c>
      <c r="BQ1714" t="str">
        <f>"8:00 AM"</f>
        <v>8:00 AM</v>
      </c>
      <c r="BR1714" t="str">
        <f>"3:00 PM"</f>
        <v>3:00 PM</v>
      </c>
      <c r="BS1714" t="s">
        <v>131</v>
      </c>
      <c r="BT1714">
        <v>0</v>
      </c>
      <c r="BU1714">
        <v>3</v>
      </c>
      <c r="BV1714" t="s">
        <v>114</v>
      </c>
      <c r="BX1714" s="2" t="s">
        <v>13095</v>
      </c>
      <c r="BY1714" t="s">
        <v>6310</v>
      </c>
      <c r="CA1714" t="s">
        <v>6313</v>
      </c>
      <c r="CB1714" t="s">
        <v>506</v>
      </c>
      <c r="CC1714" s="8" t="str">
        <f>"05155"</f>
        <v>05155</v>
      </c>
      <c r="CD1714" t="s">
        <v>6314</v>
      </c>
      <c r="CE1714" t="s">
        <v>523</v>
      </c>
      <c r="CF1714" s="12">
        <v>15.33</v>
      </c>
      <c r="CG1714" s="12">
        <v>21</v>
      </c>
      <c r="CH1714" s="12">
        <v>23</v>
      </c>
      <c r="CI1714" s="12">
        <v>31.5</v>
      </c>
      <c r="CJ1714" t="s">
        <v>135</v>
      </c>
      <c r="CK1714" t="s">
        <v>6315</v>
      </c>
      <c r="CL1714" t="s">
        <v>13096</v>
      </c>
      <c r="CO1714" t="s">
        <v>132</v>
      </c>
      <c r="CP1714" t="s">
        <v>114</v>
      </c>
      <c r="CQ1714" t="s">
        <v>136</v>
      </c>
      <c r="CR1714" t="s">
        <v>136</v>
      </c>
      <c r="CS1714" t="s">
        <v>136</v>
      </c>
      <c r="CT1714" t="s">
        <v>136</v>
      </c>
      <c r="CU1714" t="s">
        <v>136</v>
      </c>
      <c r="CV1714" s="2" t="s">
        <v>8533</v>
      </c>
      <c r="CW1714" s="10" t="str">
        <f>"+18022974106"</f>
        <v>+18022974106</v>
      </c>
      <c r="CX1714" t="s">
        <v>6318</v>
      </c>
      <c r="CY1714" t="s">
        <v>132</v>
      </c>
      <c r="CZ1714" t="s">
        <v>137</v>
      </c>
      <c r="DA1714" t="s">
        <v>114</v>
      </c>
      <c r="DB1714" t="s">
        <v>114</v>
      </c>
      <c r="DC1714" t="s">
        <v>136</v>
      </c>
      <c r="DD1714" t="s">
        <v>114</v>
      </c>
    </row>
    <row r="1715" spans="1:113" ht="15" customHeight="1" x14ac:dyDescent="0.25">
      <c r="A1715" t="s">
        <v>22366</v>
      </c>
      <c r="B1715" t="s">
        <v>152</v>
      </c>
      <c r="C1715" s="1">
        <v>45141.017081828701</v>
      </c>
      <c r="D1715" s="1">
        <v>45203</v>
      </c>
      <c r="E1715" t="s">
        <v>114</v>
      </c>
      <c r="F1715" t="s">
        <v>1059</v>
      </c>
      <c r="G1715" t="str">
        <f>"35-2014.00"</f>
        <v>35-2014.00</v>
      </c>
      <c r="H1715" t="s">
        <v>154</v>
      </c>
      <c r="I1715">
        <v>23</v>
      </c>
      <c r="J1715">
        <v>23</v>
      </c>
      <c r="K1715" s="1">
        <v>45231</v>
      </c>
      <c r="L1715" s="1">
        <v>45397</v>
      </c>
      <c r="M1715" s="1">
        <v>45231</v>
      </c>
      <c r="N1715" s="1">
        <v>45397</v>
      </c>
      <c r="O1715" t="s">
        <v>116</v>
      </c>
      <c r="P1715" t="s">
        <v>6305</v>
      </c>
      <c r="Q1715" t="s">
        <v>6306</v>
      </c>
      <c r="R1715" t="s">
        <v>6307</v>
      </c>
      <c r="T1715" t="s">
        <v>6308</v>
      </c>
      <c r="U1715" t="s">
        <v>506</v>
      </c>
      <c r="V1715" s="8" t="str">
        <f>"05155"</f>
        <v>05155</v>
      </c>
      <c r="W1715" t="s">
        <v>118</v>
      </c>
      <c r="Y1715" s="10">
        <v>18022974103</v>
      </c>
      <c r="AA1715">
        <v>72111</v>
      </c>
      <c r="AB1715" t="s">
        <v>1211</v>
      </c>
      <c r="AC1715" t="s">
        <v>6309</v>
      </c>
      <c r="AE1715" t="s">
        <v>3922</v>
      </c>
      <c r="AF1715" t="s">
        <v>6310</v>
      </c>
      <c r="AH1715" t="s">
        <v>6308</v>
      </c>
      <c r="AI1715" t="s">
        <v>506</v>
      </c>
      <c r="AJ1715" s="8" t="str">
        <f>"05155"</f>
        <v>05155</v>
      </c>
      <c r="AK1715" t="s">
        <v>118</v>
      </c>
      <c r="AM1715" s="10">
        <v>18022974103</v>
      </c>
      <c r="AO1715" t="s">
        <v>6311</v>
      </c>
      <c r="AP1715" t="s">
        <v>121</v>
      </c>
      <c r="AQ1715" t="s">
        <v>1675</v>
      </c>
      <c r="AR1715" t="s">
        <v>1676</v>
      </c>
      <c r="AS1715" t="s">
        <v>1677</v>
      </c>
      <c r="AT1715" t="s">
        <v>1678</v>
      </c>
      <c r="AU1715" t="s">
        <v>296</v>
      </c>
      <c r="AV1715" t="s">
        <v>1679</v>
      </c>
      <c r="AW1715" t="s">
        <v>402</v>
      </c>
      <c r="AX1715" s="8" t="str">
        <f>"91361"</f>
        <v>91361</v>
      </c>
      <c r="AY1715" t="s">
        <v>118</v>
      </c>
      <c r="BA1715" s="10">
        <v>18052611393</v>
      </c>
      <c r="BC1715" t="s">
        <v>1680</v>
      </c>
      <c r="BD1715" t="s">
        <v>1681</v>
      </c>
      <c r="BE1715" t="s">
        <v>140</v>
      </c>
      <c r="BF1715" t="s">
        <v>146</v>
      </c>
      <c r="BG1715" t="s">
        <v>506</v>
      </c>
      <c r="BH1715" s="1">
        <v>45124.833333333336</v>
      </c>
      <c r="BI1715">
        <v>35</v>
      </c>
      <c r="BJ1715">
        <v>5</v>
      </c>
      <c r="BK1715">
        <v>5</v>
      </c>
      <c r="BL1715">
        <v>5</v>
      </c>
      <c r="BM1715">
        <v>5</v>
      </c>
      <c r="BN1715">
        <v>5</v>
      </c>
      <c r="BO1715">
        <v>5</v>
      </c>
      <c r="BP1715">
        <v>5</v>
      </c>
      <c r="BQ1715" t="str">
        <f>"8:00 AM"</f>
        <v>8:00 AM</v>
      </c>
      <c r="BR1715" t="str">
        <f>"10:00 PM"</f>
        <v>10:00 PM</v>
      </c>
      <c r="BS1715" t="s">
        <v>131</v>
      </c>
      <c r="BT1715">
        <v>0</v>
      </c>
      <c r="BU1715">
        <v>3</v>
      </c>
      <c r="BV1715" t="s">
        <v>114</v>
      </c>
      <c r="BX1715" s="2" t="s">
        <v>22367</v>
      </c>
      <c r="BY1715" t="s">
        <v>22368</v>
      </c>
      <c r="CA1715" t="s">
        <v>6313</v>
      </c>
      <c r="CB1715" t="s">
        <v>506</v>
      </c>
      <c r="CC1715" s="8" t="str">
        <f>"05155"</f>
        <v>05155</v>
      </c>
      <c r="CD1715" t="s">
        <v>6314</v>
      </c>
      <c r="CE1715" t="s">
        <v>523</v>
      </c>
      <c r="CF1715" s="12">
        <v>18.77</v>
      </c>
      <c r="CG1715" s="12">
        <v>21</v>
      </c>
      <c r="CH1715" s="12">
        <v>28.16</v>
      </c>
      <c r="CI1715" s="12">
        <v>31.5</v>
      </c>
      <c r="CJ1715" t="s">
        <v>135</v>
      </c>
      <c r="CK1715" t="s">
        <v>6315</v>
      </c>
      <c r="CL1715" t="s">
        <v>22369</v>
      </c>
      <c r="CO1715" t="s">
        <v>132</v>
      </c>
      <c r="CP1715" t="s">
        <v>114</v>
      </c>
      <c r="CQ1715" t="s">
        <v>136</v>
      </c>
      <c r="CR1715" t="s">
        <v>136</v>
      </c>
      <c r="CS1715" t="s">
        <v>136</v>
      </c>
      <c r="CT1715" t="s">
        <v>136</v>
      </c>
      <c r="CU1715" t="s">
        <v>136</v>
      </c>
      <c r="CV1715" s="2" t="s">
        <v>22370</v>
      </c>
      <c r="CW1715" s="10" t="str">
        <f>"+18022974106"</f>
        <v>+18022974106</v>
      </c>
      <c r="CX1715" t="s">
        <v>6318</v>
      </c>
      <c r="CY1715" t="s">
        <v>132</v>
      </c>
      <c r="CZ1715" t="s">
        <v>137</v>
      </c>
      <c r="DA1715" t="s">
        <v>114</v>
      </c>
      <c r="DB1715" t="s">
        <v>114</v>
      </c>
      <c r="DC1715" t="s">
        <v>136</v>
      </c>
      <c r="DD1715" t="s">
        <v>114</v>
      </c>
    </row>
    <row r="1716" spans="1:113" ht="15" customHeight="1" x14ac:dyDescent="0.25">
      <c r="A1716" t="s">
        <v>6497</v>
      </c>
      <c r="B1716" t="s">
        <v>152</v>
      </c>
      <c r="C1716" s="1">
        <v>45140.021773611108</v>
      </c>
      <c r="D1716" s="1">
        <v>45203</v>
      </c>
      <c r="E1716" t="s">
        <v>114</v>
      </c>
      <c r="F1716" t="s">
        <v>1088</v>
      </c>
      <c r="G1716" t="str">
        <f>"37-2011.00"</f>
        <v>37-2011.00</v>
      </c>
      <c r="H1716" t="s">
        <v>1089</v>
      </c>
      <c r="I1716">
        <v>12</v>
      </c>
      <c r="J1716">
        <v>12</v>
      </c>
      <c r="K1716" s="1">
        <v>45230</v>
      </c>
      <c r="L1716" s="1">
        <v>45397</v>
      </c>
      <c r="M1716" s="1">
        <v>45230</v>
      </c>
      <c r="N1716" s="1">
        <v>45397</v>
      </c>
      <c r="O1716" t="s">
        <v>116</v>
      </c>
      <c r="P1716" t="s">
        <v>6305</v>
      </c>
      <c r="Q1716" t="s">
        <v>6306</v>
      </c>
      <c r="R1716" t="s">
        <v>6307</v>
      </c>
      <c r="T1716" t="s">
        <v>6308</v>
      </c>
      <c r="U1716" t="s">
        <v>506</v>
      </c>
      <c r="V1716" s="8" t="str">
        <f>"05155"</f>
        <v>05155</v>
      </c>
      <c r="W1716" t="s">
        <v>118</v>
      </c>
      <c r="Y1716" s="10">
        <v>18022974103</v>
      </c>
      <c r="AA1716">
        <v>72111</v>
      </c>
      <c r="AB1716" t="s">
        <v>1211</v>
      </c>
      <c r="AC1716" t="s">
        <v>6309</v>
      </c>
      <c r="AE1716" t="s">
        <v>3922</v>
      </c>
      <c r="AF1716" t="s">
        <v>6310</v>
      </c>
      <c r="AH1716" t="s">
        <v>6308</v>
      </c>
      <c r="AI1716" t="s">
        <v>506</v>
      </c>
      <c r="AJ1716" s="8" t="str">
        <f>"05155"</f>
        <v>05155</v>
      </c>
      <c r="AK1716" t="s">
        <v>118</v>
      </c>
      <c r="AM1716" s="10">
        <v>18022974103</v>
      </c>
      <c r="AO1716" t="s">
        <v>6311</v>
      </c>
      <c r="AP1716" t="s">
        <v>121</v>
      </c>
      <c r="AQ1716" t="s">
        <v>1675</v>
      </c>
      <c r="AR1716" t="s">
        <v>1676</v>
      </c>
      <c r="AS1716" t="s">
        <v>1677</v>
      </c>
      <c r="AT1716" t="s">
        <v>1678</v>
      </c>
      <c r="AU1716" t="s">
        <v>296</v>
      </c>
      <c r="AV1716" t="s">
        <v>1679</v>
      </c>
      <c r="AW1716" t="s">
        <v>402</v>
      </c>
      <c r="AX1716" s="8" t="str">
        <f>"91361"</f>
        <v>91361</v>
      </c>
      <c r="AY1716" t="s">
        <v>118</v>
      </c>
      <c r="BA1716" s="10">
        <v>18052611393</v>
      </c>
      <c r="BC1716" t="s">
        <v>1680</v>
      </c>
      <c r="BD1716" t="s">
        <v>1681</v>
      </c>
      <c r="BE1716" t="s">
        <v>140</v>
      </c>
      <c r="BF1716" t="s">
        <v>146</v>
      </c>
      <c r="BG1716" t="s">
        <v>506</v>
      </c>
      <c r="BH1716" s="1">
        <v>45103.833333333336</v>
      </c>
      <c r="BI1716">
        <v>35</v>
      </c>
      <c r="BJ1716">
        <v>5</v>
      </c>
      <c r="BK1716">
        <v>5</v>
      </c>
      <c r="BL1716">
        <v>5</v>
      </c>
      <c r="BM1716">
        <v>5</v>
      </c>
      <c r="BN1716">
        <v>5</v>
      </c>
      <c r="BO1716">
        <v>5</v>
      </c>
      <c r="BP1716">
        <v>5</v>
      </c>
      <c r="BQ1716" t="str">
        <f>"5:00 AM"</f>
        <v>5:00 AM</v>
      </c>
      <c r="BR1716" t="str">
        <f>"12:00 PM"</f>
        <v>12:00 PM</v>
      </c>
      <c r="BS1716" t="s">
        <v>131</v>
      </c>
      <c r="BT1716">
        <v>0</v>
      </c>
      <c r="BU1716">
        <v>6</v>
      </c>
      <c r="BV1716" t="s">
        <v>114</v>
      </c>
      <c r="BX1716" s="2" t="s">
        <v>6498</v>
      </c>
      <c r="BY1716" t="s">
        <v>6310</v>
      </c>
      <c r="CA1716" t="s">
        <v>6308</v>
      </c>
      <c r="CB1716" t="s">
        <v>506</v>
      </c>
      <c r="CC1716" s="8" t="str">
        <f>"05155"</f>
        <v>05155</v>
      </c>
      <c r="CD1716" t="s">
        <v>6314</v>
      </c>
      <c r="CE1716" t="s">
        <v>523</v>
      </c>
      <c r="CF1716" s="12">
        <v>16.940000000000001</v>
      </c>
      <c r="CG1716" s="12">
        <v>21</v>
      </c>
      <c r="CH1716" s="12">
        <v>25.41</v>
      </c>
      <c r="CI1716" s="12">
        <v>31.5</v>
      </c>
      <c r="CJ1716" t="s">
        <v>135</v>
      </c>
      <c r="CK1716" t="s">
        <v>6499</v>
      </c>
      <c r="CL1716" t="s">
        <v>6500</v>
      </c>
      <c r="CO1716" t="s">
        <v>132</v>
      </c>
      <c r="CP1716" t="s">
        <v>136</v>
      </c>
      <c r="CQ1716" t="s">
        <v>136</v>
      </c>
      <c r="CR1716" t="s">
        <v>136</v>
      </c>
      <c r="CS1716" t="s">
        <v>136</v>
      </c>
      <c r="CT1716" t="s">
        <v>136</v>
      </c>
      <c r="CU1716" t="s">
        <v>136</v>
      </c>
      <c r="CV1716" s="2" t="s">
        <v>6501</v>
      </c>
      <c r="CW1716" s="10" t="str">
        <f>"+18022974106"</f>
        <v>+18022974106</v>
      </c>
      <c r="CX1716" t="s">
        <v>6318</v>
      </c>
      <c r="CY1716" t="s">
        <v>132</v>
      </c>
      <c r="CZ1716" t="s">
        <v>137</v>
      </c>
      <c r="DA1716" t="s">
        <v>114</v>
      </c>
      <c r="DB1716" t="s">
        <v>114</v>
      </c>
      <c r="DC1716" t="s">
        <v>136</v>
      </c>
      <c r="DD1716" t="s">
        <v>114</v>
      </c>
    </row>
    <row r="1717" spans="1:113" ht="15" customHeight="1" x14ac:dyDescent="0.25">
      <c r="A1717" t="s">
        <v>8612</v>
      </c>
      <c r="B1717" t="s">
        <v>152</v>
      </c>
      <c r="C1717" s="1">
        <v>45140.014037847221</v>
      </c>
      <c r="D1717" s="1">
        <v>45203</v>
      </c>
      <c r="E1717" t="s">
        <v>114</v>
      </c>
      <c r="F1717" t="s">
        <v>293</v>
      </c>
      <c r="G1717" t="str">
        <f>"37-2012.00"</f>
        <v>37-2012.00</v>
      </c>
      <c r="H1717" t="s">
        <v>205</v>
      </c>
      <c r="I1717">
        <v>56</v>
      </c>
      <c r="J1717">
        <v>56</v>
      </c>
      <c r="K1717" s="1">
        <v>45230</v>
      </c>
      <c r="L1717" s="1">
        <v>45397</v>
      </c>
      <c r="M1717" s="1">
        <v>45230</v>
      </c>
      <c r="N1717" s="1">
        <v>45397</v>
      </c>
      <c r="O1717" t="s">
        <v>116</v>
      </c>
      <c r="P1717" t="s">
        <v>6305</v>
      </c>
      <c r="Q1717" t="s">
        <v>6306</v>
      </c>
      <c r="R1717" t="s">
        <v>6307</v>
      </c>
      <c r="T1717" t="s">
        <v>6308</v>
      </c>
      <c r="U1717" t="s">
        <v>506</v>
      </c>
      <c r="V1717" s="8" t="str">
        <f>"05155"</f>
        <v>05155</v>
      </c>
      <c r="W1717" t="s">
        <v>118</v>
      </c>
      <c r="Y1717" s="10">
        <v>18022974103</v>
      </c>
      <c r="AA1717">
        <v>72111</v>
      </c>
      <c r="AB1717" t="s">
        <v>1211</v>
      </c>
      <c r="AC1717" t="s">
        <v>6309</v>
      </c>
      <c r="AE1717" t="s">
        <v>3922</v>
      </c>
      <c r="AF1717" t="s">
        <v>6310</v>
      </c>
      <c r="AH1717" t="s">
        <v>6308</v>
      </c>
      <c r="AI1717" t="s">
        <v>506</v>
      </c>
      <c r="AJ1717" s="8" t="str">
        <f>"05155"</f>
        <v>05155</v>
      </c>
      <c r="AK1717" t="s">
        <v>118</v>
      </c>
      <c r="AM1717" s="10">
        <v>18022974103</v>
      </c>
      <c r="AO1717" t="s">
        <v>6311</v>
      </c>
      <c r="AP1717" t="s">
        <v>121</v>
      </c>
      <c r="AQ1717" t="s">
        <v>1675</v>
      </c>
      <c r="AR1717" t="s">
        <v>1676</v>
      </c>
      <c r="AS1717" t="s">
        <v>1677</v>
      </c>
      <c r="AT1717" t="s">
        <v>1678</v>
      </c>
      <c r="AU1717" t="s">
        <v>296</v>
      </c>
      <c r="AV1717" t="s">
        <v>1679</v>
      </c>
      <c r="AW1717" t="s">
        <v>402</v>
      </c>
      <c r="AX1717" s="8" t="str">
        <f>"91361"</f>
        <v>91361</v>
      </c>
      <c r="AY1717" t="s">
        <v>118</v>
      </c>
      <c r="BA1717" s="10">
        <v>18052611393</v>
      </c>
      <c r="BC1717" t="s">
        <v>1680</v>
      </c>
      <c r="BD1717" t="s">
        <v>1681</v>
      </c>
      <c r="BE1717" t="s">
        <v>140</v>
      </c>
      <c r="BF1717" t="s">
        <v>146</v>
      </c>
      <c r="BG1717" t="s">
        <v>506</v>
      </c>
      <c r="BH1717" s="1">
        <v>45103.833333333336</v>
      </c>
      <c r="BI1717">
        <v>35</v>
      </c>
      <c r="BJ1717">
        <v>5</v>
      </c>
      <c r="BK1717">
        <v>5</v>
      </c>
      <c r="BL1717">
        <v>5</v>
      </c>
      <c r="BM1717">
        <v>5</v>
      </c>
      <c r="BN1717">
        <v>5</v>
      </c>
      <c r="BO1717">
        <v>5</v>
      </c>
      <c r="BP1717">
        <v>5</v>
      </c>
      <c r="BQ1717" t="str">
        <f>"6:00 AM"</f>
        <v>6:00 AM</v>
      </c>
      <c r="BR1717" t="str">
        <f>"1:00 PM"</f>
        <v>1:00 PM</v>
      </c>
      <c r="BS1717" t="s">
        <v>131</v>
      </c>
      <c r="BT1717">
        <v>0</v>
      </c>
      <c r="BU1717">
        <v>3</v>
      </c>
      <c r="BV1717" t="s">
        <v>114</v>
      </c>
      <c r="BX1717" s="2" t="s">
        <v>8613</v>
      </c>
      <c r="BY1717" t="s">
        <v>6310</v>
      </c>
      <c r="CA1717" t="s">
        <v>6313</v>
      </c>
      <c r="CB1717" t="s">
        <v>506</v>
      </c>
      <c r="CC1717" s="8" t="str">
        <f>"05155"</f>
        <v>05155</v>
      </c>
      <c r="CD1717" t="s">
        <v>6314</v>
      </c>
      <c r="CE1717" t="s">
        <v>523</v>
      </c>
      <c r="CF1717" s="12">
        <v>15.51</v>
      </c>
      <c r="CG1717" s="12">
        <v>21</v>
      </c>
      <c r="CH1717" s="12">
        <v>23.27</v>
      </c>
      <c r="CI1717" s="12">
        <v>31.5</v>
      </c>
      <c r="CJ1717" t="s">
        <v>135</v>
      </c>
      <c r="CK1717" t="s">
        <v>8614</v>
      </c>
      <c r="CL1717" t="s">
        <v>8615</v>
      </c>
      <c r="CO1717" t="s">
        <v>132</v>
      </c>
      <c r="CP1717" t="s">
        <v>114</v>
      </c>
      <c r="CQ1717" t="s">
        <v>136</v>
      </c>
      <c r="CR1717" t="s">
        <v>136</v>
      </c>
      <c r="CS1717" t="s">
        <v>136</v>
      </c>
      <c r="CT1717" t="s">
        <v>136</v>
      </c>
      <c r="CU1717" t="s">
        <v>136</v>
      </c>
      <c r="CV1717" s="2" t="s">
        <v>8616</v>
      </c>
      <c r="CW1717" s="10" t="str">
        <f>"+18022974106"</f>
        <v>+18022974106</v>
      </c>
      <c r="CX1717" t="s">
        <v>6318</v>
      </c>
      <c r="CY1717" t="s">
        <v>132</v>
      </c>
      <c r="CZ1717" t="s">
        <v>137</v>
      </c>
      <c r="DA1717" t="s">
        <v>114</v>
      </c>
      <c r="DB1717" t="s">
        <v>114</v>
      </c>
      <c r="DC1717" t="s">
        <v>136</v>
      </c>
      <c r="DD1717" t="s">
        <v>114</v>
      </c>
    </row>
    <row r="1718" spans="1:113" ht="15" customHeight="1" x14ac:dyDescent="0.25">
      <c r="A1718" t="s">
        <v>20295</v>
      </c>
      <c r="B1718" t="s">
        <v>152</v>
      </c>
      <c r="C1718" s="1">
        <v>45140.011068749998</v>
      </c>
      <c r="D1718" s="1">
        <v>45203</v>
      </c>
      <c r="E1718" t="s">
        <v>114</v>
      </c>
      <c r="F1718" t="s">
        <v>293</v>
      </c>
      <c r="G1718" t="str">
        <f>"37-2012.00"</f>
        <v>37-2012.00</v>
      </c>
      <c r="H1718" t="s">
        <v>205</v>
      </c>
      <c r="I1718">
        <v>19</v>
      </c>
      <c r="J1718">
        <v>19</v>
      </c>
      <c r="K1718" s="1">
        <v>45230</v>
      </c>
      <c r="L1718" s="1">
        <v>45535</v>
      </c>
      <c r="M1718" s="1">
        <v>45230</v>
      </c>
      <c r="N1718" s="1">
        <v>45535</v>
      </c>
      <c r="O1718" t="s">
        <v>116</v>
      </c>
      <c r="P1718" t="s">
        <v>6305</v>
      </c>
      <c r="Q1718" t="s">
        <v>6306</v>
      </c>
      <c r="R1718" t="s">
        <v>6307</v>
      </c>
      <c r="T1718" t="s">
        <v>6308</v>
      </c>
      <c r="U1718" t="s">
        <v>506</v>
      </c>
      <c r="V1718" s="8" t="str">
        <f>"05155"</f>
        <v>05155</v>
      </c>
      <c r="W1718" t="s">
        <v>118</v>
      </c>
      <c r="Y1718" s="10">
        <v>18022974103</v>
      </c>
      <c r="AA1718">
        <v>72111</v>
      </c>
      <c r="AB1718" t="s">
        <v>1211</v>
      </c>
      <c r="AC1718" t="s">
        <v>6309</v>
      </c>
      <c r="AE1718" t="s">
        <v>3922</v>
      </c>
      <c r="AF1718" t="s">
        <v>6310</v>
      </c>
      <c r="AH1718" t="s">
        <v>6308</v>
      </c>
      <c r="AI1718" t="s">
        <v>506</v>
      </c>
      <c r="AJ1718" s="8" t="str">
        <f>"05155"</f>
        <v>05155</v>
      </c>
      <c r="AK1718" t="s">
        <v>118</v>
      </c>
      <c r="AM1718" s="10">
        <v>18022974103</v>
      </c>
      <c r="AO1718" t="s">
        <v>6311</v>
      </c>
      <c r="AP1718" t="s">
        <v>121</v>
      </c>
      <c r="AQ1718" t="s">
        <v>1675</v>
      </c>
      <c r="AR1718" t="s">
        <v>1676</v>
      </c>
      <c r="AS1718" t="s">
        <v>1677</v>
      </c>
      <c r="AT1718" t="s">
        <v>1678</v>
      </c>
      <c r="AU1718" t="s">
        <v>296</v>
      </c>
      <c r="AV1718" t="s">
        <v>1679</v>
      </c>
      <c r="AW1718" t="s">
        <v>402</v>
      </c>
      <c r="AX1718" s="8" t="str">
        <f>"91361"</f>
        <v>91361</v>
      </c>
      <c r="AY1718" t="s">
        <v>118</v>
      </c>
      <c r="BA1718" s="10">
        <v>18052611393</v>
      </c>
      <c r="BC1718" t="s">
        <v>1680</v>
      </c>
      <c r="BD1718" t="s">
        <v>1681</v>
      </c>
      <c r="BE1718" t="s">
        <v>140</v>
      </c>
      <c r="BF1718" t="s">
        <v>146</v>
      </c>
      <c r="BG1718" t="s">
        <v>506</v>
      </c>
      <c r="BH1718" s="1">
        <v>45103.833333333336</v>
      </c>
      <c r="BI1718">
        <v>35</v>
      </c>
      <c r="BJ1718">
        <v>5</v>
      </c>
      <c r="BK1718">
        <v>5</v>
      </c>
      <c r="BL1718">
        <v>5</v>
      </c>
      <c r="BM1718">
        <v>5</v>
      </c>
      <c r="BN1718">
        <v>5</v>
      </c>
      <c r="BO1718">
        <v>5</v>
      </c>
      <c r="BP1718">
        <v>5</v>
      </c>
      <c r="BQ1718" t="str">
        <f>"6:00 AM"</f>
        <v>6:00 AM</v>
      </c>
      <c r="BR1718" t="str">
        <f>"1:00 PM"</f>
        <v>1:00 PM</v>
      </c>
      <c r="BS1718" t="s">
        <v>131</v>
      </c>
      <c r="BT1718">
        <v>0</v>
      </c>
      <c r="BU1718">
        <v>3</v>
      </c>
      <c r="BV1718" t="s">
        <v>114</v>
      </c>
      <c r="BX1718" s="2" t="s">
        <v>8613</v>
      </c>
      <c r="BY1718" t="s">
        <v>6310</v>
      </c>
      <c r="CA1718" t="s">
        <v>6313</v>
      </c>
      <c r="CB1718" t="s">
        <v>506</v>
      </c>
      <c r="CC1718" s="8" t="str">
        <f>"05155"</f>
        <v>05155</v>
      </c>
      <c r="CD1718" t="s">
        <v>6314</v>
      </c>
      <c r="CE1718" t="s">
        <v>523</v>
      </c>
      <c r="CF1718" s="12">
        <v>15.51</v>
      </c>
      <c r="CG1718" s="12">
        <v>21</v>
      </c>
      <c r="CH1718" s="12">
        <v>23.27</v>
      </c>
      <c r="CI1718" s="12">
        <v>31.5</v>
      </c>
      <c r="CJ1718" t="s">
        <v>135</v>
      </c>
      <c r="CK1718" t="s">
        <v>8614</v>
      </c>
      <c r="CL1718" t="s">
        <v>8615</v>
      </c>
      <c r="CO1718" t="s">
        <v>132</v>
      </c>
      <c r="CP1718" t="s">
        <v>114</v>
      </c>
      <c r="CQ1718" t="s">
        <v>136</v>
      </c>
      <c r="CR1718" t="s">
        <v>136</v>
      </c>
      <c r="CS1718" t="s">
        <v>136</v>
      </c>
      <c r="CT1718" t="s">
        <v>136</v>
      </c>
      <c r="CU1718" t="s">
        <v>136</v>
      </c>
      <c r="CV1718" s="2" t="s">
        <v>20296</v>
      </c>
      <c r="CW1718" s="10" t="str">
        <f>"+18022974106"</f>
        <v>+18022974106</v>
      </c>
      <c r="CX1718" t="s">
        <v>6318</v>
      </c>
      <c r="CY1718" t="s">
        <v>132</v>
      </c>
      <c r="CZ1718" t="s">
        <v>137</v>
      </c>
      <c r="DA1718" t="s">
        <v>114</v>
      </c>
      <c r="DB1718" t="s">
        <v>114</v>
      </c>
      <c r="DC1718" t="s">
        <v>136</v>
      </c>
      <c r="DD1718" t="s">
        <v>114</v>
      </c>
    </row>
    <row r="1719" spans="1:113" ht="15" customHeight="1" x14ac:dyDescent="0.25">
      <c r="A1719" t="s">
        <v>18512</v>
      </c>
      <c r="B1719" t="s">
        <v>152</v>
      </c>
      <c r="C1719" s="1">
        <v>45140.007454976854</v>
      </c>
      <c r="D1719" s="1">
        <v>45203</v>
      </c>
      <c r="E1719" t="s">
        <v>114</v>
      </c>
      <c r="F1719" t="s">
        <v>4971</v>
      </c>
      <c r="G1719" t="str">
        <f>"43-4081.00"</f>
        <v>43-4081.00</v>
      </c>
      <c r="H1719" t="s">
        <v>952</v>
      </c>
      <c r="I1719">
        <v>2</v>
      </c>
      <c r="J1719">
        <v>2</v>
      </c>
      <c r="K1719" s="1">
        <v>45230</v>
      </c>
      <c r="L1719" s="1">
        <v>45397</v>
      </c>
      <c r="M1719" s="1">
        <v>45230</v>
      </c>
      <c r="N1719" s="1">
        <v>45397</v>
      </c>
      <c r="O1719" t="s">
        <v>116</v>
      </c>
      <c r="P1719" t="s">
        <v>6305</v>
      </c>
      <c r="Q1719" t="s">
        <v>6306</v>
      </c>
      <c r="R1719" t="s">
        <v>6307</v>
      </c>
      <c r="T1719" t="s">
        <v>6308</v>
      </c>
      <c r="U1719" t="s">
        <v>506</v>
      </c>
      <c r="V1719" s="8" t="str">
        <f>"05155"</f>
        <v>05155</v>
      </c>
      <c r="W1719" t="s">
        <v>118</v>
      </c>
      <c r="Y1719" s="10">
        <v>18022974103</v>
      </c>
      <c r="AA1719">
        <v>72111</v>
      </c>
      <c r="AB1719" t="s">
        <v>1211</v>
      </c>
      <c r="AC1719" t="s">
        <v>6309</v>
      </c>
      <c r="AE1719" t="s">
        <v>3922</v>
      </c>
      <c r="AF1719" t="s">
        <v>6310</v>
      </c>
      <c r="AH1719" t="s">
        <v>6308</v>
      </c>
      <c r="AI1719" t="s">
        <v>506</v>
      </c>
      <c r="AJ1719" s="8" t="str">
        <f>"05155"</f>
        <v>05155</v>
      </c>
      <c r="AK1719" t="s">
        <v>118</v>
      </c>
      <c r="AM1719" s="10">
        <v>18022974103</v>
      </c>
      <c r="AO1719" t="s">
        <v>6311</v>
      </c>
      <c r="AP1719" t="s">
        <v>121</v>
      </c>
      <c r="AQ1719" t="s">
        <v>1675</v>
      </c>
      <c r="AR1719" t="s">
        <v>1676</v>
      </c>
      <c r="AS1719" t="s">
        <v>1677</v>
      </c>
      <c r="AT1719" t="s">
        <v>1678</v>
      </c>
      <c r="AU1719" t="s">
        <v>296</v>
      </c>
      <c r="AV1719" t="s">
        <v>1679</v>
      </c>
      <c r="AW1719" t="s">
        <v>402</v>
      </c>
      <c r="AX1719" s="8" t="str">
        <f>"91361"</f>
        <v>91361</v>
      </c>
      <c r="AY1719" t="s">
        <v>118</v>
      </c>
      <c r="BA1719" s="10">
        <v>18052611393</v>
      </c>
      <c r="BC1719" t="s">
        <v>1680</v>
      </c>
      <c r="BD1719" t="s">
        <v>1681</v>
      </c>
      <c r="BE1719" t="s">
        <v>140</v>
      </c>
      <c r="BF1719" t="s">
        <v>146</v>
      </c>
      <c r="BG1719" t="s">
        <v>506</v>
      </c>
      <c r="BH1719" s="1">
        <v>45103.833333333336</v>
      </c>
      <c r="BI1719">
        <v>35</v>
      </c>
      <c r="BJ1719">
        <v>5</v>
      </c>
      <c r="BK1719">
        <v>5</v>
      </c>
      <c r="BL1719">
        <v>5</v>
      </c>
      <c r="BM1719">
        <v>5</v>
      </c>
      <c r="BN1719">
        <v>5</v>
      </c>
      <c r="BO1719">
        <v>5</v>
      </c>
      <c r="BP1719">
        <v>5</v>
      </c>
      <c r="BQ1719" t="str">
        <f>"7:00 AM"</f>
        <v>7:00 AM</v>
      </c>
      <c r="BR1719" t="str">
        <f>"2:00 PM"</f>
        <v>2:00 PM</v>
      </c>
      <c r="BS1719" t="s">
        <v>131</v>
      </c>
      <c r="BT1719">
        <v>0</v>
      </c>
      <c r="BU1719">
        <v>3</v>
      </c>
      <c r="BV1719" t="s">
        <v>114</v>
      </c>
      <c r="BX1719" s="2" t="s">
        <v>18513</v>
      </c>
      <c r="BY1719" t="s">
        <v>6310</v>
      </c>
      <c r="CA1719" t="s">
        <v>6313</v>
      </c>
      <c r="CB1719" t="s">
        <v>506</v>
      </c>
      <c r="CC1719" s="8" t="str">
        <f>"05155"</f>
        <v>05155</v>
      </c>
      <c r="CD1719" t="s">
        <v>6314</v>
      </c>
      <c r="CE1719" t="s">
        <v>523</v>
      </c>
      <c r="CF1719" s="12">
        <v>15.7</v>
      </c>
      <c r="CG1719" s="12">
        <v>21</v>
      </c>
      <c r="CH1719" s="12">
        <v>23.55</v>
      </c>
      <c r="CI1719" s="12">
        <v>31.5</v>
      </c>
      <c r="CJ1719" t="s">
        <v>135</v>
      </c>
      <c r="CL1719" t="s">
        <v>18514</v>
      </c>
      <c r="CO1719" t="s">
        <v>132</v>
      </c>
      <c r="CP1719" t="s">
        <v>114</v>
      </c>
      <c r="CQ1719" t="s">
        <v>136</v>
      </c>
      <c r="CR1719" t="s">
        <v>136</v>
      </c>
      <c r="CS1719" t="s">
        <v>136</v>
      </c>
      <c r="CT1719" t="s">
        <v>136</v>
      </c>
      <c r="CU1719" t="s">
        <v>136</v>
      </c>
      <c r="CV1719" s="2" t="s">
        <v>6501</v>
      </c>
      <c r="CW1719" s="10" t="str">
        <f>"+18022974106"</f>
        <v>+18022974106</v>
      </c>
      <c r="CX1719" t="s">
        <v>6318</v>
      </c>
      <c r="CY1719" t="s">
        <v>132</v>
      </c>
      <c r="CZ1719" t="s">
        <v>137</v>
      </c>
      <c r="DA1719" t="s">
        <v>114</v>
      </c>
      <c r="DB1719" t="s">
        <v>114</v>
      </c>
      <c r="DC1719" t="s">
        <v>136</v>
      </c>
      <c r="DD1719" t="s">
        <v>114</v>
      </c>
    </row>
    <row r="1720" spans="1:113" ht="15" customHeight="1" x14ac:dyDescent="0.25">
      <c r="A1720" t="s">
        <v>14627</v>
      </c>
      <c r="B1720" t="s">
        <v>152</v>
      </c>
      <c r="C1720" s="1">
        <v>45140.004238310183</v>
      </c>
      <c r="D1720" s="1">
        <v>45203</v>
      </c>
      <c r="E1720" t="s">
        <v>114</v>
      </c>
      <c r="F1720" t="s">
        <v>14628</v>
      </c>
      <c r="G1720" t="str">
        <f>"39-9011.00"</f>
        <v>39-9011.00</v>
      </c>
      <c r="H1720" t="s">
        <v>183</v>
      </c>
      <c r="I1720">
        <v>1</v>
      </c>
      <c r="J1720">
        <v>1</v>
      </c>
      <c r="K1720" s="1">
        <v>45230</v>
      </c>
      <c r="L1720" s="1">
        <v>45382</v>
      </c>
      <c r="M1720" s="1">
        <v>45230</v>
      </c>
      <c r="N1720" s="1">
        <v>45382</v>
      </c>
      <c r="O1720" t="s">
        <v>116</v>
      </c>
      <c r="P1720" t="s">
        <v>6305</v>
      </c>
      <c r="Q1720" t="s">
        <v>6306</v>
      </c>
      <c r="R1720" t="s">
        <v>6307</v>
      </c>
      <c r="T1720" t="s">
        <v>6308</v>
      </c>
      <c r="U1720" t="s">
        <v>506</v>
      </c>
      <c r="V1720" s="8" t="str">
        <f>"05155"</f>
        <v>05155</v>
      </c>
      <c r="W1720" t="s">
        <v>118</v>
      </c>
      <c r="Y1720" s="10">
        <v>18022974103</v>
      </c>
      <c r="AA1720">
        <v>72111</v>
      </c>
      <c r="AB1720" t="s">
        <v>1211</v>
      </c>
      <c r="AC1720" t="s">
        <v>6309</v>
      </c>
      <c r="AE1720" t="s">
        <v>3922</v>
      </c>
      <c r="AF1720" t="s">
        <v>6310</v>
      </c>
      <c r="AH1720" t="s">
        <v>6308</v>
      </c>
      <c r="AI1720" t="s">
        <v>506</v>
      </c>
      <c r="AJ1720" s="8" t="str">
        <f>"05155"</f>
        <v>05155</v>
      </c>
      <c r="AK1720" t="s">
        <v>118</v>
      </c>
      <c r="AM1720" s="10">
        <v>18022974103</v>
      </c>
      <c r="AO1720" t="s">
        <v>6311</v>
      </c>
      <c r="AP1720" t="s">
        <v>121</v>
      </c>
      <c r="AQ1720" t="s">
        <v>1675</v>
      </c>
      <c r="AR1720" t="s">
        <v>1676</v>
      </c>
      <c r="AS1720" t="s">
        <v>1677</v>
      </c>
      <c r="AT1720" t="s">
        <v>1678</v>
      </c>
      <c r="AU1720" t="s">
        <v>296</v>
      </c>
      <c r="AV1720" t="s">
        <v>1679</v>
      </c>
      <c r="AW1720" t="s">
        <v>402</v>
      </c>
      <c r="AX1720" s="8" t="str">
        <f>"91361"</f>
        <v>91361</v>
      </c>
      <c r="AY1720" t="s">
        <v>118</v>
      </c>
      <c r="BA1720" s="10">
        <v>18052611393</v>
      </c>
      <c r="BC1720" t="s">
        <v>1680</v>
      </c>
      <c r="BD1720" t="s">
        <v>1681</v>
      </c>
      <c r="BE1720" t="s">
        <v>140</v>
      </c>
      <c r="BF1720" t="s">
        <v>146</v>
      </c>
      <c r="BG1720" t="s">
        <v>506</v>
      </c>
      <c r="BH1720" s="1">
        <v>45124.833333333336</v>
      </c>
      <c r="BI1720">
        <v>35</v>
      </c>
      <c r="BJ1720">
        <v>5</v>
      </c>
      <c r="BK1720">
        <v>5</v>
      </c>
      <c r="BL1720">
        <v>5</v>
      </c>
      <c r="BM1720">
        <v>5</v>
      </c>
      <c r="BN1720">
        <v>5</v>
      </c>
      <c r="BO1720">
        <v>5</v>
      </c>
      <c r="BP1720">
        <v>5</v>
      </c>
      <c r="BQ1720" t="str">
        <f>"7:00 AM"</f>
        <v>7:00 AM</v>
      </c>
      <c r="BR1720" t="str">
        <f>"2:00 PM"</f>
        <v>2:00 PM</v>
      </c>
      <c r="BS1720" t="s">
        <v>147</v>
      </c>
      <c r="BT1720">
        <v>0</v>
      </c>
      <c r="BU1720">
        <v>3</v>
      </c>
      <c r="BV1720" t="s">
        <v>114</v>
      </c>
      <c r="BX1720" s="2" t="s">
        <v>14629</v>
      </c>
      <c r="BY1720" t="s">
        <v>6310</v>
      </c>
      <c r="CA1720" t="s">
        <v>6308</v>
      </c>
      <c r="CB1720" t="s">
        <v>506</v>
      </c>
      <c r="CC1720" s="8" t="str">
        <f>"05155"</f>
        <v>05155</v>
      </c>
      <c r="CD1720" t="s">
        <v>6314</v>
      </c>
      <c r="CE1720" t="s">
        <v>523</v>
      </c>
      <c r="CF1720" s="12">
        <v>15.8</v>
      </c>
      <c r="CG1720" s="12">
        <v>21</v>
      </c>
      <c r="CH1720" s="12">
        <v>23.7</v>
      </c>
      <c r="CI1720" s="12">
        <v>31.5</v>
      </c>
      <c r="CJ1720" t="s">
        <v>135</v>
      </c>
      <c r="CL1720" t="s">
        <v>14630</v>
      </c>
      <c r="CO1720" t="s">
        <v>132</v>
      </c>
      <c r="CP1720" t="s">
        <v>114</v>
      </c>
      <c r="CQ1720" t="s">
        <v>136</v>
      </c>
      <c r="CR1720" t="s">
        <v>136</v>
      </c>
      <c r="CS1720" t="s">
        <v>136</v>
      </c>
      <c r="CT1720" t="s">
        <v>136</v>
      </c>
      <c r="CU1720" t="s">
        <v>136</v>
      </c>
      <c r="CV1720" s="2" t="s">
        <v>6501</v>
      </c>
      <c r="CW1720" s="10" t="str">
        <f>"+18022974106"</f>
        <v>+18022974106</v>
      </c>
      <c r="CX1720" t="s">
        <v>6318</v>
      </c>
      <c r="CY1720" t="s">
        <v>132</v>
      </c>
      <c r="CZ1720" t="s">
        <v>137</v>
      </c>
      <c r="DA1720" t="s">
        <v>114</v>
      </c>
      <c r="DB1720" t="s">
        <v>114</v>
      </c>
      <c r="DC1720" t="s">
        <v>136</v>
      </c>
      <c r="DD1720" t="s">
        <v>114</v>
      </c>
    </row>
    <row r="1721" spans="1:113" ht="15" customHeight="1" x14ac:dyDescent="0.25">
      <c r="A1721" t="s">
        <v>718</v>
      </c>
      <c r="B1721" t="s">
        <v>152</v>
      </c>
      <c r="C1721" s="1">
        <v>45139.510231365741</v>
      </c>
      <c r="D1721" s="1">
        <v>45203</v>
      </c>
      <c r="E1721" t="s">
        <v>114</v>
      </c>
      <c r="F1721" t="s">
        <v>719</v>
      </c>
      <c r="G1721" t="str">
        <f>"25-3021.00"</f>
        <v>25-3021.00</v>
      </c>
      <c r="H1721" t="s">
        <v>720</v>
      </c>
      <c r="I1721">
        <v>7</v>
      </c>
      <c r="J1721">
        <v>7</v>
      </c>
      <c r="K1721" s="1">
        <v>45229</v>
      </c>
      <c r="L1721" s="1">
        <v>45383</v>
      </c>
      <c r="M1721" s="1">
        <v>45229</v>
      </c>
      <c r="N1721" s="1">
        <v>45383</v>
      </c>
      <c r="O1721" t="s">
        <v>238</v>
      </c>
      <c r="P1721" t="s">
        <v>721</v>
      </c>
      <c r="Q1721" t="s">
        <v>722</v>
      </c>
      <c r="R1721" t="s">
        <v>723</v>
      </c>
      <c r="T1721" t="s">
        <v>724</v>
      </c>
      <c r="U1721" t="s">
        <v>402</v>
      </c>
      <c r="V1721" s="8" t="str">
        <f>"96150"</f>
        <v>96150</v>
      </c>
      <c r="W1721" t="s">
        <v>118</v>
      </c>
      <c r="Y1721" s="10">
        <v>13034041800</v>
      </c>
      <c r="AA1721">
        <v>713920</v>
      </c>
      <c r="AB1721" t="s">
        <v>507</v>
      </c>
      <c r="AC1721" t="s">
        <v>508</v>
      </c>
      <c r="AE1721" t="s">
        <v>725</v>
      </c>
      <c r="AF1721" t="s">
        <v>510</v>
      </c>
      <c r="AH1721" t="s">
        <v>511</v>
      </c>
      <c r="AI1721" t="s">
        <v>188</v>
      </c>
      <c r="AJ1721" s="8" t="str">
        <f>"80021"</f>
        <v>80021</v>
      </c>
      <c r="AK1721" t="s">
        <v>118</v>
      </c>
      <c r="AM1721" s="10">
        <v>13034041800</v>
      </c>
      <c r="AO1721" t="s">
        <v>512</v>
      </c>
      <c r="AP1721" t="s">
        <v>121</v>
      </c>
      <c r="AQ1721" t="s">
        <v>513</v>
      </c>
      <c r="AR1721" t="s">
        <v>514</v>
      </c>
      <c r="AS1721" t="s">
        <v>515</v>
      </c>
      <c r="AT1721" t="s">
        <v>516</v>
      </c>
      <c r="AU1721" t="s">
        <v>517</v>
      </c>
      <c r="AV1721" t="s">
        <v>518</v>
      </c>
      <c r="AW1721" t="s">
        <v>402</v>
      </c>
      <c r="AX1721" s="8" t="str">
        <f>"90071"</f>
        <v>90071</v>
      </c>
      <c r="AY1721" t="s">
        <v>118</v>
      </c>
      <c r="BA1721" s="10">
        <v>13108203322</v>
      </c>
      <c r="BC1721" t="s">
        <v>519</v>
      </c>
      <c r="BD1721" t="s">
        <v>520</v>
      </c>
      <c r="BE1721" t="s">
        <v>188</v>
      </c>
      <c r="BF1721" t="s">
        <v>172</v>
      </c>
      <c r="BG1721" t="s">
        <v>402</v>
      </c>
      <c r="BH1721" s="1">
        <v>45137.833333333336</v>
      </c>
      <c r="BI1721">
        <v>35</v>
      </c>
      <c r="BJ1721">
        <v>5</v>
      </c>
      <c r="BK1721">
        <v>5</v>
      </c>
      <c r="BL1721">
        <v>5</v>
      </c>
      <c r="BM1721">
        <v>5</v>
      </c>
      <c r="BN1721">
        <v>5</v>
      </c>
      <c r="BO1721">
        <v>5</v>
      </c>
      <c r="BP1721">
        <v>5</v>
      </c>
      <c r="BQ1721" t="str">
        <f>"8:30 AM"</f>
        <v>8:30 AM</v>
      </c>
      <c r="BR1721" t="str">
        <f>"4:00 PM"</f>
        <v>4:00 PM</v>
      </c>
      <c r="BS1721" t="s">
        <v>131</v>
      </c>
      <c r="BT1721">
        <v>0</v>
      </c>
      <c r="BU1721">
        <v>0</v>
      </c>
      <c r="BV1721" t="s">
        <v>114</v>
      </c>
      <c r="BX1721" s="2" t="s">
        <v>726</v>
      </c>
      <c r="BY1721" t="s">
        <v>723</v>
      </c>
      <c r="CA1721" t="s">
        <v>724</v>
      </c>
      <c r="CB1721" t="s">
        <v>402</v>
      </c>
      <c r="CC1721" s="8" t="str">
        <f>"96150"</f>
        <v>96150</v>
      </c>
      <c r="CD1721" t="s">
        <v>727</v>
      </c>
      <c r="CE1721" t="s">
        <v>728</v>
      </c>
      <c r="CF1721" s="12">
        <v>27</v>
      </c>
      <c r="CG1721" s="12">
        <v>62.02</v>
      </c>
      <c r="CH1721" s="12">
        <v>40.5</v>
      </c>
      <c r="CI1721" s="12">
        <v>93.03</v>
      </c>
      <c r="CJ1721" t="s">
        <v>135</v>
      </c>
      <c r="CK1721" t="s">
        <v>729</v>
      </c>
      <c r="CL1721" t="s">
        <v>730</v>
      </c>
      <c r="CO1721" t="s">
        <v>132</v>
      </c>
      <c r="CP1721" t="s">
        <v>114</v>
      </c>
      <c r="CQ1721" t="s">
        <v>114</v>
      </c>
      <c r="CR1721" t="s">
        <v>136</v>
      </c>
      <c r="CS1721" t="s">
        <v>114</v>
      </c>
      <c r="CT1721" t="s">
        <v>136</v>
      </c>
      <c r="CU1721" t="s">
        <v>136</v>
      </c>
      <c r="CV1721" t="s">
        <v>731</v>
      </c>
      <c r="CW1721" s="10" t="str">
        <f>"+13034041800"</f>
        <v>+13034041800</v>
      </c>
      <c r="CX1721" t="s">
        <v>512</v>
      </c>
      <c r="CY1721" t="s">
        <v>132</v>
      </c>
      <c r="CZ1721" t="s">
        <v>137</v>
      </c>
      <c r="DA1721" t="s">
        <v>114</v>
      </c>
      <c r="DB1721" t="s">
        <v>114</v>
      </c>
      <c r="DC1721" t="s">
        <v>136</v>
      </c>
      <c r="DD1721" t="s">
        <v>114</v>
      </c>
      <c r="DE1721" t="s">
        <v>527</v>
      </c>
      <c r="DF1721" t="s">
        <v>528</v>
      </c>
      <c r="DG1721" t="s">
        <v>732</v>
      </c>
      <c r="DH1721" t="s">
        <v>733</v>
      </c>
      <c r="DI1721" t="s">
        <v>529</v>
      </c>
    </row>
    <row r="1722" spans="1:113" ht="15" customHeight="1" x14ac:dyDescent="0.25">
      <c r="A1722" t="s">
        <v>15630</v>
      </c>
      <c r="B1722" t="s">
        <v>152</v>
      </c>
      <c r="C1722" s="1">
        <v>45139.430551504629</v>
      </c>
      <c r="D1722" s="1">
        <v>45203</v>
      </c>
      <c r="E1722" t="s">
        <v>114</v>
      </c>
      <c r="F1722" t="s">
        <v>1689</v>
      </c>
      <c r="G1722" t="str">
        <f>"37-2012.00"</f>
        <v>37-2012.00</v>
      </c>
      <c r="H1722" t="s">
        <v>205</v>
      </c>
      <c r="I1722">
        <v>10</v>
      </c>
      <c r="J1722">
        <v>10</v>
      </c>
      <c r="K1722" s="1">
        <v>45229</v>
      </c>
      <c r="L1722" s="1">
        <v>45534</v>
      </c>
      <c r="M1722" s="1">
        <v>45229</v>
      </c>
      <c r="N1722" s="1">
        <v>45534</v>
      </c>
      <c r="O1722" t="s">
        <v>116</v>
      </c>
      <c r="P1722" t="s">
        <v>15495</v>
      </c>
      <c r="Q1722" t="s">
        <v>15496</v>
      </c>
      <c r="R1722" t="s">
        <v>1647</v>
      </c>
      <c r="T1722" t="s">
        <v>1648</v>
      </c>
      <c r="U1722" t="s">
        <v>1642</v>
      </c>
      <c r="V1722" s="8" t="str">
        <f>"26209"</f>
        <v>26209</v>
      </c>
      <c r="W1722" t="s">
        <v>118</v>
      </c>
      <c r="Y1722" s="10">
        <v>13045725707</v>
      </c>
      <c r="AA1722">
        <v>72111</v>
      </c>
      <c r="AB1722" t="s">
        <v>3008</v>
      </c>
      <c r="AC1722" t="s">
        <v>15497</v>
      </c>
      <c r="AE1722" t="s">
        <v>15498</v>
      </c>
      <c r="AF1722" t="s">
        <v>1647</v>
      </c>
      <c r="AH1722" t="s">
        <v>1648</v>
      </c>
      <c r="AI1722" t="s">
        <v>1642</v>
      </c>
      <c r="AJ1722" s="8" t="str">
        <f>"26209"</f>
        <v>26209</v>
      </c>
      <c r="AK1722" t="s">
        <v>118</v>
      </c>
      <c r="AM1722" s="10">
        <v>13045725707</v>
      </c>
      <c r="AO1722" t="s">
        <v>15499</v>
      </c>
      <c r="AP1722" t="s">
        <v>121</v>
      </c>
      <c r="AQ1722" t="s">
        <v>1675</v>
      </c>
      <c r="AR1722" t="s">
        <v>1676</v>
      </c>
      <c r="AS1722" t="s">
        <v>1677</v>
      </c>
      <c r="AT1722" t="s">
        <v>1678</v>
      </c>
      <c r="AU1722" t="s">
        <v>296</v>
      </c>
      <c r="AV1722" t="s">
        <v>1679</v>
      </c>
      <c r="AW1722" t="s">
        <v>402</v>
      </c>
      <c r="AX1722" s="8" t="str">
        <f>"91361"</f>
        <v>91361</v>
      </c>
      <c r="AY1722" t="s">
        <v>118</v>
      </c>
      <c r="BA1722" s="10">
        <v>18052611393</v>
      </c>
      <c r="BC1722" t="s">
        <v>1680</v>
      </c>
      <c r="BD1722" t="s">
        <v>1681</v>
      </c>
      <c r="BE1722" t="s">
        <v>140</v>
      </c>
      <c r="BF1722" t="s">
        <v>146</v>
      </c>
      <c r="BG1722" t="s">
        <v>1642</v>
      </c>
      <c r="BH1722" s="1">
        <v>45137.833333333336</v>
      </c>
      <c r="BI1722">
        <v>35</v>
      </c>
      <c r="BJ1722">
        <v>5</v>
      </c>
      <c r="BK1722">
        <v>5</v>
      </c>
      <c r="BL1722">
        <v>5</v>
      </c>
      <c r="BM1722">
        <v>5</v>
      </c>
      <c r="BN1722">
        <v>5</v>
      </c>
      <c r="BO1722">
        <v>5</v>
      </c>
      <c r="BP1722">
        <v>5</v>
      </c>
      <c r="BQ1722" t="str">
        <f>"6:00 AM"</f>
        <v>6:00 AM</v>
      </c>
      <c r="BR1722" t="str">
        <f>"2:00 PM"</f>
        <v>2:00 PM</v>
      </c>
      <c r="BS1722" t="s">
        <v>131</v>
      </c>
      <c r="BT1722">
        <v>0</v>
      </c>
      <c r="BU1722">
        <v>3</v>
      </c>
      <c r="BV1722" t="s">
        <v>114</v>
      </c>
      <c r="BX1722" s="2" t="s">
        <v>15631</v>
      </c>
      <c r="BY1722" t="s">
        <v>1647</v>
      </c>
      <c r="CA1722" t="s">
        <v>1648</v>
      </c>
      <c r="CB1722" t="s">
        <v>1642</v>
      </c>
      <c r="CC1722" s="8" t="str">
        <f>"26209"</f>
        <v>26209</v>
      </c>
      <c r="CD1722" t="s">
        <v>1649</v>
      </c>
      <c r="CE1722" t="s">
        <v>1650</v>
      </c>
      <c r="CF1722" s="12">
        <v>11.2</v>
      </c>
      <c r="CG1722" s="12">
        <v>16.5</v>
      </c>
      <c r="CH1722" s="12">
        <v>16.8</v>
      </c>
      <c r="CI1722" s="12">
        <v>24.75</v>
      </c>
      <c r="CJ1722" t="s">
        <v>135</v>
      </c>
      <c r="CK1722" t="s">
        <v>15501</v>
      </c>
      <c r="CL1722" t="s">
        <v>15502</v>
      </c>
      <c r="CO1722" t="s">
        <v>132</v>
      </c>
      <c r="CP1722" t="s">
        <v>114</v>
      </c>
      <c r="CQ1722" t="s">
        <v>136</v>
      </c>
      <c r="CR1722" t="s">
        <v>136</v>
      </c>
      <c r="CS1722" t="s">
        <v>136</v>
      </c>
      <c r="CT1722" t="s">
        <v>136</v>
      </c>
      <c r="CU1722" t="s">
        <v>136</v>
      </c>
      <c r="CV1722" s="2" t="s">
        <v>15632</v>
      </c>
      <c r="CW1722" s="10" t="str">
        <f>"+13045725707"</f>
        <v>+13045725707</v>
      </c>
      <c r="CX1722" t="s">
        <v>15504</v>
      </c>
      <c r="CY1722" t="s">
        <v>132</v>
      </c>
      <c r="CZ1722" t="s">
        <v>137</v>
      </c>
      <c r="DA1722" t="s">
        <v>114</v>
      </c>
      <c r="DB1722" t="s">
        <v>136</v>
      </c>
      <c r="DC1722" t="s">
        <v>136</v>
      </c>
      <c r="DD1722" t="s">
        <v>114</v>
      </c>
    </row>
    <row r="1723" spans="1:113" ht="15" customHeight="1" x14ac:dyDescent="0.25">
      <c r="A1723" t="s">
        <v>23415</v>
      </c>
      <c r="B1723" t="s">
        <v>152</v>
      </c>
      <c r="C1723" s="1">
        <v>45139.426203703704</v>
      </c>
      <c r="D1723" s="1">
        <v>45203</v>
      </c>
      <c r="E1723" t="s">
        <v>114</v>
      </c>
      <c r="F1723" t="s">
        <v>23416</v>
      </c>
      <c r="G1723" t="str">
        <f>"35-2014.00"</f>
        <v>35-2014.00</v>
      </c>
      <c r="H1723" t="s">
        <v>154</v>
      </c>
      <c r="I1723">
        <v>16</v>
      </c>
      <c r="J1723">
        <v>16</v>
      </c>
      <c r="K1723" s="1">
        <v>45229</v>
      </c>
      <c r="L1723" s="1">
        <v>45383</v>
      </c>
      <c r="M1723" s="1">
        <v>45229</v>
      </c>
      <c r="N1723" s="1">
        <v>45383</v>
      </c>
      <c r="O1723" t="s">
        <v>116</v>
      </c>
      <c r="P1723" t="s">
        <v>15495</v>
      </c>
      <c r="Q1723" t="s">
        <v>15496</v>
      </c>
      <c r="R1723" t="s">
        <v>1647</v>
      </c>
      <c r="T1723" t="s">
        <v>1648</v>
      </c>
      <c r="U1723" t="s">
        <v>1642</v>
      </c>
      <c r="V1723" s="8" t="str">
        <f>"26209"</f>
        <v>26209</v>
      </c>
      <c r="W1723" t="s">
        <v>118</v>
      </c>
      <c r="Y1723" s="10">
        <v>13045725707</v>
      </c>
      <c r="AA1723">
        <v>72111</v>
      </c>
      <c r="AB1723" t="s">
        <v>3008</v>
      </c>
      <c r="AC1723" t="s">
        <v>15497</v>
      </c>
      <c r="AE1723" t="s">
        <v>15498</v>
      </c>
      <c r="AF1723" t="s">
        <v>1647</v>
      </c>
      <c r="AH1723" t="s">
        <v>1648</v>
      </c>
      <c r="AI1723" t="s">
        <v>1642</v>
      </c>
      <c r="AJ1723" s="8" t="str">
        <f>"26209"</f>
        <v>26209</v>
      </c>
      <c r="AK1723" t="s">
        <v>118</v>
      </c>
      <c r="AM1723" s="10">
        <v>13045725707</v>
      </c>
      <c r="AO1723" t="s">
        <v>15499</v>
      </c>
      <c r="AP1723" t="s">
        <v>121</v>
      </c>
      <c r="AQ1723" t="s">
        <v>1675</v>
      </c>
      <c r="AR1723" t="s">
        <v>1676</v>
      </c>
      <c r="AS1723" t="s">
        <v>1677</v>
      </c>
      <c r="AT1723" t="s">
        <v>1678</v>
      </c>
      <c r="AU1723" t="s">
        <v>296</v>
      </c>
      <c r="AV1723" t="s">
        <v>1679</v>
      </c>
      <c r="AW1723" t="s">
        <v>402</v>
      </c>
      <c r="AX1723" s="8" t="str">
        <f>"91361"</f>
        <v>91361</v>
      </c>
      <c r="AY1723" t="s">
        <v>118</v>
      </c>
      <c r="BA1723" s="10">
        <v>18052611393</v>
      </c>
      <c r="BC1723" t="s">
        <v>1680</v>
      </c>
      <c r="BD1723" t="s">
        <v>1681</v>
      </c>
      <c r="BE1723" t="s">
        <v>140</v>
      </c>
      <c r="BF1723" t="s">
        <v>146</v>
      </c>
      <c r="BG1723" t="s">
        <v>1642</v>
      </c>
      <c r="BH1723" s="1">
        <v>45131.833333333336</v>
      </c>
      <c r="BI1723">
        <v>35</v>
      </c>
      <c r="BJ1723">
        <v>5</v>
      </c>
      <c r="BK1723">
        <v>5</v>
      </c>
      <c r="BL1723">
        <v>5</v>
      </c>
      <c r="BM1723">
        <v>5</v>
      </c>
      <c r="BN1723">
        <v>5</v>
      </c>
      <c r="BO1723">
        <v>5</v>
      </c>
      <c r="BP1723">
        <v>5</v>
      </c>
      <c r="BQ1723" t="str">
        <f>"6:00 AM"</f>
        <v>6:00 AM</v>
      </c>
      <c r="BR1723" t="str">
        <f>"2:00 AM"</f>
        <v>2:00 AM</v>
      </c>
      <c r="BS1723" t="s">
        <v>131</v>
      </c>
      <c r="BT1723">
        <v>0</v>
      </c>
      <c r="BU1723">
        <v>12</v>
      </c>
      <c r="BV1723" t="s">
        <v>114</v>
      </c>
      <c r="BX1723" s="2" t="s">
        <v>23417</v>
      </c>
      <c r="BY1723" t="s">
        <v>1647</v>
      </c>
      <c r="CA1723" t="s">
        <v>1648</v>
      </c>
      <c r="CB1723" t="s">
        <v>1642</v>
      </c>
      <c r="CC1723" s="8" t="str">
        <f>"26209"</f>
        <v>26209</v>
      </c>
      <c r="CD1723" t="s">
        <v>1649</v>
      </c>
      <c r="CE1723" t="s">
        <v>1650</v>
      </c>
      <c r="CF1723" s="12">
        <v>12.23</v>
      </c>
      <c r="CG1723" s="12">
        <v>17.57</v>
      </c>
      <c r="CH1723" s="12">
        <v>18.350000000000001</v>
      </c>
      <c r="CI1723" s="12">
        <v>26.36</v>
      </c>
      <c r="CJ1723" t="s">
        <v>135</v>
      </c>
      <c r="CK1723" t="s">
        <v>15501</v>
      </c>
      <c r="CL1723" t="s">
        <v>23418</v>
      </c>
      <c r="CO1723" t="s">
        <v>132</v>
      </c>
      <c r="CP1723" t="s">
        <v>114</v>
      </c>
      <c r="CQ1723" t="s">
        <v>136</v>
      </c>
      <c r="CR1723" t="s">
        <v>136</v>
      </c>
      <c r="CS1723" t="s">
        <v>136</v>
      </c>
      <c r="CT1723" t="s">
        <v>136</v>
      </c>
      <c r="CU1723" t="s">
        <v>136</v>
      </c>
      <c r="CV1723" s="2" t="s">
        <v>23419</v>
      </c>
      <c r="CW1723" s="10" t="str">
        <f>"+13045725707"</f>
        <v>+13045725707</v>
      </c>
      <c r="CX1723" t="s">
        <v>15504</v>
      </c>
      <c r="CY1723" t="s">
        <v>132</v>
      </c>
      <c r="CZ1723" t="s">
        <v>137</v>
      </c>
      <c r="DA1723" t="s">
        <v>114</v>
      </c>
      <c r="DB1723" t="s">
        <v>136</v>
      </c>
      <c r="DC1723" t="s">
        <v>136</v>
      </c>
      <c r="DD1723" t="s">
        <v>114</v>
      </c>
    </row>
    <row r="1724" spans="1:113" ht="15" customHeight="1" x14ac:dyDescent="0.25">
      <c r="A1724" t="s">
        <v>15494</v>
      </c>
      <c r="B1724" t="s">
        <v>152</v>
      </c>
      <c r="C1724" s="1">
        <v>45139.421995023149</v>
      </c>
      <c r="D1724" s="1">
        <v>45203</v>
      </c>
      <c r="E1724" t="s">
        <v>114</v>
      </c>
      <c r="F1724" t="s">
        <v>1689</v>
      </c>
      <c r="G1724" t="str">
        <f>"37-2012.00"</f>
        <v>37-2012.00</v>
      </c>
      <c r="H1724" t="s">
        <v>205</v>
      </c>
      <c r="I1724">
        <v>85</v>
      </c>
      <c r="J1724">
        <v>85</v>
      </c>
      <c r="K1724" s="1">
        <v>45229</v>
      </c>
      <c r="L1724" s="1">
        <v>45412</v>
      </c>
      <c r="M1724" s="1">
        <v>45229</v>
      </c>
      <c r="N1724" s="1">
        <v>45412</v>
      </c>
      <c r="O1724" t="s">
        <v>116</v>
      </c>
      <c r="P1724" t="s">
        <v>15495</v>
      </c>
      <c r="Q1724" t="s">
        <v>15496</v>
      </c>
      <c r="R1724" t="s">
        <v>1647</v>
      </c>
      <c r="T1724" t="s">
        <v>1648</v>
      </c>
      <c r="U1724" t="s">
        <v>1642</v>
      </c>
      <c r="V1724" s="8" t="str">
        <f>"26209"</f>
        <v>26209</v>
      </c>
      <c r="W1724" t="s">
        <v>118</v>
      </c>
      <c r="Y1724" s="10">
        <v>13045725707</v>
      </c>
      <c r="AA1724">
        <v>72111</v>
      </c>
      <c r="AB1724" t="s">
        <v>3008</v>
      </c>
      <c r="AC1724" t="s">
        <v>15497</v>
      </c>
      <c r="AE1724" t="s">
        <v>15498</v>
      </c>
      <c r="AF1724" t="s">
        <v>1647</v>
      </c>
      <c r="AH1724" t="s">
        <v>1648</v>
      </c>
      <c r="AI1724" t="s">
        <v>1642</v>
      </c>
      <c r="AJ1724" s="8" t="str">
        <f>"26209"</f>
        <v>26209</v>
      </c>
      <c r="AK1724" t="s">
        <v>118</v>
      </c>
      <c r="AM1724" s="10">
        <v>13045725707</v>
      </c>
      <c r="AO1724" t="s">
        <v>15499</v>
      </c>
      <c r="AP1724" t="s">
        <v>121</v>
      </c>
      <c r="AQ1724" t="s">
        <v>1675</v>
      </c>
      <c r="AR1724" t="s">
        <v>1676</v>
      </c>
      <c r="AS1724" t="s">
        <v>1677</v>
      </c>
      <c r="AT1724" t="s">
        <v>1678</v>
      </c>
      <c r="AU1724" t="s">
        <v>296</v>
      </c>
      <c r="AV1724" t="s">
        <v>1679</v>
      </c>
      <c r="AW1724" t="s">
        <v>402</v>
      </c>
      <c r="AX1724" s="8" t="str">
        <f>"91361"</f>
        <v>91361</v>
      </c>
      <c r="AY1724" t="s">
        <v>118</v>
      </c>
      <c r="BA1724" s="10">
        <v>18052611393</v>
      </c>
      <c r="BC1724" t="s">
        <v>1680</v>
      </c>
      <c r="BD1724" t="s">
        <v>1681</v>
      </c>
      <c r="BE1724" t="s">
        <v>140</v>
      </c>
      <c r="BF1724" t="s">
        <v>146</v>
      </c>
      <c r="BG1724" t="s">
        <v>1642</v>
      </c>
      <c r="BH1724" s="1">
        <v>45137.833333333336</v>
      </c>
      <c r="BI1724">
        <v>35</v>
      </c>
      <c r="BJ1724">
        <v>5</v>
      </c>
      <c r="BK1724">
        <v>5</v>
      </c>
      <c r="BL1724">
        <v>5</v>
      </c>
      <c r="BM1724">
        <v>5</v>
      </c>
      <c r="BN1724">
        <v>5</v>
      </c>
      <c r="BO1724">
        <v>5</v>
      </c>
      <c r="BP1724">
        <v>5</v>
      </c>
      <c r="BQ1724" t="str">
        <f>"6:00 AM"</f>
        <v>6:00 AM</v>
      </c>
      <c r="BR1724" t="str">
        <f>"2:00 AM"</f>
        <v>2:00 AM</v>
      </c>
      <c r="BS1724" t="s">
        <v>131</v>
      </c>
      <c r="BT1724">
        <v>0</v>
      </c>
      <c r="BU1724">
        <v>3</v>
      </c>
      <c r="BV1724" t="s">
        <v>114</v>
      </c>
      <c r="BX1724" s="2" t="s">
        <v>15500</v>
      </c>
      <c r="BY1724" t="s">
        <v>1647</v>
      </c>
      <c r="CA1724" t="s">
        <v>1648</v>
      </c>
      <c r="CB1724" t="s">
        <v>1642</v>
      </c>
      <c r="CC1724" s="8" t="str">
        <f>"26209"</f>
        <v>26209</v>
      </c>
      <c r="CD1724" t="s">
        <v>1649</v>
      </c>
      <c r="CE1724" t="s">
        <v>1650</v>
      </c>
      <c r="CF1724" s="12">
        <v>11.2</v>
      </c>
      <c r="CG1724" s="12">
        <v>16.5</v>
      </c>
      <c r="CH1724" s="12">
        <v>16.8</v>
      </c>
      <c r="CI1724" s="12">
        <v>24.75</v>
      </c>
      <c r="CJ1724" t="s">
        <v>135</v>
      </c>
      <c r="CK1724" t="s">
        <v>15501</v>
      </c>
      <c r="CL1724" t="s">
        <v>15502</v>
      </c>
      <c r="CO1724" t="s">
        <v>132</v>
      </c>
      <c r="CP1724" t="s">
        <v>114</v>
      </c>
      <c r="CQ1724" t="s">
        <v>136</v>
      </c>
      <c r="CR1724" t="s">
        <v>136</v>
      </c>
      <c r="CS1724" t="s">
        <v>136</v>
      </c>
      <c r="CT1724" t="s">
        <v>136</v>
      </c>
      <c r="CU1724" t="s">
        <v>136</v>
      </c>
      <c r="CV1724" s="2" t="s">
        <v>15503</v>
      </c>
      <c r="CW1724" s="10" t="str">
        <f>"+13045725707"</f>
        <v>+13045725707</v>
      </c>
      <c r="CX1724" t="s">
        <v>15504</v>
      </c>
      <c r="CY1724" t="s">
        <v>132</v>
      </c>
      <c r="CZ1724" t="s">
        <v>137</v>
      </c>
      <c r="DA1724" t="s">
        <v>114</v>
      </c>
      <c r="DB1724" t="s">
        <v>136</v>
      </c>
      <c r="DC1724" t="s">
        <v>136</v>
      </c>
      <c r="DD1724" t="s">
        <v>114</v>
      </c>
    </row>
    <row r="1725" spans="1:113" ht="15" customHeight="1" x14ac:dyDescent="0.25">
      <c r="A1725" t="s">
        <v>11833</v>
      </c>
      <c r="B1725" t="s">
        <v>152</v>
      </c>
      <c r="C1725" s="1">
        <v>45139.411161574077</v>
      </c>
      <c r="D1725" s="1">
        <v>45203</v>
      </c>
      <c r="E1725" t="s">
        <v>114</v>
      </c>
      <c r="F1725" t="s">
        <v>4734</v>
      </c>
      <c r="G1725" t="str">
        <f>"35-2014.00"</f>
        <v>35-2014.00</v>
      </c>
      <c r="H1725" t="s">
        <v>154</v>
      </c>
      <c r="I1725">
        <v>24</v>
      </c>
      <c r="J1725">
        <v>24</v>
      </c>
      <c r="K1725" s="1">
        <v>45229</v>
      </c>
      <c r="L1725" s="1">
        <v>45534</v>
      </c>
      <c r="M1725" s="1">
        <v>45229</v>
      </c>
      <c r="N1725" s="1">
        <v>45534</v>
      </c>
      <c r="O1725" t="s">
        <v>116</v>
      </c>
      <c r="P1725" t="s">
        <v>4735</v>
      </c>
      <c r="Q1725" t="s">
        <v>4736</v>
      </c>
      <c r="R1725" t="s">
        <v>4737</v>
      </c>
      <c r="T1725" t="s">
        <v>4738</v>
      </c>
      <c r="U1725" t="s">
        <v>402</v>
      </c>
      <c r="V1725" s="8" t="str">
        <f>"96146"</f>
        <v>96146</v>
      </c>
      <c r="W1725" t="s">
        <v>118</v>
      </c>
      <c r="Y1725" s="10">
        <v>15304527114</v>
      </c>
      <c r="AA1725">
        <v>72111</v>
      </c>
      <c r="AB1725" t="s">
        <v>3411</v>
      </c>
      <c r="AC1725" t="s">
        <v>1295</v>
      </c>
      <c r="AE1725" t="s">
        <v>4739</v>
      </c>
      <c r="AF1725" t="s">
        <v>4740</v>
      </c>
      <c r="AG1725" t="s">
        <v>4741</v>
      </c>
      <c r="AH1725" t="s">
        <v>4738</v>
      </c>
      <c r="AI1725" t="s">
        <v>402</v>
      </c>
      <c r="AJ1725" s="8" t="str">
        <f>"96146"</f>
        <v>96146</v>
      </c>
      <c r="AK1725" t="s">
        <v>118</v>
      </c>
      <c r="AM1725" s="10">
        <v>15304527114</v>
      </c>
      <c r="AO1725" t="s">
        <v>4742</v>
      </c>
      <c r="AP1725" t="s">
        <v>121</v>
      </c>
      <c r="AQ1725" t="s">
        <v>1675</v>
      </c>
      <c r="AR1725" t="s">
        <v>1676</v>
      </c>
      <c r="AS1725" t="s">
        <v>1677</v>
      </c>
      <c r="AT1725" t="s">
        <v>1678</v>
      </c>
      <c r="AU1725" t="s">
        <v>296</v>
      </c>
      <c r="AV1725" t="s">
        <v>1679</v>
      </c>
      <c r="AW1725" t="s">
        <v>402</v>
      </c>
      <c r="AX1725" s="8" t="str">
        <f>"91361"</f>
        <v>91361</v>
      </c>
      <c r="AY1725" t="s">
        <v>118</v>
      </c>
      <c r="BA1725" s="10">
        <v>18052611393</v>
      </c>
      <c r="BC1725" t="s">
        <v>1680</v>
      </c>
      <c r="BD1725" t="s">
        <v>1681</v>
      </c>
      <c r="BE1725" t="s">
        <v>140</v>
      </c>
      <c r="BF1725" t="s">
        <v>146</v>
      </c>
      <c r="BG1725" t="s">
        <v>402</v>
      </c>
      <c r="BH1725" s="1">
        <v>45104.833333333336</v>
      </c>
      <c r="BI1725">
        <v>35</v>
      </c>
      <c r="BJ1725">
        <v>5</v>
      </c>
      <c r="BK1725">
        <v>5</v>
      </c>
      <c r="BL1725">
        <v>5</v>
      </c>
      <c r="BM1725">
        <v>5</v>
      </c>
      <c r="BN1725">
        <v>5</v>
      </c>
      <c r="BO1725">
        <v>5</v>
      </c>
      <c r="BP1725">
        <v>5</v>
      </c>
      <c r="BQ1725" t="str">
        <f>"7:00 AM"</f>
        <v>7:00 AM</v>
      </c>
      <c r="BR1725" t="str">
        <f>"3:30 PM"</f>
        <v>3:30 PM</v>
      </c>
      <c r="BS1725" t="s">
        <v>147</v>
      </c>
      <c r="BT1725">
        <v>0</v>
      </c>
      <c r="BU1725">
        <v>6</v>
      </c>
      <c r="BV1725" t="s">
        <v>114</v>
      </c>
      <c r="BX1725" s="2" t="s">
        <v>4743</v>
      </c>
      <c r="BY1725" t="s">
        <v>4744</v>
      </c>
      <c r="CA1725" t="s">
        <v>4738</v>
      </c>
      <c r="CB1725" t="s">
        <v>402</v>
      </c>
      <c r="CC1725" s="8" t="str">
        <f>"96146"</f>
        <v>96146</v>
      </c>
      <c r="CD1725" t="s">
        <v>4745</v>
      </c>
      <c r="CE1725" t="s">
        <v>728</v>
      </c>
      <c r="CF1725" s="12">
        <v>17.88</v>
      </c>
      <c r="CG1725" s="12">
        <v>24</v>
      </c>
      <c r="CH1725" s="12">
        <v>26.82</v>
      </c>
      <c r="CI1725" s="12">
        <v>36</v>
      </c>
      <c r="CJ1725" t="s">
        <v>135</v>
      </c>
      <c r="CK1725" t="s">
        <v>4746</v>
      </c>
      <c r="CL1725" t="s">
        <v>4747</v>
      </c>
      <c r="CO1725" t="s">
        <v>132</v>
      </c>
      <c r="CP1725" t="s">
        <v>136</v>
      </c>
      <c r="CQ1725" t="s">
        <v>114</v>
      </c>
      <c r="CR1725" t="s">
        <v>136</v>
      </c>
      <c r="CS1725" t="s">
        <v>136</v>
      </c>
      <c r="CT1725" t="s">
        <v>136</v>
      </c>
      <c r="CU1725" t="s">
        <v>136</v>
      </c>
      <c r="CV1725" s="2" t="s">
        <v>4748</v>
      </c>
      <c r="CW1725" s="10" t="str">
        <f>"+15305846081"</f>
        <v>+15305846081</v>
      </c>
      <c r="CX1725" t="s">
        <v>4742</v>
      </c>
      <c r="CY1725" t="s">
        <v>132</v>
      </c>
      <c r="CZ1725" t="s">
        <v>137</v>
      </c>
      <c r="DA1725" t="s">
        <v>114</v>
      </c>
      <c r="DB1725" t="s">
        <v>114</v>
      </c>
      <c r="DC1725" t="s">
        <v>136</v>
      </c>
      <c r="DD1725" t="s">
        <v>114</v>
      </c>
    </row>
    <row r="1726" spans="1:113" ht="15" customHeight="1" x14ac:dyDescent="0.25">
      <c r="A1726" t="s">
        <v>22398</v>
      </c>
      <c r="B1726" t="s">
        <v>152</v>
      </c>
      <c r="C1726" s="1">
        <v>45139.408536574076</v>
      </c>
      <c r="D1726" s="1">
        <v>45203</v>
      </c>
      <c r="E1726" t="s">
        <v>114</v>
      </c>
      <c r="F1726" t="s">
        <v>2866</v>
      </c>
      <c r="G1726" t="str">
        <f>"35-9021.00"</f>
        <v>35-9021.00</v>
      </c>
      <c r="H1726" t="s">
        <v>501</v>
      </c>
      <c r="I1726">
        <v>6</v>
      </c>
      <c r="J1726">
        <v>6</v>
      </c>
      <c r="K1726" s="1">
        <v>45229</v>
      </c>
      <c r="L1726" s="1">
        <v>45412</v>
      </c>
      <c r="M1726" s="1">
        <v>45229</v>
      </c>
      <c r="N1726" s="1">
        <v>45412</v>
      </c>
      <c r="O1726" t="s">
        <v>238</v>
      </c>
      <c r="P1726" t="s">
        <v>4735</v>
      </c>
      <c r="Q1726" t="s">
        <v>4736</v>
      </c>
      <c r="R1726" t="s">
        <v>4737</v>
      </c>
      <c r="T1726" t="s">
        <v>4738</v>
      </c>
      <c r="U1726" t="s">
        <v>402</v>
      </c>
      <c r="V1726" s="8" t="str">
        <f>"96146"</f>
        <v>96146</v>
      </c>
      <c r="W1726" t="s">
        <v>118</v>
      </c>
      <c r="Y1726" s="10">
        <v>15304527114</v>
      </c>
      <c r="AA1726">
        <v>72111</v>
      </c>
      <c r="AB1726" t="s">
        <v>3411</v>
      </c>
      <c r="AC1726" t="s">
        <v>1295</v>
      </c>
      <c r="AE1726" t="s">
        <v>1104</v>
      </c>
      <c r="AF1726" t="s">
        <v>4740</v>
      </c>
      <c r="AG1726" t="s">
        <v>4741</v>
      </c>
      <c r="AH1726" t="s">
        <v>4738</v>
      </c>
      <c r="AI1726" t="s">
        <v>402</v>
      </c>
      <c r="AJ1726" s="8" t="str">
        <f>"96146"</f>
        <v>96146</v>
      </c>
      <c r="AK1726" t="s">
        <v>118</v>
      </c>
      <c r="AM1726" s="10">
        <v>15304527114</v>
      </c>
      <c r="AO1726" t="s">
        <v>4742</v>
      </c>
      <c r="AP1726" t="s">
        <v>121</v>
      </c>
      <c r="AQ1726" t="s">
        <v>1675</v>
      </c>
      <c r="AR1726" t="s">
        <v>1676</v>
      </c>
      <c r="AS1726" t="s">
        <v>1677</v>
      </c>
      <c r="AT1726" t="s">
        <v>1678</v>
      </c>
      <c r="AU1726" t="s">
        <v>296</v>
      </c>
      <c r="AV1726" t="s">
        <v>1679</v>
      </c>
      <c r="AW1726" t="s">
        <v>402</v>
      </c>
      <c r="AX1726" s="8" t="str">
        <f>"91361"</f>
        <v>91361</v>
      </c>
      <c r="AY1726" t="s">
        <v>118</v>
      </c>
      <c r="BA1726" s="10">
        <v>18052611393</v>
      </c>
      <c r="BC1726" t="s">
        <v>1680</v>
      </c>
      <c r="BD1726" t="s">
        <v>1681</v>
      </c>
      <c r="BE1726" t="s">
        <v>140</v>
      </c>
      <c r="BF1726" t="s">
        <v>146</v>
      </c>
      <c r="BG1726" t="s">
        <v>402</v>
      </c>
      <c r="BH1726" s="1">
        <v>45104.833333333336</v>
      </c>
      <c r="BI1726">
        <v>35</v>
      </c>
      <c r="BJ1726">
        <v>5</v>
      </c>
      <c r="BK1726">
        <v>5</v>
      </c>
      <c r="BL1726">
        <v>5</v>
      </c>
      <c r="BM1726">
        <v>5</v>
      </c>
      <c r="BN1726">
        <v>5</v>
      </c>
      <c r="BO1726">
        <v>5</v>
      </c>
      <c r="BP1726">
        <v>5</v>
      </c>
      <c r="BQ1726" t="str">
        <f>"7:00 AM"</f>
        <v>7:00 AM</v>
      </c>
      <c r="BR1726" t="str">
        <f>"3:30 PM"</f>
        <v>3:30 PM</v>
      </c>
      <c r="BS1726" t="s">
        <v>131</v>
      </c>
      <c r="BT1726">
        <v>0</v>
      </c>
      <c r="BU1726">
        <v>6</v>
      </c>
      <c r="BV1726" t="s">
        <v>114</v>
      </c>
      <c r="BX1726" s="2" t="s">
        <v>22399</v>
      </c>
      <c r="BY1726" t="s">
        <v>4744</v>
      </c>
      <c r="CA1726" t="s">
        <v>4738</v>
      </c>
      <c r="CB1726" t="s">
        <v>402</v>
      </c>
      <c r="CC1726" s="8" t="str">
        <f>"96146"</f>
        <v>96146</v>
      </c>
      <c r="CD1726" t="s">
        <v>4745</v>
      </c>
      <c r="CE1726" t="s">
        <v>728</v>
      </c>
      <c r="CF1726" s="12">
        <v>15</v>
      </c>
      <c r="CG1726" s="12">
        <v>23</v>
      </c>
      <c r="CH1726" s="12">
        <v>22.5</v>
      </c>
      <c r="CI1726" s="12">
        <v>34.5</v>
      </c>
      <c r="CJ1726" t="s">
        <v>135</v>
      </c>
      <c r="CK1726" t="s">
        <v>4746</v>
      </c>
      <c r="CL1726" t="s">
        <v>22400</v>
      </c>
      <c r="CO1726" t="s">
        <v>132</v>
      </c>
      <c r="CP1726" t="s">
        <v>136</v>
      </c>
      <c r="CQ1726" t="s">
        <v>114</v>
      </c>
      <c r="CR1726" t="s">
        <v>136</v>
      </c>
      <c r="CS1726" t="s">
        <v>136</v>
      </c>
      <c r="CT1726" t="s">
        <v>136</v>
      </c>
      <c r="CU1726" t="s">
        <v>136</v>
      </c>
      <c r="CV1726" s="2" t="s">
        <v>22401</v>
      </c>
      <c r="CW1726" s="10" t="str">
        <f>"+15305846081"</f>
        <v>+15305846081</v>
      </c>
      <c r="CX1726" t="s">
        <v>4742</v>
      </c>
      <c r="CY1726" t="s">
        <v>132</v>
      </c>
      <c r="CZ1726" t="s">
        <v>137</v>
      </c>
      <c r="DA1726" t="s">
        <v>114</v>
      </c>
      <c r="DB1726" t="s">
        <v>114</v>
      </c>
      <c r="DC1726" t="s">
        <v>136</v>
      </c>
      <c r="DD1726" t="s">
        <v>114</v>
      </c>
    </row>
    <row r="1727" spans="1:113" ht="15" customHeight="1" x14ac:dyDescent="0.25">
      <c r="A1727" t="s">
        <v>4733</v>
      </c>
      <c r="B1727" t="s">
        <v>152</v>
      </c>
      <c r="C1727" s="1">
        <v>45139.40521365741</v>
      </c>
      <c r="D1727" s="1">
        <v>45203</v>
      </c>
      <c r="E1727" t="s">
        <v>114</v>
      </c>
      <c r="F1727" t="s">
        <v>4734</v>
      </c>
      <c r="G1727" t="str">
        <f>"35-2014.00"</f>
        <v>35-2014.00</v>
      </c>
      <c r="H1727" t="s">
        <v>154</v>
      </c>
      <c r="I1727">
        <v>8</v>
      </c>
      <c r="J1727">
        <v>8</v>
      </c>
      <c r="K1727" s="1">
        <v>45229</v>
      </c>
      <c r="L1727" s="1">
        <v>45412</v>
      </c>
      <c r="M1727" s="1">
        <v>45229</v>
      </c>
      <c r="N1727" s="1">
        <v>45412</v>
      </c>
      <c r="O1727" t="s">
        <v>116</v>
      </c>
      <c r="P1727" t="s">
        <v>4735</v>
      </c>
      <c r="Q1727" t="s">
        <v>4736</v>
      </c>
      <c r="R1727" t="s">
        <v>4737</v>
      </c>
      <c r="T1727" t="s">
        <v>4738</v>
      </c>
      <c r="U1727" t="s">
        <v>402</v>
      </c>
      <c r="V1727" s="8" t="str">
        <f>"96146"</f>
        <v>96146</v>
      </c>
      <c r="W1727" t="s">
        <v>118</v>
      </c>
      <c r="Y1727" s="10">
        <v>15304527114</v>
      </c>
      <c r="AA1727">
        <v>72111</v>
      </c>
      <c r="AB1727" t="s">
        <v>3411</v>
      </c>
      <c r="AC1727" t="s">
        <v>1295</v>
      </c>
      <c r="AE1727" t="s">
        <v>4739</v>
      </c>
      <c r="AF1727" t="s">
        <v>4740</v>
      </c>
      <c r="AG1727" t="s">
        <v>4741</v>
      </c>
      <c r="AH1727" t="s">
        <v>4738</v>
      </c>
      <c r="AI1727" t="s">
        <v>402</v>
      </c>
      <c r="AJ1727" s="8" t="str">
        <f>"96146"</f>
        <v>96146</v>
      </c>
      <c r="AK1727" t="s">
        <v>118</v>
      </c>
      <c r="AM1727" s="10">
        <v>15304527114</v>
      </c>
      <c r="AO1727" t="s">
        <v>4742</v>
      </c>
      <c r="AP1727" t="s">
        <v>121</v>
      </c>
      <c r="AQ1727" t="s">
        <v>1675</v>
      </c>
      <c r="AR1727" t="s">
        <v>1676</v>
      </c>
      <c r="AS1727" t="s">
        <v>1677</v>
      </c>
      <c r="AT1727" t="s">
        <v>1678</v>
      </c>
      <c r="AU1727" t="s">
        <v>296</v>
      </c>
      <c r="AV1727" t="s">
        <v>1679</v>
      </c>
      <c r="AW1727" t="s">
        <v>402</v>
      </c>
      <c r="AX1727" s="8" t="str">
        <f>"91361"</f>
        <v>91361</v>
      </c>
      <c r="AY1727" t="s">
        <v>118</v>
      </c>
      <c r="BA1727" s="10">
        <v>18052611393</v>
      </c>
      <c r="BC1727" t="s">
        <v>1680</v>
      </c>
      <c r="BD1727" t="s">
        <v>1681</v>
      </c>
      <c r="BE1727" t="s">
        <v>140</v>
      </c>
      <c r="BF1727" t="s">
        <v>146</v>
      </c>
      <c r="BG1727" t="s">
        <v>402</v>
      </c>
      <c r="BH1727" s="1">
        <v>45104.833333333336</v>
      </c>
      <c r="BI1727">
        <v>35</v>
      </c>
      <c r="BJ1727">
        <v>5</v>
      </c>
      <c r="BK1727">
        <v>5</v>
      </c>
      <c r="BL1727">
        <v>5</v>
      </c>
      <c r="BM1727">
        <v>5</v>
      </c>
      <c r="BN1727">
        <v>5</v>
      </c>
      <c r="BO1727">
        <v>5</v>
      </c>
      <c r="BP1727">
        <v>5</v>
      </c>
      <c r="BQ1727" t="str">
        <f>"7:00 AM"</f>
        <v>7:00 AM</v>
      </c>
      <c r="BR1727" t="str">
        <f>"3:30 PM"</f>
        <v>3:30 PM</v>
      </c>
      <c r="BS1727" t="s">
        <v>147</v>
      </c>
      <c r="BT1727">
        <v>0</v>
      </c>
      <c r="BU1727">
        <v>6</v>
      </c>
      <c r="BV1727" t="s">
        <v>114</v>
      </c>
      <c r="BX1727" s="2" t="s">
        <v>4743</v>
      </c>
      <c r="BY1727" t="s">
        <v>4744</v>
      </c>
      <c r="CA1727" t="s">
        <v>4738</v>
      </c>
      <c r="CB1727" t="s">
        <v>402</v>
      </c>
      <c r="CC1727" s="8" t="str">
        <f>"96146"</f>
        <v>96146</v>
      </c>
      <c r="CD1727" t="s">
        <v>4745</v>
      </c>
      <c r="CE1727" t="s">
        <v>728</v>
      </c>
      <c r="CF1727" s="12">
        <v>17.88</v>
      </c>
      <c r="CG1727" s="12">
        <v>24</v>
      </c>
      <c r="CH1727" s="12">
        <v>26.82</v>
      </c>
      <c r="CI1727" s="12">
        <v>36</v>
      </c>
      <c r="CJ1727" t="s">
        <v>135</v>
      </c>
      <c r="CK1727" t="s">
        <v>4746</v>
      </c>
      <c r="CL1727" t="s">
        <v>4747</v>
      </c>
      <c r="CO1727" t="s">
        <v>132</v>
      </c>
      <c r="CP1727" t="s">
        <v>136</v>
      </c>
      <c r="CQ1727" t="s">
        <v>114</v>
      </c>
      <c r="CR1727" t="s">
        <v>136</v>
      </c>
      <c r="CS1727" t="s">
        <v>136</v>
      </c>
      <c r="CT1727" t="s">
        <v>136</v>
      </c>
      <c r="CU1727" t="s">
        <v>136</v>
      </c>
      <c r="CV1727" s="2" t="s">
        <v>4748</v>
      </c>
      <c r="CW1727" s="10" t="str">
        <f>"+15305846081"</f>
        <v>+15305846081</v>
      </c>
      <c r="CX1727" t="s">
        <v>4742</v>
      </c>
      <c r="CY1727" t="s">
        <v>132</v>
      </c>
      <c r="CZ1727" t="s">
        <v>137</v>
      </c>
      <c r="DA1727" t="s">
        <v>114</v>
      </c>
      <c r="DB1727" t="s">
        <v>114</v>
      </c>
      <c r="DC1727" t="s">
        <v>136</v>
      </c>
      <c r="DD1727" t="s">
        <v>114</v>
      </c>
    </row>
    <row r="1728" spans="1:113" ht="15" customHeight="1" x14ac:dyDescent="0.25">
      <c r="A1728" t="s">
        <v>11373</v>
      </c>
      <c r="B1728" t="s">
        <v>152</v>
      </c>
      <c r="C1728" s="1">
        <v>45139.402476504627</v>
      </c>
      <c r="D1728" s="1">
        <v>45203</v>
      </c>
      <c r="E1728" t="s">
        <v>114</v>
      </c>
      <c r="F1728" t="s">
        <v>11374</v>
      </c>
      <c r="G1728" t="str">
        <f>"37-2011.00"</f>
        <v>37-2011.00</v>
      </c>
      <c r="H1728" t="s">
        <v>1089</v>
      </c>
      <c r="I1728">
        <v>6</v>
      </c>
      <c r="J1728">
        <v>6</v>
      </c>
      <c r="K1728" s="1">
        <v>45229</v>
      </c>
      <c r="L1728" s="1">
        <v>45412</v>
      </c>
      <c r="M1728" s="1">
        <v>45229</v>
      </c>
      <c r="N1728" s="1">
        <v>45412</v>
      </c>
      <c r="O1728" t="s">
        <v>116</v>
      </c>
      <c r="P1728" t="s">
        <v>4735</v>
      </c>
      <c r="Q1728" t="s">
        <v>4736</v>
      </c>
      <c r="R1728" t="s">
        <v>4737</v>
      </c>
      <c r="T1728" t="s">
        <v>4738</v>
      </c>
      <c r="U1728" t="s">
        <v>402</v>
      </c>
      <c r="V1728" s="8" t="str">
        <f>"96146"</f>
        <v>96146</v>
      </c>
      <c r="W1728" t="s">
        <v>118</v>
      </c>
      <c r="Y1728" s="10">
        <v>15304527114</v>
      </c>
      <c r="AA1728">
        <v>72111</v>
      </c>
      <c r="AB1728" t="s">
        <v>3411</v>
      </c>
      <c r="AC1728" t="s">
        <v>1295</v>
      </c>
      <c r="AE1728" t="s">
        <v>4739</v>
      </c>
      <c r="AF1728" t="s">
        <v>4740</v>
      </c>
      <c r="AG1728" t="s">
        <v>4741</v>
      </c>
      <c r="AH1728" t="s">
        <v>4738</v>
      </c>
      <c r="AI1728" t="s">
        <v>402</v>
      </c>
      <c r="AJ1728" s="8" t="str">
        <f>"96146"</f>
        <v>96146</v>
      </c>
      <c r="AK1728" t="s">
        <v>118</v>
      </c>
      <c r="AM1728" s="10">
        <v>15304527114</v>
      </c>
      <c r="AO1728" t="s">
        <v>4742</v>
      </c>
      <c r="AP1728" t="s">
        <v>121</v>
      </c>
      <c r="AQ1728" t="s">
        <v>1675</v>
      </c>
      <c r="AR1728" t="s">
        <v>1676</v>
      </c>
      <c r="AS1728" t="s">
        <v>1677</v>
      </c>
      <c r="AT1728" t="s">
        <v>1678</v>
      </c>
      <c r="AU1728" t="s">
        <v>296</v>
      </c>
      <c r="AV1728" t="s">
        <v>1679</v>
      </c>
      <c r="AW1728" t="s">
        <v>402</v>
      </c>
      <c r="AX1728" s="8" t="str">
        <f>"91361"</f>
        <v>91361</v>
      </c>
      <c r="AY1728" t="s">
        <v>118</v>
      </c>
      <c r="BA1728" s="10">
        <v>18052611393</v>
      </c>
      <c r="BC1728" t="s">
        <v>1680</v>
      </c>
      <c r="BD1728" t="s">
        <v>1681</v>
      </c>
      <c r="BE1728" t="s">
        <v>140</v>
      </c>
      <c r="BF1728" t="s">
        <v>146</v>
      </c>
      <c r="BG1728" t="s">
        <v>402</v>
      </c>
      <c r="BH1728" s="1">
        <v>45104.833333333336</v>
      </c>
      <c r="BI1728">
        <v>35</v>
      </c>
      <c r="BJ1728">
        <v>5</v>
      </c>
      <c r="BK1728">
        <v>5</v>
      </c>
      <c r="BL1728">
        <v>5</v>
      </c>
      <c r="BM1728">
        <v>5</v>
      </c>
      <c r="BN1728">
        <v>5</v>
      </c>
      <c r="BO1728">
        <v>5</v>
      </c>
      <c r="BP1728">
        <v>5</v>
      </c>
      <c r="BQ1728" t="str">
        <f>"7:00 AM"</f>
        <v>7:00 AM</v>
      </c>
      <c r="BR1728" t="str">
        <f>"3:30 PM"</f>
        <v>3:30 PM</v>
      </c>
      <c r="BS1728" t="s">
        <v>147</v>
      </c>
      <c r="BT1728">
        <v>0</v>
      </c>
      <c r="BU1728">
        <v>6</v>
      </c>
      <c r="BV1728" t="s">
        <v>114</v>
      </c>
      <c r="BX1728" s="2" t="s">
        <v>11375</v>
      </c>
      <c r="BY1728" t="s">
        <v>4744</v>
      </c>
      <c r="CA1728" t="s">
        <v>4738</v>
      </c>
      <c r="CB1728" t="s">
        <v>402</v>
      </c>
      <c r="CC1728" s="8" t="str">
        <f>"96146"</f>
        <v>96146</v>
      </c>
      <c r="CD1728" t="s">
        <v>4745</v>
      </c>
      <c r="CE1728" t="s">
        <v>728</v>
      </c>
      <c r="CF1728" s="12">
        <v>17.5</v>
      </c>
      <c r="CG1728" s="12">
        <v>23</v>
      </c>
      <c r="CH1728" s="12">
        <v>26.25</v>
      </c>
      <c r="CI1728" s="12">
        <v>34.5</v>
      </c>
      <c r="CJ1728" t="s">
        <v>135</v>
      </c>
      <c r="CK1728" t="s">
        <v>11376</v>
      </c>
      <c r="CL1728" t="s">
        <v>11377</v>
      </c>
      <c r="CO1728" t="s">
        <v>132</v>
      </c>
      <c r="CP1728" t="s">
        <v>136</v>
      </c>
      <c r="CQ1728" t="s">
        <v>114</v>
      </c>
      <c r="CR1728" t="s">
        <v>136</v>
      </c>
      <c r="CS1728" t="s">
        <v>136</v>
      </c>
      <c r="CT1728" t="s">
        <v>136</v>
      </c>
      <c r="CU1728" t="s">
        <v>136</v>
      </c>
      <c r="CV1728" s="2" t="s">
        <v>4748</v>
      </c>
      <c r="CW1728" s="10" t="str">
        <f>"+15305846081"</f>
        <v>+15305846081</v>
      </c>
      <c r="CX1728" t="s">
        <v>4742</v>
      </c>
      <c r="CY1728" t="s">
        <v>132</v>
      </c>
      <c r="CZ1728" t="s">
        <v>137</v>
      </c>
      <c r="DA1728" t="s">
        <v>114</v>
      </c>
      <c r="DB1728" t="s">
        <v>114</v>
      </c>
      <c r="DC1728" t="s">
        <v>136</v>
      </c>
      <c r="DD1728" t="s">
        <v>114</v>
      </c>
    </row>
    <row r="1729" spans="1:108" ht="15" customHeight="1" x14ac:dyDescent="0.25">
      <c r="A1729" t="s">
        <v>10422</v>
      </c>
      <c r="B1729" t="s">
        <v>152</v>
      </c>
      <c r="C1729" s="1">
        <v>45139.39978738426</v>
      </c>
      <c r="D1729" s="1">
        <v>45203</v>
      </c>
      <c r="E1729" t="s">
        <v>114</v>
      </c>
      <c r="F1729" t="s">
        <v>6432</v>
      </c>
      <c r="G1729" t="str">
        <f>"35-1012.00"</f>
        <v>35-1012.00</v>
      </c>
      <c r="H1729" t="s">
        <v>2122</v>
      </c>
      <c r="I1729">
        <v>8</v>
      </c>
      <c r="J1729">
        <v>8</v>
      </c>
      <c r="K1729" s="1">
        <v>45229</v>
      </c>
      <c r="L1729" s="1">
        <v>45412</v>
      </c>
      <c r="M1729" s="1">
        <v>45229</v>
      </c>
      <c r="N1729" s="1">
        <v>45412</v>
      </c>
      <c r="O1729" t="s">
        <v>116</v>
      </c>
      <c r="P1729" t="s">
        <v>4735</v>
      </c>
      <c r="Q1729" t="s">
        <v>4736</v>
      </c>
      <c r="R1729" t="s">
        <v>4737</v>
      </c>
      <c r="T1729" t="s">
        <v>4738</v>
      </c>
      <c r="U1729" t="s">
        <v>402</v>
      </c>
      <c r="V1729" s="8" t="str">
        <f>"96146"</f>
        <v>96146</v>
      </c>
      <c r="W1729" t="s">
        <v>118</v>
      </c>
      <c r="Y1729" s="10">
        <v>15304527114</v>
      </c>
      <c r="AA1729">
        <v>72111</v>
      </c>
      <c r="AB1729" t="s">
        <v>3411</v>
      </c>
      <c r="AC1729" t="s">
        <v>1295</v>
      </c>
      <c r="AE1729" t="s">
        <v>4739</v>
      </c>
      <c r="AF1729" t="s">
        <v>10423</v>
      </c>
      <c r="AG1729" t="s">
        <v>4741</v>
      </c>
      <c r="AH1729" t="s">
        <v>4738</v>
      </c>
      <c r="AI1729" t="s">
        <v>402</v>
      </c>
      <c r="AJ1729" s="8" t="str">
        <f>"96146"</f>
        <v>96146</v>
      </c>
      <c r="AK1729" t="s">
        <v>118</v>
      </c>
      <c r="AM1729" s="10">
        <v>15304527114</v>
      </c>
      <c r="AO1729" t="s">
        <v>4742</v>
      </c>
      <c r="AP1729" t="s">
        <v>121</v>
      </c>
      <c r="AQ1729" t="s">
        <v>1675</v>
      </c>
      <c r="AR1729" t="s">
        <v>1676</v>
      </c>
      <c r="AS1729" t="s">
        <v>1677</v>
      </c>
      <c r="AT1729" t="s">
        <v>1678</v>
      </c>
      <c r="AU1729" t="s">
        <v>296</v>
      </c>
      <c r="AV1729" t="s">
        <v>1679</v>
      </c>
      <c r="AW1729" t="s">
        <v>402</v>
      </c>
      <c r="AX1729" s="8" t="str">
        <f>"91361"</f>
        <v>91361</v>
      </c>
      <c r="AY1729" t="s">
        <v>118</v>
      </c>
      <c r="BA1729" s="10">
        <v>18052611393</v>
      </c>
      <c r="BC1729" t="s">
        <v>1680</v>
      </c>
      <c r="BD1729" t="s">
        <v>1681</v>
      </c>
      <c r="BE1729" t="s">
        <v>140</v>
      </c>
      <c r="BF1729" t="s">
        <v>146</v>
      </c>
      <c r="BG1729" t="s">
        <v>402</v>
      </c>
      <c r="BH1729" s="1">
        <v>45104.833333333336</v>
      </c>
      <c r="BI1729">
        <v>35</v>
      </c>
      <c r="BJ1729">
        <v>5</v>
      </c>
      <c r="BK1729">
        <v>5</v>
      </c>
      <c r="BL1729">
        <v>5</v>
      </c>
      <c r="BM1729">
        <v>5</v>
      </c>
      <c r="BN1729">
        <v>5</v>
      </c>
      <c r="BO1729">
        <v>5</v>
      </c>
      <c r="BP1729">
        <v>5</v>
      </c>
      <c r="BQ1729" t="str">
        <f>"7:00 AM"</f>
        <v>7:00 AM</v>
      </c>
      <c r="BR1729" t="str">
        <f>"3:00 PM"</f>
        <v>3:00 PM</v>
      </c>
      <c r="BS1729" t="s">
        <v>147</v>
      </c>
      <c r="BT1729">
        <v>0</v>
      </c>
      <c r="BU1729">
        <v>6</v>
      </c>
      <c r="BV1729" t="s">
        <v>136</v>
      </c>
      <c r="BW1729">
        <v>10</v>
      </c>
      <c r="BX1729" s="2" t="s">
        <v>10424</v>
      </c>
      <c r="BY1729" t="s">
        <v>4744</v>
      </c>
      <c r="CA1729" t="s">
        <v>4738</v>
      </c>
      <c r="CB1729" t="s">
        <v>402</v>
      </c>
      <c r="CC1729" s="8" t="str">
        <f>"96146"</f>
        <v>96146</v>
      </c>
      <c r="CD1729" t="s">
        <v>4745</v>
      </c>
      <c r="CE1729" t="s">
        <v>728</v>
      </c>
      <c r="CF1729" s="12">
        <v>20.54</v>
      </c>
      <c r="CG1729" s="12">
        <v>30</v>
      </c>
      <c r="CH1729" s="12">
        <v>30.81</v>
      </c>
      <c r="CI1729" s="12">
        <v>45</v>
      </c>
      <c r="CJ1729" t="s">
        <v>135</v>
      </c>
      <c r="CK1729" t="s">
        <v>4746</v>
      </c>
      <c r="CL1729" t="s">
        <v>10425</v>
      </c>
      <c r="CO1729" t="s">
        <v>132</v>
      </c>
      <c r="CP1729" t="s">
        <v>136</v>
      </c>
      <c r="CQ1729" t="s">
        <v>114</v>
      </c>
      <c r="CR1729" t="s">
        <v>136</v>
      </c>
      <c r="CS1729" t="s">
        <v>136</v>
      </c>
      <c r="CT1729" t="s">
        <v>136</v>
      </c>
      <c r="CU1729" t="s">
        <v>136</v>
      </c>
      <c r="CV1729" s="2" t="s">
        <v>10426</v>
      </c>
      <c r="CW1729" s="10" t="str">
        <f>"+15305846081"</f>
        <v>+15305846081</v>
      </c>
      <c r="CX1729" t="s">
        <v>4742</v>
      </c>
      <c r="CY1729" t="s">
        <v>132</v>
      </c>
      <c r="CZ1729" t="s">
        <v>137</v>
      </c>
      <c r="DA1729" t="s">
        <v>114</v>
      </c>
      <c r="DB1729" t="s">
        <v>114</v>
      </c>
      <c r="DC1729" t="s">
        <v>136</v>
      </c>
      <c r="DD1729" t="s">
        <v>114</v>
      </c>
    </row>
    <row r="1730" spans="1:108" ht="15" customHeight="1" x14ac:dyDescent="0.25">
      <c r="A1730" t="s">
        <v>22550</v>
      </c>
      <c r="B1730" t="s">
        <v>152</v>
      </c>
      <c r="C1730" s="1">
        <v>45139.396059143517</v>
      </c>
      <c r="D1730" s="1">
        <v>45203</v>
      </c>
      <c r="E1730" t="s">
        <v>114</v>
      </c>
      <c r="F1730" t="s">
        <v>22551</v>
      </c>
      <c r="G1730" t="str">
        <f>"35-1012.00"</f>
        <v>35-1012.00</v>
      </c>
      <c r="H1730" t="s">
        <v>2122</v>
      </c>
      <c r="I1730">
        <v>6</v>
      </c>
      <c r="J1730">
        <v>6</v>
      </c>
      <c r="K1730" s="1">
        <v>45229</v>
      </c>
      <c r="L1730" s="1">
        <v>45412</v>
      </c>
      <c r="M1730" s="1">
        <v>45229</v>
      </c>
      <c r="N1730" s="1">
        <v>45412</v>
      </c>
      <c r="O1730" t="s">
        <v>116</v>
      </c>
      <c r="P1730" t="s">
        <v>4735</v>
      </c>
      <c r="Q1730" t="s">
        <v>4736</v>
      </c>
      <c r="R1730" t="s">
        <v>4737</v>
      </c>
      <c r="T1730" t="s">
        <v>4738</v>
      </c>
      <c r="U1730" t="s">
        <v>402</v>
      </c>
      <c r="V1730" s="8" t="str">
        <f>"96146"</f>
        <v>96146</v>
      </c>
      <c r="W1730" t="s">
        <v>118</v>
      </c>
      <c r="Y1730" s="10">
        <v>15304527114</v>
      </c>
      <c r="AA1730">
        <v>72111</v>
      </c>
      <c r="AB1730" t="s">
        <v>3411</v>
      </c>
      <c r="AC1730" t="s">
        <v>6020</v>
      </c>
      <c r="AE1730" t="s">
        <v>22552</v>
      </c>
      <c r="AF1730" t="s">
        <v>10423</v>
      </c>
      <c r="AG1730" t="s">
        <v>4741</v>
      </c>
      <c r="AH1730" t="s">
        <v>4738</v>
      </c>
      <c r="AI1730" t="s">
        <v>402</v>
      </c>
      <c r="AJ1730" s="8" t="str">
        <f>"96146"</f>
        <v>96146</v>
      </c>
      <c r="AK1730" t="s">
        <v>118</v>
      </c>
      <c r="AM1730" s="10">
        <v>15304527114</v>
      </c>
      <c r="AO1730" t="s">
        <v>4742</v>
      </c>
      <c r="AP1730" t="s">
        <v>121</v>
      </c>
      <c r="AQ1730" t="s">
        <v>1675</v>
      </c>
      <c r="AR1730" t="s">
        <v>1676</v>
      </c>
      <c r="AS1730" t="s">
        <v>1677</v>
      </c>
      <c r="AT1730" t="s">
        <v>1678</v>
      </c>
      <c r="AU1730" t="s">
        <v>296</v>
      </c>
      <c r="AV1730" t="s">
        <v>1679</v>
      </c>
      <c r="AW1730" t="s">
        <v>402</v>
      </c>
      <c r="AX1730" s="8" t="str">
        <f>"91361"</f>
        <v>91361</v>
      </c>
      <c r="AY1730" t="s">
        <v>118</v>
      </c>
      <c r="BA1730" s="10">
        <v>18052611393</v>
      </c>
      <c r="BC1730" t="s">
        <v>1680</v>
      </c>
      <c r="BD1730" t="s">
        <v>1681</v>
      </c>
      <c r="BE1730" t="s">
        <v>140</v>
      </c>
      <c r="BF1730" t="s">
        <v>146</v>
      </c>
      <c r="BG1730" t="s">
        <v>402</v>
      </c>
      <c r="BH1730" s="1">
        <v>45104.833333333336</v>
      </c>
      <c r="BI1730">
        <v>35</v>
      </c>
      <c r="BJ1730">
        <v>5</v>
      </c>
      <c r="BK1730">
        <v>5</v>
      </c>
      <c r="BL1730">
        <v>5</v>
      </c>
      <c r="BM1730">
        <v>5</v>
      </c>
      <c r="BN1730">
        <v>5</v>
      </c>
      <c r="BO1730">
        <v>5</v>
      </c>
      <c r="BP1730">
        <v>5</v>
      </c>
      <c r="BQ1730" t="str">
        <f>"7:00 AM"</f>
        <v>7:00 AM</v>
      </c>
      <c r="BR1730" t="str">
        <f>"3:30 PM"</f>
        <v>3:30 PM</v>
      </c>
      <c r="BS1730" t="s">
        <v>147</v>
      </c>
      <c r="BT1730">
        <v>0</v>
      </c>
      <c r="BU1730">
        <v>6</v>
      </c>
      <c r="BV1730" t="s">
        <v>136</v>
      </c>
      <c r="BW1730">
        <v>15</v>
      </c>
      <c r="BX1730" s="2" t="s">
        <v>22553</v>
      </c>
      <c r="BY1730" t="s">
        <v>4744</v>
      </c>
      <c r="CA1730" t="s">
        <v>4738</v>
      </c>
      <c r="CB1730" t="s">
        <v>402</v>
      </c>
      <c r="CC1730" s="8" t="str">
        <f>"96146"</f>
        <v>96146</v>
      </c>
      <c r="CD1730" t="s">
        <v>4745</v>
      </c>
      <c r="CE1730" t="s">
        <v>728</v>
      </c>
      <c r="CF1730" s="12">
        <v>20.54</v>
      </c>
      <c r="CG1730" s="12">
        <v>28</v>
      </c>
      <c r="CH1730" s="12">
        <v>30.81</v>
      </c>
      <c r="CI1730" s="12">
        <v>42</v>
      </c>
      <c r="CJ1730" t="s">
        <v>135</v>
      </c>
      <c r="CK1730" t="s">
        <v>4746</v>
      </c>
      <c r="CL1730" t="s">
        <v>22554</v>
      </c>
      <c r="CO1730" t="s">
        <v>132</v>
      </c>
      <c r="CP1730" t="s">
        <v>136</v>
      </c>
      <c r="CQ1730" t="s">
        <v>114</v>
      </c>
      <c r="CR1730" t="s">
        <v>136</v>
      </c>
      <c r="CS1730" t="s">
        <v>136</v>
      </c>
      <c r="CT1730" t="s">
        <v>136</v>
      </c>
      <c r="CU1730" t="s">
        <v>136</v>
      </c>
      <c r="CV1730" s="2" t="s">
        <v>22555</v>
      </c>
      <c r="CW1730" s="10" t="str">
        <f>"+15305846081"</f>
        <v>+15305846081</v>
      </c>
      <c r="CX1730" t="s">
        <v>4742</v>
      </c>
      <c r="CY1730" t="s">
        <v>132</v>
      </c>
      <c r="CZ1730" t="s">
        <v>137</v>
      </c>
      <c r="DA1730" t="s">
        <v>114</v>
      </c>
      <c r="DB1730" t="s">
        <v>114</v>
      </c>
      <c r="DC1730" t="s">
        <v>136</v>
      </c>
      <c r="DD1730" t="s">
        <v>114</v>
      </c>
    </row>
    <row r="1731" spans="1:108" ht="15" customHeight="1" x14ac:dyDescent="0.25">
      <c r="A1731" t="s">
        <v>4217</v>
      </c>
      <c r="B1731" t="s">
        <v>152</v>
      </c>
      <c r="C1731" s="1">
        <v>45139.383309953701</v>
      </c>
      <c r="D1731" s="1">
        <v>45203</v>
      </c>
      <c r="E1731" t="s">
        <v>114</v>
      </c>
      <c r="F1731" t="s">
        <v>4218</v>
      </c>
      <c r="G1731" t="str">
        <f>"49-9098.00"</f>
        <v>49-9098.00</v>
      </c>
      <c r="H1731" t="s">
        <v>945</v>
      </c>
      <c r="I1731">
        <v>25</v>
      </c>
      <c r="J1731">
        <v>25</v>
      </c>
      <c r="K1731" s="1">
        <v>45229</v>
      </c>
      <c r="L1731" s="1">
        <v>45383</v>
      </c>
      <c r="M1731" s="1">
        <v>45229</v>
      </c>
      <c r="N1731" s="1">
        <v>45383</v>
      </c>
      <c r="O1731" t="s">
        <v>238</v>
      </c>
      <c r="P1731" t="s">
        <v>4219</v>
      </c>
      <c r="R1731" t="s">
        <v>4220</v>
      </c>
      <c r="T1731" t="s">
        <v>126</v>
      </c>
      <c r="U1731" t="s">
        <v>127</v>
      </c>
      <c r="V1731" s="8" t="str">
        <f>"78248"</f>
        <v>78248</v>
      </c>
      <c r="W1731" t="s">
        <v>118</v>
      </c>
      <c r="Y1731" s="10">
        <v>12108586078</v>
      </c>
      <c r="Z1731">
        <v>0</v>
      </c>
      <c r="AA1731">
        <v>71399</v>
      </c>
      <c r="AB1731" t="s">
        <v>189</v>
      </c>
      <c r="AC1731" t="s">
        <v>1826</v>
      </c>
      <c r="AE1731" t="s">
        <v>629</v>
      </c>
      <c r="AF1731" t="s">
        <v>4220</v>
      </c>
      <c r="AH1731" t="s">
        <v>126</v>
      </c>
      <c r="AI1731" t="s">
        <v>127</v>
      </c>
      <c r="AJ1731" s="8" t="str">
        <f>"78248"</f>
        <v>78248</v>
      </c>
      <c r="AK1731" t="s">
        <v>118</v>
      </c>
      <c r="AM1731" s="10">
        <v>12108586078</v>
      </c>
      <c r="AN1731">
        <v>0</v>
      </c>
      <c r="AO1731" t="s">
        <v>4221</v>
      </c>
      <c r="AP1731" t="s">
        <v>121</v>
      </c>
      <c r="AQ1731" t="s">
        <v>1718</v>
      </c>
      <c r="AR1731" t="s">
        <v>708</v>
      </c>
      <c r="AS1731" t="s">
        <v>1719</v>
      </c>
      <c r="AT1731" t="s">
        <v>1720</v>
      </c>
      <c r="AU1731" t="s">
        <v>799</v>
      </c>
      <c r="AV1731" t="s">
        <v>1721</v>
      </c>
      <c r="AW1731" t="s">
        <v>1722</v>
      </c>
      <c r="AX1731" s="8" t="str">
        <f>"21401"</f>
        <v>21401</v>
      </c>
      <c r="AY1731" t="s">
        <v>118</v>
      </c>
      <c r="BA1731" s="10">
        <v>14105739955</v>
      </c>
      <c r="BB1731">
        <v>0</v>
      </c>
      <c r="BC1731" t="s">
        <v>1723</v>
      </c>
      <c r="BD1731" t="s">
        <v>1724</v>
      </c>
      <c r="BE1731" t="s">
        <v>1722</v>
      </c>
      <c r="BF1731" t="s">
        <v>1725</v>
      </c>
      <c r="BG1731" t="s">
        <v>127</v>
      </c>
      <c r="BH1731" s="1">
        <v>45127.833333333336</v>
      </c>
      <c r="BI1731">
        <v>35</v>
      </c>
      <c r="BJ1731">
        <v>0</v>
      </c>
      <c r="BK1731">
        <v>7</v>
      </c>
      <c r="BL1731">
        <v>7</v>
      </c>
      <c r="BM1731">
        <v>7</v>
      </c>
      <c r="BN1731">
        <v>7</v>
      </c>
      <c r="BO1731">
        <v>7</v>
      </c>
      <c r="BP1731">
        <v>0</v>
      </c>
      <c r="BQ1731" t="str">
        <f>"8:30 AM"</f>
        <v>8:30 AM</v>
      </c>
      <c r="BR1731" t="str">
        <f>"5:00 PM"</f>
        <v>5:00 PM</v>
      </c>
      <c r="BS1731" t="s">
        <v>131</v>
      </c>
      <c r="BT1731">
        <v>0</v>
      </c>
      <c r="BU1731">
        <v>3</v>
      </c>
      <c r="BV1731" t="s">
        <v>114</v>
      </c>
      <c r="BX1731" s="2" t="s">
        <v>4222</v>
      </c>
      <c r="BY1731" t="s">
        <v>4223</v>
      </c>
      <c r="CA1731" t="s">
        <v>126</v>
      </c>
      <c r="CB1731" t="s">
        <v>127</v>
      </c>
      <c r="CC1731" s="8" t="str">
        <f>"78264"</f>
        <v>78264</v>
      </c>
      <c r="CD1731" t="s">
        <v>1941</v>
      </c>
      <c r="CE1731" t="s">
        <v>1287</v>
      </c>
      <c r="CF1731" s="12">
        <v>16.25</v>
      </c>
      <c r="CG1731" s="12">
        <v>16.25</v>
      </c>
      <c r="CJ1731" t="s">
        <v>135</v>
      </c>
      <c r="CK1731" t="s">
        <v>4224</v>
      </c>
      <c r="CL1731" t="s">
        <v>4225</v>
      </c>
      <c r="CO1731" t="s">
        <v>132</v>
      </c>
      <c r="CP1731" t="s">
        <v>114</v>
      </c>
      <c r="CQ1731" t="s">
        <v>114</v>
      </c>
      <c r="CR1731" t="s">
        <v>114</v>
      </c>
      <c r="CS1731" t="s">
        <v>114</v>
      </c>
      <c r="CT1731" t="s">
        <v>136</v>
      </c>
      <c r="CU1731" t="s">
        <v>136</v>
      </c>
      <c r="CV1731" t="s">
        <v>4226</v>
      </c>
      <c r="CW1731" s="10" t="str">
        <f>"+12108586078"</f>
        <v>+12108586078</v>
      </c>
      <c r="CX1731" t="s">
        <v>4221</v>
      </c>
      <c r="CY1731" t="s">
        <v>132</v>
      </c>
      <c r="CZ1731" t="s">
        <v>137</v>
      </c>
      <c r="DA1731" t="s">
        <v>114</v>
      </c>
      <c r="DB1731" t="s">
        <v>136</v>
      </c>
      <c r="DC1731" t="s">
        <v>136</v>
      </c>
      <c r="DD1731" t="s">
        <v>114</v>
      </c>
    </row>
    <row r="1732" spans="1:108" ht="15" customHeight="1" x14ac:dyDescent="0.25">
      <c r="A1732" t="s">
        <v>15472</v>
      </c>
      <c r="B1732" t="s">
        <v>152</v>
      </c>
      <c r="C1732" s="1">
        <v>45138.743760069447</v>
      </c>
      <c r="D1732" s="1">
        <v>45203</v>
      </c>
      <c r="E1732" t="s">
        <v>114</v>
      </c>
      <c r="F1732" t="s">
        <v>15473</v>
      </c>
      <c r="G1732" t="str">
        <f>"25-3021.00"</f>
        <v>25-3021.00</v>
      </c>
      <c r="H1732" t="s">
        <v>720</v>
      </c>
      <c r="I1732">
        <v>10</v>
      </c>
      <c r="J1732">
        <v>10</v>
      </c>
      <c r="K1732" s="1">
        <v>45227</v>
      </c>
      <c r="L1732" s="1">
        <v>45396</v>
      </c>
      <c r="M1732" s="1">
        <v>45227</v>
      </c>
      <c r="N1732" s="1">
        <v>45396</v>
      </c>
      <c r="O1732" t="s">
        <v>238</v>
      </c>
      <c r="P1732" t="s">
        <v>15387</v>
      </c>
      <c r="R1732" t="s">
        <v>15388</v>
      </c>
      <c r="S1732" t="s">
        <v>15389</v>
      </c>
      <c r="T1732" t="s">
        <v>15390</v>
      </c>
      <c r="U1732" t="s">
        <v>402</v>
      </c>
      <c r="V1732" s="8" t="str">
        <f>"93546"</f>
        <v>93546</v>
      </c>
      <c r="W1732" t="s">
        <v>118</v>
      </c>
      <c r="Y1732" s="10">
        <v>17609342571</v>
      </c>
      <c r="AA1732">
        <v>713920</v>
      </c>
      <c r="AB1732" t="s">
        <v>15391</v>
      </c>
      <c r="AC1732" t="s">
        <v>9625</v>
      </c>
      <c r="AD1732" t="s">
        <v>3351</v>
      </c>
      <c r="AE1732" t="s">
        <v>15474</v>
      </c>
      <c r="AF1732" t="s">
        <v>15388</v>
      </c>
      <c r="AG1732" t="s">
        <v>15389</v>
      </c>
      <c r="AH1732" t="s">
        <v>15390</v>
      </c>
      <c r="AI1732" t="s">
        <v>402</v>
      </c>
      <c r="AJ1732" s="8" t="str">
        <f>"93546"</f>
        <v>93546</v>
      </c>
      <c r="AK1732" t="s">
        <v>118</v>
      </c>
      <c r="AM1732" s="10">
        <v>17609140312</v>
      </c>
      <c r="AO1732" t="s">
        <v>15393</v>
      </c>
      <c r="AX1732" s="8" t="str">
        <f>""</f>
        <v/>
      </c>
      <c r="BG1732" t="s">
        <v>402</v>
      </c>
      <c r="BH1732" s="1">
        <v>45137.833333333336</v>
      </c>
      <c r="BI1732">
        <v>35</v>
      </c>
      <c r="BJ1732">
        <v>0</v>
      </c>
      <c r="BK1732">
        <v>0</v>
      </c>
      <c r="BL1732">
        <v>7</v>
      </c>
      <c r="BM1732">
        <v>7</v>
      </c>
      <c r="BN1732">
        <v>7</v>
      </c>
      <c r="BO1732">
        <v>7</v>
      </c>
      <c r="BP1732">
        <v>7</v>
      </c>
      <c r="BQ1732" t="str">
        <f>"8:30 AM"</f>
        <v>8:30 AM</v>
      </c>
      <c r="BR1732" t="str">
        <f>"4:00 PM"</f>
        <v>4:00 PM</v>
      </c>
      <c r="BS1732" t="s">
        <v>147</v>
      </c>
      <c r="BT1732">
        <v>0</v>
      </c>
      <c r="BU1732">
        <v>4</v>
      </c>
      <c r="BV1732" t="s">
        <v>114</v>
      </c>
      <c r="BX1732" s="2" t="s">
        <v>15475</v>
      </c>
      <c r="BY1732" t="s">
        <v>15388</v>
      </c>
      <c r="CA1732" t="s">
        <v>15390</v>
      </c>
      <c r="CB1732" t="s">
        <v>402</v>
      </c>
      <c r="CC1732" s="8" t="str">
        <f>"93546"</f>
        <v>93546</v>
      </c>
      <c r="CD1732" t="s">
        <v>15395</v>
      </c>
      <c r="CE1732" t="s">
        <v>1356</v>
      </c>
      <c r="CF1732" s="12">
        <v>20.91</v>
      </c>
      <c r="CG1732" s="12">
        <v>20.91</v>
      </c>
      <c r="CH1732" s="12">
        <v>31.37</v>
      </c>
      <c r="CI1732" s="12">
        <v>31.37</v>
      </c>
      <c r="CJ1732" t="s">
        <v>135</v>
      </c>
      <c r="CK1732" t="s">
        <v>132</v>
      </c>
      <c r="CL1732" t="s">
        <v>15476</v>
      </c>
      <c r="CO1732" t="s">
        <v>132</v>
      </c>
      <c r="CP1732" t="s">
        <v>114</v>
      </c>
      <c r="CQ1732" t="s">
        <v>136</v>
      </c>
      <c r="CR1732" t="s">
        <v>136</v>
      </c>
      <c r="CS1732" t="s">
        <v>136</v>
      </c>
      <c r="CT1732" t="s">
        <v>136</v>
      </c>
      <c r="CU1732" t="s">
        <v>114</v>
      </c>
      <c r="CV1732" t="s">
        <v>131</v>
      </c>
      <c r="CW1732" s="10" t="str">
        <f>"+17609342571"</f>
        <v>+17609342571</v>
      </c>
      <c r="CX1732" t="s">
        <v>15393</v>
      </c>
      <c r="CY1732" t="s">
        <v>15477</v>
      </c>
      <c r="CZ1732" t="s">
        <v>137</v>
      </c>
      <c r="DA1732" t="s">
        <v>114</v>
      </c>
      <c r="DB1732" t="s">
        <v>114</v>
      </c>
      <c r="DC1732" t="s">
        <v>136</v>
      </c>
      <c r="DD1732" t="s">
        <v>114</v>
      </c>
    </row>
    <row r="1733" spans="1:108" ht="15" customHeight="1" x14ac:dyDescent="0.25">
      <c r="A1733" t="s">
        <v>13412</v>
      </c>
      <c r="B1733" t="s">
        <v>152</v>
      </c>
      <c r="C1733" s="1">
        <v>45138.711085995368</v>
      </c>
      <c r="D1733" s="1">
        <v>45203</v>
      </c>
      <c r="E1733" t="s">
        <v>114</v>
      </c>
      <c r="F1733" t="s">
        <v>1247</v>
      </c>
      <c r="G1733" t="str">
        <f>"45-4011.00"</f>
        <v>45-4011.00</v>
      </c>
      <c r="H1733" t="s">
        <v>842</v>
      </c>
      <c r="I1733">
        <v>105</v>
      </c>
      <c r="J1733">
        <v>105</v>
      </c>
      <c r="K1733" s="1">
        <v>45214</v>
      </c>
      <c r="L1733" s="1">
        <v>45473</v>
      </c>
      <c r="M1733" s="1">
        <v>45214</v>
      </c>
      <c r="N1733" s="1">
        <v>45473</v>
      </c>
      <c r="O1733" t="s">
        <v>116</v>
      </c>
      <c r="P1733" t="s">
        <v>13413</v>
      </c>
      <c r="R1733" t="s">
        <v>13414</v>
      </c>
      <c r="T1733" t="s">
        <v>2906</v>
      </c>
      <c r="U1733" t="s">
        <v>479</v>
      </c>
      <c r="V1733" s="8" t="str">
        <f>"97501"</f>
        <v>97501</v>
      </c>
      <c r="W1733" t="s">
        <v>118</v>
      </c>
      <c r="Y1733" s="10">
        <v>15415310749</v>
      </c>
      <c r="AA1733">
        <v>11531</v>
      </c>
      <c r="AB1733" t="s">
        <v>13415</v>
      </c>
      <c r="AC1733" t="s">
        <v>2237</v>
      </c>
      <c r="AE1733" t="s">
        <v>629</v>
      </c>
      <c r="AF1733" t="s">
        <v>13414</v>
      </c>
      <c r="AH1733" t="s">
        <v>2906</v>
      </c>
      <c r="AI1733" t="s">
        <v>479</v>
      </c>
      <c r="AJ1733" s="8" t="str">
        <f>"97501"</f>
        <v>97501</v>
      </c>
      <c r="AK1733" t="s">
        <v>118</v>
      </c>
      <c r="AM1733" s="10">
        <v>15415310749</v>
      </c>
      <c r="AO1733" t="s">
        <v>13416</v>
      </c>
      <c r="AP1733" t="s">
        <v>248</v>
      </c>
      <c r="AQ1733" t="s">
        <v>849</v>
      </c>
      <c r="AR1733" t="s">
        <v>850</v>
      </c>
      <c r="AS1733" t="s">
        <v>132</v>
      </c>
      <c r="AT1733" t="s">
        <v>851</v>
      </c>
      <c r="AU1733" t="s">
        <v>852</v>
      </c>
      <c r="AV1733" t="s">
        <v>853</v>
      </c>
      <c r="AW1733" t="s">
        <v>854</v>
      </c>
      <c r="AX1733" s="8" t="str">
        <f>"83814"</f>
        <v>83814</v>
      </c>
      <c r="AY1733" t="s">
        <v>118</v>
      </c>
      <c r="BA1733" s="10">
        <v>12087772654</v>
      </c>
      <c r="BC1733" t="s">
        <v>855</v>
      </c>
      <c r="BD1733" t="s">
        <v>856</v>
      </c>
      <c r="BG1733" t="s">
        <v>479</v>
      </c>
      <c r="BH1733" s="1">
        <v>45109.833333333336</v>
      </c>
      <c r="BI1733">
        <v>40</v>
      </c>
      <c r="BJ1733">
        <v>0</v>
      </c>
      <c r="BK1733">
        <v>8</v>
      </c>
      <c r="BL1733">
        <v>8</v>
      </c>
      <c r="BM1733">
        <v>8</v>
      </c>
      <c r="BN1733">
        <v>8</v>
      </c>
      <c r="BO1733">
        <v>8</v>
      </c>
      <c r="BP1733">
        <v>0</v>
      </c>
      <c r="BQ1733" t="str">
        <f>"7:00 AM"</f>
        <v>7:00 AM</v>
      </c>
      <c r="BR1733" t="str">
        <f>"3:30 PM"</f>
        <v>3:30 PM</v>
      </c>
      <c r="BS1733" t="s">
        <v>131</v>
      </c>
      <c r="BT1733">
        <v>0</v>
      </c>
      <c r="BU1733">
        <v>3</v>
      </c>
      <c r="BV1733" t="s">
        <v>114</v>
      </c>
      <c r="BX1733" s="2" t="s">
        <v>13417</v>
      </c>
      <c r="BY1733" t="s">
        <v>13418</v>
      </c>
      <c r="CA1733" t="s">
        <v>2906</v>
      </c>
      <c r="CB1733" t="s">
        <v>479</v>
      </c>
      <c r="CC1733" s="8" t="str">
        <f>"97501"</f>
        <v>97501</v>
      </c>
      <c r="CD1733" t="s">
        <v>859</v>
      </c>
      <c r="CE1733" t="s">
        <v>860</v>
      </c>
      <c r="CF1733" s="12">
        <v>15</v>
      </c>
      <c r="CG1733" s="12">
        <v>45</v>
      </c>
      <c r="CH1733" s="12">
        <v>22.5</v>
      </c>
      <c r="CI1733" s="12">
        <v>67.5</v>
      </c>
      <c r="CJ1733" t="s">
        <v>135</v>
      </c>
      <c r="CK1733" t="s">
        <v>13419</v>
      </c>
      <c r="CL1733" t="s">
        <v>13420</v>
      </c>
      <c r="CO1733" t="s">
        <v>132</v>
      </c>
      <c r="CP1733" t="s">
        <v>136</v>
      </c>
      <c r="CQ1733" t="s">
        <v>136</v>
      </c>
      <c r="CR1733" t="s">
        <v>136</v>
      </c>
      <c r="CS1733" t="s">
        <v>114</v>
      </c>
      <c r="CT1733" t="s">
        <v>136</v>
      </c>
      <c r="CU1733" t="s">
        <v>136</v>
      </c>
      <c r="CV1733" t="s">
        <v>1040</v>
      </c>
      <c r="CW1733" s="10" t="str">
        <f>"+15415310749"</f>
        <v>+15415310749</v>
      </c>
      <c r="CX1733" t="s">
        <v>13421</v>
      </c>
      <c r="CY1733" t="s">
        <v>132</v>
      </c>
      <c r="CZ1733" t="s">
        <v>137</v>
      </c>
      <c r="DA1733" t="s">
        <v>114</v>
      </c>
      <c r="DB1733" t="s">
        <v>136</v>
      </c>
      <c r="DC1733" t="s">
        <v>136</v>
      </c>
      <c r="DD1733" t="s">
        <v>114</v>
      </c>
    </row>
    <row r="1734" spans="1:108" ht="15" customHeight="1" x14ac:dyDescent="0.25">
      <c r="A1734" t="s">
        <v>14356</v>
      </c>
      <c r="B1734" t="s">
        <v>152</v>
      </c>
      <c r="C1734" s="1">
        <v>45138.666574884257</v>
      </c>
      <c r="D1734" s="1">
        <v>45203</v>
      </c>
      <c r="E1734" t="s">
        <v>136</v>
      </c>
      <c r="F1734" t="s">
        <v>14357</v>
      </c>
      <c r="G1734" t="str">
        <f>"35-9011.00"</f>
        <v>35-9011.00</v>
      </c>
      <c r="H1734" t="s">
        <v>1512</v>
      </c>
      <c r="I1734">
        <v>5</v>
      </c>
      <c r="J1734">
        <v>5</v>
      </c>
      <c r="K1734" s="1">
        <v>45214</v>
      </c>
      <c r="L1734" s="1">
        <v>45412</v>
      </c>
      <c r="M1734" s="1">
        <v>45214</v>
      </c>
      <c r="N1734" s="1">
        <v>45412</v>
      </c>
      <c r="O1734" t="s">
        <v>116</v>
      </c>
      <c r="P1734" t="s">
        <v>14358</v>
      </c>
      <c r="R1734" t="s">
        <v>14359</v>
      </c>
      <c r="T1734" t="s">
        <v>1614</v>
      </c>
      <c r="U1734" t="s">
        <v>140</v>
      </c>
      <c r="V1734" s="8" t="str">
        <f>"34119"</f>
        <v>34119</v>
      </c>
      <c r="W1734" t="s">
        <v>118</v>
      </c>
      <c r="Y1734" s="10">
        <v>12392547409</v>
      </c>
      <c r="AA1734">
        <v>713910</v>
      </c>
      <c r="AB1734" t="s">
        <v>9417</v>
      </c>
      <c r="AC1734" t="s">
        <v>1826</v>
      </c>
      <c r="AE1734" t="s">
        <v>2707</v>
      </c>
      <c r="AF1734" t="s">
        <v>14359</v>
      </c>
      <c r="AH1734" t="s">
        <v>1614</v>
      </c>
      <c r="AI1734" t="s">
        <v>140</v>
      </c>
      <c r="AJ1734" s="8" t="str">
        <f>"34119"</f>
        <v>34119</v>
      </c>
      <c r="AK1734" t="s">
        <v>118</v>
      </c>
      <c r="AM1734" s="10">
        <v>12392547409</v>
      </c>
      <c r="AO1734" t="s">
        <v>14360</v>
      </c>
      <c r="AP1734" t="s">
        <v>121</v>
      </c>
      <c r="AQ1734" t="s">
        <v>276</v>
      </c>
      <c r="AR1734" t="s">
        <v>277</v>
      </c>
      <c r="AS1734" t="s">
        <v>278</v>
      </c>
      <c r="AT1734" t="s">
        <v>279</v>
      </c>
      <c r="AU1734" t="s">
        <v>280</v>
      </c>
      <c r="AV1734" t="s">
        <v>281</v>
      </c>
      <c r="AW1734" t="s">
        <v>222</v>
      </c>
      <c r="AX1734" s="8" t="str">
        <f>"01701"</f>
        <v>01701</v>
      </c>
      <c r="AY1734" t="s">
        <v>118</v>
      </c>
      <c r="BA1734" s="10">
        <v>16179399444</v>
      </c>
      <c r="BC1734" t="s">
        <v>282</v>
      </c>
      <c r="BD1734" t="s">
        <v>283</v>
      </c>
      <c r="BE1734" t="s">
        <v>222</v>
      </c>
      <c r="BF1734" t="s">
        <v>284</v>
      </c>
      <c r="BG1734" t="s">
        <v>140</v>
      </c>
      <c r="BH1734" s="1">
        <v>45137.833333333336</v>
      </c>
      <c r="BI1734">
        <v>40</v>
      </c>
      <c r="BJ1734">
        <v>0</v>
      </c>
      <c r="BK1734">
        <v>8</v>
      </c>
      <c r="BL1734">
        <v>8</v>
      </c>
      <c r="BM1734">
        <v>8</v>
      </c>
      <c r="BN1734">
        <v>8</v>
      </c>
      <c r="BO1734">
        <v>8</v>
      </c>
      <c r="BP1734">
        <v>0</v>
      </c>
      <c r="BQ1734" t="str">
        <f>"9:00 AM"</f>
        <v>9:00 AM</v>
      </c>
      <c r="BR1734" t="str">
        <f>"5:00 PM"</f>
        <v>5:00 PM</v>
      </c>
      <c r="BS1734" t="s">
        <v>131</v>
      </c>
      <c r="BT1734">
        <v>0</v>
      </c>
      <c r="BU1734">
        <v>3</v>
      </c>
      <c r="BV1734" t="s">
        <v>114</v>
      </c>
      <c r="BX1734" s="2" t="s">
        <v>14361</v>
      </c>
      <c r="BY1734" t="s">
        <v>14362</v>
      </c>
      <c r="CA1734" t="s">
        <v>1614</v>
      </c>
      <c r="CB1734" t="s">
        <v>140</v>
      </c>
      <c r="CC1734" s="8" t="str">
        <f>"34119"</f>
        <v>34119</v>
      </c>
      <c r="CD1734" t="s">
        <v>1619</v>
      </c>
      <c r="CE1734" t="s">
        <v>1620</v>
      </c>
      <c r="CF1734" s="12">
        <v>14.33</v>
      </c>
      <c r="CG1734" s="12">
        <v>14.33</v>
      </c>
      <c r="CH1734" s="12">
        <v>21.5</v>
      </c>
      <c r="CI1734" s="12">
        <v>21.5</v>
      </c>
      <c r="CJ1734" t="s">
        <v>135</v>
      </c>
      <c r="CK1734" t="s">
        <v>14363</v>
      </c>
      <c r="CL1734" t="s">
        <v>14364</v>
      </c>
      <c r="CO1734" t="s">
        <v>132</v>
      </c>
      <c r="CP1734" t="s">
        <v>114</v>
      </c>
      <c r="CQ1734" t="s">
        <v>114</v>
      </c>
      <c r="CR1734" t="s">
        <v>136</v>
      </c>
      <c r="CS1734" t="s">
        <v>136</v>
      </c>
      <c r="CT1734" t="s">
        <v>136</v>
      </c>
      <c r="CU1734" t="s">
        <v>136</v>
      </c>
      <c r="CV1734" s="2" t="s">
        <v>14365</v>
      </c>
      <c r="CW1734" s="10" t="str">
        <f>"+12392547409"</f>
        <v>+12392547409</v>
      </c>
      <c r="CX1734" t="s">
        <v>14360</v>
      </c>
      <c r="CY1734" t="s">
        <v>132</v>
      </c>
      <c r="CZ1734" t="s">
        <v>137</v>
      </c>
      <c r="DA1734" t="s">
        <v>114</v>
      </c>
      <c r="DB1734" t="s">
        <v>114</v>
      </c>
      <c r="DC1734" t="s">
        <v>136</v>
      </c>
      <c r="DD1734" t="s">
        <v>114</v>
      </c>
    </row>
    <row r="1735" spans="1:108" ht="15" customHeight="1" x14ac:dyDescent="0.25">
      <c r="A1735" t="s">
        <v>23275</v>
      </c>
      <c r="B1735" t="s">
        <v>152</v>
      </c>
      <c r="C1735" s="1">
        <v>45138.655884143518</v>
      </c>
      <c r="D1735" s="1">
        <v>45203</v>
      </c>
      <c r="E1735" t="s">
        <v>136</v>
      </c>
      <c r="F1735" t="s">
        <v>6044</v>
      </c>
      <c r="G1735" t="str">
        <f>"35-3031.00"</f>
        <v>35-3031.00</v>
      </c>
      <c r="H1735" t="s">
        <v>347</v>
      </c>
      <c r="I1735">
        <v>7</v>
      </c>
      <c r="J1735">
        <v>7</v>
      </c>
      <c r="K1735" s="1">
        <v>45214</v>
      </c>
      <c r="L1735" s="1">
        <v>45412</v>
      </c>
      <c r="M1735" s="1">
        <v>45214</v>
      </c>
      <c r="N1735" s="1">
        <v>45412</v>
      </c>
      <c r="O1735" t="s">
        <v>116</v>
      </c>
      <c r="P1735" t="s">
        <v>14358</v>
      </c>
      <c r="R1735" t="s">
        <v>14359</v>
      </c>
      <c r="T1735" t="s">
        <v>1614</v>
      </c>
      <c r="U1735" t="s">
        <v>140</v>
      </c>
      <c r="V1735" s="8" t="str">
        <f>"34119"</f>
        <v>34119</v>
      </c>
      <c r="W1735" t="s">
        <v>118</v>
      </c>
      <c r="Y1735" s="10">
        <v>12392547409</v>
      </c>
      <c r="AA1735">
        <v>713910</v>
      </c>
      <c r="AB1735" t="s">
        <v>9417</v>
      </c>
      <c r="AC1735" t="s">
        <v>1826</v>
      </c>
      <c r="AE1735" t="s">
        <v>2707</v>
      </c>
      <c r="AF1735" t="s">
        <v>14359</v>
      </c>
      <c r="AH1735" t="s">
        <v>1614</v>
      </c>
      <c r="AI1735" t="s">
        <v>140</v>
      </c>
      <c r="AJ1735" s="8" t="str">
        <f>"34119"</f>
        <v>34119</v>
      </c>
      <c r="AK1735" t="s">
        <v>118</v>
      </c>
      <c r="AM1735" s="10">
        <v>12392547409</v>
      </c>
      <c r="AO1735" t="s">
        <v>14360</v>
      </c>
      <c r="AP1735" t="s">
        <v>121</v>
      </c>
      <c r="AQ1735" t="s">
        <v>276</v>
      </c>
      <c r="AR1735" t="s">
        <v>277</v>
      </c>
      <c r="AS1735" t="s">
        <v>278</v>
      </c>
      <c r="AT1735" t="s">
        <v>279</v>
      </c>
      <c r="AU1735" t="s">
        <v>280</v>
      </c>
      <c r="AV1735" t="s">
        <v>281</v>
      </c>
      <c r="AW1735" t="s">
        <v>222</v>
      </c>
      <c r="AX1735" s="8" t="str">
        <f>"01701"</f>
        <v>01701</v>
      </c>
      <c r="AY1735" t="s">
        <v>118</v>
      </c>
      <c r="BA1735" s="10">
        <v>16179399444</v>
      </c>
      <c r="BC1735" t="s">
        <v>282</v>
      </c>
      <c r="BD1735" t="s">
        <v>283</v>
      </c>
      <c r="BE1735" t="s">
        <v>222</v>
      </c>
      <c r="BF1735" t="s">
        <v>284</v>
      </c>
      <c r="BG1735" t="s">
        <v>140</v>
      </c>
      <c r="BH1735" s="1">
        <v>45137.833333333336</v>
      </c>
      <c r="BI1735">
        <v>40</v>
      </c>
      <c r="BJ1735">
        <v>0</v>
      </c>
      <c r="BK1735">
        <v>8</v>
      </c>
      <c r="BL1735">
        <v>8</v>
      </c>
      <c r="BM1735">
        <v>8</v>
      </c>
      <c r="BN1735">
        <v>8</v>
      </c>
      <c r="BO1735">
        <v>8</v>
      </c>
      <c r="BP1735">
        <v>0</v>
      </c>
      <c r="BQ1735" t="str">
        <f>"9:00 AM"</f>
        <v>9:00 AM</v>
      </c>
      <c r="BR1735" t="str">
        <f>"5:00 PM"</f>
        <v>5:00 PM</v>
      </c>
      <c r="BS1735" t="s">
        <v>131</v>
      </c>
      <c r="BT1735">
        <v>0</v>
      </c>
      <c r="BU1735">
        <v>6</v>
      </c>
      <c r="BV1735" t="s">
        <v>114</v>
      </c>
      <c r="BX1735" s="2" t="s">
        <v>23276</v>
      </c>
      <c r="BY1735" t="s">
        <v>14362</v>
      </c>
      <c r="CA1735" t="s">
        <v>1614</v>
      </c>
      <c r="CB1735" t="s">
        <v>140</v>
      </c>
      <c r="CC1735" s="8" t="str">
        <f>"34119"</f>
        <v>34119</v>
      </c>
      <c r="CD1735" t="s">
        <v>1619</v>
      </c>
      <c r="CE1735" t="s">
        <v>1620</v>
      </c>
      <c r="CF1735" s="12">
        <v>17.260000000000002</v>
      </c>
      <c r="CG1735" s="12">
        <v>17.260000000000002</v>
      </c>
      <c r="CH1735" s="12">
        <v>25.89</v>
      </c>
      <c r="CI1735" s="12">
        <v>25.89</v>
      </c>
      <c r="CJ1735" t="s">
        <v>135</v>
      </c>
      <c r="CK1735" t="s">
        <v>23277</v>
      </c>
      <c r="CL1735" t="s">
        <v>23278</v>
      </c>
      <c r="CO1735" t="s">
        <v>132</v>
      </c>
      <c r="CP1735" t="s">
        <v>114</v>
      </c>
      <c r="CQ1735" t="s">
        <v>114</v>
      </c>
      <c r="CR1735" t="s">
        <v>136</v>
      </c>
      <c r="CS1735" t="s">
        <v>136</v>
      </c>
      <c r="CT1735" t="s">
        <v>136</v>
      </c>
      <c r="CU1735" t="s">
        <v>136</v>
      </c>
      <c r="CV1735" s="2" t="s">
        <v>16071</v>
      </c>
      <c r="CW1735" s="10" t="str">
        <f>"+12392547409"</f>
        <v>+12392547409</v>
      </c>
      <c r="CX1735" t="s">
        <v>14360</v>
      </c>
      <c r="CY1735" t="s">
        <v>132</v>
      </c>
      <c r="CZ1735" t="s">
        <v>137</v>
      </c>
      <c r="DA1735" t="s">
        <v>114</v>
      </c>
      <c r="DB1735" t="s">
        <v>114</v>
      </c>
      <c r="DC1735" t="s">
        <v>136</v>
      </c>
      <c r="DD1735" t="s">
        <v>114</v>
      </c>
    </row>
    <row r="1736" spans="1:108" ht="15" customHeight="1" x14ac:dyDescent="0.25">
      <c r="A1736" t="s">
        <v>18315</v>
      </c>
      <c r="B1736" t="s">
        <v>152</v>
      </c>
      <c r="C1736" s="1">
        <v>45125.63268761574</v>
      </c>
      <c r="D1736" s="1">
        <v>45203</v>
      </c>
      <c r="E1736" t="s">
        <v>114</v>
      </c>
      <c r="F1736" t="s">
        <v>4846</v>
      </c>
      <c r="G1736" t="str">
        <f>"37-3011.00"</f>
        <v>37-3011.00</v>
      </c>
      <c r="H1736" t="s">
        <v>429</v>
      </c>
      <c r="I1736">
        <v>75</v>
      </c>
      <c r="J1736">
        <v>75</v>
      </c>
      <c r="K1736" s="1">
        <v>45215</v>
      </c>
      <c r="L1736" s="1">
        <v>45518</v>
      </c>
      <c r="M1736" s="1">
        <v>45215</v>
      </c>
      <c r="N1736" s="1">
        <v>45518</v>
      </c>
      <c r="O1736" t="s">
        <v>116</v>
      </c>
      <c r="P1736" t="s">
        <v>18316</v>
      </c>
      <c r="R1736" t="s">
        <v>18317</v>
      </c>
      <c r="T1736" t="s">
        <v>2864</v>
      </c>
      <c r="U1736" t="s">
        <v>558</v>
      </c>
      <c r="V1736" s="8" t="str">
        <f>"85224"</f>
        <v>85224</v>
      </c>
      <c r="W1736" t="s">
        <v>118</v>
      </c>
      <c r="Y1736" s="10">
        <v>14808201600</v>
      </c>
      <c r="AA1736">
        <v>56173</v>
      </c>
      <c r="AB1736" t="s">
        <v>18318</v>
      </c>
      <c r="AC1736" t="s">
        <v>1872</v>
      </c>
      <c r="AE1736" t="s">
        <v>18319</v>
      </c>
      <c r="AF1736" t="s">
        <v>18317</v>
      </c>
      <c r="AH1736" t="s">
        <v>2864</v>
      </c>
      <c r="AI1736" t="s">
        <v>558</v>
      </c>
      <c r="AJ1736" s="8" t="str">
        <f>"85224"</f>
        <v>85224</v>
      </c>
      <c r="AK1736" t="s">
        <v>118</v>
      </c>
      <c r="AM1736" s="10">
        <v>14808201600</v>
      </c>
      <c r="AO1736" t="s">
        <v>18320</v>
      </c>
      <c r="AP1736" t="s">
        <v>248</v>
      </c>
      <c r="AQ1736" t="s">
        <v>13683</v>
      </c>
      <c r="AR1736" t="s">
        <v>3496</v>
      </c>
      <c r="AT1736" t="s">
        <v>13684</v>
      </c>
      <c r="AU1736" t="s">
        <v>13685</v>
      </c>
      <c r="AV1736" t="s">
        <v>2960</v>
      </c>
      <c r="AW1736" t="s">
        <v>558</v>
      </c>
      <c r="AX1736" s="8" t="str">
        <f>"85048"</f>
        <v>85048</v>
      </c>
      <c r="AY1736" t="s">
        <v>118</v>
      </c>
      <c r="BA1736" s="10">
        <v>14809411885</v>
      </c>
      <c r="BC1736" t="s">
        <v>13686</v>
      </c>
      <c r="BD1736" t="s">
        <v>13687</v>
      </c>
      <c r="BG1736" t="s">
        <v>558</v>
      </c>
      <c r="BH1736" s="1">
        <v>45124.833333333336</v>
      </c>
      <c r="BI1736">
        <v>40</v>
      </c>
      <c r="BJ1736">
        <v>0</v>
      </c>
      <c r="BK1736">
        <v>8</v>
      </c>
      <c r="BL1736">
        <v>8</v>
      </c>
      <c r="BM1736">
        <v>8</v>
      </c>
      <c r="BN1736">
        <v>8</v>
      </c>
      <c r="BO1736">
        <v>8</v>
      </c>
      <c r="BP1736">
        <v>0</v>
      </c>
      <c r="BQ1736" t="str">
        <f>"6:00 AM"</f>
        <v>6:00 AM</v>
      </c>
      <c r="BR1736" t="str">
        <f>"2:30 PM"</f>
        <v>2:30 PM</v>
      </c>
      <c r="BS1736" t="s">
        <v>131</v>
      </c>
      <c r="BT1736">
        <v>0</v>
      </c>
      <c r="BU1736">
        <v>3</v>
      </c>
      <c r="BV1736" t="s">
        <v>114</v>
      </c>
      <c r="BX1736" s="2" t="s">
        <v>15644</v>
      </c>
      <c r="BY1736" t="s">
        <v>18317</v>
      </c>
      <c r="CA1736" t="s">
        <v>2864</v>
      </c>
      <c r="CB1736" t="s">
        <v>558</v>
      </c>
      <c r="CC1736" s="8" t="str">
        <f>"85224"</f>
        <v>85224</v>
      </c>
      <c r="CD1736" t="s">
        <v>1391</v>
      </c>
      <c r="CE1736" t="s">
        <v>565</v>
      </c>
      <c r="CF1736" s="12">
        <v>16.57</v>
      </c>
      <c r="CG1736" s="12">
        <v>16.57</v>
      </c>
      <c r="CH1736" s="12">
        <v>24.86</v>
      </c>
      <c r="CI1736" s="12">
        <v>24.86</v>
      </c>
      <c r="CJ1736" t="s">
        <v>135</v>
      </c>
      <c r="CK1736" t="s">
        <v>14159</v>
      </c>
      <c r="CL1736" t="s">
        <v>18321</v>
      </c>
      <c r="CO1736" t="s">
        <v>132</v>
      </c>
      <c r="CP1736" t="s">
        <v>136</v>
      </c>
      <c r="CQ1736" t="s">
        <v>114</v>
      </c>
      <c r="CR1736" t="s">
        <v>136</v>
      </c>
      <c r="CS1736" t="s">
        <v>136</v>
      </c>
      <c r="CT1736" t="s">
        <v>136</v>
      </c>
      <c r="CU1736" t="s">
        <v>114</v>
      </c>
      <c r="CV1736" t="s">
        <v>18322</v>
      </c>
      <c r="CW1736" s="10" t="str">
        <f>"+14808201600"</f>
        <v>+14808201600</v>
      </c>
      <c r="CX1736" t="s">
        <v>18323</v>
      </c>
      <c r="CY1736" t="s">
        <v>132</v>
      </c>
      <c r="CZ1736" t="s">
        <v>137</v>
      </c>
      <c r="DA1736" t="s">
        <v>114</v>
      </c>
      <c r="DB1736" t="s">
        <v>136</v>
      </c>
      <c r="DC1736" t="s">
        <v>136</v>
      </c>
      <c r="DD1736" t="s">
        <v>114</v>
      </c>
    </row>
    <row r="1737" spans="1:108" ht="15" customHeight="1" x14ac:dyDescent="0.25">
      <c r="A1737" t="s">
        <v>15955</v>
      </c>
      <c r="B1737" t="s">
        <v>152</v>
      </c>
      <c r="C1737" s="1">
        <v>45120.671057060186</v>
      </c>
      <c r="D1737" s="1">
        <v>45203</v>
      </c>
      <c r="E1737" t="s">
        <v>114</v>
      </c>
      <c r="F1737" t="s">
        <v>1595</v>
      </c>
      <c r="G1737" t="str">
        <f>"37-3011.00"</f>
        <v>37-3011.00</v>
      </c>
      <c r="H1737" t="s">
        <v>429</v>
      </c>
      <c r="I1737">
        <v>10</v>
      </c>
      <c r="J1737">
        <v>10</v>
      </c>
      <c r="K1737" s="1">
        <v>45200</v>
      </c>
      <c r="L1737" s="1">
        <v>45275</v>
      </c>
      <c r="M1737" s="1">
        <v>45200</v>
      </c>
      <c r="N1737" s="1">
        <v>45275</v>
      </c>
      <c r="O1737" t="s">
        <v>238</v>
      </c>
      <c r="P1737" t="s">
        <v>8127</v>
      </c>
      <c r="R1737" t="s">
        <v>8128</v>
      </c>
      <c r="T1737" t="s">
        <v>5635</v>
      </c>
      <c r="U1737" t="s">
        <v>984</v>
      </c>
      <c r="V1737" s="8" t="str">
        <f>"63038"</f>
        <v>63038</v>
      </c>
      <c r="W1737" t="s">
        <v>118</v>
      </c>
      <c r="Y1737" s="10">
        <v>13145686332</v>
      </c>
      <c r="AA1737">
        <v>5617</v>
      </c>
      <c r="AB1737" t="s">
        <v>8129</v>
      </c>
      <c r="AC1737" t="s">
        <v>2787</v>
      </c>
      <c r="AD1737" t="s">
        <v>1217</v>
      </c>
      <c r="AE1737" t="s">
        <v>629</v>
      </c>
      <c r="AF1737" t="s">
        <v>8128</v>
      </c>
      <c r="AH1737" t="s">
        <v>5635</v>
      </c>
      <c r="AI1737" t="s">
        <v>984</v>
      </c>
      <c r="AJ1737" s="8" t="str">
        <f>"64038"</f>
        <v>64038</v>
      </c>
      <c r="AK1737" t="s">
        <v>118</v>
      </c>
      <c r="AM1737" s="10">
        <v>13145686332</v>
      </c>
      <c r="AO1737" t="s">
        <v>8130</v>
      </c>
      <c r="AP1737" t="s">
        <v>121</v>
      </c>
      <c r="AQ1737" t="s">
        <v>4020</v>
      </c>
      <c r="AR1737" t="s">
        <v>2631</v>
      </c>
      <c r="AS1737" t="s">
        <v>3351</v>
      </c>
      <c r="AT1737" t="s">
        <v>8131</v>
      </c>
      <c r="AU1737" t="s">
        <v>167</v>
      </c>
      <c r="AV1737" t="s">
        <v>2848</v>
      </c>
      <c r="AW1737" t="s">
        <v>984</v>
      </c>
      <c r="AX1737" s="8" t="str">
        <f>"63105"</f>
        <v>63105</v>
      </c>
      <c r="AY1737" t="s">
        <v>118</v>
      </c>
      <c r="BA1737" s="10">
        <v>13144801500</v>
      </c>
      <c r="BC1737" t="s">
        <v>7475</v>
      </c>
      <c r="BD1737" t="s">
        <v>8132</v>
      </c>
      <c r="BE1737" t="s">
        <v>984</v>
      </c>
      <c r="BF1737" t="s">
        <v>15956</v>
      </c>
      <c r="BG1737" t="s">
        <v>984</v>
      </c>
      <c r="BH1737" s="1">
        <v>45119.833333333336</v>
      </c>
      <c r="BI1737">
        <v>35</v>
      </c>
      <c r="BJ1737">
        <v>0</v>
      </c>
      <c r="BK1737">
        <v>7</v>
      </c>
      <c r="BL1737">
        <v>7</v>
      </c>
      <c r="BM1737">
        <v>7</v>
      </c>
      <c r="BN1737">
        <v>7</v>
      </c>
      <c r="BO1737">
        <v>7</v>
      </c>
      <c r="BP1737">
        <v>0</v>
      </c>
      <c r="BQ1737" t="str">
        <f>"7:30 AM"</f>
        <v>7:30 AM</v>
      </c>
      <c r="BR1737" t="str">
        <f>"3:30 PM"</f>
        <v>3:30 PM</v>
      </c>
      <c r="BS1737" t="s">
        <v>131</v>
      </c>
      <c r="BT1737">
        <v>0</v>
      </c>
      <c r="BU1737">
        <v>0</v>
      </c>
      <c r="BV1737" t="s">
        <v>114</v>
      </c>
      <c r="BX1737" t="s">
        <v>15957</v>
      </c>
      <c r="BY1737" t="s">
        <v>8133</v>
      </c>
      <c r="CA1737" t="s">
        <v>8134</v>
      </c>
      <c r="CB1737" t="s">
        <v>984</v>
      </c>
      <c r="CC1737" s="8" t="str">
        <f>"63038"</f>
        <v>63038</v>
      </c>
      <c r="CD1737" t="s">
        <v>2851</v>
      </c>
      <c r="CE1737" t="s">
        <v>1856</v>
      </c>
      <c r="CF1737" s="12">
        <v>17.579999999999998</v>
      </c>
      <c r="CG1737" s="12">
        <v>17.579999999999998</v>
      </c>
      <c r="CH1737" s="12">
        <v>26.37</v>
      </c>
      <c r="CI1737" s="12">
        <v>26.37</v>
      </c>
      <c r="CJ1737" t="s">
        <v>135</v>
      </c>
      <c r="CL1737" t="s">
        <v>8135</v>
      </c>
      <c r="CO1737" t="s">
        <v>132</v>
      </c>
      <c r="CP1737" t="s">
        <v>136</v>
      </c>
      <c r="CQ1737" t="s">
        <v>136</v>
      </c>
      <c r="CR1737" t="s">
        <v>136</v>
      </c>
      <c r="CS1737" t="s">
        <v>114</v>
      </c>
      <c r="CT1737" t="s">
        <v>136</v>
      </c>
      <c r="CU1737" t="s">
        <v>114</v>
      </c>
      <c r="CV1737" t="s">
        <v>15958</v>
      </c>
      <c r="CW1737" s="10" t="str">
        <f>"+13148053368"</f>
        <v>+13148053368</v>
      </c>
      <c r="CX1737" t="s">
        <v>8130</v>
      </c>
      <c r="CY1737" t="s">
        <v>132</v>
      </c>
      <c r="CZ1737" t="s">
        <v>137</v>
      </c>
      <c r="DA1737" t="s">
        <v>114</v>
      </c>
      <c r="DB1737" t="s">
        <v>114</v>
      </c>
      <c r="DC1737" t="s">
        <v>136</v>
      </c>
      <c r="DD1737" t="s">
        <v>114</v>
      </c>
    </row>
    <row r="1738" spans="1:108" ht="15" customHeight="1" x14ac:dyDescent="0.25">
      <c r="A1738" t="s">
        <v>23265</v>
      </c>
      <c r="B1738" t="s">
        <v>152</v>
      </c>
      <c r="C1738" s="1">
        <v>45119.574677083336</v>
      </c>
      <c r="D1738" s="1">
        <v>45203</v>
      </c>
      <c r="E1738" t="s">
        <v>114</v>
      </c>
      <c r="F1738" t="s">
        <v>14575</v>
      </c>
      <c r="G1738" t="str">
        <f>"39-2021.00"</f>
        <v>39-2021.00</v>
      </c>
      <c r="H1738" t="s">
        <v>2895</v>
      </c>
      <c r="I1738">
        <v>1</v>
      </c>
      <c r="J1738">
        <v>1</v>
      </c>
      <c r="K1738" s="1">
        <v>45200</v>
      </c>
      <c r="L1738" s="1">
        <v>45412</v>
      </c>
      <c r="M1738" s="1">
        <v>45200</v>
      </c>
      <c r="N1738" s="1">
        <v>45412</v>
      </c>
      <c r="O1738" t="s">
        <v>238</v>
      </c>
      <c r="P1738" t="s">
        <v>23266</v>
      </c>
      <c r="R1738" t="s">
        <v>23267</v>
      </c>
      <c r="T1738" t="s">
        <v>23268</v>
      </c>
      <c r="U1738" t="s">
        <v>581</v>
      </c>
      <c r="V1738" s="8" t="str">
        <f>"20198"</f>
        <v>20198</v>
      </c>
      <c r="W1738" t="s">
        <v>118</v>
      </c>
      <c r="Y1738" s="10">
        <v>15407290361</v>
      </c>
      <c r="AA1738">
        <v>711212</v>
      </c>
      <c r="AB1738" t="s">
        <v>9673</v>
      </c>
      <c r="AC1738" t="s">
        <v>23269</v>
      </c>
      <c r="AE1738" t="s">
        <v>3852</v>
      </c>
      <c r="AF1738" t="s">
        <v>23267</v>
      </c>
      <c r="AH1738" t="s">
        <v>23268</v>
      </c>
      <c r="AI1738" t="s">
        <v>581</v>
      </c>
      <c r="AJ1738" s="8" t="str">
        <f>"20198"</f>
        <v>20198</v>
      </c>
      <c r="AK1738" t="s">
        <v>118</v>
      </c>
      <c r="AM1738" s="10">
        <v>15407290361</v>
      </c>
      <c r="AO1738" t="s">
        <v>23270</v>
      </c>
      <c r="AP1738" t="s">
        <v>121</v>
      </c>
      <c r="AQ1738" t="s">
        <v>3854</v>
      </c>
      <c r="AR1738" t="s">
        <v>144</v>
      </c>
      <c r="AS1738" t="s">
        <v>3855</v>
      </c>
      <c r="AT1738" t="s">
        <v>2605</v>
      </c>
      <c r="AU1738" t="s">
        <v>2606</v>
      </c>
      <c r="AV1738" t="s">
        <v>2607</v>
      </c>
      <c r="AW1738" t="s">
        <v>2608</v>
      </c>
      <c r="AX1738" s="8" t="str">
        <f>"73069"</f>
        <v>73069</v>
      </c>
      <c r="AY1738" t="s">
        <v>118</v>
      </c>
      <c r="BA1738" s="10">
        <v>14053642525</v>
      </c>
      <c r="BC1738" t="s">
        <v>2609</v>
      </c>
      <c r="BD1738" t="s">
        <v>2610</v>
      </c>
      <c r="BE1738" t="s">
        <v>2608</v>
      </c>
      <c r="BF1738" t="s">
        <v>2611</v>
      </c>
      <c r="BG1738" t="s">
        <v>140</v>
      </c>
      <c r="BH1738" s="1">
        <v>45118.833333333336</v>
      </c>
      <c r="BI1738">
        <v>56</v>
      </c>
      <c r="BJ1738">
        <v>8</v>
      </c>
      <c r="BK1738">
        <v>8</v>
      </c>
      <c r="BL1738">
        <v>8</v>
      </c>
      <c r="BM1738">
        <v>8</v>
      </c>
      <c r="BN1738">
        <v>8</v>
      </c>
      <c r="BO1738">
        <v>8</v>
      </c>
      <c r="BP1738">
        <v>8</v>
      </c>
      <c r="BQ1738" t="str">
        <f>"5:00 AM"</f>
        <v>5:00 AM</v>
      </c>
      <c r="BR1738" t="str">
        <f>"5:00 PM"</f>
        <v>5:00 PM</v>
      </c>
      <c r="BS1738" t="s">
        <v>131</v>
      </c>
      <c r="BT1738">
        <v>0</v>
      </c>
      <c r="BU1738">
        <v>1</v>
      </c>
      <c r="BV1738" t="s">
        <v>114</v>
      </c>
      <c r="BX1738" s="2" t="s">
        <v>3116</v>
      </c>
      <c r="BY1738" t="s">
        <v>23271</v>
      </c>
      <c r="BZ1738" t="s">
        <v>23272</v>
      </c>
      <c r="CA1738" t="s">
        <v>2630</v>
      </c>
      <c r="CB1738" t="s">
        <v>140</v>
      </c>
      <c r="CC1738" s="8" t="str">
        <f>"33414"</f>
        <v>33414</v>
      </c>
      <c r="CD1738" t="s">
        <v>767</v>
      </c>
      <c r="CE1738" t="s">
        <v>149</v>
      </c>
      <c r="CF1738" s="12">
        <v>14.11</v>
      </c>
      <c r="CG1738" s="12">
        <v>14.11</v>
      </c>
      <c r="CH1738" s="12">
        <v>21.17</v>
      </c>
      <c r="CI1738" s="12">
        <v>21.17</v>
      </c>
      <c r="CJ1738" t="s">
        <v>135</v>
      </c>
      <c r="CL1738" t="s">
        <v>23273</v>
      </c>
      <c r="CO1738" t="s">
        <v>132</v>
      </c>
      <c r="CP1738" t="s">
        <v>114</v>
      </c>
      <c r="CQ1738" t="s">
        <v>114</v>
      </c>
      <c r="CR1738" t="s">
        <v>136</v>
      </c>
      <c r="CS1738" t="s">
        <v>114</v>
      </c>
      <c r="CT1738" t="s">
        <v>136</v>
      </c>
      <c r="CU1738" t="s">
        <v>136</v>
      </c>
      <c r="CV1738" t="s">
        <v>4029</v>
      </c>
      <c r="CW1738" s="10" t="str">
        <f>"+15407290361"</f>
        <v>+15407290361</v>
      </c>
      <c r="CX1738" t="s">
        <v>23274</v>
      </c>
      <c r="CY1738" t="s">
        <v>132</v>
      </c>
      <c r="CZ1738" t="s">
        <v>137</v>
      </c>
      <c r="DA1738" t="s">
        <v>114</v>
      </c>
      <c r="DB1738" t="s">
        <v>114</v>
      </c>
      <c r="DC1738" t="s">
        <v>136</v>
      </c>
      <c r="DD1738" t="s">
        <v>114</v>
      </c>
    </row>
    <row r="1739" spans="1:108" ht="15" customHeight="1" x14ac:dyDescent="0.25">
      <c r="A1739" t="s">
        <v>16572</v>
      </c>
      <c r="B1739" t="s">
        <v>152</v>
      </c>
      <c r="C1739" s="1">
        <v>45110.455934490739</v>
      </c>
      <c r="D1739" s="1">
        <v>45203</v>
      </c>
      <c r="E1739" t="s">
        <v>114</v>
      </c>
      <c r="F1739" t="s">
        <v>2081</v>
      </c>
      <c r="G1739" t="str">
        <f>"47-4091.00"</f>
        <v>47-4091.00</v>
      </c>
      <c r="H1739" t="s">
        <v>2315</v>
      </c>
      <c r="I1739">
        <v>6</v>
      </c>
      <c r="J1739">
        <v>6</v>
      </c>
      <c r="K1739" s="1">
        <v>45200</v>
      </c>
      <c r="L1739" s="1">
        <v>45473</v>
      </c>
      <c r="M1739" s="1">
        <v>45200</v>
      </c>
      <c r="N1739" s="1">
        <v>45473</v>
      </c>
      <c r="O1739" t="s">
        <v>116</v>
      </c>
      <c r="P1739" t="s">
        <v>16573</v>
      </c>
      <c r="Q1739" t="s">
        <v>16574</v>
      </c>
      <c r="R1739" t="s">
        <v>16575</v>
      </c>
      <c r="T1739" t="s">
        <v>16576</v>
      </c>
      <c r="U1739" t="s">
        <v>558</v>
      </c>
      <c r="V1739" s="8" t="str">
        <f>"85390"</f>
        <v>85390</v>
      </c>
      <c r="W1739" t="s">
        <v>118</v>
      </c>
      <c r="Y1739" s="10">
        <v>19286847165</v>
      </c>
      <c r="AA1739">
        <v>56173</v>
      </c>
      <c r="AB1739" t="s">
        <v>13966</v>
      </c>
      <c r="AC1739" t="s">
        <v>5971</v>
      </c>
      <c r="AE1739" t="s">
        <v>5347</v>
      </c>
      <c r="AF1739" t="s">
        <v>16577</v>
      </c>
      <c r="AH1739" t="s">
        <v>16576</v>
      </c>
      <c r="AI1739" t="s">
        <v>558</v>
      </c>
      <c r="AJ1739" s="8" t="str">
        <f>"85390"</f>
        <v>85390</v>
      </c>
      <c r="AK1739" t="s">
        <v>118</v>
      </c>
      <c r="AM1739" s="10">
        <v>19286847165</v>
      </c>
      <c r="AO1739" t="s">
        <v>16578</v>
      </c>
      <c r="AP1739" t="s">
        <v>121</v>
      </c>
      <c r="AQ1739" t="s">
        <v>12717</v>
      </c>
      <c r="AR1739" t="s">
        <v>1216</v>
      </c>
      <c r="AT1739" t="s">
        <v>16579</v>
      </c>
      <c r="AV1739" t="s">
        <v>3586</v>
      </c>
      <c r="AW1739" t="s">
        <v>479</v>
      </c>
      <c r="AX1739" s="8" t="str">
        <f>"97401"</f>
        <v>97401</v>
      </c>
      <c r="AY1739" t="s">
        <v>118</v>
      </c>
      <c r="BA1739" s="10">
        <v>15414841811</v>
      </c>
      <c r="BC1739" t="s">
        <v>16580</v>
      </c>
      <c r="BD1739" t="s">
        <v>16581</v>
      </c>
      <c r="BE1739" t="s">
        <v>479</v>
      </c>
      <c r="BF1739" t="s">
        <v>16582</v>
      </c>
      <c r="BG1739" t="s">
        <v>558</v>
      </c>
      <c r="BH1739" s="1">
        <v>45109.833333333336</v>
      </c>
      <c r="BI1739">
        <v>40</v>
      </c>
      <c r="BJ1739">
        <v>0</v>
      </c>
      <c r="BK1739">
        <v>8</v>
      </c>
      <c r="BL1739">
        <v>8</v>
      </c>
      <c r="BM1739">
        <v>8</v>
      </c>
      <c r="BN1739">
        <v>8</v>
      </c>
      <c r="BO1739">
        <v>8</v>
      </c>
      <c r="BP1739">
        <v>0</v>
      </c>
      <c r="BQ1739" t="str">
        <f>"7:00 AM"</f>
        <v>7:00 AM</v>
      </c>
      <c r="BR1739" t="str">
        <f>"3:30 PM"</f>
        <v>3:30 PM</v>
      </c>
      <c r="BS1739" t="s">
        <v>131</v>
      </c>
      <c r="BT1739">
        <v>0</v>
      </c>
      <c r="BU1739">
        <v>3</v>
      </c>
      <c r="BV1739" t="s">
        <v>114</v>
      </c>
      <c r="BX1739" t="s">
        <v>16583</v>
      </c>
      <c r="BY1739" t="s">
        <v>16577</v>
      </c>
      <c r="CA1739" t="s">
        <v>16576</v>
      </c>
      <c r="CB1739" t="s">
        <v>558</v>
      </c>
      <c r="CC1739" s="8" t="str">
        <f>"85390"</f>
        <v>85390</v>
      </c>
      <c r="CD1739" t="s">
        <v>1391</v>
      </c>
      <c r="CE1739" t="s">
        <v>565</v>
      </c>
      <c r="CF1739" s="12">
        <v>20.92</v>
      </c>
      <c r="CH1739" s="12">
        <v>31.38</v>
      </c>
      <c r="CJ1739" t="s">
        <v>135</v>
      </c>
      <c r="CK1739" t="s">
        <v>132</v>
      </c>
      <c r="CL1739" t="s">
        <v>16584</v>
      </c>
      <c r="CO1739" t="s">
        <v>132</v>
      </c>
      <c r="CP1739" t="s">
        <v>136</v>
      </c>
      <c r="CQ1739" t="s">
        <v>136</v>
      </c>
      <c r="CR1739" t="s">
        <v>136</v>
      </c>
      <c r="CS1739" t="s">
        <v>114</v>
      </c>
      <c r="CT1739" t="s">
        <v>136</v>
      </c>
      <c r="CU1739" t="s">
        <v>114</v>
      </c>
      <c r="CV1739" t="s">
        <v>16585</v>
      </c>
      <c r="CW1739" s="10" t="str">
        <f>"+19286847165"</f>
        <v>+19286847165</v>
      </c>
      <c r="CX1739" t="s">
        <v>16586</v>
      </c>
      <c r="CY1739" t="s">
        <v>132</v>
      </c>
      <c r="CZ1739" t="s">
        <v>137</v>
      </c>
      <c r="DA1739" t="s">
        <v>114</v>
      </c>
      <c r="DB1739" t="s">
        <v>114</v>
      </c>
      <c r="DC1739" t="s">
        <v>136</v>
      </c>
      <c r="DD1739" t="s">
        <v>114</v>
      </c>
    </row>
    <row r="1740" spans="1:108" ht="15" customHeight="1" x14ac:dyDescent="0.25">
      <c r="A1740" t="s">
        <v>4053</v>
      </c>
      <c r="B1740" t="s">
        <v>152</v>
      </c>
      <c r="C1740" s="1">
        <v>45110.002250115744</v>
      </c>
      <c r="D1740" s="1">
        <v>45203</v>
      </c>
      <c r="E1740" t="s">
        <v>114</v>
      </c>
      <c r="F1740" t="s">
        <v>4054</v>
      </c>
      <c r="G1740" t="str">
        <f>"43-5032.00"</f>
        <v>43-5032.00</v>
      </c>
      <c r="H1740" t="s">
        <v>4055</v>
      </c>
      <c r="I1740">
        <v>2</v>
      </c>
      <c r="J1740">
        <v>2</v>
      </c>
      <c r="K1740" s="1">
        <v>45200</v>
      </c>
      <c r="L1740" s="1">
        <v>45503</v>
      </c>
      <c r="M1740" s="1">
        <v>45200</v>
      </c>
      <c r="N1740" s="1">
        <v>45503</v>
      </c>
      <c r="O1740" t="s">
        <v>238</v>
      </c>
      <c r="P1740" t="s">
        <v>4056</v>
      </c>
      <c r="R1740" t="s">
        <v>4057</v>
      </c>
      <c r="T1740" t="s">
        <v>4058</v>
      </c>
      <c r="U1740" t="s">
        <v>386</v>
      </c>
      <c r="V1740" s="8" t="str">
        <f>"37357"</f>
        <v>37357</v>
      </c>
      <c r="W1740" t="s">
        <v>118</v>
      </c>
      <c r="Y1740" s="10">
        <v>19313077597</v>
      </c>
      <c r="AA1740">
        <v>4841</v>
      </c>
      <c r="AB1740" t="s">
        <v>4059</v>
      </c>
      <c r="AC1740" t="s">
        <v>4060</v>
      </c>
      <c r="AE1740" t="s">
        <v>3519</v>
      </c>
      <c r="AF1740" t="s">
        <v>4057</v>
      </c>
      <c r="AH1740" t="s">
        <v>4058</v>
      </c>
      <c r="AI1740" t="s">
        <v>386</v>
      </c>
      <c r="AJ1740" s="8" t="str">
        <f>"37357"</f>
        <v>37357</v>
      </c>
      <c r="AK1740" t="s">
        <v>118</v>
      </c>
      <c r="AM1740" s="10">
        <v>19313077597</v>
      </c>
      <c r="AO1740" t="s">
        <v>4061</v>
      </c>
      <c r="AP1740" t="s">
        <v>121</v>
      </c>
      <c r="AQ1740" t="s">
        <v>2173</v>
      </c>
      <c r="AR1740" t="s">
        <v>2174</v>
      </c>
      <c r="AS1740" t="s">
        <v>1829</v>
      </c>
      <c r="AT1740" t="s">
        <v>2175</v>
      </c>
      <c r="AV1740" t="s">
        <v>2176</v>
      </c>
      <c r="AW1740" t="s">
        <v>386</v>
      </c>
      <c r="AX1740" s="8" t="str">
        <f>"37110"</f>
        <v>37110</v>
      </c>
      <c r="AY1740" t="s">
        <v>118</v>
      </c>
      <c r="BA1740" s="10">
        <v>19312747811</v>
      </c>
      <c r="BC1740" t="s">
        <v>2177</v>
      </c>
      <c r="BD1740" t="s">
        <v>2178</v>
      </c>
      <c r="BE1740" t="s">
        <v>386</v>
      </c>
      <c r="BF1740" t="s">
        <v>2179</v>
      </c>
      <c r="BG1740" t="s">
        <v>386</v>
      </c>
      <c r="BH1740" s="1">
        <v>45109.833333333336</v>
      </c>
      <c r="BI1740">
        <v>40</v>
      </c>
      <c r="BJ1740">
        <v>0</v>
      </c>
      <c r="BK1740">
        <v>8</v>
      </c>
      <c r="BL1740">
        <v>8</v>
      </c>
      <c r="BM1740">
        <v>8</v>
      </c>
      <c r="BN1740">
        <v>8</v>
      </c>
      <c r="BO1740">
        <v>8</v>
      </c>
      <c r="BP1740">
        <v>0</v>
      </c>
      <c r="BQ1740" t="str">
        <f>"7:00 AM"</f>
        <v>7:00 AM</v>
      </c>
      <c r="BR1740" t="str">
        <f>"4:00 PM"</f>
        <v>4:00 PM</v>
      </c>
      <c r="BS1740" t="s">
        <v>131</v>
      </c>
      <c r="BT1740">
        <v>0</v>
      </c>
      <c r="BU1740">
        <v>3</v>
      </c>
      <c r="BV1740" t="s">
        <v>114</v>
      </c>
      <c r="BX1740" t="s">
        <v>4062</v>
      </c>
      <c r="BY1740" t="s">
        <v>4057</v>
      </c>
      <c r="CA1740" t="s">
        <v>4058</v>
      </c>
      <c r="CB1740" t="s">
        <v>386</v>
      </c>
      <c r="CC1740" s="8" t="str">
        <f>"37357"</f>
        <v>37357</v>
      </c>
      <c r="CD1740" t="s">
        <v>1017</v>
      </c>
      <c r="CE1740" t="s">
        <v>2425</v>
      </c>
      <c r="CF1740" s="12">
        <v>17.32</v>
      </c>
      <c r="CH1740" s="12">
        <v>25.98</v>
      </c>
      <c r="CJ1740" t="s">
        <v>135</v>
      </c>
      <c r="CK1740" t="s">
        <v>2181</v>
      </c>
      <c r="CL1740" t="s">
        <v>4063</v>
      </c>
      <c r="CO1740" t="s">
        <v>132</v>
      </c>
      <c r="CP1740" t="s">
        <v>114</v>
      </c>
      <c r="CQ1740" t="s">
        <v>136</v>
      </c>
      <c r="CR1740" t="s">
        <v>136</v>
      </c>
      <c r="CS1740" t="s">
        <v>114</v>
      </c>
      <c r="CT1740" t="s">
        <v>136</v>
      </c>
      <c r="CU1740" t="s">
        <v>114</v>
      </c>
      <c r="CV1740" t="s">
        <v>132</v>
      </c>
      <c r="CW1740" s="10" t="str">
        <f>"+19313077597"</f>
        <v>+19313077597</v>
      </c>
      <c r="CX1740" t="s">
        <v>4061</v>
      </c>
      <c r="CY1740" t="s">
        <v>132</v>
      </c>
      <c r="CZ1740" t="s">
        <v>137</v>
      </c>
      <c r="DA1740" t="s">
        <v>114</v>
      </c>
      <c r="DB1740" t="s">
        <v>114</v>
      </c>
      <c r="DC1740" t="s">
        <v>136</v>
      </c>
      <c r="DD1740" t="s">
        <v>114</v>
      </c>
    </row>
    <row r="1741" spans="1:108" ht="15" customHeight="1" x14ac:dyDescent="0.25">
      <c r="A1741" t="s">
        <v>16841</v>
      </c>
      <c r="B1741" t="s">
        <v>152</v>
      </c>
      <c r="C1741" s="1">
        <v>45141.628150925928</v>
      </c>
      <c r="D1741" s="1">
        <v>45202</v>
      </c>
      <c r="E1741" t="s">
        <v>136</v>
      </c>
      <c r="F1741" t="s">
        <v>16842</v>
      </c>
      <c r="G1741" t="str">
        <f>"37-2012.00"</f>
        <v>37-2012.00</v>
      </c>
      <c r="H1741" t="s">
        <v>205</v>
      </c>
      <c r="I1741">
        <v>12</v>
      </c>
      <c r="J1741">
        <v>12</v>
      </c>
      <c r="K1741" s="1">
        <v>45231</v>
      </c>
      <c r="L1741" s="1">
        <v>45473</v>
      </c>
      <c r="M1741" s="1">
        <v>45231</v>
      </c>
      <c r="N1741" s="1">
        <v>45473</v>
      </c>
      <c r="O1741" t="s">
        <v>116</v>
      </c>
      <c r="P1741" t="s">
        <v>16843</v>
      </c>
      <c r="Q1741" t="s">
        <v>16844</v>
      </c>
      <c r="R1741" t="s">
        <v>16845</v>
      </c>
      <c r="T1741" t="s">
        <v>11925</v>
      </c>
      <c r="U1741" t="s">
        <v>140</v>
      </c>
      <c r="V1741" s="8" t="str">
        <f>"33040"</f>
        <v>33040</v>
      </c>
      <c r="W1741" t="s">
        <v>118</v>
      </c>
      <c r="Y1741" s="10">
        <v>13052957006</v>
      </c>
      <c r="AA1741">
        <v>721110</v>
      </c>
      <c r="AB1741" t="s">
        <v>16846</v>
      </c>
      <c r="AC1741" t="s">
        <v>4199</v>
      </c>
      <c r="AE1741" t="s">
        <v>1104</v>
      </c>
      <c r="AF1741" t="s">
        <v>16845</v>
      </c>
      <c r="AH1741" t="s">
        <v>11925</v>
      </c>
      <c r="AI1741" t="s">
        <v>140</v>
      </c>
      <c r="AJ1741" s="8" t="str">
        <f>"33040"</f>
        <v>33040</v>
      </c>
      <c r="AK1741" t="s">
        <v>118</v>
      </c>
      <c r="AM1741" s="10">
        <v>13052957006</v>
      </c>
      <c r="AO1741" t="s">
        <v>16847</v>
      </c>
      <c r="AP1741" t="s">
        <v>121</v>
      </c>
      <c r="AQ1741" t="s">
        <v>276</v>
      </c>
      <c r="AR1741" t="s">
        <v>277</v>
      </c>
      <c r="AS1741" t="s">
        <v>278</v>
      </c>
      <c r="AT1741" t="s">
        <v>279</v>
      </c>
      <c r="AU1741" t="s">
        <v>280</v>
      </c>
      <c r="AV1741" t="s">
        <v>281</v>
      </c>
      <c r="AW1741" t="s">
        <v>222</v>
      </c>
      <c r="AX1741" s="8" t="str">
        <f>"01701"</f>
        <v>01701</v>
      </c>
      <c r="AY1741" t="s">
        <v>118</v>
      </c>
      <c r="BA1741" s="10">
        <v>16179399444</v>
      </c>
      <c r="BC1741" t="s">
        <v>282</v>
      </c>
      <c r="BD1741" t="s">
        <v>283</v>
      </c>
      <c r="BE1741" t="s">
        <v>222</v>
      </c>
      <c r="BF1741" t="s">
        <v>284</v>
      </c>
      <c r="BG1741" t="s">
        <v>140</v>
      </c>
      <c r="BH1741" s="1">
        <v>45140.833333333336</v>
      </c>
      <c r="BI1741">
        <v>40</v>
      </c>
      <c r="BJ1741">
        <v>0</v>
      </c>
      <c r="BK1741">
        <v>8</v>
      </c>
      <c r="BL1741">
        <v>8</v>
      </c>
      <c r="BM1741">
        <v>8</v>
      </c>
      <c r="BN1741">
        <v>8</v>
      </c>
      <c r="BO1741">
        <v>8</v>
      </c>
      <c r="BP1741">
        <v>0</v>
      </c>
      <c r="BQ1741" t="str">
        <f>"8:30 AM"</f>
        <v>8:30 AM</v>
      </c>
      <c r="BR1741" t="str">
        <f>"4:30 PM"</f>
        <v>4:30 PM</v>
      </c>
      <c r="BS1741" t="s">
        <v>131</v>
      </c>
      <c r="BT1741">
        <v>0</v>
      </c>
      <c r="BU1741">
        <v>3</v>
      </c>
      <c r="BV1741" t="s">
        <v>114</v>
      </c>
      <c r="BX1741" s="2" t="s">
        <v>16848</v>
      </c>
      <c r="BY1741" t="s">
        <v>16845</v>
      </c>
      <c r="CA1741" t="s">
        <v>11925</v>
      </c>
      <c r="CB1741" t="s">
        <v>140</v>
      </c>
      <c r="CC1741" s="8" t="str">
        <f>"33040"</f>
        <v>33040</v>
      </c>
      <c r="CD1741" t="s">
        <v>303</v>
      </c>
      <c r="CE1741" t="s">
        <v>304</v>
      </c>
      <c r="CF1741" s="12">
        <v>18</v>
      </c>
      <c r="CH1741" s="12">
        <v>27</v>
      </c>
      <c r="CJ1741" t="s">
        <v>135</v>
      </c>
      <c r="CK1741" t="s">
        <v>16849</v>
      </c>
      <c r="CL1741" t="s">
        <v>16850</v>
      </c>
      <c r="CO1741" t="s">
        <v>132</v>
      </c>
      <c r="CP1741" t="s">
        <v>136</v>
      </c>
      <c r="CQ1741" t="s">
        <v>114</v>
      </c>
      <c r="CR1741" t="s">
        <v>136</v>
      </c>
      <c r="CS1741" t="s">
        <v>136</v>
      </c>
      <c r="CT1741" t="s">
        <v>136</v>
      </c>
      <c r="CU1741" t="s">
        <v>136</v>
      </c>
      <c r="CV1741" s="2" t="s">
        <v>16851</v>
      </c>
      <c r="CW1741" s="10" t="str">
        <f>"+13052957006"</f>
        <v>+13052957006</v>
      </c>
      <c r="CX1741" t="s">
        <v>16852</v>
      </c>
      <c r="CY1741" t="s">
        <v>132</v>
      </c>
      <c r="CZ1741" t="s">
        <v>137</v>
      </c>
      <c r="DA1741" t="s">
        <v>114</v>
      </c>
      <c r="DB1741" t="s">
        <v>136</v>
      </c>
      <c r="DC1741" t="s">
        <v>136</v>
      </c>
      <c r="DD1741" t="s">
        <v>114</v>
      </c>
    </row>
    <row r="1742" spans="1:108" ht="15" customHeight="1" x14ac:dyDescent="0.25">
      <c r="A1742" t="s">
        <v>15443</v>
      </c>
      <c r="B1742" t="s">
        <v>152</v>
      </c>
      <c r="C1742" s="1">
        <v>45141.597443865743</v>
      </c>
      <c r="D1742" s="1">
        <v>45202</v>
      </c>
      <c r="E1742" t="s">
        <v>114</v>
      </c>
      <c r="F1742" t="s">
        <v>2074</v>
      </c>
      <c r="G1742" t="str">
        <f>"35-2015.00"</f>
        <v>35-2015.00</v>
      </c>
      <c r="H1742" t="s">
        <v>2075</v>
      </c>
      <c r="I1742">
        <v>7</v>
      </c>
      <c r="J1742">
        <v>7</v>
      </c>
      <c r="K1742" s="1">
        <v>45231</v>
      </c>
      <c r="L1742" s="1">
        <v>45504</v>
      </c>
      <c r="M1742" s="1">
        <v>45231</v>
      </c>
      <c r="N1742" s="1">
        <v>45504</v>
      </c>
      <c r="O1742" t="s">
        <v>116</v>
      </c>
      <c r="P1742" t="s">
        <v>15444</v>
      </c>
      <c r="Q1742" t="s">
        <v>15445</v>
      </c>
      <c r="R1742" t="s">
        <v>15446</v>
      </c>
      <c r="S1742" t="s">
        <v>15447</v>
      </c>
      <c r="T1742" t="s">
        <v>6047</v>
      </c>
      <c r="U1742" t="s">
        <v>333</v>
      </c>
      <c r="V1742" s="8" t="str">
        <f>"71303"</f>
        <v>71303</v>
      </c>
      <c r="W1742" t="s">
        <v>118</v>
      </c>
      <c r="Y1742" s="10">
        <v>13184456745</v>
      </c>
      <c r="AA1742">
        <v>72251</v>
      </c>
      <c r="AB1742" t="s">
        <v>11426</v>
      </c>
      <c r="AC1742" t="s">
        <v>9431</v>
      </c>
      <c r="AE1742" t="s">
        <v>1580</v>
      </c>
      <c r="AF1742" t="s">
        <v>15448</v>
      </c>
      <c r="AG1742" t="s">
        <v>15449</v>
      </c>
      <c r="AH1742" t="s">
        <v>15450</v>
      </c>
      <c r="AI1742" t="s">
        <v>333</v>
      </c>
      <c r="AJ1742" s="8" t="str">
        <f>"70516"</f>
        <v>70516</v>
      </c>
      <c r="AK1742" t="s">
        <v>118</v>
      </c>
      <c r="AM1742" s="10">
        <v>13374580615</v>
      </c>
      <c r="AO1742" t="s">
        <v>11427</v>
      </c>
      <c r="AP1742" t="s">
        <v>248</v>
      </c>
      <c r="AQ1742" t="s">
        <v>4257</v>
      </c>
      <c r="AR1742" t="s">
        <v>4258</v>
      </c>
      <c r="AS1742" t="s">
        <v>1829</v>
      </c>
      <c r="AT1742" t="s">
        <v>4259</v>
      </c>
      <c r="AU1742" t="s">
        <v>4260</v>
      </c>
      <c r="AV1742" t="s">
        <v>4261</v>
      </c>
      <c r="AW1742" t="s">
        <v>333</v>
      </c>
      <c r="AX1742" s="8" t="str">
        <f>"70754"</f>
        <v>70754</v>
      </c>
      <c r="AY1742" t="s">
        <v>118</v>
      </c>
      <c r="AZ1742" t="s">
        <v>4262</v>
      </c>
      <c r="BA1742" s="10">
        <v>12256863033</v>
      </c>
      <c r="BC1742" t="s">
        <v>4263</v>
      </c>
      <c r="BD1742" t="s">
        <v>4264</v>
      </c>
      <c r="BG1742" t="s">
        <v>333</v>
      </c>
      <c r="BH1742" s="1">
        <v>45140.833333333336</v>
      </c>
      <c r="BI1742">
        <v>35</v>
      </c>
      <c r="BJ1742">
        <v>0</v>
      </c>
      <c r="BK1742">
        <v>6</v>
      </c>
      <c r="BL1742">
        <v>6</v>
      </c>
      <c r="BM1742">
        <v>6</v>
      </c>
      <c r="BN1742">
        <v>6</v>
      </c>
      <c r="BO1742">
        <v>6</v>
      </c>
      <c r="BP1742">
        <v>5</v>
      </c>
      <c r="BQ1742" t="str">
        <f>"7:00 AM"</f>
        <v>7:00 AM</v>
      </c>
      <c r="BR1742" t="str">
        <f>"4:00 PM"</f>
        <v>4:00 PM</v>
      </c>
      <c r="BS1742" t="s">
        <v>131</v>
      </c>
      <c r="BT1742">
        <v>0</v>
      </c>
      <c r="BU1742">
        <v>0</v>
      </c>
      <c r="BV1742" t="s">
        <v>114</v>
      </c>
      <c r="BX1742" s="2" t="s">
        <v>15451</v>
      </c>
      <c r="BY1742" t="s">
        <v>15446</v>
      </c>
      <c r="CA1742" t="s">
        <v>6047</v>
      </c>
      <c r="CB1742" t="s">
        <v>333</v>
      </c>
      <c r="CC1742" s="8" t="str">
        <f>"71303"</f>
        <v>71303</v>
      </c>
      <c r="CD1742" t="s">
        <v>2191</v>
      </c>
      <c r="CE1742" t="s">
        <v>2192</v>
      </c>
      <c r="CF1742" s="12">
        <v>11.27</v>
      </c>
      <c r="CH1742" s="12">
        <v>16.91</v>
      </c>
      <c r="CJ1742" t="s">
        <v>135</v>
      </c>
      <c r="CK1742" t="s">
        <v>4269</v>
      </c>
      <c r="CL1742" t="s">
        <v>15452</v>
      </c>
      <c r="CO1742" t="s">
        <v>132</v>
      </c>
      <c r="CP1742" t="s">
        <v>136</v>
      </c>
      <c r="CQ1742" t="s">
        <v>114</v>
      </c>
      <c r="CR1742" t="s">
        <v>136</v>
      </c>
      <c r="CS1742" t="s">
        <v>136</v>
      </c>
      <c r="CT1742" t="s">
        <v>136</v>
      </c>
      <c r="CU1742" t="s">
        <v>136</v>
      </c>
      <c r="CV1742" s="2" t="s">
        <v>15453</v>
      </c>
      <c r="CW1742" s="10" t="str">
        <f>"+13184456745"</f>
        <v>+13184456745</v>
      </c>
      <c r="CX1742" t="s">
        <v>11427</v>
      </c>
      <c r="CY1742" t="s">
        <v>4273</v>
      </c>
      <c r="CZ1742" t="s">
        <v>137</v>
      </c>
      <c r="DA1742" t="s">
        <v>114</v>
      </c>
      <c r="DB1742" t="s">
        <v>114</v>
      </c>
      <c r="DC1742" t="s">
        <v>136</v>
      </c>
      <c r="DD1742" t="s">
        <v>114</v>
      </c>
    </row>
    <row r="1743" spans="1:108" ht="15" customHeight="1" x14ac:dyDescent="0.25">
      <c r="A1743" t="s">
        <v>4248</v>
      </c>
      <c r="B1743" t="s">
        <v>152</v>
      </c>
      <c r="C1743" s="1">
        <v>45141.55813553241</v>
      </c>
      <c r="D1743" s="1">
        <v>45202</v>
      </c>
      <c r="E1743" t="s">
        <v>114</v>
      </c>
      <c r="F1743" t="s">
        <v>2074</v>
      </c>
      <c r="G1743" t="str">
        <f>"35-2014.00"</f>
        <v>35-2014.00</v>
      </c>
      <c r="H1743" t="s">
        <v>154</v>
      </c>
      <c r="I1743">
        <v>3</v>
      </c>
      <c r="J1743">
        <v>3</v>
      </c>
      <c r="K1743" s="1">
        <v>45231</v>
      </c>
      <c r="L1743" s="1">
        <v>45444</v>
      </c>
      <c r="M1743" s="1">
        <v>45231</v>
      </c>
      <c r="N1743" s="1">
        <v>45444</v>
      </c>
      <c r="O1743" t="s">
        <v>238</v>
      </c>
      <c r="P1743" t="s">
        <v>4249</v>
      </c>
      <c r="R1743" t="s">
        <v>4250</v>
      </c>
      <c r="S1743" t="s">
        <v>4251</v>
      </c>
      <c r="T1743" t="s">
        <v>4252</v>
      </c>
      <c r="U1743" t="s">
        <v>333</v>
      </c>
      <c r="V1743" s="8" t="str">
        <f>"71457"</f>
        <v>71457</v>
      </c>
      <c r="W1743" t="s">
        <v>118</v>
      </c>
      <c r="Y1743" s="10">
        <v>13187920903</v>
      </c>
      <c r="AA1743">
        <v>72251</v>
      </c>
      <c r="AB1743" t="s">
        <v>4253</v>
      </c>
      <c r="AC1743" t="s">
        <v>4254</v>
      </c>
      <c r="AE1743" t="s">
        <v>2372</v>
      </c>
      <c r="AF1743" t="s">
        <v>4255</v>
      </c>
      <c r="AH1743" t="s">
        <v>4252</v>
      </c>
      <c r="AI1743" t="s">
        <v>333</v>
      </c>
      <c r="AJ1743" s="8" t="str">
        <f>"71457"</f>
        <v>71457</v>
      </c>
      <c r="AK1743" t="s">
        <v>118</v>
      </c>
      <c r="AM1743" s="10">
        <v>13187301607</v>
      </c>
      <c r="AO1743" t="s">
        <v>4256</v>
      </c>
      <c r="AP1743" t="s">
        <v>248</v>
      </c>
      <c r="AQ1743" t="s">
        <v>4257</v>
      </c>
      <c r="AR1743" t="s">
        <v>4258</v>
      </c>
      <c r="AS1743" t="s">
        <v>1829</v>
      </c>
      <c r="AT1743" t="s">
        <v>4259</v>
      </c>
      <c r="AU1743" t="s">
        <v>4260</v>
      </c>
      <c r="AV1743" t="s">
        <v>4261</v>
      </c>
      <c r="AW1743" t="s">
        <v>333</v>
      </c>
      <c r="AX1743" s="8" t="str">
        <f>"70754"</f>
        <v>70754</v>
      </c>
      <c r="AY1743" t="s">
        <v>118</v>
      </c>
      <c r="AZ1743" t="s">
        <v>4262</v>
      </c>
      <c r="BA1743" s="10">
        <v>12256863033</v>
      </c>
      <c r="BC1743" t="s">
        <v>4263</v>
      </c>
      <c r="BD1743" t="s">
        <v>4264</v>
      </c>
      <c r="BG1743" t="s">
        <v>333</v>
      </c>
      <c r="BH1743" s="1">
        <v>45140.833333333336</v>
      </c>
      <c r="BI1743">
        <v>35</v>
      </c>
      <c r="BJ1743">
        <v>0</v>
      </c>
      <c r="BK1743">
        <v>6</v>
      </c>
      <c r="BL1743">
        <v>6</v>
      </c>
      <c r="BM1743">
        <v>6</v>
      </c>
      <c r="BN1743">
        <v>6</v>
      </c>
      <c r="BO1743">
        <v>6</v>
      </c>
      <c r="BP1743">
        <v>5</v>
      </c>
      <c r="BQ1743" t="str">
        <f>"7:00 AM"</f>
        <v>7:00 AM</v>
      </c>
      <c r="BR1743" t="str">
        <f>"4:00 PM"</f>
        <v>4:00 PM</v>
      </c>
      <c r="BS1743" t="s">
        <v>131</v>
      </c>
      <c r="BT1743">
        <v>0</v>
      </c>
      <c r="BU1743">
        <v>3</v>
      </c>
      <c r="BV1743" t="s">
        <v>114</v>
      </c>
      <c r="BX1743" s="2" t="s">
        <v>4265</v>
      </c>
      <c r="BY1743" t="s">
        <v>4266</v>
      </c>
      <c r="CA1743" t="s">
        <v>4267</v>
      </c>
      <c r="CB1743" t="s">
        <v>333</v>
      </c>
      <c r="CC1743" s="8" t="str">
        <f>"71457"</f>
        <v>71457</v>
      </c>
      <c r="CD1743" t="s">
        <v>4267</v>
      </c>
      <c r="CE1743" t="s">
        <v>4268</v>
      </c>
      <c r="CF1743" s="12">
        <v>12.5</v>
      </c>
      <c r="CI1743" s="12">
        <v>18.75</v>
      </c>
      <c r="CJ1743" t="s">
        <v>135</v>
      </c>
      <c r="CK1743" t="s">
        <v>4269</v>
      </c>
      <c r="CL1743" t="s">
        <v>4270</v>
      </c>
      <c r="CO1743" t="s">
        <v>132</v>
      </c>
      <c r="CP1743" t="s">
        <v>114</v>
      </c>
      <c r="CQ1743" t="s">
        <v>136</v>
      </c>
      <c r="CR1743" t="s">
        <v>136</v>
      </c>
      <c r="CS1743" t="s">
        <v>136</v>
      </c>
      <c r="CT1743" t="s">
        <v>136</v>
      </c>
      <c r="CU1743" t="s">
        <v>136</v>
      </c>
      <c r="CV1743" s="2" t="s">
        <v>4271</v>
      </c>
      <c r="CW1743" s="10" t="str">
        <f>"+13187920903"</f>
        <v>+13187920903</v>
      </c>
      <c r="CX1743" t="s">
        <v>4272</v>
      </c>
      <c r="CY1743" t="s">
        <v>4273</v>
      </c>
      <c r="CZ1743" t="s">
        <v>137</v>
      </c>
      <c r="DA1743" t="s">
        <v>114</v>
      </c>
      <c r="DB1743" t="s">
        <v>114</v>
      </c>
      <c r="DC1743" t="s">
        <v>136</v>
      </c>
      <c r="DD1743" t="s">
        <v>114</v>
      </c>
    </row>
    <row r="1744" spans="1:108" ht="15" customHeight="1" x14ac:dyDescent="0.25">
      <c r="A1744" t="s">
        <v>16866</v>
      </c>
      <c r="B1744" t="s">
        <v>152</v>
      </c>
      <c r="C1744" s="1">
        <v>45141.439384259262</v>
      </c>
      <c r="D1744" s="1">
        <v>45202</v>
      </c>
      <c r="E1744" t="s">
        <v>136</v>
      </c>
      <c r="F1744" t="s">
        <v>293</v>
      </c>
      <c r="G1744" t="str">
        <f>"37-2012.00"</f>
        <v>37-2012.00</v>
      </c>
      <c r="H1744" t="s">
        <v>205</v>
      </c>
      <c r="I1744">
        <v>138</v>
      </c>
      <c r="J1744">
        <v>138</v>
      </c>
      <c r="K1744" s="1">
        <v>45231</v>
      </c>
      <c r="L1744" s="1">
        <v>45402</v>
      </c>
      <c r="M1744" s="1">
        <v>45231</v>
      </c>
      <c r="N1744" s="1">
        <v>45402</v>
      </c>
      <c r="O1744" t="s">
        <v>116</v>
      </c>
      <c r="P1744" t="s">
        <v>12979</v>
      </c>
      <c r="Q1744" t="s">
        <v>12980</v>
      </c>
      <c r="R1744" t="s">
        <v>12981</v>
      </c>
      <c r="S1744" t="s">
        <v>16867</v>
      </c>
      <c r="T1744" t="s">
        <v>891</v>
      </c>
      <c r="U1744" t="s">
        <v>892</v>
      </c>
      <c r="V1744" s="8" t="str">
        <f>"59716"</f>
        <v>59716</v>
      </c>
      <c r="W1744" t="s">
        <v>118</v>
      </c>
      <c r="Y1744" s="10">
        <v>14069957909</v>
      </c>
      <c r="AA1744">
        <v>721110</v>
      </c>
      <c r="AB1744" t="s">
        <v>12983</v>
      </c>
      <c r="AC1744" t="s">
        <v>7478</v>
      </c>
      <c r="AE1744" t="s">
        <v>12984</v>
      </c>
      <c r="AF1744" t="s">
        <v>12981</v>
      </c>
      <c r="AG1744" t="s">
        <v>16867</v>
      </c>
      <c r="AH1744" t="s">
        <v>891</v>
      </c>
      <c r="AI1744" t="s">
        <v>892</v>
      </c>
      <c r="AJ1744" s="8" t="str">
        <f>"59716"</f>
        <v>59716</v>
      </c>
      <c r="AK1744" t="s">
        <v>118</v>
      </c>
      <c r="AM1744" s="10">
        <v>14069957909</v>
      </c>
      <c r="AN1744">
        <v>1304</v>
      </c>
      <c r="AO1744" t="s">
        <v>12986</v>
      </c>
      <c r="AP1744" t="s">
        <v>121</v>
      </c>
      <c r="AQ1744" t="s">
        <v>276</v>
      </c>
      <c r="AR1744" t="s">
        <v>277</v>
      </c>
      <c r="AS1744" t="s">
        <v>278</v>
      </c>
      <c r="AT1744" t="s">
        <v>279</v>
      </c>
      <c r="AU1744" t="s">
        <v>280</v>
      </c>
      <c r="AV1744" t="s">
        <v>281</v>
      </c>
      <c r="AW1744" t="s">
        <v>222</v>
      </c>
      <c r="AX1744" s="8" t="str">
        <f>"01701"</f>
        <v>01701</v>
      </c>
      <c r="AY1744" t="s">
        <v>118</v>
      </c>
      <c r="BA1744" s="10">
        <v>16179399444</v>
      </c>
      <c r="BC1744" t="s">
        <v>282</v>
      </c>
      <c r="BD1744" t="s">
        <v>283</v>
      </c>
      <c r="BE1744" t="s">
        <v>222</v>
      </c>
      <c r="BF1744" t="s">
        <v>284</v>
      </c>
      <c r="BG1744" t="s">
        <v>892</v>
      </c>
      <c r="BH1744" s="1">
        <v>45123.833333333336</v>
      </c>
      <c r="BI1744">
        <v>40</v>
      </c>
      <c r="BJ1744">
        <v>0</v>
      </c>
      <c r="BK1744">
        <v>8</v>
      </c>
      <c r="BL1744">
        <v>8</v>
      </c>
      <c r="BM1744">
        <v>8</v>
      </c>
      <c r="BN1744">
        <v>8</v>
      </c>
      <c r="BO1744">
        <v>8</v>
      </c>
      <c r="BP1744">
        <v>0</v>
      </c>
      <c r="BQ1744" t="str">
        <f>"7:00 AM"</f>
        <v>7:00 AM</v>
      </c>
      <c r="BR1744" t="str">
        <f>"3:00 PM"</f>
        <v>3:00 PM</v>
      </c>
      <c r="BS1744" t="s">
        <v>131</v>
      </c>
      <c r="BT1744">
        <v>0</v>
      </c>
      <c r="BU1744">
        <v>3</v>
      </c>
      <c r="BV1744" t="s">
        <v>114</v>
      </c>
      <c r="BX1744" s="2" t="s">
        <v>16868</v>
      </c>
      <c r="BY1744" t="s">
        <v>12981</v>
      </c>
      <c r="CA1744" t="s">
        <v>891</v>
      </c>
      <c r="CB1744" t="s">
        <v>892</v>
      </c>
      <c r="CC1744" s="8" t="str">
        <f>"59716"</f>
        <v>59716</v>
      </c>
      <c r="CD1744" t="s">
        <v>908</v>
      </c>
      <c r="CE1744" t="s">
        <v>909</v>
      </c>
      <c r="CF1744" s="12">
        <v>18.5</v>
      </c>
      <c r="CG1744" s="12">
        <v>25</v>
      </c>
      <c r="CH1744" s="12">
        <v>27.75</v>
      </c>
      <c r="CI1744" s="12">
        <v>37.5</v>
      </c>
      <c r="CJ1744" t="s">
        <v>135</v>
      </c>
      <c r="CK1744" t="s">
        <v>16869</v>
      </c>
      <c r="CL1744" t="s">
        <v>16870</v>
      </c>
      <c r="CO1744" t="s">
        <v>132</v>
      </c>
      <c r="CP1744" t="s">
        <v>136</v>
      </c>
      <c r="CQ1744" t="s">
        <v>136</v>
      </c>
      <c r="CR1744" t="s">
        <v>136</v>
      </c>
      <c r="CS1744" t="s">
        <v>136</v>
      </c>
      <c r="CT1744" t="s">
        <v>136</v>
      </c>
      <c r="CU1744" t="s">
        <v>136</v>
      </c>
      <c r="CV1744" t="s">
        <v>16871</v>
      </c>
      <c r="CW1744" s="10" t="str">
        <f>"+14069957909"</f>
        <v>+14069957909</v>
      </c>
      <c r="CX1744" t="s">
        <v>12986</v>
      </c>
      <c r="CY1744" t="s">
        <v>132</v>
      </c>
      <c r="CZ1744" t="s">
        <v>137</v>
      </c>
      <c r="DA1744" t="s">
        <v>114</v>
      </c>
      <c r="DB1744" t="s">
        <v>136</v>
      </c>
      <c r="DC1744" t="s">
        <v>136</v>
      </c>
      <c r="DD1744" t="s">
        <v>114</v>
      </c>
    </row>
    <row r="1745" spans="1:113" ht="15" customHeight="1" x14ac:dyDescent="0.25">
      <c r="A1745" t="s">
        <v>23787</v>
      </c>
      <c r="B1745" t="s">
        <v>152</v>
      </c>
      <c r="C1745" s="1">
        <v>45141.413431134257</v>
      </c>
      <c r="D1745" s="1">
        <v>45202</v>
      </c>
      <c r="E1745" t="s">
        <v>114</v>
      </c>
      <c r="F1745" t="s">
        <v>9623</v>
      </c>
      <c r="G1745" t="str">
        <f>"45-4011.00"</f>
        <v>45-4011.00</v>
      </c>
      <c r="H1745" t="s">
        <v>842</v>
      </c>
      <c r="I1745">
        <v>60</v>
      </c>
      <c r="J1745">
        <v>60</v>
      </c>
      <c r="K1745" s="1">
        <v>45231</v>
      </c>
      <c r="L1745" s="1">
        <v>45411</v>
      </c>
      <c r="M1745" s="1">
        <v>45231</v>
      </c>
      <c r="N1745" s="1">
        <v>45411</v>
      </c>
      <c r="O1745" t="s">
        <v>238</v>
      </c>
      <c r="P1745" t="s">
        <v>23788</v>
      </c>
      <c r="R1745" t="s">
        <v>23789</v>
      </c>
      <c r="S1745" t="s">
        <v>23790</v>
      </c>
      <c r="T1745" t="s">
        <v>9833</v>
      </c>
      <c r="U1745" t="s">
        <v>1598</v>
      </c>
      <c r="V1745" s="8" t="str">
        <f>"36274"</f>
        <v>36274</v>
      </c>
      <c r="W1745" t="s">
        <v>118</v>
      </c>
      <c r="Y1745" s="10">
        <v>13348638524</v>
      </c>
      <c r="AA1745">
        <v>11531</v>
      </c>
      <c r="AB1745" t="s">
        <v>2296</v>
      </c>
      <c r="AC1745" t="s">
        <v>8064</v>
      </c>
      <c r="AE1745" t="s">
        <v>743</v>
      </c>
      <c r="AF1745" t="s">
        <v>23789</v>
      </c>
      <c r="AG1745" t="s">
        <v>23790</v>
      </c>
      <c r="AH1745" t="s">
        <v>9833</v>
      </c>
      <c r="AI1745" t="s">
        <v>1598</v>
      </c>
      <c r="AJ1745" s="8" t="str">
        <f>"36274"</f>
        <v>36274</v>
      </c>
      <c r="AK1745" t="s">
        <v>118</v>
      </c>
      <c r="AM1745" s="10">
        <v>13348638524</v>
      </c>
      <c r="AO1745" t="s">
        <v>132</v>
      </c>
      <c r="AP1745" t="s">
        <v>248</v>
      </c>
      <c r="AQ1745" t="s">
        <v>577</v>
      </c>
      <c r="AR1745" t="s">
        <v>578</v>
      </c>
      <c r="AT1745" t="s">
        <v>579</v>
      </c>
      <c r="AV1745" t="s">
        <v>580</v>
      </c>
      <c r="AW1745" t="s">
        <v>581</v>
      </c>
      <c r="AX1745" s="8" t="str">
        <f>"22903"</f>
        <v>22903</v>
      </c>
      <c r="AY1745" t="s">
        <v>118</v>
      </c>
      <c r="BA1745" s="10">
        <v>14342634300</v>
      </c>
      <c r="BC1745" t="s">
        <v>1996</v>
      </c>
      <c r="BD1745" t="s">
        <v>583</v>
      </c>
      <c r="BG1745" t="s">
        <v>1598</v>
      </c>
      <c r="BH1745" s="1">
        <v>45140.833333333336</v>
      </c>
      <c r="BI1745">
        <v>40</v>
      </c>
      <c r="BJ1745">
        <v>0</v>
      </c>
      <c r="BK1745">
        <v>8</v>
      </c>
      <c r="BL1745">
        <v>8</v>
      </c>
      <c r="BM1745">
        <v>8</v>
      </c>
      <c r="BN1745">
        <v>8</v>
      </c>
      <c r="BO1745">
        <v>8</v>
      </c>
      <c r="BP1745">
        <v>0</v>
      </c>
      <c r="BQ1745" t="str">
        <f>"8:00 AM"</f>
        <v>8:00 AM</v>
      </c>
      <c r="BR1745" t="str">
        <f>"4:30 PM"</f>
        <v>4:30 PM</v>
      </c>
      <c r="BS1745" t="s">
        <v>131</v>
      </c>
      <c r="BT1745">
        <v>0</v>
      </c>
      <c r="BU1745">
        <v>0</v>
      </c>
      <c r="BV1745" t="s">
        <v>114</v>
      </c>
      <c r="BX1745" s="2" t="s">
        <v>23791</v>
      </c>
      <c r="BY1745" t="s">
        <v>23789</v>
      </c>
      <c r="CA1745" t="s">
        <v>9833</v>
      </c>
      <c r="CB1745" t="s">
        <v>1598</v>
      </c>
      <c r="CC1745" s="8" t="str">
        <f>"36274"</f>
        <v>36274</v>
      </c>
      <c r="CD1745" t="s">
        <v>10088</v>
      </c>
      <c r="CE1745" t="s">
        <v>1898</v>
      </c>
      <c r="CF1745" s="12">
        <v>13.87</v>
      </c>
      <c r="CG1745" s="12">
        <v>20.04</v>
      </c>
      <c r="CH1745" s="12">
        <v>20.81</v>
      </c>
      <c r="CI1745" s="12">
        <v>30.06</v>
      </c>
      <c r="CJ1745" t="s">
        <v>135</v>
      </c>
      <c r="CK1745" t="s">
        <v>23792</v>
      </c>
      <c r="CL1745" t="s">
        <v>23793</v>
      </c>
      <c r="CO1745" t="s">
        <v>132</v>
      </c>
      <c r="CP1745" t="s">
        <v>136</v>
      </c>
      <c r="CQ1745" t="s">
        <v>136</v>
      </c>
      <c r="CR1745" t="s">
        <v>136</v>
      </c>
      <c r="CS1745" t="s">
        <v>136</v>
      </c>
      <c r="CT1745" t="s">
        <v>136</v>
      </c>
      <c r="CU1745" t="s">
        <v>136</v>
      </c>
      <c r="CV1745" t="s">
        <v>9624</v>
      </c>
      <c r="CW1745" s="10" t="str">
        <f>"N/A"</f>
        <v>N/A</v>
      </c>
      <c r="CX1745" t="s">
        <v>23794</v>
      </c>
      <c r="CY1745" t="s">
        <v>5884</v>
      </c>
      <c r="CZ1745" t="s">
        <v>137</v>
      </c>
      <c r="DA1745" t="s">
        <v>114</v>
      </c>
      <c r="DB1745" t="s">
        <v>136</v>
      </c>
      <c r="DC1745" t="s">
        <v>136</v>
      </c>
      <c r="DD1745" t="s">
        <v>114</v>
      </c>
      <c r="DE1745" t="s">
        <v>1998</v>
      </c>
      <c r="DF1745" t="s">
        <v>1999</v>
      </c>
      <c r="DH1745" t="s">
        <v>583</v>
      </c>
      <c r="DI1745" t="s">
        <v>1996</v>
      </c>
    </row>
    <row r="1746" spans="1:113" ht="15" customHeight="1" x14ac:dyDescent="0.25">
      <c r="A1746" t="s">
        <v>19100</v>
      </c>
      <c r="B1746" t="s">
        <v>152</v>
      </c>
      <c r="C1746" s="1">
        <v>45141.268259837962</v>
      </c>
      <c r="D1746" s="1">
        <v>45202</v>
      </c>
      <c r="E1746" t="s">
        <v>114</v>
      </c>
      <c r="F1746" t="s">
        <v>19101</v>
      </c>
      <c r="G1746" t="str">
        <f>"35-9021.00"</f>
        <v>35-9021.00</v>
      </c>
      <c r="H1746" t="s">
        <v>501</v>
      </c>
      <c r="I1746">
        <v>4</v>
      </c>
      <c r="J1746">
        <v>4</v>
      </c>
      <c r="K1746" s="1">
        <v>45231</v>
      </c>
      <c r="L1746" s="1">
        <v>45532</v>
      </c>
      <c r="M1746" s="1">
        <v>45231</v>
      </c>
      <c r="N1746" s="1">
        <v>45532</v>
      </c>
      <c r="O1746" t="s">
        <v>116</v>
      </c>
      <c r="P1746" t="s">
        <v>8396</v>
      </c>
      <c r="R1746" t="s">
        <v>8397</v>
      </c>
      <c r="T1746" t="s">
        <v>8398</v>
      </c>
      <c r="U1746" t="s">
        <v>1642</v>
      </c>
      <c r="V1746" s="8" t="str">
        <f>"26003"</f>
        <v>26003</v>
      </c>
      <c r="W1746" t="s">
        <v>118</v>
      </c>
      <c r="Y1746" s="10">
        <v>13042434032</v>
      </c>
      <c r="AA1746">
        <v>713110</v>
      </c>
      <c r="AB1746" t="s">
        <v>15406</v>
      </c>
      <c r="AC1746" t="s">
        <v>2001</v>
      </c>
      <c r="AE1746" t="s">
        <v>7804</v>
      </c>
      <c r="AF1746" t="s">
        <v>8397</v>
      </c>
      <c r="AH1746" t="s">
        <v>8398</v>
      </c>
      <c r="AI1746" t="s">
        <v>1642</v>
      </c>
      <c r="AJ1746" s="8" t="str">
        <f>"26003"</f>
        <v>26003</v>
      </c>
      <c r="AK1746" t="s">
        <v>118</v>
      </c>
      <c r="AM1746" s="10">
        <v>13042434032</v>
      </c>
      <c r="AO1746" t="s">
        <v>132</v>
      </c>
      <c r="AP1746" t="s">
        <v>248</v>
      </c>
      <c r="AQ1746" t="s">
        <v>354</v>
      </c>
      <c r="AR1746" t="s">
        <v>355</v>
      </c>
      <c r="AT1746" t="s">
        <v>356</v>
      </c>
      <c r="AV1746" t="s">
        <v>357</v>
      </c>
      <c r="AW1746" t="s">
        <v>358</v>
      </c>
      <c r="AX1746" s="8" t="str">
        <f>"11590"</f>
        <v>11590</v>
      </c>
      <c r="AY1746" t="s">
        <v>118</v>
      </c>
      <c r="BA1746" s="10">
        <v>15163307168</v>
      </c>
      <c r="BC1746" t="s">
        <v>359</v>
      </c>
      <c r="BD1746" t="s">
        <v>360</v>
      </c>
      <c r="BG1746" t="s">
        <v>1642</v>
      </c>
      <c r="BH1746" s="1">
        <v>45131.833333333336</v>
      </c>
      <c r="BI1746">
        <v>35</v>
      </c>
      <c r="BJ1746">
        <v>7</v>
      </c>
      <c r="BK1746">
        <v>0</v>
      </c>
      <c r="BL1746">
        <v>7</v>
      </c>
      <c r="BM1746">
        <v>0</v>
      </c>
      <c r="BN1746">
        <v>7</v>
      </c>
      <c r="BO1746">
        <v>7</v>
      </c>
      <c r="BP1746">
        <v>7</v>
      </c>
      <c r="BQ1746" t="str">
        <f>"7:00 AM"</f>
        <v>7:00 AM</v>
      </c>
      <c r="BR1746" t="str">
        <f>"12:00 AM"</f>
        <v>12:00 AM</v>
      </c>
      <c r="BS1746" t="s">
        <v>131</v>
      </c>
      <c r="BT1746">
        <v>0</v>
      </c>
      <c r="BU1746">
        <v>0</v>
      </c>
      <c r="BV1746" t="s">
        <v>114</v>
      </c>
      <c r="BX1746" t="s">
        <v>1480</v>
      </c>
      <c r="BY1746" t="s">
        <v>8397</v>
      </c>
      <c r="CA1746" t="s">
        <v>8398</v>
      </c>
      <c r="CB1746" t="s">
        <v>1642</v>
      </c>
      <c r="CC1746" s="8" t="str">
        <f>"26003"</f>
        <v>26003</v>
      </c>
      <c r="CD1746" t="s">
        <v>8400</v>
      </c>
      <c r="CE1746" t="s">
        <v>2478</v>
      </c>
      <c r="CF1746" s="12">
        <v>12.06</v>
      </c>
      <c r="CG1746" s="12">
        <v>14</v>
      </c>
      <c r="CH1746" s="12">
        <v>18.09</v>
      </c>
      <c r="CI1746" s="12">
        <v>21</v>
      </c>
      <c r="CJ1746" t="s">
        <v>135</v>
      </c>
      <c r="CL1746" t="s">
        <v>19102</v>
      </c>
      <c r="CO1746" t="s">
        <v>132</v>
      </c>
      <c r="CP1746" t="s">
        <v>114</v>
      </c>
      <c r="CQ1746" t="s">
        <v>114</v>
      </c>
      <c r="CR1746" t="s">
        <v>136</v>
      </c>
      <c r="CS1746" t="s">
        <v>114</v>
      </c>
      <c r="CT1746" t="s">
        <v>136</v>
      </c>
      <c r="CU1746" t="s">
        <v>136</v>
      </c>
      <c r="CV1746" t="s">
        <v>19103</v>
      </c>
      <c r="CW1746" s="10" t="str">
        <f>"+13042434147"</f>
        <v>+13042434147</v>
      </c>
      <c r="CX1746" t="s">
        <v>8403</v>
      </c>
      <c r="CY1746" t="s">
        <v>132</v>
      </c>
      <c r="CZ1746" t="s">
        <v>137</v>
      </c>
      <c r="DA1746" t="s">
        <v>114</v>
      </c>
      <c r="DB1746" t="s">
        <v>114</v>
      </c>
      <c r="DC1746" t="s">
        <v>136</v>
      </c>
      <c r="DD1746" t="s">
        <v>114</v>
      </c>
    </row>
    <row r="1747" spans="1:113" ht="15" customHeight="1" x14ac:dyDescent="0.25">
      <c r="A1747" t="s">
        <v>21888</v>
      </c>
      <c r="B1747" t="s">
        <v>152</v>
      </c>
      <c r="C1747" s="1">
        <v>45141.000901967593</v>
      </c>
      <c r="D1747" s="1">
        <v>45202</v>
      </c>
      <c r="E1747" t="s">
        <v>114</v>
      </c>
      <c r="F1747" t="s">
        <v>15171</v>
      </c>
      <c r="G1747" t="str">
        <f>"39-2021.00"</f>
        <v>39-2021.00</v>
      </c>
      <c r="H1747" t="s">
        <v>2895</v>
      </c>
      <c r="I1747">
        <v>5</v>
      </c>
      <c r="J1747">
        <v>5</v>
      </c>
      <c r="K1747" s="1">
        <v>45231</v>
      </c>
      <c r="L1747" s="1">
        <v>45442</v>
      </c>
      <c r="M1747" s="1">
        <v>45231</v>
      </c>
      <c r="N1747" s="1">
        <v>45442</v>
      </c>
      <c r="O1747" t="s">
        <v>116</v>
      </c>
      <c r="P1747" t="s">
        <v>15172</v>
      </c>
      <c r="R1747" t="s">
        <v>15173</v>
      </c>
      <c r="T1747" t="s">
        <v>15174</v>
      </c>
      <c r="U1747" t="s">
        <v>358</v>
      </c>
      <c r="V1747" s="8" t="str">
        <f>"11715"</f>
        <v>11715</v>
      </c>
      <c r="W1747" t="s">
        <v>118</v>
      </c>
      <c r="Y1747" s="10">
        <v>16313799489</v>
      </c>
      <c r="AA1747">
        <v>11292</v>
      </c>
      <c r="AB1747" t="s">
        <v>15175</v>
      </c>
      <c r="AC1747" t="s">
        <v>3414</v>
      </c>
      <c r="AE1747" t="s">
        <v>629</v>
      </c>
      <c r="AF1747" t="s">
        <v>21889</v>
      </c>
      <c r="AH1747" t="s">
        <v>2630</v>
      </c>
      <c r="AI1747" t="s">
        <v>140</v>
      </c>
      <c r="AJ1747" s="8" t="str">
        <f>"33414"</f>
        <v>33414</v>
      </c>
      <c r="AK1747" t="s">
        <v>118</v>
      </c>
      <c r="AM1747" s="10">
        <v>16313799489</v>
      </c>
      <c r="AO1747" t="s">
        <v>132</v>
      </c>
      <c r="AP1747" t="s">
        <v>248</v>
      </c>
      <c r="AQ1747" t="s">
        <v>1746</v>
      </c>
      <c r="AR1747" t="s">
        <v>1747</v>
      </c>
      <c r="AT1747" t="s">
        <v>1748</v>
      </c>
      <c r="AV1747" t="s">
        <v>1749</v>
      </c>
      <c r="AW1747" t="s">
        <v>140</v>
      </c>
      <c r="AX1747" s="8" t="str">
        <f>"34957"</f>
        <v>34957</v>
      </c>
      <c r="AY1747" t="s">
        <v>118</v>
      </c>
      <c r="BA1747" s="10">
        <v>17723344829</v>
      </c>
      <c r="BC1747" t="s">
        <v>1750</v>
      </c>
      <c r="BD1747" t="s">
        <v>1751</v>
      </c>
      <c r="BG1747" t="s">
        <v>140</v>
      </c>
      <c r="BH1747" s="1">
        <v>45137.833333333336</v>
      </c>
      <c r="BI1747">
        <v>40</v>
      </c>
      <c r="BJ1747">
        <v>0</v>
      </c>
      <c r="BK1747">
        <v>8</v>
      </c>
      <c r="BL1747">
        <v>8</v>
      </c>
      <c r="BM1747">
        <v>8</v>
      </c>
      <c r="BN1747">
        <v>8</v>
      </c>
      <c r="BO1747">
        <v>8</v>
      </c>
      <c r="BP1747">
        <v>0</v>
      </c>
      <c r="BQ1747" t="str">
        <f>"7:00 AM"</f>
        <v>7:00 AM</v>
      </c>
      <c r="BR1747" t="str">
        <f>"4:00 PM"</f>
        <v>4:00 PM</v>
      </c>
      <c r="BS1747" t="s">
        <v>131</v>
      </c>
      <c r="BT1747">
        <v>0</v>
      </c>
      <c r="BU1747">
        <v>0</v>
      </c>
      <c r="BV1747" t="s">
        <v>114</v>
      </c>
      <c r="BX1747" t="s">
        <v>131</v>
      </c>
      <c r="BY1747" t="s">
        <v>21889</v>
      </c>
      <c r="CA1747" t="s">
        <v>21890</v>
      </c>
      <c r="CB1747" t="s">
        <v>140</v>
      </c>
      <c r="CC1747" s="8" t="str">
        <f>"33414"</f>
        <v>33414</v>
      </c>
      <c r="CD1747" t="s">
        <v>767</v>
      </c>
      <c r="CE1747" t="s">
        <v>149</v>
      </c>
      <c r="CF1747" s="12">
        <v>14.11</v>
      </c>
      <c r="CG1747" s="12">
        <v>20</v>
      </c>
      <c r="CH1747" s="12">
        <v>21.17</v>
      </c>
      <c r="CI1747" s="12">
        <v>30</v>
      </c>
      <c r="CJ1747" t="s">
        <v>135</v>
      </c>
      <c r="CL1747" t="s">
        <v>21891</v>
      </c>
      <c r="CO1747" t="s">
        <v>132</v>
      </c>
      <c r="CP1747" t="s">
        <v>114</v>
      </c>
      <c r="CQ1747" t="s">
        <v>114</v>
      </c>
      <c r="CR1747" t="s">
        <v>136</v>
      </c>
      <c r="CS1747" t="s">
        <v>114</v>
      </c>
      <c r="CT1747" t="s">
        <v>136</v>
      </c>
      <c r="CU1747" t="s">
        <v>114</v>
      </c>
      <c r="CV1747" t="s">
        <v>131</v>
      </c>
      <c r="CW1747" s="10" t="str">
        <f>"+16313799489"</f>
        <v>+16313799489</v>
      </c>
      <c r="CX1747" t="s">
        <v>21892</v>
      </c>
      <c r="CY1747" t="s">
        <v>132</v>
      </c>
      <c r="CZ1747" t="s">
        <v>137</v>
      </c>
      <c r="DA1747" t="s">
        <v>114</v>
      </c>
      <c r="DB1747" t="s">
        <v>114</v>
      </c>
      <c r="DC1747" t="s">
        <v>136</v>
      </c>
      <c r="DD1747" t="s">
        <v>114</v>
      </c>
    </row>
    <row r="1748" spans="1:113" ht="15" customHeight="1" x14ac:dyDescent="0.25">
      <c r="A1748" t="s">
        <v>21940</v>
      </c>
      <c r="B1748" t="s">
        <v>152</v>
      </c>
      <c r="C1748" s="1">
        <v>45139.762795601855</v>
      </c>
      <c r="D1748" s="1">
        <v>45202</v>
      </c>
      <c r="E1748" t="s">
        <v>114</v>
      </c>
      <c r="F1748" t="s">
        <v>9342</v>
      </c>
      <c r="G1748" t="str">
        <f>"53-3032.00"</f>
        <v>53-3032.00</v>
      </c>
      <c r="H1748" t="s">
        <v>736</v>
      </c>
      <c r="I1748">
        <v>12</v>
      </c>
      <c r="J1748">
        <v>12</v>
      </c>
      <c r="K1748" s="1">
        <v>45214</v>
      </c>
      <c r="L1748" s="1">
        <v>45420</v>
      </c>
      <c r="M1748" s="1">
        <v>45214</v>
      </c>
      <c r="N1748" s="1">
        <v>45420</v>
      </c>
      <c r="O1748" t="s">
        <v>116</v>
      </c>
      <c r="P1748" t="s">
        <v>21941</v>
      </c>
      <c r="R1748" t="s">
        <v>21942</v>
      </c>
      <c r="S1748" t="s">
        <v>21943</v>
      </c>
      <c r="T1748" t="s">
        <v>21944</v>
      </c>
      <c r="U1748" t="s">
        <v>984</v>
      </c>
      <c r="V1748" s="8" t="str">
        <f>"63601"</f>
        <v>63601</v>
      </c>
      <c r="W1748" t="s">
        <v>118</v>
      </c>
      <c r="Y1748" s="10">
        <v>15734310625</v>
      </c>
      <c r="AA1748">
        <v>42448</v>
      </c>
      <c r="AB1748" t="s">
        <v>21945</v>
      </c>
      <c r="AC1748" t="s">
        <v>21946</v>
      </c>
      <c r="AE1748" t="s">
        <v>629</v>
      </c>
      <c r="AF1748" t="s">
        <v>21942</v>
      </c>
      <c r="AG1748" t="s">
        <v>21943</v>
      </c>
      <c r="AH1748" t="s">
        <v>21944</v>
      </c>
      <c r="AI1748" t="s">
        <v>984</v>
      </c>
      <c r="AJ1748" s="8" t="str">
        <f>"63601"</f>
        <v>63601</v>
      </c>
      <c r="AK1748" t="s">
        <v>118</v>
      </c>
      <c r="AM1748" s="10">
        <v>15734310625</v>
      </c>
      <c r="AO1748" t="s">
        <v>132</v>
      </c>
      <c r="AP1748" t="s">
        <v>248</v>
      </c>
      <c r="AQ1748" t="s">
        <v>577</v>
      </c>
      <c r="AR1748" t="s">
        <v>578</v>
      </c>
      <c r="AT1748" t="s">
        <v>579</v>
      </c>
      <c r="AV1748" t="s">
        <v>580</v>
      </c>
      <c r="AW1748" t="s">
        <v>581</v>
      </c>
      <c r="AX1748" s="8" t="str">
        <f>"22903"</f>
        <v>22903</v>
      </c>
      <c r="AY1748" t="s">
        <v>118</v>
      </c>
      <c r="BA1748" s="10">
        <v>14342634300</v>
      </c>
      <c r="BC1748" t="s">
        <v>1996</v>
      </c>
      <c r="BD1748" t="s">
        <v>583</v>
      </c>
      <c r="BG1748" t="s">
        <v>984</v>
      </c>
      <c r="BH1748" s="1">
        <v>45138.833333333336</v>
      </c>
      <c r="BI1748">
        <v>45</v>
      </c>
      <c r="BJ1748">
        <v>0</v>
      </c>
      <c r="BK1748">
        <v>9</v>
      </c>
      <c r="BL1748">
        <v>9</v>
      </c>
      <c r="BM1748">
        <v>9</v>
      </c>
      <c r="BN1748">
        <v>9</v>
      </c>
      <c r="BO1748">
        <v>9</v>
      </c>
      <c r="BP1748">
        <v>0</v>
      </c>
      <c r="BQ1748" t="str">
        <f>"2:00 AM"</f>
        <v>2:00 AM</v>
      </c>
      <c r="BR1748" t="str">
        <f>"11:00 AM"</f>
        <v>11:00 AM</v>
      </c>
      <c r="BS1748" t="s">
        <v>131</v>
      </c>
      <c r="BT1748">
        <v>0</v>
      </c>
      <c r="BU1748">
        <v>6</v>
      </c>
      <c r="BV1748" t="s">
        <v>114</v>
      </c>
      <c r="BX1748" s="2" t="s">
        <v>21947</v>
      </c>
      <c r="BY1748" t="s">
        <v>21948</v>
      </c>
      <c r="CA1748" t="s">
        <v>21944</v>
      </c>
      <c r="CB1748" t="s">
        <v>984</v>
      </c>
      <c r="CC1748" s="8" t="str">
        <f>"63601"</f>
        <v>63601</v>
      </c>
      <c r="CD1748" t="s">
        <v>21949</v>
      </c>
      <c r="CE1748" t="s">
        <v>9896</v>
      </c>
      <c r="CF1748" s="12">
        <v>24.03</v>
      </c>
      <c r="CH1748" s="12">
        <v>36.049999999999997</v>
      </c>
      <c r="CJ1748" t="s">
        <v>135</v>
      </c>
      <c r="CL1748" t="s">
        <v>21950</v>
      </c>
      <c r="CO1748" t="s">
        <v>132</v>
      </c>
      <c r="CP1748" t="s">
        <v>114</v>
      </c>
      <c r="CQ1748" t="s">
        <v>136</v>
      </c>
      <c r="CR1748" t="s">
        <v>136</v>
      </c>
      <c r="CS1748" t="s">
        <v>114</v>
      </c>
      <c r="CT1748" t="s">
        <v>136</v>
      </c>
      <c r="CU1748" t="s">
        <v>136</v>
      </c>
      <c r="CV1748" t="s">
        <v>21951</v>
      </c>
      <c r="CW1748" s="10" t="str">
        <f>"N/A"</f>
        <v>N/A</v>
      </c>
      <c r="CX1748" t="s">
        <v>21952</v>
      </c>
      <c r="CY1748" t="s">
        <v>21953</v>
      </c>
      <c r="CZ1748" t="s">
        <v>137</v>
      </c>
      <c r="DA1748" t="s">
        <v>114</v>
      </c>
      <c r="DB1748" t="s">
        <v>136</v>
      </c>
      <c r="DC1748" t="s">
        <v>136</v>
      </c>
      <c r="DD1748" t="s">
        <v>114</v>
      </c>
      <c r="DE1748" t="s">
        <v>1998</v>
      </c>
      <c r="DF1748" t="s">
        <v>1999</v>
      </c>
      <c r="DH1748" t="s">
        <v>9449</v>
      </c>
      <c r="DI1748" t="s">
        <v>1996</v>
      </c>
    </row>
    <row r="1749" spans="1:113" ht="15" customHeight="1" x14ac:dyDescent="0.25">
      <c r="A1749" t="s">
        <v>9170</v>
      </c>
      <c r="B1749" t="s">
        <v>152</v>
      </c>
      <c r="C1749" s="1">
        <v>45133.512252893517</v>
      </c>
      <c r="D1749" s="1">
        <v>45202</v>
      </c>
      <c r="E1749" t="s">
        <v>114</v>
      </c>
      <c r="F1749" t="s">
        <v>2310</v>
      </c>
      <c r="G1749" t="str">
        <f>"35-2014.00"</f>
        <v>35-2014.00</v>
      </c>
      <c r="H1749" t="s">
        <v>154</v>
      </c>
      <c r="I1749">
        <v>12</v>
      </c>
      <c r="J1749">
        <v>12</v>
      </c>
      <c r="K1749" s="1">
        <v>45223</v>
      </c>
      <c r="L1749" s="1">
        <v>45391</v>
      </c>
      <c r="M1749" s="1">
        <v>45223</v>
      </c>
      <c r="N1749" s="1">
        <v>45391</v>
      </c>
      <c r="O1749" t="s">
        <v>116</v>
      </c>
      <c r="P1749" t="s">
        <v>9171</v>
      </c>
      <c r="R1749" t="s">
        <v>9172</v>
      </c>
      <c r="S1749" t="s">
        <v>9173</v>
      </c>
      <c r="T1749" t="s">
        <v>6781</v>
      </c>
      <c r="U1749" t="s">
        <v>584</v>
      </c>
      <c r="V1749" s="8" t="str">
        <f>"83025"</f>
        <v>83025</v>
      </c>
      <c r="W1749" t="s">
        <v>118</v>
      </c>
      <c r="Y1749" s="10">
        <v>13077325001</v>
      </c>
      <c r="AA1749">
        <v>721110</v>
      </c>
      <c r="AB1749" t="s">
        <v>986</v>
      </c>
      <c r="AC1749" t="s">
        <v>9174</v>
      </c>
      <c r="AE1749" t="s">
        <v>9175</v>
      </c>
      <c r="AF1749" t="s">
        <v>9172</v>
      </c>
      <c r="AG1749" t="s">
        <v>9173</v>
      </c>
      <c r="AH1749" t="s">
        <v>6781</v>
      </c>
      <c r="AI1749" t="s">
        <v>584</v>
      </c>
      <c r="AJ1749" s="8" t="str">
        <f>"83025"</f>
        <v>83025</v>
      </c>
      <c r="AK1749" t="s">
        <v>118</v>
      </c>
      <c r="AM1749" s="10">
        <v>13077325106</v>
      </c>
      <c r="AO1749" t="s">
        <v>9176</v>
      </c>
      <c r="AP1749" t="s">
        <v>121</v>
      </c>
      <c r="AQ1749" t="s">
        <v>513</v>
      </c>
      <c r="AR1749" t="s">
        <v>514</v>
      </c>
      <c r="AS1749" t="s">
        <v>515</v>
      </c>
      <c r="AT1749" t="s">
        <v>516</v>
      </c>
      <c r="AU1749" t="s">
        <v>517</v>
      </c>
      <c r="AV1749" t="s">
        <v>518</v>
      </c>
      <c r="AW1749" t="s">
        <v>402</v>
      </c>
      <c r="AX1749" s="8" t="str">
        <f>"90071"</f>
        <v>90071</v>
      </c>
      <c r="AY1749" t="s">
        <v>118</v>
      </c>
      <c r="BA1749" s="10">
        <v>13108203322</v>
      </c>
      <c r="BC1749" t="s">
        <v>519</v>
      </c>
      <c r="BD1749" t="s">
        <v>520</v>
      </c>
      <c r="BE1749" t="s">
        <v>188</v>
      </c>
      <c r="BF1749" t="s">
        <v>172</v>
      </c>
      <c r="BG1749" t="s">
        <v>584</v>
      </c>
      <c r="BH1749" s="1">
        <v>45130.833333333336</v>
      </c>
      <c r="BI1749">
        <v>35</v>
      </c>
      <c r="BJ1749">
        <v>5</v>
      </c>
      <c r="BK1749">
        <v>5</v>
      </c>
      <c r="BL1749">
        <v>5</v>
      </c>
      <c r="BM1749">
        <v>5</v>
      </c>
      <c r="BN1749">
        <v>5</v>
      </c>
      <c r="BO1749">
        <v>5</v>
      </c>
      <c r="BP1749">
        <v>5</v>
      </c>
      <c r="BQ1749" t="str">
        <f>"7:00 AM"</f>
        <v>7:00 AM</v>
      </c>
      <c r="BR1749" t="str">
        <f>"10:00 PM"</f>
        <v>10:00 PM</v>
      </c>
      <c r="BS1749" t="s">
        <v>147</v>
      </c>
      <c r="BT1749">
        <v>0</v>
      </c>
      <c r="BU1749">
        <v>6</v>
      </c>
      <c r="BV1749" t="s">
        <v>114</v>
      </c>
      <c r="BX1749" s="2" t="s">
        <v>9177</v>
      </c>
      <c r="BY1749" t="s">
        <v>9173</v>
      </c>
      <c r="CA1749" t="s">
        <v>6781</v>
      </c>
      <c r="CB1749" t="s">
        <v>584</v>
      </c>
      <c r="CC1749" s="8" t="str">
        <f>"83025"</f>
        <v>83025</v>
      </c>
      <c r="CD1749" t="s">
        <v>588</v>
      </c>
      <c r="CE1749" t="s">
        <v>589</v>
      </c>
      <c r="CF1749" s="12">
        <v>25.47</v>
      </c>
      <c r="CH1749" s="12">
        <v>38.21</v>
      </c>
      <c r="CJ1749" t="s">
        <v>135</v>
      </c>
      <c r="CK1749" t="s">
        <v>1094</v>
      </c>
      <c r="CL1749" t="s">
        <v>9178</v>
      </c>
      <c r="CO1749" t="s">
        <v>132</v>
      </c>
      <c r="CP1749" t="s">
        <v>114</v>
      </c>
      <c r="CQ1749" t="s">
        <v>114</v>
      </c>
      <c r="CR1749" t="s">
        <v>136</v>
      </c>
      <c r="CS1749" t="s">
        <v>114</v>
      </c>
      <c r="CT1749" t="s">
        <v>136</v>
      </c>
      <c r="CU1749" t="s">
        <v>136</v>
      </c>
      <c r="CV1749" t="s">
        <v>9179</v>
      </c>
      <c r="CW1749" s="10" t="str">
        <f>"+13077325106"</f>
        <v>+13077325106</v>
      </c>
      <c r="CX1749" t="s">
        <v>9176</v>
      </c>
      <c r="CY1749" t="s">
        <v>132</v>
      </c>
      <c r="CZ1749" t="s">
        <v>137</v>
      </c>
      <c r="DA1749" t="s">
        <v>114</v>
      </c>
      <c r="DB1749" t="s">
        <v>114</v>
      </c>
      <c r="DC1749" t="s">
        <v>136</v>
      </c>
      <c r="DD1749" t="s">
        <v>114</v>
      </c>
      <c r="DE1749" t="s">
        <v>527</v>
      </c>
      <c r="DF1749" t="s">
        <v>528</v>
      </c>
      <c r="DG1749" t="s">
        <v>732</v>
      </c>
      <c r="DH1749" t="s">
        <v>520</v>
      </c>
      <c r="DI1749" t="s">
        <v>529</v>
      </c>
    </row>
    <row r="1750" spans="1:113" ht="15" customHeight="1" x14ac:dyDescent="0.25">
      <c r="A1750" t="s">
        <v>13122</v>
      </c>
      <c r="B1750" t="s">
        <v>152</v>
      </c>
      <c r="C1750" s="1">
        <v>45133.499150925927</v>
      </c>
      <c r="D1750" s="1">
        <v>45202</v>
      </c>
      <c r="E1750" t="s">
        <v>114</v>
      </c>
      <c r="F1750" t="s">
        <v>13123</v>
      </c>
      <c r="G1750" t="str">
        <f>"37-2012.00"</f>
        <v>37-2012.00</v>
      </c>
      <c r="H1750" t="s">
        <v>205</v>
      </c>
      <c r="I1750">
        <v>8</v>
      </c>
      <c r="J1750">
        <v>8</v>
      </c>
      <c r="K1750" s="1">
        <v>45223</v>
      </c>
      <c r="L1750" s="1">
        <v>45391</v>
      </c>
      <c r="M1750" s="1">
        <v>45223</v>
      </c>
      <c r="N1750" s="1">
        <v>45391</v>
      </c>
      <c r="O1750" t="s">
        <v>116</v>
      </c>
      <c r="P1750" t="s">
        <v>9171</v>
      </c>
      <c r="R1750" t="s">
        <v>9172</v>
      </c>
      <c r="S1750" t="s">
        <v>9173</v>
      </c>
      <c r="T1750" t="s">
        <v>6781</v>
      </c>
      <c r="U1750" t="s">
        <v>584</v>
      </c>
      <c r="V1750" s="8" t="str">
        <f>"83025"</f>
        <v>83025</v>
      </c>
      <c r="W1750" t="s">
        <v>118</v>
      </c>
      <c r="Y1750" s="10">
        <v>13077325001</v>
      </c>
      <c r="AA1750">
        <v>721110</v>
      </c>
      <c r="AB1750" t="s">
        <v>986</v>
      </c>
      <c r="AC1750" t="s">
        <v>9174</v>
      </c>
      <c r="AE1750" t="s">
        <v>9175</v>
      </c>
      <c r="AF1750" t="s">
        <v>9172</v>
      </c>
      <c r="AG1750" t="s">
        <v>9173</v>
      </c>
      <c r="AH1750" t="s">
        <v>6781</v>
      </c>
      <c r="AI1750" t="s">
        <v>584</v>
      </c>
      <c r="AJ1750" s="8" t="str">
        <f>"83025"</f>
        <v>83025</v>
      </c>
      <c r="AK1750" t="s">
        <v>118</v>
      </c>
      <c r="AM1750" s="10">
        <v>13077325106</v>
      </c>
      <c r="AO1750" t="s">
        <v>9176</v>
      </c>
      <c r="AP1750" t="s">
        <v>121</v>
      </c>
      <c r="AQ1750" t="s">
        <v>513</v>
      </c>
      <c r="AR1750" t="s">
        <v>514</v>
      </c>
      <c r="AS1750" t="s">
        <v>515</v>
      </c>
      <c r="AT1750" t="s">
        <v>516</v>
      </c>
      <c r="AU1750" t="s">
        <v>517</v>
      </c>
      <c r="AV1750" t="s">
        <v>518</v>
      </c>
      <c r="AW1750" t="s">
        <v>402</v>
      </c>
      <c r="AX1750" s="8" t="str">
        <f>"90071"</f>
        <v>90071</v>
      </c>
      <c r="AY1750" t="s">
        <v>118</v>
      </c>
      <c r="BA1750" s="10">
        <v>13108203322</v>
      </c>
      <c r="BC1750" t="s">
        <v>519</v>
      </c>
      <c r="BD1750" t="s">
        <v>520</v>
      </c>
      <c r="BE1750" t="s">
        <v>188</v>
      </c>
      <c r="BF1750" t="s">
        <v>172</v>
      </c>
      <c r="BG1750" t="s">
        <v>584</v>
      </c>
      <c r="BH1750" s="1">
        <v>45130.833333333336</v>
      </c>
      <c r="BI1750">
        <v>35</v>
      </c>
      <c r="BJ1750">
        <v>5</v>
      </c>
      <c r="BK1750">
        <v>5</v>
      </c>
      <c r="BL1750">
        <v>5</v>
      </c>
      <c r="BM1750">
        <v>5</v>
      </c>
      <c r="BN1750">
        <v>5</v>
      </c>
      <c r="BO1750">
        <v>5</v>
      </c>
      <c r="BP1750">
        <v>5</v>
      </c>
      <c r="BQ1750" t="str">
        <f>"7:00 AM"</f>
        <v>7:00 AM</v>
      </c>
      <c r="BR1750" t="str">
        <f>"10:00 PM"</f>
        <v>10:00 PM</v>
      </c>
      <c r="BS1750" t="s">
        <v>131</v>
      </c>
      <c r="BT1750">
        <v>0</v>
      </c>
      <c r="BU1750">
        <v>6</v>
      </c>
      <c r="BV1750" t="s">
        <v>114</v>
      </c>
      <c r="BX1750" s="2" t="s">
        <v>13124</v>
      </c>
      <c r="BY1750" t="s">
        <v>9173</v>
      </c>
      <c r="CA1750" t="s">
        <v>6781</v>
      </c>
      <c r="CB1750" t="s">
        <v>584</v>
      </c>
      <c r="CC1750" s="8" t="str">
        <f>"83025"</f>
        <v>83025</v>
      </c>
      <c r="CD1750" t="s">
        <v>588</v>
      </c>
      <c r="CE1750" t="s">
        <v>589</v>
      </c>
      <c r="CF1750" s="12">
        <v>21</v>
      </c>
      <c r="CH1750" s="12">
        <v>31.5</v>
      </c>
      <c r="CJ1750" t="s">
        <v>135</v>
      </c>
      <c r="CK1750" t="s">
        <v>1094</v>
      </c>
      <c r="CL1750" t="s">
        <v>13125</v>
      </c>
      <c r="CO1750" t="s">
        <v>132</v>
      </c>
      <c r="CP1750" t="s">
        <v>114</v>
      </c>
      <c r="CQ1750" t="s">
        <v>114</v>
      </c>
      <c r="CR1750" t="s">
        <v>136</v>
      </c>
      <c r="CS1750" t="s">
        <v>114</v>
      </c>
      <c r="CT1750" t="s">
        <v>136</v>
      </c>
      <c r="CU1750" t="s">
        <v>136</v>
      </c>
      <c r="CV1750" t="s">
        <v>9179</v>
      </c>
      <c r="CW1750" s="10" t="str">
        <f>"+13077325106"</f>
        <v>+13077325106</v>
      </c>
      <c r="CX1750" t="s">
        <v>9176</v>
      </c>
      <c r="CY1750" t="s">
        <v>132</v>
      </c>
      <c r="CZ1750" t="s">
        <v>137</v>
      </c>
      <c r="DA1750" t="s">
        <v>114</v>
      </c>
      <c r="DB1750" t="s">
        <v>114</v>
      </c>
      <c r="DC1750" t="s">
        <v>136</v>
      </c>
      <c r="DD1750" t="s">
        <v>114</v>
      </c>
      <c r="DE1750" t="s">
        <v>527</v>
      </c>
      <c r="DF1750" t="s">
        <v>528</v>
      </c>
      <c r="DG1750" t="s">
        <v>732</v>
      </c>
      <c r="DH1750" t="s">
        <v>520</v>
      </c>
      <c r="DI1750" t="s">
        <v>529</v>
      </c>
    </row>
    <row r="1751" spans="1:113" ht="15" customHeight="1" x14ac:dyDescent="0.25">
      <c r="A1751" t="s">
        <v>16801</v>
      </c>
      <c r="B1751" t="s">
        <v>152</v>
      </c>
      <c r="C1751" s="1">
        <v>45124.719686458331</v>
      </c>
      <c r="D1751" s="1">
        <v>45202</v>
      </c>
      <c r="E1751" t="s">
        <v>114</v>
      </c>
      <c r="F1751" t="s">
        <v>3992</v>
      </c>
      <c r="G1751" t="str">
        <f>"37-2011.00"</f>
        <v>37-2011.00</v>
      </c>
      <c r="H1751" t="s">
        <v>1089</v>
      </c>
      <c r="I1751">
        <v>18</v>
      </c>
      <c r="J1751">
        <v>18</v>
      </c>
      <c r="K1751" s="1">
        <v>45214</v>
      </c>
      <c r="L1751" s="1">
        <v>45383</v>
      </c>
      <c r="M1751" s="1">
        <v>45214</v>
      </c>
      <c r="N1751" s="1">
        <v>45383</v>
      </c>
      <c r="O1751" t="s">
        <v>238</v>
      </c>
      <c r="P1751" t="s">
        <v>16802</v>
      </c>
      <c r="R1751" t="s">
        <v>16803</v>
      </c>
      <c r="T1751" t="s">
        <v>4465</v>
      </c>
      <c r="U1751" t="s">
        <v>211</v>
      </c>
      <c r="V1751" s="8" t="str">
        <f>"84404"</f>
        <v>84404</v>
      </c>
      <c r="W1751" t="s">
        <v>118</v>
      </c>
      <c r="Y1751" s="10">
        <v>18015649559</v>
      </c>
      <c r="AA1751">
        <v>48849</v>
      </c>
      <c r="AB1751" t="s">
        <v>16804</v>
      </c>
      <c r="AC1751" t="s">
        <v>16805</v>
      </c>
      <c r="AD1751" t="s">
        <v>10982</v>
      </c>
      <c r="AE1751" t="s">
        <v>561</v>
      </c>
      <c r="AF1751" t="s">
        <v>16803</v>
      </c>
      <c r="AH1751" t="s">
        <v>4465</v>
      </c>
      <c r="AI1751" t="s">
        <v>211</v>
      </c>
      <c r="AJ1751" s="8" t="str">
        <f>"84404"</f>
        <v>84404</v>
      </c>
      <c r="AK1751" t="s">
        <v>118</v>
      </c>
      <c r="AM1751" s="10">
        <v>18015649559</v>
      </c>
      <c r="AO1751" t="s">
        <v>132</v>
      </c>
      <c r="AP1751" t="s">
        <v>121</v>
      </c>
      <c r="AQ1751" t="s">
        <v>1172</v>
      </c>
      <c r="AR1751" t="s">
        <v>1173</v>
      </c>
      <c r="AS1751" t="s">
        <v>708</v>
      </c>
      <c r="AT1751" t="s">
        <v>3325</v>
      </c>
      <c r="AV1751" t="s">
        <v>603</v>
      </c>
      <c r="AW1751" t="s">
        <v>127</v>
      </c>
      <c r="AX1751" s="8" t="str">
        <f>"78705"</f>
        <v>78705</v>
      </c>
      <c r="AY1751" t="s">
        <v>118</v>
      </c>
      <c r="BA1751" s="10">
        <v>15123470007</v>
      </c>
      <c r="BC1751" t="s">
        <v>1175</v>
      </c>
      <c r="BD1751" t="s">
        <v>1176</v>
      </c>
      <c r="BE1751" t="s">
        <v>127</v>
      </c>
      <c r="BF1751" t="s">
        <v>750</v>
      </c>
      <c r="BG1751" t="s">
        <v>211</v>
      </c>
      <c r="BH1751" s="1">
        <v>45123.833333333336</v>
      </c>
      <c r="BI1751">
        <v>40</v>
      </c>
      <c r="BJ1751">
        <v>0</v>
      </c>
      <c r="BK1751">
        <v>8</v>
      </c>
      <c r="BL1751">
        <v>8</v>
      </c>
      <c r="BM1751">
        <v>8</v>
      </c>
      <c r="BN1751">
        <v>8</v>
      </c>
      <c r="BO1751">
        <v>8</v>
      </c>
      <c r="BP1751">
        <v>0</v>
      </c>
      <c r="BQ1751" t="str">
        <f>"6:00 AM"</f>
        <v>6:00 AM</v>
      </c>
      <c r="BR1751" t="str">
        <f>"2:00 PM"</f>
        <v>2:00 PM</v>
      </c>
      <c r="BS1751" t="s">
        <v>131</v>
      </c>
      <c r="BT1751">
        <v>0</v>
      </c>
      <c r="BU1751">
        <v>0</v>
      </c>
      <c r="BV1751" t="s">
        <v>114</v>
      </c>
      <c r="BX1751" t="s">
        <v>131</v>
      </c>
      <c r="BY1751" t="s">
        <v>16803</v>
      </c>
      <c r="CA1751" t="s">
        <v>4465</v>
      </c>
      <c r="CB1751" t="s">
        <v>211</v>
      </c>
      <c r="CC1751" s="8" t="str">
        <f>"84404"</f>
        <v>84404</v>
      </c>
      <c r="CD1751" t="s">
        <v>1481</v>
      </c>
      <c r="CE1751" t="s">
        <v>1482</v>
      </c>
      <c r="CF1751" s="12">
        <v>13.84</v>
      </c>
      <c r="CG1751" s="12">
        <v>19</v>
      </c>
      <c r="CH1751" s="12">
        <v>20.76</v>
      </c>
      <c r="CI1751" s="12">
        <v>28.5</v>
      </c>
      <c r="CJ1751" t="s">
        <v>135</v>
      </c>
      <c r="CK1751" t="s">
        <v>4469</v>
      </c>
      <c r="CL1751" t="s">
        <v>16806</v>
      </c>
      <c r="CO1751" t="s">
        <v>132</v>
      </c>
      <c r="CP1751" t="s">
        <v>136</v>
      </c>
      <c r="CQ1751" t="s">
        <v>136</v>
      </c>
      <c r="CR1751" t="s">
        <v>136</v>
      </c>
      <c r="CS1751" t="s">
        <v>136</v>
      </c>
      <c r="CT1751" t="s">
        <v>136</v>
      </c>
      <c r="CU1751" t="s">
        <v>114</v>
      </c>
      <c r="CV1751" t="s">
        <v>4471</v>
      </c>
      <c r="CW1751" s="10" t="str">
        <f>"+18016031213"</f>
        <v>+18016031213</v>
      </c>
      <c r="CX1751" t="s">
        <v>16807</v>
      </c>
      <c r="CY1751" t="s">
        <v>132</v>
      </c>
      <c r="CZ1751" t="s">
        <v>137</v>
      </c>
      <c r="DA1751" t="s">
        <v>114</v>
      </c>
      <c r="DB1751" t="s">
        <v>114</v>
      </c>
      <c r="DC1751" t="s">
        <v>136</v>
      </c>
      <c r="DD1751" t="s">
        <v>114</v>
      </c>
    </row>
    <row r="1752" spans="1:113" ht="15" customHeight="1" x14ac:dyDescent="0.25">
      <c r="A1752" t="s">
        <v>4461</v>
      </c>
      <c r="B1752" t="s">
        <v>152</v>
      </c>
      <c r="C1752" s="1">
        <v>45124.690744907406</v>
      </c>
      <c r="D1752" s="1">
        <v>45202</v>
      </c>
      <c r="E1752" t="s">
        <v>114</v>
      </c>
      <c r="F1752" t="s">
        <v>4462</v>
      </c>
      <c r="G1752" t="str">
        <f>"37-2011.00"</f>
        <v>37-2011.00</v>
      </c>
      <c r="H1752" t="s">
        <v>1089</v>
      </c>
      <c r="I1752">
        <v>15</v>
      </c>
      <c r="J1752">
        <v>15</v>
      </c>
      <c r="K1752" s="1">
        <v>45200</v>
      </c>
      <c r="L1752" s="1">
        <v>45397</v>
      </c>
      <c r="M1752" s="1">
        <v>45200</v>
      </c>
      <c r="N1752" s="1">
        <v>45397</v>
      </c>
      <c r="O1752" t="s">
        <v>238</v>
      </c>
      <c r="P1752" t="s">
        <v>4463</v>
      </c>
      <c r="R1752" t="s">
        <v>4464</v>
      </c>
      <c r="T1752" t="s">
        <v>4465</v>
      </c>
      <c r="U1752" t="s">
        <v>211</v>
      </c>
      <c r="V1752" s="8" t="str">
        <f>"84404"</f>
        <v>84404</v>
      </c>
      <c r="W1752" t="s">
        <v>118</v>
      </c>
      <c r="Y1752" s="10">
        <v>18016031213</v>
      </c>
      <c r="AA1752">
        <v>56173</v>
      </c>
      <c r="AB1752" t="s">
        <v>4466</v>
      </c>
      <c r="AC1752" t="s">
        <v>4467</v>
      </c>
      <c r="AE1752" t="s">
        <v>4468</v>
      </c>
      <c r="AF1752" t="s">
        <v>4464</v>
      </c>
      <c r="AH1752" t="s">
        <v>4465</v>
      </c>
      <c r="AI1752" t="s">
        <v>211</v>
      </c>
      <c r="AJ1752" s="8" t="str">
        <f>"84404"</f>
        <v>84404</v>
      </c>
      <c r="AK1752" t="s">
        <v>118</v>
      </c>
      <c r="AM1752" s="10">
        <v>18016031213</v>
      </c>
      <c r="AO1752" t="s">
        <v>132</v>
      </c>
      <c r="AP1752" t="s">
        <v>121</v>
      </c>
      <c r="AQ1752" t="s">
        <v>1172</v>
      </c>
      <c r="AR1752" t="s">
        <v>1173</v>
      </c>
      <c r="AS1752" t="s">
        <v>708</v>
      </c>
      <c r="AT1752" t="s">
        <v>3325</v>
      </c>
      <c r="AV1752" t="s">
        <v>603</v>
      </c>
      <c r="AW1752" t="s">
        <v>127</v>
      </c>
      <c r="AX1752" s="8" t="str">
        <f>"78705"</f>
        <v>78705</v>
      </c>
      <c r="AY1752" t="s">
        <v>118</v>
      </c>
      <c r="BA1752" s="10">
        <v>15123470007</v>
      </c>
      <c r="BC1752" t="s">
        <v>1175</v>
      </c>
      <c r="BD1752" t="s">
        <v>1176</v>
      </c>
      <c r="BE1752" t="s">
        <v>127</v>
      </c>
      <c r="BF1752" t="s">
        <v>750</v>
      </c>
      <c r="BG1752" t="s">
        <v>211</v>
      </c>
      <c r="BH1752" s="1">
        <v>45123.833333333336</v>
      </c>
      <c r="BI1752">
        <v>40</v>
      </c>
      <c r="BJ1752">
        <v>0</v>
      </c>
      <c r="BK1752">
        <v>8</v>
      </c>
      <c r="BL1752">
        <v>8</v>
      </c>
      <c r="BM1752">
        <v>8</v>
      </c>
      <c r="BN1752">
        <v>8</v>
      </c>
      <c r="BO1752">
        <v>8</v>
      </c>
      <c r="BP1752">
        <v>0</v>
      </c>
      <c r="BQ1752" t="str">
        <f>"8:00 AM"</f>
        <v>8:00 AM</v>
      </c>
      <c r="BR1752" t="str">
        <f>"4:00 PM"</f>
        <v>4:00 PM</v>
      </c>
      <c r="BS1752" t="s">
        <v>131</v>
      </c>
      <c r="BT1752">
        <v>0</v>
      </c>
      <c r="BU1752">
        <v>0</v>
      </c>
      <c r="BV1752" t="s">
        <v>114</v>
      </c>
      <c r="BX1752" t="s">
        <v>131</v>
      </c>
      <c r="BY1752" t="s">
        <v>4464</v>
      </c>
      <c r="CA1752" t="s">
        <v>4465</v>
      </c>
      <c r="CB1752" t="s">
        <v>211</v>
      </c>
      <c r="CC1752" s="8" t="str">
        <f>"84404"</f>
        <v>84404</v>
      </c>
      <c r="CD1752" t="s">
        <v>1481</v>
      </c>
      <c r="CE1752" t="s">
        <v>1482</v>
      </c>
      <c r="CF1752" s="12">
        <v>13.84</v>
      </c>
      <c r="CG1752" s="12">
        <v>19</v>
      </c>
      <c r="CH1752" s="12">
        <v>20.76</v>
      </c>
      <c r="CI1752" s="12">
        <v>28.5</v>
      </c>
      <c r="CJ1752" t="s">
        <v>135</v>
      </c>
      <c r="CK1752" t="s">
        <v>4469</v>
      </c>
      <c r="CL1752" t="s">
        <v>4470</v>
      </c>
      <c r="CO1752" t="s">
        <v>132</v>
      </c>
      <c r="CP1752" t="s">
        <v>136</v>
      </c>
      <c r="CQ1752" t="s">
        <v>136</v>
      </c>
      <c r="CR1752" t="s">
        <v>136</v>
      </c>
      <c r="CS1752" t="s">
        <v>136</v>
      </c>
      <c r="CT1752" t="s">
        <v>136</v>
      </c>
      <c r="CU1752" t="s">
        <v>114</v>
      </c>
      <c r="CV1752" t="s">
        <v>4471</v>
      </c>
      <c r="CW1752" s="10" t="str">
        <f>"+18016031213"</f>
        <v>+18016031213</v>
      </c>
      <c r="CX1752" t="s">
        <v>4472</v>
      </c>
      <c r="CY1752" t="s">
        <v>132</v>
      </c>
      <c r="CZ1752" t="s">
        <v>137</v>
      </c>
      <c r="DA1752" t="s">
        <v>114</v>
      </c>
      <c r="DB1752" t="s">
        <v>114</v>
      </c>
      <c r="DC1752" t="s">
        <v>136</v>
      </c>
      <c r="DD1752" t="s">
        <v>114</v>
      </c>
    </row>
    <row r="1753" spans="1:113" ht="15" customHeight="1" x14ac:dyDescent="0.25">
      <c r="A1753" t="s">
        <v>18453</v>
      </c>
      <c r="B1753" t="s">
        <v>152</v>
      </c>
      <c r="C1753" s="1">
        <v>45122.634678587965</v>
      </c>
      <c r="D1753" s="1">
        <v>45202</v>
      </c>
      <c r="E1753" t="s">
        <v>114</v>
      </c>
      <c r="F1753" t="s">
        <v>293</v>
      </c>
      <c r="G1753" t="str">
        <f>"37-2012.00"</f>
        <v>37-2012.00</v>
      </c>
      <c r="H1753" t="s">
        <v>205</v>
      </c>
      <c r="I1753">
        <v>30</v>
      </c>
      <c r="J1753">
        <v>30</v>
      </c>
      <c r="K1753" s="1">
        <v>45200</v>
      </c>
      <c r="L1753" s="1">
        <v>45291</v>
      </c>
      <c r="M1753" s="1">
        <v>45200</v>
      </c>
      <c r="N1753" s="1">
        <v>45291</v>
      </c>
      <c r="O1753" t="s">
        <v>116</v>
      </c>
      <c r="P1753" t="s">
        <v>8288</v>
      </c>
      <c r="R1753" t="s">
        <v>8289</v>
      </c>
      <c r="S1753" t="s">
        <v>8290</v>
      </c>
      <c r="T1753" t="s">
        <v>8291</v>
      </c>
      <c r="U1753" t="s">
        <v>1722</v>
      </c>
      <c r="V1753" s="8" t="str">
        <f>"20602"</f>
        <v>20602</v>
      </c>
      <c r="W1753" t="s">
        <v>118</v>
      </c>
      <c r="Y1753" s="10">
        <v>14043881383</v>
      </c>
      <c r="AA1753">
        <v>561720</v>
      </c>
      <c r="AB1753" t="s">
        <v>7356</v>
      </c>
      <c r="AC1753" t="s">
        <v>2899</v>
      </c>
      <c r="AE1753" t="s">
        <v>1836</v>
      </c>
      <c r="AF1753" t="s">
        <v>8289</v>
      </c>
      <c r="AG1753" t="s">
        <v>8290</v>
      </c>
      <c r="AH1753" t="s">
        <v>8291</v>
      </c>
      <c r="AI1753" t="s">
        <v>1722</v>
      </c>
      <c r="AJ1753" s="8" t="str">
        <f>"20602"</f>
        <v>20602</v>
      </c>
      <c r="AK1753" t="s">
        <v>118</v>
      </c>
      <c r="AM1753" s="10">
        <v>14043881383</v>
      </c>
      <c r="AO1753" t="s">
        <v>7357</v>
      </c>
      <c r="AX1753" s="8" t="str">
        <f>""</f>
        <v/>
      </c>
      <c r="BG1753" t="s">
        <v>550</v>
      </c>
      <c r="BH1753" s="1">
        <v>45121.833333333336</v>
      </c>
      <c r="BI1753">
        <v>40</v>
      </c>
      <c r="BJ1753">
        <v>0</v>
      </c>
      <c r="BK1753">
        <v>8</v>
      </c>
      <c r="BL1753">
        <v>8</v>
      </c>
      <c r="BM1753">
        <v>8</v>
      </c>
      <c r="BN1753">
        <v>8</v>
      </c>
      <c r="BO1753">
        <v>8</v>
      </c>
      <c r="BP1753">
        <v>0</v>
      </c>
      <c r="BQ1753" t="str">
        <f>"8:00 AM"</f>
        <v>8:00 AM</v>
      </c>
      <c r="BR1753" t="str">
        <f>"5:00 PM"</f>
        <v>5:00 PM</v>
      </c>
      <c r="BS1753" t="s">
        <v>147</v>
      </c>
      <c r="BT1753">
        <v>6</v>
      </c>
      <c r="BU1753">
        <v>3</v>
      </c>
      <c r="BV1753" t="s">
        <v>114</v>
      </c>
      <c r="BX1753" s="2" t="s">
        <v>8292</v>
      </c>
      <c r="BY1753" t="s">
        <v>8293</v>
      </c>
      <c r="BZ1753" t="s">
        <v>8294</v>
      </c>
      <c r="CA1753" t="s">
        <v>8295</v>
      </c>
      <c r="CB1753" t="s">
        <v>550</v>
      </c>
      <c r="CC1753" s="8" t="str">
        <f>"30339"</f>
        <v>30339</v>
      </c>
      <c r="CD1753" t="s">
        <v>3096</v>
      </c>
      <c r="CE1753" t="s">
        <v>552</v>
      </c>
      <c r="CF1753" s="12">
        <v>13.37</v>
      </c>
      <c r="CG1753" s="12">
        <v>15</v>
      </c>
      <c r="CH1753" s="12">
        <v>20.059999999999999</v>
      </c>
      <c r="CI1753" s="12">
        <v>22.5</v>
      </c>
      <c r="CJ1753" t="s">
        <v>135</v>
      </c>
      <c r="CL1753" t="s">
        <v>18454</v>
      </c>
      <c r="CO1753" t="s">
        <v>132</v>
      </c>
      <c r="CP1753" t="s">
        <v>136</v>
      </c>
      <c r="CQ1753" t="s">
        <v>136</v>
      </c>
      <c r="CR1753" t="s">
        <v>136</v>
      </c>
      <c r="CS1753" t="s">
        <v>114</v>
      </c>
      <c r="CT1753" t="s">
        <v>136</v>
      </c>
      <c r="CU1753" t="s">
        <v>114</v>
      </c>
      <c r="CV1753" t="s">
        <v>18455</v>
      </c>
      <c r="CW1753" s="10" t="str">
        <f>"+14043881383"</f>
        <v>+14043881383</v>
      </c>
      <c r="CX1753" t="s">
        <v>7357</v>
      </c>
      <c r="CY1753" t="s">
        <v>18456</v>
      </c>
      <c r="CZ1753" t="s">
        <v>137</v>
      </c>
      <c r="DA1753" t="s">
        <v>114</v>
      </c>
      <c r="DB1753" t="s">
        <v>114</v>
      </c>
      <c r="DC1753" t="s">
        <v>136</v>
      </c>
      <c r="DD1753" t="s">
        <v>114</v>
      </c>
    </row>
    <row r="1754" spans="1:113" ht="15" customHeight="1" x14ac:dyDescent="0.25">
      <c r="A1754" t="s">
        <v>23446</v>
      </c>
      <c r="B1754" t="s">
        <v>152</v>
      </c>
      <c r="C1754" s="1">
        <v>45121.662661226852</v>
      </c>
      <c r="D1754" s="1">
        <v>45202</v>
      </c>
      <c r="E1754" t="s">
        <v>136</v>
      </c>
      <c r="F1754" t="s">
        <v>347</v>
      </c>
      <c r="G1754" t="str">
        <f>"35-3031.00"</f>
        <v>35-3031.00</v>
      </c>
      <c r="H1754" t="s">
        <v>347</v>
      </c>
      <c r="I1754">
        <v>17</v>
      </c>
      <c r="J1754">
        <v>17</v>
      </c>
      <c r="K1754" s="1">
        <v>45211</v>
      </c>
      <c r="L1754" s="1">
        <v>45410</v>
      </c>
      <c r="M1754" s="1">
        <v>45211</v>
      </c>
      <c r="N1754" s="1">
        <v>45410</v>
      </c>
      <c r="O1754" t="s">
        <v>116</v>
      </c>
      <c r="P1754" t="s">
        <v>23447</v>
      </c>
      <c r="R1754" t="s">
        <v>23448</v>
      </c>
      <c r="T1754" t="s">
        <v>23449</v>
      </c>
      <c r="U1754" t="s">
        <v>158</v>
      </c>
      <c r="V1754" s="8" t="str">
        <f>"48207"</f>
        <v>48207</v>
      </c>
      <c r="W1754" t="s">
        <v>118</v>
      </c>
      <c r="Y1754" s="10">
        <v>12393157370</v>
      </c>
      <c r="Z1754">
        <v>210</v>
      </c>
      <c r="AA1754">
        <v>713910</v>
      </c>
      <c r="AB1754" t="s">
        <v>7468</v>
      </c>
      <c r="AC1754" t="s">
        <v>23450</v>
      </c>
      <c r="AE1754" t="s">
        <v>3876</v>
      </c>
      <c r="AF1754" t="s">
        <v>23451</v>
      </c>
      <c r="AH1754" t="s">
        <v>1614</v>
      </c>
      <c r="AI1754" t="s">
        <v>140</v>
      </c>
      <c r="AJ1754" s="8" t="str">
        <f>"34110"</f>
        <v>34110</v>
      </c>
      <c r="AK1754" t="s">
        <v>118</v>
      </c>
      <c r="AM1754" s="10">
        <v>12393157370</v>
      </c>
      <c r="AN1754">
        <v>210</v>
      </c>
      <c r="AO1754" t="s">
        <v>23452</v>
      </c>
      <c r="AX1754" s="8" t="str">
        <f>""</f>
        <v/>
      </c>
      <c r="BG1754" t="s">
        <v>140</v>
      </c>
      <c r="BH1754" s="1">
        <v>45120.833333333336</v>
      </c>
      <c r="BI1754">
        <v>35</v>
      </c>
      <c r="BJ1754">
        <v>7</v>
      </c>
      <c r="BK1754">
        <v>7</v>
      </c>
      <c r="BL1754">
        <v>7</v>
      </c>
      <c r="BM1754">
        <v>7</v>
      </c>
      <c r="BN1754">
        <v>7</v>
      </c>
      <c r="BO1754">
        <v>0</v>
      </c>
      <c r="BP1754">
        <v>0</v>
      </c>
      <c r="BQ1754" t="str">
        <f>"7:00 AM"</f>
        <v>7:00 AM</v>
      </c>
      <c r="BR1754" t="str">
        <f>"4:00 PM"</f>
        <v>4:00 PM</v>
      </c>
      <c r="BS1754" t="s">
        <v>131</v>
      </c>
      <c r="BT1754">
        <v>0</v>
      </c>
      <c r="BU1754">
        <v>12</v>
      </c>
      <c r="BV1754" t="s">
        <v>114</v>
      </c>
      <c r="BX1754" s="2" t="s">
        <v>23453</v>
      </c>
      <c r="BY1754" t="s">
        <v>23454</v>
      </c>
      <c r="BZ1754" t="s">
        <v>23455</v>
      </c>
      <c r="CA1754" t="s">
        <v>1614</v>
      </c>
      <c r="CB1754" t="s">
        <v>140</v>
      </c>
      <c r="CC1754" s="8" t="str">
        <f>"34110"</f>
        <v>34110</v>
      </c>
      <c r="CD1754" t="s">
        <v>1619</v>
      </c>
      <c r="CE1754" t="s">
        <v>1620</v>
      </c>
      <c r="CF1754" s="12">
        <v>15.02</v>
      </c>
      <c r="CG1754" s="12">
        <v>15.02</v>
      </c>
      <c r="CH1754" s="12">
        <v>22.53</v>
      </c>
      <c r="CI1754" s="12">
        <v>22.53</v>
      </c>
      <c r="CJ1754" t="s">
        <v>135</v>
      </c>
      <c r="CK1754" t="s">
        <v>23456</v>
      </c>
      <c r="CL1754" t="s">
        <v>23457</v>
      </c>
      <c r="CO1754" t="s">
        <v>132</v>
      </c>
      <c r="CP1754" t="s">
        <v>136</v>
      </c>
      <c r="CQ1754" t="s">
        <v>136</v>
      </c>
      <c r="CR1754" t="s">
        <v>136</v>
      </c>
      <c r="CS1754" t="s">
        <v>114</v>
      </c>
      <c r="CT1754" t="s">
        <v>136</v>
      </c>
      <c r="CU1754" t="s">
        <v>136</v>
      </c>
      <c r="CV1754" t="s">
        <v>23458</v>
      </c>
      <c r="CW1754" s="10" t="str">
        <f>"+12393157370"</f>
        <v>+12393157370</v>
      </c>
      <c r="CX1754" t="s">
        <v>23459</v>
      </c>
      <c r="CY1754" t="s">
        <v>23460</v>
      </c>
      <c r="CZ1754" t="s">
        <v>137</v>
      </c>
      <c r="DA1754" t="s">
        <v>114</v>
      </c>
      <c r="DB1754" t="s">
        <v>114</v>
      </c>
      <c r="DC1754" t="s">
        <v>136</v>
      </c>
      <c r="DD1754" t="s">
        <v>114</v>
      </c>
      <c r="DE1754" t="s">
        <v>7468</v>
      </c>
      <c r="DF1754" t="s">
        <v>23450</v>
      </c>
      <c r="DH1754" t="s">
        <v>23461</v>
      </c>
      <c r="DI1754" t="s">
        <v>23462</v>
      </c>
    </row>
    <row r="1755" spans="1:113" ht="15" customHeight="1" x14ac:dyDescent="0.25">
      <c r="A1755" t="s">
        <v>16921</v>
      </c>
      <c r="B1755" t="s">
        <v>152</v>
      </c>
      <c r="C1755" s="1">
        <v>45118.742598379627</v>
      </c>
      <c r="D1755" s="1">
        <v>45202</v>
      </c>
      <c r="E1755" t="s">
        <v>114</v>
      </c>
      <c r="F1755" t="s">
        <v>16922</v>
      </c>
      <c r="G1755" t="str">
        <f>"49-9099.00"</f>
        <v>49-9099.00</v>
      </c>
      <c r="H1755" t="s">
        <v>3863</v>
      </c>
      <c r="I1755">
        <v>165</v>
      </c>
      <c r="J1755">
        <v>165</v>
      </c>
      <c r="K1755" s="1">
        <v>45200</v>
      </c>
      <c r="L1755" s="1">
        <v>45323</v>
      </c>
      <c r="M1755" s="1">
        <v>45200</v>
      </c>
      <c r="N1755" s="1">
        <v>45323</v>
      </c>
      <c r="O1755" t="s">
        <v>238</v>
      </c>
      <c r="P1755" t="s">
        <v>16923</v>
      </c>
      <c r="R1755" t="s">
        <v>16924</v>
      </c>
      <c r="T1755" t="s">
        <v>16925</v>
      </c>
      <c r="U1755" t="s">
        <v>211</v>
      </c>
      <c r="V1755" s="8" t="str">
        <f>"84604"</f>
        <v>84604</v>
      </c>
      <c r="W1755" t="s">
        <v>118</v>
      </c>
      <c r="Y1755" s="10">
        <v>18016805552</v>
      </c>
      <c r="AA1755">
        <v>23821</v>
      </c>
      <c r="AB1755" t="s">
        <v>4289</v>
      </c>
      <c r="AC1755" t="s">
        <v>4290</v>
      </c>
      <c r="AE1755" t="s">
        <v>4291</v>
      </c>
      <c r="AF1755" t="s">
        <v>16924</v>
      </c>
      <c r="AH1755" t="s">
        <v>16925</v>
      </c>
      <c r="AI1755" t="s">
        <v>211</v>
      </c>
      <c r="AJ1755" s="8" t="str">
        <f>"84604"</f>
        <v>84604</v>
      </c>
      <c r="AK1755" t="s">
        <v>118</v>
      </c>
      <c r="AM1755" s="10">
        <v>18016805552</v>
      </c>
      <c r="AO1755" t="s">
        <v>4292</v>
      </c>
      <c r="AP1755" t="s">
        <v>121</v>
      </c>
      <c r="AQ1755" t="s">
        <v>4293</v>
      </c>
      <c r="AR1755" t="s">
        <v>4294</v>
      </c>
      <c r="AS1755" t="s">
        <v>3625</v>
      </c>
      <c r="AT1755" t="s">
        <v>4295</v>
      </c>
      <c r="AV1755" t="s">
        <v>320</v>
      </c>
      <c r="AW1755" t="s">
        <v>127</v>
      </c>
      <c r="AX1755" s="8" t="str">
        <f>"78705"</f>
        <v>78705</v>
      </c>
      <c r="AY1755" t="s">
        <v>118</v>
      </c>
      <c r="BA1755" s="10">
        <v>15123470007</v>
      </c>
      <c r="BC1755" t="s">
        <v>4296</v>
      </c>
      <c r="BD1755" t="s">
        <v>4297</v>
      </c>
      <c r="BE1755" t="s">
        <v>127</v>
      </c>
      <c r="BF1755" t="s">
        <v>4298</v>
      </c>
      <c r="BG1755" t="s">
        <v>211</v>
      </c>
      <c r="BH1755" s="1">
        <v>45117.833333333336</v>
      </c>
      <c r="BI1755">
        <v>40</v>
      </c>
      <c r="BJ1755">
        <v>0</v>
      </c>
      <c r="BK1755">
        <v>8</v>
      </c>
      <c r="BL1755">
        <v>8</v>
      </c>
      <c r="BM1755">
        <v>8</v>
      </c>
      <c r="BN1755">
        <v>8</v>
      </c>
      <c r="BO1755">
        <v>8</v>
      </c>
      <c r="BP1755">
        <v>0</v>
      </c>
      <c r="BQ1755" t="str">
        <f>"8:00 AM"</f>
        <v>8:00 AM</v>
      </c>
      <c r="BR1755" t="str">
        <f>"5:00 PM"</f>
        <v>5:00 PM</v>
      </c>
      <c r="BS1755" t="s">
        <v>131</v>
      </c>
      <c r="BT1755">
        <v>0</v>
      </c>
      <c r="BU1755">
        <v>0</v>
      </c>
      <c r="BV1755" t="s">
        <v>114</v>
      </c>
      <c r="BX1755" t="s">
        <v>4299</v>
      </c>
      <c r="BY1755" t="s">
        <v>16924</v>
      </c>
      <c r="CA1755" t="s">
        <v>16925</v>
      </c>
      <c r="CB1755" t="s">
        <v>211</v>
      </c>
      <c r="CC1755" s="8" t="str">
        <f>"84604"</f>
        <v>84604</v>
      </c>
      <c r="CD1755" t="s">
        <v>2468</v>
      </c>
      <c r="CE1755" t="s">
        <v>2469</v>
      </c>
      <c r="CF1755" s="12">
        <v>20.09</v>
      </c>
      <c r="CH1755" s="12">
        <v>30.14</v>
      </c>
      <c r="CJ1755" t="s">
        <v>135</v>
      </c>
      <c r="CL1755" t="s">
        <v>16926</v>
      </c>
      <c r="CO1755" t="s">
        <v>132</v>
      </c>
      <c r="CP1755" t="s">
        <v>114</v>
      </c>
      <c r="CQ1755" t="s">
        <v>136</v>
      </c>
      <c r="CR1755" t="s">
        <v>136</v>
      </c>
      <c r="CS1755" t="s">
        <v>136</v>
      </c>
      <c r="CT1755" t="s">
        <v>136</v>
      </c>
      <c r="CU1755" t="s">
        <v>136</v>
      </c>
      <c r="CV1755" s="2" t="s">
        <v>16927</v>
      </c>
      <c r="CW1755" s="10" t="str">
        <f>"+18015269633"</f>
        <v>+18015269633</v>
      </c>
      <c r="CX1755" t="s">
        <v>4292</v>
      </c>
      <c r="CY1755" t="s">
        <v>132</v>
      </c>
      <c r="CZ1755" t="s">
        <v>137</v>
      </c>
      <c r="DA1755" t="s">
        <v>114</v>
      </c>
      <c r="DB1755" t="s">
        <v>114</v>
      </c>
      <c r="DC1755" t="s">
        <v>136</v>
      </c>
      <c r="DD1755" t="s">
        <v>114</v>
      </c>
    </row>
    <row r="1756" spans="1:113" ht="15" customHeight="1" x14ac:dyDescent="0.25">
      <c r="A1756" t="s">
        <v>21538</v>
      </c>
      <c r="B1756" t="s">
        <v>152</v>
      </c>
      <c r="C1756" s="1">
        <v>45112.424695833331</v>
      </c>
      <c r="D1756" s="1">
        <v>45202</v>
      </c>
      <c r="E1756" t="s">
        <v>114</v>
      </c>
      <c r="F1756" t="s">
        <v>1247</v>
      </c>
      <c r="G1756" t="str">
        <f>"45-4011.00"</f>
        <v>45-4011.00</v>
      </c>
      <c r="H1756" t="s">
        <v>842</v>
      </c>
      <c r="I1756">
        <v>25</v>
      </c>
      <c r="J1756">
        <v>25</v>
      </c>
      <c r="K1756" s="1">
        <v>45200</v>
      </c>
      <c r="L1756" s="1">
        <v>45473</v>
      </c>
      <c r="M1756" s="1">
        <v>45200</v>
      </c>
      <c r="N1756" s="1">
        <v>45473</v>
      </c>
      <c r="O1756" t="s">
        <v>116</v>
      </c>
      <c r="P1756" t="s">
        <v>21539</v>
      </c>
      <c r="R1756" t="s">
        <v>21540</v>
      </c>
      <c r="T1756" t="s">
        <v>21541</v>
      </c>
      <c r="U1756" t="s">
        <v>140</v>
      </c>
      <c r="V1756" s="8" t="str">
        <f>"33478"</f>
        <v>33478</v>
      </c>
      <c r="W1756" t="s">
        <v>118</v>
      </c>
      <c r="Y1756" s="10">
        <v>15617447662</v>
      </c>
      <c r="AA1756">
        <v>541620</v>
      </c>
      <c r="AB1756" t="s">
        <v>21542</v>
      </c>
      <c r="AC1756" t="s">
        <v>1170</v>
      </c>
      <c r="AE1756" t="s">
        <v>21543</v>
      </c>
      <c r="AF1756" t="s">
        <v>21540</v>
      </c>
      <c r="AH1756" t="s">
        <v>21541</v>
      </c>
      <c r="AI1756" t="s">
        <v>140</v>
      </c>
      <c r="AJ1756" s="8" t="str">
        <f>"33478"</f>
        <v>33478</v>
      </c>
      <c r="AK1756" t="s">
        <v>118</v>
      </c>
      <c r="AM1756" s="10">
        <v>15617447662</v>
      </c>
      <c r="AO1756" t="s">
        <v>21544</v>
      </c>
      <c r="AP1756" t="s">
        <v>121</v>
      </c>
      <c r="AQ1756" t="s">
        <v>6808</v>
      </c>
      <c r="AR1756" t="s">
        <v>1212</v>
      </c>
      <c r="AS1756" t="s">
        <v>1738</v>
      </c>
      <c r="AT1756" t="s">
        <v>6809</v>
      </c>
      <c r="AU1756" t="s">
        <v>3487</v>
      </c>
      <c r="AV1756" t="s">
        <v>6667</v>
      </c>
      <c r="AW1756" t="s">
        <v>140</v>
      </c>
      <c r="AX1756" s="8" t="str">
        <f>"33410"</f>
        <v>33410</v>
      </c>
      <c r="AY1756" t="s">
        <v>118</v>
      </c>
      <c r="BA1756" s="10">
        <v>15614785353</v>
      </c>
      <c r="BB1756">
        <v>0</v>
      </c>
      <c r="BC1756" t="s">
        <v>6810</v>
      </c>
      <c r="BD1756" t="s">
        <v>6811</v>
      </c>
      <c r="BE1756" t="s">
        <v>140</v>
      </c>
      <c r="BF1756" t="s">
        <v>146</v>
      </c>
      <c r="BG1756" t="s">
        <v>140</v>
      </c>
      <c r="BH1756" s="1">
        <v>45103.833333333336</v>
      </c>
      <c r="BI1756">
        <v>40</v>
      </c>
      <c r="BJ1756">
        <v>0</v>
      </c>
      <c r="BK1756">
        <v>8</v>
      </c>
      <c r="BL1756">
        <v>8</v>
      </c>
      <c r="BM1756">
        <v>8</v>
      </c>
      <c r="BN1756">
        <v>8</v>
      </c>
      <c r="BO1756">
        <v>8</v>
      </c>
      <c r="BP1756">
        <v>0</v>
      </c>
      <c r="BQ1756" t="str">
        <f>"7:00 AM"</f>
        <v>7:00 AM</v>
      </c>
      <c r="BR1756" t="str">
        <f>"3:30 PM"</f>
        <v>3:30 PM</v>
      </c>
      <c r="BS1756" t="s">
        <v>131</v>
      </c>
      <c r="BT1756">
        <v>0</v>
      </c>
      <c r="BU1756">
        <v>0</v>
      </c>
      <c r="BV1756" t="s">
        <v>114</v>
      </c>
      <c r="BX1756" t="s">
        <v>131</v>
      </c>
      <c r="BY1756" t="s">
        <v>21540</v>
      </c>
      <c r="CA1756" t="s">
        <v>21541</v>
      </c>
      <c r="CB1756" t="s">
        <v>140</v>
      </c>
      <c r="CC1756" s="8" t="str">
        <f>"33478"</f>
        <v>33478</v>
      </c>
      <c r="CD1756" t="s">
        <v>767</v>
      </c>
      <c r="CE1756" t="s">
        <v>149</v>
      </c>
      <c r="CF1756" s="12">
        <v>19.54</v>
      </c>
      <c r="CG1756" s="12">
        <v>19.54</v>
      </c>
      <c r="CH1756" s="12">
        <v>29.31</v>
      </c>
      <c r="CI1756" s="12">
        <v>29.31</v>
      </c>
      <c r="CJ1756" t="s">
        <v>135</v>
      </c>
      <c r="CK1756" t="s">
        <v>132</v>
      </c>
      <c r="CL1756" t="s">
        <v>21545</v>
      </c>
      <c r="CO1756" t="s">
        <v>132</v>
      </c>
      <c r="CP1756" t="s">
        <v>136</v>
      </c>
      <c r="CQ1756" t="s">
        <v>136</v>
      </c>
      <c r="CR1756" t="s">
        <v>114</v>
      </c>
      <c r="CS1756" t="s">
        <v>136</v>
      </c>
      <c r="CT1756" t="s">
        <v>136</v>
      </c>
      <c r="CU1756" t="s">
        <v>114</v>
      </c>
      <c r="CV1756" t="s">
        <v>131</v>
      </c>
      <c r="CW1756" s="10" t="str">
        <f>"+15619727256"</f>
        <v>+15619727256</v>
      </c>
      <c r="CX1756" t="s">
        <v>21544</v>
      </c>
      <c r="CY1756" t="s">
        <v>132</v>
      </c>
      <c r="CZ1756" t="s">
        <v>137</v>
      </c>
      <c r="DA1756" t="s">
        <v>114</v>
      </c>
      <c r="DB1756" t="s">
        <v>136</v>
      </c>
      <c r="DC1756" t="s">
        <v>136</v>
      </c>
      <c r="DD1756" t="s">
        <v>114</v>
      </c>
    </row>
    <row r="1757" spans="1:113" ht="15" customHeight="1" x14ac:dyDescent="0.25">
      <c r="A1757" t="s">
        <v>21868</v>
      </c>
      <c r="B1757" t="s">
        <v>152</v>
      </c>
      <c r="C1757" s="1">
        <v>45110.73846226852</v>
      </c>
      <c r="D1757" s="1">
        <v>45202</v>
      </c>
      <c r="E1757" t="s">
        <v>114</v>
      </c>
      <c r="F1757" t="s">
        <v>21869</v>
      </c>
      <c r="G1757" t="str">
        <f>"51-6011.00"</f>
        <v>51-6011.00</v>
      </c>
      <c r="H1757" t="s">
        <v>2015</v>
      </c>
      <c r="I1757">
        <v>1</v>
      </c>
      <c r="J1757">
        <v>1</v>
      </c>
      <c r="K1757" s="1">
        <v>45200</v>
      </c>
      <c r="L1757" s="1">
        <v>46296</v>
      </c>
      <c r="M1757" s="1">
        <v>45200</v>
      </c>
      <c r="N1757" s="1">
        <v>46296</v>
      </c>
      <c r="O1757" t="s">
        <v>184</v>
      </c>
      <c r="P1757" t="s">
        <v>21870</v>
      </c>
      <c r="R1757" t="s">
        <v>21871</v>
      </c>
      <c r="T1757" t="s">
        <v>9814</v>
      </c>
      <c r="U1757" t="s">
        <v>211</v>
      </c>
      <c r="V1757" s="8" t="str">
        <f>"84037"</f>
        <v>84037</v>
      </c>
      <c r="W1757" t="s">
        <v>118</v>
      </c>
      <c r="Y1757" s="10">
        <v>18016681565</v>
      </c>
      <c r="AA1757">
        <v>81411</v>
      </c>
      <c r="AB1757" t="s">
        <v>8236</v>
      </c>
      <c r="AC1757" t="s">
        <v>5623</v>
      </c>
      <c r="AD1757" t="s">
        <v>160</v>
      </c>
      <c r="AE1757" t="s">
        <v>21872</v>
      </c>
      <c r="AF1757" t="s">
        <v>21871</v>
      </c>
      <c r="AH1757" t="s">
        <v>9814</v>
      </c>
      <c r="AI1757" t="s">
        <v>211</v>
      </c>
      <c r="AJ1757" s="8" t="str">
        <f>"84037"</f>
        <v>84037</v>
      </c>
      <c r="AK1757" t="s">
        <v>118</v>
      </c>
      <c r="AM1757" s="10">
        <v>18016681565</v>
      </c>
      <c r="AO1757" t="s">
        <v>21873</v>
      </c>
      <c r="AP1757" t="s">
        <v>248</v>
      </c>
      <c r="AQ1757" t="s">
        <v>3290</v>
      </c>
      <c r="AR1757" t="s">
        <v>2001</v>
      </c>
      <c r="AT1757" t="s">
        <v>3291</v>
      </c>
      <c r="AV1757" t="s">
        <v>3292</v>
      </c>
      <c r="AW1757" t="s">
        <v>402</v>
      </c>
      <c r="AX1757" s="8" t="str">
        <f>"93446"</f>
        <v>93446</v>
      </c>
      <c r="AY1757" t="s">
        <v>118</v>
      </c>
      <c r="AZ1757" t="s">
        <v>3293</v>
      </c>
      <c r="BA1757" s="10">
        <v>13217042589</v>
      </c>
      <c r="BC1757" t="s">
        <v>3294</v>
      </c>
      <c r="BD1757" t="s">
        <v>3295</v>
      </c>
      <c r="BG1757" t="s">
        <v>211</v>
      </c>
      <c r="BH1757" s="1">
        <v>45102.833333333336</v>
      </c>
      <c r="BI1757">
        <v>60</v>
      </c>
      <c r="BJ1757">
        <v>7.5</v>
      </c>
      <c r="BK1757">
        <v>9</v>
      </c>
      <c r="BL1757">
        <v>9</v>
      </c>
      <c r="BM1757">
        <v>9</v>
      </c>
      <c r="BN1757">
        <v>9</v>
      </c>
      <c r="BO1757">
        <v>9</v>
      </c>
      <c r="BP1757">
        <v>7.5</v>
      </c>
      <c r="BQ1757" t="str">
        <f>"1:00 AM"</f>
        <v>1:00 AM</v>
      </c>
      <c r="BR1757" t="str">
        <f>"1:00 PM"</f>
        <v>1:00 PM</v>
      </c>
      <c r="BS1757" t="s">
        <v>131</v>
      </c>
      <c r="BT1757">
        <v>0</v>
      </c>
      <c r="BU1757">
        <v>12</v>
      </c>
      <c r="BV1757" t="s">
        <v>114</v>
      </c>
      <c r="BX1757" s="2" t="s">
        <v>21874</v>
      </c>
      <c r="BY1757" t="s">
        <v>21871</v>
      </c>
      <c r="CA1757" t="s">
        <v>9814</v>
      </c>
      <c r="CB1757" t="s">
        <v>211</v>
      </c>
      <c r="CC1757" s="8" t="str">
        <f>"84037"</f>
        <v>84037</v>
      </c>
      <c r="CD1757" t="s">
        <v>4300</v>
      </c>
      <c r="CE1757" t="s">
        <v>1482</v>
      </c>
      <c r="CF1757" s="12">
        <v>13.69</v>
      </c>
      <c r="CG1757" s="12">
        <v>13.69</v>
      </c>
      <c r="CH1757" s="12">
        <v>13.69</v>
      </c>
      <c r="CI1757" s="12">
        <v>13.69</v>
      </c>
      <c r="CJ1757" t="s">
        <v>135</v>
      </c>
      <c r="CK1757" t="s">
        <v>21875</v>
      </c>
      <c r="CL1757" t="s">
        <v>21876</v>
      </c>
      <c r="CO1757" t="s">
        <v>132</v>
      </c>
      <c r="CP1757" t="s">
        <v>114</v>
      </c>
      <c r="CQ1757" t="s">
        <v>114</v>
      </c>
      <c r="CR1757" t="s">
        <v>136</v>
      </c>
      <c r="CS1757" t="s">
        <v>114</v>
      </c>
      <c r="CT1757" t="s">
        <v>136</v>
      </c>
      <c r="CU1757" t="s">
        <v>136</v>
      </c>
      <c r="CV1757" t="s">
        <v>21877</v>
      </c>
      <c r="CW1757" s="10" t="str">
        <f>"+18016681565"</f>
        <v>+18016681565</v>
      </c>
      <c r="CX1757" t="s">
        <v>21878</v>
      </c>
      <c r="CY1757" t="s">
        <v>132</v>
      </c>
      <c r="CZ1757" t="s">
        <v>137</v>
      </c>
      <c r="DA1757" t="s">
        <v>114</v>
      </c>
      <c r="DB1757" t="s">
        <v>114</v>
      </c>
      <c r="DC1757" t="s">
        <v>136</v>
      </c>
      <c r="DD1757" t="s">
        <v>114</v>
      </c>
    </row>
    <row r="1758" spans="1:113" ht="15" customHeight="1" x14ac:dyDescent="0.25">
      <c r="A1758" t="s">
        <v>18094</v>
      </c>
      <c r="B1758" t="s">
        <v>152</v>
      </c>
      <c r="C1758" s="1">
        <v>45110.572523148148</v>
      </c>
      <c r="D1758" s="1">
        <v>45202</v>
      </c>
      <c r="E1758" t="s">
        <v>114</v>
      </c>
      <c r="F1758" t="s">
        <v>18095</v>
      </c>
      <c r="G1758" t="str">
        <f>"53-7064.00"</f>
        <v>53-7064.00</v>
      </c>
      <c r="H1758" t="s">
        <v>3138</v>
      </c>
      <c r="I1758">
        <v>15</v>
      </c>
      <c r="J1758">
        <v>15</v>
      </c>
      <c r="K1758" s="1">
        <v>45200</v>
      </c>
      <c r="L1758" s="1">
        <v>45412</v>
      </c>
      <c r="M1758" s="1">
        <v>45200</v>
      </c>
      <c r="N1758" s="1">
        <v>45412</v>
      </c>
      <c r="O1758" t="s">
        <v>116</v>
      </c>
      <c r="P1758" t="s">
        <v>18096</v>
      </c>
      <c r="R1758" t="s">
        <v>18097</v>
      </c>
      <c r="T1758" t="s">
        <v>8236</v>
      </c>
      <c r="U1758" t="s">
        <v>158</v>
      </c>
      <c r="V1758" s="8" t="str">
        <f>"49424"</f>
        <v>49424</v>
      </c>
      <c r="W1758" t="s">
        <v>118</v>
      </c>
      <c r="Y1758" s="10">
        <v>16167860900</v>
      </c>
      <c r="AA1758">
        <v>311412</v>
      </c>
      <c r="AB1758" t="s">
        <v>18098</v>
      </c>
      <c r="AC1758" t="s">
        <v>1783</v>
      </c>
      <c r="AE1758" t="s">
        <v>18099</v>
      </c>
      <c r="AF1758" t="s">
        <v>18097</v>
      </c>
      <c r="AH1758" t="s">
        <v>8236</v>
      </c>
      <c r="AI1758" t="s">
        <v>158</v>
      </c>
      <c r="AJ1758" s="8" t="str">
        <f>"49424"</f>
        <v>49424</v>
      </c>
      <c r="AK1758" t="s">
        <v>118</v>
      </c>
      <c r="AM1758" s="10">
        <v>16168206369</v>
      </c>
      <c r="AO1758" t="s">
        <v>18100</v>
      </c>
      <c r="AP1758" t="s">
        <v>121</v>
      </c>
      <c r="AQ1758" t="s">
        <v>5699</v>
      </c>
      <c r="AR1758" t="s">
        <v>2237</v>
      </c>
      <c r="AS1758" t="s">
        <v>425</v>
      </c>
      <c r="AT1758" t="s">
        <v>5700</v>
      </c>
      <c r="AV1758" t="s">
        <v>5701</v>
      </c>
      <c r="AW1758" t="s">
        <v>158</v>
      </c>
      <c r="AX1758" s="8" t="str">
        <f>"49503"</f>
        <v>49503</v>
      </c>
      <c r="AY1758" t="s">
        <v>118</v>
      </c>
      <c r="BA1758" s="10">
        <v>16167522353</v>
      </c>
      <c r="BC1758" t="s">
        <v>5702</v>
      </c>
      <c r="BD1758" t="s">
        <v>18101</v>
      </c>
      <c r="BE1758" t="s">
        <v>158</v>
      </c>
      <c r="BF1758" t="s">
        <v>172</v>
      </c>
      <c r="BG1758" t="s">
        <v>158</v>
      </c>
      <c r="BH1758" s="1">
        <v>45109.833333333336</v>
      </c>
      <c r="BI1758">
        <v>35</v>
      </c>
      <c r="BJ1758">
        <v>0</v>
      </c>
      <c r="BK1758">
        <v>7</v>
      </c>
      <c r="BL1758">
        <v>7</v>
      </c>
      <c r="BM1758">
        <v>7</v>
      </c>
      <c r="BN1758">
        <v>7</v>
      </c>
      <c r="BO1758">
        <v>7</v>
      </c>
      <c r="BP1758">
        <v>0</v>
      </c>
      <c r="BQ1758" t="str">
        <f>"7:00 AM"</f>
        <v>7:00 AM</v>
      </c>
      <c r="BR1758" t="str">
        <f>"3:30 PM"</f>
        <v>3:30 PM</v>
      </c>
      <c r="BS1758" t="s">
        <v>131</v>
      </c>
      <c r="BT1758">
        <v>0</v>
      </c>
      <c r="BU1758">
        <v>0</v>
      </c>
      <c r="BV1758" t="s">
        <v>114</v>
      </c>
      <c r="BX1758" s="2" t="s">
        <v>18102</v>
      </c>
      <c r="BY1758" t="s">
        <v>18097</v>
      </c>
      <c r="CA1758" t="s">
        <v>8236</v>
      </c>
      <c r="CB1758" t="s">
        <v>158</v>
      </c>
      <c r="CC1758" s="8" t="str">
        <f>"49424"</f>
        <v>49424</v>
      </c>
      <c r="CD1758" t="s">
        <v>5176</v>
      </c>
      <c r="CE1758" t="s">
        <v>6034</v>
      </c>
      <c r="CF1758" s="12">
        <v>15.5</v>
      </c>
      <c r="CH1758" s="12">
        <v>23.25</v>
      </c>
      <c r="CJ1758" t="s">
        <v>135</v>
      </c>
      <c r="CK1758" t="s">
        <v>18103</v>
      </c>
      <c r="CL1758" t="s">
        <v>18104</v>
      </c>
      <c r="CO1758" t="s">
        <v>132</v>
      </c>
      <c r="CP1758" t="s">
        <v>114</v>
      </c>
      <c r="CQ1758" t="s">
        <v>136</v>
      </c>
      <c r="CR1758" t="s">
        <v>136</v>
      </c>
      <c r="CS1758" t="s">
        <v>136</v>
      </c>
      <c r="CT1758" t="s">
        <v>136</v>
      </c>
      <c r="CU1758" t="s">
        <v>136</v>
      </c>
      <c r="CV1758" t="s">
        <v>18105</v>
      </c>
      <c r="CW1758" s="10" t="str">
        <f>"+16167860900"</f>
        <v>+16167860900</v>
      </c>
      <c r="CX1758" t="s">
        <v>132</v>
      </c>
      <c r="CY1758" t="s">
        <v>18106</v>
      </c>
      <c r="CZ1758" t="s">
        <v>137</v>
      </c>
      <c r="DA1758" t="s">
        <v>114</v>
      </c>
      <c r="DB1758" t="s">
        <v>136</v>
      </c>
      <c r="DC1758" t="s">
        <v>136</v>
      </c>
      <c r="DD1758" t="s">
        <v>114</v>
      </c>
    </row>
    <row r="1759" spans="1:113" ht="15" customHeight="1" x14ac:dyDescent="0.25">
      <c r="A1759" t="s">
        <v>19481</v>
      </c>
      <c r="B1759" t="s">
        <v>152</v>
      </c>
      <c r="C1759" s="1">
        <v>45110.473072222223</v>
      </c>
      <c r="D1759" s="1">
        <v>45202</v>
      </c>
      <c r="E1759" t="s">
        <v>114</v>
      </c>
      <c r="F1759" t="s">
        <v>5977</v>
      </c>
      <c r="G1759" t="str">
        <f>"39-9011.01"</f>
        <v>39-9011.01</v>
      </c>
      <c r="H1759" t="s">
        <v>183</v>
      </c>
      <c r="I1759">
        <v>1</v>
      </c>
      <c r="J1759">
        <v>1</v>
      </c>
      <c r="K1759" s="1">
        <v>45200</v>
      </c>
      <c r="L1759" s="1">
        <v>46295</v>
      </c>
      <c r="M1759" s="1">
        <v>45200</v>
      </c>
      <c r="N1759" s="1">
        <v>46295</v>
      </c>
      <c r="O1759" t="s">
        <v>184</v>
      </c>
      <c r="P1759" t="s">
        <v>19482</v>
      </c>
      <c r="R1759" t="s">
        <v>19483</v>
      </c>
      <c r="T1759" t="s">
        <v>13633</v>
      </c>
      <c r="U1759" t="s">
        <v>402</v>
      </c>
      <c r="V1759" s="8" t="str">
        <f>"94619"</f>
        <v>94619</v>
      </c>
      <c r="W1759" t="s">
        <v>118</v>
      </c>
      <c r="Y1759" s="10">
        <v>15106036508</v>
      </c>
      <c r="AA1759">
        <v>814110</v>
      </c>
      <c r="AB1759" t="s">
        <v>19484</v>
      </c>
      <c r="AC1759" t="s">
        <v>2404</v>
      </c>
      <c r="AE1759" t="s">
        <v>5983</v>
      </c>
      <c r="AF1759" t="s">
        <v>19483</v>
      </c>
      <c r="AH1759" t="s">
        <v>13633</v>
      </c>
      <c r="AI1759" t="s">
        <v>402</v>
      </c>
      <c r="AJ1759" s="8" t="str">
        <f>"94619"</f>
        <v>94619</v>
      </c>
      <c r="AK1759" t="s">
        <v>118</v>
      </c>
      <c r="AM1759" s="10">
        <v>15106036508</v>
      </c>
      <c r="AO1759" t="s">
        <v>19485</v>
      </c>
      <c r="AP1759" t="s">
        <v>121</v>
      </c>
      <c r="AQ1759" t="s">
        <v>217</v>
      </c>
      <c r="AR1759" t="s">
        <v>5985</v>
      </c>
      <c r="AS1759" t="s">
        <v>5986</v>
      </c>
      <c r="AT1759" t="s">
        <v>5987</v>
      </c>
      <c r="AU1759" t="s">
        <v>5988</v>
      </c>
      <c r="AV1759" t="s">
        <v>518</v>
      </c>
      <c r="AW1759" t="s">
        <v>402</v>
      </c>
      <c r="AX1759" s="8" t="str">
        <f>"90034"</f>
        <v>90034</v>
      </c>
      <c r="AY1759" t="s">
        <v>118</v>
      </c>
      <c r="BA1759" s="10">
        <v>12133754084</v>
      </c>
      <c r="BC1759" t="s">
        <v>5989</v>
      </c>
      <c r="BD1759" t="s">
        <v>5990</v>
      </c>
      <c r="BE1759" t="s">
        <v>402</v>
      </c>
      <c r="BF1759" t="s">
        <v>4644</v>
      </c>
      <c r="BG1759" t="s">
        <v>402</v>
      </c>
      <c r="BH1759" s="1">
        <v>45084.833333333336</v>
      </c>
      <c r="BI1759">
        <v>40</v>
      </c>
      <c r="BJ1759">
        <v>0</v>
      </c>
      <c r="BK1759">
        <v>8</v>
      </c>
      <c r="BL1759">
        <v>8</v>
      </c>
      <c r="BM1759">
        <v>8</v>
      </c>
      <c r="BN1759">
        <v>8</v>
      </c>
      <c r="BO1759">
        <v>8</v>
      </c>
      <c r="BP1759">
        <v>0</v>
      </c>
      <c r="BQ1759" t="str">
        <f>"9:00 AM"</f>
        <v>9:00 AM</v>
      </c>
      <c r="BR1759" t="str">
        <f>"5:00 PM"</f>
        <v>5:00 PM</v>
      </c>
      <c r="BS1759" t="s">
        <v>131</v>
      </c>
      <c r="BT1759">
        <v>0</v>
      </c>
      <c r="BU1759">
        <v>12</v>
      </c>
      <c r="BV1759" t="s">
        <v>114</v>
      </c>
      <c r="BX1759" t="s">
        <v>1570</v>
      </c>
      <c r="BY1759" t="s">
        <v>19486</v>
      </c>
      <c r="CA1759" t="s">
        <v>13633</v>
      </c>
      <c r="CB1759" t="s">
        <v>402</v>
      </c>
      <c r="CC1759" s="8" t="str">
        <f>"94619"</f>
        <v>94619</v>
      </c>
      <c r="CD1759" t="s">
        <v>3633</v>
      </c>
      <c r="CE1759" t="s">
        <v>2737</v>
      </c>
      <c r="CF1759" s="12">
        <v>18.809999999999999</v>
      </c>
      <c r="CH1759" s="12">
        <v>28.22</v>
      </c>
      <c r="CJ1759" t="s">
        <v>135</v>
      </c>
      <c r="CK1759" t="s">
        <v>131</v>
      </c>
      <c r="CL1759" t="s">
        <v>19487</v>
      </c>
      <c r="CO1759" t="s">
        <v>132</v>
      </c>
      <c r="CP1759" t="s">
        <v>114</v>
      </c>
      <c r="CQ1759" t="s">
        <v>136</v>
      </c>
      <c r="CR1759" t="s">
        <v>136</v>
      </c>
      <c r="CS1759" t="s">
        <v>114</v>
      </c>
      <c r="CT1759" t="s">
        <v>136</v>
      </c>
      <c r="CU1759" t="s">
        <v>114</v>
      </c>
      <c r="CV1759" t="s">
        <v>1570</v>
      </c>
      <c r="CW1759" s="10" t="str">
        <f>"+15106036508"</f>
        <v>+15106036508</v>
      </c>
      <c r="CX1759" t="s">
        <v>19485</v>
      </c>
      <c r="CY1759" t="s">
        <v>132</v>
      </c>
      <c r="CZ1759" t="s">
        <v>137</v>
      </c>
      <c r="DA1759" t="s">
        <v>114</v>
      </c>
      <c r="DB1759" t="s">
        <v>114</v>
      </c>
      <c r="DC1759" t="s">
        <v>136</v>
      </c>
      <c r="DD1759" t="s">
        <v>114</v>
      </c>
    </row>
    <row r="1760" spans="1:113" ht="15" customHeight="1" x14ac:dyDescent="0.25">
      <c r="A1760" t="s">
        <v>20541</v>
      </c>
      <c r="B1760" t="s">
        <v>152</v>
      </c>
      <c r="C1760" s="1">
        <v>45110.458433912034</v>
      </c>
      <c r="D1760" s="1">
        <v>45202</v>
      </c>
      <c r="E1760" t="s">
        <v>114</v>
      </c>
      <c r="F1760" t="s">
        <v>1397</v>
      </c>
      <c r="G1760" t="str">
        <f>"39-9011.01"</f>
        <v>39-9011.01</v>
      </c>
      <c r="H1760" t="s">
        <v>183</v>
      </c>
      <c r="I1760">
        <v>1</v>
      </c>
      <c r="J1760">
        <v>1</v>
      </c>
      <c r="K1760" s="1">
        <v>45200</v>
      </c>
      <c r="L1760" s="1">
        <v>45565</v>
      </c>
      <c r="M1760" s="1">
        <v>45200</v>
      </c>
      <c r="N1760" s="1">
        <v>45565</v>
      </c>
      <c r="O1760" t="s">
        <v>184</v>
      </c>
      <c r="P1760" t="s">
        <v>20542</v>
      </c>
      <c r="R1760" t="s">
        <v>20543</v>
      </c>
      <c r="T1760" t="s">
        <v>20544</v>
      </c>
      <c r="U1760" t="s">
        <v>2262</v>
      </c>
      <c r="V1760" s="8" t="str">
        <f>"06042"</f>
        <v>06042</v>
      </c>
      <c r="W1760" t="s">
        <v>118</v>
      </c>
      <c r="Y1760" s="10">
        <v>18609943676</v>
      </c>
      <c r="AA1760">
        <v>814110</v>
      </c>
      <c r="AB1760" t="s">
        <v>20545</v>
      </c>
      <c r="AC1760" t="s">
        <v>5972</v>
      </c>
      <c r="AE1760" t="s">
        <v>561</v>
      </c>
      <c r="AF1760" t="s">
        <v>20543</v>
      </c>
      <c r="AH1760" t="s">
        <v>20544</v>
      </c>
      <c r="AI1760" t="s">
        <v>2262</v>
      </c>
      <c r="AJ1760" s="8" t="str">
        <f>"06042"</f>
        <v>06042</v>
      </c>
      <c r="AK1760" t="s">
        <v>118</v>
      </c>
      <c r="AM1760" s="10">
        <v>18609943676</v>
      </c>
      <c r="AO1760" t="s">
        <v>20546</v>
      </c>
      <c r="AX1760" s="8" t="str">
        <f>""</f>
        <v/>
      </c>
      <c r="BG1760" t="s">
        <v>2262</v>
      </c>
      <c r="BH1760" s="1">
        <v>45109.833333333336</v>
      </c>
      <c r="BI1760">
        <v>40</v>
      </c>
      <c r="BJ1760">
        <v>0</v>
      </c>
      <c r="BK1760">
        <v>8</v>
      </c>
      <c r="BL1760">
        <v>8</v>
      </c>
      <c r="BM1760">
        <v>4</v>
      </c>
      <c r="BN1760">
        <v>8</v>
      </c>
      <c r="BO1760">
        <v>8</v>
      </c>
      <c r="BP1760">
        <v>4</v>
      </c>
      <c r="BQ1760" t="str">
        <f>"9:00 AM"</f>
        <v>9:00 AM</v>
      </c>
      <c r="BR1760" t="str">
        <f>"5:00 PM"</f>
        <v>5:00 PM</v>
      </c>
      <c r="BS1760" t="s">
        <v>147</v>
      </c>
      <c r="BT1760">
        <v>1</v>
      </c>
      <c r="BU1760">
        <v>6</v>
      </c>
      <c r="BV1760" t="s">
        <v>114</v>
      </c>
      <c r="BX1760" s="2" t="s">
        <v>20547</v>
      </c>
      <c r="BY1760" t="s">
        <v>20543</v>
      </c>
      <c r="CA1760" t="s">
        <v>20544</v>
      </c>
      <c r="CB1760" t="s">
        <v>2262</v>
      </c>
      <c r="CC1760" s="8" t="str">
        <f>"06042"</f>
        <v>06042</v>
      </c>
      <c r="CD1760" t="s">
        <v>2921</v>
      </c>
      <c r="CE1760" t="s">
        <v>2269</v>
      </c>
      <c r="CF1760" s="12">
        <v>15</v>
      </c>
      <c r="CG1760" s="12">
        <v>15</v>
      </c>
      <c r="CJ1760" t="s">
        <v>135</v>
      </c>
      <c r="CL1760" t="s">
        <v>20548</v>
      </c>
      <c r="CO1760" t="s">
        <v>132</v>
      </c>
      <c r="CP1760" t="s">
        <v>114</v>
      </c>
      <c r="CQ1760" t="s">
        <v>114</v>
      </c>
      <c r="CR1760" t="s">
        <v>114</v>
      </c>
      <c r="CS1760" t="s">
        <v>136</v>
      </c>
      <c r="CT1760" t="s">
        <v>114</v>
      </c>
      <c r="CU1760" t="s">
        <v>136</v>
      </c>
      <c r="CV1760" t="s">
        <v>20549</v>
      </c>
      <c r="CW1760" s="10" t="str">
        <f>"+18603851763"</f>
        <v>+18603851763</v>
      </c>
      <c r="CX1760" t="s">
        <v>20550</v>
      </c>
      <c r="CY1760" t="s">
        <v>132</v>
      </c>
      <c r="CZ1760" t="s">
        <v>137</v>
      </c>
      <c r="DA1760" t="s">
        <v>114</v>
      </c>
      <c r="DB1760" t="s">
        <v>114</v>
      </c>
      <c r="DC1760" t="s">
        <v>136</v>
      </c>
      <c r="DD1760" t="s">
        <v>114</v>
      </c>
    </row>
    <row r="1761" spans="1:113" ht="15" customHeight="1" x14ac:dyDescent="0.25">
      <c r="A1761" t="s">
        <v>8956</v>
      </c>
      <c r="B1761" t="s">
        <v>152</v>
      </c>
      <c r="C1761" s="1">
        <v>45110.417327662035</v>
      </c>
      <c r="D1761" s="1">
        <v>45202</v>
      </c>
      <c r="E1761" t="s">
        <v>114</v>
      </c>
      <c r="F1761" t="s">
        <v>4218</v>
      </c>
      <c r="G1761" t="str">
        <f>"49-9098.00"</f>
        <v>49-9098.00</v>
      </c>
      <c r="H1761" t="s">
        <v>945</v>
      </c>
      <c r="I1761">
        <v>15</v>
      </c>
      <c r="J1761">
        <v>15</v>
      </c>
      <c r="K1761" s="1">
        <v>45200</v>
      </c>
      <c r="L1761" s="1">
        <v>45473</v>
      </c>
      <c r="M1761" s="1">
        <v>45200</v>
      </c>
      <c r="N1761" s="1">
        <v>45473</v>
      </c>
      <c r="O1761" t="s">
        <v>238</v>
      </c>
      <c r="P1761" t="s">
        <v>8957</v>
      </c>
      <c r="Q1761" t="s">
        <v>8958</v>
      </c>
      <c r="R1761" t="s">
        <v>8959</v>
      </c>
      <c r="S1761" t="s">
        <v>796</v>
      </c>
      <c r="T1761" t="s">
        <v>8960</v>
      </c>
      <c r="U1761" t="s">
        <v>333</v>
      </c>
      <c r="V1761" s="8" t="str">
        <f>"70341"</f>
        <v>70341</v>
      </c>
      <c r="W1761" t="s">
        <v>118</v>
      </c>
      <c r="X1761" t="s">
        <v>1809</v>
      </c>
      <c r="Y1761" s="10">
        <v>19853696450</v>
      </c>
      <c r="AA1761">
        <v>31131</v>
      </c>
      <c r="AB1761" t="s">
        <v>8961</v>
      </c>
      <c r="AC1761" t="s">
        <v>3016</v>
      </c>
      <c r="AD1761" t="s">
        <v>796</v>
      </c>
      <c r="AE1761" t="s">
        <v>3588</v>
      </c>
      <c r="AF1761" t="s">
        <v>8962</v>
      </c>
      <c r="AG1761" t="s">
        <v>796</v>
      </c>
      <c r="AH1761" t="s">
        <v>8963</v>
      </c>
      <c r="AI1761" t="s">
        <v>333</v>
      </c>
      <c r="AJ1761" s="8" t="str">
        <f>"70391"</f>
        <v>70391</v>
      </c>
      <c r="AK1761" t="s">
        <v>118</v>
      </c>
      <c r="AL1761" t="s">
        <v>1809</v>
      </c>
      <c r="AM1761" s="10">
        <v>19853696450</v>
      </c>
      <c r="AO1761" t="s">
        <v>8964</v>
      </c>
      <c r="AP1761" t="s">
        <v>248</v>
      </c>
      <c r="AQ1761" t="s">
        <v>1811</v>
      </c>
      <c r="AR1761" t="s">
        <v>1812</v>
      </c>
      <c r="AS1761" t="s">
        <v>796</v>
      </c>
      <c r="AT1761" t="s">
        <v>1813</v>
      </c>
      <c r="AU1761" t="s">
        <v>796</v>
      </c>
      <c r="AV1761" t="s">
        <v>1814</v>
      </c>
      <c r="AW1761" t="s">
        <v>333</v>
      </c>
      <c r="AX1761" s="8" t="str">
        <f>"70820"</f>
        <v>70820</v>
      </c>
      <c r="AY1761" t="s">
        <v>118</v>
      </c>
      <c r="AZ1761" t="s">
        <v>1809</v>
      </c>
      <c r="BA1761" s="10">
        <v>12257739449</v>
      </c>
      <c r="BC1761" t="s">
        <v>1815</v>
      </c>
      <c r="BD1761" t="s">
        <v>1816</v>
      </c>
      <c r="BG1761" t="s">
        <v>333</v>
      </c>
      <c r="BH1761" s="1">
        <v>45109.833333333336</v>
      </c>
      <c r="BI1761">
        <v>84</v>
      </c>
      <c r="BJ1761">
        <v>12</v>
      </c>
      <c r="BK1761">
        <v>12</v>
      </c>
      <c r="BL1761">
        <v>12</v>
      </c>
      <c r="BM1761">
        <v>12</v>
      </c>
      <c r="BN1761">
        <v>12</v>
      </c>
      <c r="BO1761">
        <v>12</v>
      </c>
      <c r="BP1761">
        <v>12</v>
      </c>
      <c r="BQ1761" t="str">
        <f>"12:00 AM"</f>
        <v>12:00 AM</v>
      </c>
      <c r="BR1761" t="str">
        <f>"12:00 PM"</f>
        <v>12:00 PM</v>
      </c>
      <c r="BS1761" t="s">
        <v>131</v>
      </c>
      <c r="BT1761">
        <v>0</v>
      </c>
      <c r="BU1761">
        <v>3</v>
      </c>
      <c r="BV1761" t="s">
        <v>114</v>
      </c>
      <c r="BX1761" s="2" t="s">
        <v>8965</v>
      </c>
      <c r="BY1761" t="s">
        <v>8959</v>
      </c>
      <c r="BZ1761" t="s">
        <v>796</v>
      </c>
      <c r="CA1761" t="s">
        <v>8960</v>
      </c>
      <c r="CB1761" t="s">
        <v>333</v>
      </c>
      <c r="CC1761" s="8" t="str">
        <f>"70341"</f>
        <v>70341</v>
      </c>
      <c r="CD1761" t="s">
        <v>8966</v>
      </c>
      <c r="CE1761" t="s">
        <v>5008</v>
      </c>
      <c r="CF1761" s="12">
        <v>15.03</v>
      </c>
      <c r="CG1761" s="12">
        <v>15.03</v>
      </c>
      <c r="CH1761" s="12">
        <v>22.55</v>
      </c>
      <c r="CI1761" s="12">
        <v>22.55</v>
      </c>
      <c r="CJ1761" t="s">
        <v>135</v>
      </c>
      <c r="CK1761" t="s">
        <v>1819</v>
      </c>
      <c r="CL1761" t="s">
        <v>8967</v>
      </c>
      <c r="CO1761" t="s">
        <v>132</v>
      </c>
      <c r="CP1761" t="s">
        <v>136</v>
      </c>
      <c r="CQ1761" t="s">
        <v>136</v>
      </c>
      <c r="CR1761" t="s">
        <v>136</v>
      </c>
      <c r="CS1761" t="s">
        <v>114</v>
      </c>
      <c r="CT1761" t="s">
        <v>136</v>
      </c>
      <c r="CU1761" t="s">
        <v>136</v>
      </c>
      <c r="CV1761" s="2" t="s">
        <v>8968</v>
      </c>
      <c r="CW1761" s="10" t="str">
        <f>"+19853696450"</f>
        <v>+19853696450</v>
      </c>
      <c r="CX1761" t="s">
        <v>8964</v>
      </c>
      <c r="CY1761" t="s">
        <v>796</v>
      </c>
      <c r="CZ1761" t="s">
        <v>137</v>
      </c>
      <c r="DA1761" t="s">
        <v>114</v>
      </c>
      <c r="DB1761" t="s">
        <v>114</v>
      </c>
      <c r="DC1761" t="s">
        <v>136</v>
      </c>
      <c r="DD1761" t="s">
        <v>114</v>
      </c>
    </row>
    <row r="1762" spans="1:113" ht="15" customHeight="1" x14ac:dyDescent="0.25">
      <c r="A1762" t="s">
        <v>10331</v>
      </c>
      <c r="B1762" t="s">
        <v>152</v>
      </c>
      <c r="C1762" s="1">
        <v>45110.028926041668</v>
      </c>
      <c r="D1762" s="1">
        <v>45202</v>
      </c>
      <c r="E1762" t="s">
        <v>114</v>
      </c>
      <c r="F1762" t="s">
        <v>10332</v>
      </c>
      <c r="G1762" t="str">
        <f>"45-4011.00"</f>
        <v>45-4011.00</v>
      </c>
      <c r="H1762" t="s">
        <v>842</v>
      </c>
      <c r="I1762">
        <v>28</v>
      </c>
      <c r="J1762">
        <v>28</v>
      </c>
      <c r="K1762" s="1">
        <v>45200</v>
      </c>
      <c r="L1762" s="1">
        <v>45473</v>
      </c>
      <c r="M1762" s="1">
        <v>45200</v>
      </c>
      <c r="N1762" s="1">
        <v>45473</v>
      </c>
      <c r="O1762" t="s">
        <v>238</v>
      </c>
      <c r="P1762" t="s">
        <v>10333</v>
      </c>
      <c r="Q1762" t="s">
        <v>475</v>
      </c>
      <c r="R1762" t="s">
        <v>10334</v>
      </c>
      <c r="T1762" t="s">
        <v>10335</v>
      </c>
      <c r="U1762" t="s">
        <v>792</v>
      </c>
      <c r="V1762" s="8" t="str">
        <f>"98532"</f>
        <v>98532</v>
      </c>
      <c r="W1762" t="s">
        <v>118</v>
      </c>
      <c r="Y1762" s="10">
        <v>13607484691</v>
      </c>
      <c r="AA1762">
        <v>115310</v>
      </c>
      <c r="AB1762" t="s">
        <v>10336</v>
      </c>
      <c r="AC1762" t="s">
        <v>4444</v>
      </c>
      <c r="AD1762" t="s">
        <v>475</v>
      </c>
      <c r="AE1762" t="s">
        <v>10337</v>
      </c>
      <c r="AF1762" t="s">
        <v>10334</v>
      </c>
      <c r="AH1762" t="s">
        <v>10335</v>
      </c>
      <c r="AI1762" t="s">
        <v>792</v>
      </c>
      <c r="AJ1762" s="8" t="str">
        <f>"98532"</f>
        <v>98532</v>
      </c>
      <c r="AK1762" t="s">
        <v>118</v>
      </c>
      <c r="AM1762" s="10">
        <v>13607484691</v>
      </c>
      <c r="AO1762" t="s">
        <v>10338</v>
      </c>
      <c r="AP1762" t="s">
        <v>121</v>
      </c>
      <c r="AQ1762" t="s">
        <v>485</v>
      </c>
      <c r="AR1762" t="s">
        <v>486</v>
      </c>
      <c r="AS1762" t="s">
        <v>487</v>
      </c>
      <c r="AT1762" t="s">
        <v>488</v>
      </c>
      <c r="AV1762" t="s">
        <v>489</v>
      </c>
      <c r="AW1762" t="s">
        <v>169</v>
      </c>
      <c r="AX1762" s="8" t="str">
        <f>"55126"</f>
        <v>55126</v>
      </c>
      <c r="AY1762" t="s">
        <v>118</v>
      </c>
      <c r="BA1762" s="10">
        <v>16126705068</v>
      </c>
      <c r="BC1762" t="s">
        <v>10339</v>
      </c>
      <c r="BD1762" t="s">
        <v>491</v>
      </c>
      <c r="BE1762" t="s">
        <v>169</v>
      </c>
      <c r="BF1762" t="s">
        <v>172</v>
      </c>
      <c r="BG1762" t="s">
        <v>792</v>
      </c>
      <c r="BH1762" s="1">
        <v>45109.833333333336</v>
      </c>
      <c r="BI1762">
        <v>40</v>
      </c>
      <c r="BJ1762">
        <v>0</v>
      </c>
      <c r="BK1762">
        <v>8</v>
      </c>
      <c r="BL1762">
        <v>8</v>
      </c>
      <c r="BM1762">
        <v>8</v>
      </c>
      <c r="BN1762">
        <v>8</v>
      </c>
      <c r="BO1762">
        <v>8</v>
      </c>
      <c r="BP1762">
        <v>0</v>
      </c>
      <c r="BQ1762" t="str">
        <f>"7:00 AM"</f>
        <v>7:00 AM</v>
      </c>
      <c r="BR1762" t="str">
        <f>"3:30 PM"</f>
        <v>3:30 PM</v>
      </c>
      <c r="BS1762" t="s">
        <v>131</v>
      </c>
      <c r="BT1762">
        <v>0</v>
      </c>
      <c r="BU1762">
        <v>3</v>
      </c>
      <c r="BV1762" t="s">
        <v>114</v>
      </c>
      <c r="BX1762" s="2" t="s">
        <v>10340</v>
      </c>
      <c r="BY1762" t="s">
        <v>10334</v>
      </c>
      <c r="CA1762" t="s">
        <v>10335</v>
      </c>
      <c r="CB1762" t="s">
        <v>792</v>
      </c>
      <c r="CC1762" s="8" t="str">
        <f>"98532"</f>
        <v>98532</v>
      </c>
      <c r="CD1762" t="s">
        <v>10341</v>
      </c>
      <c r="CE1762" t="s">
        <v>5450</v>
      </c>
      <c r="CF1762" s="12">
        <v>16.2</v>
      </c>
      <c r="CG1762" s="12">
        <v>20.72</v>
      </c>
      <c r="CH1762" s="12">
        <v>24.3</v>
      </c>
      <c r="CI1762" s="12">
        <v>31.08</v>
      </c>
      <c r="CJ1762" t="s">
        <v>135</v>
      </c>
      <c r="CK1762" t="s">
        <v>495</v>
      </c>
      <c r="CL1762" t="s">
        <v>10342</v>
      </c>
      <c r="CO1762" t="s">
        <v>132</v>
      </c>
      <c r="CP1762" t="s">
        <v>136</v>
      </c>
      <c r="CQ1762" t="s">
        <v>136</v>
      </c>
      <c r="CR1762" t="s">
        <v>136</v>
      </c>
      <c r="CS1762" t="s">
        <v>136</v>
      </c>
      <c r="CT1762" t="s">
        <v>136</v>
      </c>
      <c r="CU1762" t="s">
        <v>136</v>
      </c>
      <c r="CV1762" t="s">
        <v>10343</v>
      </c>
      <c r="CW1762" s="10" t="str">
        <f>"+13607484691"</f>
        <v>+13607484691</v>
      </c>
      <c r="CX1762" t="s">
        <v>10344</v>
      </c>
      <c r="CY1762" t="s">
        <v>132</v>
      </c>
      <c r="CZ1762" t="s">
        <v>137</v>
      </c>
      <c r="DA1762" t="s">
        <v>114</v>
      </c>
      <c r="DB1762" t="s">
        <v>114</v>
      </c>
      <c r="DC1762" t="s">
        <v>136</v>
      </c>
      <c r="DD1762" t="s">
        <v>114</v>
      </c>
    </row>
    <row r="1763" spans="1:113" ht="15" customHeight="1" x14ac:dyDescent="0.25">
      <c r="A1763" t="s">
        <v>21578</v>
      </c>
      <c r="B1763" t="s">
        <v>152</v>
      </c>
      <c r="C1763" s="1">
        <v>45110.018257291667</v>
      </c>
      <c r="D1763" s="1">
        <v>45202</v>
      </c>
      <c r="E1763" t="s">
        <v>114</v>
      </c>
      <c r="F1763" t="s">
        <v>21579</v>
      </c>
      <c r="G1763" t="str">
        <f>"47-2044.00"</f>
        <v>47-2044.00</v>
      </c>
      <c r="H1763" t="s">
        <v>4794</v>
      </c>
      <c r="I1763">
        <v>6</v>
      </c>
      <c r="J1763">
        <v>6</v>
      </c>
      <c r="K1763" s="1">
        <v>45200</v>
      </c>
      <c r="L1763" s="1">
        <v>45432</v>
      </c>
      <c r="M1763" s="1">
        <v>45200</v>
      </c>
      <c r="N1763" s="1">
        <v>45432</v>
      </c>
      <c r="O1763" t="s">
        <v>116</v>
      </c>
      <c r="P1763" t="s">
        <v>21580</v>
      </c>
      <c r="R1763" t="s">
        <v>21581</v>
      </c>
      <c r="T1763" t="s">
        <v>955</v>
      </c>
      <c r="U1763" t="s">
        <v>140</v>
      </c>
      <c r="V1763" s="8" t="str">
        <f>"32820"</f>
        <v>32820</v>
      </c>
      <c r="W1763" t="s">
        <v>118</v>
      </c>
      <c r="Y1763" s="10">
        <v>13216950207</v>
      </c>
      <c r="AA1763">
        <v>23833</v>
      </c>
      <c r="AB1763" t="s">
        <v>21582</v>
      </c>
      <c r="AC1763" t="s">
        <v>21583</v>
      </c>
      <c r="AE1763" t="s">
        <v>629</v>
      </c>
      <c r="AF1763" t="s">
        <v>21581</v>
      </c>
      <c r="AG1763" t="s">
        <v>15053</v>
      </c>
      <c r="AH1763" t="s">
        <v>955</v>
      </c>
      <c r="AI1763" t="s">
        <v>140</v>
      </c>
      <c r="AJ1763" s="8" t="str">
        <f>"32820"</f>
        <v>32820</v>
      </c>
      <c r="AK1763" t="s">
        <v>118</v>
      </c>
      <c r="AM1763" s="10">
        <v>13216950207</v>
      </c>
      <c r="AO1763" t="s">
        <v>21584</v>
      </c>
      <c r="AP1763" t="s">
        <v>248</v>
      </c>
      <c r="AQ1763" t="s">
        <v>13385</v>
      </c>
      <c r="AR1763" t="s">
        <v>2757</v>
      </c>
      <c r="AS1763" t="s">
        <v>12264</v>
      </c>
      <c r="AT1763" t="s">
        <v>13386</v>
      </c>
      <c r="AV1763" t="s">
        <v>5608</v>
      </c>
      <c r="AW1763" t="s">
        <v>358</v>
      </c>
      <c r="AX1763" s="8" t="str">
        <f>"12534"</f>
        <v>12534</v>
      </c>
      <c r="AY1763" t="s">
        <v>118</v>
      </c>
      <c r="BA1763" s="10">
        <v>19178545221</v>
      </c>
      <c r="BC1763" t="s">
        <v>3630</v>
      </c>
      <c r="BD1763" t="s">
        <v>13388</v>
      </c>
      <c r="BG1763" t="s">
        <v>140</v>
      </c>
      <c r="BH1763" s="1">
        <v>45106.833333333336</v>
      </c>
      <c r="BI1763">
        <v>40</v>
      </c>
      <c r="BJ1763">
        <v>0</v>
      </c>
      <c r="BK1763">
        <v>8</v>
      </c>
      <c r="BL1763">
        <v>8</v>
      </c>
      <c r="BM1763">
        <v>8</v>
      </c>
      <c r="BN1763">
        <v>8</v>
      </c>
      <c r="BO1763">
        <v>8</v>
      </c>
      <c r="BP1763">
        <v>0</v>
      </c>
      <c r="BQ1763" t="str">
        <f>"8:00 AM"</f>
        <v>8:00 AM</v>
      </c>
      <c r="BR1763" t="str">
        <f>"5:00 PM"</f>
        <v>5:00 PM</v>
      </c>
      <c r="BS1763" t="s">
        <v>131</v>
      </c>
      <c r="BT1763">
        <v>0</v>
      </c>
      <c r="BU1763">
        <v>3</v>
      </c>
      <c r="BV1763" t="s">
        <v>114</v>
      </c>
      <c r="BX1763" s="2" t="s">
        <v>21585</v>
      </c>
      <c r="BY1763" t="s">
        <v>21581</v>
      </c>
      <c r="CA1763" t="s">
        <v>955</v>
      </c>
      <c r="CB1763" t="s">
        <v>140</v>
      </c>
      <c r="CC1763" s="8" t="str">
        <f>"32820"</f>
        <v>32820</v>
      </c>
      <c r="CD1763" t="s">
        <v>2274</v>
      </c>
      <c r="CE1763" t="s">
        <v>2052</v>
      </c>
      <c r="CF1763" s="12">
        <v>19.96</v>
      </c>
      <c r="CG1763" s="12">
        <v>19.96</v>
      </c>
      <c r="CJ1763" t="s">
        <v>135</v>
      </c>
      <c r="CK1763" t="s">
        <v>131</v>
      </c>
      <c r="CL1763" t="s">
        <v>21586</v>
      </c>
      <c r="CO1763" t="s">
        <v>132</v>
      </c>
      <c r="CP1763" t="s">
        <v>136</v>
      </c>
      <c r="CQ1763" t="s">
        <v>136</v>
      </c>
      <c r="CR1763" t="s">
        <v>114</v>
      </c>
      <c r="CS1763" t="s">
        <v>114</v>
      </c>
      <c r="CT1763" t="s">
        <v>136</v>
      </c>
      <c r="CU1763" t="s">
        <v>136</v>
      </c>
      <c r="CV1763" s="2" t="s">
        <v>21587</v>
      </c>
      <c r="CW1763" s="10" t="str">
        <f>"+13216950207"</f>
        <v>+13216950207</v>
      </c>
      <c r="CX1763" t="s">
        <v>21584</v>
      </c>
      <c r="CY1763" t="s">
        <v>132</v>
      </c>
      <c r="CZ1763" t="s">
        <v>137</v>
      </c>
      <c r="DA1763" t="s">
        <v>114</v>
      </c>
      <c r="DB1763" t="s">
        <v>114</v>
      </c>
      <c r="DC1763" t="s">
        <v>136</v>
      </c>
      <c r="DD1763" t="s">
        <v>114</v>
      </c>
    </row>
    <row r="1764" spans="1:113" ht="15" customHeight="1" x14ac:dyDescent="0.25">
      <c r="A1764" t="s">
        <v>15708</v>
      </c>
      <c r="B1764" t="s">
        <v>152</v>
      </c>
      <c r="C1764" s="1">
        <v>45141.076242708332</v>
      </c>
      <c r="D1764" s="1">
        <v>45201</v>
      </c>
      <c r="E1764" t="s">
        <v>114</v>
      </c>
      <c r="F1764" t="s">
        <v>293</v>
      </c>
      <c r="G1764" t="str">
        <f>"37-2012.00"</f>
        <v>37-2012.00</v>
      </c>
      <c r="H1764" t="s">
        <v>205</v>
      </c>
      <c r="I1764">
        <v>10</v>
      </c>
      <c r="J1764">
        <v>10</v>
      </c>
      <c r="K1764" s="1">
        <v>45231</v>
      </c>
      <c r="L1764" s="1">
        <v>45504</v>
      </c>
      <c r="M1764" s="1">
        <v>45231</v>
      </c>
      <c r="N1764" s="1">
        <v>45504</v>
      </c>
      <c r="O1764" t="s">
        <v>116</v>
      </c>
      <c r="P1764" t="s">
        <v>15709</v>
      </c>
      <c r="Q1764" t="s">
        <v>15710</v>
      </c>
      <c r="R1764" t="s">
        <v>15711</v>
      </c>
      <c r="T1764" t="s">
        <v>1614</v>
      </c>
      <c r="U1764" t="s">
        <v>140</v>
      </c>
      <c r="V1764" s="8" t="str">
        <f>"34102"</f>
        <v>34102</v>
      </c>
      <c r="W1764" t="s">
        <v>118</v>
      </c>
      <c r="Y1764" s="10">
        <v>12394032000</v>
      </c>
      <c r="AA1764">
        <v>72111</v>
      </c>
      <c r="AB1764" t="s">
        <v>15712</v>
      </c>
      <c r="AC1764" t="s">
        <v>8336</v>
      </c>
      <c r="AE1764" t="s">
        <v>1119</v>
      </c>
      <c r="AF1764" t="s">
        <v>15711</v>
      </c>
      <c r="AH1764" t="s">
        <v>1614</v>
      </c>
      <c r="AI1764" t="s">
        <v>140</v>
      </c>
      <c r="AJ1764" s="8" t="str">
        <f>"34102"</f>
        <v>34102</v>
      </c>
      <c r="AK1764" t="s">
        <v>118</v>
      </c>
      <c r="AM1764" s="10">
        <v>12394032000</v>
      </c>
      <c r="AO1764" t="s">
        <v>15713</v>
      </c>
      <c r="AP1764" t="s">
        <v>248</v>
      </c>
      <c r="AQ1764" t="s">
        <v>458</v>
      </c>
      <c r="AR1764" t="s">
        <v>459</v>
      </c>
      <c r="AT1764" t="s">
        <v>460</v>
      </c>
      <c r="AU1764" t="s">
        <v>461</v>
      </c>
      <c r="AV1764" t="s">
        <v>766</v>
      </c>
      <c r="AW1764" t="s">
        <v>140</v>
      </c>
      <c r="AX1764" s="8" t="str">
        <f>"33141"</f>
        <v>33141</v>
      </c>
      <c r="AY1764" t="s">
        <v>118</v>
      </c>
      <c r="BA1764" s="10">
        <v>17863480376</v>
      </c>
      <c r="BC1764" t="s">
        <v>463</v>
      </c>
      <c r="BD1764" t="s">
        <v>464</v>
      </c>
      <c r="BG1764" t="s">
        <v>140</v>
      </c>
      <c r="BH1764" s="1">
        <v>45140.833333333336</v>
      </c>
      <c r="BI1764">
        <v>35</v>
      </c>
      <c r="BJ1764">
        <v>7</v>
      </c>
      <c r="BK1764">
        <v>7</v>
      </c>
      <c r="BL1764">
        <v>0</v>
      </c>
      <c r="BM1764">
        <v>0</v>
      </c>
      <c r="BN1764">
        <v>7</v>
      </c>
      <c r="BO1764">
        <v>7</v>
      </c>
      <c r="BP1764">
        <v>7</v>
      </c>
      <c r="BQ1764" t="str">
        <f>"8:00 AM"</f>
        <v>8:00 AM</v>
      </c>
      <c r="BR1764" t="str">
        <f>"3:00 PM"</f>
        <v>3:00 PM</v>
      </c>
      <c r="BS1764" t="s">
        <v>131</v>
      </c>
      <c r="BT1764">
        <v>0</v>
      </c>
      <c r="BU1764">
        <v>1</v>
      </c>
      <c r="BV1764" t="s">
        <v>114</v>
      </c>
      <c r="BX1764" t="s">
        <v>465</v>
      </c>
      <c r="BY1764" t="s">
        <v>15711</v>
      </c>
      <c r="CA1764" t="s">
        <v>1614</v>
      </c>
      <c r="CB1764" t="s">
        <v>140</v>
      </c>
      <c r="CC1764" s="8" t="str">
        <f>"34102"</f>
        <v>34102</v>
      </c>
      <c r="CD1764" t="s">
        <v>1619</v>
      </c>
      <c r="CE1764" t="s">
        <v>1620</v>
      </c>
      <c r="CF1764" s="12">
        <v>14.5</v>
      </c>
      <c r="CG1764" s="12">
        <v>14.5</v>
      </c>
      <c r="CH1764" s="12">
        <v>21.75</v>
      </c>
      <c r="CI1764" s="12">
        <v>21.75</v>
      </c>
      <c r="CJ1764" t="s">
        <v>135</v>
      </c>
      <c r="CL1764" t="s">
        <v>15714</v>
      </c>
      <c r="CO1764" t="s">
        <v>132</v>
      </c>
      <c r="CP1764" t="s">
        <v>114</v>
      </c>
      <c r="CQ1764" t="s">
        <v>114</v>
      </c>
      <c r="CR1764" t="s">
        <v>136</v>
      </c>
      <c r="CS1764" t="s">
        <v>114</v>
      </c>
      <c r="CT1764" t="s">
        <v>136</v>
      </c>
      <c r="CU1764" t="s">
        <v>114</v>
      </c>
      <c r="CV1764" s="2" t="s">
        <v>15715</v>
      </c>
      <c r="CW1764" s="10" t="str">
        <f>"N/A"</f>
        <v>N/A</v>
      </c>
      <c r="CX1764" t="s">
        <v>15713</v>
      </c>
      <c r="CY1764" t="s">
        <v>470</v>
      </c>
      <c r="CZ1764" t="s">
        <v>137</v>
      </c>
      <c r="DA1764" t="s">
        <v>114</v>
      </c>
      <c r="DB1764" t="s">
        <v>114</v>
      </c>
      <c r="DC1764" t="s">
        <v>136</v>
      </c>
      <c r="DD1764" t="s">
        <v>114</v>
      </c>
    </row>
    <row r="1765" spans="1:113" ht="15" customHeight="1" x14ac:dyDescent="0.25">
      <c r="A1765" t="s">
        <v>20598</v>
      </c>
      <c r="B1765" t="s">
        <v>152</v>
      </c>
      <c r="C1765" s="1">
        <v>45141.056155902777</v>
      </c>
      <c r="D1765" s="1">
        <v>45201</v>
      </c>
      <c r="E1765" t="s">
        <v>136</v>
      </c>
      <c r="F1765" t="s">
        <v>1059</v>
      </c>
      <c r="G1765" t="str">
        <f>"35-2014.00"</f>
        <v>35-2014.00</v>
      </c>
      <c r="H1765" t="s">
        <v>154</v>
      </c>
      <c r="I1765">
        <v>4</v>
      </c>
      <c r="J1765">
        <v>4</v>
      </c>
      <c r="K1765" s="1">
        <v>45231</v>
      </c>
      <c r="L1765" s="1">
        <v>45504</v>
      </c>
      <c r="M1765" s="1">
        <v>45231</v>
      </c>
      <c r="N1765" s="1">
        <v>45504</v>
      </c>
      <c r="O1765" t="s">
        <v>116</v>
      </c>
      <c r="P1765" t="s">
        <v>15709</v>
      </c>
      <c r="Q1765" t="s">
        <v>15710</v>
      </c>
      <c r="R1765" t="s">
        <v>15711</v>
      </c>
      <c r="T1765" t="s">
        <v>1614</v>
      </c>
      <c r="U1765" t="s">
        <v>140</v>
      </c>
      <c r="V1765" s="8" t="str">
        <f>"34102"</f>
        <v>34102</v>
      </c>
      <c r="W1765" t="s">
        <v>118</v>
      </c>
      <c r="Y1765" s="10">
        <v>12394032000</v>
      </c>
      <c r="AA1765">
        <v>72111</v>
      </c>
      <c r="AB1765" t="s">
        <v>20599</v>
      </c>
      <c r="AC1765" t="s">
        <v>299</v>
      </c>
      <c r="AE1765" t="s">
        <v>1349</v>
      </c>
      <c r="AF1765" t="s">
        <v>15711</v>
      </c>
      <c r="AH1765" t="s">
        <v>1614</v>
      </c>
      <c r="AI1765" t="s">
        <v>140</v>
      </c>
      <c r="AJ1765" s="8" t="str">
        <f>"34102"</f>
        <v>34102</v>
      </c>
      <c r="AK1765" t="s">
        <v>118</v>
      </c>
      <c r="AM1765" s="10">
        <v>12394032000</v>
      </c>
      <c r="AO1765" t="s">
        <v>15713</v>
      </c>
      <c r="AP1765" t="s">
        <v>248</v>
      </c>
      <c r="AQ1765" t="s">
        <v>458</v>
      </c>
      <c r="AR1765" t="s">
        <v>459</v>
      </c>
      <c r="AT1765" t="s">
        <v>460</v>
      </c>
      <c r="AU1765" t="s">
        <v>461</v>
      </c>
      <c r="AV1765" t="s">
        <v>766</v>
      </c>
      <c r="AW1765" t="s">
        <v>140</v>
      </c>
      <c r="AX1765" s="8" t="str">
        <f>"33141"</f>
        <v>33141</v>
      </c>
      <c r="AY1765" t="s">
        <v>118</v>
      </c>
      <c r="BA1765" s="10">
        <v>17863480376</v>
      </c>
      <c r="BC1765" t="s">
        <v>463</v>
      </c>
      <c r="BD1765" t="s">
        <v>464</v>
      </c>
      <c r="BG1765" t="s">
        <v>140</v>
      </c>
      <c r="BH1765" s="1">
        <v>45140.833333333336</v>
      </c>
      <c r="BI1765">
        <v>35</v>
      </c>
      <c r="BJ1765">
        <v>7</v>
      </c>
      <c r="BK1765">
        <v>7</v>
      </c>
      <c r="BL1765">
        <v>0</v>
      </c>
      <c r="BM1765">
        <v>0</v>
      </c>
      <c r="BN1765">
        <v>7</v>
      </c>
      <c r="BO1765">
        <v>7</v>
      </c>
      <c r="BP1765">
        <v>7</v>
      </c>
      <c r="BQ1765" t="str">
        <f>"7:00 AM"</f>
        <v>7:00 AM</v>
      </c>
      <c r="BR1765" t="str">
        <f>"2:00 PM"</f>
        <v>2:00 PM</v>
      </c>
      <c r="BS1765" t="s">
        <v>131</v>
      </c>
      <c r="BT1765">
        <v>0</v>
      </c>
      <c r="BU1765">
        <v>1</v>
      </c>
      <c r="BV1765" t="s">
        <v>114</v>
      </c>
      <c r="BX1765" t="s">
        <v>5995</v>
      </c>
      <c r="BY1765" t="s">
        <v>15711</v>
      </c>
      <c r="CA1765" t="s">
        <v>1614</v>
      </c>
      <c r="CB1765" t="s">
        <v>140</v>
      </c>
      <c r="CC1765" s="8" t="str">
        <f>"34102"</f>
        <v>34102</v>
      </c>
      <c r="CD1765" t="s">
        <v>1619</v>
      </c>
      <c r="CE1765" t="s">
        <v>1620</v>
      </c>
      <c r="CF1765" s="12">
        <v>19</v>
      </c>
      <c r="CG1765" s="12">
        <v>19</v>
      </c>
      <c r="CH1765" s="12">
        <v>28.5</v>
      </c>
      <c r="CI1765" s="12">
        <v>28.5</v>
      </c>
      <c r="CJ1765" t="s">
        <v>135</v>
      </c>
      <c r="CL1765" t="s">
        <v>20600</v>
      </c>
      <c r="CO1765" t="s">
        <v>132</v>
      </c>
      <c r="CP1765" t="s">
        <v>114</v>
      </c>
      <c r="CQ1765" t="s">
        <v>114</v>
      </c>
      <c r="CR1765" t="s">
        <v>136</v>
      </c>
      <c r="CS1765" t="s">
        <v>114</v>
      </c>
      <c r="CT1765" t="s">
        <v>136</v>
      </c>
      <c r="CU1765" t="s">
        <v>114</v>
      </c>
      <c r="CV1765" s="2" t="s">
        <v>15715</v>
      </c>
      <c r="CW1765" s="10" t="str">
        <f>"N/A"</f>
        <v>N/A</v>
      </c>
      <c r="CX1765" t="s">
        <v>15713</v>
      </c>
      <c r="CY1765" t="s">
        <v>470</v>
      </c>
      <c r="CZ1765" t="s">
        <v>137</v>
      </c>
      <c r="DA1765" t="s">
        <v>114</v>
      </c>
      <c r="DB1765" t="s">
        <v>114</v>
      </c>
      <c r="DC1765" t="s">
        <v>136</v>
      </c>
      <c r="DD1765" t="s">
        <v>114</v>
      </c>
    </row>
    <row r="1766" spans="1:113" ht="15" customHeight="1" x14ac:dyDescent="0.25">
      <c r="A1766" t="s">
        <v>6395</v>
      </c>
      <c r="B1766" t="s">
        <v>152</v>
      </c>
      <c r="C1766" s="1">
        <v>45141.013642939812</v>
      </c>
      <c r="D1766" s="1">
        <v>45201</v>
      </c>
      <c r="E1766" t="s">
        <v>114</v>
      </c>
      <c r="F1766" t="s">
        <v>6396</v>
      </c>
      <c r="G1766" t="str">
        <f>"49-9098.00"</f>
        <v>49-9098.00</v>
      </c>
      <c r="H1766" t="s">
        <v>945</v>
      </c>
      <c r="I1766">
        <v>92</v>
      </c>
      <c r="J1766">
        <v>92</v>
      </c>
      <c r="K1766" s="1">
        <v>45231</v>
      </c>
      <c r="L1766" s="1">
        <v>45265</v>
      </c>
      <c r="M1766" s="1">
        <v>45231</v>
      </c>
      <c r="N1766" s="1">
        <v>45265</v>
      </c>
      <c r="O1766" t="s">
        <v>238</v>
      </c>
      <c r="P1766" t="s">
        <v>6397</v>
      </c>
      <c r="R1766" t="s">
        <v>6398</v>
      </c>
      <c r="T1766" t="s">
        <v>6399</v>
      </c>
      <c r="U1766" t="s">
        <v>2608</v>
      </c>
      <c r="V1766" s="8" t="str">
        <f>"73034"</f>
        <v>73034</v>
      </c>
      <c r="W1766" t="s">
        <v>118</v>
      </c>
      <c r="Y1766" s="10">
        <v>14058448908</v>
      </c>
      <c r="AA1766">
        <v>5617</v>
      </c>
      <c r="AB1766" t="s">
        <v>6400</v>
      </c>
      <c r="AC1766" t="s">
        <v>6401</v>
      </c>
      <c r="AD1766" t="s">
        <v>5940</v>
      </c>
      <c r="AE1766" t="s">
        <v>438</v>
      </c>
      <c r="AF1766" t="s">
        <v>6398</v>
      </c>
      <c r="AH1766" t="s">
        <v>6399</v>
      </c>
      <c r="AI1766" t="s">
        <v>2608</v>
      </c>
      <c r="AJ1766" s="8" t="str">
        <f>"73034"</f>
        <v>73034</v>
      </c>
      <c r="AK1766" t="s">
        <v>118</v>
      </c>
      <c r="AM1766" s="10">
        <v>14058448908</v>
      </c>
      <c r="AO1766" t="s">
        <v>6402</v>
      </c>
      <c r="AP1766" t="s">
        <v>248</v>
      </c>
      <c r="AQ1766" t="s">
        <v>960</v>
      </c>
      <c r="AR1766" t="s">
        <v>961</v>
      </c>
      <c r="AS1766" t="s">
        <v>962</v>
      </c>
      <c r="AT1766" t="s">
        <v>963</v>
      </c>
      <c r="AU1766" t="s">
        <v>296</v>
      </c>
      <c r="AV1766" t="s">
        <v>964</v>
      </c>
      <c r="AW1766" t="s">
        <v>127</v>
      </c>
      <c r="AX1766" s="8" t="str">
        <f>"75033"</f>
        <v>75033</v>
      </c>
      <c r="AY1766" t="s">
        <v>118</v>
      </c>
      <c r="BA1766" s="10">
        <v>19727789690</v>
      </c>
      <c r="BC1766" t="s">
        <v>1388</v>
      </c>
      <c r="BD1766" t="s">
        <v>966</v>
      </c>
      <c r="BG1766" t="s">
        <v>2608</v>
      </c>
      <c r="BH1766" s="1">
        <v>45140.833333333336</v>
      </c>
      <c r="BI1766">
        <v>40</v>
      </c>
      <c r="BJ1766">
        <v>8</v>
      </c>
      <c r="BK1766">
        <v>0</v>
      </c>
      <c r="BL1766">
        <v>8</v>
      </c>
      <c r="BM1766">
        <v>8</v>
      </c>
      <c r="BN1766">
        <v>0</v>
      </c>
      <c r="BO1766">
        <v>8</v>
      </c>
      <c r="BP1766">
        <v>8</v>
      </c>
      <c r="BQ1766" t="str">
        <f>"8:00 AM"</f>
        <v>8:00 AM</v>
      </c>
      <c r="BR1766" t="str">
        <f>"5:00 PM"</f>
        <v>5:00 PM</v>
      </c>
      <c r="BS1766" t="s">
        <v>131</v>
      </c>
      <c r="BT1766">
        <v>0</v>
      </c>
      <c r="BU1766">
        <v>0</v>
      </c>
      <c r="BV1766" t="s">
        <v>114</v>
      </c>
      <c r="BX1766" s="2" t="s">
        <v>6403</v>
      </c>
      <c r="BY1766" t="s">
        <v>6404</v>
      </c>
      <c r="CA1766" t="s">
        <v>5840</v>
      </c>
      <c r="CB1766" t="s">
        <v>2608</v>
      </c>
      <c r="CC1766" s="8" t="str">
        <f>"73034"</f>
        <v>73034</v>
      </c>
      <c r="CD1766" t="s">
        <v>4321</v>
      </c>
      <c r="CE1766" t="s">
        <v>3577</v>
      </c>
      <c r="CF1766" s="12">
        <v>15.77</v>
      </c>
      <c r="CG1766" s="12">
        <v>15.77</v>
      </c>
      <c r="CH1766" s="12">
        <v>23.66</v>
      </c>
      <c r="CI1766" s="12">
        <v>23.66</v>
      </c>
      <c r="CJ1766" t="s">
        <v>135</v>
      </c>
      <c r="CK1766" t="s">
        <v>6405</v>
      </c>
      <c r="CL1766" t="s">
        <v>6406</v>
      </c>
      <c r="CO1766" t="s">
        <v>132</v>
      </c>
      <c r="CP1766" t="s">
        <v>136</v>
      </c>
      <c r="CQ1766" t="s">
        <v>136</v>
      </c>
      <c r="CR1766" t="s">
        <v>136</v>
      </c>
      <c r="CS1766" t="s">
        <v>136</v>
      </c>
      <c r="CT1766" t="s">
        <v>136</v>
      </c>
      <c r="CU1766" t="s">
        <v>136</v>
      </c>
      <c r="CV1766" s="2" t="s">
        <v>6407</v>
      </c>
      <c r="CW1766" s="10" t="str">
        <f>"+14058448908"</f>
        <v>+14058448908</v>
      </c>
      <c r="CX1766" t="s">
        <v>132</v>
      </c>
      <c r="CY1766" t="s">
        <v>3447</v>
      </c>
      <c r="CZ1766" t="s">
        <v>137</v>
      </c>
      <c r="DA1766" t="s">
        <v>114</v>
      </c>
      <c r="DB1766" t="s">
        <v>136</v>
      </c>
      <c r="DC1766" t="s">
        <v>136</v>
      </c>
      <c r="DD1766" t="s">
        <v>114</v>
      </c>
    </row>
    <row r="1767" spans="1:113" ht="15" customHeight="1" x14ac:dyDescent="0.25">
      <c r="A1767" t="s">
        <v>21680</v>
      </c>
      <c r="B1767" t="s">
        <v>152</v>
      </c>
      <c r="C1767" s="1">
        <v>45135.663840624999</v>
      </c>
      <c r="D1767" s="1">
        <v>45201</v>
      </c>
      <c r="E1767" t="s">
        <v>114</v>
      </c>
      <c r="F1767" t="s">
        <v>2086</v>
      </c>
      <c r="G1767" t="str">
        <f>"37-3011.00"</f>
        <v>37-3011.00</v>
      </c>
      <c r="H1767" t="s">
        <v>429</v>
      </c>
      <c r="I1767">
        <v>4</v>
      </c>
      <c r="J1767">
        <v>4</v>
      </c>
      <c r="K1767" s="1">
        <v>45210</v>
      </c>
      <c r="L1767" s="1">
        <v>45397</v>
      </c>
      <c r="M1767" s="1">
        <v>45210</v>
      </c>
      <c r="N1767" s="1">
        <v>45397</v>
      </c>
      <c r="O1767" t="s">
        <v>238</v>
      </c>
      <c r="P1767" t="s">
        <v>21681</v>
      </c>
      <c r="R1767" t="s">
        <v>21682</v>
      </c>
      <c r="T1767" t="s">
        <v>3569</v>
      </c>
      <c r="U1767" t="s">
        <v>984</v>
      </c>
      <c r="V1767" s="8" t="str">
        <f>"63005"</f>
        <v>63005</v>
      </c>
      <c r="W1767" t="s">
        <v>118</v>
      </c>
      <c r="Y1767" s="10">
        <v>13142493630</v>
      </c>
      <c r="AA1767">
        <v>561730</v>
      </c>
      <c r="AB1767" t="s">
        <v>3570</v>
      </c>
      <c r="AC1767" t="s">
        <v>2580</v>
      </c>
      <c r="AE1767" t="s">
        <v>561</v>
      </c>
      <c r="AF1767" t="s">
        <v>21682</v>
      </c>
      <c r="AH1767" t="s">
        <v>3569</v>
      </c>
      <c r="AI1767" t="s">
        <v>984</v>
      </c>
      <c r="AJ1767" s="8" t="str">
        <f>"63005"</f>
        <v>63005</v>
      </c>
      <c r="AK1767" t="s">
        <v>118</v>
      </c>
      <c r="AM1767" s="10">
        <v>13142493630</v>
      </c>
      <c r="AO1767" t="s">
        <v>3571</v>
      </c>
      <c r="AP1767" t="s">
        <v>121</v>
      </c>
      <c r="AQ1767" t="s">
        <v>989</v>
      </c>
      <c r="AR1767" t="s">
        <v>244</v>
      </c>
      <c r="AS1767" t="s">
        <v>990</v>
      </c>
      <c r="AT1767" t="s">
        <v>991</v>
      </c>
      <c r="AV1767" t="s">
        <v>992</v>
      </c>
      <c r="AW1767" t="s">
        <v>993</v>
      </c>
      <c r="AX1767" s="8" t="str">
        <f>"54301"</f>
        <v>54301</v>
      </c>
      <c r="AY1767" t="s">
        <v>118</v>
      </c>
      <c r="BA1767" s="10">
        <v>18004140978</v>
      </c>
      <c r="BC1767" t="s">
        <v>994</v>
      </c>
      <c r="BD1767" t="s">
        <v>995</v>
      </c>
      <c r="BE1767" t="s">
        <v>581</v>
      </c>
      <c r="BF1767" t="s">
        <v>996</v>
      </c>
      <c r="BG1767" t="s">
        <v>984</v>
      </c>
      <c r="BH1767" s="1">
        <v>45134.833333333336</v>
      </c>
      <c r="BI1767">
        <v>35</v>
      </c>
      <c r="BJ1767">
        <v>0</v>
      </c>
      <c r="BK1767">
        <v>7</v>
      </c>
      <c r="BL1767">
        <v>7</v>
      </c>
      <c r="BM1767">
        <v>7</v>
      </c>
      <c r="BN1767">
        <v>7</v>
      </c>
      <c r="BO1767">
        <v>7</v>
      </c>
      <c r="BP1767">
        <v>0</v>
      </c>
      <c r="BQ1767" t="str">
        <f>"8:00 AM"</f>
        <v>8:00 AM</v>
      </c>
      <c r="BR1767" t="str">
        <f>"5:00 PM"</f>
        <v>5:00 PM</v>
      </c>
      <c r="BS1767" t="s">
        <v>131</v>
      </c>
      <c r="BT1767">
        <v>0</v>
      </c>
      <c r="BU1767">
        <v>0</v>
      </c>
      <c r="BV1767" t="s">
        <v>114</v>
      </c>
      <c r="BX1767" s="2" t="s">
        <v>21683</v>
      </c>
      <c r="BY1767" t="s">
        <v>21684</v>
      </c>
      <c r="BZ1767" t="s">
        <v>21685</v>
      </c>
      <c r="CA1767" t="s">
        <v>3569</v>
      </c>
      <c r="CB1767" t="s">
        <v>984</v>
      </c>
      <c r="CC1767" s="8" t="str">
        <f>"63005"</f>
        <v>63005</v>
      </c>
      <c r="CD1767" t="s">
        <v>2851</v>
      </c>
      <c r="CE1767" t="s">
        <v>1856</v>
      </c>
      <c r="CF1767" s="12">
        <v>17.579999999999998</v>
      </c>
      <c r="CH1767" s="12">
        <v>26.37</v>
      </c>
      <c r="CJ1767" t="s">
        <v>135</v>
      </c>
      <c r="CK1767" t="s">
        <v>11509</v>
      </c>
      <c r="CL1767" t="s">
        <v>21686</v>
      </c>
      <c r="CO1767" t="s">
        <v>132</v>
      </c>
      <c r="CP1767" t="s">
        <v>136</v>
      </c>
      <c r="CQ1767" t="s">
        <v>136</v>
      </c>
      <c r="CR1767" t="s">
        <v>136</v>
      </c>
      <c r="CS1767" t="s">
        <v>136</v>
      </c>
      <c r="CT1767" t="s">
        <v>136</v>
      </c>
      <c r="CU1767" t="s">
        <v>136</v>
      </c>
      <c r="CV1767" t="s">
        <v>21687</v>
      </c>
      <c r="CW1767" s="10" t="str">
        <f>"+13142493630"</f>
        <v>+13142493630</v>
      </c>
      <c r="CX1767" t="s">
        <v>3571</v>
      </c>
      <c r="CY1767" t="s">
        <v>132</v>
      </c>
      <c r="CZ1767" t="s">
        <v>137</v>
      </c>
      <c r="DA1767" t="s">
        <v>114</v>
      </c>
      <c r="DB1767" t="s">
        <v>114</v>
      </c>
      <c r="DC1767" t="s">
        <v>136</v>
      </c>
      <c r="DD1767" t="s">
        <v>114</v>
      </c>
    </row>
    <row r="1768" spans="1:113" ht="15" customHeight="1" x14ac:dyDescent="0.25">
      <c r="A1768" t="s">
        <v>15386</v>
      </c>
      <c r="B1768" t="s">
        <v>152</v>
      </c>
      <c r="C1768" s="1">
        <v>45134.819104513888</v>
      </c>
      <c r="D1768" s="1">
        <v>45201</v>
      </c>
      <c r="E1768" t="s">
        <v>114</v>
      </c>
      <c r="F1768" t="s">
        <v>14503</v>
      </c>
      <c r="G1768" t="str">
        <f>"25-3021.00"</f>
        <v>25-3021.00</v>
      </c>
      <c r="H1768" t="s">
        <v>720</v>
      </c>
      <c r="I1768">
        <v>20</v>
      </c>
      <c r="J1768">
        <v>20</v>
      </c>
      <c r="K1768" s="1">
        <v>45224</v>
      </c>
      <c r="L1768" s="1">
        <v>45396</v>
      </c>
      <c r="M1768" s="1">
        <v>45224</v>
      </c>
      <c r="N1768" s="1">
        <v>45396</v>
      </c>
      <c r="O1768" t="s">
        <v>238</v>
      </c>
      <c r="P1768" t="s">
        <v>15387</v>
      </c>
      <c r="R1768" t="s">
        <v>15388</v>
      </c>
      <c r="S1768" t="s">
        <v>15389</v>
      </c>
      <c r="T1768" t="s">
        <v>15390</v>
      </c>
      <c r="U1768" t="s">
        <v>402</v>
      </c>
      <c r="V1768" s="8" t="str">
        <f>"93546"</f>
        <v>93546</v>
      </c>
      <c r="W1768" t="s">
        <v>118</v>
      </c>
      <c r="Y1768" s="10">
        <v>17609342571</v>
      </c>
      <c r="Z1768">
        <v>3390</v>
      </c>
      <c r="AA1768">
        <v>713920</v>
      </c>
      <c r="AB1768" t="s">
        <v>15391</v>
      </c>
      <c r="AC1768" t="s">
        <v>9625</v>
      </c>
      <c r="AD1768" t="s">
        <v>3351</v>
      </c>
      <c r="AE1768" t="s">
        <v>15392</v>
      </c>
      <c r="AF1768" t="s">
        <v>15388</v>
      </c>
      <c r="AG1768" t="s">
        <v>15389</v>
      </c>
      <c r="AH1768" t="s">
        <v>15390</v>
      </c>
      <c r="AI1768" t="s">
        <v>402</v>
      </c>
      <c r="AJ1768" s="8" t="str">
        <f>"93546"</f>
        <v>93546</v>
      </c>
      <c r="AK1768" t="s">
        <v>118</v>
      </c>
      <c r="AM1768" s="10">
        <v>17609140312</v>
      </c>
      <c r="AO1768" t="s">
        <v>15393</v>
      </c>
      <c r="AX1768" s="8" t="str">
        <f>""</f>
        <v/>
      </c>
      <c r="BG1768" t="s">
        <v>402</v>
      </c>
      <c r="BH1768" s="1">
        <v>45133.833333333336</v>
      </c>
      <c r="BI1768">
        <v>35</v>
      </c>
      <c r="BJ1768">
        <v>7</v>
      </c>
      <c r="BK1768">
        <v>0</v>
      </c>
      <c r="BL1768">
        <v>0</v>
      </c>
      <c r="BM1768">
        <v>7</v>
      </c>
      <c r="BN1768">
        <v>7</v>
      </c>
      <c r="BO1768">
        <v>7</v>
      </c>
      <c r="BP1768">
        <v>7</v>
      </c>
      <c r="BQ1768" t="str">
        <f>"8:30 AM"</f>
        <v>8:30 AM</v>
      </c>
      <c r="BR1768" t="str">
        <f>"4:00 PM"</f>
        <v>4:00 PM</v>
      </c>
      <c r="BS1768" t="s">
        <v>147</v>
      </c>
      <c r="BT1768">
        <v>0</v>
      </c>
      <c r="BU1768">
        <v>4</v>
      </c>
      <c r="BV1768" t="s">
        <v>114</v>
      </c>
      <c r="BX1768" s="2" t="s">
        <v>15394</v>
      </c>
      <c r="BY1768" t="s">
        <v>15388</v>
      </c>
      <c r="CA1768" t="s">
        <v>15390</v>
      </c>
      <c r="CB1768" t="s">
        <v>402</v>
      </c>
      <c r="CC1768" s="8" t="str">
        <f>"93546"</f>
        <v>93546</v>
      </c>
      <c r="CD1768" t="s">
        <v>15395</v>
      </c>
      <c r="CE1768" t="s">
        <v>1356</v>
      </c>
      <c r="CF1768" s="12">
        <v>20.91</v>
      </c>
      <c r="CG1768" s="12">
        <v>20.91</v>
      </c>
      <c r="CH1768" s="12">
        <v>31.37</v>
      </c>
      <c r="CI1768" s="12">
        <v>31.37</v>
      </c>
      <c r="CJ1768" t="s">
        <v>135</v>
      </c>
      <c r="CK1768" t="s">
        <v>132</v>
      </c>
      <c r="CL1768" t="s">
        <v>15396</v>
      </c>
      <c r="CO1768" t="s">
        <v>132</v>
      </c>
      <c r="CP1768" t="s">
        <v>114</v>
      </c>
      <c r="CQ1768" t="s">
        <v>136</v>
      </c>
      <c r="CR1768" t="s">
        <v>136</v>
      </c>
      <c r="CS1768" t="s">
        <v>136</v>
      </c>
      <c r="CT1768" t="s">
        <v>136</v>
      </c>
      <c r="CU1768" t="s">
        <v>114</v>
      </c>
      <c r="CV1768" t="s">
        <v>131</v>
      </c>
      <c r="CW1768" s="10" t="str">
        <f>"+17609342571"</f>
        <v>+17609342571</v>
      </c>
      <c r="CX1768" t="s">
        <v>15397</v>
      </c>
      <c r="CY1768" t="s">
        <v>15398</v>
      </c>
      <c r="CZ1768" t="s">
        <v>137</v>
      </c>
      <c r="DA1768" t="s">
        <v>114</v>
      </c>
      <c r="DB1768" t="s">
        <v>114</v>
      </c>
      <c r="DC1768" t="s">
        <v>136</v>
      </c>
      <c r="DD1768" t="s">
        <v>114</v>
      </c>
    </row>
    <row r="1769" spans="1:113" ht="15" customHeight="1" x14ac:dyDescent="0.25">
      <c r="A1769" t="s">
        <v>13201</v>
      </c>
      <c r="B1769" t="s">
        <v>152</v>
      </c>
      <c r="C1769" s="1">
        <v>45134.752197337963</v>
      </c>
      <c r="D1769" s="1">
        <v>45201</v>
      </c>
      <c r="E1769" t="s">
        <v>114</v>
      </c>
      <c r="F1769" t="s">
        <v>13202</v>
      </c>
      <c r="G1769" t="str">
        <f>"37-3011.00"</f>
        <v>37-3011.00</v>
      </c>
      <c r="H1769" t="s">
        <v>429</v>
      </c>
      <c r="I1769">
        <v>15</v>
      </c>
      <c r="J1769">
        <v>15</v>
      </c>
      <c r="K1769" s="1">
        <v>45209</v>
      </c>
      <c r="L1769" s="1">
        <v>45397</v>
      </c>
      <c r="M1769" s="1">
        <v>45209</v>
      </c>
      <c r="N1769" s="1">
        <v>45397</v>
      </c>
      <c r="O1769" t="s">
        <v>238</v>
      </c>
      <c r="P1769" t="s">
        <v>13203</v>
      </c>
      <c r="R1769" t="s">
        <v>13204</v>
      </c>
      <c r="T1769" t="s">
        <v>1477</v>
      </c>
      <c r="U1769" t="s">
        <v>211</v>
      </c>
      <c r="V1769" s="8" t="str">
        <f>"84404"</f>
        <v>84404</v>
      </c>
      <c r="W1769" t="s">
        <v>118</v>
      </c>
      <c r="Y1769" s="10">
        <v>18017321200</v>
      </c>
      <c r="AA1769">
        <v>561730</v>
      </c>
      <c r="AB1769" t="s">
        <v>13205</v>
      </c>
      <c r="AC1769" t="s">
        <v>13206</v>
      </c>
      <c r="AE1769" t="s">
        <v>438</v>
      </c>
      <c r="AF1769" t="s">
        <v>13204</v>
      </c>
      <c r="AH1769" t="s">
        <v>4465</v>
      </c>
      <c r="AI1769" t="s">
        <v>211</v>
      </c>
      <c r="AJ1769" s="8" t="str">
        <f>"84404"</f>
        <v>84404</v>
      </c>
      <c r="AK1769" t="s">
        <v>118</v>
      </c>
      <c r="AM1769" s="10">
        <v>18017321200</v>
      </c>
      <c r="AO1769" t="s">
        <v>7779</v>
      </c>
      <c r="AP1769" t="s">
        <v>121</v>
      </c>
      <c r="AQ1769" t="s">
        <v>989</v>
      </c>
      <c r="AR1769" t="s">
        <v>244</v>
      </c>
      <c r="AS1769" t="s">
        <v>990</v>
      </c>
      <c r="AT1769" t="s">
        <v>991</v>
      </c>
      <c r="AV1769" t="s">
        <v>992</v>
      </c>
      <c r="AW1769" t="s">
        <v>993</v>
      </c>
      <c r="AX1769" s="8" t="str">
        <f>"54301"</f>
        <v>54301</v>
      </c>
      <c r="AY1769" t="s">
        <v>118</v>
      </c>
      <c r="BA1769" s="10">
        <v>18004140978</v>
      </c>
      <c r="BC1769" t="s">
        <v>994</v>
      </c>
      <c r="BD1769" t="s">
        <v>995</v>
      </c>
      <c r="BE1769" t="s">
        <v>581</v>
      </c>
      <c r="BF1769" t="s">
        <v>996</v>
      </c>
      <c r="BG1769" t="s">
        <v>211</v>
      </c>
      <c r="BH1769" s="1">
        <v>45133.833333333336</v>
      </c>
      <c r="BI1769">
        <v>40</v>
      </c>
      <c r="BJ1769">
        <v>0</v>
      </c>
      <c r="BK1769">
        <v>8</v>
      </c>
      <c r="BL1769">
        <v>8</v>
      </c>
      <c r="BM1769">
        <v>8</v>
      </c>
      <c r="BN1769">
        <v>8</v>
      </c>
      <c r="BO1769">
        <v>8</v>
      </c>
      <c r="BP1769">
        <v>0</v>
      </c>
      <c r="BQ1769" t="str">
        <f>"8:00 AM"</f>
        <v>8:00 AM</v>
      </c>
      <c r="BR1769" t="str">
        <f>"4:30 PM"</f>
        <v>4:30 PM</v>
      </c>
      <c r="BS1769" t="s">
        <v>131</v>
      </c>
      <c r="BT1769">
        <v>0</v>
      </c>
      <c r="BU1769">
        <v>0</v>
      </c>
      <c r="BV1769" t="s">
        <v>114</v>
      </c>
      <c r="BX1769" s="2" t="s">
        <v>13207</v>
      </c>
      <c r="BY1769" t="s">
        <v>13204</v>
      </c>
      <c r="CA1769" t="s">
        <v>1477</v>
      </c>
      <c r="CB1769" t="s">
        <v>211</v>
      </c>
      <c r="CC1769" s="8" t="str">
        <f>"84404"</f>
        <v>84404</v>
      </c>
      <c r="CD1769" t="s">
        <v>1481</v>
      </c>
      <c r="CE1769" t="s">
        <v>1482</v>
      </c>
      <c r="CF1769" s="12">
        <v>17.2</v>
      </c>
      <c r="CG1769" s="12">
        <v>18</v>
      </c>
      <c r="CH1769" s="12">
        <v>25.8</v>
      </c>
      <c r="CI1769" s="12">
        <v>27</v>
      </c>
      <c r="CJ1769" t="s">
        <v>135</v>
      </c>
      <c r="CK1769" t="s">
        <v>13208</v>
      </c>
      <c r="CL1769" t="s">
        <v>13209</v>
      </c>
      <c r="CO1769" t="s">
        <v>132</v>
      </c>
      <c r="CP1769" t="s">
        <v>136</v>
      </c>
      <c r="CQ1769" t="s">
        <v>136</v>
      </c>
      <c r="CR1769" t="s">
        <v>136</v>
      </c>
      <c r="CS1769" t="s">
        <v>136</v>
      </c>
      <c r="CT1769" t="s">
        <v>136</v>
      </c>
      <c r="CU1769" t="s">
        <v>136</v>
      </c>
      <c r="CV1769" t="s">
        <v>13210</v>
      </c>
      <c r="CW1769" s="10" t="str">
        <f>"+18017321200"</f>
        <v>+18017321200</v>
      </c>
      <c r="CX1769" t="s">
        <v>7779</v>
      </c>
      <c r="CY1769" t="s">
        <v>132</v>
      </c>
      <c r="CZ1769" t="s">
        <v>137</v>
      </c>
      <c r="DA1769" t="s">
        <v>114</v>
      </c>
      <c r="DB1769" t="s">
        <v>114</v>
      </c>
      <c r="DC1769" t="s">
        <v>136</v>
      </c>
      <c r="DD1769" t="s">
        <v>114</v>
      </c>
    </row>
    <row r="1770" spans="1:113" ht="15" customHeight="1" x14ac:dyDescent="0.25">
      <c r="A1770" t="s">
        <v>22481</v>
      </c>
      <c r="B1770" t="s">
        <v>152</v>
      </c>
      <c r="C1770" s="1">
        <v>45134.519053356482</v>
      </c>
      <c r="D1770" s="1">
        <v>45201</v>
      </c>
      <c r="E1770" t="s">
        <v>136</v>
      </c>
      <c r="F1770" t="s">
        <v>2310</v>
      </c>
      <c r="G1770" t="str">
        <f>"35-2012.00"</f>
        <v>35-2012.00</v>
      </c>
      <c r="H1770" t="s">
        <v>7839</v>
      </c>
      <c r="I1770">
        <v>35</v>
      </c>
      <c r="J1770">
        <v>35</v>
      </c>
      <c r="K1770" s="1">
        <v>45224</v>
      </c>
      <c r="L1770" s="1">
        <v>45397</v>
      </c>
      <c r="M1770" s="1">
        <v>45224</v>
      </c>
      <c r="N1770" s="1">
        <v>45397</v>
      </c>
      <c r="O1770" t="s">
        <v>116</v>
      </c>
      <c r="P1770" t="s">
        <v>9860</v>
      </c>
      <c r="Q1770" t="s">
        <v>9861</v>
      </c>
      <c r="R1770" t="s">
        <v>9862</v>
      </c>
      <c r="T1770" t="s">
        <v>9863</v>
      </c>
      <c r="U1770" t="s">
        <v>506</v>
      </c>
      <c r="V1770" s="8" t="str">
        <f>"05751"</f>
        <v>05751</v>
      </c>
      <c r="W1770" t="s">
        <v>118</v>
      </c>
      <c r="Y1770" s="10">
        <v>18024226100</v>
      </c>
      <c r="AA1770">
        <v>721110</v>
      </c>
      <c r="AB1770" t="s">
        <v>7695</v>
      </c>
      <c r="AC1770" t="s">
        <v>1808</v>
      </c>
      <c r="AE1770" t="s">
        <v>9864</v>
      </c>
      <c r="AF1770" t="s">
        <v>9862</v>
      </c>
      <c r="AH1770" t="s">
        <v>9863</v>
      </c>
      <c r="AI1770" t="s">
        <v>506</v>
      </c>
      <c r="AJ1770" s="8" t="str">
        <f>"05751"</f>
        <v>05751</v>
      </c>
      <c r="AK1770" t="s">
        <v>118</v>
      </c>
      <c r="AM1770" s="10">
        <v>18024226100</v>
      </c>
      <c r="AO1770" t="s">
        <v>9865</v>
      </c>
      <c r="AP1770" t="s">
        <v>121</v>
      </c>
      <c r="AQ1770" t="s">
        <v>276</v>
      </c>
      <c r="AR1770" t="s">
        <v>277</v>
      </c>
      <c r="AS1770" t="s">
        <v>278</v>
      </c>
      <c r="AT1770" t="s">
        <v>279</v>
      </c>
      <c r="AU1770" t="s">
        <v>280</v>
      </c>
      <c r="AV1770" t="s">
        <v>281</v>
      </c>
      <c r="AW1770" t="s">
        <v>222</v>
      </c>
      <c r="AX1770" s="8" t="str">
        <f>"01701"</f>
        <v>01701</v>
      </c>
      <c r="AY1770" t="s">
        <v>118</v>
      </c>
      <c r="BA1770" s="10">
        <v>16179399444</v>
      </c>
      <c r="BC1770" t="s">
        <v>282</v>
      </c>
      <c r="BD1770" t="s">
        <v>283</v>
      </c>
      <c r="BE1770" t="s">
        <v>222</v>
      </c>
      <c r="BF1770" t="s">
        <v>284</v>
      </c>
      <c r="BG1770" t="s">
        <v>506</v>
      </c>
      <c r="BH1770" s="1">
        <v>45133.833333333336</v>
      </c>
      <c r="BI1770">
        <v>35</v>
      </c>
      <c r="BJ1770">
        <v>0</v>
      </c>
      <c r="BK1770">
        <v>7</v>
      </c>
      <c r="BL1770">
        <v>7</v>
      </c>
      <c r="BM1770">
        <v>7</v>
      </c>
      <c r="BN1770">
        <v>7</v>
      </c>
      <c r="BO1770">
        <v>7</v>
      </c>
      <c r="BP1770">
        <v>0</v>
      </c>
      <c r="BQ1770" t="str">
        <f>"7:00 AM"</f>
        <v>7:00 AM</v>
      </c>
      <c r="BR1770" t="str">
        <f>"2:00 PM"</f>
        <v>2:00 PM</v>
      </c>
      <c r="BS1770" t="s">
        <v>131</v>
      </c>
      <c r="BT1770">
        <v>0</v>
      </c>
      <c r="BU1770">
        <v>6</v>
      </c>
      <c r="BV1770" t="s">
        <v>114</v>
      </c>
      <c r="BX1770" s="2" t="s">
        <v>22482</v>
      </c>
      <c r="BY1770" t="s">
        <v>9862</v>
      </c>
      <c r="CA1770" t="s">
        <v>9863</v>
      </c>
      <c r="CB1770" t="s">
        <v>506</v>
      </c>
      <c r="CC1770" s="8" t="str">
        <f>"05751"</f>
        <v>05751</v>
      </c>
      <c r="CD1770" t="s">
        <v>8124</v>
      </c>
      <c r="CE1770" t="s">
        <v>523</v>
      </c>
      <c r="CF1770" s="12">
        <v>20</v>
      </c>
      <c r="CG1770" s="12">
        <v>35</v>
      </c>
      <c r="CH1770" s="12">
        <v>30</v>
      </c>
      <c r="CI1770" s="12">
        <v>52.5</v>
      </c>
      <c r="CJ1770" t="s">
        <v>135</v>
      </c>
      <c r="CK1770" t="s">
        <v>22483</v>
      </c>
      <c r="CL1770" t="s">
        <v>22484</v>
      </c>
      <c r="CO1770" t="s">
        <v>132</v>
      </c>
      <c r="CP1770" t="s">
        <v>136</v>
      </c>
      <c r="CQ1770" t="s">
        <v>114</v>
      </c>
      <c r="CR1770" t="s">
        <v>136</v>
      </c>
      <c r="CS1770" t="s">
        <v>136</v>
      </c>
      <c r="CT1770" t="s">
        <v>136</v>
      </c>
      <c r="CU1770" t="s">
        <v>136</v>
      </c>
      <c r="CV1770" t="s">
        <v>9869</v>
      </c>
      <c r="CW1770" s="10" t="str">
        <f>"+18024226821"</f>
        <v>+18024226821</v>
      </c>
      <c r="CX1770" t="s">
        <v>9865</v>
      </c>
      <c r="CY1770" t="s">
        <v>132</v>
      </c>
      <c r="CZ1770" t="s">
        <v>137</v>
      </c>
      <c r="DA1770" t="s">
        <v>114</v>
      </c>
      <c r="DB1770" t="s">
        <v>114</v>
      </c>
      <c r="DC1770" t="s">
        <v>136</v>
      </c>
      <c r="DD1770" t="s">
        <v>114</v>
      </c>
    </row>
    <row r="1771" spans="1:113" ht="15" customHeight="1" x14ac:dyDescent="0.25">
      <c r="A1771" t="s">
        <v>21798</v>
      </c>
      <c r="B1771" t="s">
        <v>152</v>
      </c>
      <c r="C1771" s="1">
        <v>45134.451590625002</v>
      </c>
      <c r="D1771" s="1">
        <v>45201</v>
      </c>
      <c r="E1771" t="s">
        <v>114</v>
      </c>
      <c r="F1771" t="s">
        <v>4718</v>
      </c>
      <c r="G1771" t="str">
        <f>"37-2012.00"</f>
        <v>37-2012.00</v>
      </c>
      <c r="H1771" t="s">
        <v>205</v>
      </c>
      <c r="I1771">
        <v>16</v>
      </c>
      <c r="J1771">
        <v>16</v>
      </c>
      <c r="K1771" s="1">
        <v>45224</v>
      </c>
      <c r="L1771" s="1">
        <v>45383</v>
      </c>
      <c r="M1771" s="1">
        <v>45224</v>
      </c>
      <c r="N1771" s="1">
        <v>45383</v>
      </c>
      <c r="O1771" t="s">
        <v>116</v>
      </c>
      <c r="P1771" t="s">
        <v>6624</v>
      </c>
      <c r="Q1771" t="s">
        <v>6625</v>
      </c>
      <c r="R1771" t="s">
        <v>6626</v>
      </c>
      <c r="T1771" t="s">
        <v>6627</v>
      </c>
      <c r="U1771" t="s">
        <v>402</v>
      </c>
      <c r="V1771" s="8" t="str">
        <f>"96161"</f>
        <v>96161</v>
      </c>
      <c r="W1771" t="s">
        <v>118</v>
      </c>
      <c r="Y1771" s="10">
        <v>15305621010</v>
      </c>
      <c r="AA1771">
        <v>713920</v>
      </c>
      <c r="AB1771" t="s">
        <v>507</v>
      </c>
      <c r="AC1771" t="s">
        <v>508</v>
      </c>
      <c r="AE1771" t="s">
        <v>509</v>
      </c>
      <c r="AF1771" t="s">
        <v>510</v>
      </c>
      <c r="AH1771" t="s">
        <v>511</v>
      </c>
      <c r="AI1771" t="s">
        <v>188</v>
      </c>
      <c r="AJ1771" s="8" t="str">
        <f>"80021"</f>
        <v>80021</v>
      </c>
      <c r="AK1771" t="s">
        <v>118</v>
      </c>
      <c r="AM1771" s="10">
        <v>13034041800</v>
      </c>
      <c r="AO1771" t="s">
        <v>512</v>
      </c>
      <c r="AP1771" t="s">
        <v>121</v>
      </c>
      <c r="AQ1771" t="s">
        <v>513</v>
      </c>
      <c r="AR1771" t="s">
        <v>514</v>
      </c>
      <c r="AS1771" t="s">
        <v>515</v>
      </c>
      <c r="AT1771" t="s">
        <v>516</v>
      </c>
      <c r="AU1771" t="s">
        <v>517</v>
      </c>
      <c r="AV1771" t="s">
        <v>518</v>
      </c>
      <c r="AW1771" t="s">
        <v>402</v>
      </c>
      <c r="AX1771" s="8" t="str">
        <f>"90071"</f>
        <v>90071</v>
      </c>
      <c r="AY1771" t="s">
        <v>118</v>
      </c>
      <c r="BA1771" s="10">
        <v>13108203322</v>
      </c>
      <c r="BC1771" t="s">
        <v>519</v>
      </c>
      <c r="BD1771" t="s">
        <v>520</v>
      </c>
      <c r="BE1771" t="s">
        <v>188</v>
      </c>
      <c r="BF1771" t="s">
        <v>172</v>
      </c>
      <c r="BG1771" t="s">
        <v>402</v>
      </c>
      <c r="BH1771" s="1">
        <v>45132.833333333336</v>
      </c>
      <c r="BI1771">
        <v>35</v>
      </c>
      <c r="BJ1771">
        <v>5</v>
      </c>
      <c r="BK1771">
        <v>5</v>
      </c>
      <c r="BL1771">
        <v>5</v>
      </c>
      <c r="BM1771">
        <v>5</v>
      </c>
      <c r="BN1771">
        <v>5</v>
      </c>
      <c r="BO1771">
        <v>5</v>
      </c>
      <c r="BP1771">
        <v>5</v>
      </c>
      <c r="BQ1771" t="str">
        <f>"8:00 AM"</f>
        <v>8:00 AM</v>
      </c>
      <c r="BR1771" t="str">
        <f>"5:00 PM"</f>
        <v>5:00 PM</v>
      </c>
      <c r="BS1771" t="s">
        <v>131</v>
      </c>
      <c r="BT1771">
        <v>0</v>
      </c>
      <c r="BU1771">
        <v>12</v>
      </c>
      <c r="BV1771" t="s">
        <v>114</v>
      </c>
      <c r="BX1771" s="2" t="s">
        <v>6533</v>
      </c>
      <c r="BY1771" t="s">
        <v>6628</v>
      </c>
      <c r="CA1771" t="s">
        <v>6627</v>
      </c>
      <c r="CB1771" t="s">
        <v>402</v>
      </c>
      <c r="CC1771" s="8" t="str">
        <f>"96161"</f>
        <v>96161</v>
      </c>
      <c r="CD1771" t="s">
        <v>4745</v>
      </c>
      <c r="CE1771" t="s">
        <v>728</v>
      </c>
      <c r="CF1771" s="12">
        <v>20</v>
      </c>
      <c r="CG1771" s="12">
        <v>22.76</v>
      </c>
      <c r="CH1771" s="12">
        <v>30</v>
      </c>
      <c r="CI1771" s="12">
        <v>34.14</v>
      </c>
      <c r="CJ1771" t="s">
        <v>135</v>
      </c>
      <c r="CK1771" t="s">
        <v>524</v>
      </c>
      <c r="CL1771" t="s">
        <v>21799</v>
      </c>
      <c r="CO1771" t="s">
        <v>132</v>
      </c>
      <c r="CP1771" t="s">
        <v>136</v>
      </c>
      <c r="CQ1771" t="s">
        <v>114</v>
      </c>
      <c r="CR1771" t="s">
        <v>136</v>
      </c>
      <c r="CS1771" t="s">
        <v>114</v>
      </c>
      <c r="CT1771" t="s">
        <v>136</v>
      </c>
      <c r="CU1771" t="s">
        <v>136</v>
      </c>
      <c r="CV1771" t="s">
        <v>21800</v>
      </c>
      <c r="CW1771" s="10" t="str">
        <f>"+13034041800"</f>
        <v>+13034041800</v>
      </c>
      <c r="CX1771" t="s">
        <v>512</v>
      </c>
      <c r="CY1771" t="s">
        <v>132</v>
      </c>
      <c r="CZ1771" t="s">
        <v>137</v>
      </c>
      <c r="DA1771" t="s">
        <v>114</v>
      </c>
      <c r="DB1771" t="s">
        <v>114</v>
      </c>
      <c r="DC1771" t="s">
        <v>136</v>
      </c>
      <c r="DD1771" t="s">
        <v>114</v>
      </c>
      <c r="DE1771" t="s">
        <v>527</v>
      </c>
      <c r="DF1771" t="s">
        <v>528</v>
      </c>
      <c r="DG1771" t="s">
        <v>732</v>
      </c>
      <c r="DH1771" t="s">
        <v>520</v>
      </c>
      <c r="DI1771" t="s">
        <v>529</v>
      </c>
    </row>
    <row r="1772" spans="1:113" ht="15" customHeight="1" x14ac:dyDescent="0.25">
      <c r="A1772" t="s">
        <v>15606</v>
      </c>
      <c r="B1772" t="s">
        <v>152</v>
      </c>
      <c r="C1772" s="1">
        <v>45133.633297569446</v>
      </c>
      <c r="D1772" s="1">
        <v>45201</v>
      </c>
      <c r="E1772" t="s">
        <v>114</v>
      </c>
      <c r="F1772" t="s">
        <v>5756</v>
      </c>
      <c r="G1772" t="str">
        <f>"35-2014.00"</f>
        <v>35-2014.00</v>
      </c>
      <c r="H1772" t="s">
        <v>154</v>
      </c>
      <c r="I1772">
        <v>2</v>
      </c>
      <c r="J1772">
        <v>2</v>
      </c>
      <c r="K1772" s="1">
        <v>45208</v>
      </c>
      <c r="L1772" s="1">
        <v>45443</v>
      </c>
      <c r="M1772" s="1">
        <v>45208</v>
      </c>
      <c r="N1772" s="1">
        <v>45443</v>
      </c>
      <c r="O1772" t="s">
        <v>238</v>
      </c>
      <c r="P1772" t="s">
        <v>15607</v>
      </c>
      <c r="R1772" t="s">
        <v>15608</v>
      </c>
      <c r="T1772" t="s">
        <v>6179</v>
      </c>
      <c r="U1772" t="s">
        <v>140</v>
      </c>
      <c r="V1772" s="8" t="str">
        <f>"34212"</f>
        <v>34212</v>
      </c>
      <c r="W1772" t="s">
        <v>118</v>
      </c>
      <c r="Y1772" s="10">
        <v>19417476898</v>
      </c>
      <c r="AA1772">
        <v>62399</v>
      </c>
      <c r="AB1772" t="s">
        <v>15609</v>
      </c>
      <c r="AC1772" t="s">
        <v>355</v>
      </c>
      <c r="AE1772" t="s">
        <v>438</v>
      </c>
      <c r="AF1772" t="s">
        <v>15608</v>
      </c>
      <c r="AH1772" t="s">
        <v>6179</v>
      </c>
      <c r="AI1772" t="s">
        <v>140</v>
      </c>
      <c r="AJ1772" s="8" t="str">
        <f>"34212"</f>
        <v>34212</v>
      </c>
      <c r="AK1772" t="s">
        <v>118</v>
      </c>
      <c r="AM1772" s="10">
        <v>19417476898</v>
      </c>
      <c r="AO1772" t="s">
        <v>132</v>
      </c>
      <c r="AP1772" t="s">
        <v>248</v>
      </c>
      <c r="AQ1772" t="s">
        <v>354</v>
      </c>
      <c r="AR1772" t="s">
        <v>355</v>
      </c>
      <c r="AT1772" t="s">
        <v>356</v>
      </c>
      <c r="AV1772" t="s">
        <v>357</v>
      </c>
      <c r="AW1772" t="s">
        <v>358</v>
      </c>
      <c r="AX1772" s="8" t="str">
        <f>"11590"</f>
        <v>11590</v>
      </c>
      <c r="AY1772" t="s">
        <v>118</v>
      </c>
      <c r="BA1772" s="10">
        <v>15163307168</v>
      </c>
      <c r="BC1772" t="s">
        <v>359</v>
      </c>
      <c r="BD1772" t="s">
        <v>360</v>
      </c>
      <c r="BG1772" t="s">
        <v>140</v>
      </c>
      <c r="BH1772" s="1">
        <v>45125.833333333336</v>
      </c>
      <c r="BI1772">
        <v>40</v>
      </c>
      <c r="BJ1772">
        <v>8</v>
      </c>
      <c r="BK1772">
        <v>0</v>
      </c>
      <c r="BL1772">
        <v>8</v>
      </c>
      <c r="BM1772">
        <v>0</v>
      </c>
      <c r="BN1772">
        <v>8</v>
      </c>
      <c r="BO1772">
        <v>8</v>
      </c>
      <c r="BP1772">
        <v>8</v>
      </c>
      <c r="BQ1772" t="str">
        <f>"6:00 AM"</f>
        <v>6:00 AM</v>
      </c>
      <c r="BR1772" t="str">
        <f>"10:00 PM"</f>
        <v>10:00 PM</v>
      </c>
      <c r="BS1772" t="s">
        <v>131</v>
      </c>
      <c r="BT1772">
        <v>0</v>
      </c>
      <c r="BU1772">
        <v>3</v>
      </c>
      <c r="BV1772" t="s">
        <v>114</v>
      </c>
      <c r="BX1772" t="s">
        <v>796</v>
      </c>
      <c r="BY1772" t="s">
        <v>15608</v>
      </c>
      <c r="CA1772" t="s">
        <v>6179</v>
      </c>
      <c r="CB1772" t="s">
        <v>140</v>
      </c>
      <c r="CC1772" s="8" t="str">
        <f>"34212"</f>
        <v>34212</v>
      </c>
      <c r="CD1772" t="s">
        <v>1729</v>
      </c>
      <c r="CE1772" t="s">
        <v>1730</v>
      </c>
      <c r="CF1772" s="12">
        <v>20</v>
      </c>
      <c r="CG1772" s="12">
        <v>20</v>
      </c>
      <c r="CH1772" s="12">
        <v>30</v>
      </c>
      <c r="CI1772" s="12">
        <v>30</v>
      </c>
      <c r="CJ1772" t="s">
        <v>135</v>
      </c>
      <c r="CK1772" t="s">
        <v>15610</v>
      </c>
      <c r="CL1772" t="s">
        <v>15611</v>
      </c>
      <c r="CO1772" t="s">
        <v>132</v>
      </c>
      <c r="CP1772" t="s">
        <v>114</v>
      </c>
      <c r="CQ1772" t="s">
        <v>114</v>
      </c>
      <c r="CR1772" t="s">
        <v>136</v>
      </c>
      <c r="CS1772" t="s">
        <v>114</v>
      </c>
      <c r="CT1772" t="s">
        <v>136</v>
      </c>
      <c r="CU1772" t="s">
        <v>136</v>
      </c>
      <c r="CV1772" t="s">
        <v>15610</v>
      </c>
      <c r="CW1772" s="10" t="str">
        <f>"+19417476898"</f>
        <v>+19417476898</v>
      </c>
      <c r="CX1772" t="s">
        <v>15612</v>
      </c>
      <c r="CY1772" t="s">
        <v>132</v>
      </c>
      <c r="CZ1772" t="s">
        <v>137</v>
      </c>
      <c r="DA1772" t="s">
        <v>114</v>
      </c>
      <c r="DB1772" t="s">
        <v>114</v>
      </c>
      <c r="DC1772" t="s">
        <v>136</v>
      </c>
      <c r="DD1772" t="s">
        <v>114</v>
      </c>
    </row>
    <row r="1773" spans="1:113" ht="15" customHeight="1" x14ac:dyDescent="0.25">
      <c r="A1773" t="s">
        <v>8946</v>
      </c>
      <c r="B1773" t="s">
        <v>152</v>
      </c>
      <c r="C1773" s="1">
        <v>45133.498793981482</v>
      </c>
      <c r="D1773" s="1">
        <v>45201</v>
      </c>
      <c r="E1773" t="s">
        <v>114</v>
      </c>
      <c r="F1773" t="s">
        <v>8947</v>
      </c>
      <c r="G1773" t="str">
        <f>"37-3011.00"</f>
        <v>37-3011.00</v>
      </c>
      <c r="H1773" t="s">
        <v>429</v>
      </c>
      <c r="I1773">
        <v>2</v>
      </c>
      <c r="J1773">
        <v>2</v>
      </c>
      <c r="K1773" s="1">
        <v>45208</v>
      </c>
      <c r="L1773" s="1">
        <v>45261</v>
      </c>
      <c r="M1773" s="1">
        <v>45208</v>
      </c>
      <c r="N1773" s="1">
        <v>45261</v>
      </c>
      <c r="O1773" t="s">
        <v>238</v>
      </c>
      <c r="P1773" t="s">
        <v>8948</v>
      </c>
      <c r="R1773" t="s">
        <v>8949</v>
      </c>
      <c r="T1773" t="s">
        <v>8950</v>
      </c>
      <c r="U1773" t="s">
        <v>375</v>
      </c>
      <c r="V1773" s="8" t="str">
        <f>"28349"</f>
        <v>28349</v>
      </c>
      <c r="W1773" t="s">
        <v>118</v>
      </c>
      <c r="Y1773" s="10">
        <v>19102966111</v>
      </c>
      <c r="AA1773">
        <v>56173</v>
      </c>
      <c r="AB1773" t="s">
        <v>8951</v>
      </c>
      <c r="AC1773" t="s">
        <v>144</v>
      </c>
      <c r="AE1773" t="s">
        <v>561</v>
      </c>
      <c r="AF1773" t="s">
        <v>8949</v>
      </c>
      <c r="AH1773" t="s">
        <v>8950</v>
      </c>
      <c r="AI1773" t="s">
        <v>375</v>
      </c>
      <c r="AJ1773" s="8" t="str">
        <f>"28349"</f>
        <v>28349</v>
      </c>
      <c r="AK1773" t="s">
        <v>118</v>
      </c>
      <c r="AM1773" s="10">
        <v>19102966111</v>
      </c>
      <c r="AO1773" t="s">
        <v>132</v>
      </c>
      <c r="AP1773" t="s">
        <v>248</v>
      </c>
      <c r="AQ1773" t="s">
        <v>577</v>
      </c>
      <c r="AR1773" t="s">
        <v>578</v>
      </c>
      <c r="AT1773" t="s">
        <v>579</v>
      </c>
      <c r="AV1773" t="s">
        <v>580</v>
      </c>
      <c r="AW1773" t="s">
        <v>581</v>
      </c>
      <c r="AX1773" s="8" t="str">
        <f>"22903"</f>
        <v>22903</v>
      </c>
      <c r="AY1773" t="s">
        <v>118</v>
      </c>
      <c r="BA1773" s="10">
        <v>14342634300</v>
      </c>
      <c r="BC1773" t="s">
        <v>582</v>
      </c>
      <c r="BD1773" t="s">
        <v>583</v>
      </c>
      <c r="BG1773" t="s">
        <v>375</v>
      </c>
      <c r="BH1773" s="1">
        <v>45132.833333333336</v>
      </c>
      <c r="BI1773">
        <v>40</v>
      </c>
      <c r="BJ1773">
        <v>0</v>
      </c>
      <c r="BK1773">
        <v>8</v>
      </c>
      <c r="BL1773">
        <v>8</v>
      </c>
      <c r="BM1773">
        <v>8</v>
      </c>
      <c r="BN1773">
        <v>8</v>
      </c>
      <c r="BO1773">
        <v>8</v>
      </c>
      <c r="BP1773">
        <v>0</v>
      </c>
      <c r="BQ1773" t="str">
        <f>"7:00 AM"</f>
        <v>7:00 AM</v>
      </c>
      <c r="BR1773" t="str">
        <f>"4:30 PM"</f>
        <v>4:30 PM</v>
      </c>
      <c r="BS1773" t="s">
        <v>131</v>
      </c>
      <c r="BT1773">
        <v>0</v>
      </c>
      <c r="BU1773">
        <v>3</v>
      </c>
      <c r="BV1773" t="s">
        <v>114</v>
      </c>
      <c r="BX1773" s="2" t="s">
        <v>8952</v>
      </c>
      <c r="BY1773" t="s">
        <v>8949</v>
      </c>
      <c r="CA1773" t="s">
        <v>8950</v>
      </c>
      <c r="CB1773" t="s">
        <v>375</v>
      </c>
      <c r="CC1773" s="8" t="str">
        <f>"28349"</f>
        <v>28349</v>
      </c>
      <c r="CD1773" t="s">
        <v>8953</v>
      </c>
      <c r="CE1773" t="s">
        <v>8851</v>
      </c>
      <c r="CF1773" s="12">
        <v>15.46</v>
      </c>
      <c r="CH1773" s="12">
        <v>23.19</v>
      </c>
      <c r="CJ1773" t="s">
        <v>135</v>
      </c>
      <c r="CK1773" t="s">
        <v>590</v>
      </c>
      <c r="CL1773" t="s">
        <v>8954</v>
      </c>
      <c r="CO1773" t="s">
        <v>132</v>
      </c>
      <c r="CP1773" t="s">
        <v>114</v>
      </c>
      <c r="CQ1773" t="s">
        <v>136</v>
      </c>
      <c r="CR1773" t="s">
        <v>136</v>
      </c>
      <c r="CS1773" t="s">
        <v>114</v>
      </c>
      <c r="CT1773" t="s">
        <v>136</v>
      </c>
      <c r="CU1773" t="s">
        <v>136</v>
      </c>
      <c r="CV1773" t="s">
        <v>8955</v>
      </c>
      <c r="CW1773" s="10" t="str">
        <f>"+19102904180"</f>
        <v>+19102904180</v>
      </c>
      <c r="CX1773" t="s">
        <v>132</v>
      </c>
      <c r="CY1773" t="s">
        <v>1954</v>
      </c>
      <c r="CZ1773" t="s">
        <v>137</v>
      </c>
      <c r="DA1773" t="s">
        <v>114</v>
      </c>
      <c r="DB1773" t="s">
        <v>136</v>
      </c>
      <c r="DC1773" t="s">
        <v>136</v>
      </c>
      <c r="DD1773" t="s">
        <v>114</v>
      </c>
      <c r="DE1773" t="s">
        <v>595</v>
      </c>
      <c r="DF1773" t="s">
        <v>596</v>
      </c>
      <c r="DH1773" t="s">
        <v>583</v>
      </c>
      <c r="DI1773" t="s">
        <v>582</v>
      </c>
    </row>
    <row r="1774" spans="1:113" ht="15" customHeight="1" x14ac:dyDescent="0.25">
      <c r="A1774" t="s">
        <v>24199</v>
      </c>
      <c r="B1774" t="s">
        <v>152</v>
      </c>
      <c r="C1774" s="1">
        <v>45132.938463773149</v>
      </c>
      <c r="D1774" s="1">
        <v>45201</v>
      </c>
      <c r="E1774" t="s">
        <v>114</v>
      </c>
      <c r="F1774" t="s">
        <v>1797</v>
      </c>
      <c r="G1774" t="str">
        <f>"47-2051.00"</f>
        <v>47-2051.00</v>
      </c>
      <c r="H1774" t="s">
        <v>1291</v>
      </c>
      <c r="I1774">
        <v>9</v>
      </c>
      <c r="J1774">
        <v>9</v>
      </c>
      <c r="K1774" s="1">
        <v>45207</v>
      </c>
      <c r="L1774" s="1">
        <v>45275</v>
      </c>
      <c r="M1774" s="1">
        <v>45207</v>
      </c>
      <c r="N1774" s="1">
        <v>45275</v>
      </c>
      <c r="O1774" t="s">
        <v>238</v>
      </c>
      <c r="P1774" t="s">
        <v>2765</v>
      </c>
      <c r="Q1774" t="s">
        <v>132</v>
      </c>
      <c r="R1774" t="s">
        <v>2766</v>
      </c>
      <c r="S1774" t="s">
        <v>132</v>
      </c>
      <c r="T1774" t="s">
        <v>2029</v>
      </c>
      <c r="U1774" t="s">
        <v>2030</v>
      </c>
      <c r="V1774" s="8" t="str">
        <f>"57212"</f>
        <v>57212</v>
      </c>
      <c r="W1774" t="s">
        <v>118</v>
      </c>
      <c r="X1774" t="s">
        <v>132</v>
      </c>
      <c r="Y1774" s="10">
        <v>16052031362</v>
      </c>
      <c r="AA1774">
        <v>238110</v>
      </c>
      <c r="AB1774" t="s">
        <v>2031</v>
      </c>
      <c r="AC1774" t="s">
        <v>2032</v>
      </c>
      <c r="AD1774" t="s">
        <v>132</v>
      </c>
      <c r="AE1774" t="s">
        <v>561</v>
      </c>
      <c r="AF1774" t="s">
        <v>2033</v>
      </c>
      <c r="AH1774" t="s">
        <v>2029</v>
      </c>
      <c r="AI1774" t="s">
        <v>2030</v>
      </c>
      <c r="AJ1774" s="8" t="str">
        <f>"57212"</f>
        <v>57212</v>
      </c>
      <c r="AK1774" t="s">
        <v>118</v>
      </c>
      <c r="AM1774" s="10">
        <v>16052031362</v>
      </c>
      <c r="AO1774" t="s">
        <v>2034</v>
      </c>
      <c r="AP1774" t="s">
        <v>121</v>
      </c>
      <c r="AQ1774" t="s">
        <v>929</v>
      </c>
      <c r="AR1774" t="s">
        <v>930</v>
      </c>
      <c r="AS1774" t="s">
        <v>931</v>
      </c>
      <c r="AT1774" t="s">
        <v>932</v>
      </c>
      <c r="AU1774" t="s">
        <v>132</v>
      </c>
      <c r="AV1774" t="s">
        <v>933</v>
      </c>
      <c r="AW1774" t="s">
        <v>740</v>
      </c>
      <c r="AX1774" s="8" t="str">
        <f>"50010"</f>
        <v>50010</v>
      </c>
      <c r="AY1774" t="s">
        <v>118</v>
      </c>
      <c r="BA1774" s="10">
        <v>15152324444</v>
      </c>
      <c r="BB1774">
        <v>0</v>
      </c>
      <c r="BC1774" t="s">
        <v>934</v>
      </c>
      <c r="BD1774" t="s">
        <v>935</v>
      </c>
      <c r="BE1774" t="s">
        <v>740</v>
      </c>
      <c r="BF1774" t="s">
        <v>172</v>
      </c>
      <c r="BG1774" t="s">
        <v>819</v>
      </c>
      <c r="BH1774" s="1">
        <v>45131.833333333336</v>
      </c>
      <c r="BI1774">
        <v>40</v>
      </c>
      <c r="BJ1774">
        <v>0</v>
      </c>
      <c r="BK1774">
        <v>8</v>
      </c>
      <c r="BL1774">
        <v>8</v>
      </c>
      <c r="BM1774">
        <v>8</v>
      </c>
      <c r="BN1774">
        <v>8</v>
      </c>
      <c r="BO1774">
        <v>8</v>
      </c>
      <c r="BP1774">
        <v>0</v>
      </c>
      <c r="BQ1774" t="str">
        <f>"7:00 AM"</f>
        <v>7:00 AM</v>
      </c>
      <c r="BR1774" t="str">
        <f>"5:00 PM"</f>
        <v>5:00 PM</v>
      </c>
      <c r="BS1774" t="s">
        <v>131</v>
      </c>
      <c r="BT1774">
        <v>0</v>
      </c>
      <c r="BU1774">
        <v>3</v>
      </c>
      <c r="BV1774" t="s">
        <v>114</v>
      </c>
      <c r="BX1774" s="2" t="s">
        <v>24200</v>
      </c>
      <c r="BY1774" t="s">
        <v>18033</v>
      </c>
      <c r="CA1774" t="s">
        <v>18034</v>
      </c>
      <c r="CB1774" t="s">
        <v>819</v>
      </c>
      <c r="CC1774" s="8" t="str">
        <f>"46173"</f>
        <v>46173</v>
      </c>
      <c r="CD1774" t="s">
        <v>18035</v>
      </c>
      <c r="CE1774" t="s">
        <v>2037</v>
      </c>
      <c r="CF1774" s="12">
        <v>21.09</v>
      </c>
      <c r="CH1774" s="12">
        <v>31.64</v>
      </c>
      <c r="CJ1774" t="s">
        <v>135</v>
      </c>
      <c r="CK1774" t="s">
        <v>14443</v>
      </c>
      <c r="CL1774" t="s">
        <v>24201</v>
      </c>
      <c r="CO1774" t="s">
        <v>132</v>
      </c>
      <c r="CP1774" t="s">
        <v>114</v>
      </c>
      <c r="CQ1774" t="s">
        <v>136</v>
      </c>
      <c r="CR1774" t="s">
        <v>136</v>
      </c>
      <c r="CS1774" t="s">
        <v>136</v>
      </c>
      <c r="CT1774" t="s">
        <v>136</v>
      </c>
      <c r="CU1774" t="s">
        <v>136</v>
      </c>
      <c r="CV1774" t="s">
        <v>24202</v>
      </c>
      <c r="CW1774" s="10" t="str">
        <f>"+16052031362"</f>
        <v>+16052031362</v>
      </c>
      <c r="CX1774" t="s">
        <v>2034</v>
      </c>
      <c r="CY1774" t="s">
        <v>132</v>
      </c>
      <c r="CZ1774" t="s">
        <v>137</v>
      </c>
      <c r="DA1774" t="s">
        <v>114</v>
      </c>
      <c r="DB1774" t="s">
        <v>114</v>
      </c>
      <c r="DC1774" t="s">
        <v>136</v>
      </c>
      <c r="DD1774" t="s">
        <v>114</v>
      </c>
    </row>
    <row r="1775" spans="1:113" ht="15" customHeight="1" x14ac:dyDescent="0.25">
      <c r="A1775" t="s">
        <v>6656</v>
      </c>
      <c r="B1775" t="s">
        <v>152</v>
      </c>
      <c r="C1775" s="1">
        <v>45132.923693055556</v>
      </c>
      <c r="D1775" s="1">
        <v>45201</v>
      </c>
      <c r="E1775" t="s">
        <v>114</v>
      </c>
      <c r="F1775" t="s">
        <v>6657</v>
      </c>
      <c r="G1775" t="str">
        <f>"35-2021.00"</f>
        <v>35-2021.00</v>
      </c>
      <c r="H1775" t="s">
        <v>2303</v>
      </c>
      <c r="I1775">
        <v>4</v>
      </c>
      <c r="J1775">
        <v>4</v>
      </c>
      <c r="K1775" s="1">
        <v>45214</v>
      </c>
      <c r="L1775" s="1">
        <v>45443</v>
      </c>
      <c r="M1775" s="1">
        <v>45214</v>
      </c>
      <c r="N1775" s="1">
        <v>45443</v>
      </c>
      <c r="O1775" t="s">
        <v>116</v>
      </c>
      <c r="P1775" t="s">
        <v>6658</v>
      </c>
      <c r="R1775" t="s">
        <v>6659</v>
      </c>
      <c r="S1775" t="s">
        <v>6660</v>
      </c>
      <c r="T1775" t="s">
        <v>3226</v>
      </c>
      <c r="U1775" t="s">
        <v>140</v>
      </c>
      <c r="V1775" s="8" t="str">
        <f>"33032"</f>
        <v>33032</v>
      </c>
      <c r="W1775" t="s">
        <v>118</v>
      </c>
      <c r="X1775" t="s">
        <v>475</v>
      </c>
      <c r="Y1775" s="10">
        <v>13054313365</v>
      </c>
      <c r="AA1775">
        <v>7225</v>
      </c>
      <c r="AB1775" t="s">
        <v>6661</v>
      </c>
      <c r="AC1775" t="s">
        <v>6662</v>
      </c>
      <c r="AE1775" t="s">
        <v>561</v>
      </c>
      <c r="AF1775" t="s">
        <v>6659</v>
      </c>
      <c r="AG1775" t="s">
        <v>6660</v>
      </c>
      <c r="AH1775" t="s">
        <v>3226</v>
      </c>
      <c r="AI1775" t="s">
        <v>140</v>
      </c>
      <c r="AJ1775" s="8" t="str">
        <f>"33032"</f>
        <v>33032</v>
      </c>
      <c r="AK1775" t="s">
        <v>118</v>
      </c>
      <c r="AM1775" s="10">
        <v>13054313365</v>
      </c>
      <c r="AO1775" t="s">
        <v>6663</v>
      </c>
      <c r="AP1775" t="s">
        <v>248</v>
      </c>
      <c r="AQ1775" t="s">
        <v>6664</v>
      </c>
      <c r="AR1775" t="s">
        <v>2371</v>
      </c>
      <c r="AT1775" t="s">
        <v>6665</v>
      </c>
      <c r="AU1775" t="s">
        <v>6666</v>
      </c>
      <c r="AV1775" t="s">
        <v>6667</v>
      </c>
      <c r="AW1775" t="s">
        <v>140</v>
      </c>
      <c r="AX1775" s="8" t="str">
        <f>"33418"</f>
        <v>33418</v>
      </c>
      <c r="AY1775" t="s">
        <v>118</v>
      </c>
      <c r="BA1775" s="10">
        <v>15615230296</v>
      </c>
      <c r="BC1775" t="s">
        <v>6668</v>
      </c>
      <c r="BD1775" t="s">
        <v>6669</v>
      </c>
      <c r="BG1775" t="s">
        <v>140</v>
      </c>
      <c r="BH1775" s="1">
        <v>45131.833333333336</v>
      </c>
      <c r="BI1775">
        <v>40</v>
      </c>
      <c r="BJ1775">
        <v>8</v>
      </c>
      <c r="BK1775">
        <v>0</v>
      </c>
      <c r="BL1775">
        <v>4</v>
      </c>
      <c r="BM1775">
        <v>4</v>
      </c>
      <c r="BN1775">
        <v>8</v>
      </c>
      <c r="BO1775">
        <v>8</v>
      </c>
      <c r="BP1775">
        <v>8</v>
      </c>
      <c r="BQ1775" t="str">
        <f>"8:00 AM"</f>
        <v>8:00 AM</v>
      </c>
      <c r="BR1775" t="str">
        <f>"4:00 PM"</f>
        <v>4:00 PM</v>
      </c>
      <c r="BS1775" t="s">
        <v>131</v>
      </c>
      <c r="BT1775">
        <v>0</v>
      </c>
      <c r="BU1775">
        <v>1</v>
      </c>
      <c r="BV1775" t="s">
        <v>114</v>
      </c>
      <c r="BX1775" s="2" t="s">
        <v>6670</v>
      </c>
      <c r="BY1775" t="s">
        <v>6659</v>
      </c>
      <c r="BZ1775" t="s">
        <v>6671</v>
      </c>
      <c r="CA1775" t="s">
        <v>3226</v>
      </c>
      <c r="CB1775" t="s">
        <v>140</v>
      </c>
      <c r="CC1775" s="8" t="str">
        <f>"33032"</f>
        <v>33032</v>
      </c>
      <c r="CD1775" t="s">
        <v>148</v>
      </c>
      <c r="CE1775" t="s">
        <v>149</v>
      </c>
      <c r="CF1775" s="12">
        <v>14.12</v>
      </c>
      <c r="CG1775" s="12">
        <v>14.12</v>
      </c>
      <c r="CH1775" s="12">
        <v>21.18</v>
      </c>
      <c r="CI1775" s="12">
        <v>21.18</v>
      </c>
      <c r="CJ1775" t="s">
        <v>135</v>
      </c>
      <c r="CL1775" t="s">
        <v>6672</v>
      </c>
      <c r="CO1775" t="s">
        <v>132</v>
      </c>
      <c r="CP1775" t="s">
        <v>114</v>
      </c>
      <c r="CQ1775" t="s">
        <v>114</v>
      </c>
      <c r="CR1775" t="s">
        <v>136</v>
      </c>
      <c r="CS1775" t="s">
        <v>114</v>
      </c>
      <c r="CT1775" t="s">
        <v>136</v>
      </c>
      <c r="CU1775" t="s">
        <v>136</v>
      </c>
      <c r="CV1775" s="2" t="s">
        <v>6673</v>
      </c>
      <c r="CW1775" s="10" t="str">
        <f>"+13054313365"</f>
        <v>+13054313365</v>
      </c>
      <c r="CX1775" t="s">
        <v>6668</v>
      </c>
      <c r="CY1775" t="s">
        <v>132</v>
      </c>
      <c r="CZ1775" t="s">
        <v>137</v>
      </c>
      <c r="DA1775" t="s">
        <v>114</v>
      </c>
      <c r="DB1775" t="s">
        <v>136</v>
      </c>
      <c r="DC1775" t="s">
        <v>136</v>
      </c>
      <c r="DD1775" t="s">
        <v>114</v>
      </c>
    </row>
    <row r="1776" spans="1:113" ht="15" customHeight="1" x14ac:dyDescent="0.25">
      <c r="A1776" t="s">
        <v>4579</v>
      </c>
      <c r="B1776" t="s">
        <v>152</v>
      </c>
      <c r="C1776" s="1">
        <v>45132.906084837959</v>
      </c>
      <c r="D1776" s="1">
        <v>45201</v>
      </c>
      <c r="E1776" t="s">
        <v>114</v>
      </c>
      <c r="F1776" t="s">
        <v>1797</v>
      </c>
      <c r="G1776" t="str">
        <f>"47-2051.00"</f>
        <v>47-2051.00</v>
      </c>
      <c r="H1776" t="s">
        <v>1291</v>
      </c>
      <c r="I1776">
        <v>19</v>
      </c>
      <c r="J1776">
        <v>19</v>
      </c>
      <c r="K1776" s="1">
        <v>45207</v>
      </c>
      <c r="L1776" s="1">
        <v>45275</v>
      </c>
      <c r="M1776" s="1">
        <v>45207</v>
      </c>
      <c r="N1776" s="1">
        <v>45275</v>
      </c>
      <c r="O1776" t="s">
        <v>238</v>
      </c>
      <c r="P1776" t="s">
        <v>2765</v>
      </c>
      <c r="Q1776" t="s">
        <v>132</v>
      </c>
      <c r="R1776" t="s">
        <v>2766</v>
      </c>
      <c r="S1776" t="s">
        <v>132</v>
      </c>
      <c r="T1776" t="s">
        <v>2029</v>
      </c>
      <c r="U1776" t="s">
        <v>2030</v>
      </c>
      <c r="V1776" s="8" t="str">
        <f>"57212"</f>
        <v>57212</v>
      </c>
      <c r="W1776" t="s">
        <v>118</v>
      </c>
      <c r="X1776" t="s">
        <v>132</v>
      </c>
      <c r="Y1776" s="10">
        <v>16052031362</v>
      </c>
      <c r="AA1776">
        <v>238110</v>
      </c>
      <c r="AB1776" t="s">
        <v>2031</v>
      </c>
      <c r="AC1776" t="s">
        <v>2032</v>
      </c>
      <c r="AD1776" t="s">
        <v>132</v>
      </c>
      <c r="AE1776" t="s">
        <v>561</v>
      </c>
      <c r="AF1776" t="s">
        <v>2033</v>
      </c>
      <c r="AH1776" t="s">
        <v>2029</v>
      </c>
      <c r="AI1776" t="s">
        <v>2030</v>
      </c>
      <c r="AJ1776" s="8" t="str">
        <f>"57212"</f>
        <v>57212</v>
      </c>
      <c r="AK1776" t="s">
        <v>118</v>
      </c>
      <c r="AM1776" s="10">
        <v>16052031362</v>
      </c>
      <c r="AO1776" t="s">
        <v>2034</v>
      </c>
      <c r="AP1776" t="s">
        <v>121</v>
      </c>
      <c r="AQ1776" t="s">
        <v>929</v>
      </c>
      <c r="AR1776" t="s">
        <v>930</v>
      </c>
      <c r="AS1776" t="s">
        <v>931</v>
      </c>
      <c r="AT1776" t="s">
        <v>932</v>
      </c>
      <c r="AU1776" t="s">
        <v>132</v>
      </c>
      <c r="AV1776" t="s">
        <v>933</v>
      </c>
      <c r="AW1776" t="s">
        <v>740</v>
      </c>
      <c r="AX1776" s="8" t="str">
        <f>"50010"</f>
        <v>50010</v>
      </c>
      <c r="AY1776" t="s">
        <v>118</v>
      </c>
      <c r="BA1776" s="10">
        <v>15152324444</v>
      </c>
      <c r="BB1776">
        <v>0</v>
      </c>
      <c r="BC1776" t="s">
        <v>934</v>
      </c>
      <c r="BD1776" t="s">
        <v>935</v>
      </c>
      <c r="BE1776" t="s">
        <v>740</v>
      </c>
      <c r="BF1776" t="s">
        <v>172</v>
      </c>
      <c r="BG1776" t="s">
        <v>819</v>
      </c>
      <c r="BH1776" s="1">
        <v>45131.833333333336</v>
      </c>
      <c r="BI1776">
        <v>40</v>
      </c>
      <c r="BJ1776">
        <v>0</v>
      </c>
      <c r="BK1776">
        <v>8</v>
      </c>
      <c r="BL1776">
        <v>8</v>
      </c>
      <c r="BM1776">
        <v>8</v>
      </c>
      <c r="BN1776">
        <v>8</v>
      </c>
      <c r="BO1776">
        <v>8</v>
      </c>
      <c r="BP1776">
        <v>0</v>
      </c>
      <c r="BQ1776" t="str">
        <f>"7:00 AM"</f>
        <v>7:00 AM</v>
      </c>
      <c r="BR1776" t="str">
        <f>"5:00 PM"</f>
        <v>5:00 PM</v>
      </c>
      <c r="BS1776" t="s">
        <v>131</v>
      </c>
      <c r="BT1776">
        <v>0</v>
      </c>
      <c r="BU1776">
        <v>3</v>
      </c>
      <c r="BV1776" t="s">
        <v>114</v>
      </c>
      <c r="BX1776" s="2" t="s">
        <v>4580</v>
      </c>
      <c r="BY1776" t="s">
        <v>4581</v>
      </c>
      <c r="CA1776" t="s">
        <v>4582</v>
      </c>
      <c r="CB1776" t="s">
        <v>819</v>
      </c>
      <c r="CC1776" s="8" t="str">
        <f>"46382"</f>
        <v>46382</v>
      </c>
      <c r="CD1776" t="s">
        <v>4583</v>
      </c>
      <c r="CE1776" t="s">
        <v>4584</v>
      </c>
      <c r="CF1776" s="12">
        <v>26.98</v>
      </c>
      <c r="CH1776" s="12">
        <v>40.47</v>
      </c>
      <c r="CJ1776" t="s">
        <v>135</v>
      </c>
      <c r="CL1776" t="s">
        <v>4585</v>
      </c>
      <c r="CO1776" t="s">
        <v>132</v>
      </c>
      <c r="CP1776" t="s">
        <v>114</v>
      </c>
      <c r="CQ1776" t="s">
        <v>136</v>
      </c>
      <c r="CR1776" t="s">
        <v>136</v>
      </c>
      <c r="CS1776" t="s">
        <v>136</v>
      </c>
      <c r="CT1776" t="s">
        <v>136</v>
      </c>
      <c r="CU1776" t="s">
        <v>136</v>
      </c>
      <c r="CV1776" t="s">
        <v>4586</v>
      </c>
      <c r="CW1776" s="10" t="str">
        <f>"+16052031362"</f>
        <v>+16052031362</v>
      </c>
      <c r="CX1776" t="s">
        <v>2034</v>
      </c>
      <c r="CY1776" t="s">
        <v>132</v>
      </c>
      <c r="CZ1776" t="s">
        <v>137</v>
      </c>
      <c r="DA1776" t="s">
        <v>114</v>
      </c>
      <c r="DB1776" t="s">
        <v>114</v>
      </c>
      <c r="DC1776" t="s">
        <v>136</v>
      </c>
      <c r="DD1776" t="s">
        <v>114</v>
      </c>
    </row>
    <row r="1777" spans="1:113" ht="15" customHeight="1" x14ac:dyDescent="0.25">
      <c r="A1777" t="s">
        <v>22360</v>
      </c>
      <c r="B1777" t="s">
        <v>152</v>
      </c>
      <c r="C1777" s="1">
        <v>45131.814134259257</v>
      </c>
      <c r="D1777" s="1">
        <v>45201</v>
      </c>
      <c r="E1777" t="s">
        <v>114</v>
      </c>
      <c r="F1777" t="s">
        <v>570</v>
      </c>
      <c r="G1777" t="str">
        <f>"47-2061.00"</f>
        <v>47-2061.00</v>
      </c>
      <c r="H1777" t="s">
        <v>570</v>
      </c>
      <c r="I1777">
        <v>32</v>
      </c>
      <c r="J1777">
        <v>32</v>
      </c>
      <c r="K1777" s="1">
        <v>45206</v>
      </c>
      <c r="L1777" s="1">
        <v>45275</v>
      </c>
      <c r="M1777" s="1">
        <v>45206</v>
      </c>
      <c r="N1777" s="1">
        <v>45275</v>
      </c>
      <c r="O1777" t="s">
        <v>238</v>
      </c>
      <c r="P1777" t="s">
        <v>2027</v>
      </c>
      <c r="R1777" t="s">
        <v>2028</v>
      </c>
      <c r="T1777" t="s">
        <v>2029</v>
      </c>
      <c r="U1777" t="s">
        <v>2030</v>
      </c>
      <c r="V1777" s="8" t="str">
        <f>"57212"</f>
        <v>57212</v>
      </c>
      <c r="W1777" t="s">
        <v>118</v>
      </c>
      <c r="Y1777" s="10">
        <v>16052031362</v>
      </c>
      <c r="AA1777">
        <v>238110</v>
      </c>
      <c r="AB1777" t="s">
        <v>2031</v>
      </c>
      <c r="AC1777" t="s">
        <v>2032</v>
      </c>
      <c r="AE1777" t="s">
        <v>561</v>
      </c>
      <c r="AF1777" t="s">
        <v>2033</v>
      </c>
      <c r="AH1777" t="s">
        <v>2029</v>
      </c>
      <c r="AI1777" t="s">
        <v>2030</v>
      </c>
      <c r="AJ1777" s="8" t="str">
        <f>"57212"</f>
        <v>57212</v>
      </c>
      <c r="AK1777" t="s">
        <v>118</v>
      </c>
      <c r="AM1777" s="10">
        <v>16052031362</v>
      </c>
      <c r="AO1777" t="s">
        <v>2034</v>
      </c>
      <c r="AP1777" t="s">
        <v>121</v>
      </c>
      <c r="AQ1777" t="s">
        <v>929</v>
      </c>
      <c r="AR1777" t="s">
        <v>930</v>
      </c>
      <c r="AS1777" t="s">
        <v>931</v>
      </c>
      <c r="AT1777" t="s">
        <v>932</v>
      </c>
      <c r="AV1777" t="s">
        <v>933</v>
      </c>
      <c r="AW1777" t="s">
        <v>740</v>
      </c>
      <c r="AX1777" s="8" t="str">
        <f>"50010"</f>
        <v>50010</v>
      </c>
      <c r="AY1777" t="s">
        <v>118</v>
      </c>
      <c r="BA1777" s="10">
        <v>15152324444</v>
      </c>
      <c r="BC1777" t="s">
        <v>934</v>
      </c>
      <c r="BD1777" t="s">
        <v>935</v>
      </c>
      <c r="BE1777" t="s">
        <v>740</v>
      </c>
      <c r="BF1777" t="s">
        <v>172</v>
      </c>
      <c r="BG1777" t="s">
        <v>819</v>
      </c>
      <c r="BH1777" s="1">
        <v>45130.833333333336</v>
      </c>
      <c r="BI1777">
        <v>40</v>
      </c>
      <c r="BJ1777">
        <v>0</v>
      </c>
      <c r="BK1777">
        <v>8</v>
      </c>
      <c r="BL1777">
        <v>8</v>
      </c>
      <c r="BM1777">
        <v>8</v>
      </c>
      <c r="BN1777">
        <v>8</v>
      </c>
      <c r="BO1777">
        <v>8</v>
      </c>
      <c r="BP1777">
        <v>0</v>
      </c>
      <c r="BQ1777" t="str">
        <f>"7:00 AM"</f>
        <v>7:00 AM</v>
      </c>
      <c r="BR1777" t="str">
        <f>"5:00 PM"</f>
        <v>5:00 PM</v>
      </c>
      <c r="BS1777" t="s">
        <v>131</v>
      </c>
      <c r="BT1777">
        <v>0</v>
      </c>
      <c r="BU1777">
        <v>3</v>
      </c>
      <c r="BV1777" t="s">
        <v>114</v>
      </c>
      <c r="BX1777" s="2" t="s">
        <v>2036</v>
      </c>
      <c r="BY1777" t="s">
        <v>4581</v>
      </c>
      <c r="CA1777" t="s">
        <v>4582</v>
      </c>
      <c r="CB1777" t="s">
        <v>819</v>
      </c>
      <c r="CC1777" s="8" t="str">
        <f>"46382"</f>
        <v>46382</v>
      </c>
      <c r="CD1777" t="s">
        <v>4583</v>
      </c>
      <c r="CE1777" t="s">
        <v>4584</v>
      </c>
      <c r="CF1777" s="12">
        <v>23.72</v>
      </c>
      <c r="CH1777" s="12">
        <v>35.58</v>
      </c>
      <c r="CJ1777" t="s">
        <v>135</v>
      </c>
      <c r="CK1777" t="s">
        <v>940</v>
      </c>
      <c r="CL1777" t="s">
        <v>22361</v>
      </c>
      <c r="CO1777" t="s">
        <v>132</v>
      </c>
      <c r="CP1777" t="s">
        <v>114</v>
      </c>
      <c r="CQ1777" t="s">
        <v>136</v>
      </c>
      <c r="CR1777" t="s">
        <v>136</v>
      </c>
      <c r="CS1777" t="s">
        <v>136</v>
      </c>
      <c r="CT1777" t="s">
        <v>136</v>
      </c>
      <c r="CU1777" t="s">
        <v>136</v>
      </c>
      <c r="CV1777" t="s">
        <v>18037</v>
      </c>
      <c r="CW1777" s="10" t="str">
        <f>"+16052031362"</f>
        <v>+16052031362</v>
      </c>
      <c r="CX1777" t="s">
        <v>2034</v>
      </c>
      <c r="CY1777" t="s">
        <v>132</v>
      </c>
      <c r="CZ1777" t="s">
        <v>137</v>
      </c>
      <c r="DA1777" t="s">
        <v>114</v>
      </c>
      <c r="DB1777" t="s">
        <v>114</v>
      </c>
      <c r="DC1777" t="s">
        <v>136</v>
      </c>
      <c r="DD1777" t="s">
        <v>114</v>
      </c>
    </row>
    <row r="1778" spans="1:113" ht="15" customHeight="1" x14ac:dyDescent="0.25">
      <c r="A1778" t="s">
        <v>18032</v>
      </c>
      <c r="B1778" t="s">
        <v>152</v>
      </c>
      <c r="C1778" s="1">
        <v>45131.80636574074</v>
      </c>
      <c r="D1778" s="1">
        <v>45201</v>
      </c>
      <c r="E1778" t="s">
        <v>114</v>
      </c>
      <c r="F1778" t="s">
        <v>570</v>
      </c>
      <c r="G1778" t="str">
        <f>"47-2061.00"</f>
        <v>47-2061.00</v>
      </c>
      <c r="H1778" t="s">
        <v>570</v>
      </c>
      <c r="I1778">
        <v>23</v>
      </c>
      <c r="J1778">
        <v>23</v>
      </c>
      <c r="K1778" s="1">
        <v>45206</v>
      </c>
      <c r="L1778" s="1">
        <v>45275</v>
      </c>
      <c r="M1778" s="1">
        <v>45206</v>
      </c>
      <c r="N1778" s="1">
        <v>45275</v>
      </c>
      <c r="O1778" t="s">
        <v>238</v>
      </c>
      <c r="P1778" t="s">
        <v>2027</v>
      </c>
      <c r="R1778" t="s">
        <v>2028</v>
      </c>
      <c r="T1778" t="s">
        <v>2029</v>
      </c>
      <c r="U1778" t="s">
        <v>2030</v>
      </c>
      <c r="V1778" s="8" t="str">
        <f>"57212"</f>
        <v>57212</v>
      </c>
      <c r="W1778" t="s">
        <v>118</v>
      </c>
      <c r="Y1778" s="10">
        <v>16052031362</v>
      </c>
      <c r="AA1778">
        <v>238110</v>
      </c>
      <c r="AB1778" t="s">
        <v>2031</v>
      </c>
      <c r="AC1778" t="s">
        <v>2032</v>
      </c>
      <c r="AE1778" t="s">
        <v>561</v>
      </c>
      <c r="AF1778" t="s">
        <v>2033</v>
      </c>
      <c r="AH1778" t="s">
        <v>2029</v>
      </c>
      <c r="AI1778" t="s">
        <v>2030</v>
      </c>
      <c r="AJ1778" s="8" t="str">
        <f>"57212"</f>
        <v>57212</v>
      </c>
      <c r="AK1778" t="s">
        <v>118</v>
      </c>
      <c r="AM1778" s="10">
        <v>16052031362</v>
      </c>
      <c r="AO1778" t="s">
        <v>2034</v>
      </c>
      <c r="AP1778" t="s">
        <v>121</v>
      </c>
      <c r="AQ1778" t="s">
        <v>929</v>
      </c>
      <c r="AR1778" t="s">
        <v>930</v>
      </c>
      <c r="AS1778" t="s">
        <v>931</v>
      </c>
      <c r="AT1778" t="s">
        <v>932</v>
      </c>
      <c r="AV1778" t="s">
        <v>933</v>
      </c>
      <c r="AW1778" t="s">
        <v>740</v>
      </c>
      <c r="AX1778" s="8" t="str">
        <f>"50010"</f>
        <v>50010</v>
      </c>
      <c r="AY1778" t="s">
        <v>118</v>
      </c>
      <c r="BA1778" s="10">
        <v>15152324444</v>
      </c>
      <c r="BC1778" t="s">
        <v>934</v>
      </c>
      <c r="BD1778" t="s">
        <v>935</v>
      </c>
      <c r="BE1778" t="s">
        <v>740</v>
      </c>
      <c r="BF1778" t="s">
        <v>172</v>
      </c>
      <c r="BG1778" t="s">
        <v>819</v>
      </c>
      <c r="BH1778" s="1">
        <v>45130.833333333336</v>
      </c>
      <c r="BI1778">
        <v>40</v>
      </c>
      <c r="BJ1778">
        <v>0</v>
      </c>
      <c r="BK1778">
        <v>8</v>
      </c>
      <c r="BL1778">
        <v>8</v>
      </c>
      <c r="BM1778">
        <v>8</v>
      </c>
      <c r="BN1778">
        <v>8</v>
      </c>
      <c r="BO1778">
        <v>8</v>
      </c>
      <c r="BP1778">
        <v>0</v>
      </c>
      <c r="BQ1778" t="str">
        <f>"7:00 AM"</f>
        <v>7:00 AM</v>
      </c>
      <c r="BR1778" t="str">
        <f>"5:00 PM"</f>
        <v>5:00 PM</v>
      </c>
      <c r="BS1778" t="s">
        <v>131</v>
      </c>
      <c r="BT1778">
        <v>0</v>
      </c>
      <c r="BU1778">
        <v>3</v>
      </c>
      <c r="BV1778" t="s">
        <v>114</v>
      </c>
      <c r="BX1778" s="2" t="s">
        <v>2036</v>
      </c>
      <c r="BY1778" t="s">
        <v>18033</v>
      </c>
      <c r="CA1778" t="s">
        <v>18034</v>
      </c>
      <c r="CB1778" t="s">
        <v>819</v>
      </c>
      <c r="CC1778" s="8" t="str">
        <f>"46173"</f>
        <v>46173</v>
      </c>
      <c r="CD1778" t="s">
        <v>18035</v>
      </c>
      <c r="CE1778" t="s">
        <v>2037</v>
      </c>
      <c r="CF1778" s="12">
        <v>20.94</v>
      </c>
      <c r="CH1778" s="12">
        <v>31.41</v>
      </c>
      <c r="CJ1778" t="s">
        <v>135</v>
      </c>
      <c r="CK1778" t="s">
        <v>940</v>
      </c>
      <c r="CL1778" t="s">
        <v>18036</v>
      </c>
      <c r="CO1778" t="s">
        <v>132</v>
      </c>
      <c r="CP1778" t="s">
        <v>114</v>
      </c>
      <c r="CQ1778" t="s">
        <v>136</v>
      </c>
      <c r="CR1778" t="s">
        <v>136</v>
      </c>
      <c r="CS1778" t="s">
        <v>136</v>
      </c>
      <c r="CT1778" t="s">
        <v>136</v>
      </c>
      <c r="CU1778" t="s">
        <v>136</v>
      </c>
      <c r="CV1778" t="s">
        <v>18037</v>
      </c>
      <c r="CW1778" s="10" t="str">
        <f>"+16052031362"</f>
        <v>+16052031362</v>
      </c>
      <c r="CX1778" t="s">
        <v>2034</v>
      </c>
      <c r="CY1778" t="s">
        <v>132</v>
      </c>
      <c r="CZ1778" t="s">
        <v>137</v>
      </c>
      <c r="DA1778" t="s">
        <v>114</v>
      </c>
      <c r="DB1778" t="s">
        <v>114</v>
      </c>
      <c r="DC1778" t="s">
        <v>136</v>
      </c>
      <c r="DD1778" t="s">
        <v>114</v>
      </c>
    </row>
    <row r="1779" spans="1:113" ht="15" customHeight="1" x14ac:dyDescent="0.25">
      <c r="A1779" t="s">
        <v>23524</v>
      </c>
      <c r="B1779" t="s">
        <v>152</v>
      </c>
      <c r="C1779" s="1">
        <v>45131.459828935185</v>
      </c>
      <c r="D1779" s="1">
        <v>45201</v>
      </c>
      <c r="E1779" t="s">
        <v>114</v>
      </c>
      <c r="F1779" t="s">
        <v>9623</v>
      </c>
      <c r="G1779" t="str">
        <f>"45-4011.00"</f>
        <v>45-4011.00</v>
      </c>
      <c r="H1779" t="s">
        <v>842</v>
      </c>
      <c r="I1779">
        <v>150</v>
      </c>
      <c r="J1779">
        <v>150</v>
      </c>
      <c r="K1779" s="1">
        <v>45221</v>
      </c>
      <c r="L1779" s="1">
        <v>45382</v>
      </c>
      <c r="M1779" s="1">
        <v>45221</v>
      </c>
      <c r="N1779" s="1">
        <v>45382</v>
      </c>
      <c r="O1779" t="s">
        <v>238</v>
      </c>
      <c r="P1779" t="s">
        <v>23525</v>
      </c>
      <c r="R1779" t="s">
        <v>23526</v>
      </c>
      <c r="T1779" t="s">
        <v>23527</v>
      </c>
      <c r="U1779" t="s">
        <v>1598</v>
      </c>
      <c r="V1779" s="8" t="str">
        <f>"36782"</f>
        <v>36782</v>
      </c>
      <c r="W1779" t="s">
        <v>118</v>
      </c>
      <c r="Y1779" s="10">
        <v>13347364402</v>
      </c>
      <c r="AA1779">
        <v>11531</v>
      </c>
      <c r="AB1779" t="s">
        <v>2580</v>
      </c>
      <c r="AC1779" t="s">
        <v>14815</v>
      </c>
      <c r="AD1779" t="s">
        <v>4795</v>
      </c>
      <c r="AE1779" t="s">
        <v>378</v>
      </c>
      <c r="AF1779" t="s">
        <v>23526</v>
      </c>
      <c r="AH1779" t="s">
        <v>23527</v>
      </c>
      <c r="AI1779" t="s">
        <v>1598</v>
      </c>
      <c r="AJ1779" s="8" t="str">
        <f>"36782"</f>
        <v>36782</v>
      </c>
      <c r="AK1779" t="s">
        <v>118</v>
      </c>
      <c r="AM1779" s="10">
        <v>13347364402</v>
      </c>
      <c r="AO1779" t="s">
        <v>132</v>
      </c>
      <c r="AP1779" t="s">
        <v>248</v>
      </c>
      <c r="AQ1779" t="s">
        <v>577</v>
      </c>
      <c r="AR1779" t="s">
        <v>578</v>
      </c>
      <c r="AT1779" t="s">
        <v>579</v>
      </c>
      <c r="AV1779" t="s">
        <v>580</v>
      </c>
      <c r="AW1779" t="s">
        <v>581</v>
      </c>
      <c r="AX1779" s="8" t="str">
        <f>"22903"</f>
        <v>22903</v>
      </c>
      <c r="AY1779" t="s">
        <v>118</v>
      </c>
      <c r="BA1779" s="10">
        <v>14342634300</v>
      </c>
      <c r="BC1779" t="s">
        <v>1996</v>
      </c>
      <c r="BD1779" t="s">
        <v>583</v>
      </c>
      <c r="BG1779" t="s">
        <v>1598</v>
      </c>
      <c r="BH1779" s="1">
        <v>45130.833333333336</v>
      </c>
      <c r="BI1779">
        <v>48</v>
      </c>
      <c r="BJ1779">
        <v>0</v>
      </c>
      <c r="BK1779">
        <v>8</v>
      </c>
      <c r="BL1779">
        <v>8</v>
      </c>
      <c r="BM1779">
        <v>8</v>
      </c>
      <c r="BN1779">
        <v>8</v>
      </c>
      <c r="BO1779">
        <v>8</v>
      </c>
      <c r="BP1779">
        <v>8</v>
      </c>
      <c r="BQ1779" t="str">
        <f>"8:00 AM"</f>
        <v>8:00 AM</v>
      </c>
      <c r="BR1779" t="str">
        <f>"5:00 PM"</f>
        <v>5:00 PM</v>
      </c>
      <c r="BS1779" t="s">
        <v>131</v>
      </c>
      <c r="BT1779">
        <v>0</v>
      </c>
      <c r="BU1779">
        <v>0</v>
      </c>
      <c r="BV1779" t="s">
        <v>114</v>
      </c>
      <c r="BX1779" s="2" t="s">
        <v>23528</v>
      </c>
      <c r="BY1779" t="s">
        <v>23529</v>
      </c>
      <c r="CA1779" t="s">
        <v>23527</v>
      </c>
      <c r="CB1779" t="s">
        <v>1598</v>
      </c>
      <c r="CC1779" s="8" t="str">
        <f>"36782"</f>
        <v>36782</v>
      </c>
      <c r="CD1779" t="s">
        <v>23530</v>
      </c>
      <c r="CE1779" t="s">
        <v>1607</v>
      </c>
      <c r="CF1779" s="12">
        <v>14.02</v>
      </c>
      <c r="CG1779" s="12">
        <v>23.76</v>
      </c>
      <c r="CH1779" s="12">
        <v>21.03</v>
      </c>
      <c r="CI1779" s="12">
        <v>35.64</v>
      </c>
      <c r="CJ1779" t="s">
        <v>135</v>
      </c>
      <c r="CK1779" t="s">
        <v>23531</v>
      </c>
      <c r="CL1779" t="s">
        <v>23532</v>
      </c>
      <c r="CO1779" t="s">
        <v>132</v>
      </c>
      <c r="CP1779" t="s">
        <v>136</v>
      </c>
      <c r="CQ1779" t="s">
        <v>136</v>
      </c>
      <c r="CR1779" t="s">
        <v>136</v>
      </c>
      <c r="CS1779" t="s">
        <v>136</v>
      </c>
      <c r="CT1779" t="s">
        <v>136</v>
      </c>
      <c r="CU1779" t="s">
        <v>136</v>
      </c>
      <c r="CV1779" t="s">
        <v>9624</v>
      </c>
      <c r="CW1779" s="10" t="str">
        <f>"N/A"</f>
        <v>N/A</v>
      </c>
      <c r="CX1779" t="s">
        <v>23533</v>
      </c>
      <c r="CY1779" t="s">
        <v>5884</v>
      </c>
      <c r="CZ1779" t="s">
        <v>137</v>
      </c>
      <c r="DA1779" t="s">
        <v>114</v>
      </c>
      <c r="DB1779" t="s">
        <v>136</v>
      </c>
      <c r="DC1779" t="s">
        <v>136</v>
      </c>
      <c r="DD1779" t="s">
        <v>114</v>
      </c>
      <c r="DE1779" t="s">
        <v>1998</v>
      </c>
      <c r="DF1779" t="s">
        <v>1999</v>
      </c>
      <c r="DH1779" t="s">
        <v>583</v>
      </c>
      <c r="DI1779" t="s">
        <v>1996</v>
      </c>
    </row>
    <row r="1780" spans="1:113" ht="15" customHeight="1" x14ac:dyDescent="0.25">
      <c r="A1780" t="s">
        <v>23746</v>
      </c>
      <c r="B1780" t="s">
        <v>152</v>
      </c>
      <c r="C1780" s="1">
        <v>45127.547559953702</v>
      </c>
      <c r="D1780" s="1">
        <v>45201</v>
      </c>
      <c r="E1780" t="s">
        <v>114</v>
      </c>
      <c r="F1780" t="s">
        <v>4017</v>
      </c>
      <c r="G1780" t="str">
        <f>"39-2021.00"</f>
        <v>39-2021.00</v>
      </c>
      <c r="H1780" t="s">
        <v>2895</v>
      </c>
      <c r="I1780">
        <v>7</v>
      </c>
      <c r="J1780">
        <v>7</v>
      </c>
      <c r="K1780" s="1">
        <v>45214</v>
      </c>
      <c r="L1780" s="1">
        <v>45519</v>
      </c>
      <c r="M1780" s="1">
        <v>45214</v>
      </c>
      <c r="N1780" s="1">
        <v>45519</v>
      </c>
      <c r="O1780" t="s">
        <v>238</v>
      </c>
      <c r="P1780" t="s">
        <v>22443</v>
      </c>
      <c r="R1780" t="s">
        <v>22444</v>
      </c>
      <c r="T1780" t="s">
        <v>6090</v>
      </c>
      <c r="U1780" t="s">
        <v>1722</v>
      </c>
      <c r="V1780" s="8" t="str">
        <f>"21921"</f>
        <v>21921</v>
      </c>
      <c r="W1780" t="s">
        <v>118</v>
      </c>
      <c r="Y1780" s="10">
        <v>13155290183</v>
      </c>
      <c r="AA1780">
        <v>711212</v>
      </c>
      <c r="AB1780" t="s">
        <v>22445</v>
      </c>
      <c r="AC1780" t="s">
        <v>1295</v>
      </c>
      <c r="AE1780" t="s">
        <v>3852</v>
      </c>
      <c r="AF1780" t="s">
        <v>22446</v>
      </c>
      <c r="AH1780" t="s">
        <v>6090</v>
      </c>
      <c r="AI1780" t="s">
        <v>1722</v>
      </c>
      <c r="AJ1780" s="8" t="str">
        <f>"21921"</f>
        <v>21921</v>
      </c>
      <c r="AK1780" t="s">
        <v>118</v>
      </c>
      <c r="AM1780" s="10">
        <v>13155290183</v>
      </c>
      <c r="AO1780" t="s">
        <v>22447</v>
      </c>
      <c r="AP1780" t="s">
        <v>121</v>
      </c>
      <c r="AQ1780" t="s">
        <v>3854</v>
      </c>
      <c r="AR1780" t="s">
        <v>144</v>
      </c>
      <c r="AS1780" t="s">
        <v>3855</v>
      </c>
      <c r="AT1780" t="s">
        <v>2605</v>
      </c>
      <c r="AU1780" t="s">
        <v>2606</v>
      </c>
      <c r="AV1780" t="s">
        <v>2607</v>
      </c>
      <c r="AW1780" t="s">
        <v>2608</v>
      </c>
      <c r="AX1780" s="8" t="str">
        <f>"73069"</f>
        <v>73069</v>
      </c>
      <c r="AY1780" t="s">
        <v>118</v>
      </c>
      <c r="BA1780" s="10">
        <v>14053642525</v>
      </c>
      <c r="BC1780" t="s">
        <v>2609</v>
      </c>
      <c r="BD1780" t="s">
        <v>2610</v>
      </c>
      <c r="BE1780" t="s">
        <v>2608</v>
      </c>
      <c r="BF1780" t="s">
        <v>2611</v>
      </c>
      <c r="BG1780" t="s">
        <v>1722</v>
      </c>
      <c r="BH1780" s="1">
        <v>45126.833333333336</v>
      </c>
      <c r="BI1780">
        <v>48</v>
      </c>
      <c r="BJ1780">
        <v>8</v>
      </c>
      <c r="BK1780">
        <v>8</v>
      </c>
      <c r="BL1780">
        <v>8</v>
      </c>
      <c r="BM1780">
        <v>8</v>
      </c>
      <c r="BN1780">
        <v>8</v>
      </c>
      <c r="BO1780">
        <v>8</v>
      </c>
      <c r="BP1780">
        <v>8</v>
      </c>
      <c r="BQ1780" t="str">
        <f>"5:00 AM"</f>
        <v>5:00 AM</v>
      </c>
      <c r="BR1780" t="str">
        <f>"5:00 PM"</f>
        <v>5:00 PM</v>
      </c>
      <c r="BS1780" t="s">
        <v>131</v>
      </c>
      <c r="BT1780">
        <v>0</v>
      </c>
      <c r="BU1780">
        <v>1</v>
      </c>
      <c r="BV1780" t="s">
        <v>114</v>
      </c>
      <c r="BX1780" s="2" t="s">
        <v>2870</v>
      </c>
      <c r="BY1780" t="s">
        <v>23747</v>
      </c>
      <c r="CA1780" t="s">
        <v>6090</v>
      </c>
      <c r="CB1780" t="s">
        <v>1722</v>
      </c>
      <c r="CC1780" s="8" t="str">
        <f>"21921"</f>
        <v>21921</v>
      </c>
      <c r="CD1780" t="s">
        <v>1793</v>
      </c>
      <c r="CE1780" t="s">
        <v>1794</v>
      </c>
      <c r="CF1780" s="12">
        <v>15.56</v>
      </c>
      <c r="CG1780" s="12">
        <v>15.56</v>
      </c>
      <c r="CH1780" s="12">
        <v>23.34</v>
      </c>
      <c r="CI1780" s="12">
        <v>23.34</v>
      </c>
      <c r="CJ1780" t="s">
        <v>135</v>
      </c>
      <c r="CL1780" t="s">
        <v>23748</v>
      </c>
      <c r="CO1780" t="s">
        <v>132</v>
      </c>
      <c r="CP1780" t="s">
        <v>114</v>
      </c>
      <c r="CQ1780" t="s">
        <v>114</v>
      </c>
      <c r="CR1780" t="s">
        <v>136</v>
      </c>
      <c r="CS1780" t="s">
        <v>114</v>
      </c>
      <c r="CT1780" t="s">
        <v>136</v>
      </c>
      <c r="CU1780" t="s">
        <v>136</v>
      </c>
      <c r="CV1780" t="s">
        <v>23749</v>
      </c>
      <c r="CW1780" s="10" t="str">
        <f>"+13155290183"</f>
        <v>+13155290183</v>
      </c>
      <c r="CX1780" t="s">
        <v>22447</v>
      </c>
      <c r="CY1780" t="s">
        <v>132</v>
      </c>
      <c r="CZ1780" t="s">
        <v>137</v>
      </c>
      <c r="DA1780" t="s">
        <v>114</v>
      </c>
      <c r="DB1780" t="s">
        <v>114</v>
      </c>
      <c r="DC1780" t="s">
        <v>136</v>
      </c>
      <c r="DD1780" t="s">
        <v>114</v>
      </c>
    </row>
    <row r="1781" spans="1:113" ht="15" customHeight="1" x14ac:dyDescent="0.25">
      <c r="A1781" t="s">
        <v>597</v>
      </c>
      <c r="B1781" t="s">
        <v>152</v>
      </c>
      <c r="C1781" s="1">
        <v>45127.414301273151</v>
      </c>
      <c r="D1781" s="1">
        <v>45201</v>
      </c>
      <c r="E1781" t="s">
        <v>114</v>
      </c>
      <c r="F1781" t="s">
        <v>598</v>
      </c>
      <c r="G1781" t="str">
        <f>"11-9141.00"</f>
        <v>11-9141.00</v>
      </c>
      <c r="H1781" t="s">
        <v>599</v>
      </c>
      <c r="I1781">
        <v>1</v>
      </c>
      <c r="J1781">
        <v>1</v>
      </c>
      <c r="K1781" s="1">
        <v>45217</v>
      </c>
      <c r="L1781" s="1">
        <v>45473</v>
      </c>
      <c r="M1781" s="1">
        <v>45217</v>
      </c>
      <c r="N1781" s="1">
        <v>45473</v>
      </c>
      <c r="O1781" t="s">
        <v>238</v>
      </c>
      <c r="P1781" t="s">
        <v>600</v>
      </c>
      <c r="R1781" t="s">
        <v>601</v>
      </c>
      <c r="S1781" t="s">
        <v>602</v>
      </c>
      <c r="T1781" t="s">
        <v>603</v>
      </c>
      <c r="U1781" t="s">
        <v>127</v>
      </c>
      <c r="V1781" s="8" t="str">
        <f>"78701"</f>
        <v>78701</v>
      </c>
      <c r="W1781" t="s">
        <v>118</v>
      </c>
      <c r="Y1781" s="10">
        <v>15124575000</v>
      </c>
      <c r="AA1781">
        <v>92412</v>
      </c>
      <c r="AB1781" t="s">
        <v>604</v>
      </c>
      <c r="AC1781" t="s">
        <v>605</v>
      </c>
      <c r="AE1781" t="s">
        <v>378</v>
      </c>
      <c r="AF1781" t="s">
        <v>606</v>
      </c>
      <c r="AG1781" t="s">
        <v>296</v>
      </c>
      <c r="AH1781" t="s">
        <v>603</v>
      </c>
      <c r="AI1781" t="s">
        <v>127</v>
      </c>
      <c r="AJ1781" s="8" t="str">
        <f>"78756"</f>
        <v>78756</v>
      </c>
      <c r="AK1781" t="s">
        <v>118</v>
      </c>
      <c r="AM1781" s="10">
        <v>15124575015</v>
      </c>
      <c r="AO1781" t="s">
        <v>607</v>
      </c>
      <c r="AP1781" t="s">
        <v>121</v>
      </c>
      <c r="AQ1781" t="s">
        <v>608</v>
      </c>
      <c r="AR1781" t="s">
        <v>609</v>
      </c>
      <c r="AS1781" t="s">
        <v>610</v>
      </c>
      <c r="AT1781" t="s">
        <v>611</v>
      </c>
      <c r="AU1781" t="s">
        <v>612</v>
      </c>
      <c r="AV1781" t="s">
        <v>603</v>
      </c>
      <c r="AW1781" t="s">
        <v>127</v>
      </c>
      <c r="AX1781" s="8" t="str">
        <f>"78746"</f>
        <v>78746</v>
      </c>
      <c r="AY1781" t="s">
        <v>118</v>
      </c>
      <c r="BA1781" s="10">
        <v>15128524162</v>
      </c>
      <c r="BC1781" t="s">
        <v>613</v>
      </c>
      <c r="BD1781" t="s">
        <v>614</v>
      </c>
      <c r="BE1781" t="s">
        <v>402</v>
      </c>
      <c r="BF1781" t="s">
        <v>172</v>
      </c>
      <c r="BG1781" t="s">
        <v>127</v>
      </c>
      <c r="BH1781" s="1">
        <v>45126.833333333336</v>
      </c>
      <c r="BI1781">
        <v>40</v>
      </c>
      <c r="BJ1781">
        <v>0</v>
      </c>
      <c r="BK1781">
        <v>8</v>
      </c>
      <c r="BL1781">
        <v>8</v>
      </c>
      <c r="BM1781">
        <v>8</v>
      </c>
      <c r="BN1781">
        <v>8</v>
      </c>
      <c r="BO1781">
        <v>8</v>
      </c>
      <c r="BP1781">
        <v>0</v>
      </c>
      <c r="BQ1781" t="str">
        <f>"8:00 AM"</f>
        <v>8:00 AM</v>
      </c>
      <c r="BR1781" t="str">
        <f>"5:00 PM"</f>
        <v>5:00 PM</v>
      </c>
      <c r="BS1781" t="s">
        <v>131</v>
      </c>
      <c r="BT1781">
        <v>0</v>
      </c>
      <c r="BU1781">
        <v>12</v>
      </c>
      <c r="BV1781" t="s">
        <v>114</v>
      </c>
      <c r="BX1781" s="2" t="s">
        <v>615</v>
      </c>
      <c r="BY1781" t="s">
        <v>616</v>
      </c>
      <c r="CA1781" t="s">
        <v>617</v>
      </c>
      <c r="CB1781" t="s">
        <v>127</v>
      </c>
      <c r="CC1781" s="8" t="str">
        <f>"78643"</f>
        <v>78643</v>
      </c>
      <c r="CD1781" t="s">
        <v>618</v>
      </c>
      <c r="CE1781" t="s">
        <v>619</v>
      </c>
      <c r="CF1781" s="12">
        <v>28.5</v>
      </c>
      <c r="CH1781" s="12">
        <v>42.75</v>
      </c>
      <c r="CJ1781" t="s">
        <v>135</v>
      </c>
      <c r="CL1781" t="s">
        <v>620</v>
      </c>
      <c r="CO1781" t="s">
        <v>132</v>
      </c>
      <c r="CP1781" t="s">
        <v>114</v>
      </c>
      <c r="CQ1781" t="s">
        <v>114</v>
      </c>
      <c r="CR1781" t="s">
        <v>136</v>
      </c>
      <c r="CS1781" t="s">
        <v>136</v>
      </c>
      <c r="CT1781" t="s">
        <v>136</v>
      </c>
      <c r="CU1781" t="s">
        <v>114</v>
      </c>
      <c r="CV1781" t="s">
        <v>621</v>
      </c>
      <c r="CW1781" s="10" t="str">
        <f>"+15124575015"</f>
        <v>+15124575015</v>
      </c>
      <c r="CX1781" t="s">
        <v>607</v>
      </c>
      <c r="CY1781" t="s">
        <v>132</v>
      </c>
      <c r="CZ1781" t="s">
        <v>137</v>
      </c>
      <c r="DA1781" t="s">
        <v>114</v>
      </c>
      <c r="DB1781" t="s">
        <v>114</v>
      </c>
      <c r="DC1781" t="s">
        <v>136</v>
      </c>
      <c r="DD1781" t="s">
        <v>114</v>
      </c>
    </row>
    <row r="1782" spans="1:113" ht="15" customHeight="1" x14ac:dyDescent="0.25">
      <c r="A1782" t="s">
        <v>10150</v>
      </c>
      <c r="B1782" t="s">
        <v>152</v>
      </c>
      <c r="C1782" s="1">
        <v>45125.939920138888</v>
      </c>
      <c r="D1782" s="1">
        <v>45201</v>
      </c>
      <c r="E1782" t="s">
        <v>114</v>
      </c>
      <c r="F1782" t="s">
        <v>5475</v>
      </c>
      <c r="G1782" t="str">
        <f>"35-3031.00"</f>
        <v>35-3031.00</v>
      </c>
      <c r="H1782" t="s">
        <v>347</v>
      </c>
      <c r="I1782">
        <v>9</v>
      </c>
      <c r="J1782">
        <v>9</v>
      </c>
      <c r="K1782" s="1">
        <v>45200</v>
      </c>
      <c r="L1782" s="1">
        <v>45473</v>
      </c>
      <c r="M1782" s="1">
        <v>45200</v>
      </c>
      <c r="N1782" s="1">
        <v>45473</v>
      </c>
      <c r="O1782" t="s">
        <v>116</v>
      </c>
      <c r="P1782" t="s">
        <v>1060</v>
      </c>
      <c r="Q1782" t="s">
        <v>1061</v>
      </c>
      <c r="R1782" t="s">
        <v>1062</v>
      </c>
      <c r="T1782" t="s">
        <v>761</v>
      </c>
      <c r="U1782" t="s">
        <v>140</v>
      </c>
      <c r="V1782" s="8" t="str">
        <f>"33445"</f>
        <v>33445</v>
      </c>
      <c r="W1782" t="s">
        <v>118</v>
      </c>
      <c r="Y1782" s="10">
        <v>15618230990</v>
      </c>
      <c r="AA1782">
        <v>72111</v>
      </c>
      <c r="AB1782" t="s">
        <v>1063</v>
      </c>
      <c r="AC1782" t="s">
        <v>1064</v>
      </c>
      <c r="AE1782" t="s">
        <v>1065</v>
      </c>
      <c r="AF1782" t="s">
        <v>1066</v>
      </c>
      <c r="AH1782" t="s">
        <v>1067</v>
      </c>
      <c r="AI1782" t="s">
        <v>140</v>
      </c>
      <c r="AJ1782" s="8" t="str">
        <f>"33445"</f>
        <v>33445</v>
      </c>
      <c r="AK1782" t="s">
        <v>118</v>
      </c>
      <c r="AM1782" s="10">
        <v>13476719373</v>
      </c>
      <c r="AO1782" t="s">
        <v>1068</v>
      </c>
      <c r="AP1782" t="s">
        <v>121</v>
      </c>
      <c r="AQ1782" t="s">
        <v>1059</v>
      </c>
      <c r="AR1782" t="s">
        <v>1069</v>
      </c>
      <c r="AS1782" t="s">
        <v>962</v>
      </c>
      <c r="AT1782" t="s">
        <v>1070</v>
      </c>
      <c r="AU1782" t="s">
        <v>1071</v>
      </c>
      <c r="AV1782" t="s">
        <v>573</v>
      </c>
      <c r="AW1782" t="s">
        <v>550</v>
      </c>
      <c r="AX1782" s="8" t="str">
        <f>"30309"</f>
        <v>30309</v>
      </c>
      <c r="AY1782" t="s">
        <v>118</v>
      </c>
      <c r="BA1782" s="10">
        <v>14042404151</v>
      </c>
      <c r="BC1782" t="s">
        <v>1072</v>
      </c>
      <c r="BD1782" t="s">
        <v>1073</v>
      </c>
      <c r="BE1782" t="s">
        <v>550</v>
      </c>
      <c r="BF1782" t="s">
        <v>1074</v>
      </c>
      <c r="BG1782" t="s">
        <v>140</v>
      </c>
      <c r="BH1782" s="1">
        <v>45124.833333333336</v>
      </c>
      <c r="BI1782">
        <v>35</v>
      </c>
      <c r="BJ1782">
        <v>0</v>
      </c>
      <c r="BK1782">
        <v>7</v>
      </c>
      <c r="BL1782">
        <v>7</v>
      </c>
      <c r="BM1782">
        <v>7</v>
      </c>
      <c r="BN1782">
        <v>0</v>
      </c>
      <c r="BO1782">
        <v>7</v>
      </c>
      <c r="BP1782">
        <v>7</v>
      </c>
      <c r="BQ1782" t="str">
        <f>"6:00 AM"</f>
        <v>6:00 AM</v>
      </c>
      <c r="BR1782" t="str">
        <f>"2:00 PM"</f>
        <v>2:00 PM</v>
      </c>
      <c r="BS1782" t="s">
        <v>131</v>
      </c>
      <c r="BT1782">
        <v>0</v>
      </c>
      <c r="BU1782">
        <v>3</v>
      </c>
      <c r="BV1782" t="s">
        <v>114</v>
      </c>
      <c r="BX1782" s="2" t="s">
        <v>10151</v>
      </c>
      <c r="BY1782" t="s">
        <v>1062</v>
      </c>
      <c r="CA1782" t="s">
        <v>761</v>
      </c>
      <c r="CB1782" t="s">
        <v>140</v>
      </c>
      <c r="CC1782" s="8" t="str">
        <f>"33445"</f>
        <v>33445</v>
      </c>
      <c r="CD1782" t="s">
        <v>767</v>
      </c>
      <c r="CE1782" t="s">
        <v>149</v>
      </c>
      <c r="CF1782" s="12">
        <v>14</v>
      </c>
      <c r="CH1782" s="12">
        <v>21</v>
      </c>
      <c r="CJ1782" t="s">
        <v>135</v>
      </c>
      <c r="CK1782" t="s">
        <v>10152</v>
      </c>
      <c r="CL1782" t="s">
        <v>10153</v>
      </c>
      <c r="CO1782" t="s">
        <v>132</v>
      </c>
      <c r="CP1782" t="s">
        <v>114</v>
      </c>
      <c r="CQ1782" t="s">
        <v>136</v>
      </c>
      <c r="CR1782" t="s">
        <v>136</v>
      </c>
      <c r="CS1782" t="s">
        <v>136</v>
      </c>
      <c r="CT1782" t="s">
        <v>136</v>
      </c>
      <c r="CU1782" t="s">
        <v>136</v>
      </c>
      <c r="CV1782" t="s">
        <v>10154</v>
      </c>
      <c r="CW1782" s="10" t="str">
        <f>"+15618230990"</f>
        <v>+15618230990</v>
      </c>
      <c r="CX1782" t="s">
        <v>1078</v>
      </c>
      <c r="CY1782" t="s">
        <v>1079</v>
      </c>
      <c r="CZ1782" t="s">
        <v>137</v>
      </c>
      <c r="DA1782" t="s">
        <v>114</v>
      </c>
      <c r="DB1782" t="s">
        <v>136</v>
      </c>
      <c r="DC1782" t="s">
        <v>136</v>
      </c>
      <c r="DD1782" t="s">
        <v>114</v>
      </c>
    </row>
    <row r="1783" spans="1:113" ht="15" customHeight="1" x14ac:dyDescent="0.25">
      <c r="A1783" t="s">
        <v>13281</v>
      </c>
      <c r="B1783" t="s">
        <v>152</v>
      </c>
      <c r="C1783" s="1">
        <v>45125.932762152777</v>
      </c>
      <c r="D1783" s="1">
        <v>45201</v>
      </c>
      <c r="E1783" t="s">
        <v>114</v>
      </c>
      <c r="F1783" t="s">
        <v>293</v>
      </c>
      <c r="G1783" t="str">
        <f>"37-2012.00"</f>
        <v>37-2012.00</v>
      </c>
      <c r="H1783" t="s">
        <v>205</v>
      </c>
      <c r="I1783">
        <v>15</v>
      </c>
      <c r="J1783">
        <v>15</v>
      </c>
      <c r="K1783" s="1">
        <v>45200</v>
      </c>
      <c r="L1783" s="1">
        <v>45473</v>
      </c>
      <c r="M1783" s="1">
        <v>45200</v>
      </c>
      <c r="N1783" s="1">
        <v>45473</v>
      </c>
      <c r="O1783" t="s">
        <v>116</v>
      </c>
      <c r="P1783" t="s">
        <v>1060</v>
      </c>
      <c r="Q1783" t="s">
        <v>1061</v>
      </c>
      <c r="R1783" t="s">
        <v>1062</v>
      </c>
      <c r="T1783" t="s">
        <v>761</v>
      </c>
      <c r="U1783" t="s">
        <v>140</v>
      </c>
      <c r="V1783" s="8" t="str">
        <f>"33445"</f>
        <v>33445</v>
      </c>
      <c r="W1783" t="s">
        <v>118</v>
      </c>
      <c r="Y1783" s="10">
        <v>15618230990</v>
      </c>
      <c r="AA1783">
        <v>72111</v>
      </c>
      <c r="AB1783" t="s">
        <v>1063</v>
      </c>
      <c r="AC1783" t="s">
        <v>1064</v>
      </c>
      <c r="AE1783" t="s">
        <v>1065</v>
      </c>
      <c r="AF1783" t="s">
        <v>1066</v>
      </c>
      <c r="AH1783" t="s">
        <v>1067</v>
      </c>
      <c r="AI1783" t="s">
        <v>140</v>
      </c>
      <c r="AJ1783" s="8" t="str">
        <f>"33445"</f>
        <v>33445</v>
      </c>
      <c r="AK1783" t="s">
        <v>118</v>
      </c>
      <c r="AM1783" s="10">
        <v>13476719373</v>
      </c>
      <c r="AO1783" t="s">
        <v>1068</v>
      </c>
      <c r="AP1783" t="s">
        <v>121</v>
      </c>
      <c r="AQ1783" t="s">
        <v>1059</v>
      </c>
      <c r="AR1783" t="s">
        <v>1069</v>
      </c>
      <c r="AS1783" t="s">
        <v>962</v>
      </c>
      <c r="AT1783" t="s">
        <v>1070</v>
      </c>
      <c r="AU1783" t="s">
        <v>1071</v>
      </c>
      <c r="AV1783" t="s">
        <v>573</v>
      </c>
      <c r="AW1783" t="s">
        <v>550</v>
      </c>
      <c r="AX1783" s="8" t="str">
        <f>"30309"</f>
        <v>30309</v>
      </c>
      <c r="AY1783" t="s">
        <v>118</v>
      </c>
      <c r="BA1783" s="10">
        <v>14042404151</v>
      </c>
      <c r="BC1783" t="s">
        <v>1072</v>
      </c>
      <c r="BD1783" t="s">
        <v>1073</v>
      </c>
      <c r="BE1783" t="s">
        <v>550</v>
      </c>
      <c r="BF1783" t="s">
        <v>1074</v>
      </c>
      <c r="BG1783" t="s">
        <v>140</v>
      </c>
      <c r="BH1783" s="1">
        <v>45124.833333333336</v>
      </c>
      <c r="BI1783">
        <v>35</v>
      </c>
      <c r="BJ1783">
        <v>0</v>
      </c>
      <c r="BK1783">
        <v>7</v>
      </c>
      <c r="BL1783">
        <v>7</v>
      </c>
      <c r="BM1783">
        <v>7</v>
      </c>
      <c r="BN1783">
        <v>0</v>
      </c>
      <c r="BO1783">
        <v>7</v>
      </c>
      <c r="BP1783">
        <v>7</v>
      </c>
      <c r="BQ1783" t="str">
        <f>"6:00 AM"</f>
        <v>6:00 AM</v>
      </c>
      <c r="BR1783" t="str">
        <f>"2:00 PM"</f>
        <v>2:00 PM</v>
      </c>
      <c r="BS1783" t="s">
        <v>131</v>
      </c>
      <c r="BT1783">
        <v>0</v>
      </c>
      <c r="BU1783">
        <v>0</v>
      </c>
      <c r="BV1783" t="s">
        <v>114</v>
      </c>
      <c r="BX1783" s="2" t="s">
        <v>13282</v>
      </c>
      <c r="BY1783" t="s">
        <v>1062</v>
      </c>
      <c r="CA1783" t="s">
        <v>761</v>
      </c>
      <c r="CB1783" t="s">
        <v>140</v>
      </c>
      <c r="CC1783" s="8" t="str">
        <f>"33445"</f>
        <v>33445</v>
      </c>
      <c r="CD1783" t="s">
        <v>767</v>
      </c>
      <c r="CE1783" t="s">
        <v>149</v>
      </c>
      <c r="CF1783" s="12">
        <v>13.06</v>
      </c>
      <c r="CH1783" s="12">
        <v>19.59</v>
      </c>
      <c r="CJ1783" t="s">
        <v>135</v>
      </c>
      <c r="CL1783" t="s">
        <v>13283</v>
      </c>
      <c r="CO1783" t="s">
        <v>132</v>
      </c>
      <c r="CP1783" t="s">
        <v>114</v>
      </c>
      <c r="CQ1783" t="s">
        <v>136</v>
      </c>
      <c r="CR1783" t="s">
        <v>136</v>
      </c>
      <c r="CS1783" t="s">
        <v>136</v>
      </c>
      <c r="CT1783" t="s">
        <v>136</v>
      </c>
      <c r="CU1783" t="s">
        <v>136</v>
      </c>
      <c r="CV1783" t="s">
        <v>10154</v>
      </c>
      <c r="CW1783" s="10" t="str">
        <f>"+15618230990"</f>
        <v>+15618230990</v>
      </c>
      <c r="CX1783" t="s">
        <v>1078</v>
      </c>
      <c r="CY1783" t="s">
        <v>1079</v>
      </c>
      <c r="CZ1783" t="s">
        <v>137</v>
      </c>
      <c r="DA1783" t="s">
        <v>114</v>
      </c>
      <c r="DB1783" t="s">
        <v>136</v>
      </c>
      <c r="DC1783" t="s">
        <v>136</v>
      </c>
      <c r="DD1783" t="s">
        <v>114</v>
      </c>
    </row>
    <row r="1784" spans="1:113" ht="15" customHeight="1" x14ac:dyDescent="0.25">
      <c r="A1784" t="s">
        <v>18497</v>
      </c>
      <c r="B1784" t="s">
        <v>152</v>
      </c>
      <c r="C1784" s="1">
        <v>45125.559861921298</v>
      </c>
      <c r="D1784" s="1">
        <v>45201</v>
      </c>
      <c r="E1784" t="s">
        <v>114</v>
      </c>
      <c r="F1784" t="s">
        <v>18498</v>
      </c>
      <c r="G1784" t="str">
        <f>"45-3031.00"</f>
        <v>45-3031.00</v>
      </c>
      <c r="H1784" t="s">
        <v>3729</v>
      </c>
      <c r="I1784">
        <v>76</v>
      </c>
      <c r="J1784">
        <v>76</v>
      </c>
      <c r="K1784" s="1">
        <v>45215</v>
      </c>
      <c r="L1784" s="1">
        <v>45423</v>
      </c>
      <c r="M1784" s="1">
        <v>45215</v>
      </c>
      <c r="N1784" s="1">
        <v>45423</v>
      </c>
      <c r="O1784" t="s">
        <v>116</v>
      </c>
      <c r="P1784" t="s">
        <v>18499</v>
      </c>
      <c r="R1784" t="s">
        <v>18500</v>
      </c>
      <c r="T1784" t="s">
        <v>18501</v>
      </c>
      <c r="U1784" t="s">
        <v>127</v>
      </c>
      <c r="V1784" s="8" t="str">
        <f>"77979"</f>
        <v>77979</v>
      </c>
      <c r="W1784" t="s">
        <v>118</v>
      </c>
      <c r="Y1784" s="10">
        <v>13615526423</v>
      </c>
      <c r="AA1784">
        <v>4244</v>
      </c>
      <c r="AB1784" t="s">
        <v>18502</v>
      </c>
      <c r="AC1784" t="s">
        <v>2823</v>
      </c>
      <c r="AE1784" t="s">
        <v>120</v>
      </c>
      <c r="AF1784" t="s">
        <v>18503</v>
      </c>
      <c r="AH1784" t="s">
        <v>18501</v>
      </c>
      <c r="AI1784" t="s">
        <v>127</v>
      </c>
      <c r="AJ1784" s="8" t="str">
        <f>"77979"</f>
        <v>77979</v>
      </c>
      <c r="AK1784" t="s">
        <v>118</v>
      </c>
      <c r="AM1784" s="10">
        <v>13615526423</v>
      </c>
      <c r="AO1784" t="s">
        <v>132</v>
      </c>
      <c r="AP1784" t="s">
        <v>248</v>
      </c>
      <c r="AQ1784" t="s">
        <v>8046</v>
      </c>
      <c r="AR1784" t="s">
        <v>1802</v>
      </c>
      <c r="AT1784" t="s">
        <v>8047</v>
      </c>
      <c r="AV1784" t="s">
        <v>8048</v>
      </c>
      <c r="AW1784" t="s">
        <v>550</v>
      </c>
      <c r="AX1784" s="8" t="str">
        <f>"31606"</f>
        <v>31606</v>
      </c>
      <c r="AY1784" t="s">
        <v>118</v>
      </c>
      <c r="BA1784" s="10">
        <v>12295590241</v>
      </c>
      <c r="BC1784" t="s">
        <v>8049</v>
      </c>
      <c r="BD1784" t="s">
        <v>8050</v>
      </c>
      <c r="BG1784" t="s">
        <v>127</v>
      </c>
      <c r="BH1784" s="1">
        <v>45124.833333333336</v>
      </c>
      <c r="BI1784">
        <v>35</v>
      </c>
      <c r="BJ1784">
        <v>0</v>
      </c>
      <c r="BK1784">
        <v>7</v>
      </c>
      <c r="BL1784">
        <v>7</v>
      </c>
      <c r="BM1784">
        <v>7</v>
      </c>
      <c r="BN1784">
        <v>7</v>
      </c>
      <c r="BO1784">
        <v>7</v>
      </c>
      <c r="BP1784">
        <v>0</v>
      </c>
      <c r="BQ1784" t="str">
        <f>"6:00 AM"</f>
        <v>6:00 AM</v>
      </c>
      <c r="BR1784" t="str">
        <f>"2:00 PM"</f>
        <v>2:00 PM</v>
      </c>
      <c r="BS1784" t="s">
        <v>131</v>
      </c>
      <c r="BT1784">
        <v>0</v>
      </c>
      <c r="BU1784">
        <v>0</v>
      </c>
      <c r="BV1784" t="s">
        <v>114</v>
      </c>
      <c r="BX1784" s="2" t="s">
        <v>18504</v>
      </c>
      <c r="BY1784" t="s">
        <v>18500</v>
      </c>
      <c r="CA1784" t="s">
        <v>12235</v>
      </c>
      <c r="CB1784" t="s">
        <v>127</v>
      </c>
      <c r="CC1784" s="8" t="str">
        <f>"77979"</f>
        <v>77979</v>
      </c>
      <c r="CD1784" t="s">
        <v>5287</v>
      </c>
      <c r="CE1784" t="s">
        <v>1590</v>
      </c>
      <c r="CF1784" s="12">
        <v>14.46</v>
      </c>
      <c r="CJ1784" t="s">
        <v>135</v>
      </c>
      <c r="CL1784" t="s">
        <v>18505</v>
      </c>
      <c r="CO1784" t="s">
        <v>132</v>
      </c>
      <c r="CP1784" t="s">
        <v>136</v>
      </c>
      <c r="CQ1784" t="s">
        <v>114</v>
      </c>
      <c r="CR1784" t="s">
        <v>114</v>
      </c>
      <c r="CS1784" t="s">
        <v>114</v>
      </c>
      <c r="CT1784" t="s">
        <v>136</v>
      </c>
      <c r="CU1784" t="s">
        <v>114</v>
      </c>
      <c r="CV1784" t="s">
        <v>8052</v>
      </c>
      <c r="CW1784" s="10" t="str">
        <f>"+13615526423"</f>
        <v>+13615526423</v>
      </c>
      <c r="CX1784" t="s">
        <v>18506</v>
      </c>
      <c r="CY1784" t="s">
        <v>132</v>
      </c>
      <c r="CZ1784" t="s">
        <v>137</v>
      </c>
      <c r="DA1784" t="s">
        <v>114</v>
      </c>
      <c r="DB1784" t="s">
        <v>114</v>
      </c>
      <c r="DC1784" t="s">
        <v>136</v>
      </c>
      <c r="DD1784" t="s">
        <v>114</v>
      </c>
    </row>
    <row r="1785" spans="1:113" ht="15" customHeight="1" x14ac:dyDescent="0.25">
      <c r="A1785" t="s">
        <v>18307</v>
      </c>
      <c r="B1785" t="s">
        <v>152</v>
      </c>
      <c r="C1785" s="1">
        <v>45125.000785763892</v>
      </c>
      <c r="D1785" s="1">
        <v>45201</v>
      </c>
      <c r="E1785" t="s">
        <v>114</v>
      </c>
      <c r="F1785" t="s">
        <v>10955</v>
      </c>
      <c r="G1785" t="str">
        <f>"45-4011.00"</f>
        <v>45-4011.00</v>
      </c>
      <c r="H1785" t="s">
        <v>842</v>
      </c>
      <c r="I1785">
        <v>69</v>
      </c>
      <c r="J1785">
        <v>69</v>
      </c>
      <c r="K1785" s="1">
        <v>45215</v>
      </c>
      <c r="L1785" s="1">
        <v>45350</v>
      </c>
      <c r="M1785" s="1">
        <v>45215</v>
      </c>
      <c r="N1785" s="1">
        <v>45350</v>
      </c>
      <c r="O1785" t="s">
        <v>238</v>
      </c>
      <c r="P1785" t="s">
        <v>18308</v>
      </c>
      <c r="R1785" t="s">
        <v>18309</v>
      </c>
      <c r="T1785" t="s">
        <v>9236</v>
      </c>
      <c r="U1785" t="s">
        <v>1691</v>
      </c>
      <c r="V1785" s="8" t="str">
        <f>"29824"</f>
        <v>29824</v>
      </c>
      <c r="W1785" t="s">
        <v>118</v>
      </c>
      <c r="Y1785" s="10">
        <v>18033171791</v>
      </c>
      <c r="AA1785">
        <v>11531</v>
      </c>
      <c r="AB1785" t="s">
        <v>18310</v>
      </c>
      <c r="AC1785" t="s">
        <v>13637</v>
      </c>
      <c r="AE1785" t="s">
        <v>987</v>
      </c>
      <c r="AF1785" t="s">
        <v>18309</v>
      </c>
      <c r="AH1785" t="s">
        <v>9236</v>
      </c>
      <c r="AI1785" t="s">
        <v>1691</v>
      </c>
      <c r="AJ1785" s="8" t="str">
        <f>"29824"</f>
        <v>29824</v>
      </c>
      <c r="AK1785" t="s">
        <v>118</v>
      </c>
      <c r="AM1785" s="10">
        <v>18033171791</v>
      </c>
      <c r="AO1785" t="s">
        <v>18311</v>
      </c>
      <c r="AP1785" t="s">
        <v>248</v>
      </c>
      <c r="AQ1785" t="s">
        <v>2010</v>
      </c>
      <c r="AR1785" t="s">
        <v>2011</v>
      </c>
      <c r="AT1785" t="s">
        <v>1032</v>
      </c>
      <c r="AU1785" t="s">
        <v>852</v>
      </c>
      <c r="AV1785" t="s">
        <v>853</v>
      </c>
      <c r="AW1785" t="s">
        <v>854</v>
      </c>
      <c r="AX1785" s="8" t="str">
        <f>"83814"</f>
        <v>83814</v>
      </c>
      <c r="AY1785" t="s">
        <v>118</v>
      </c>
      <c r="BA1785" s="10">
        <v>12087772654</v>
      </c>
      <c r="BC1785" t="s">
        <v>2012</v>
      </c>
      <c r="BD1785" t="s">
        <v>856</v>
      </c>
      <c r="BG1785" t="s">
        <v>1691</v>
      </c>
      <c r="BH1785" s="1">
        <v>45124.833333333336</v>
      </c>
      <c r="BI1785">
        <v>40</v>
      </c>
      <c r="BJ1785">
        <v>0</v>
      </c>
      <c r="BK1785">
        <v>8</v>
      </c>
      <c r="BL1785">
        <v>8</v>
      </c>
      <c r="BM1785">
        <v>8</v>
      </c>
      <c r="BN1785">
        <v>8</v>
      </c>
      <c r="BO1785">
        <v>8</v>
      </c>
      <c r="BP1785">
        <v>0</v>
      </c>
      <c r="BQ1785" t="str">
        <f>"8:00 AM"</f>
        <v>8:00 AM</v>
      </c>
      <c r="BR1785" t="str">
        <f>"4:30 PM"</f>
        <v>4:30 PM</v>
      </c>
      <c r="BS1785" t="s">
        <v>131</v>
      </c>
      <c r="BT1785">
        <v>0</v>
      </c>
      <c r="BU1785">
        <v>0</v>
      </c>
      <c r="BV1785" t="s">
        <v>114</v>
      </c>
      <c r="BX1785" t="s">
        <v>13500</v>
      </c>
      <c r="BY1785" t="s">
        <v>18312</v>
      </c>
      <c r="CA1785" t="s">
        <v>9236</v>
      </c>
      <c r="CB1785" t="s">
        <v>1691</v>
      </c>
      <c r="CC1785" s="8" t="str">
        <f>"29824"</f>
        <v>29824</v>
      </c>
      <c r="CD1785" t="s">
        <v>3542</v>
      </c>
      <c r="CE1785" t="s">
        <v>3543</v>
      </c>
      <c r="CF1785" s="12">
        <v>11.78</v>
      </c>
      <c r="CG1785" s="12">
        <v>28</v>
      </c>
      <c r="CH1785" s="12">
        <v>17.670000000000002</v>
      </c>
      <c r="CI1785" s="12">
        <v>42</v>
      </c>
      <c r="CJ1785" t="s">
        <v>135</v>
      </c>
      <c r="CK1785" t="s">
        <v>18313</v>
      </c>
      <c r="CL1785" t="s">
        <v>18314</v>
      </c>
      <c r="CO1785" t="s">
        <v>132</v>
      </c>
      <c r="CP1785" t="s">
        <v>136</v>
      </c>
      <c r="CQ1785" t="s">
        <v>136</v>
      </c>
      <c r="CR1785" t="s">
        <v>136</v>
      </c>
      <c r="CS1785" t="s">
        <v>136</v>
      </c>
      <c r="CT1785" t="s">
        <v>136</v>
      </c>
      <c r="CU1785" t="s">
        <v>136</v>
      </c>
      <c r="CV1785" t="s">
        <v>1040</v>
      </c>
      <c r="CW1785" s="10" t="str">
        <f>"+18033171791"</f>
        <v>+18033171791</v>
      </c>
      <c r="CX1785" t="s">
        <v>18311</v>
      </c>
      <c r="CY1785" t="s">
        <v>132</v>
      </c>
      <c r="CZ1785" t="s">
        <v>137</v>
      </c>
      <c r="DA1785" t="s">
        <v>114</v>
      </c>
      <c r="DB1785" t="s">
        <v>114</v>
      </c>
      <c r="DC1785" t="s">
        <v>136</v>
      </c>
      <c r="DD1785" t="s">
        <v>114</v>
      </c>
    </row>
    <row r="1786" spans="1:113" ht="15" customHeight="1" x14ac:dyDescent="0.25">
      <c r="A1786" t="s">
        <v>14392</v>
      </c>
      <c r="B1786" t="s">
        <v>152</v>
      </c>
      <c r="C1786" s="1">
        <v>45124.740178703702</v>
      </c>
      <c r="D1786" s="1">
        <v>45201</v>
      </c>
      <c r="E1786" t="s">
        <v>114</v>
      </c>
      <c r="F1786" t="s">
        <v>5852</v>
      </c>
      <c r="G1786" t="str">
        <f>"37-3011.00"</f>
        <v>37-3011.00</v>
      </c>
      <c r="H1786" t="s">
        <v>429</v>
      </c>
      <c r="I1786">
        <v>30</v>
      </c>
      <c r="J1786">
        <v>30</v>
      </c>
      <c r="K1786" s="1">
        <v>45214</v>
      </c>
      <c r="L1786" s="1">
        <v>45503</v>
      </c>
      <c r="M1786" s="1">
        <v>45214</v>
      </c>
      <c r="N1786" s="1">
        <v>45503</v>
      </c>
      <c r="O1786" t="s">
        <v>238</v>
      </c>
      <c r="P1786" t="s">
        <v>14393</v>
      </c>
      <c r="R1786" t="s">
        <v>14394</v>
      </c>
      <c r="T1786" t="s">
        <v>7740</v>
      </c>
      <c r="U1786" t="s">
        <v>1691</v>
      </c>
      <c r="V1786" s="8" t="str">
        <f>"29720"</f>
        <v>29720</v>
      </c>
      <c r="W1786" t="s">
        <v>118</v>
      </c>
      <c r="Y1786" s="10">
        <v>18033202074</v>
      </c>
      <c r="AA1786">
        <v>56173</v>
      </c>
      <c r="AB1786" t="s">
        <v>14395</v>
      </c>
      <c r="AC1786" t="s">
        <v>12258</v>
      </c>
      <c r="AD1786" t="s">
        <v>5973</v>
      </c>
      <c r="AE1786" t="s">
        <v>2907</v>
      </c>
      <c r="AF1786" t="s">
        <v>14394</v>
      </c>
      <c r="AH1786" t="s">
        <v>7740</v>
      </c>
      <c r="AI1786" t="s">
        <v>1691</v>
      </c>
      <c r="AJ1786" s="8" t="str">
        <f>"29720"</f>
        <v>29720</v>
      </c>
      <c r="AK1786" t="s">
        <v>118</v>
      </c>
      <c r="AM1786" s="10">
        <v>18033202074</v>
      </c>
      <c r="AO1786" t="s">
        <v>14396</v>
      </c>
      <c r="AP1786" t="s">
        <v>121</v>
      </c>
      <c r="AQ1786" t="s">
        <v>587</v>
      </c>
      <c r="AR1786" t="s">
        <v>278</v>
      </c>
      <c r="AS1786" t="s">
        <v>631</v>
      </c>
      <c r="AT1786" t="s">
        <v>632</v>
      </c>
      <c r="AU1786" t="s">
        <v>633</v>
      </c>
      <c r="AV1786" t="s">
        <v>634</v>
      </c>
      <c r="AW1786" t="s">
        <v>375</v>
      </c>
      <c r="AX1786" s="8" t="str">
        <f>"28328"</f>
        <v>28328</v>
      </c>
      <c r="AY1786" t="s">
        <v>118</v>
      </c>
      <c r="BA1786" s="10">
        <v>19105924121</v>
      </c>
      <c r="BC1786" t="s">
        <v>635</v>
      </c>
      <c r="BD1786" t="s">
        <v>636</v>
      </c>
      <c r="BE1786" t="s">
        <v>375</v>
      </c>
      <c r="BF1786" t="s">
        <v>172</v>
      </c>
      <c r="BG1786" t="s">
        <v>1691</v>
      </c>
      <c r="BH1786" s="1">
        <v>45123.833333333336</v>
      </c>
      <c r="BI1786">
        <v>35</v>
      </c>
      <c r="BJ1786">
        <v>0</v>
      </c>
      <c r="BK1786">
        <v>6</v>
      </c>
      <c r="BL1786">
        <v>6</v>
      </c>
      <c r="BM1786">
        <v>6</v>
      </c>
      <c r="BN1786">
        <v>6</v>
      </c>
      <c r="BO1786">
        <v>6</v>
      </c>
      <c r="BP1786">
        <v>5</v>
      </c>
      <c r="BQ1786" t="str">
        <f>"7:00 AM"</f>
        <v>7:00 AM</v>
      </c>
      <c r="BR1786" t="str">
        <f>"3:00 PM"</f>
        <v>3:00 PM</v>
      </c>
      <c r="BS1786" t="s">
        <v>131</v>
      </c>
      <c r="BT1786">
        <v>0</v>
      </c>
      <c r="BU1786">
        <v>3</v>
      </c>
      <c r="BV1786" t="s">
        <v>114</v>
      </c>
      <c r="BX1786" s="2" t="s">
        <v>14397</v>
      </c>
      <c r="BY1786" t="s">
        <v>14394</v>
      </c>
      <c r="BZ1786" t="s">
        <v>14398</v>
      </c>
      <c r="CA1786" t="s">
        <v>7740</v>
      </c>
      <c r="CB1786" t="s">
        <v>1691</v>
      </c>
      <c r="CC1786" s="8" t="str">
        <f>"29720"</f>
        <v>29720</v>
      </c>
      <c r="CD1786" t="s">
        <v>2655</v>
      </c>
      <c r="CE1786" t="s">
        <v>2940</v>
      </c>
      <c r="CF1786" s="12">
        <v>16.5</v>
      </c>
      <c r="CG1786" s="12">
        <v>16.5</v>
      </c>
      <c r="CH1786" s="12">
        <v>24.75</v>
      </c>
      <c r="CI1786" s="12">
        <v>24.75</v>
      </c>
      <c r="CJ1786" t="s">
        <v>135</v>
      </c>
      <c r="CK1786" t="s">
        <v>14399</v>
      </c>
      <c r="CL1786" t="s">
        <v>14400</v>
      </c>
      <c r="CO1786" t="s">
        <v>132</v>
      </c>
      <c r="CP1786" t="s">
        <v>136</v>
      </c>
      <c r="CQ1786" t="s">
        <v>136</v>
      </c>
      <c r="CR1786" t="s">
        <v>136</v>
      </c>
      <c r="CS1786" t="s">
        <v>114</v>
      </c>
      <c r="CT1786" t="s">
        <v>136</v>
      </c>
      <c r="CU1786" t="s">
        <v>114</v>
      </c>
      <c r="CV1786" t="s">
        <v>14401</v>
      </c>
      <c r="CW1786" s="10" t="str">
        <f>"+18033202074"</f>
        <v>+18033202074</v>
      </c>
      <c r="CX1786" t="s">
        <v>14396</v>
      </c>
      <c r="CY1786" t="s">
        <v>645</v>
      </c>
      <c r="CZ1786" t="s">
        <v>137</v>
      </c>
      <c r="DA1786" t="s">
        <v>114</v>
      </c>
      <c r="DB1786" t="s">
        <v>114</v>
      </c>
      <c r="DC1786" t="s">
        <v>136</v>
      </c>
      <c r="DD1786" t="s">
        <v>114</v>
      </c>
    </row>
    <row r="1787" spans="1:113" ht="15" customHeight="1" x14ac:dyDescent="0.25">
      <c r="A1787" t="s">
        <v>6536</v>
      </c>
      <c r="B1787" t="s">
        <v>152</v>
      </c>
      <c r="C1787" s="1">
        <v>45124.52874386574</v>
      </c>
      <c r="D1787" s="1">
        <v>45201</v>
      </c>
      <c r="E1787" t="s">
        <v>114</v>
      </c>
      <c r="F1787" t="s">
        <v>6537</v>
      </c>
      <c r="G1787" t="str">
        <f>"37-2011.00"</f>
        <v>37-2011.00</v>
      </c>
      <c r="H1787" t="s">
        <v>1089</v>
      </c>
      <c r="I1787">
        <v>25</v>
      </c>
      <c r="J1787">
        <v>25</v>
      </c>
      <c r="K1787" s="1">
        <v>45214</v>
      </c>
      <c r="L1787" s="1">
        <v>45488</v>
      </c>
      <c r="M1787" s="1">
        <v>45214</v>
      </c>
      <c r="N1787" s="1">
        <v>45488</v>
      </c>
      <c r="O1787" t="s">
        <v>238</v>
      </c>
      <c r="P1787" t="s">
        <v>6538</v>
      </c>
      <c r="R1787" t="s">
        <v>6539</v>
      </c>
      <c r="T1787" t="s">
        <v>6540</v>
      </c>
      <c r="U1787" t="s">
        <v>333</v>
      </c>
      <c r="V1787" s="8" t="str">
        <f>"70360"</f>
        <v>70360</v>
      </c>
      <c r="W1787" t="s">
        <v>118</v>
      </c>
      <c r="Y1787" s="10">
        <v>13379836861</v>
      </c>
      <c r="AA1787">
        <v>561720</v>
      </c>
      <c r="AB1787" t="s">
        <v>6541</v>
      </c>
      <c r="AC1787" t="s">
        <v>6542</v>
      </c>
      <c r="AE1787" t="s">
        <v>561</v>
      </c>
      <c r="AF1787" t="s">
        <v>6539</v>
      </c>
      <c r="AH1787" t="s">
        <v>6543</v>
      </c>
      <c r="AI1787" t="s">
        <v>333</v>
      </c>
      <c r="AJ1787" s="8" t="str">
        <f>"70360"</f>
        <v>70360</v>
      </c>
      <c r="AK1787" t="s">
        <v>118</v>
      </c>
      <c r="AM1787" s="10">
        <v>13379836861</v>
      </c>
      <c r="AO1787" t="s">
        <v>6544</v>
      </c>
      <c r="AX1787" s="8" t="str">
        <f>""</f>
        <v/>
      </c>
      <c r="BG1787" t="s">
        <v>333</v>
      </c>
      <c r="BH1787" s="1">
        <v>45103.833333333336</v>
      </c>
      <c r="BI1787">
        <v>40</v>
      </c>
      <c r="BJ1787">
        <v>0</v>
      </c>
      <c r="BK1787">
        <v>7</v>
      </c>
      <c r="BL1787">
        <v>7</v>
      </c>
      <c r="BM1787">
        <v>7</v>
      </c>
      <c r="BN1787">
        <v>7</v>
      </c>
      <c r="BO1787">
        <v>7</v>
      </c>
      <c r="BP1787">
        <v>5</v>
      </c>
      <c r="BQ1787" t="str">
        <f>"6:00 AM"</f>
        <v>6:00 AM</v>
      </c>
      <c r="BR1787" t="str">
        <f>"10:00 PM"</f>
        <v>10:00 PM</v>
      </c>
      <c r="BS1787" t="s">
        <v>131</v>
      </c>
      <c r="BT1787">
        <v>0</v>
      </c>
      <c r="BU1787">
        <v>3</v>
      </c>
      <c r="BV1787" t="s">
        <v>114</v>
      </c>
      <c r="BX1787" s="2" t="s">
        <v>6545</v>
      </c>
      <c r="BY1787" t="s">
        <v>6539</v>
      </c>
      <c r="CA1787" t="s">
        <v>6540</v>
      </c>
      <c r="CB1787" t="s">
        <v>333</v>
      </c>
      <c r="CC1787" s="8" t="str">
        <f>"70360"</f>
        <v>70360</v>
      </c>
      <c r="CD1787" t="s">
        <v>6546</v>
      </c>
      <c r="CE1787" t="s">
        <v>6547</v>
      </c>
      <c r="CF1787" s="12">
        <v>11.31</v>
      </c>
      <c r="CG1787" s="12">
        <v>11.31</v>
      </c>
      <c r="CJ1787" t="s">
        <v>135</v>
      </c>
      <c r="CL1787" t="s">
        <v>6548</v>
      </c>
      <c r="CO1787" t="s">
        <v>132</v>
      </c>
      <c r="CP1787" t="s">
        <v>136</v>
      </c>
      <c r="CQ1787" t="s">
        <v>136</v>
      </c>
      <c r="CR1787" t="s">
        <v>114</v>
      </c>
      <c r="CS1787" t="s">
        <v>114</v>
      </c>
      <c r="CT1787" t="s">
        <v>136</v>
      </c>
      <c r="CU1787" t="s">
        <v>136</v>
      </c>
      <c r="CV1787" s="2" t="s">
        <v>6549</v>
      </c>
      <c r="CW1787" s="10" t="str">
        <f>"+13379836861"</f>
        <v>+13379836861</v>
      </c>
      <c r="CX1787" t="s">
        <v>6544</v>
      </c>
      <c r="CY1787" t="s">
        <v>132</v>
      </c>
      <c r="CZ1787" t="s">
        <v>137</v>
      </c>
      <c r="DA1787" t="s">
        <v>114</v>
      </c>
      <c r="DB1787" t="s">
        <v>114</v>
      </c>
      <c r="DC1787" t="s">
        <v>136</v>
      </c>
      <c r="DD1787" t="s">
        <v>114</v>
      </c>
    </row>
    <row r="1788" spans="1:113" ht="15" customHeight="1" x14ac:dyDescent="0.25">
      <c r="A1788" t="s">
        <v>21472</v>
      </c>
      <c r="B1788" t="s">
        <v>152</v>
      </c>
      <c r="C1788" s="1">
        <v>45124.479338773148</v>
      </c>
      <c r="D1788" s="1">
        <v>45201</v>
      </c>
      <c r="E1788" t="s">
        <v>114</v>
      </c>
      <c r="F1788" t="s">
        <v>1247</v>
      </c>
      <c r="G1788" t="str">
        <f>"45-4011.00"</f>
        <v>45-4011.00</v>
      </c>
      <c r="H1788" t="s">
        <v>842</v>
      </c>
      <c r="I1788">
        <v>40</v>
      </c>
      <c r="J1788">
        <v>40</v>
      </c>
      <c r="K1788" s="1">
        <v>45214</v>
      </c>
      <c r="L1788" s="1">
        <v>45519</v>
      </c>
      <c r="M1788" s="1">
        <v>45214</v>
      </c>
      <c r="N1788" s="1">
        <v>45519</v>
      </c>
      <c r="O1788" t="s">
        <v>238</v>
      </c>
      <c r="P1788" t="s">
        <v>21473</v>
      </c>
      <c r="R1788" t="s">
        <v>21474</v>
      </c>
      <c r="T1788" t="s">
        <v>845</v>
      </c>
      <c r="U1788" t="s">
        <v>479</v>
      </c>
      <c r="V1788" s="8" t="str">
        <f>"97502"</f>
        <v>97502</v>
      </c>
      <c r="W1788" t="s">
        <v>118</v>
      </c>
      <c r="Y1788" s="10">
        <v>15416907734</v>
      </c>
      <c r="AA1788">
        <v>11531</v>
      </c>
      <c r="AB1788" t="s">
        <v>1820</v>
      </c>
      <c r="AC1788" t="s">
        <v>21475</v>
      </c>
      <c r="AE1788" t="s">
        <v>561</v>
      </c>
      <c r="AF1788" t="s">
        <v>21474</v>
      </c>
      <c r="AH1788" t="s">
        <v>845</v>
      </c>
      <c r="AI1788" t="s">
        <v>479</v>
      </c>
      <c r="AJ1788" s="8" t="str">
        <f>"97502"</f>
        <v>97502</v>
      </c>
      <c r="AK1788" t="s">
        <v>118</v>
      </c>
      <c r="AM1788" s="10">
        <v>15416907734</v>
      </c>
      <c r="AO1788" t="s">
        <v>21476</v>
      </c>
      <c r="AP1788" t="s">
        <v>248</v>
      </c>
      <c r="AQ1788" t="s">
        <v>2741</v>
      </c>
      <c r="AR1788" t="s">
        <v>2742</v>
      </c>
      <c r="AS1788" t="s">
        <v>132</v>
      </c>
      <c r="AT1788" t="s">
        <v>6132</v>
      </c>
      <c r="AU1788" t="s">
        <v>852</v>
      </c>
      <c r="AV1788" t="s">
        <v>853</v>
      </c>
      <c r="AW1788" t="s">
        <v>854</v>
      </c>
      <c r="AX1788" s="8" t="str">
        <f>"83814"</f>
        <v>83814</v>
      </c>
      <c r="AY1788" t="s">
        <v>118</v>
      </c>
      <c r="BA1788" s="10">
        <v>12087772654</v>
      </c>
      <c r="BC1788" t="s">
        <v>2951</v>
      </c>
      <c r="BD1788" t="s">
        <v>856</v>
      </c>
      <c r="BG1788" t="s">
        <v>479</v>
      </c>
      <c r="BH1788" s="1">
        <v>45125.833333333336</v>
      </c>
      <c r="BI1788">
        <v>35</v>
      </c>
      <c r="BJ1788">
        <v>0</v>
      </c>
      <c r="BK1788">
        <v>7</v>
      </c>
      <c r="BL1788">
        <v>7</v>
      </c>
      <c r="BM1788">
        <v>7</v>
      </c>
      <c r="BN1788">
        <v>7</v>
      </c>
      <c r="BO1788">
        <v>7</v>
      </c>
      <c r="BP1788">
        <v>0</v>
      </c>
      <c r="BQ1788" t="str">
        <f>"5:00 AM"</f>
        <v>5:00 AM</v>
      </c>
      <c r="BR1788" t="str">
        <f>"3:00 PM"</f>
        <v>3:00 PM</v>
      </c>
      <c r="BS1788" t="s">
        <v>131</v>
      </c>
      <c r="BT1788">
        <v>0</v>
      </c>
      <c r="BU1788">
        <v>3</v>
      </c>
      <c r="BV1788" t="s">
        <v>114</v>
      </c>
      <c r="BX1788" t="s">
        <v>21477</v>
      </c>
      <c r="BY1788" t="s">
        <v>21478</v>
      </c>
      <c r="CA1788" t="s">
        <v>845</v>
      </c>
      <c r="CB1788" t="s">
        <v>479</v>
      </c>
      <c r="CC1788" s="8" t="str">
        <f>"97502"</f>
        <v>97502</v>
      </c>
      <c r="CD1788" t="s">
        <v>859</v>
      </c>
      <c r="CE1788" t="s">
        <v>860</v>
      </c>
      <c r="CF1788" s="12">
        <v>15.5</v>
      </c>
      <c r="CG1788" s="12">
        <v>21.04</v>
      </c>
      <c r="CH1788" s="12">
        <v>23.25</v>
      </c>
      <c r="CI1788" s="12">
        <v>31.56</v>
      </c>
      <c r="CJ1788" t="s">
        <v>135</v>
      </c>
      <c r="CK1788" t="s">
        <v>861</v>
      </c>
      <c r="CL1788" t="s">
        <v>21479</v>
      </c>
      <c r="CO1788" t="s">
        <v>132</v>
      </c>
      <c r="CP1788" t="s">
        <v>136</v>
      </c>
      <c r="CQ1788" t="s">
        <v>136</v>
      </c>
      <c r="CR1788" t="s">
        <v>136</v>
      </c>
      <c r="CS1788" t="s">
        <v>114</v>
      </c>
      <c r="CT1788" t="s">
        <v>136</v>
      </c>
      <c r="CU1788" t="s">
        <v>136</v>
      </c>
      <c r="CV1788" t="s">
        <v>1040</v>
      </c>
      <c r="CW1788" s="10" t="str">
        <f>"+15416907734"</f>
        <v>+15416907734</v>
      </c>
      <c r="CX1788" t="s">
        <v>21476</v>
      </c>
      <c r="CY1788" t="s">
        <v>132</v>
      </c>
      <c r="CZ1788" t="s">
        <v>137</v>
      </c>
      <c r="DA1788" t="s">
        <v>114</v>
      </c>
      <c r="DB1788" t="s">
        <v>136</v>
      </c>
      <c r="DC1788" t="s">
        <v>136</v>
      </c>
      <c r="DD1788" t="s">
        <v>114</v>
      </c>
    </row>
    <row r="1789" spans="1:113" ht="15" customHeight="1" x14ac:dyDescent="0.25">
      <c r="A1789" t="s">
        <v>21788</v>
      </c>
      <c r="B1789" t="s">
        <v>152</v>
      </c>
      <c r="C1789" s="1">
        <v>45120.580791666667</v>
      </c>
      <c r="D1789" s="1">
        <v>45201</v>
      </c>
      <c r="E1789" t="s">
        <v>114</v>
      </c>
      <c r="F1789" t="s">
        <v>429</v>
      </c>
      <c r="G1789" t="str">
        <f>"37-3011.00"</f>
        <v>37-3011.00</v>
      </c>
      <c r="H1789" t="s">
        <v>429</v>
      </c>
      <c r="I1789">
        <v>8</v>
      </c>
      <c r="J1789">
        <v>8</v>
      </c>
      <c r="K1789" s="1">
        <v>45200</v>
      </c>
      <c r="L1789" s="1">
        <v>45473</v>
      </c>
      <c r="M1789" s="1">
        <v>45200</v>
      </c>
      <c r="N1789" s="1">
        <v>45473</v>
      </c>
      <c r="O1789" t="s">
        <v>238</v>
      </c>
      <c r="P1789" t="s">
        <v>21789</v>
      </c>
      <c r="R1789" t="s">
        <v>2058</v>
      </c>
      <c r="T1789" t="s">
        <v>2059</v>
      </c>
      <c r="U1789" t="s">
        <v>854</v>
      </c>
      <c r="V1789" s="8" t="str">
        <f>"83422"</f>
        <v>83422</v>
      </c>
      <c r="W1789" t="s">
        <v>118</v>
      </c>
      <c r="Y1789" s="10">
        <v>12083548816</v>
      </c>
      <c r="AA1789">
        <v>56173</v>
      </c>
      <c r="AB1789" t="s">
        <v>2055</v>
      </c>
      <c r="AC1789" t="s">
        <v>2056</v>
      </c>
      <c r="AD1789" t="s">
        <v>2057</v>
      </c>
      <c r="AE1789" t="s">
        <v>537</v>
      </c>
      <c r="AF1789" t="s">
        <v>21790</v>
      </c>
      <c r="AG1789" t="s">
        <v>132</v>
      </c>
      <c r="AH1789" t="s">
        <v>2059</v>
      </c>
      <c r="AI1789" t="s">
        <v>854</v>
      </c>
      <c r="AJ1789" s="8" t="str">
        <f>"83422"</f>
        <v>83422</v>
      </c>
      <c r="AK1789" t="s">
        <v>118</v>
      </c>
      <c r="AM1789" s="10">
        <v>12083548816</v>
      </c>
      <c r="AO1789" t="s">
        <v>13592</v>
      </c>
      <c r="AP1789" t="s">
        <v>248</v>
      </c>
      <c r="AQ1789" t="s">
        <v>1800</v>
      </c>
      <c r="AR1789" t="s">
        <v>1801</v>
      </c>
      <c r="AS1789" t="s">
        <v>1802</v>
      </c>
      <c r="AT1789" t="s">
        <v>1803</v>
      </c>
      <c r="AU1789" t="s">
        <v>852</v>
      </c>
      <c r="AV1789" t="s">
        <v>1804</v>
      </c>
      <c r="AW1789" t="s">
        <v>188</v>
      </c>
      <c r="AX1789" s="8" t="str">
        <f>"80550"</f>
        <v>80550</v>
      </c>
      <c r="AY1789" t="s">
        <v>118</v>
      </c>
      <c r="BA1789" s="10">
        <v>19706866068</v>
      </c>
      <c r="BC1789" t="s">
        <v>1805</v>
      </c>
      <c r="BD1789" t="s">
        <v>1806</v>
      </c>
      <c r="BG1789" t="s">
        <v>854</v>
      </c>
      <c r="BH1789" s="1">
        <v>45119.833333333336</v>
      </c>
      <c r="BI1789">
        <v>40</v>
      </c>
      <c r="BJ1789">
        <v>0</v>
      </c>
      <c r="BK1789">
        <v>8</v>
      </c>
      <c r="BL1789">
        <v>8</v>
      </c>
      <c r="BM1789">
        <v>8</v>
      </c>
      <c r="BN1789">
        <v>8</v>
      </c>
      <c r="BO1789">
        <v>8</v>
      </c>
      <c r="BP1789">
        <v>0</v>
      </c>
      <c r="BQ1789" t="str">
        <f>"7:00 AM"</f>
        <v>7:00 AM</v>
      </c>
      <c r="BR1789" t="str">
        <f>"5:00 PM"</f>
        <v>5:00 PM</v>
      </c>
      <c r="BS1789" t="s">
        <v>131</v>
      </c>
      <c r="BT1789">
        <v>0</v>
      </c>
      <c r="BU1789">
        <v>0</v>
      </c>
      <c r="BV1789" t="s">
        <v>114</v>
      </c>
      <c r="BX1789" s="2" t="s">
        <v>21791</v>
      </c>
      <c r="BY1789" t="s">
        <v>2058</v>
      </c>
      <c r="CA1789" t="s">
        <v>2059</v>
      </c>
      <c r="CB1789" t="s">
        <v>854</v>
      </c>
      <c r="CC1789" s="8" t="str">
        <f>"83422"</f>
        <v>83422</v>
      </c>
      <c r="CD1789" t="s">
        <v>588</v>
      </c>
      <c r="CE1789" t="s">
        <v>2060</v>
      </c>
      <c r="CF1789" s="12">
        <v>18.86</v>
      </c>
      <c r="CG1789" s="12">
        <v>25</v>
      </c>
      <c r="CH1789" s="12">
        <v>28.29</v>
      </c>
      <c r="CI1789" s="12">
        <v>37.5</v>
      </c>
      <c r="CJ1789" t="s">
        <v>135</v>
      </c>
      <c r="CK1789" t="s">
        <v>21792</v>
      </c>
      <c r="CL1789" t="s">
        <v>21793</v>
      </c>
      <c r="CO1789" t="s">
        <v>132</v>
      </c>
      <c r="CP1789" t="s">
        <v>136</v>
      </c>
      <c r="CQ1789" t="s">
        <v>114</v>
      </c>
      <c r="CR1789" t="s">
        <v>136</v>
      </c>
      <c r="CS1789" t="s">
        <v>136</v>
      </c>
      <c r="CT1789" t="s">
        <v>136</v>
      </c>
      <c r="CU1789" t="s">
        <v>114</v>
      </c>
      <c r="CV1789" t="s">
        <v>21794</v>
      </c>
      <c r="CW1789" s="10" t="str">
        <f>"+12083548816"</f>
        <v>+12083548816</v>
      </c>
      <c r="CX1789" t="s">
        <v>21795</v>
      </c>
      <c r="CY1789" t="s">
        <v>132</v>
      </c>
      <c r="CZ1789" t="s">
        <v>137</v>
      </c>
      <c r="DA1789" t="s">
        <v>114</v>
      </c>
      <c r="DB1789" t="s">
        <v>136</v>
      </c>
      <c r="DC1789" t="s">
        <v>136</v>
      </c>
      <c r="DD1789" t="s">
        <v>114</v>
      </c>
    </row>
    <row r="1790" spans="1:113" ht="15" customHeight="1" x14ac:dyDescent="0.25">
      <c r="A1790" t="s">
        <v>9194</v>
      </c>
      <c r="B1790" t="s">
        <v>152</v>
      </c>
      <c r="C1790" s="1">
        <v>45114.671222569443</v>
      </c>
      <c r="D1790" s="1">
        <v>45201</v>
      </c>
      <c r="E1790" t="s">
        <v>114</v>
      </c>
      <c r="F1790" t="s">
        <v>9195</v>
      </c>
      <c r="G1790" t="str">
        <f>"39-2021.00"</f>
        <v>39-2021.00</v>
      </c>
      <c r="H1790" t="s">
        <v>2895</v>
      </c>
      <c r="I1790">
        <v>20</v>
      </c>
      <c r="J1790">
        <v>20</v>
      </c>
      <c r="K1790" s="1">
        <v>45200</v>
      </c>
      <c r="L1790" s="1">
        <v>45473</v>
      </c>
      <c r="M1790" s="1">
        <v>45200</v>
      </c>
      <c r="N1790" s="1">
        <v>45473</v>
      </c>
      <c r="O1790" t="s">
        <v>116</v>
      </c>
      <c r="P1790" t="s">
        <v>9196</v>
      </c>
      <c r="R1790" t="s">
        <v>9197</v>
      </c>
      <c r="T1790" t="s">
        <v>2630</v>
      </c>
      <c r="U1790" t="s">
        <v>140</v>
      </c>
      <c r="V1790" s="8" t="str">
        <f>"33414"</f>
        <v>33414</v>
      </c>
      <c r="W1790" t="s">
        <v>118</v>
      </c>
      <c r="Y1790" s="10">
        <v>15617661169</v>
      </c>
      <c r="AA1790">
        <v>71121</v>
      </c>
      <c r="AB1790" t="s">
        <v>9198</v>
      </c>
      <c r="AC1790" t="s">
        <v>3485</v>
      </c>
      <c r="AE1790" t="s">
        <v>987</v>
      </c>
      <c r="AF1790" t="s">
        <v>9197</v>
      </c>
      <c r="AH1790" t="s">
        <v>2630</v>
      </c>
      <c r="AI1790" t="s">
        <v>140</v>
      </c>
      <c r="AJ1790" s="8" t="str">
        <f>"33414"</f>
        <v>33414</v>
      </c>
      <c r="AK1790" t="s">
        <v>118</v>
      </c>
      <c r="AM1790" s="10">
        <v>15617661169</v>
      </c>
      <c r="AO1790" t="s">
        <v>9199</v>
      </c>
      <c r="AP1790" t="s">
        <v>121</v>
      </c>
      <c r="AQ1790" t="s">
        <v>9200</v>
      </c>
      <c r="AR1790" t="s">
        <v>2580</v>
      </c>
      <c r="AT1790" t="s">
        <v>9201</v>
      </c>
      <c r="AU1790" t="s">
        <v>9202</v>
      </c>
      <c r="AV1790" t="s">
        <v>9203</v>
      </c>
      <c r="AW1790" t="s">
        <v>402</v>
      </c>
      <c r="AX1790" s="8" t="str">
        <f>"92075"</f>
        <v>92075</v>
      </c>
      <c r="AY1790" t="s">
        <v>118</v>
      </c>
      <c r="BA1790" s="10">
        <v>18582590755</v>
      </c>
      <c r="BC1790" t="s">
        <v>9204</v>
      </c>
      <c r="BD1790" t="s">
        <v>9205</v>
      </c>
      <c r="BE1790" t="s">
        <v>402</v>
      </c>
      <c r="BF1790" t="s">
        <v>9206</v>
      </c>
      <c r="BG1790" t="s">
        <v>140</v>
      </c>
      <c r="BH1790" s="1">
        <v>45113.833333333336</v>
      </c>
      <c r="BI1790">
        <v>40</v>
      </c>
      <c r="BJ1790">
        <v>8</v>
      </c>
      <c r="BK1790">
        <v>0</v>
      </c>
      <c r="BL1790">
        <v>0</v>
      </c>
      <c r="BM1790">
        <v>8</v>
      </c>
      <c r="BN1790">
        <v>8</v>
      </c>
      <c r="BO1790">
        <v>8</v>
      </c>
      <c r="BP1790">
        <v>8</v>
      </c>
      <c r="BQ1790" t="str">
        <f>"6:00 AM"</f>
        <v>6:00 AM</v>
      </c>
      <c r="BR1790" t="str">
        <f>"6:00 PM"</f>
        <v>6:00 PM</v>
      </c>
      <c r="BS1790" t="s">
        <v>131</v>
      </c>
      <c r="BT1790">
        <v>0</v>
      </c>
      <c r="BU1790">
        <v>3</v>
      </c>
      <c r="BV1790" t="s">
        <v>114</v>
      </c>
      <c r="BX1790" t="s">
        <v>132</v>
      </c>
      <c r="BY1790" t="s">
        <v>9207</v>
      </c>
      <c r="CA1790" t="s">
        <v>2630</v>
      </c>
      <c r="CB1790" t="s">
        <v>140</v>
      </c>
      <c r="CC1790" s="8" t="str">
        <f>"33449"</f>
        <v>33449</v>
      </c>
      <c r="CD1790" t="s">
        <v>767</v>
      </c>
      <c r="CE1790" t="s">
        <v>149</v>
      </c>
      <c r="CF1790" s="12">
        <v>14.11</v>
      </c>
      <c r="CG1790" s="12">
        <v>14.11</v>
      </c>
      <c r="CH1790" s="12">
        <v>21.17</v>
      </c>
      <c r="CI1790" s="12">
        <v>21.17</v>
      </c>
      <c r="CJ1790" t="s">
        <v>135</v>
      </c>
      <c r="CK1790" t="s">
        <v>132</v>
      </c>
      <c r="CL1790" t="s">
        <v>9208</v>
      </c>
      <c r="CO1790" t="s">
        <v>132</v>
      </c>
      <c r="CP1790" t="s">
        <v>136</v>
      </c>
      <c r="CQ1790" t="s">
        <v>114</v>
      </c>
      <c r="CR1790" t="s">
        <v>136</v>
      </c>
      <c r="CS1790" t="s">
        <v>114</v>
      </c>
      <c r="CT1790" t="s">
        <v>136</v>
      </c>
      <c r="CU1790" t="s">
        <v>114</v>
      </c>
      <c r="CV1790" t="s">
        <v>1570</v>
      </c>
      <c r="CW1790" s="10" t="str">
        <f>"+15618762165"</f>
        <v>+15618762165</v>
      </c>
      <c r="CX1790" t="s">
        <v>9199</v>
      </c>
      <c r="CY1790" t="s">
        <v>132</v>
      </c>
      <c r="CZ1790" t="s">
        <v>137</v>
      </c>
      <c r="DA1790" t="s">
        <v>114</v>
      </c>
      <c r="DB1790" t="s">
        <v>114</v>
      </c>
      <c r="DC1790" t="s">
        <v>136</v>
      </c>
      <c r="DD1790" t="s">
        <v>114</v>
      </c>
    </row>
    <row r="1791" spans="1:113" ht="15" customHeight="1" x14ac:dyDescent="0.25">
      <c r="A1791" t="s">
        <v>20190</v>
      </c>
      <c r="B1791" t="s">
        <v>152</v>
      </c>
      <c r="C1791" s="1">
        <v>45113.725154976855</v>
      </c>
      <c r="D1791" s="1">
        <v>45201</v>
      </c>
      <c r="E1791" t="s">
        <v>114</v>
      </c>
      <c r="F1791" t="s">
        <v>3847</v>
      </c>
      <c r="G1791" t="str">
        <f>"39-2021.00"</f>
        <v>39-2021.00</v>
      </c>
      <c r="H1791" t="s">
        <v>2895</v>
      </c>
      <c r="I1791">
        <v>3</v>
      </c>
      <c r="J1791">
        <v>3</v>
      </c>
      <c r="K1791" s="1">
        <v>45200</v>
      </c>
      <c r="L1791" s="1">
        <v>45412</v>
      </c>
      <c r="M1791" s="1">
        <v>45200</v>
      </c>
      <c r="N1791" s="1">
        <v>45412</v>
      </c>
      <c r="O1791" t="s">
        <v>238</v>
      </c>
      <c r="P1791" t="s">
        <v>20191</v>
      </c>
      <c r="Q1791" t="s">
        <v>20192</v>
      </c>
      <c r="R1791" t="s">
        <v>20193</v>
      </c>
      <c r="S1791" t="s">
        <v>20194</v>
      </c>
      <c r="T1791" t="s">
        <v>4215</v>
      </c>
      <c r="U1791" t="s">
        <v>2608</v>
      </c>
      <c r="V1791" s="8" t="str">
        <f>"73105"</f>
        <v>73105</v>
      </c>
      <c r="W1791" t="s">
        <v>118</v>
      </c>
      <c r="Y1791" s="10">
        <v>19182086555</v>
      </c>
      <c r="AA1791">
        <v>711212</v>
      </c>
      <c r="AB1791" t="s">
        <v>20195</v>
      </c>
      <c r="AC1791" t="s">
        <v>20196</v>
      </c>
      <c r="AE1791" t="s">
        <v>3852</v>
      </c>
      <c r="AF1791" t="s">
        <v>20193</v>
      </c>
      <c r="AG1791" t="s">
        <v>20194</v>
      </c>
      <c r="AH1791" t="s">
        <v>4215</v>
      </c>
      <c r="AI1791" t="s">
        <v>2608</v>
      </c>
      <c r="AJ1791" s="8" t="str">
        <f>"73105"</f>
        <v>73105</v>
      </c>
      <c r="AK1791" t="s">
        <v>118</v>
      </c>
      <c r="AM1791" s="10">
        <v>19182086555</v>
      </c>
      <c r="AO1791" t="s">
        <v>20197</v>
      </c>
      <c r="AP1791" t="s">
        <v>121</v>
      </c>
      <c r="AQ1791" t="s">
        <v>3854</v>
      </c>
      <c r="AR1791" t="s">
        <v>144</v>
      </c>
      <c r="AS1791" t="s">
        <v>3855</v>
      </c>
      <c r="AT1791" t="s">
        <v>2605</v>
      </c>
      <c r="AU1791" t="s">
        <v>2606</v>
      </c>
      <c r="AV1791" t="s">
        <v>2607</v>
      </c>
      <c r="AW1791" t="s">
        <v>2608</v>
      </c>
      <c r="AX1791" s="8" t="str">
        <f>"73069"</f>
        <v>73069</v>
      </c>
      <c r="AY1791" t="s">
        <v>118</v>
      </c>
      <c r="BA1791" s="10">
        <v>14053642525</v>
      </c>
      <c r="BC1791" t="s">
        <v>2609</v>
      </c>
      <c r="BD1791" t="s">
        <v>2610</v>
      </c>
      <c r="BE1791" t="s">
        <v>2608</v>
      </c>
      <c r="BF1791" t="s">
        <v>2611</v>
      </c>
      <c r="BG1791" t="s">
        <v>127</v>
      </c>
      <c r="BH1791" s="1">
        <v>45112.833333333336</v>
      </c>
      <c r="BI1791">
        <v>56</v>
      </c>
      <c r="BJ1791">
        <v>8</v>
      </c>
      <c r="BK1791">
        <v>8</v>
      </c>
      <c r="BL1791">
        <v>8</v>
      </c>
      <c r="BM1791">
        <v>8</v>
      </c>
      <c r="BN1791">
        <v>8</v>
      </c>
      <c r="BO1791">
        <v>8</v>
      </c>
      <c r="BP1791">
        <v>8</v>
      </c>
      <c r="BQ1791" t="str">
        <f>"5:00 AM"</f>
        <v>5:00 AM</v>
      </c>
      <c r="BR1791" t="str">
        <f>"5:00 PM"</f>
        <v>5:00 PM</v>
      </c>
      <c r="BS1791" t="s">
        <v>131</v>
      </c>
      <c r="BT1791">
        <v>0</v>
      </c>
      <c r="BU1791">
        <v>1</v>
      </c>
      <c r="BV1791" t="s">
        <v>114</v>
      </c>
      <c r="BX1791" s="2" t="s">
        <v>3116</v>
      </c>
      <c r="BY1791" t="s">
        <v>20198</v>
      </c>
      <c r="CA1791" t="s">
        <v>9622</v>
      </c>
      <c r="CB1791" t="s">
        <v>127</v>
      </c>
      <c r="CC1791" s="8" t="str">
        <f>"75050"</f>
        <v>75050</v>
      </c>
      <c r="CD1791" t="s">
        <v>2301</v>
      </c>
      <c r="CE1791" t="s">
        <v>263</v>
      </c>
      <c r="CF1791" s="12">
        <v>14.84</v>
      </c>
      <c r="CG1791" s="12">
        <v>14.84</v>
      </c>
      <c r="CH1791" s="12">
        <v>22.26</v>
      </c>
      <c r="CI1791" s="12">
        <v>22.26</v>
      </c>
      <c r="CJ1791" t="s">
        <v>135</v>
      </c>
      <c r="CL1791" t="s">
        <v>20199</v>
      </c>
      <c r="CO1791" t="s">
        <v>132</v>
      </c>
      <c r="CP1791" t="s">
        <v>114</v>
      </c>
      <c r="CQ1791" t="s">
        <v>114</v>
      </c>
      <c r="CR1791" t="s">
        <v>136</v>
      </c>
      <c r="CS1791" t="s">
        <v>114</v>
      </c>
      <c r="CT1791" t="s">
        <v>136</v>
      </c>
      <c r="CU1791" t="s">
        <v>136</v>
      </c>
      <c r="CV1791" t="s">
        <v>3861</v>
      </c>
      <c r="CW1791" s="10" t="str">
        <f>"+19182086555"</f>
        <v>+19182086555</v>
      </c>
      <c r="CX1791" t="s">
        <v>20197</v>
      </c>
      <c r="CY1791" t="s">
        <v>132</v>
      </c>
      <c r="CZ1791" t="s">
        <v>137</v>
      </c>
      <c r="DA1791" t="s">
        <v>114</v>
      </c>
      <c r="DB1791" t="s">
        <v>114</v>
      </c>
      <c r="DC1791" t="s">
        <v>136</v>
      </c>
      <c r="DD1791" t="s">
        <v>114</v>
      </c>
    </row>
    <row r="1792" spans="1:113" ht="15" customHeight="1" x14ac:dyDescent="0.25">
      <c r="A1792" t="s">
        <v>6735</v>
      </c>
      <c r="B1792" t="s">
        <v>152</v>
      </c>
      <c r="C1792" s="1">
        <v>45113.659289814816</v>
      </c>
      <c r="D1792" s="1">
        <v>45201</v>
      </c>
      <c r="E1792" t="s">
        <v>114</v>
      </c>
      <c r="F1792" t="s">
        <v>6736</v>
      </c>
      <c r="G1792" t="str">
        <f>"43-4081.00"</f>
        <v>43-4081.00</v>
      </c>
      <c r="H1792" t="s">
        <v>952</v>
      </c>
      <c r="I1792">
        <v>1</v>
      </c>
      <c r="J1792">
        <v>1</v>
      </c>
      <c r="K1792" s="1">
        <v>45200</v>
      </c>
      <c r="L1792" s="1">
        <v>45296</v>
      </c>
      <c r="M1792" s="1">
        <v>45200</v>
      </c>
      <c r="N1792" s="1">
        <v>45296</v>
      </c>
      <c r="O1792" t="s">
        <v>116</v>
      </c>
      <c r="P1792" t="s">
        <v>5134</v>
      </c>
      <c r="R1792" t="s">
        <v>5135</v>
      </c>
      <c r="T1792" t="s">
        <v>5136</v>
      </c>
      <c r="U1792" t="s">
        <v>984</v>
      </c>
      <c r="V1792" s="8" t="str">
        <f>"65616"</f>
        <v>65616</v>
      </c>
      <c r="W1792" t="s">
        <v>118</v>
      </c>
      <c r="Y1792" s="10">
        <v>14173343919</v>
      </c>
      <c r="AA1792">
        <v>721110</v>
      </c>
      <c r="AB1792" t="s">
        <v>5137</v>
      </c>
      <c r="AC1792" t="s">
        <v>5703</v>
      </c>
      <c r="AE1792" t="s">
        <v>561</v>
      </c>
      <c r="AF1792" t="s">
        <v>5135</v>
      </c>
      <c r="AH1792" t="s">
        <v>5136</v>
      </c>
      <c r="AI1792" t="s">
        <v>984</v>
      </c>
      <c r="AJ1792" s="8" t="str">
        <f>"65616"</f>
        <v>65616</v>
      </c>
      <c r="AK1792" t="s">
        <v>118</v>
      </c>
      <c r="AM1792" s="10">
        <v>14172397308</v>
      </c>
      <c r="AO1792" t="s">
        <v>5138</v>
      </c>
      <c r="AP1792" t="s">
        <v>121</v>
      </c>
      <c r="AQ1792" t="s">
        <v>3484</v>
      </c>
      <c r="AR1792" t="s">
        <v>3485</v>
      </c>
      <c r="AS1792" t="s">
        <v>2103</v>
      </c>
      <c r="AT1792" t="s">
        <v>3486</v>
      </c>
      <c r="AU1792" t="s">
        <v>3487</v>
      </c>
      <c r="AV1792" t="s">
        <v>2848</v>
      </c>
      <c r="AW1792" t="s">
        <v>984</v>
      </c>
      <c r="AX1792" s="8" t="str">
        <f>"63105"</f>
        <v>63105</v>
      </c>
      <c r="AY1792" t="s">
        <v>118</v>
      </c>
      <c r="BA1792" s="10">
        <v>13142443656</v>
      </c>
      <c r="BC1792" t="s">
        <v>3488</v>
      </c>
      <c r="BD1792" t="s">
        <v>5139</v>
      </c>
      <c r="BE1792" t="s">
        <v>984</v>
      </c>
      <c r="BF1792" t="s">
        <v>172</v>
      </c>
      <c r="BG1792" t="s">
        <v>984</v>
      </c>
      <c r="BH1792" s="1">
        <v>45112.833333333336</v>
      </c>
      <c r="BI1792">
        <v>40</v>
      </c>
      <c r="BJ1792">
        <v>0</v>
      </c>
      <c r="BK1792">
        <v>8</v>
      </c>
      <c r="BL1792">
        <v>8</v>
      </c>
      <c r="BM1792">
        <v>8</v>
      </c>
      <c r="BN1792">
        <v>8</v>
      </c>
      <c r="BO1792">
        <v>8</v>
      </c>
      <c r="BP1792">
        <v>0</v>
      </c>
      <c r="BQ1792" t="str">
        <f>"3:00 PM"</f>
        <v>3:00 PM</v>
      </c>
      <c r="BR1792" t="str">
        <f>"11:00 PM"</f>
        <v>11:00 PM</v>
      </c>
      <c r="BS1792" t="s">
        <v>131</v>
      </c>
      <c r="BT1792">
        <v>0</v>
      </c>
      <c r="BU1792">
        <v>12</v>
      </c>
      <c r="BV1792" t="s">
        <v>136</v>
      </c>
      <c r="BW1792">
        <v>3</v>
      </c>
      <c r="BX1792" t="s">
        <v>6737</v>
      </c>
      <c r="BY1792" t="s">
        <v>5135</v>
      </c>
      <c r="CA1792" t="s">
        <v>5136</v>
      </c>
      <c r="CB1792" t="s">
        <v>984</v>
      </c>
      <c r="CC1792" s="8" t="str">
        <f>"65616"</f>
        <v>65616</v>
      </c>
      <c r="CD1792" t="s">
        <v>5140</v>
      </c>
      <c r="CE1792" t="s">
        <v>5141</v>
      </c>
      <c r="CF1792" s="12">
        <v>11.84</v>
      </c>
      <c r="CH1792" s="12">
        <v>17.760000000000002</v>
      </c>
      <c r="CJ1792" t="s">
        <v>135</v>
      </c>
      <c r="CL1792" t="s">
        <v>6738</v>
      </c>
      <c r="CO1792" t="s">
        <v>132</v>
      </c>
      <c r="CP1792" t="s">
        <v>114</v>
      </c>
      <c r="CQ1792" t="s">
        <v>114</v>
      </c>
      <c r="CR1792" t="s">
        <v>136</v>
      </c>
      <c r="CS1792" t="s">
        <v>136</v>
      </c>
      <c r="CT1792" t="s">
        <v>136</v>
      </c>
      <c r="CU1792" t="s">
        <v>136</v>
      </c>
      <c r="CV1792" t="s">
        <v>6739</v>
      </c>
      <c r="CW1792" s="10" t="str">
        <f>"+14172397308"</f>
        <v>+14172397308</v>
      </c>
      <c r="CX1792" t="s">
        <v>5138</v>
      </c>
      <c r="CY1792" t="s">
        <v>132</v>
      </c>
      <c r="CZ1792" t="s">
        <v>137</v>
      </c>
      <c r="DA1792" t="s">
        <v>114</v>
      </c>
      <c r="DB1792" t="s">
        <v>114</v>
      </c>
      <c r="DC1792" t="s">
        <v>136</v>
      </c>
      <c r="DD1792" t="s">
        <v>114</v>
      </c>
    </row>
    <row r="1793" spans="1:113" ht="15" customHeight="1" x14ac:dyDescent="0.25">
      <c r="A1793" t="s">
        <v>19682</v>
      </c>
      <c r="B1793" t="s">
        <v>152</v>
      </c>
      <c r="C1793" s="1">
        <v>45112.831739236113</v>
      </c>
      <c r="D1793" s="1">
        <v>45201</v>
      </c>
      <c r="E1793" t="s">
        <v>114</v>
      </c>
      <c r="F1793" t="s">
        <v>19683</v>
      </c>
      <c r="G1793" t="str">
        <f>"17-2112.00"</f>
        <v>17-2112.00</v>
      </c>
      <c r="H1793" t="s">
        <v>19684</v>
      </c>
      <c r="I1793">
        <v>1</v>
      </c>
      <c r="J1793">
        <v>1</v>
      </c>
      <c r="K1793" s="1">
        <v>45200</v>
      </c>
      <c r="L1793" s="1">
        <v>46295</v>
      </c>
      <c r="M1793" s="1">
        <v>45200</v>
      </c>
      <c r="N1793" s="1">
        <v>46295</v>
      </c>
      <c r="O1793" t="s">
        <v>184</v>
      </c>
      <c r="P1793" t="s">
        <v>19685</v>
      </c>
      <c r="R1793" t="s">
        <v>19686</v>
      </c>
      <c r="T1793" t="s">
        <v>5490</v>
      </c>
      <c r="U1793" t="s">
        <v>402</v>
      </c>
      <c r="V1793" s="8" t="str">
        <f>"93908"</f>
        <v>93908</v>
      </c>
      <c r="W1793" t="s">
        <v>118</v>
      </c>
      <c r="Y1793" s="10">
        <v>18316306000</v>
      </c>
      <c r="AA1793">
        <v>111219</v>
      </c>
      <c r="AB1793" t="s">
        <v>7641</v>
      </c>
      <c r="AC1793" t="s">
        <v>10818</v>
      </c>
      <c r="AD1793" t="s">
        <v>1738</v>
      </c>
      <c r="AE1793" t="s">
        <v>19687</v>
      </c>
      <c r="AF1793" t="s">
        <v>19686</v>
      </c>
      <c r="AH1793" t="s">
        <v>5490</v>
      </c>
      <c r="AI1793" t="s">
        <v>402</v>
      </c>
      <c r="AJ1793" s="8" t="str">
        <f>"93908"</f>
        <v>93908</v>
      </c>
      <c r="AK1793" t="s">
        <v>118</v>
      </c>
      <c r="AM1793" s="10">
        <v>18314553658</v>
      </c>
      <c r="AO1793" t="s">
        <v>19688</v>
      </c>
      <c r="AP1793" t="s">
        <v>121</v>
      </c>
      <c r="AQ1793" t="s">
        <v>14300</v>
      </c>
      <c r="AR1793" t="s">
        <v>14301</v>
      </c>
      <c r="AS1793" t="s">
        <v>2709</v>
      </c>
      <c r="AT1793" t="s">
        <v>14302</v>
      </c>
      <c r="AV1793" t="s">
        <v>14303</v>
      </c>
      <c r="AW1793" t="s">
        <v>402</v>
      </c>
      <c r="AX1793" s="8" t="str">
        <f>"92106"</f>
        <v>92106</v>
      </c>
      <c r="AY1793" t="s">
        <v>118</v>
      </c>
      <c r="BA1793" s="10">
        <v>16192696164</v>
      </c>
      <c r="BC1793" t="s">
        <v>14304</v>
      </c>
      <c r="BD1793" t="s">
        <v>14305</v>
      </c>
      <c r="BE1793" t="s">
        <v>402</v>
      </c>
      <c r="BF1793" t="s">
        <v>4644</v>
      </c>
      <c r="BG1793" t="s">
        <v>402</v>
      </c>
      <c r="BH1793" s="1">
        <v>45111.833333333336</v>
      </c>
      <c r="BI1793">
        <v>40</v>
      </c>
      <c r="BJ1793">
        <v>0</v>
      </c>
      <c r="BK1793">
        <v>8</v>
      </c>
      <c r="BL1793">
        <v>8</v>
      </c>
      <c r="BM1793">
        <v>8</v>
      </c>
      <c r="BN1793">
        <v>8</v>
      </c>
      <c r="BO1793">
        <v>8</v>
      </c>
      <c r="BP1793">
        <v>0</v>
      </c>
      <c r="BQ1793" t="str">
        <f>"8:00 AM"</f>
        <v>8:00 AM</v>
      </c>
      <c r="BR1793" t="str">
        <f>"5:00 PM"</f>
        <v>5:00 PM</v>
      </c>
      <c r="BS1793" t="s">
        <v>5177</v>
      </c>
      <c r="BT1793">
        <v>0</v>
      </c>
      <c r="BU1793">
        <v>60</v>
      </c>
      <c r="BV1793" t="s">
        <v>114</v>
      </c>
      <c r="BX1793" s="2" t="s">
        <v>19689</v>
      </c>
      <c r="BY1793" t="s">
        <v>19690</v>
      </c>
      <c r="CA1793" t="s">
        <v>19691</v>
      </c>
      <c r="CB1793" t="s">
        <v>402</v>
      </c>
      <c r="CC1793" s="8" t="str">
        <f>"95023"</f>
        <v>95023</v>
      </c>
      <c r="CD1793" t="s">
        <v>19692</v>
      </c>
      <c r="CE1793" t="s">
        <v>5992</v>
      </c>
      <c r="CF1793" s="12">
        <v>58.93</v>
      </c>
      <c r="CG1793" s="12">
        <v>58.93</v>
      </c>
      <c r="CJ1793" t="s">
        <v>135</v>
      </c>
      <c r="CK1793" t="s">
        <v>19693</v>
      </c>
      <c r="CL1793" t="s">
        <v>19694</v>
      </c>
      <c r="CO1793" t="s">
        <v>132</v>
      </c>
      <c r="CP1793" t="s">
        <v>114</v>
      </c>
      <c r="CQ1793" t="s">
        <v>136</v>
      </c>
      <c r="CR1793" t="s">
        <v>114</v>
      </c>
      <c r="CS1793" t="s">
        <v>136</v>
      </c>
      <c r="CT1793" t="s">
        <v>136</v>
      </c>
      <c r="CU1793" t="s">
        <v>136</v>
      </c>
      <c r="CV1793" t="s">
        <v>19695</v>
      </c>
      <c r="CW1793" s="10" t="str">
        <f>"+18313208863"</f>
        <v>+18313208863</v>
      </c>
      <c r="CX1793" t="s">
        <v>19696</v>
      </c>
      <c r="CY1793" t="s">
        <v>132</v>
      </c>
      <c r="CZ1793" t="s">
        <v>137</v>
      </c>
      <c r="DA1793" t="s">
        <v>114</v>
      </c>
      <c r="DB1793" t="s">
        <v>114</v>
      </c>
      <c r="DC1793" t="s">
        <v>136</v>
      </c>
      <c r="DD1793" t="s">
        <v>114</v>
      </c>
    </row>
    <row r="1794" spans="1:113" ht="15" customHeight="1" x14ac:dyDescent="0.25">
      <c r="A1794" t="s">
        <v>14129</v>
      </c>
      <c r="B1794" t="s">
        <v>152</v>
      </c>
      <c r="C1794" s="1">
        <v>45110.625082986109</v>
      </c>
      <c r="D1794" s="1">
        <v>45201</v>
      </c>
      <c r="E1794" t="s">
        <v>114</v>
      </c>
      <c r="F1794" t="s">
        <v>1247</v>
      </c>
      <c r="G1794" t="str">
        <f>"45-4011.00"</f>
        <v>45-4011.00</v>
      </c>
      <c r="H1794" t="s">
        <v>842</v>
      </c>
      <c r="I1794">
        <v>15</v>
      </c>
      <c r="J1794">
        <v>15</v>
      </c>
      <c r="K1794" s="1">
        <v>45200</v>
      </c>
      <c r="L1794" s="1">
        <v>45473</v>
      </c>
      <c r="M1794" s="1">
        <v>45200</v>
      </c>
      <c r="N1794" s="1">
        <v>45473</v>
      </c>
      <c r="O1794" t="s">
        <v>116</v>
      </c>
      <c r="P1794" t="s">
        <v>14130</v>
      </c>
      <c r="R1794" t="s">
        <v>14131</v>
      </c>
      <c r="T1794" t="s">
        <v>9987</v>
      </c>
      <c r="U1794" t="s">
        <v>558</v>
      </c>
      <c r="V1794" s="8" t="str">
        <f>"85283"</f>
        <v>85283</v>
      </c>
      <c r="W1794" t="s">
        <v>118</v>
      </c>
      <c r="Y1794" s="10">
        <v>14808200633</v>
      </c>
      <c r="AA1794">
        <v>11531</v>
      </c>
      <c r="AB1794" t="s">
        <v>3368</v>
      </c>
      <c r="AC1794" t="s">
        <v>2899</v>
      </c>
      <c r="AE1794" t="s">
        <v>629</v>
      </c>
      <c r="AF1794" t="s">
        <v>14131</v>
      </c>
      <c r="AH1794" t="s">
        <v>9987</v>
      </c>
      <c r="AI1794" t="s">
        <v>558</v>
      </c>
      <c r="AJ1794" s="8" t="str">
        <f>"85283"</f>
        <v>85283</v>
      </c>
      <c r="AK1794" t="s">
        <v>118</v>
      </c>
      <c r="AM1794" s="10">
        <v>14808200633</v>
      </c>
      <c r="AO1794" t="s">
        <v>14132</v>
      </c>
      <c r="AP1794" t="s">
        <v>248</v>
      </c>
      <c r="AQ1794" t="s">
        <v>1894</v>
      </c>
      <c r="AR1794" t="s">
        <v>1895</v>
      </c>
      <c r="AS1794" t="s">
        <v>132</v>
      </c>
      <c r="AT1794" t="s">
        <v>1032</v>
      </c>
      <c r="AU1794" t="s">
        <v>852</v>
      </c>
      <c r="AV1794" t="s">
        <v>853</v>
      </c>
      <c r="AW1794" t="s">
        <v>854</v>
      </c>
      <c r="AX1794" s="8" t="str">
        <f>"83814"</f>
        <v>83814</v>
      </c>
      <c r="AY1794" t="s">
        <v>118</v>
      </c>
      <c r="BA1794" s="10">
        <v>12087772654</v>
      </c>
      <c r="BC1794" t="s">
        <v>1896</v>
      </c>
      <c r="BD1794" t="s">
        <v>856</v>
      </c>
      <c r="BG1794" t="s">
        <v>558</v>
      </c>
      <c r="BH1794" s="1">
        <v>45104.833333333336</v>
      </c>
      <c r="BI1794">
        <v>40</v>
      </c>
      <c r="BJ1794">
        <v>0</v>
      </c>
      <c r="BK1794">
        <v>8</v>
      </c>
      <c r="BL1794">
        <v>8</v>
      </c>
      <c r="BM1794">
        <v>8</v>
      </c>
      <c r="BN1794">
        <v>8</v>
      </c>
      <c r="BO1794">
        <v>8</v>
      </c>
      <c r="BP1794">
        <v>0</v>
      </c>
      <c r="BQ1794" t="str">
        <f>"7:00 AM"</f>
        <v>7:00 AM</v>
      </c>
      <c r="BR1794" t="str">
        <f>"4:00 PM"</f>
        <v>4:00 PM</v>
      </c>
      <c r="BS1794" t="s">
        <v>131</v>
      </c>
      <c r="BT1794">
        <v>0</v>
      </c>
      <c r="BU1794">
        <v>3</v>
      </c>
      <c r="BV1794" t="s">
        <v>114</v>
      </c>
      <c r="BX1794" s="2" t="s">
        <v>14133</v>
      </c>
      <c r="BY1794" t="s">
        <v>14134</v>
      </c>
      <c r="CA1794" t="s">
        <v>9987</v>
      </c>
      <c r="CB1794" t="s">
        <v>558</v>
      </c>
      <c r="CC1794" s="8" t="str">
        <f>"85283"</f>
        <v>85283</v>
      </c>
      <c r="CD1794" t="s">
        <v>1391</v>
      </c>
      <c r="CE1794" t="s">
        <v>565</v>
      </c>
      <c r="CF1794" s="12">
        <v>16.2</v>
      </c>
      <c r="CG1794" s="12">
        <v>18.559999999999999</v>
      </c>
      <c r="CH1794" s="12">
        <v>24.3</v>
      </c>
      <c r="CI1794" s="12">
        <v>27.84</v>
      </c>
      <c r="CJ1794" t="s">
        <v>135</v>
      </c>
      <c r="CK1794" t="s">
        <v>14135</v>
      </c>
      <c r="CL1794" t="s">
        <v>14136</v>
      </c>
      <c r="CO1794" t="s">
        <v>132</v>
      </c>
      <c r="CP1794" t="s">
        <v>136</v>
      </c>
      <c r="CQ1794" t="s">
        <v>136</v>
      </c>
      <c r="CR1794" t="s">
        <v>136</v>
      </c>
      <c r="CS1794" t="s">
        <v>114</v>
      </c>
      <c r="CT1794" t="s">
        <v>136</v>
      </c>
      <c r="CU1794" t="s">
        <v>136</v>
      </c>
      <c r="CV1794" t="s">
        <v>1040</v>
      </c>
      <c r="CW1794" s="10" t="str">
        <f>"+16025713395"</f>
        <v>+16025713395</v>
      </c>
      <c r="CX1794" t="s">
        <v>14132</v>
      </c>
      <c r="CY1794" t="s">
        <v>132</v>
      </c>
      <c r="CZ1794" t="s">
        <v>137</v>
      </c>
      <c r="DA1794" t="s">
        <v>114</v>
      </c>
      <c r="DB1794" t="s">
        <v>136</v>
      </c>
      <c r="DC1794" t="s">
        <v>136</v>
      </c>
      <c r="DD1794" t="s">
        <v>114</v>
      </c>
    </row>
    <row r="1795" spans="1:113" ht="15" customHeight="1" x14ac:dyDescent="0.25">
      <c r="A1795" t="s">
        <v>20745</v>
      </c>
      <c r="B1795" t="s">
        <v>152</v>
      </c>
      <c r="C1795" s="1">
        <v>45110.559016087966</v>
      </c>
      <c r="D1795" s="1">
        <v>45201</v>
      </c>
      <c r="E1795" t="s">
        <v>114</v>
      </c>
      <c r="F1795" t="s">
        <v>12880</v>
      </c>
      <c r="G1795" t="str">
        <f>"53-3032.00"</f>
        <v>53-3032.00</v>
      </c>
      <c r="H1795" t="s">
        <v>736</v>
      </c>
      <c r="I1795">
        <v>1</v>
      </c>
      <c r="J1795">
        <v>1</v>
      </c>
      <c r="K1795" s="1">
        <v>45200</v>
      </c>
      <c r="L1795" s="1">
        <v>45473</v>
      </c>
      <c r="M1795" s="1">
        <v>45200</v>
      </c>
      <c r="N1795" s="1">
        <v>45473</v>
      </c>
      <c r="O1795" t="s">
        <v>116</v>
      </c>
      <c r="P1795" t="s">
        <v>20746</v>
      </c>
      <c r="R1795" t="s">
        <v>20747</v>
      </c>
      <c r="T1795" t="s">
        <v>20748</v>
      </c>
      <c r="U1795" t="s">
        <v>792</v>
      </c>
      <c r="V1795" s="8" t="str">
        <f>"98682"</f>
        <v>98682</v>
      </c>
      <c r="W1795" t="s">
        <v>118</v>
      </c>
      <c r="Y1795" s="10">
        <v>15038810989</v>
      </c>
      <c r="AA1795">
        <v>484121</v>
      </c>
      <c r="AB1795" t="s">
        <v>20749</v>
      </c>
      <c r="AC1795" t="s">
        <v>3730</v>
      </c>
      <c r="AE1795" t="s">
        <v>3588</v>
      </c>
      <c r="AF1795" t="s">
        <v>20747</v>
      </c>
      <c r="AH1795" t="s">
        <v>20748</v>
      </c>
      <c r="AI1795" t="s">
        <v>792</v>
      </c>
      <c r="AJ1795" s="8" t="str">
        <f>"98682"</f>
        <v>98682</v>
      </c>
      <c r="AK1795" t="s">
        <v>118</v>
      </c>
      <c r="AM1795" s="10">
        <v>15038810989</v>
      </c>
      <c r="AO1795" t="s">
        <v>20750</v>
      </c>
      <c r="AP1795" t="s">
        <v>121</v>
      </c>
      <c r="AQ1795" t="s">
        <v>8716</v>
      </c>
      <c r="AR1795" t="s">
        <v>1963</v>
      </c>
      <c r="AS1795" t="s">
        <v>8717</v>
      </c>
      <c r="AT1795" t="s">
        <v>8718</v>
      </c>
      <c r="AV1795" t="s">
        <v>20751</v>
      </c>
      <c r="AW1795" t="s">
        <v>479</v>
      </c>
      <c r="AX1795" s="8" t="str">
        <f>"97035"</f>
        <v>97035</v>
      </c>
      <c r="AY1795" t="s">
        <v>118</v>
      </c>
      <c r="BA1795" s="10">
        <v>15032102249</v>
      </c>
      <c r="BC1795" t="s">
        <v>8720</v>
      </c>
      <c r="BD1795" t="s">
        <v>8721</v>
      </c>
      <c r="BE1795" t="s">
        <v>479</v>
      </c>
      <c r="BF1795" t="s">
        <v>8722</v>
      </c>
      <c r="BG1795" t="s">
        <v>792</v>
      </c>
      <c r="BH1795" s="1">
        <v>45109.833333333336</v>
      </c>
      <c r="BI1795">
        <v>40</v>
      </c>
      <c r="BJ1795">
        <v>8</v>
      </c>
      <c r="BK1795">
        <v>8</v>
      </c>
      <c r="BL1795">
        <v>0</v>
      </c>
      <c r="BM1795">
        <v>0</v>
      </c>
      <c r="BN1795">
        <v>8</v>
      </c>
      <c r="BO1795">
        <v>8</v>
      </c>
      <c r="BP1795">
        <v>8</v>
      </c>
      <c r="BQ1795" t="str">
        <f>"4:00 AM"</f>
        <v>4:00 AM</v>
      </c>
      <c r="BR1795" t="str">
        <f>"12:00 PM"</f>
        <v>12:00 PM</v>
      </c>
      <c r="BS1795" t="s">
        <v>147</v>
      </c>
      <c r="BT1795">
        <v>0</v>
      </c>
      <c r="BU1795">
        <v>12</v>
      </c>
      <c r="BV1795" t="s">
        <v>114</v>
      </c>
      <c r="BX1795" s="2" t="s">
        <v>20752</v>
      </c>
      <c r="BY1795" t="s">
        <v>19939</v>
      </c>
      <c r="CA1795" t="s">
        <v>902</v>
      </c>
      <c r="CB1795" t="s">
        <v>479</v>
      </c>
      <c r="CC1795" s="8" t="str">
        <f>"97211"</f>
        <v>97211</v>
      </c>
      <c r="CD1795" t="s">
        <v>2717</v>
      </c>
      <c r="CE1795" t="s">
        <v>807</v>
      </c>
      <c r="CF1795" s="12">
        <v>28.86</v>
      </c>
      <c r="CJ1795" t="s">
        <v>135</v>
      </c>
      <c r="CL1795" t="s">
        <v>20753</v>
      </c>
      <c r="CO1795" t="s">
        <v>132</v>
      </c>
      <c r="CP1795" t="s">
        <v>136</v>
      </c>
      <c r="CQ1795" t="s">
        <v>114</v>
      </c>
      <c r="CR1795" t="s">
        <v>114</v>
      </c>
      <c r="CS1795" t="s">
        <v>114</v>
      </c>
      <c r="CT1795" t="s">
        <v>136</v>
      </c>
      <c r="CU1795" t="s">
        <v>114</v>
      </c>
      <c r="CV1795" t="s">
        <v>131</v>
      </c>
      <c r="CW1795" s="10" t="str">
        <f>"+15038810989"</f>
        <v>+15038810989</v>
      </c>
      <c r="CX1795" t="s">
        <v>20750</v>
      </c>
      <c r="CY1795" t="s">
        <v>132</v>
      </c>
      <c r="CZ1795" t="s">
        <v>137</v>
      </c>
      <c r="DA1795" t="s">
        <v>114</v>
      </c>
      <c r="DB1795" t="s">
        <v>114</v>
      </c>
      <c r="DC1795" t="s">
        <v>136</v>
      </c>
      <c r="DD1795" t="s">
        <v>114</v>
      </c>
    </row>
    <row r="1796" spans="1:113" ht="15" customHeight="1" x14ac:dyDescent="0.25">
      <c r="A1796" t="s">
        <v>18140</v>
      </c>
      <c r="B1796" t="s">
        <v>152</v>
      </c>
      <c r="C1796" s="1">
        <v>45110.024773379628</v>
      </c>
      <c r="D1796" s="1">
        <v>45201</v>
      </c>
      <c r="E1796" t="s">
        <v>114</v>
      </c>
      <c r="F1796" t="s">
        <v>700</v>
      </c>
      <c r="G1796" t="str">
        <f>"45-3031.00"</f>
        <v>45-3031.00</v>
      </c>
      <c r="H1796" t="s">
        <v>3729</v>
      </c>
      <c r="I1796">
        <v>6</v>
      </c>
      <c r="J1796">
        <v>6</v>
      </c>
      <c r="K1796" s="1">
        <v>45200</v>
      </c>
      <c r="L1796" s="1">
        <v>45413</v>
      </c>
      <c r="M1796" s="1">
        <v>45200</v>
      </c>
      <c r="N1796" s="1">
        <v>45413</v>
      </c>
      <c r="O1796" t="s">
        <v>116</v>
      </c>
      <c r="P1796" t="s">
        <v>18141</v>
      </c>
      <c r="R1796" t="s">
        <v>18142</v>
      </c>
      <c r="T1796" t="s">
        <v>4684</v>
      </c>
      <c r="U1796" t="s">
        <v>140</v>
      </c>
      <c r="V1796" s="8" t="str">
        <f>"33050"</f>
        <v>33050</v>
      </c>
      <c r="W1796" t="s">
        <v>118</v>
      </c>
      <c r="Y1796" s="10">
        <v>13057432281</v>
      </c>
      <c r="AA1796">
        <v>44522</v>
      </c>
      <c r="AB1796" t="s">
        <v>18143</v>
      </c>
      <c r="AC1796" t="s">
        <v>18144</v>
      </c>
      <c r="AE1796" t="s">
        <v>7868</v>
      </c>
      <c r="AF1796" t="s">
        <v>18145</v>
      </c>
      <c r="AH1796" t="s">
        <v>4684</v>
      </c>
      <c r="AI1796" t="s">
        <v>140</v>
      </c>
      <c r="AJ1796" s="8" t="str">
        <f>"33050"</f>
        <v>33050</v>
      </c>
      <c r="AK1796" t="s">
        <v>118</v>
      </c>
      <c r="AM1796" s="10">
        <v>13057432281</v>
      </c>
      <c r="AO1796" t="s">
        <v>132</v>
      </c>
      <c r="AP1796" t="s">
        <v>248</v>
      </c>
      <c r="AQ1796" t="s">
        <v>8046</v>
      </c>
      <c r="AR1796" t="s">
        <v>1802</v>
      </c>
      <c r="AT1796" t="s">
        <v>8047</v>
      </c>
      <c r="AV1796" t="s">
        <v>8048</v>
      </c>
      <c r="AW1796" t="s">
        <v>550</v>
      </c>
      <c r="AX1796" s="8" t="str">
        <f>"31606"</f>
        <v>31606</v>
      </c>
      <c r="AY1796" t="s">
        <v>118</v>
      </c>
      <c r="BA1796" s="10">
        <v>12295590241</v>
      </c>
      <c r="BC1796" t="s">
        <v>8049</v>
      </c>
      <c r="BD1796" t="s">
        <v>8050</v>
      </c>
      <c r="BG1796" t="s">
        <v>140</v>
      </c>
      <c r="BH1796" s="1">
        <v>45109.833333333336</v>
      </c>
      <c r="BI1796">
        <v>35</v>
      </c>
      <c r="BJ1796">
        <v>0</v>
      </c>
      <c r="BK1796">
        <v>7</v>
      </c>
      <c r="BL1796">
        <v>7</v>
      </c>
      <c r="BM1796">
        <v>7</v>
      </c>
      <c r="BN1796">
        <v>7</v>
      </c>
      <c r="BO1796">
        <v>7</v>
      </c>
      <c r="BP1796">
        <v>0</v>
      </c>
      <c r="BQ1796" t="str">
        <f>"7:00 AM"</f>
        <v>7:00 AM</v>
      </c>
      <c r="BR1796" t="str">
        <f>"3:00 PM"</f>
        <v>3:00 PM</v>
      </c>
      <c r="BS1796" t="s">
        <v>131</v>
      </c>
      <c r="BT1796">
        <v>0</v>
      </c>
      <c r="BU1796">
        <v>0</v>
      </c>
      <c r="BV1796" t="s">
        <v>114</v>
      </c>
      <c r="BX1796" s="2" t="s">
        <v>18146</v>
      </c>
      <c r="BY1796" t="s">
        <v>18145</v>
      </c>
      <c r="CA1796" t="s">
        <v>4684</v>
      </c>
      <c r="CB1796" t="s">
        <v>140</v>
      </c>
      <c r="CC1796" s="8" t="str">
        <f>"33050"</f>
        <v>33050</v>
      </c>
      <c r="CD1796" t="s">
        <v>303</v>
      </c>
      <c r="CE1796" t="s">
        <v>304</v>
      </c>
      <c r="CF1796" s="12">
        <v>14.57</v>
      </c>
      <c r="CJ1796" t="s">
        <v>135</v>
      </c>
      <c r="CL1796" t="s">
        <v>18147</v>
      </c>
      <c r="CO1796" t="s">
        <v>132</v>
      </c>
      <c r="CP1796" t="s">
        <v>114</v>
      </c>
      <c r="CQ1796" t="s">
        <v>114</v>
      </c>
      <c r="CR1796" t="s">
        <v>114</v>
      </c>
      <c r="CS1796" t="s">
        <v>114</v>
      </c>
      <c r="CT1796" t="s">
        <v>136</v>
      </c>
      <c r="CU1796" t="s">
        <v>114</v>
      </c>
      <c r="CV1796" t="s">
        <v>8052</v>
      </c>
      <c r="CW1796" s="10" t="str">
        <f>"+13057432281"</f>
        <v>+13057432281</v>
      </c>
      <c r="CX1796" t="s">
        <v>18148</v>
      </c>
      <c r="CY1796" t="s">
        <v>132</v>
      </c>
      <c r="CZ1796" t="s">
        <v>137</v>
      </c>
      <c r="DA1796" t="s">
        <v>114</v>
      </c>
      <c r="DB1796" t="s">
        <v>114</v>
      </c>
      <c r="DC1796" t="s">
        <v>136</v>
      </c>
      <c r="DD1796" t="s">
        <v>114</v>
      </c>
    </row>
    <row r="1797" spans="1:113" ht="15" customHeight="1" x14ac:dyDescent="0.25">
      <c r="A1797" t="s">
        <v>16742</v>
      </c>
      <c r="B1797" t="s">
        <v>13212</v>
      </c>
      <c r="C1797" s="1">
        <v>45180.783035532404</v>
      </c>
      <c r="D1797" s="1">
        <v>45239</v>
      </c>
      <c r="E1797" t="s">
        <v>132</v>
      </c>
      <c r="F1797" t="s">
        <v>16743</v>
      </c>
      <c r="G1797" t="str">
        <f>"37-2012.00"</f>
        <v>37-2012.00</v>
      </c>
      <c r="H1797" t="s">
        <v>205</v>
      </c>
      <c r="I1797">
        <v>10</v>
      </c>
      <c r="J1797">
        <v>10</v>
      </c>
      <c r="K1797" s="1">
        <v>45269</v>
      </c>
      <c r="L1797" s="1">
        <v>45543</v>
      </c>
      <c r="M1797" s="1">
        <v>45269</v>
      </c>
      <c r="N1797" s="1">
        <v>45543</v>
      </c>
      <c r="O1797" t="s">
        <v>238</v>
      </c>
      <c r="P1797" t="s">
        <v>16744</v>
      </c>
      <c r="Q1797" t="s">
        <v>16745</v>
      </c>
      <c r="R1797" t="s">
        <v>16746</v>
      </c>
      <c r="T1797" t="s">
        <v>16747</v>
      </c>
      <c r="U1797" t="s">
        <v>402</v>
      </c>
      <c r="V1797" s="8" t="str">
        <f>"96145"</f>
        <v>96145</v>
      </c>
      <c r="W1797" t="s">
        <v>118</v>
      </c>
      <c r="Y1797" s="10">
        <v>15302406004</v>
      </c>
      <c r="AA1797">
        <v>561720</v>
      </c>
      <c r="AB1797" t="s">
        <v>16748</v>
      </c>
      <c r="AC1797" t="s">
        <v>2865</v>
      </c>
      <c r="AD1797" t="s">
        <v>3587</v>
      </c>
      <c r="AE1797" t="s">
        <v>120</v>
      </c>
      <c r="AF1797" t="s">
        <v>16749</v>
      </c>
      <c r="AH1797" t="s">
        <v>16747</v>
      </c>
      <c r="AI1797" t="s">
        <v>402</v>
      </c>
      <c r="AJ1797" s="8" t="str">
        <f>"96145"</f>
        <v>96145</v>
      </c>
      <c r="AK1797" t="s">
        <v>118</v>
      </c>
      <c r="AM1797" s="10">
        <v>15302406004</v>
      </c>
      <c r="AO1797" t="s">
        <v>16750</v>
      </c>
      <c r="AP1797" t="s">
        <v>121</v>
      </c>
      <c r="AQ1797" t="s">
        <v>12717</v>
      </c>
      <c r="AR1797" t="s">
        <v>1216</v>
      </c>
      <c r="AT1797" t="s">
        <v>16579</v>
      </c>
      <c r="AV1797" t="s">
        <v>3586</v>
      </c>
      <c r="AW1797" t="s">
        <v>479</v>
      </c>
      <c r="AX1797" s="8" t="str">
        <f>"97401"</f>
        <v>97401</v>
      </c>
      <c r="AY1797" t="s">
        <v>118</v>
      </c>
      <c r="BA1797" s="10">
        <v>15414841811</v>
      </c>
      <c r="BC1797" t="s">
        <v>16580</v>
      </c>
      <c r="BD1797" t="s">
        <v>16581</v>
      </c>
      <c r="BE1797" t="s">
        <v>479</v>
      </c>
      <c r="BF1797" t="s">
        <v>16582</v>
      </c>
      <c r="BG1797" t="s">
        <v>402</v>
      </c>
      <c r="BH1797" s="1">
        <v>45179.833333333336</v>
      </c>
      <c r="BI1797">
        <v>40</v>
      </c>
      <c r="BJ1797">
        <v>8</v>
      </c>
      <c r="BK1797">
        <v>8</v>
      </c>
      <c r="BL1797">
        <v>8</v>
      </c>
      <c r="BM1797">
        <v>8</v>
      </c>
      <c r="BN1797">
        <v>8</v>
      </c>
      <c r="BO1797">
        <v>0</v>
      </c>
      <c r="BP1797">
        <v>0</v>
      </c>
      <c r="BQ1797" t="str">
        <f>"9:00 AM"</f>
        <v>9:00 AM</v>
      </c>
      <c r="BR1797" t="str">
        <f>"5:00 PM"</f>
        <v>5:00 PM</v>
      </c>
      <c r="BS1797" t="s">
        <v>131</v>
      </c>
      <c r="BT1797">
        <v>0</v>
      </c>
      <c r="BU1797">
        <v>3</v>
      </c>
      <c r="BV1797" t="s">
        <v>114</v>
      </c>
      <c r="BX1797" s="2" t="s">
        <v>16751</v>
      </c>
      <c r="BY1797" t="s">
        <v>16746</v>
      </c>
      <c r="CA1797" t="s">
        <v>16747</v>
      </c>
      <c r="CB1797" t="s">
        <v>402</v>
      </c>
      <c r="CC1797" s="8" t="str">
        <f>"96145"</f>
        <v>96145</v>
      </c>
      <c r="CD1797" t="s">
        <v>4745</v>
      </c>
      <c r="CE1797" t="s">
        <v>728</v>
      </c>
      <c r="CF1797" s="12">
        <v>20.36</v>
      </c>
      <c r="CH1797" s="12">
        <v>30.54</v>
      </c>
      <c r="CJ1797" t="s">
        <v>135</v>
      </c>
      <c r="CL1797" t="s">
        <v>16752</v>
      </c>
      <c r="CO1797" t="s">
        <v>132</v>
      </c>
      <c r="CP1797" t="s">
        <v>114</v>
      </c>
      <c r="CQ1797" t="s">
        <v>136</v>
      </c>
      <c r="CR1797" t="s">
        <v>136</v>
      </c>
      <c r="CS1797" t="s">
        <v>114</v>
      </c>
      <c r="CT1797" t="s">
        <v>136</v>
      </c>
      <c r="CU1797" t="s">
        <v>114</v>
      </c>
      <c r="CV1797" t="s">
        <v>16753</v>
      </c>
      <c r="CW1797" s="10" t="str">
        <f>"+15302406004"</f>
        <v>+15302406004</v>
      </c>
      <c r="CX1797" t="s">
        <v>16750</v>
      </c>
      <c r="CY1797" t="s">
        <v>132</v>
      </c>
      <c r="CZ1797" t="s">
        <v>137</v>
      </c>
      <c r="DA1797" t="s">
        <v>114</v>
      </c>
      <c r="DB1797" t="s">
        <v>114</v>
      </c>
      <c r="DC1797" t="s">
        <v>136</v>
      </c>
      <c r="DD1797" t="s">
        <v>114</v>
      </c>
    </row>
    <row r="1798" spans="1:113" ht="15" customHeight="1" x14ac:dyDescent="0.25">
      <c r="A1798" t="s">
        <v>13211</v>
      </c>
      <c r="B1798" t="s">
        <v>13212</v>
      </c>
      <c r="C1798" s="1">
        <v>45110.544926967596</v>
      </c>
      <c r="D1798" s="1">
        <v>45229</v>
      </c>
      <c r="E1798" t="s">
        <v>114</v>
      </c>
      <c r="F1798" t="s">
        <v>13213</v>
      </c>
      <c r="G1798" t="str">
        <f>"39-6012.00"</f>
        <v>39-6012.00</v>
      </c>
      <c r="H1798" t="s">
        <v>10362</v>
      </c>
      <c r="I1798">
        <v>1</v>
      </c>
      <c r="J1798">
        <v>1</v>
      </c>
      <c r="K1798" s="1">
        <v>45200</v>
      </c>
      <c r="L1798" s="1">
        <v>46295</v>
      </c>
      <c r="M1798" s="1">
        <v>45200</v>
      </c>
      <c r="N1798" s="1">
        <v>46295</v>
      </c>
      <c r="O1798" t="s">
        <v>184</v>
      </c>
      <c r="P1798" t="s">
        <v>13214</v>
      </c>
      <c r="R1798" t="s">
        <v>13215</v>
      </c>
      <c r="S1798" t="s">
        <v>13216</v>
      </c>
      <c r="T1798" t="s">
        <v>1220</v>
      </c>
      <c r="U1798" t="s">
        <v>358</v>
      </c>
      <c r="V1798" s="8" t="str">
        <f>"10065"</f>
        <v>10065</v>
      </c>
      <c r="W1798" t="s">
        <v>118</v>
      </c>
      <c r="Y1798" s="10">
        <v>16504301578</v>
      </c>
      <c r="AA1798">
        <v>814110</v>
      </c>
      <c r="AB1798" t="s">
        <v>13217</v>
      </c>
      <c r="AC1798" t="s">
        <v>2580</v>
      </c>
      <c r="AD1798" t="s">
        <v>2057</v>
      </c>
      <c r="AE1798" t="s">
        <v>5983</v>
      </c>
      <c r="AF1798" t="s">
        <v>13215</v>
      </c>
      <c r="AG1798" t="s">
        <v>13216</v>
      </c>
      <c r="AH1798" t="s">
        <v>1220</v>
      </c>
      <c r="AI1798" t="s">
        <v>358</v>
      </c>
      <c r="AJ1798" s="8" t="str">
        <f>"10065"</f>
        <v>10065</v>
      </c>
      <c r="AK1798" t="s">
        <v>118</v>
      </c>
      <c r="AM1798" s="10">
        <v>16504301578</v>
      </c>
      <c r="AO1798" t="s">
        <v>13218</v>
      </c>
      <c r="AP1798" t="s">
        <v>121</v>
      </c>
      <c r="AQ1798" t="s">
        <v>13219</v>
      </c>
      <c r="AR1798" t="s">
        <v>13220</v>
      </c>
      <c r="AS1798" t="s">
        <v>628</v>
      </c>
      <c r="AT1798" t="s">
        <v>13221</v>
      </c>
      <c r="AV1798" t="s">
        <v>1220</v>
      </c>
      <c r="AW1798" t="s">
        <v>358</v>
      </c>
      <c r="AX1798" s="8" t="str">
        <f>"10007"</f>
        <v>10007</v>
      </c>
      <c r="AY1798" t="s">
        <v>118</v>
      </c>
      <c r="BA1798" s="10">
        <v>12122338100</v>
      </c>
      <c r="BC1798" t="s">
        <v>13222</v>
      </c>
      <c r="BD1798" t="s">
        <v>4203</v>
      </c>
      <c r="BE1798" t="s">
        <v>358</v>
      </c>
      <c r="BF1798" t="s">
        <v>172</v>
      </c>
      <c r="BG1798" t="s">
        <v>358</v>
      </c>
      <c r="BH1798" s="1">
        <v>45105.833333333336</v>
      </c>
      <c r="BI1798">
        <v>60</v>
      </c>
      <c r="BJ1798">
        <v>0</v>
      </c>
      <c r="BK1798">
        <v>12</v>
      </c>
      <c r="BL1798">
        <v>12</v>
      </c>
      <c r="BM1798">
        <v>12</v>
      </c>
      <c r="BN1798">
        <v>12</v>
      </c>
      <c r="BO1798">
        <v>12</v>
      </c>
      <c r="BP1798">
        <v>0</v>
      </c>
      <c r="BQ1798" t="str">
        <f>"7:30 AM"</f>
        <v>7:30 AM</v>
      </c>
      <c r="BR1798" t="str">
        <f>"7:30 PM"</f>
        <v>7:30 PM</v>
      </c>
      <c r="BS1798" t="s">
        <v>147</v>
      </c>
      <c r="BT1798">
        <v>0</v>
      </c>
      <c r="BU1798">
        <v>12</v>
      </c>
      <c r="BV1798" t="s">
        <v>114</v>
      </c>
      <c r="BX1798" s="2" t="s">
        <v>13223</v>
      </c>
      <c r="BY1798" t="s">
        <v>13215</v>
      </c>
      <c r="BZ1798" t="s">
        <v>13216</v>
      </c>
      <c r="CA1798" t="s">
        <v>1220</v>
      </c>
      <c r="CB1798" t="s">
        <v>358</v>
      </c>
      <c r="CC1798" s="8" t="str">
        <f>"10065"</f>
        <v>10065</v>
      </c>
      <c r="CD1798" t="s">
        <v>1497</v>
      </c>
      <c r="CE1798" t="s">
        <v>1418</v>
      </c>
      <c r="CF1798" s="12">
        <v>22.93</v>
      </c>
      <c r="CG1798" s="12">
        <v>28</v>
      </c>
      <c r="CH1798" s="12">
        <v>34.4</v>
      </c>
      <c r="CI1798" s="12">
        <v>42</v>
      </c>
      <c r="CJ1798" t="s">
        <v>135</v>
      </c>
      <c r="CK1798" t="s">
        <v>131</v>
      </c>
      <c r="CL1798" t="s">
        <v>13224</v>
      </c>
      <c r="CO1798" t="s">
        <v>132</v>
      </c>
      <c r="CP1798" t="s">
        <v>114</v>
      </c>
      <c r="CQ1798" t="s">
        <v>114</v>
      </c>
      <c r="CR1798" t="s">
        <v>136</v>
      </c>
      <c r="CS1798" t="s">
        <v>114</v>
      </c>
      <c r="CT1798" t="s">
        <v>136</v>
      </c>
      <c r="CU1798" t="s">
        <v>136</v>
      </c>
      <c r="CV1798" t="s">
        <v>13225</v>
      </c>
      <c r="CW1798" s="10" t="str">
        <f>"+16504301578"</f>
        <v>+16504301578</v>
      </c>
      <c r="CX1798" t="s">
        <v>13218</v>
      </c>
      <c r="CY1798" t="s">
        <v>132</v>
      </c>
      <c r="CZ1798" t="s">
        <v>137</v>
      </c>
      <c r="DA1798" t="s">
        <v>114</v>
      </c>
      <c r="DB1798" t="s">
        <v>114</v>
      </c>
      <c r="DC1798" t="s">
        <v>136</v>
      </c>
      <c r="DD1798" t="s">
        <v>114</v>
      </c>
    </row>
    <row r="1799" spans="1:113" ht="15" customHeight="1" x14ac:dyDescent="0.25">
      <c r="A1799" t="s">
        <v>16983</v>
      </c>
      <c r="B1799" t="s">
        <v>13212</v>
      </c>
      <c r="C1799" s="1">
        <v>45112.64011828704</v>
      </c>
      <c r="D1799" s="1">
        <v>45222</v>
      </c>
      <c r="E1799" t="s">
        <v>114</v>
      </c>
      <c r="F1799" t="s">
        <v>293</v>
      </c>
      <c r="G1799" t="str">
        <f>"37-2012.00"</f>
        <v>37-2012.00</v>
      </c>
      <c r="H1799" t="s">
        <v>205</v>
      </c>
      <c r="I1799">
        <v>4</v>
      </c>
      <c r="J1799">
        <v>4</v>
      </c>
      <c r="K1799" s="1">
        <v>45200</v>
      </c>
      <c r="L1799" s="1">
        <v>45231</v>
      </c>
      <c r="M1799" s="1">
        <v>45200</v>
      </c>
      <c r="N1799" s="1">
        <v>45231</v>
      </c>
      <c r="O1799" t="s">
        <v>238</v>
      </c>
      <c r="P1799" t="s">
        <v>16984</v>
      </c>
      <c r="Q1799" t="s">
        <v>16985</v>
      </c>
      <c r="R1799" t="s">
        <v>16986</v>
      </c>
      <c r="T1799" t="s">
        <v>13961</v>
      </c>
      <c r="U1799" t="s">
        <v>903</v>
      </c>
      <c r="V1799" s="8" t="str">
        <f>"03910"</f>
        <v>03910</v>
      </c>
      <c r="W1799" t="s">
        <v>118</v>
      </c>
      <c r="Y1799" s="10">
        <v>12073635131</v>
      </c>
      <c r="AA1799">
        <v>72111</v>
      </c>
      <c r="AB1799" t="s">
        <v>16987</v>
      </c>
      <c r="AC1799" t="s">
        <v>4410</v>
      </c>
      <c r="AE1799" t="s">
        <v>16988</v>
      </c>
      <c r="AF1799" t="s">
        <v>16986</v>
      </c>
      <c r="AH1799" t="s">
        <v>13961</v>
      </c>
      <c r="AI1799" t="s">
        <v>903</v>
      </c>
      <c r="AJ1799" s="8" t="str">
        <f>"03910"</f>
        <v>03910</v>
      </c>
      <c r="AK1799" t="s">
        <v>118</v>
      </c>
      <c r="AM1799" s="10">
        <v>12073635131</v>
      </c>
      <c r="AO1799" t="s">
        <v>16989</v>
      </c>
      <c r="AP1799" t="s">
        <v>248</v>
      </c>
      <c r="AQ1799" t="s">
        <v>3017</v>
      </c>
      <c r="AR1799" t="s">
        <v>3018</v>
      </c>
      <c r="AT1799" t="s">
        <v>3019</v>
      </c>
      <c r="AV1799" t="s">
        <v>1168</v>
      </c>
      <c r="AW1799" t="s">
        <v>127</v>
      </c>
      <c r="AX1799" s="8" t="str">
        <f>"75098"</f>
        <v>75098</v>
      </c>
      <c r="AY1799" t="s">
        <v>118</v>
      </c>
      <c r="BA1799" s="10">
        <v>19724424244</v>
      </c>
      <c r="BC1799" t="s">
        <v>3020</v>
      </c>
      <c r="BD1799" t="s">
        <v>3021</v>
      </c>
      <c r="BG1799" t="s">
        <v>903</v>
      </c>
      <c r="BH1799" s="1">
        <v>45111.833333333336</v>
      </c>
      <c r="BI1799">
        <v>40</v>
      </c>
      <c r="BJ1799">
        <v>0</v>
      </c>
      <c r="BK1799">
        <v>8</v>
      </c>
      <c r="BL1799">
        <v>8</v>
      </c>
      <c r="BM1799">
        <v>8</v>
      </c>
      <c r="BN1799">
        <v>8</v>
      </c>
      <c r="BO1799">
        <v>8</v>
      </c>
      <c r="BP1799">
        <v>0</v>
      </c>
      <c r="BQ1799" t="str">
        <f>"8:00 AM"</f>
        <v>8:00 AM</v>
      </c>
      <c r="BR1799" t="str">
        <f>"6:00 PM"</f>
        <v>6:00 PM</v>
      </c>
      <c r="BS1799" t="s">
        <v>131</v>
      </c>
      <c r="BT1799">
        <v>0</v>
      </c>
      <c r="BU1799">
        <v>1</v>
      </c>
      <c r="BV1799" t="s">
        <v>114</v>
      </c>
      <c r="BX1799" t="s">
        <v>16990</v>
      </c>
      <c r="BY1799" t="s">
        <v>16986</v>
      </c>
      <c r="CA1799" t="s">
        <v>13961</v>
      </c>
      <c r="CB1799" t="s">
        <v>903</v>
      </c>
      <c r="CC1799" s="8" t="str">
        <f>"03910"</f>
        <v>03910</v>
      </c>
      <c r="CD1799" t="s">
        <v>2222</v>
      </c>
      <c r="CE1799" t="s">
        <v>2196</v>
      </c>
      <c r="CF1799" s="12">
        <v>16.43</v>
      </c>
      <c r="CG1799" s="12">
        <v>18.43</v>
      </c>
      <c r="CH1799" s="12">
        <v>24.65</v>
      </c>
      <c r="CI1799" s="12">
        <v>27.65</v>
      </c>
      <c r="CJ1799" t="s">
        <v>135</v>
      </c>
      <c r="CL1799" t="s">
        <v>16991</v>
      </c>
      <c r="CO1799" t="s">
        <v>132</v>
      </c>
      <c r="CP1799" t="s">
        <v>114</v>
      </c>
      <c r="CQ1799" t="s">
        <v>136</v>
      </c>
      <c r="CR1799" t="s">
        <v>136</v>
      </c>
      <c r="CS1799" t="s">
        <v>136</v>
      </c>
      <c r="CT1799" t="s">
        <v>136</v>
      </c>
      <c r="CU1799" t="s">
        <v>136</v>
      </c>
      <c r="CV1799" s="2" t="s">
        <v>16992</v>
      </c>
      <c r="CW1799" s="10" t="str">
        <f>"+12079949049"</f>
        <v>+12079949049</v>
      </c>
      <c r="CX1799" t="s">
        <v>132</v>
      </c>
      <c r="CY1799" t="s">
        <v>2772</v>
      </c>
      <c r="CZ1799" t="s">
        <v>137</v>
      </c>
      <c r="DA1799" t="s">
        <v>114</v>
      </c>
      <c r="DB1799" t="s">
        <v>114</v>
      </c>
      <c r="DC1799" t="s">
        <v>136</v>
      </c>
      <c r="DD1799" t="s">
        <v>114</v>
      </c>
    </row>
    <row r="1800" spans="1:113" ht="15" customHeight="1" x14ac:dyDescent="0.25">
      <c r="A1800" t="s">
        <v>16130</v>
      </c>
      <c r="B1800" t="s">
        <v>113</v>
      </c>
      <c r="C1800" s="1">
        <v>45262.684074074074</v>
      </c>
      <c r="D1800" s="1">
        <v>45289</v>
      </c>
      <c r="E1800" t="s">
        <v>132</v>
      </c>
      <c r="F1800" t="s">
        <v>16131</v>
      </c>
      <c r="G1800" t="str">
        <f>"31-1122.00"</f>
        <v>31-1122.00</v>
      </c>
      <c r="H1800" t="s">
        <v>8076</v>
      </c>
      <c r="I1800">
        <v>2</v>
      </c>
      <c r="K1800" s="1">
        <v>45343</v>
      </c>
      <c r="L1800" s="1">
        <v>45646</v>
      </c>
      <c r="O1800" t="s">
        <v>3248</v>
      </c>
      <c r="P1800" t="s">
        <v>15292</v>
      </c>
      <c r="R1800" t="s">
        <v>15293</v>
      </c>
      <c r="T1800" t="s">
        <v>3034</v>
      </c>
      <c r="U1800" t="s">
        <v>2706</v>
      </c>
      <c r="V1800" s="8" t="str">
        <f>"99507"</f>
        <v>99507</v>
      </c>
      <c r="W1800" t="s">
        <v>118</v>
      </c>
      <c r="Y1800" s="10">
        <v>19072270216</v>
      </c>
      <c r="AA1800">
        <v>6239</v>
      </c>
      <c r="AB1800" t="s">
        <v>2796</v>
      </c>
      <c r="AC1800" t="s">
        <v>14899</v>
      </c>
      <c r="AD1800" t="s">
        <v>1829</v>
      </c>
      <c r="AE1800" t="s">
        <v>16132</v>
      </c>
      <c r="AF1800" t="s">
        <v>16133</v>
      </c>
      <c r="AH1800" t="s">
        <v>3033</v>
      </c>
      <c r="AI1800" t="s">
        <v>2706</v>
      </c>
      <c r="AJ1800" s="8" t="str">
        <f>"99507"</f>
        <v>99507</v>
      </c>
      <c r="AK1800" t="s">
        <v>118</v>
      </c>
      <c r="AM1800" s="10">
        <v>19072270216</v>
      </c>
      <c r="AO1800" t="s">
        <v>15294</v>
      </c>
      <c r="AX1800" s="8" t="str">
        <f>""</f>
        <v/>
      </c>
      <c r="BG1800" t="s">
        <v>2706</v>
      </c>
      <c r="BH1800" s="1">
        <v>45223.833333333336</v>
      </c>
      <c r="BI1800">
        <v>48</v>
      </c>
      <c r="BJ1800">
        <v>0</v>
      </c>
      <c r="BK1800">
        <v>12</v>
      </c>
      <c r="BL1800">
        <v>12</v>
      </c>
      <c r="BM1800">
        <v>12</v>
      </c>
      <c r="BN1800">
        <v>12</v>
      </c>
      <c r="BO1800">
        <v>0</v>
      </c>
      <c r="BP1800">
        <v>0</v>
      </c>
      <c r="BQ1800" t="str">
        <f>"7:00 AM"</f>
        <v>7:00 AM</v>
      </c>
      <c r="BR1800" t="str">
        <f>"11:00 PM"</f>
        <v>11:00 PM</v>
      </c>
      <c r="BS1800" t="s">
        <v>147</v>
      </c>
      <c r="BT1800">
        <v>0</v>
      </c>
      <c r="BU1800">
        <v>0</v>
      </c>
      <c r="BV1800" t="s">
        <v>114</v>
      </c>
      <c r="BX1800" t="s">
        <v>1480</v>
      </c>
      <c r="BY1800" t="s">
        <v>15295</v>
      </c>
      <c r="CA1800" t="s">
        <v>3034</v>
      </c>
      <c r="CB1800" t="s">
        <v>2706</v>
      </c>
      <c r="CC1800" s="8" t="str">
        <f>"99507"</f>
        <v>99507</v>
      </c>
      <c r="CD1800" t="s">
        <v>3034</v>
      </c>
      <c r="CE1800" t="s">
        <v>3035</v>
      </c>
      <c r="CF1800" s="12">
        <v>12.25</v>
      </c>
      <c r="CH1800" s="12">
        <v>18.37</v>
      </c>
      <c r="CJ1800" t="s">
        <v>135</v>
      </c>
      <c r="CK1800" s="2" t="s">
        <v>16134</v>
      </c>
      <c r="CL1800" t="s">
        <v>16135</v>
      </c>
      <c r="CO1800" t="s">
        <v>132</v>
      </c>
      <c r="CP1800" t="s">
        <v>114</v>
      </c>
      <c r="CQ1800" t="s">
        <v>114</v>
      </c>
      <c r="CR1800" t="s">
        <v>114</v>
      </c>
      <c r="CS1800" t="s">
        <v>136</v>
      </c>
      <c r="CT1800" t="s">
        <v>136</v>
      </c>
      <c r="CU1800" t="s">
        <v>136</v>
      </c>
      <c r="CV1800" t="s">
        <v>16136</v>
      </c>
      <c r="CW1800" s="10" t="str">
        <f>"+19072270216"</f>
        <v>+19072270216</v>
      </c>
      <c r="CX1800" t="s">
        <v>15294</v>
      </c>
      <c r="CY1800" t="s">
        <v>132</v>
      </c>
      <c r="CZ1800" t="s">
        <v>137</v>
      </c>
      <c r="DA1800" t="s">
        <v>114</v>
      </c>
      <c r="DB1800" t="s">
        <v>114</v>
      </c>
      <c r="DC1800" t="s">
        <v>136</v>
      </c>
      <c r="DD1800" t="s">
        <v>114</v>
      </c>
    </row>
    <row r="1801" spans="1:113" ht="15" customHeight="1" x14ac:dyDescent="0.25">
      <c r="A1801" t="s">
        <v>10861</v>
      </c>
      <c r="B1801" t="s">
        <v>113</v>
      </c>
      <c r="C1801" s="1">
        <v>45245.793425231481</v>
      </c>
      <c r="D1801" s="1">
        <v>45289</v>
      </c>
      <c r="E1801" t="s">
        <v>132</v>
      </c>
      <c r="F1801" t="s">
        <v>8618</v>
      </c>
      <c r="G1801" t="str">
        <f>"49-3031.00"</f>
        <v>49-3031.00</v>
      </c>
      <c r="H1801" t="s">
        <v>3495</v>
      </c>
      <c r="I1801">
        <v>1</v>
      </c>
      <c r="K1801" s="1">
        <v>45323</v>
      </c>
      <c r="L1801" s="1">
        <v>45565</v>
      </c>
      <c r="O1801" t="s">
        <v>116</v>
      </c>
      <c r="P1801" t="s">
        <v>8619</v>
      </c>
      <c r="R1801" t="s">
        <v>8620</v>
      </c>
      <c r="T1801" t="s">
        <v>8621</v>
      </c>
      <c r="U1801" t="s">
        <v>2262</v>
      </c>
      <c r="V1801" s="8" t="str">
        <f>"06607"</f>
        <v>06607</v>
      </c>
      <c r="W1801" t="s">
        <v>118</v>
      </c>
      <c r="Y1801" s="10">
        <v>12035706493</v>
      </c>
      <c r="AA1801">
        <v>53241</v>
      </c>
      <c r="AB1801" t="s">
        <v>8622</v>
      </c>
      <c r="AC1801" t="s">
        <v>8623</v>
      </c>
      <c r="AD1801" t="s">
        <v>8624</v>
      </c>
      <c r="AE1801" t="s">
        <v>654</v>
      </c>
      <c r="AF1801" t="s">
        <v>8625</v>
      </c>
      <c r="AH1801" t="s">
        <v>5968</v>
      </c>
      <c r="AI1801" t="s">
        <v>2262</v>
      </c>
      <c r="AJ1801" s="8" t="str">
        <f>"06607"</f>
        <v>06607</v>
      </c>
      <c r="AK1801" t="s">
        <v>118</v>
      </c>
      <c r="AM1801" s="10">
        <v>12035706493</v>
      </c>
      <c r="AO1801" t="s">
        <v>8626</v>
      </c>
      <c r="AX1801" s="8" t="str">
        <f>""</f>
        <v/>
      </c>
      <c r="BG1801" t="s">
        <v>2262</v>
      </c>
      <c r="BH1801" s="1">
        <v>45244.791666666664</v>
      </c>
      <c r="BI1801">
        <v>40</v>
      </c>
      <c r="BJ1801">
        <v>0</v>
      </c>
      <c r="BK1801">
        <v>8</v>
      </c>
      <c r="BL1801">
        <v>8</v>
      </c>
      <c r="BM1801">
        <v>8</v>
      </c>
      <c r="BN1801">
        <v>8</v>
      </c>
      <c r="BO1801">
        <v>8</v>
      </c>
      <c r="BP1801">
        <v>0</v>
      </c>
      <c r="BQ1801" t="str">
        <f>"8:00 AM"</f>
        <v>8:00 AM</v>
      </c>
      <c r="BR1801" t="str">
        <f>"5:00 PM"</f>
        <v>5:00 PM</v>
      </c>
      <c r="BS1801" t="s">
        <v>147</v>
      </c>
      <c r="BT1801">
        <v>1</v>
      </c>
      <c r="BU1801">
        <v>6</v>
      </c>
      <c r="BV1801" t="s">
        <v>114</v>
      </c>
      <c r="BX1801" t="s">
        <v>10862</v>
      </c>
      <c r="BY1801" t="s">
        <v>8628</v>
      </c>
      <c r="CA1801" t="s">
        <v>8629</v>
      </c>
      <c r="CB1801" t="s">
        <v>2262</v>
      </c>
      <c r="CC1801" s="8" t="str">
        <f>"06516"</f>
        <v>06516</v>
      </c>
      <c r="CD1801" t="s">
        <v>8630</v>
      </c>
      <c r="CE1801" t="s">
        <v>8631</v>
      </c>
      <c r="CF1801" s="12">
        <v>28.32</v>
      </c>
      <c r="CG1801" s="12">
        <v>38.229999999999997</v>
      </c>
      <c r="CJ1801" t="s">
        <v>135</v>
      </c>
      <c r="CL1801" t="s">
        <v>8632</v>
      </c>
      <c r="CO1801" t="s">
        <v>132</v>
      </c>
      <c r="CP1801" t="s">
        <v>114</v>
      </c>
      <c r="CQ1801" t="s">
        <v>136</v>
      </c>
      <c r="CR1801" t="s">
        <v>114</v>
      </c>
      <c r="CS1801" t="s">
        <v>136</v>
      </c>
      <c r="CT1801" t="s">
        <v>136</v>
      </c>
      <c r="CU1801" t="s">
        <v>136</v>
      </c>
      <c r="CV1801" t="s">
        <v>10863</v>
      </c>
      <c r="CW1801" s="10" t="str">
        <f>"+12035706493"</f>
        <v>+12035706493</v>
      </c>
      <c r="CX1801" t="s">
        <v>8626</v>
      </c>
      <c r="CY1801" t="s">
        <v>132</v>
      </c>
      <c r="CZ1801" t="s">
        <v>137</v>
      </c>
      <c r="DA1801" t="s">
        <v>114</v>
      </c>
      <c r="DB1801" t="s">
        <v>114</v>
      </c>
      <c r="DC1801" t="s">
        <v>136</v>
      </c>
      <c r="DD1801" t="s">
        <v>114</v>
      </c>
    </row>
    <row r="1802" spans="1:113" ht="15" customHeight="1" x14ac:dyDescent="0.25">
      <c r="A1802" t="s">
        <v>22957</v>
      </c>
      <c r="B1802" t="s">
        <v>113</v>
      </c>
      <c r="C1802" s="1">
        <v>45243.547325</v>
      </c>
      <c r="D1802" s="1">
        <v>45289</v>
      </c>
      <c r="E1802" t="s">
        <v>132</v>
      </c>
      <c r="F1802" t="s">
        <v>22958</v>
      </c>
      <c r="G1802" t="str">
        <f>"49-2092.00"</f>
        <v>49-2092.00</v>
      </c>
      <c r="H1802" t="s">
        <v>17593</v>
      </c>
      <c r="I1802">
        <v>2</v>
      </c>
      <c r="K1802" s="1">
        <v>45331</v>
      </c>
      <c r="L1802" s="1">
        <v>45681</v>
      </c>
      <c r="O1802" t="s">
        <v>3248</v>
      </c>
      <c r="P1802" t="s">
        <v>22959</v>
      </c>
      <c r="R1802" t="s">
        <v>22960</v>
      </c>
      <c r="T1802" t="s">
        <v>4465</v>
      </c>
      <c r="U1802" t="s">
        <v>211</v>
      </c>
      <c r="V1802" s="8" t="str">
        <f>"84404"</f>
        <v>84404</v>
      </c>
      <c r="W1802" t="s">
        <v>118</v>
      </c>
      <c r="Y1802" s="10">
        <v>8017914610</v>
      </c>
      <c r="Z1802">
        <v>1</v>
      </c>
      <c r="AA1802">
        <v>336360</v>
      </c>
      <c r="AB1802" t="s">
        <v>15269</v>
      </c>
      <c r="AC1802" t="s">
        <v>1783</v>
      </c>
      <c r="AE1802" t="s">
        <v>561</v>
      </c>
      <c r="AF1802" t="s">
        <v>22960</v>
      </c>
      <c r="AH1802" t="s">
        <v>22961</v>
      </c>
      <c r="AI1802" t="s">
        <v>211</v>
      </c>
      <c r="AJ1802" s="8" t="str">
        <f>"84404"</f>
        <v>84404</v>
      </c>
      <c r="AK1802" t="s">
        <v>118</v>
      </c>
      <c r="AM1802" s="10">
        <v>8017914610</v>
      </c>
      <c r="AO1802" t="s">
        <v>22962</v>
      </c>
      <c r="AX1802" s="8" t="str">
        <f>""</f>
        <v/>
      </c>
      <c r="BG1802" t="s">
        <v>550</v>
      </c>
      <c r="BH1802" s="1">
        <v>45242.791666666664</v>
      </c>
      <c r="BI1802">
        <v>46</v>
      </c>
      <c r="BJ1802">
        <v>5</v>
      </c>
      <c r="BK1802">
        <v>7</v>
      </c>
      <c r="BL1802">
        <v>7</v>
      </c>
      <c r="BM1802">
        <v>7</v>
      </c>
      <c r="BN1802">
        <v>7</v>
      </c>
      <c r="BO1802">
        <v>7</v>
      </c>
      <c r="BP1802">
        <v>6</v>
      </c>
      <c r="BQ1802" t="str">
        <f>"7:30 PM"</f>
        <v>7:30 PM</v>
      </c>
      <c r="BR1802" t="str">
        <f>"4:00 PM"</f>
        <v>4:00 PM</v>
      </c>
      <c r="BS1802" t="s">
        <v>131</v>
      </c>
      <c r="BT1802">
        <v>0</v>
      </c>
      <c r="BU1802">
        <v>60</v>
      </c>
      <c r="BV1802" t="s">
        <v>114</v>
      </c>
      <c r="BX1802" t="s">
        <v>22963</v>
      </c>
      <c r="BY1802" t="s">
        <v>22960</v>
      </c>
      <c r="CA1802" t="s">
        <v>4465</v>
      </c>
      <c r="CB1802" t="s">
        <v>211</v>
      </c>
      <c r="CC1802" s="8" t="str">
        <f>"84404"</f>
        <v>84404</v>
      </c>
      <c r="CD1802" t="s">
        <v>2468</v>
      </c>
      <c r="CE1802" t="s">
        <v>2469</v>
      </c>
      <c r="CF1802" s="12">
        <v>2500</v>
      </c>
      <c r="CG1802" s="12">
        <v>3500</v>
      </c>
      <c r="CH1802" s="12">
        <v>1500</v>
      </c>
      <c r="CI1802" s="12">
        <v>2000</v>
      </c>
      <c r="CJ1802" t="s">
        <v>135</v>
      </c>
      <c r="CL1802" t="s">
        <v>22964</v>
      </c>
      <c r="CO1802" t="s">
        <v>132</v>
      </c>
      <c r="CP1802" t="s">
        <v>114</v>
      </c>
      <c r="CQ1802" t="s">
        <v>114</v>
      </c>
      <c r="CR1802" t="s">
        <v>136</v>
      </c>
      <c r="CS1802" t="s">
        <v>136</v>
      </c>
      <c r="CT1802" t="s">
        <v>136</v>
      </c>
      <c r="CU1802" t="s">
        <v>136</v>
      </c>
      <c r="CV1802" t="s">
        <v>132</v>
      </c>
      <c r="CW1802" s="10" t="str">
        <f>"+10849712944"</f>
        <v>+10849712944</v>
      </c>
      <c r="CX1802" t="s">
        <v>22962</v>
      </c>
      <c r="CY1802" t="s">
        <v>132</v>
      </c>
      <c r="CZ1802" t="s">
        <v>137</v>
      </c>
      <c r="DA1802" t="s">
        <v>114</v>
      </c>
      <c r="DB1802" t="s">
        <v>114</v>
      </c>
      <c r="DC1802" t="s">
        <v>136</v>
      </c>
      <c r="DD1802" t="s">
        <v>114</v>
      </c>
    </row>
    <row r="1803" spans="1:113" ht="15" customHeight="1" x14ac:dyDescent="0.25">
      <c r="A1803" t="s">
        <v>22107</v>
      </c>
      <c r="B1803" t="s">
        <v>113</v>
      </c>
      <c r="C1803" s="1">
        <v>45217.660695833336</v>
      </c>
      <c r="D1803" s="1">
        <v>45288</v>
      </c>
      <c r="E1803" t="s">
        <v>132</v>
      </c>
      <c r="F1803" t="s">
        <v>18746</v>
      </c>
      <c r="G1803" t="str">
        <f>"35-2014.00"</f>
        <v>35-2014.00</v>
      </c>
      <c r="H1803" t="s">
        <v>154</v>
      </c>
      <c r="I1803">
        <v>4</v>
      </c>
      <c r="K1803" s="1">
        <v>45292</v>
      </c>
      <c r="L1803" s="1">
        <v>45536</v>
      </c>
      <c r="O1803" t="s">
        <v>238</v>
      </c>
      <c r="P1803" t="s">
        <v>22108</v>
      </c>
      <c r="Q1803" t="s">
        <v>22109</v>
      </c>
      <c r="R1803" t="s">
        <v>22110</v>
      </c>
      <c r="T1803" t="s">
        <v>22111</v>
      </c>
      <c r="U1803" t="s">
        <v>2030</v>
      </c>
      <c r="V1803" s="8" t="str">
        <f>"57501"</f>
        <v>57501</v>
      </c>
      <c r="W1803" t="s">
        <v>118</v>
      </c>
      <c r="Y1803" s="10">
        <v>16052246877</v>
      </c>
      <c r="Z1803">
        <v>3019</v>
      </c>
      <c r="AA1803">
        <v>72111</v>
      </c>
      <c r="AB1803" t="s">
        <v>6348</v>
      </c>
      <c r="AC1803" t="s">
        <v>22112</v>
      </c>
      <c r="AD1803" t="s">
        <v>22113</v>
      </c>
      <c r="AE1803" t="s">
        <v>1349</v>
      </c>
      <c r="AF1803" t="s">
        <v>22110</v>
      </c>
      <c r="AH1803" t="s">
        <v>22111</v>
      </c>
      <c r="AI1803" t="s">
        <v>2030</v>
      </c>
      <c r="AJ1803" s="8" t="str">
        <f>"57501"</f>
        <v>57501</v>
      </c>
      <c r="AK1803" t="s">
        <v>118</v>
      </c>
      <c r="AM1803" s="10">
        <v>16052231923</v>
      </c>
      <c r="AO1803" t="s">
        <v>22114</v>
      </c>
      <c r="AP1803" t="s">
        <v>121</v>
      </c>
      <c r="AQ1803" t="s">
        <v>1978</v>
      </c>
      <c r="AR1803" t="s">
        <v>705</v>
      </c>
      <c r="AS1803" t="s">
        <v>1979</v>
      </c>
      <c r="AT1803" t="s">
        <v>2915</v>
      </c>
      <c r="AU1803" t="s">
        <v>1981</v>
      </c>
      <c r="AV1803" t="s">
        <v>2916</v>
      </c>
      <c r="AW1803" t="s">
        <v>1722</v>
      </c>
      <c r="AX1803" s="8" t="str">
        <f>"21117"</f>
        <v>21117</v>
      </c>
      <c r="AY1803" t="s">
        <v>118</v>
      </c>
      <c r="BA1803" s="10">
        <v>14435014240</v>
      </c>
      <c r="BC1803" t="s">
        <v>1982</v>
      </c>
      <c r="BD1803" t="s">
        <v>1983</v>
      </c>
      <c r="BE1803" t="s">
        <v>358</v>
      </c>
      <c r="BF1803" t="s">
        <v>22115</v>
      </c>
      <c r="BG1803" t="s">
        <v>2030</v>
      </c>
      <c r="BH1803" s="1">
        <v>45216.833333333336</v>
      </c>
      <c r="BI1803">
        <v>35</v>
      </c>
      <c r="BJ1803">
        <v>5</v>
      </c>
      <c r="BK1803">
        <v>5</v>
      </c>
      <c r="BL1803">
        <v>5</v>
      </c>
      <c r="BM1803">
        <v>5</v>
      </c>
      <c r="BN1803">
        <v>5</v>
      </c>
      <c r="BO1803">
        <v>5</v>
      </c>
      <c r="BP1803">
        <v>5</v>
      </c>
      <c r="BQ1803" t="str">
        <f>"5:00 AM"</f>
        <v>5:00 AM</v>
      </c>
      <c r="BR1803" t="str">
        <f>"11:00 PM"</f>
        <v>11:00 PM</v>
      </c>
      <c r="BS1803" t="s">
        <v>131</v>
      </c>
      <c r="BT1803">
        <v>0</v>
      </c>
      <c r="BU1803">
        <v>3</v>
      </c>
      <c r="BV1803" t="s">
        <v>114</v>
      </c>
      <c r="BX1803" s="2" t="s">
        <v>22116</v>
      </c>
      <c r="BY1803" t="s">
        <v>22117</v>
      </c>
      <c r="CA1803" t="s">
        <v>22111</v>
      </c>
      <c r="CB1803" t="s">
        <v>2030</v>
      </c>
      <c r="CC1803" s="8" t="str">
        <f>"57501"</f>
        <v>57501</v>
      </c>
      <c r="CD1803" t="s">
        <v>9209</v>
      </c>
      <c r="CE1803" t="s">
        <v>4972</v>
      </c>
      <c r="CF1803" s="12">
        <v>15.35</v>
      </c>
      <c r="CH1803" s="12">
        <v>23.03</v>
      </c>
      <c r="CJ1803" t="s">
        <v>135</v>
      </c>
      <c r="CK1803" t="s">
        <v>22118</v>
      </c>
      <c r="CL1803" t="s">
        <v>22119</v>
      </c>
      <c r="CO1803" t="s">
        <v>132</v>
      </c>
      <c r="CP1803" t="s">
        <v>114</v>
      </c>
      <c r="CQ1803" t="s">
        <v>114</v>
      </c>
      <c r="CR1803" t="s">
        <v>136</v>
      </c>
      <c r="CS1803" t="s">
        <v>136</v>
      </c>
      <c r="CT1803" t="s">
        <v>136</v>
      </c>
      <c r="CU1803" t="s">
        <v>136</v>
      </c>
      <c r="CV1803" t="s">
        <v>1987</v>
      </c>
      <c r="CW1803" s="10" t="str">
        <f>"+16054943111"</f>
        <v>+16054943111</v>
      </c>
      <c r="CX1803" t="s">
        <v>132</v>
      </c>
      <c r="CY1803" t="s">
        <v>22120</v>
      </c>
      <c r="CZ1803" t="s">
        <v>137</v>
      </c>
      <c r="DA1803" t="s">
        <v>114</v>
      </c>
      <c r="DB1803" t="s">
        <v>136</v>
      </c>
      <c r="DC1803" t="s">
        <v>136</v>
      </c>
      <c r="DD1803" t="s">
        <v>114</v>
      </c>
    </row>
    <row r="1804" spans="1:113" ht="15" customHeight="1" x14ac:dyDescent="0.25">
      <c r="A1804" t="s">
        <v>7612</v>
      </c>
      <c r="B1804" t="s">
        <v>113</v>
      </c>
      <c r="C1804" s="1">
        <v>45195.559740046294</v>
      </c>
      <c r="D1804" s="1">
        <v>45288</v>
      </c>
      <c r="E1804" t="s">
        <v>132</v>
      </c>
      <c r="F1804" t="s">
        <v>7613</v>
      </c>
      <c r="G1804" t="str">
        <f>"49-3023.00"</f>
        <v>49-3023.00</v>
      </c>
      <c r="H1804" t="s">
        <v>7614</v>
      </c>
      <c r="I1804">
        <v>2</v>
      </c>
      <c r="K1804" s="1">
        <v>45271</v>
      </c>
      <c r="L1804" s="1">
        <v>45566</v>
      </c>
      <c r="O1804" t="s">
        <v>3248</v>
      </c>
      <c r="P1804" t="s">
        <v>7615</v>
      </c>
      <c r="R1804" t="s">
        <v>7616</v>
      </c>
      <c r="T1804" t="s">
        <v>7617</v>
      </c>
      <c r="U1804" t="s">
        <v>211</v>
      </c>
      <c r="V1804" s="8" t="str">
        <f>"84119"</f>
        <v>84119</v>
      </c>
      <c r="W1804" t="s">
        <v>118</v>
      </c>
      <c r="Y1804" s="10">
        <v>18016616625</v>
      </c>
      <c r="AA1804">
        <v>488410</v>
      </c>
      <c r="AB1804" t="s">
        <v>7618</v>
      </c>
      <c r="AC1804" t="s">
        <v>7619</v>
      </c>
      <c r="AE1804" t="s">
        <v>654</v>
      </c>
      <c r="AF1804" t="s">
        <v>7620</v>
      </c>
      <c r="AH1804" t="s">
        <v>7617</v>
      </c>
      <c r="AI1804" t="s">
        <v>211</v>
      </c>
      <c r="AJ1804" s="8" t="str">
        <f>"84119"</f>
        <v>84119</v>
      </c>
      <c r="AK1804" t="s">
        <v>118</v>
      </c>
      <c r="AM1804" s="10">
        <v>18016616625</v>
      </c>
      <c r="AO1804" t="s">
        <v>7621</v>
      </c>
      <c r="AX1804" s="8" t="str">
        <f>""</f>
        <v/>
      </c>
      <c r="BG1804" t="s">
        <v>211</v>
      </c>
      <c r="BH1804" s="1">
        <v>45187.833333333336</v>
      </c>
      <c r="BI1804">
        <v>40</v>
      </c>
      <c r="BJ1804">
        <v>8</v>
      </c>
      <c r="BK1804">
        <v>6</v>
      </c>
      <c r="BL1804">
        <v>0</v>
      </c>
      <c r="BM1804">
        <v>6</v>
      </c>
      <c r="BN1804">
        <v>6</v>
      </c>
      <c r="BO1804">
        <v>6</v>
      </c>
      <c r="BP1804">
        <v>8</v>
      </c>
      <c r="BQ1804" t="str">
        <f>"6:08 AM"</f>
        <v>6:08 AM</v>
      </c>
      <c r="BR1804" t="str">
        <f>"2:08 PM"</f>
        <v>2:08 PM</v>
      </c>
      <c r="BS1804" t="s">
        <v>147</v>
      </c>
      <c r="BT1804">
        <v>0</v>
      </c>
      <c r="BU1804">
        <v>12</v>
      </c>
      <c r="BV1804" t="s">
        <v>114</v>
      </c>
      <c r="BX1804" s="2" t="s">
        <v>7622</v>
      </c>
      <c r="BY1804" t="s">
        <v>7620</v>
      </c>
      <c r="CA1804" t="s">
        <v>7617</v>
      </c>
      <c r="CB1804" t="s">
        <v>211</v>
      </c>
      <c r="CC1804" s="8" t="str">
        <f>"84119"</f>
        <v>84119</v>
      </c>
      <c r="CD1804" t="s">
        <v>1567</v>
      </c>
      <c r="CE1804" t="s">
        <v>1568</v>
      </c>
      <c r="CF1804" s="12">
        <v>6000</v>
      </c>
      <c r="CG1804" s="12">
        <v>6500</v>
      </c>
      <c r="CJ1804" t="s">
        <v>7623</v>
      </c>
      <c r="CL1804" t="s">
        <v>7624</v>
      </c>
      <c r="CO1804" t="s">
        <v>132</v>
      </c>
      <c r="CP1804" t="s">
        <v>114</v>
      </c>
      <c r="CQ1804" t="s">
        <v>114</v>
      </c>
      <c r="CR1804" t="s">
        <v>114</v>
      </c>
      <c r="CS1804" t="s">
        <v>136</v>
      </c>
      <c r="CT1804" t="s">
        <v>136</v>
      </c>
      <c r="CU1804" t="s">
        <v>136</v>
      </c>
      <c r="CV1804" t="s">
        <v>7625</v>
      </c>
      <c r="CW1804" s="10" t="str">
        <f>"+18016616625"</f>
        <v>+18016616625</v>
      </c>
      <c r="CX1804" t="s">
        <v>7626</v>
      </c>
      <c r="CY1804" t="s">
        <v>132</v>
      </c>
      <c r="CZ1804" t="s">
        <v>137</v>
      </c>
      <c r="DA1804" t="s">
        <v>114</v>
      </c>
      <c r="DB1804" t="s">
        <v>114</v>
      </c>
      <c r="DC1804" t="s">
        <v>136</v>
      </c>
      <c r="DD1804" t="s">
        <v>114</v>
      </c>
    </row>
    <row r="1805" spans="1:113" ht="15" customHeight="1" x14ac:dyDescent="0.25">
      <c r="A1805" t="s">
        <v>13609</v>
      </c>
      <c r="B1805" t="s">
        <v>113</v>
      </c>
      <c r="C1805" s="1">
        <v>45264.595032060184</v>
      </c>
      <c r="D1805" s="1">
        <v>45287</v>
      </c>
      <c r="E1805" t="s">
        <v>132</v>
      </c>
      <c r="F1805" t="s">
        <v>13610</v>
      </c>
      <c r="G1805" t="str">
        <f>"51-6052.00"</f>
        <v>51-6052.00</v>
      </c>
      <c r="H1805" t="s">
        <v>13611</v>
      </c>
      <c r="I1805">
        <v>1</v>
      </c>
      <c r="K1805" s="1">
        <v>45352</v>
      </c>
      <c r="L1805" s="1">
        <v>46082</v>
      </c>
      <c r="O1805" t="s">
        <v>184</v>
      </c>
      <c r="P1805" t="s">
        <v>13612</v>
      </c>
      <c r="R1805" t="s">
        <v>13613</v>
      </c>
      <c r="T1805" t="s">
        <v>8327</v>
      </c>
      <c r="U1805" t="s">
        <v>117</v>
      </c>
      <c r="V1805" s="8" t="str">
        <f>"60640"</f>
        <v>60640</v>
      </c>
      <c r="W1805" t="s">
        <v>118</v>
      </c>
      <c r="Y1805" s="10">
        <v>17735610573</v>
      </c>
      <c r="AA1805">
        <v>315210</v>
      </c>
      <c r="AB1805" t="s">
        <v>13614</v>
      </c>
      <c r="AC1805" t="s">
        <v>4967</v>
      </c>
      <c r="AE1805" t="s">
        <v>629</v>
      </c>
      <c r="AF1805" t="s">
        <v>13613</v>
      </c>
      <c r="AH1805" t="s">
        <v>8327</v>
      </c>
      <c r="AI1805" t="s">
        <v>117</v>
      </c>
      <c r="AJ1805" s="8" t="str">
        <f>"60640"</f>
        <v>60640</v>
      </c>
      <c r="AK1805" t="s">
        <v>118</v>
      </c>
      <c r="AM1805" s="10">
        <v>17735610572</v>
      </c>
      <c r="AO1805" t="s">
        <v>13615</v>
      </c>
      <c r="AP1805" t="s">
        <v>121</v>
      </c>
      <c r="AQ1805" t="s">
        <v>3162</v>
      </c>
      <c r="AR1805" t="s">
        <v>5903</v>
      </c>
      <c r="AT1805" t="s">
        <v>13616</v>
      </c>
      <c r="AU1805" t="s">
        <v>6041</v>
      </c>
      <c r="AV1805" t="s">
        <v>8327</v>
      </c>
      <c r="AW1805" t="s">
        <v>117</v>
      </c>
      <c r="AX1805" s="8" t="str">
        <f>"60601"</f>
        <v>60601</v>
      </c>
      <c r="AY1805" t="s">
        <v>118</v>
      </c>
      <c r="BA1805" s="10">
        <v>13125887150</v>
      </c>
      <c r="BC1805" t="s">
        <v>13617</v>
      </c>
      <c r="BD1805" t="s">
        <v>13618</v>
      </c>
      <c r="BE1805" t="s">
        <v>117</v>
      </c>
      <c r="BF1805" t="s">
        <v>13619</v>
      </c>
      <c r="BG1805" t="s">
        <v>117</v>
      </c>
      <c r="BH1805" s="1">
        <v>45260.791666666664</v>
      </c>
      <c r="BI1805">
        <v>40</v>
      </c>
      <c r="BJ1805">
        <v>0</v>
      </c>
      <c r="BK1805">
        <v>8</v>
      </c>
      <c r="BL1805">
        <v>8</v>
      </c>
      <c r="BM1805">
        <v>8</v>
      </c>
      <c r="BN1805">
        <v>8</v>
      </c>
      <c r="BO1805">
        <v>8</v>
      </c>
      <c r="BP1805">
        <v>0</v>
      </c>
      <c r="BQ1805" t="str">
        <f>"9:00 AM"</f>
        <v>9:00 AM</v>
      </c>
      <c r="BR1805" t="str">
        <f>"5:00 PM"</f>
        <v>5:00 PM</v>
      </c>
      <c r="BS1805" t="s">
        <v>5177</v>
      </c>
      <c r="BT1805">
        <v>0</v>
      </c>
      <c r="BU1805">
        <v>24</v>
      </c>
      <c r="BV1805" t="s">
        <v>114</v>
      </c>
      <c r="BX1805" t="s">
        <v>13620</v>
      </c>
      <c r="BY1805" t="s">
        <v>13613</v>
      </c>
      <c r="CA1805" t="s">
        <v>8327</v>
      </c>
      <c r="CB1805" t="s">
        <v>117</v>
      </c>
      <c r="CC1805" s="8" t="str">
        <f>"60640"</f>
        <v>60640</v>
      </c>
      <c r="CD1805" t="s">
        <v>5756</v>
      </c>
      <c r="CE1805" t="s">
        <v>134</v>
      </c>
      <c r="CF1805" s="12">
        <v>21.39</v>
      </c>
      <c r="CG1805" s="12">
        <v>21.39</v>
      </c>
      <c r="CJ1805" t="s">
        <v>135</v>
      </c>
      <c r="CL1805" t="s">
        <v>13621</v>
      </c>
      <c r="CO1805" t="s">
        <v>132</v>
      </c>
      <c r="CP1805" t="s">
        <v>114</v>
      </c>
      <c r="CQ1805" t="s">
        <v>114</v>
      </c>
      <c r="CR1805" t="s">
        <v>114</v>
      </c>
      <c r="CS1805" t="s">
        <v>114</v>
      </c>
      <c r="CT1805" t="s">
        <v>136</v>
      </c>
      <c r="CU1805" t="s">
        <v>114</v>
      </c>
      <c r="CV1805" t="s">
        <v>1570</v>
      </c>
      <c r="CW1805" s="10" t="str">
        <f>"+17735610573"</f>
        <v>+17735610573</v>
      </c>
      <c r="CX1805" t="s">
        <v>132</v>
      </c>
      <c r="CY1805" t="s">
        <v>13622</v>
      </c>
      <c r="CZ1805" t="s">
        <v>137</v>
      </c>
      <c r="DA1805" t="s">
        <v>114</v>
      </c>
      <c r="DB1805" t="s">
        <v>114</v>
      </c>
      <c r="DC1805" t="s">
        <v>136</v>
      </c>
      <c r="DD1805" t="s">
        <v>114</v>
      </c>
      <c r="DE1805" t="s">
        <v>13623</v>
      </c>
      <c r="DF1805" t="s">
        <v>13624</v>
      </c>
      <c r="DH1805" t="s">
        <v>13625</v>
      </c>
      <c r="DI1805" t="s">
        <v>13626</v>
      </c>
    </row>
    <row r="1806" spans="1:113" ht="15" customHeight="1" x14ac:dyDescent="0.25">
      <c r="A1806" t="s">
        <v>15354</v>
      </c>
      <c r="B1806" t="s">
        <v>113</v>
      </c>
      <c r="C1806" s="1">
        <v>45258.597865856478</v>
      </c>
      <c r="D1806" s="1">
        <v>45287</v>
      </c>
      <c r="E1806" t="s">
        <v>132</v>
      </c>
      <c r="F1806" t="s">
        <v>1397</v>
      </c>
      <c r="G1806" t="str">
        <f>"25-2011.00"</f>
        <v>25-2011.00</v>
      </c>
      <c r="H1806" t="s">
        <v>8856</v>
      </c>
      <c r="I1806">
        <v>1</v>
      </c>
      <c r="K1806" s="1">
        <v>45337</v>
      </c>
      <c r="L1806" s="1">
        <v>45640</v>
      </c>
      <c r="O1806" t="s">
        <v>184</v>
      </c>
      <c r="P1806" t="s">
        <v>15355</v>
      </c>
      <c r="R1806" t="s">
        <v>15356</v>
      </c>
      <c r="T1806" t="s">
        <v>15357</v>
      </c>
      <c r="U1806" t="s">
        <v>402</v>
      </c>
      <c r="V1806" s="8" t="str">
        <f>"93940"</f>
        <v>93940</v>
      </c>
      <c r="W1806" t="s">
        <v>118</v>
      </c>
      <c r="Y1806" s="10">
        <v>14155426478</v>
      </c>
      <c r="AA1806">
        <v>624410</v>
      </c>
      <c r="AB1806" t="s">
        <v>15358</v>
      </c>
      <c r="AC1806" t="s">
        <v>15359</v>
      </c>
      <c r="AE1806" t="s">
        <v>7868</v>
      </c>
      <c r="AF1806" t="s">
        <v>15356</v>
      </c>
      <c r="AH1806" t="s">
        <v>15357</v>
      </c>
      <c r="AI1806" t="s">
        <v>402</v>
      </c>
      <c r="AJ1806" s="8" t="str">
        <f>"93940"</f>
        <v>93940</v>
      </c>
      <c r="AK1806" t="s">
        <v>118</v>
      </c>
      <c r="AM1806" s="10">
        <v>14155426478</v>
      </c>
      <c r="AO1806" t="s">
        <v>15360</v>
      </c>
      <c r="AP1806" t="s">
        <v>121</v>
      </c>
      <c r="AQ1806" t="s">
        <v>15361</v>
      </c>
      <c r="AR1806" t="s">
        <v>1009</v>
      </c>
      <c r="AT1806" t="s">
        <v>15362</v>
      </c>
      <c r="AU1806" t="s">
        <v>15363</v>
      </c>
      <c r="AV1806" t="s">
        <v>15364</v>
      </c>
      <c r="AW1806" t="s">
        <v>1776</v>
      </c>
      <c r="AX1806" s="8" t="str">
        <f>"08846"</f>
        <v>08846</v>
      </c>
      <c r="AY1806" t="s">
        <v>118</v>
      </c>
      <c r="BA1806" s="10">
        <v>13472308449</v>
      </c>
      <c r="BC1806" t="s">
        <v>15365</v>
      </c>
      <c r="BD1806" t="s">
        <v>15366</v>
      </c>
      <c r="BE1806" t="s">
        <v>1776</v>
      </c>
      <c r="BF1806" t="s">
        <v>2267</v>
      </c>
      <c r="BG1806" t="s">
        <v>402</v>
      </c>
      <c r="BH1806" s="1">
        <v>45195.833333333336</v>
      </c>
      <c r="BI1806">
        <v>42.5</v>
      </c>
      <c r="BJ1806">
        <v>0</v>
      </c>
      <c r="BK1806">
        <v>8.5</v>
      </c>
      <c r="BL1806">
        <v>8.5</v>
      </c>
      <c r="BM1806">
        <v>8.5</v>
      </c>
      <c r="BN1806">
        <v>8.5</v>
      </c>
      <c r="BO1806">
        <v>8.5</v>
      </c>
      <c r="BP1806">
        <v>0</v>
      </c>
      <c r="BQ1806" t="str">
        <f>"7:30 AM"</f>
        <v>7:30 AM</v>
      </c>
      <c r="BR1806" t="str">
        <f>"4:00 PM"</f>
        <v>4:00 PM</v>
      </c>
      <c r="BS1806" t="s">
        <v>1506</v>
      </c>
      <c r="BT1806">
        <v>36</v>
      </c>
      <c r="BU1806">
        <v>36</v>
      </c>
      <c r="BV1806" t="s">
        <v>114</v>
      </c>
      <c r="BX1806" s="2" t="s">
        <v>15367</v>
      </c>
      <c r="BY1806" t="s">
        <v>15356</v>
      </c>
      <c r="CA1806" t="s">
        <v>15357</v>
      </c>
      <c r="CB1806" t="s">
        <v>402</v>
      </c>
      <c r="CC1806" s="8" t="str">
        <f>"93940"</f>
        <v>93940</v>
      </c>
      <c r="CD1806" t="s">
        <v>13548</v>
      </c>
      <c r="CE1806" t="s">
        <v>13549</v>
      </c>
      <c r="CF1806" s="12">
        <v>24.04</v>
      </c>
      <c r="CG1806" s="12">
        <v>24.04</v>
      </c>
      <c r="CJ1806" t="s">
        <v>135</v>
      </c>
      <c r="CL1806" t="s">
        <v>15368</v>
      </c>
      <c r="CO1806" t="s">
        <v>132</v>
      </c>
      <c r="CP1806" t="s">
        <v>114</v>
      </c>
      <c r="CQ1806" t="s">
        <v>114</v>
      </c>
      <c r="CR1806" t="s">
        <v>114</v>
      </c>
      <c r="CS1806" t="s">
        <v>114</v>
      </c>
      <c r="CT1806" t="s">
        <v>136</v>
      </c>
      <c r="CU1806" t="s">
        <v>136</v>
      </c>
      <c r="CV1806" t="s">
        <v>132</v>
      </c>
      <c r="CW1806" s="10" t="str">
        <f>"+14155426478"</f>
        <v>+14155426478</v>
      </c>
      <c r="CX1806" t="s">
        <v>15360</v>
      </c>
      <c r="CY1806" t="s">
        <v>15369</v>
      </c>
      <c r="CZ1806" t="s">
        <v>137</v>
      </c>
      <c r="DA1806" t="s">
        <v>114</v>
      </c>
      <c r="DB1806" t="s">
        <v>114</v>
      </c>
      <c r="DC1806" t="s">
        <v>136</v>
      </c>
      <c r="DD1806" t="s">
        <v>114</v>
      </c>
      <c r="DE1806" t="s">
        <v>15361</v>
      </c>
      <c r="DF1806" t="s">
        <v>1009</v>
      </c>
      <c r="DG1806" t="s">
        <v>2297</v>
      </c>
      <c r="DH1806" t="s">
        <v>15366</v>
      </c>
      <c r="DI1806" t="s">
        <v>15365</v>
      </c>
    </row>
    <row r="1807" spans="1:113" ht="15" customHeight="1" x14ac:dyDescent="0.25">
      <c r="A1807" t="s">
        <v>13469</v>
      </c>
      <c r="B1807" t="s">
        <v>113</v>
      </c>
      <c r="C1807" s="1">
        <v>45257.477630787034</v>
      </c>
      <c r="D1807" s="1">
        <v>45287</v>
      </c>
      <c r="E1807" t="s">
        <v>132</v>
      </c>
      <c r="F1807" t="s">
        <v>13470</v>
      </c>
      <c r="G1807" t="str">
        <f>"47-2051.00"</f>
        <v>47-2051.00</v>
      </c>
      <c r="H1807" t="s">
        <v>1291</v>
      </c>
      <c r="I1807">
        <v>4</v>
      </c>
      <c r="K1807" s="1">
        <v>45334</v>
      </c>
      <c r="L1807" s="1">
        <v>45597</v>
      </c>
      <c r="O1807" t="s">
        <v>116</v>
      </c>
      <c r="P1807" t="s">
        <v>13471</v>
      </c>
      <c r="Q1807" t="s">
        <v>13472</v>
      </c>
      <c r="R1807" t="s">
        <v>13473</v>
      </c>
      <c r="T1807" t="s">
        <v>13474</v>
      </c>
      <c r="U1807" t="s">
        <v>375</v>
      </c>
      <c r="V1807" s="8" t="str">
        <f>"28532"</f>
        <v>28532</v>
      </c>
      <c r="W1807" t="s">
        <v>118</v>
      </c>
      <c r="Y1807" s="10">
        <v>12522424400</v>
      </c>
      <c r="AA1807">
        <v>238140</v>
      </c>
      <c r="AB1807" t="s">
        <v>13475</v>
      </c>
      <c r="AC1807" t="s">
        <v>13476</v>
      </c>
      <c r="AE1807" t="s">
        <v>378</v>
      </c>
      <c r="AF1807" t="s">
        <v>13473</v>
      </c>
      <c r="AH1807" t="s">
        <v>13474</v>
      </c>
      <c r="AI1807" t="s">
        <v>375</v>
      </c>
      <c r="AJ1807" s="8" t="str">
        <f>"28532"</f>
        <v>28532</v>
      </c>
      <c r="AK1807" t="s">
        <v>118</v>
      </c>
      <c r="AM1807" s="10">
        <v>12522424400</v>
      </c>
      <c r="AO1807" t="s">
        <v>13477</v>
      </c>
      <c r="AX1807" s="8" t="str">
        <f>""</f>
        <v/>
      </c>
      <c r="BG1807" t="s">
        <v>375</v>
      </c>
      <c r="BH1807" s="1">
        <v>45231.833333333336</v>
      </c>
      <c r="BI1807">
        <v>50</v>
      </c>
      <c r="BJ1807">
        <v>0</v>
      </c>
      <c r="BK1807">
        <v>10</v>
      </c>
      <c r="BL1807">
        <v>10</v>
      </c>
      <c r="BM1807">
        <v>10</v>
      </c>
      <c r="BN1807">
        <v>10</v>
      </c>
      <c r="BO1807">
        <v>10</v>
      </c>
      <c r="BP1807">
        <v>0</v>
      </c>
      <c r="BQ1807" t="str">
        <f>"6:30 AM"</f>
        <v>6:30 AM</v>
      </c>
      <c r="BR1807" t="str">
        <f>"4:00 PM"</f>
        <v>4:00 PM</v>
      </c>
      <c r="BS1807" t="s">
        <v>131</v>
      </c>
      <c r="BT1807">
        <v>12</v>
      </c>
      <c r="BU1807">
        <v>12</v>
      </c>
      <c r="BV1807" t="s">
        <v>114</v>
      </c>
      <c r="BX1807" t="s">
        <v>13478</v>
      </c>
      <c r="BY1807" t="s">
        <v>13479</v>
      </c>
      <c r="CA1807" t="s">
        <v>13474</v>
      </c>
      <c r="CB1807" t="s">
        <v>375</v>
      </c>
      <c r="CC1807" s="8" t="str">
        <f>"28532"</f>
        <v>28532</v>
      </c>
      <c r="CD1807" t="s">
        <v>9374</v>
      </c>
      <c r="CE1807" t="s">
        <v>9375</v>
      </c>
      <c r="CF1807" s="12">
        <v>22</v>
      </c>
      <c r="CG1807" s="12">
        <v>23</v>
      </c>
      <c r="CJ1807" t="s">
        <v>135</v>
      </c>
      <c r="CL1807" t="s">
        <v>13480</v>
      </c>
      <c r="CO1807" t="s">
        <v>132</v>
      </c>
      <c r="CP1807" t="s">
        <v>136</v>
      </c>
      <c r="CQ1807" t="s">
        <v>136</v>
      </c>
      <c r="CR1807" t="s">
        <v>114</v>
      </c>
      <c r="CS1807" t="s">
        <v>136</v>
      </c>
      <c r="CT1807" t="s">
        <v>136</v>
      </c>
      <c r="CU1807" t="s">
        <v>136</v>
      </c>
      <c r="CV1807" t="s">
        <v>131</v>
      </c>
      <c r="CW1807" s="10" t="str">
        <f>"+12522424400"</f>
        <v>+12522424400</v>
      </c>
      <c r="CX1807" t="s">
        <v>13481</v>
      </c>
      <c r="CY1807" t="s">
        <v>132</v>
      </c>
      <c r="CZ1807" t="s">
        <v>137</v>
      </c>
      <c r="DA1807" t="s">
        <v>114</v>
      </c>
      <c r="DB1807" t="s">
        <v>114</v>
      </c>
      <c r="DC1807" t="s">
        <v>136</v>
      </c>
      <c r="DD1807" t="s">
        <v>114</v>
      </c>
      <c r="DE1807" t="s">
        <v>12655</v>
      </c>
      <c r="DF1807" t="s">
        <v>4982</v>
      </c>
      <c r="DG1807" t="s">
        <v>1738</v>
      </c>
      <c r="DH1807" t="s">
        <v>13482</v>
      </c>
      <c r="DI1807" t="s">
        <v>13483</v>
      </c>
    </row>
    <row r="1808" spans="1:113" ht="15" customHeight="1" x14ac:dyDescent="0.25">
      <c r="A1808" t="s">
        <v>22338</v>
      </c>
      <c r="B1808" t="s">
        <v>113</v>
      </c>
      <c r="C1808" s="1">
        <v>45253.654572222222</v>
      </c>
      <c r="D1808" s="1">
        <v>45287</v>
      </c>
      <c r="E1808" t="s">
        <v>132</v>
      </c>
      <c r="F1808" t="s">
        <v>22339</v>
      </c>
      <c r="G1808" t="str">
        <f>"39-2021.00"</f>
        <v>39-2021.00</v>
      </c>
      <c r="H1808" t="s">
        <v>2895</v>
      </c>
      <c r="I1808">
        <v>1</v>
      </c>
      <c r="K1808" s="1">
        <v>45337</v>
      </c>
      <c r="L1808" s="1">
        <v>45703</v>
      </c>
      <c r="O1808" t="s">
        <v>184</v>
      </c>
      <c r="P1808" t="s">
        <v>22340</v>
      </c>
      <c r="R1808" t="s">
        <v>22341</v>
      </c>
      <c r="S1808" t="s">
        <v>22342</v>
      </c>
      <c r="T1808" t="s">
        <v>8344</v>
      </c>
      <c r="U1808" t="s">
        <v>127</v>
      </c>
      <c r="V1808" s="8" t="str">
        <f>"77056"</f>
        <v>77056</v>
      </c>
      <c r="W1808" t="s">
        <v>118</v>
      </c>
      <c r="Y1808" s="10">
        <v>13466067463</v>
      </c>
      <c r="AA1808">
        <v>81291</v>
      </c>
      <c r="AB1808" t="s">
        <v>22343</v>
      </c>
      <c r="AC1808" t="s">
        <v>11563</v>
      </c>
      <c r="AD1808" t="s">
        <v>22344</v>
      </c>
      <c r="AE1808" t="s">
        <v>6176</v>
      </c>
      <c r="AF1808" t="s">
        <v>22341</v>
      </c>
      <c r="AG1808" t="s">
        <v>22342</v>
      </c>
      <c r="AH1808" t="s">
        <v>8344</v>
      </c>
      <c r="AI1808" t="s">
        <v>127</v>
      </c>
      <c r="AJ1808" s="8" t="str">
        <f>"77056"</f>
        <v>77056</v>
      </c>
      <c r="AK1808" t="s">
        <v>118</v>
      </c>
      <c r="AM1808" s="10">
        <v>13466067463</v>
      </c>
      <c r="AO1808" t="s">
        <v>22345</v>
      </c>
      <c r="AX1808" s="8" t="str">
        <f>""</f>
        <v/>
      </c>
      <c r="BG1808" t="s">
        <v>127</v>
      </c>
      <c r="BH1808" s="1">
        <v>45181.833333333336</v>
      </c>
      <c r="BI1808">
        <v>40</v>
      </c>
      <c r="BJ1808">
        <v>0</v>
      </c>
      <c r="BK1808">
        <v>8</v>
      </c>
      <c r="BL1808">
        <v>8</v>
      </c>
      <c r="BM1808">
        <v>8</v>
      </c>
      <c r="BN1808">
        <v>8</v>
      </c>
      <c r="BO1808">
        <v>8</v>
      </c>
      <c r="BP1808">
        <v>0</v>
      </c>
      <c r="BQ1808" t="str">
        <f>"9:00 AM"</f>
        <v>9:00 AM</v>
      </c>
      <c r="BR1808" t="str">
        <f>"5:00 PM"</f>
        <v>5:00 PM</v>
      </c>
      <c r="BS1808" t="s">
        <v>5177</v>
      </c>
      <c r="BT1808">
        <v>3</v>
      </c>
      <c r="BU1808">
        <v>6</v>
      </c>
      <c r="BV1808" t="s">
        <v>114</v>
      </c>
      <c r="BX1808" t="s">
        <v>22346</v>
      </c>
      <c r="BY1808" t="s">
        <v>22341</v>
      </c>
      <c r="BZ1808" t="s">
        <v>22342</v>
      </c>
      <c r="CA1808" t="s">
        <v>8344</v>
      </c>
      <c r="CB1808" t="s">
        <v>127</v>
      </c>
      <c r="CC1808" s="8" t="str">
        <f>"77056"</f>
        <v>77056</v>
      </c>
      <c r="CD1808" t="s">
        <v>3327</v>
      </c>
      <c r="CE1808" t="s">
        <v>879</v>
      </c>
      <c r="CF1808" s="12">
        <v>115</v>
      </c>
      <c r="CG1808" s="12">
        <v>120</v>
      </c>
      <c r="CJ1808" t="s">
        <v>5501</v>
      </c>
      <c r="CL1808" t="s">
        <v>22347</v>
      </c>
      <c r="CO1808" t="s">
        <v>132</v>
      </c>
      <c r="CP1808" t="s">
        <v>114</v>
      </c>
      <c r="CQ1808" t="s">
        <v>136</v>
      </c>
      <c r="CR1808" t="s">
        <v>114</v>
      </c>
      <c r="CS1808" t="s">
        <v>136</v>
      </c>
      <c r="CT1808" t="s">
        <v>136</v>
      </c>
      <c r="CU1808" t="s">
        <v>136</v>
      </c>
      <c r="CV1808" t="s">
        <v>1480</v>
      </c>
      <c r="CW1808" s="10" t="str">
        <f>"+13466067463"</f>
        <v>+13466067463</v>
      </c>
      <c r="CX1808" t="s">
        <v>22345</v>
      </c>
      <c r="CY1808" t="s">
        <v>132</v>
      </c>
      <c r="CZ1808" t="s">
        <v>137</v>
      </c>
      <c r="DA1808" t="s">
        <v>114</v>
      </c>
      <c r="DB1808" t="s">
        <v>114</v>
      </c>
      <c r="DC1808" t="s">
        <v>136</v>
      </c>
      <c r="DD1808" t="s">
        <v>114</v>
      </c>
    </row>
    <row r="1809" spans="1:113" ht="15" customHeight="1" x14ac:dyDescent="0.25">
      <c r="A1809" t="s">
        <v>21068</v>
      </c>
      <c r="B1809" t="s">
        <v>113</v>
      </c>
      <c r="C1809" s="1">
        <v>45237.720464814818</v>
      </c>
      <c r="D1809" s="1">
        <v>45287</v>
      </c>
      <c r="E1809" t="s">
        <v>132</v>
      </c>
      <c r="F1809" t="s">
        <v>1397</v>
      </c>
      <c r="G1809" t="str">
        <f>"39-9011.01"</f>
        <v>39-9011.01</v>
      </c>
      <c r="H1809" t="s">
        <v>1488</v>
      </c>
      <c r="I1809">
        <v>1</v>
      </c>
      <c r="K1809" s="1">
        <v>45312</v>
      </c>
      <c r="L1809" s="1">
        <v>45551</v>
      </c>
      <c r="O1809" t="s">
        <v>184</v>
      </c>
      <c r="P1809" t="s">
        <v>9125</v>
      </c>
      <c r="Q1809" t="s">
        <v>9126</v>
      </c>
      <c r="R1809" t="s">
        <v>9127</v>
      </c>
      <c r="T1809" t="s">
        <v>9128</v>
      </c>
      <c r="U1809" t="s">
        <v>434</v>
      </c>
      <c r="V1809" s="8" t="str">
        <f>"17543"</f>
        <v>17543</v>
      </c>
      <c r="W1809" t="s">
        <v>118</v>
      </c>
      <c r="Y1809" s="10">
        <v>14436697695</v>
      </c>
      <c r="AA1809">
        <v>423910</v>
      </c>
      <c r="AB1809" t="s">
        <v>9129</v>
      </c>
      <c r="AC1809" t="s">
        <v>1559</v>
      </c>
      <c r="AE1809" t="s">
        <v>561</v>
      </c>
      <c r="AF1809" t="s">
        <v>9130</v>
      </c>
      <c r="AH1809" t="s">
        <v>9128</v>
      </c>
      <c r="AI1809" t="s">
        <v>434</v>
      </c>
      <c r="AJ1809" s="8" t="str">
        <f>"17543"</f>
        <v>17543</v>
      </c>
      <c r="AK1809" t="s">
        <v>118</v>
      </c>
      <c r="AM1809" s="10">
        <v>14436697695</v>
      </c>
      <c r="AO1809" t="s">
        <v>9131</v>
      </c>
      <c r="AX1809" s="8" t="str">
        <f>""</f>
        <v/>
      </c>
      <c r="BG1809" t="s">
        <v>434</v>
      </c>
      <c r="BH1809" s="1">
        <v>45010.833333333336</v>
      </c>
      <c r="BI1809">
        <v>40</v>
      </c>
      <c r="BJ1809">
        <v>0</v>
      </c>
      <c r="BK1809">
        <v>8</v>
      </c>
      <c r="BL1809">
        <v>8</v>
      </c>
      <c r="BM1809">
        <v>8</v>
      </c>
      <c r="BN1809">
        <v>8</v>
      </c>
      <c r="BO1809">
        <v>8</v>
      </c>
      <c r="BP1809">
        <v>0</v>
      </c>
      <c r="BQ1809" t="str">
        <f>"7:00 AM"</f>
        <v>7:00 AM</v>
      </c>
      <c r="BR1809" t="str">
        <f>"4:00 PM"</f>
        <v>4:00 PM</v>
      </c>
      <c r="BS1809" t="s">
        <v>147</v>
      </c>
      <c r="BT1809">
        <v>12</v>
      </c>
      <c r="BU1809">
        <v>12</v>
      </c>
      <c r="BV1809" t="s">
        <v>114</v>
      </c>
      <c r="BX1809" s="2" t="s">
        <v>9132</v>
      </c>
      <c r="BY1809" t="s">
        <v>9133</v>
      </c>
      <c r="CA1809" t="s">
        <v>9128</v>
      </c>
      <c r="CB1809" t="s">
        <v>434</v>
      </c>
      <c r="CC1809" s="8" t="str">
        <f>"17543"</f>
        <v>17543</v>
      </c>
      <c r="CD1809" t="s">
        <v>2655</v>
      </c>
      <c r="CE1809" t="s">
        <v>2656</v>
      </c>
      <c r="CF1809" s="12">
        <v>12.68</v>
      </c>
      <c r="CG1809" s="12">
        <v>25</v>
      </c>
      <c r="CH1809" s="12">
        <v>19.02</v>
      </c>
      <c r="CI1809" s="12">
        <v>40</v>
      </c>
      <c r="CJ1809" t="s">
        <v>135</v>
      </c>
      <c r="CL1809" t="s">
        <v>9134</v>
      </c>
      <c r="CO1809" t="s">
        <v>132</v>
      </c>
      <c r="CP1809" t="s">
        <v>114</v>
      </c>
      <c r="CQ1809" t="s">
        <v>136</v>
      </c>
      <c r="CR1809" t="s">
        <v>136</v>
      </c>
      <c r="CS1809" t="s">
        <v>136</v>
      </c>
      <c r="CT1809" t="s">
        <v>136</v>
      </c>
      <c r="CU1809" t="s">
        <v>136</v>
      </c>
      <c r="CV1809" s="2" t="s">
        <v>21069</v>
      </c>
      <c r="CW1809" s="10" t="str">
        <f>"+14436697695"</f>
        <v>+14436697695</v>
      </c>
      <c r="CX1809" t="s">
        <v>9131</v>
      </c>
      <c r="CY1809" t="s">
        <v>21070</v>
      </c>
      <c r="CZ1809" t="s">
        <v>137</v>
      </c>
      <c r="DA1809" t="s">
        <v>114</v>
      </c>
      <c r="DB1809" t="s">
        <v>114</v>
      </c>
      <c r="DC1809" t="s">
        <v>136</v>
      </c>
      <c r="DD1809" t="s">
        <v>114</v>
      </c>
    </row>
    <row r="1810" spans="1:113" ht="15" customHeight="1" x14ac:dyDescent="0.25">
      <c r="A1810" t="s">
        <v>5070</v>
      </c>
      <c r="B1810" t="s">
        <v>113</v>
      </c>
      <c r="C1810" s="1">
        <v>45231.547310648151</v>
      </c>
      <c r="D1810" s="1">
        <v>45287</v>
      </c>
      <c r="E1810" t="s">
        <v>132</v>
      </c>
      <c r="F1810" t="s">
        <v>1961</v>
      </c>
      <c r="G1810" t="str">
        <f>"37-3011.00"</f>
        <v>37-3011.00</v>
      </c>
      <c r="H1810" t="s">
        <v>429</v>
      </c>
      <c r="I1810">
        <v>6</v>
      </c>
      <c r="K1810" s="1">
        <v>45306</v>
      </c>
      <c r="L1810" s="1">
        <v>45474</v>
      </c>
      <c r="O1810" t="s">
        <v>116</v>
      </c>
      <c r="P1810" t="s">
        <v>5071</v>
      </c>
      <c r="R1810" t="s">
        <v>5072</v>
      </c>
      <c r="T1810" t="s">
        <v>5073</v>
      </c>
      <c r="U1810" t="s">
        <v>127</v>
      </c>
      <c r="V1810" s="8" t="str">
        <f>"77430"</f>
        <v>77430</v>
      </c>
      <c r="W1810" t="s">
        <v>118</v>
      </c>
      <c r="Y1810" s="10">
        <v>19793456490</v>
      </c>
      <c r="AA1810">
        <v>56173</v>
      </c>
      <c r="AB1810" t="s">
        <v>2421</v>
      </c>
      <c r="AC1810" t="s">
        <v>5074</v>
      </c>
      <c r="AD1810" t="s">
        <v>5075</v>
      </c>
      <c r="AE1810" t="s">
        <v>5076</v>
      </c>
      <c r="AF1810" t="s">
        <v>5072</v>
      </c>
      <c r="AH1810" t="s">
        <v>5073</v>
      </c>
      <c r="AI1810" t="s">
        <v>127</v>
      </c>
      <c r="AJ1810" s="8" t="str">
        <f>"77430"</f>
        <v>77430</v>
      </c>
      <c r="AK1810" t="s">
        <v>118</v>
      </c>
      <c r="AM1810" s="10">
        <v>19793456490</v>
      </c>
      <c r="AO1810" t="s">
        <v>1175</v>
      </c>
      <c r="AP1810" t="s">
        <v>121</v>
      </c>
      <c r="AQ1810" t="s">
        <v>4293</v>
      </c>
      <c r="AR1810" t="s">
        <v>4294</v>
      </c>
      <c r="AS1810" t="s">
        <v>3625</v>
      </c>
      <c r="AT1810" t="s">
        <v>4295</v>
      </c>
      <c r="AV1810" t="s">
        <v>320</v>
      </c>
      <c r="AW1810" t="s">
        <v>127</v>
      </c>
      <c r="AX1810" s="8" t="str">
        <f>"78705"</f>
        <v>78705</v>
      </c>
      <c r="AY1810" t="s">
        <v>118</v>
      </c>
      <c r="BA1810" s="10">
        <v>15123470007</v>
      </c>
      <c r="BC1810" t="s">
        <v>4296</v>
      </c>
      <c r="BD1810" t="s">
        <v>4297</v>
      </c>
      <c r="BE1810" t="s">
        <v>127</v>
      </c>
      <c r="BF1810" t="s">
        <v>4298</v>
      </c>
      <c r="BG1810" t="s">
        <v>127</v>
      </c>
      <c r="BH1810" s="1">
        <v>45230.833333333336</v>
      </c>
      <c r="BI1810">
        <v>40</v>
      </c>
      <c r="BJ1810">
        <v>0</v>
      </c>
      <c r="BK1810">
        <v>8</v>
      </c>
      <c r="BL1810">
        <v>8</v>
      </c>
      <c r="BM1810">
        <v>8</v>
      </c>
      <c r="BN1810">
        <v>8</v>
      </c>
      <c r="BO1810">
        <v>8</v>
      </c>
      <c r="BP1810">
        <v>0</v>
      </c>
      <c r="BQ1810" t="str">
        <f>"7:00 AM"</f>
        <v>7:00 AM</v>
      </c>
      <c r="BR1810" t="str">
        <f>"5:00 PM"</f>
        <v>5:00 PM</v>
      </c>
      <c r="BS1810" t="s">
        <v>131</v>
      </c>
      <c r="BT1810">
        <v>0</v>
      </c>
      <c r="BU1810">
        <v>0</v>
      </c>
      <c r="BV1810" t="s">
        <v>114</v>
      </c>
      <c r="BX1810" t="s">
        <v>4299</v>
      </c>
      <c r="BY1810" t="s">
        <v>5072</v>
      </c>
      <c r="CA1810" t="s">
        <v>5073</v>
      </c>
      <c r="CB1810" t="s">
        <v>127</v>
      </c>
      <c r="CC1810" s="8" t="str">
        <f>"77430"</f>
        <v>77430</v>
      </c>
      <c r="CD1810" t="s">
        <v>5077</v>
      </c>
      <c r="CE1810" t="s">
        <v>879</v>
      </c>
      <c r="CF1810" s="12">
        <v>16.29</v>
      </c>
      <c r="CH1810" s="12">
        <v>24.44</v>
      </c>
      <c r="CJ1810" t="s">
        <v>135</v>
      </c>
      <c r="CL1810" t="s">
        <v>5078</v>
      </c>
      <c r="CO1810" t="s">
        <v>132</v>
      </c>
      <c r="CP1810" t="s">
        <v>114</v>
      </c>
      <c r="CQ1810" t="s">
        <v>136</v>
      </c>
      <c r="CR1810" t="s">
        <v>136</v>
      </c>
      <c r="CS1810" t="s">
        <v>136</v>
      </c>
      <c r="CT1810" t="s">
        <v>136</v>
      </c>
      <c r="CU1810" t="s">
        <v>136</v>
      </c>
      <c r="CV1810" t="s">
        <v>4797</v>
      </c>
      <c r="CW1810" s="10" t="str">
        <f>"+19793456490"</f>
        <v>+19793456490</v>
      </c>
      <c r="CX1810" t="s">
        <v>5079</v>
      </c>
      <c r="CY1810" t="s">
        <v>132</v>
      </c>
      <c r="CZ1810" t="s">
        <v>137</v>
      </c>
      <c r="DA1810" t="s">
        <v>114</v>
      </c>
      <c r="DB1810" t="s">
        <v>114</v>
      </c>
      <c r="DC1810" t="s">
        <v>136</v>
      </c>
      <c r="DD1810" t="s">
        <v>114</v>
      </c>
    </row>
    <row r="1811" spans="1:113" ht="15" customHeight="1" x14ac:dyDescent="0.25">
      <c r="A1811" t="s">
        <v>23080</v>
      </c>
      <c r="B1811" t="s">
        <v>113</v>
      </c>
      <c r="C1811" s="1">
        <v>45218.671991319447</v>
      </c>
      <c r="D1811" s="1">
        <v>45287</v>
      </c>
      <c r="E1811" t="s">
        <v>132</v>
      </c>
      <c r="F1811" t="s">
        <v>12954</v>
      </c>
      <c r="G1811" t="str">
        <f>"47-2141.00"</f>
        <v>47-2141.00</v>
      </c>
      <c r="H1811" t="s">
        <v>5569</v>
      </c>
      <c r="I1811">
        <v>1</v>
      </c>
      <c r="K1811" s="1">
        <v>45293</v>
      </c>
      <c r="L1811" s="1">
        <v>45376</v>
      </c>
      <c r="O1811" t="s">
        <v>116</v>
      </c>
      <c r="P1811" t="s">
        <v>12955</v>
      </c>
      <c r="R1811" t="s">
        <v>3237</v>
      </c>
      <c r="S1811" t="s">
        <v>3076</v>
      </c>
      <c r="T1811" t="s">
        <v>3238</v>
      </c>
      <c r="U1811" t="s">
        <v>222</v>
      </c>
      <c r="V1811" s="8" t="str">
        <f>"02169"</f>
        <v>02169</v>
      </c>
      <c r="W1811" t="s">
        <v>118</v>
      </c>
      <c r="Y1811" s="10">
        <v>12075579208</v>
      </c>
      <c r="AA1811">
        <v>236220</v>
      </c>
      <c r="AB1811" t="s">
        <v>3239</v>
      </c>
      <c r="AC1811" t="s">
        <v>1212</v>
      </c>
      <c r="AE1811" t="s">
        <v>3876</v>
      </c>
      <c r="AF1811" t="s">
        <v>3237</v>
      </c>
      <c r="AG1811" t="s">
        <v>3076</v>
      </c>
      <c r="AH1811" t="s">
        <v>3238</v>
      </c>
      <c r="AI1811" t="s">
        <v>222</v>
      </c>
      <c r="AJ1811" s="8" t="str">
        <f>"02169"</f>
        <v>02169</v>
      </c>
      <c r="AK1811" t="s">
        <v>118</v>
      </c>
      <c r="AM1811" s="10">
        <v>12075579208</v>
      </c>
      <c r="AO1811" t="s">
        <v>3241</v>
      </c>
      <c r="AP1811" t="s">
        <v>121</v>
      </c>
      <c r="AQ1811" t="s">
        <v>898</v>
      </c>
      <c r="AR1811" t="s">
        <v>3877</v>
      </c>
      <c r="AT1811" t="s">
        <v>900</v>
      </c>
      <c r="AU1811" t="s">
        <v>901</v>
      </c>
      <c r="AV1811" t="s">
        <v>902</v>
      </c>
      <c r="AW1811" t="s">
        <v>903</v>
      </c>
      <c r="AX1811" s="8" t="str">
        <f>"04101"</f>
        <v>04101</v>
      </c>
      <c r="AY1811" t="s">
        <v>118</v>
      </c>
      <c r="BA1811" s="10">
        <v>12077913260</v>
      </c>
      <c r="BC1811" t="s">
        <v>904</v>
      </c>
      <c r="BD1811" t="s">
        <v>905</v>
      </c>
      <c r="BE1811" t="s">
        <v>903</v>
      </c>
      <c r="BF1811" t="s">
        <v>906</v>
      </c>
      <c r="BG1811" t="s">
        <v>903</v>
      </c>
      <c r="BH1811" s="1">
        <v>45217.833333333336</v>
      </c>
      <c r="BI1811">
        <v>35</v>
      </c>
      <c r="BJ1811">
        <v>0</v>
      </c>
      <c r="BK1811">
        <v>7</v>
      </c>
      <c r="BL1811">
        <v>7</v>
      </c>
      <c r="BM1811">
        <v>7</v>
      </c>
      <c r="BN1811">
        <v>7</v>
      </c>
      <c r="BO1811">
        <v>7</v>
      </c>
      <c r="BP1811">
        <v>0</v>
      </c>
      <c r="BQ1811" t="str">
        <f>"7:00 AM"</f>
        <v>7:00 AM</v>
      </c>
      <c r="BR1811" t="str">
        <f>"2:00 PM"</f>
        <v>2:00 PM</v>
      </c>
      <c r="BS1811" t="s">
        <v>131</v>
      </c>
      <c r="BT1811">
        <v>0</v>
      </c>
      <c r="BU1811">
        <v>0</v>
      </c>
      <c r="BV1811" t="s">
        <v>114</v>
      </c>
      <c r="BX1811" t="s">
        <v>12956</v>
      </c>
      <c r="BY1811" t="s">
        <v>23081</v>
      </c>
      <c r="CA1811" t="s">
        <v>626</v>
      </c>
      <c r="CB1811" t="s">
        <v>903</v>
      </c>
      <c r="CC1811" s="8" t="str">
        <f>"04330"</f>
        <v>04330</v>
      </c>
      <c r="CD1811" t="s">
        <v>9872</v>
      </c>
      <c r="CE1811" t="s">
        <v>2185</v>
      </c>
      <c r="CF1811" s="12">
        <v>23.17</v>
      </c>
      <c r="CG1811" s="12">
        <v>23.17</v>
      </c>
      <c r="CH1811" s="12">
        <v>34.76</v>
      </c>
      <c r="CI1811" s="12">
        <v>34.76</v>
      </c>
      <c r="CJ1811" t="s">
        <v>135</v>
      </c>
      <c r="CK1811" t="s">
        <v>6590</v>
      </c>
      <c r="CL1811" t="s">
        <v>23082</v>
      </c>
      <c r="CO1811" t="s">
        <v>136</v>
      </c>
      <c r="CP1811" t="s">
        <v>136</v>
      </c>
      <c r="CQ1811" t="s">
        <v>114</v>
      </c>
      <c r="CR1811" t="s">
        <v>136</v>
      </c>
      <c r="CS1811" t="s">
        <v>136</v>
      </c>
      <c r="CT1811" t="s">
        <v>136</v>
      </c>
      <c r="CU1811" t="s">
        <v>136</v>
      </c>
      <c r="CV1811" t="s">
        <v>3243</v>
      </c>
      <c r="CW1811" s="10" t="str">
        <f>"+12076237981"</f>
        <v>+12076237981</v>
      </c>
      <c r="CX1811" t="s">
        <v>3244</v>
      </c>
      <c r="CY1811" t="s">
        <v>4111</v>
      </c>
      <c r="CZ1811" t="s">
        <v>137</v>
      </c>
      <c r="DA1811" t="s">
        <v>114</v>
      </c>
      <c r="DB1811" t="s">
        <v>114</v>
      </c>
      <c r="DC1811" t="s">
        <v>136</v>
      </c>
      <c r="DD1811" t="s">
        <v>114</v>
      </c>
    </row>
    <row r="1812" spans="1:113" ht="15" customHeight="1" x14ac:dyDescent="0.25">
      <c r="A1812" t="s">
        <v>9725</v>
      </c>
      <c r="B1812" t="s">
        <v>113</v>
      </c>
      <c r="C1812" s="1">
        <v>45250.843345486108</v>
      </c>
      <c r="D1812" s="1">
        <v>45286</v>
      </c>
      <c r="E1812" t="s">
        <v>132</v>
      </c>
      <c r="F1812" t="s">
        <v>9726</v>
      </c>
      <c r="G1812" t="str">
        <f>"39-9011.01"</f>
        <v>39-9011.01</v>
      </c>
      <c r="H1812" t="s">
        <v>1488</v>
      </c>
      <c r="I1812">
        <v>1</v>
      </c>
      <c r="K1812" s="1">
        <v>45327</v>
      </c>
      <c r="L1812" s="1">
        <v>45627</v>
      </c>
      <c r="O1812" t="s">
        <v>3248</v>
      </c>
      <c r="P1812" t="s">
        <v>9727</v>
      </c>
      <c r="Q1812" t="s">
        <v>9727</v>
      </c>
      <c r="R1812" t="s">
        <v>9728</v>
      </c>
      <c r="T1812" t="s">
        <v>1412</v>
      </c>
      <c r="U1812" t="s">
        <v>358</v>
      </c>
      <c r="V1812" s="8" t="str">
        <f>"10303"</f>
        <v>10303</v>
      </c>
      <c r="W1812" t="s">
        <v>118</v>
      </c>
      <c r="Y1812" s="10">
        <v>19175891086</v>
      </c>
      <c r="AA1812">
        <v>624410</v>
      </c>
      <c r="AB1812" t="s">
        <v>143</v>
      </c>
      <c r="AC1812" t="s">
        <v>9729</v>
      </c>
      <c r="AE1812" t="s">
        <v>561</v>
      </c>
      <c r="AF1812" t="s">
        <v>9728</v>
      </c>
      <c r="AH1812" t="s">
        <v>1412</v>
      </c>
      <c r="AI1812" t="s">
        <v>358</v>
      </c>
      <c r="AJ1812" s="8" t="str">
        <f>"10303"</f>
        <v>10303</v>
      </c>
      <c r="AK1812" t="s">
        <v>118</v>
      </c>
      <c r="AM1812" s="10">
        <v>19175891086</v>
      </c>
      <c r="AO1812" t="s">
        <v>9730</v>
      </c>
      <c r="AX1812" s="8" t="str">
        <f>""</f>
        <v/>
      </c>
      <c r="BG1812" t="s">
        <v>358</v>
      </c>
      <c r="BH1812" s="1">
        <v>45249.791666666664</v>
      </c>
      <c r="BI1812">
        <v>35</v>
      </c>
      <c r="BJ1812">
        <v>0</v>
      </c>
      <c r="BK1812">
        <v>6</v>
      </c>
      <c r="BL1812">
        <v>6</v>
      </c>
      <c r="BM1812">
        <v>6</v>
      </c>
      <c r="BN1812">
        <v>6</v>
      </c>
      <c r="BO1812">
        <v>6</v>
      </c>
      <c r="BP1812">
        <v>5</v>
      </c>
      <c r="BQ1812" t="str">
        <f>"10:00 PM"</f>
        <v>10:00 PM</v>
      </c>
      <c r="BR1812" t="str">
        <f>"4:00 PM"</f>
        <v>4:00 PM</v>
      </c>
      <c r="BS1812" t="s">
        <v>147</v>
      </c>
      <c r="BT1812">
        <v>0</v>
      </c>
      <c r="BU1812">
        <v>36</v>
      </c>
      <c r="BV1812" t="s">
        <v>114</v>
      </c>
      <c r="BX1812" s="2" t="s">
        <v>9731</v>
      </c>
      <c r="BY1812" t="s">
        <v>9728</v>
      </c>
      <c r="CA1812" t="s">
        <v>1412</v>
      </c>
      <c r="CB1812" t="s">
        <v>358</v>
      </c>
      <c r="CC1812" s="8" t="str">
        <f>"10303"</f>
        <v>10303</v>
      </c>
      <c r="CD1812" t="s">
        <v>1822</v>
      </c>
      <c r="CE1812" t="s">
        <v>1418</v>
      </c>
      <c r="CF1812" s="12">
        <v>17.149999999999999</v>
      </c>
      <c r="CG1812" s="12">
        <v>17.149999999999999</v>
      </c>
      <c r="CJ1812" t="s">
        <v>135</v>
      </c>
      <c r="CL1812" t="s">
        <v>9732</v>
      </c>
      <c r="CO1812" t="s">
        <v>132</v>
      </c>
      <c r="CP1812" t="s">
        <v>114</v>
      </c>
      <c r="CQ1812" t="s">
        <v>114</v>
      </c>
      <c r="CR1812" t="s">
        <v>114</v>
      </c>
      <c r="CS1812" t="s">
        <v>136</v>
      </c>
      <c r="CT1812" t="s">
        <v>136</v>
      </c>
      <c r="CU1812" t="s">
        <v>136</v>
      </c>
      <c r="CV1812" t="s">
        <v>131</v>
      </c>
      <c r="CW1812" s="10" t="str">
        <f>"+19175891086"</f>
        <v>+19175891086</v>
      </c>
      <c r="CX1812" t="s">
        <v>9733</v>
      </c>
      <c r="CY1812" t="s">
        <v>132</v>
      </c>
      <c r="CZ1812" t="s">
        <v>137</v>
      </c>
      <c r="DA1812" t="s">
        <v>114</v>
      </c>
      <c r="DB1812" t="s">
        <v>114</v>
      </c>
      <c r="DC1812" t="s">
        <v>136</v>
      </c>
      <c r="DD1812" t="s">
        <v>114</v>
      </c>
    </row>
    <row r="1813" spans="1:113" ht="15" customHeight="1" x14ac:dyDescent="0.25">
      <c r="A1813" t="s">
        <v>8013</v>
      </c>
      <c r="B1813" t="s">
        <v>113</v>
      </c>
      <c r="C1813" s="1">
        <v>45245.73488113426</v>
      </c>
      <c r="D1813" s="1">
        <v>45286</v>
      </c>
      <c r="E1813" t="s">
        <v>132</v>
      </c>
      <c r="F1813" t="s">
        <v>293</v>
      </c>
      <c r="G1813" t="str">
        <f>"37-2012.00"</f>
        <v>37-2012.00</v>
      </c>
      <c r="H1813" t="s">
        <v>205</v>
      </c>
      <c r="I1813">
        <v>23</v>
      </c>
      <c r="K1813" s="1">
        <v>45320</v>
      </c>
      <c r="L1813" s="1">
        <v>45444</v>
      </c>
      <c r="O1813" t="s">
        <v>184</v>
      </c>
      <c r="P1813" t="s">
        <v>8014</v>
      </c>
      <c r="R1813" t="s">
        <v>8015</v>
      </c>
      <c r="T1813" t="s">
        <v>5518</v>
      </c>
      <c r="U1813" t="s">
        <v>140</v>
      </c>
      <c r="V1813" s="8" t="str">
        <f>"32541"</f>
        <v>32541</v>
      </c>
      <c r="W1813" t="s">
        <v>118</v>
      </c>
      <c r="Y1813" s="10">
        <v>18505325650</v>
      </c>
      <c r="AA1813">
        <v>721110</v>
      </c>
      <c r="AB1813" t="s">
        <v>3310</v>
      </c>
      <c r="AC1813" t="s">
        <v>3311</v>
      </c>
      <c r="AE1813" t="s">
        <v>8016</v>
      </c>
      <c r="AF1813" t="s">
        <v>8015</v>
      </c>
      <c r="AH1813" t="s">
        <v>5518</v>
      </c>
      <c r="AI1813" t="s">
        <v>140</v>
      </c>
      <c r="AJ1813" s="8" t="str">
        <f>"32541"</f>
        <v>32541</v>
      </c>
      <c r="AK1813" t="s">
        <v>118</v>
      </c>
      <c r="AM1813" s="10">
        <v>18505325650</v>
      </c>
      <c r="AO1813" t="s">
        <v>8017</v>
      </c>
      <c r="AX1813" s="8" t="str">
        <f>""</f>
        <v/>
      </c>
      <c r="BG1813" t="s">
        <v>140</v>
      </c>
      <c r="BH1813" s="1">
        <v>45244.791666666664</v>
      </c>
      <c r="BI1813">
        <v>40</v>
      </c>
      <c r="BJ1813">
        <v>8</v>
      </c>
      <c r="BK1813">
        <v>0</v>
      </c>
      <c r="BL1813">
        <v>0</v>
      </c>
      <c r="BM1813">
        <v>8</v>
      </c>
      <c r="BN1813">
        <v>8</v>
      </c>
      <c r="BO1813">
        <v>8</v>
      </c>
      <c r="BP1813">
        <v>8</v>
      </c>
      <c r="BQ1813" t="str">
        <f>"8:00 PM"</f>
        <v>8:00 PM</v>
      </c>
      <c r="BR1813" t="str">
        <f>"5:00 PM"</f>
        <v>5:00 PM</v>
      </c>
      <c r="BS1813" t="s">
        <v>131</v>
      </c>
      <c r="BT1813">
        <v>0</v>
      </c>
      <c r="BU1813">
        <v>1</v>
      </c>
      <c r="BV1813" t="s">
        <v>114</v>
      </c>
      <c r="BX1813" s="2" t="s">
        <v>8018</v>
      </c>
      <c r="BY1813" t="s">
        <v>8019</v>
      </c>
      <c r="CA1813" t="s">
        <v>8020</v>
      </c>
      <c r="CB1813" t="s">
        <v>140</v>
      </c>
      <c r="CC1813" s="8" t="str">
        <f>"32548"</f>
        <v>32548</v>
      </c>
      <c r="CD1813" t="s">
        <v>5061</v>
      </c>
      <c r="CE1813" t="s">
        <v>3314</v>
      </c>
      <c r="CF1813" s="12">
        <v>14.14</v>
      </c>
      <c r="CG1813" s="12">
        <v>14.14</v>
      </c>
      <c r="CH1813" s="12">
        <v>21.21</v>
      </c>
      <c r="CI1813" s="12">
        <v>21.21</v>
      </c>
      <c r="CJ1813" t="s">
        <v>135</v>
      </c>
      <c r="CL1813" t="s">
        <v>8021</v>
      </c>
      <c r="CO1813" t="s">
        <v>132</v>
      </c>
      <c r="CP1813" t="s">
        <v>114</v>
      </c>
      <c r="CQ1813" t="s">
        <v>114</v>
      </c>
      <c r="CR1813" t="s">
        <v>136</v>
      </c>
      <c r="CS1813" t="s">
        <v>136</v>
      </c>
      <c r="CT1813" t="s">
        <v>136</v>
      </c>
      <c r="CU1813" t="s">
        <v>136</v>
      </c>
      <c r="CV1813" t="s">
        <v>8022</v>
      </c>
      <c r="CW1813" s="10" t="str">
        <f>"+18505325650"</f>
        <v>+18505325650</v>
      </c>
      <c r="CX1813" t="s">
        <v>3315</v>
      </c>
      <c r="CY1813" t="s">
        <v>132</v>
      </c>
      <c r="CZ1813" t="s">
        <v>137</v>
      </c>
      <c r="DA1813" t="s">
        <v>114</v>
      </c>
      <c r="DB1813" t="s">
        <v>114</v>
      </c>
      <c r="DC1813" t="s">
        <v>136</v>
      </c>
      <c r="DD1813" t="s">
        <v>114</v>
      </c>
    </row>
    <row r="1814" spans="1:113" ht="15" customHeight="1" x14ac:dyDescent="0.25">
      <c r="A1814" t="s">
        <v>5675</v>
      </c>
      <c r="B1814" t="s">
        <v>113</v>
      </c>
      <c r="C1814" s="1">
        <v>45237.469621875003</v>
      </c>
      <c r="D1814" s="1">
        <v>45286</v>
      </c>
      <c r="E1814" t="s">
        <v>132</v>
      </c>
      <c r="F1814" t="s">
        <v>1689</v>
      </c>
      <c r="G1814" t="str">
        <f>"37-2012.00"</f>
        <v>37-2012.00</v>
      </c>
      <c r="H1814" t="s">
        <v>205</v>
      </c>
      <c r="I1814">
        <v>33</v>
      </c>
      <c r="K1814" s="1">
        <v>45323</v>
      </c>
      <c r="L1814" s="1">
        <v>45626</v>
      </c>
      <c r="O1814" t="s">
        <v>116</v>
      </c>
      <c r="P1814" t="s">
        <v>5676</v>
      </c>
      <c r="R1814" t="s">
        <v>5513</v>
      </c>
      <c r="T1814" t="s">
        <v>5514</v>
      </c>
      <c r="U1814" t="s">
        <v>333</v>
      </c>
      <c r="V1814" s="8" t="str">
        <f>"70461"</f>
        <v>70461</v>
      </c>
      <c r="W1814" t="s">
        <v>118</v>
      </c>
      <c r="Y1814" s="10">
        <v>19852646243</v>
      </c>
      <c r="AA1814">
        <v>561720</v>
      </c>
      <c r="AB1814" t="s">
        <v>380</v>
      </c>
      <c r="AC1814" t="s">
        <v>2919</v>
      </c>
      <c r="AE1814" t="s">
        <v>3588</v>
      </c>
      <c r="AF1814" t="s">
        <v>5515</v>
      </c>
      <c r="AH1814" t="s">
        <v>5514</v>
      </c>
      <c r="AI1814" t="s">
        <v>333</v>
      </c>
      <c r="AJ1814" s="8" t="str">
        <f>"70461"</f>
        <v>70461</v>
      </c>
      <c r="AK1814" t="s">
        <v>118</v>
      </c>
      <c r="AM1814" s="10">
        <v>19852646243</v>
      </c>
      <c r="AO1814" t="s">
        <v>5516</v>
      </c>
      <c r="AP1814" t="s">
        <v>121</v>
      </c>
      <c r="AQ1814" t="s">
        <v>2603</v>
      </c>
      <c r="AR1814" t="s">
        <v>2604</v>
      </c>
      <c r="AS1814" t="s">
        <v>931</v>
      </c>
      <c r="AT1814" t="s">
        <v>2605</v>
      </c>
      <c r="AU1814" t="s">
        <v>2606</v>
      </c>
      <c r="AV1814" t="s">
        <v>2607</v>
      </c>
      <c r="AW1814" t="s">
        <v>2608</v>
      </c>
      <c r="AX1814" s="8" t="str">
        <f>"73069"</f>
        <v>73069</v>
      </c>
      <c r="AY1814" t="s">
        <v>118</v>
      </c>
      <c r="BA1814" s="10">
        <v>14053642525</v>
      </c>
      <c r="BC1814" t="s">
        <v>2609</v>
      </c>
      <c r="BD1814" t="s">
        <v>2610</v>
      </c>
      <c r="BE1814" t="s">
        <v>2608</v>
      </c>
      <c r="BF1814" t="s">
        <v>2611</v>
      </c>
      <c r="BG1814" t="s">
        <v>819</v>
      </c>
      <c r="BH1814" s="1">
        <v>45231.833333333336</v>
      </c>
      <c r="BI1814">
        <v>56</v>
      </c>
      <c r="BJ1814">
        <v>8</v>
      </c>
      <c r="BK1814">
        <v>8</v>
      </c>
      <c r="BL1814">
        <v>8</v>
      </c>
      <c r="BM1814">
        <v>8</v>
      </c>
      <c r="BN1814">
        <v>8</v>
      </c>
      <c r="BO1814">
        <v>8</v>
      </c>
      <c r="BP1814">
        <v>8</v>
      </c>
      <c r="BQ1814" t="str">
        <f>"8:00 AM"</f>
        <v>8:00 AM</v>
      </c>
      <c r="BR1814" t="str">
        <f>"10:00 PM"</f>
        <v>10:00 PM</v>
      </c>
      <c r="BS1814" t="s">
        <v>131</v>
      </c>
      <c r="BT1814">
        <v>0</v>
      </c>
      <c r="BU1814">
        <v>0</v>
      </c>
      <c r="BV1814" t="s">
        <v>114</v>
      </c>
      <c r="BX1814" s="2" t="s">
        <v>5677</v>
      </c>
      <c r="BY1814" t="s">
        <v>5678</v>
      </c>
      <c r="CA1814" t="s">
        <v>5557</v>
      </c>
      <c r="CB1814" t="s">
        <v>819</v>
      </c>
      <c r="CC1814" s="8" t="str">
        <f>"46240"</f>
        <v>46240</v>
      </c>
      <c r="CD1814" t="s">
        <v>1257</v>
      </c>
      <c r="CE1814" t="s">
        <v>2111</v>
      </c>
      <c r="CF1814" s="12">
        <v>14.2</v>
      </c>
      <c r="CG1814" s="12">
        <v>14.2</v>
      </c>
      <c r="CH1814" s="12">
        <v>21.3</v>
      </c>
      <c r="CI1814" s="12">
        <v>21.3</v>
      </c>
      <c r="CJ1814" t="s">
        <v>135</v>
      </c>
      <c r="CL1814" t="s">
        <v>5679</v>
      </c>
      <c r="CO1814" t="s">
        <v>132</v>
      </c>
      <c r="CP1814" t="s">
        <v>136</v>
      </c>
      <c r="CQ1814" t="s">
        <v>114</v>
      </c>
      <c r="CR1814" t="s">
        <v>136</v>
      </c>
      <c r="CS1814" t="s">
        <v>114</v>
      </c>
      <c r="CT1814" t="s">
        <v>136</v>
      </c>
      <c r="CU1814" t="s">
        <v>136</v>
      </c>
      <c r="CV1814" t="s">
        <v>5680</v>
      </c>
      <c r="CW1814" s="10" t="str">
        <f>"+19852646243"</f>
        <v>+19852646243</v>
      </c>
      <c r="CX1814" t="s">
        <v>5516</v>
      </c>
      <c r="CY1814" t="s">
        <v>132</v>
      </c>
      <c r="CZ1814" t="s">
        <v>137</v>
      </c>
      <c r="DA1814" t="s">
        <v>114</v>
      </c>
      <c r="DB1814" t="s">
        <v>114</v>
      </c>
      <c r="DC1814" t="s">
        <v>136</v>
      </c>
      <c r="DD1814" t="s">
        <v>114</v>
      </c>
    </row>
    <row r="1815" spans="1:113" ht="15" customHeight="1" x14ac:dyDescent="0.25">
      <c r="A1815" t="s">
        <v>2778</v>
      </c>
      <c r="B1815" t="s">
        <v>113</v>
      </c>
      <c r="C1815" s="1">
        <v>45222.458546064816</v>
      </c>
      <c r="D1815" s="1">
        <v>45286</v>
      </c>
      <c r="E1815" t="s">
        <v>132</v>
      </c>
      <c r="F1815" t="s">
        <v>2779</v>
      </c>
      <c r="G1815" t="str">
        <f>"39-3091.00"</f>
        <v>39-3091.00</v>
      </c>
      <c r="H1815" t="s">
        <v>237</v>
      </c>
      <c r="I1815">
        <v>5</v>
      </c>
      <c r="K1815" s="1">
        <v>45310</v>
      </c>
      <c r="L1815" s="1">
        <v>45614</v>
      </c>
      <c r="O1815" t="s">
        <v>116</v>
      </c>
      <c r="P1815" t="s">
        <v>2780</v>
      </c>
      <c r="Q1815" t="s">
        <v>2781</v>
      </c>
      <c r="R1815" t="s">
        <v>2782</v>
      </c>
      <c r="T1815" t="s">
        <v>2783</v>
      </c>
      <c r="U1815" t="s">
        <v>140</v>
      </c>
      <c r="V1815" s="8" t="str">
        <f>"34461"</f>
        <v>34461</v>
      </c>
      <c r="W1815" t="s">
        <v>118</v>
      </c>
      <c r="Y1815" s="10">
        <v>14843002292</v>
      </c>
      <c r="AA1815">
        <v>72233</v>
      </c>
      <c r="AB1815" t="s">
        <v>2784</v>
      </c>
      <c r="AC1815" t="s">
        <v>931</v>
      </c>
      <c r="AE1815" t="s">
        <v>629</v>
      </c>
      <c r="AF1815" t="s">
        <v>2782</v>
      </c>
      <c r="AH1815" t="s">
        <v>2783</v>
      </c>
      <c r="AI1815" t="s">
        <v>140</v>
      </c>
      <c r="AJ1815" s="8" t="str">
        <f>"34461"</f>
        <v>34461</v>
      </c>
      <c r="AK1815" t="s">
        <v>118</v>
      </c>
      <c r="AM1815" s="10">
        <v>14843002292</v>
      </c>
      <c r="AO1815" t="s">
        <v>2785</v>
      </c>
      <c r="AP1815" t="s">
        <v>248</v>
      </c>
      <c r="AQ1815" t="s">
        <v>2786</v>
      </c>
      <c r="AR1815" t="s">
        <v>2787</v>
      </c>
      <c r="AS1815" t="s">
        <v>160</v>
      </c>
      <c r="AT1815" t="s">
        <v>1253</v>
      </c>
      <c r="AU1815" t="s">
        <v>852</v>
      </c>
      <c r="AV1815" t="s">
        <v>853</v>
      </c>
      <c r="AW1815" t="s">
        <v>854</v>
      </c>
      <c r="AX1815" s="8" t="str">
        <f>"83814"</f>
        <v>83814</v>
      </c>
      <c r="AY1815" t="s">
        <v>118</v>
      </c>
      <c r="BA1815" s="10">
        <v>12087772654</v>
      </c>
      <c r="BC1815" t="s">
        <v>2788</v>
      </c>
      <c r="BD1815" t="s">
        <v>856</v>
      </c>
      <c r="BG1815" t="s">
        <v>140</v>
      </c>
      <c r="BH1815" s="1">
        <v>45218.833333333336</v>
      </c>
      <c r="BI1815">
        <v>40</v>
      </c>
      <c r="BJ1815">
        <v>0</v>
      </c>
      <c r="BK1815">
        <v>8</v>
      </c>
      <c r="BL1815">
        <v>8</v>
      </c>
      <c r="BM1815">
        <v>8</v>
      </c>
      <c r="BN1815">
        <v>8</v>
      </c>
      <c r="BO1815">
        <v>8</v>
      </c>
      <c r="BP1815">
        <v>0</v>
      </c>
      <c r="BQ1815" t="str">
        <f>"4:00 PM"</f>
        <v>4:00 PM</v>
      </c>
      <c r="BR1815" t="str">
        <f>"4:00 AM"</f>
        <v>4:00 AM</v>
      </c>
      <c r="BS1815" t="s">
        <v>131</v>
      </c>
      <c r="BT1815">
        <v>0</v>
      </c>
      <c r="BU1815">
        <v>1</v>
      </c>
      <c r="BV1815" t="s">
        <v>114</v>
      </c>
      <c r="BX1815" t="s">
        <v>2789</v>
      </c>
      <c r="BY1815" t="s">
        <v>2790</v>
      </c>
      <c r="CA1815" t="s">
        <v>2783</v>
      </c>
      <c r="CB1815" t="s">
        <v>140</v>
      </c>
      <c r="CC1815" s="8" t="str">
        <f>"34461"</f>
        <v>34461</v>
      </c>
      <c r="CD1815" t="s">
        <v>2791</v>
      </c>
      <c r="CE1815" t="s">
        <v>2792</v>
      </c>
      <c r="CF1815" s="12">
        <v>10.87</v>
      </c>
      <c r="CG1815" s="12">
        <v>17</v>
      </c>
      <c r="CH1815" s="12">
        <v>16.309999999999999</v>
      </c>
      <c r="CI1815" s="12">
        <v>25.5</v>
      </c>
      <c r="CJ1815" t="s">
        <v>135</v>
      </c>
      <c r="CK1815" t="s">
        <v>2793</v>
      </c>
      <c r="CL1815" t="s">
        <v>2794</v>
      </c>
      <c r="CO1815" t="s">
        <v>132</v>
      </c>
      <c r="CP1815" t="s">
        <v>136</v>
      </c>
      <c r="CQ1815" t="s">
        <v>136</v>
      </c>
      <c r="CR1815" t="s">
        <v>136</v>
      </c>
      <c r="CS1815" t="s">
        <v>114</v>
      </c>
      <c r="CT1815" t="s">
        <v>136</v>
      </c>
      <c r="CU1815" t="s">
        <v>136</v>
      </c>
      <c r="CV1815" t="s">
        <v>1040</v>
      </c>
      <c r="CW1815" s="10" t="str">
        <f>"+14843002292"</f>
        <v>+14843002292</v>
      </c>
      <c r="CX1815" t="s">
        <v>2785</v>
      </c>
      <c r="CY1815" t="s">
        <v>132</v>
      </c>
      <c r="CZ1815" t="s">
        <v>137</v>
      </c>
      <c r="DA1815" t="s">
        <v>114</v>
      </c>
      <c r="DB1815" t="s">
        <v>136</v>
      </c>
      <c r="DC1815" t="s">
        <v>136</v>
      </c>
      <c r="DD1815" t="s">
        <v>114</v>
      </c>
    </row>
    <row r="1816" spans="1:113" ht="15" customHeight="1" x14ac:dyDescent="0.25">
      <c r="A1816" t="s">
        <v>9457</v>
      </c>
      <c r="B1816" t="s">
        <v>113</v>
      </c>
      <c r="C1816" s="1">
        <v>45258.648660648149</v>
      </c>
      <c r="D1816" s="1">
        <v>45282</v>
      </c>
      <c r="E1816" t="s">
        <v>132</v>
      </c>
      <c r="F1816" t="s">
        <v>2479</v>
      </c>
      <c r="G1816" t="str">
        <f>"51-3011.00"</f>
        <v>51-3011.00</v>
      </c>
      <c r="H1816" t="s">
        <v>9458</v>
      </c>
      <c r="I1816">
        <v>2</v>
      </c>
      <c r="K1816" s="1">
        <v>45342</v>
      </c>
      <c r="L1816" s="1">
        <v>45708</v>
      </c>
      <c r="O1816" t="s">
        <v>184</v>
      </c>
      <c r="P1816" t="s">
        <v>9459</v>
      </c>
      <c r="R1816" t="s">
        <v>9460</v>
      </c>
      <c r="T1816" t="s">
        <v>9461</v>
      </c>
      <c r="U1816" t="s">
        <v>1825</v>
      </c>
      <c r="V1816" s="8" t="str">
        <f>"71953"</f>
        <v>71953</v>
      </c>
      <c r="W1816" t="s">
        <v>118</v>
      </c>
      <c r="Y1816" s="10">
        <v>17205188061</v>
      </c>
      <c r="AA1816">
        <v>311811</v>
      </c>
      <c r="AB1816" t="s">
        <v>4069</v>
      </c>
      <c r="AC1816" t="s">
        <v>9462</v>
      </c>
      <c r="AE1816" t="s">
        <v>561</v>
      </c>
      <c r="AF1816" t="s">
        <v>9463</v>
      </c>
      <c r="AH1816" t="s">
        <v>9464</v>
      </c>
      <c r="AI1816" t="s">
        <v>1825</v>
      </c>
      <c r="AJ1816" s="8" t="str">
        <f>"71953"</f>
        <v>71953</v>
      </c>
      <c r="AK1816" t="s">
        <v>118</v>
      </c>
      <c r="AM1816" s="10">
        <v>17205188061</v>
      </c>
      <c r="AO1816" t="s">
        <v>9465</v>
      </c>
      <c r="AP1816" t="s">
        <v>248</v>
      </c>
      <c r="AQ1816" t="s">
        <v>9466</v>
      </c>
      <c r="AR1816" t="s">
        <v>9467</v>
      </c>
      <c r="AS1816" t="s">
        <v>132</v>
      </c>
      <c r="AT1816" t="s">
        <v>9468</v>
      </c>
      <c r="AU1816" t="s">
        <v>9469</v>
      </c>
      <c r="AV1816" t="s">
        <v>3063</v>
      </c>
      <c r="AW1816" t="s">
        <v>188</v>
      </c>
      <c r="AX1816" s="8" t="str">
        <f>"80015"</f>
        <v>80015</v>
      </c>
      <c r="AY1816" t="s">
        <v>118</v>
      </c>
      <c r="BA1816" s="10">
        <v>17203089143</v>
      </c>
      <c r="BC1816" t="s">
        <v>9470</v>
      </c>
      <c r="BD1816" t="s">
        <v>9471</v>
      </c>
      <c r="BG1816" t="s">
        <v>1825</v>
      </c>
      <c r="BH1816" s="1">
        <v>45188.833333333336</v>
      </c>
      <c r="BI1816">
        <v>48</v>
      </c>
      <c r="BJ1816">
        <v>0</v>
      </c>
      <c r="BK1816">
        <v>8</v>
      </c>
      <c r="BL1816">
        <v>8</v>
      </c>
      <c r="BM1816">
        <v>8</v>
      </c>
      <c r="BN1816">
        <v>8</v>
      </c>
      <c r="BO1816">
        <v>8</v>
      </c>
      <c r="BP1816">
        <v>8</v>
      </c>
      <c r="BQ1816" t="str">
        <f>"1:00 AM"</f>
        <v>1:00 AM</v>
      </c>
      <c r="BR1816" t="str">
        <f>"9:30 AM"</f>
        <v>9:30 AM</v>
      </c>
      <c r="BS1816" t="s">
        <v>131</v>
      </c>
      <c r="BT1816">
        <v>1</v>
      </c>
      <c r="BU1816">
        <v>0</v>
      </c>
      <c r="BV1816" t="s">
        <v>114</v>
      </c>
      <c r="BX1816" t="s">
        <v>131</v>
      </c>
      <c r="BY1816" t="s">
        <v>9460</v>
      </c>
      <c r="CA1816" t="s">
        <v>9464</v>
      </c>
      <c r="CB1816" t="s">
        <v>1825</v>
      </c>
      <c r="CC1816" s="8" t="str">
        <f>"71953"</f>
        <v>71953</v>
      </c>
      <c r="CD1816" t="s">
        <v>938</v>
      </c>
      <c r="CE1816" t="s">
        <v>9472</v>
      </c>
      <c r="CF1816" s="12">
        <v>18</v>
      </c>
      <c r="CG1816" s="12">
        <v>20</v>
      </c>
      <c r="CH1816" s="12">
        <v>27</v>
      </c>
      <c r="CJ1816" t="s">
        <v>135</v>
      </c>
      <c r="CL1816" t="s">
        <v>9473</v>
      </c>
      <c r="CO1816" t="s">
        <v>132</v>
      </c>
      <c r="CP1816" t="s">
        <v>114</v>
      </c>
      <c r="CQ1816" t="s">
        <v>136</v>
      </c>
      <c r="CR1816" t="s">
        <v>136</v>
      </c>
      <c r="CS1816" t="s">
        <v>136</v>
      </c>
      <c r="CT1816" t="s">
        <v>136</v>
      </c>
      <c r="CU1816" t="s">
        <v>136</v>
      </c>
      <c r="CV1816" t="s">
        <v>9474</v>
      </c>
      <c r="CW1816" s="10" t="str">
        <f>"+17205188061"</f>
        <v>+17205188061</v>
      </c>
      <c r="CX1816" t="s">
        <v>9475</v>
      </c>
      <c r="CY1816" t="s">
        <v>132</v>
      </c>
      <c r="CZ1816" t="s">
        <v>137</v>
      </c>
      <c r="DA1816" t="s">
        <v>114</v>
      </c>
      <c r="DB1816" t="s">
        <v>114</v>
      </c>
      <c r="DC1816" t="s">
        <v>136</v>
      </c>
      <c r="DD1816" t="s">
        <v>114</v>
      </c>
      <c r="DE1816" t="s">
        <v>9466</v>
      </c>
      <c r="DF1816" t="s">
        <v>9467</v>
      </c>
      <c r="DH1816" t="s">
        <v>9471</v>
      </c>
      <c r="DI1816" t="s">
        <v>9470</v>
      </c>
    </row>
    <row r="1817" spans="1:113" ht="15" customHeight="1" x14ac:dyDescent="0.25">
      <c r="A1817" t="s">
        <v>7268</v>
      </c>
      <c r="B1817" t="s">
        <v>113</v>
      </c>
      <c r="C1817" s="1">
        <v>45237.439932175927</v>
      </c>
      <c r="D1817" s="1">
        <v>45282</v>
      </c>
      <c r="E1817" t="s">
        <v>132</v>
      </c>
      <c r="F1817" t="s">
        <v>4628</v>
      </c>
      <c r="G1817" t="str">
        <f>"51-2099.00"</f>
        <v>51-2099.00</v>
      </c>
      <c r="H1817" t="s">
        <v>4629</v>
      </c>
      <c r="I1817">
        <v>6</v>
      </c>
      <c r="K1817" s="1">
        <v>45327</v>
      </c>
      <c r="L1817" s="1">
        <v>45566</v>
      </c>
      <c r="O1817" t="s">
        <v>116</v>
      </c>
      <c r="P1817" t="s">
        <v>4630</v>
      </c>
      <c r="R1817" t="s">
        <v>4632</v>
      </c>
      <c r="S1817" t="s">
        <v>4633</v>
      </c>
      <c r="T1817" t="s">
        <v>1220</v>
      </c>
      <c r="U1817" t="s">
        <v>358</v>
      </c>
      <c r="V1817" s="8" t="str">
        <f>"10011"</f>
        <v>10011</v>
      </c>
      <c r="W1817" t="s">
        <v>118</v>
      </c>
      <c r="Y1817" s="10">
        <v>12122420606</v>
      </c>
      <c r="AA1817">
        <v>541420</v>
      </c>
      <c r="AB1817" t="s">
        <v>7269</v>
      </c>
      <c r="AC1817" t="s">
        <v>7270</v>
      </c>
      <c r="AD1817" t="s">
        <v>7271</v>
      </c>
      <c r="AE1817" t="s">
        <v>7272</v>
      </c>
      <c r="AF1817" t="s">
        <v>4632</v>
      </c>
      <c r="AG1817" t="s">
        <v>4633</v>
      </c>
      <c r="AH1817" t="s">
        <v>1220</v>
      </c>
      <c r="AI1817" t="s">
        <v>358</v>
      </c>
      <c r="AJ1817" s="8" t="str">
        <f>"10011"</f>
        <v>10011</v>
      </c>
      <c r="AK1817" t="s">
        <v>118</v>
      </c>
      <c r="AM1817" s="10">
        <v>12122420606</v>
      </c>
      <c r="AO1817" t="s">
        <v>7273</v>
      </c>
      <c r="AP1817" t="s">
        <v>121</v>
      </c>
      <c r="AQ1817" t="s">
        <v>4638</v>
      </c>
      <c r="AR1817" t="s">
        <v>4639</v>
      </c>
      <c r="AT1817" t="s">
        <v>4640</v>
      </c>
      <c r="AU1817" t="s">
        <v>4641</v>
      </c>
      <c r="AV1817" t="s">
        <v>1220</v>
      </c>
      <c r="AW1817" t="s">
        <v>358</v>
      </c>
      <c r="AX1817" s="8" t="str">
        <f>"10010"</f>
        <v>10010</v>
      </c>
      <c r="AY1817" t="s">
        <v>118</v>
      </c>
      <c r="BA1817" s="10">
        <v>19175585047</v>
      </c>
      <c r="BC1817" t="s">
        <v>4642</v>
      </c>
      <c r="BD1817" t="s">
        <v>4643</v>
      </c>
      <c r="BE1817" t="s">
        <v>402</v>
      </c>
      <c r="BF1817" t="s">
        <v>4644</v>
      </c>
      <c r="BG1817" t="s">
        <v>402</v>
      </c>
      <c r="BH1817" s="1">
        <v>45235.791666666664</v>
      </c>
      <c r="BI1817">
        <v>40</v>
      </c>
      <c r="BJ1817">
        <v>0</v>
      </c>
      <c r="BK1817">
        <v>8</v>
      </c>
      <c r="BL1817">
        <v>8</v>
      </c>
      <c r="BM1817">
        <v>8</v>
      </c>
      <c r="BN1817">
        <v>8</v>
      </c>
      <c r="BO1817">
        <v>8</v>
      </c>
      <c r="BP1817">
        <v>0</v>
      </c>
      <c r="BQ1817" t="str">
        <f>"9:00 AM"</f>
        <v>9:00 AM</v>
      </c>
      <c r="BR1817" t="str">
        <f>"5:00 PM"</f>
        <v>5:00 PM</v>
      </c>
      <c r="BS1817" t="s">
        <v>131</v>
      </c>
      <c r="BT1817">
        <v>0</v>
      </c>
      <c r="BU1817">
        <v>24</v>
      </c>
      <c r="BV1817" t="s">
        <v>114</v>
      </c>
      <c r="BX1817" t="s">
        <v>7274</v>
      </c>
      <c r="BY1817" t="s">
        <v>4646</v>
      </c>
      <c r="BZ1817" t="s">
        <v>4647</v>
      </c>
      <c r="CA1817" t="s">
        <v>4648</v>
      </c>
      <c r="CB1817" t="s">
        <v>402</v>
      </c>
      <c r="CC1817" s="8" t="str">
        <f>"90277"</f>
        <v>90277</v>
      </c>
      <c r="CD1817" t="s">
        <v>2968</v>
      </c>
      <c r="CE1817" t="s">
        <v>2969</v>
      </c>
      <c r="CF1817" s="12">
        <v>19.809999999999999</v>
      </c>
      <c r="CG1817" s="12">
        <v>20</v>
      </c>
      <c r="CH1817" s="12">
        <v>29.72</v>
      </c>
      <c r="CI1817" s="12">
        <v>29.72</v>
      </c>
      <c r="CJ1817" t="s">
        <v>135</v>
      </c>
      <c r="CK1817" t="s">
        <v>7275</v>
      </c>
      <c r="CL1817" t="s">
        <v>4649</v>
      </c>
      <c r="CO1817" t="s">
        <v>132</v>
      </c>
      <c r="CP1817" t="s">
        <v>136</v>
      </c>
      <c r="CQ1817" t="s">
        <v>136</v>
      </c>
      <c r="CR1817" t="s">
        <v>136</v>
      </c>
      <c r="CS1817" t="s">
        <v>114</v>
      </c>
      <c r="CT1817" t="s">
        <v>136</v>
      </c>
      <c r="CU1817" t="s">
        <v>114</v>
      </c>
      <c r="CV1817" s="2" t="s">
        <v>7276</v>
      </c>
      <c r="CW1817" s="10" t="str">
        <f>"+19172142838"</f>
        <v>+19172142838</v>
      </c>
      <c r="CX1817" t="s">
        <v>4637</v>
      </c>
      <c r="CY1817" t="s">
        <v>132</v>
      </c>
      <c r="CZ1817" t="s">
        <v>137</v>
      </c>
      <c r="DA1817" t="s">
        <v>114</v>
      </c>
      <c r="DB1817" t="s">
        <v>114</v>
      </c>
      <c r="DC1817" t="s">
        <v>136</v>
      </c>
      <c r="DD1817" t="s">
        <v>114</v>
      </c>
    </row>
    <row r="1818" spans="1:113" ht="15" customHeight="1" x14ac:dyDescent="0.25">
      <c r="A1818" t="s">
        <v>9244</v>
      </c>
      <c r="B1818" t="s">
        <v>113</v>
      </c>
      <c r="C1818" s="1">
        <v>45251.007378240742</v>
      </c>
      <c r="D1818" s="1">
        <v>45279</v>
      </c>
      <c r="E1818" t="s">
        <v>132</v>
      </c>
      <c r="F1818" t="s">
        <v>3544</v>
      </c>
      <c r="G1818" t="str">
        <f>"51-3022.00"</f>
        <v>51-3022.00</v>
      </c>
      <c r="H1818" t="s">
        <v>1004</v>
      </c>
      <c r="I1818">
        <v>20</v>
      </c>
      <c r="K1818" s="1">
        <v>45341</v>
      </c>
      <c r="L1818" s="1">
        <v>45519</v>
      </c>
      <c r="O1818" t="s">
        <v>116</v>
      </c>
      <c r="P1818" t="s">
        <v>9245</v>
      </c>
      <c r="R1818" t="s">
        <v>9246</v>
      </c>
      <c r="T1818" t="s">
        <v>1814</v>
      </c>
      <c r="U1818" t="s">
        <v>333</v>
      </c>
      <c r="V1818" s="8" t="str">
        <f>"70802"</f>
        <v>70802</v>
      </c>
      <c r="W1818" t="s">
        <v>118</v>
      </c>
      <c r="Y1818" s="10">
        <v>12253839977</v>
      </c>
      <c r="AA1818">
        <v>31171</v>
      </c>
      <c r="AB1818" t="s">
        <v>9247</v>
      </c>
      <c r="AC1818" t="s">
        <v>9248</v>
      </c>
      <c r="AE1818" t="s">
        <v>561</v>
      </c>
      <c r="AF1818" t="s">
        <v>9246</v>
      </c>
      <c r="AH1818" t="s">
        <v>1814</v>
      </c>
      <c r="AI1818" t="s">
        <v>333</v>
      </c>
      <c r="AJ1818" s="8" t="str">
        <f>"70802"</f>
        <v>70802</v>
      </c>
      <c r="AK1818" t="s">
        <v>118</v>
      </c>
      <c r="AM1818" s="10">
        <v>12253839977</v>
      </c>
      <c r="AO1818" t="s">
        <v>9249</v>
      </c>
      <c r="AP1818" t="s">
        <v>248</v>
      </c>
      <c r="AQ1818" t="s">
        <v>2010</v>
      </c>
      <c r="AR1818" t="s">
        <v>2011</v>
      </c>
      <c r="AT1818" t="s">
        <v>1032</v>
      </c>
      <c r="AU1818" t="s">
        <v>852</v>
      </c>
      <c r="AV1818" t="s">
        <v>853</v>
      </c>
      <c r="AW1818" t="s">
        <v>854</v>
      </c>
      <c r="AX1818" s="8" t="str">
        <f>"83814"</f>
        <v>83814</v>
      </c>
      <c r="AY1818" t="s">
        <v>118</v>
      </c>
      <c r="BA1818" s="10">
        <v>12087772654</v>
      </c>
      <c r="BC1818" t="s">
        <v>2012</v>
      </c>
      <c r="BD1818" t="s">
        <v>856</v>
      </c>
      <c r="BG1818" t="s">
        <v>333</v>
      </c>
      <c r="BH1818" s="1">
        <v>45246.791666666664</v>
      </c>
      <c r="BI1818">
        <v>35</v>
      </c>
      <c r="BJ1818">
        <v>0</v>
      </c>
      <c r="BK1818">
        <v>7</v>
      </c>
      <c r="BL1818">
        <v>7</v>
      </c>
      <c r="BM1818">
        <v>7</v>
      </c>
      <c r="BN1818">
        <v>7</v>
      </c>
      <c r="BO1818">
        <v>7</v>
      </c>
      <c r="BP1818">
        <v>0</v>
      </c>
      <c r="BQ1818" t="str">
        <f>"7:00 AM"</f>
        <v>7:00 AM</v>
      </c>
      <c r="BR1818" t="str">
        <f>"4:00 PM"</f>
        <v>4:00 PM</v>
      </c>
      <c r="BS1818" t="s">
        <v>131</v>
      </c>
      <c r="BT1818">
        <v>0</v>
      </c>
      <c r="BU1818">
        <v>0</v>
      </c>
      <c r="BV1818" t="s">
        <v>114</v>
      </c>
      <c r="BX1818" t="s">
        <v>9250</v>
      </c>
      <c r="BY1818" t="s">
        <v>9246</v>
      </c>
      <c r="CA1818" t="s">
        <v>1814</v>
      </c>
      <c r="CB1818" t="s">
        <v>333</v>
      </c>
      <c r="CC1818" s="8" t="str">
        <f>"70802"</f>
        <v>70802</v>
      </c>
      <c r="CD1818" t="s">
        <v>1929</v>
      </c>
      <c r="CE1818" t="s">
        <v>1930</v>
      </c>
      <c r="CF1818" s="12">
        <v>12.55</v>
      </c>
      <c r="CG1818" s="12">
        <v>18</v>
      </c>
      <c r="CH1818" s="12">
        <v>18.829999999999998</v>
      </c>
      <c r="CI1818" s="12">
        <v>27</v>
      </c>
      <c r="CJ1818" t="s">
        <v>135</v>
      </c>
      <c r="CK1818" t="s">
        <v>1899</v>
      </c>
      <c r="CL1818" t="s">
        <v>9251</v>
      </c>
      <c r="CO1818" t="s">
        <v>132</v>
      </c>
      <c r="CP1818" t="s">
        <v>114</v>
      </c>
      <c r="CQ1818" t="s">
        <v>114</v>
      </c>
      <c r="CR1818" t="s">
        <v>136</v>
      </c>
      <c r="CS1818" t="s">
        <v>136</v>
      </c>
      <c r="CT1818" t="s">
        <v>136</v>
      </c>
      <c r="CU1818" t="s">
        <v>114</v>
      </c>
      <c r="CV1818" t="s">
        <v>1040</v>
      </c>
      <c r="CW1818" s="10" t="str">
        <f>"+12253839977"</f>
        <v>+12253839977</v>
      </c>
      <c r="CX1818" t="s">
        <v>9249</v>
      </c>
      <c r="CY1818" t="s">
        <v>132</v>
      </c>
      <c r="CZ1818" t="s">
        <v>137</v>
      </c>
      <c r="DA1818" t="s">
        <v>114</v>
      </c>
      <c r="DB1818" t="s">
        <v>136</v>
      </c>
      <c r="DC1818" t="s">
        <v>136</v>
      </c>
      <c r="DD1818" t="s">
        <v>114</v>
      </c>
    </row>
    <row r="1819" spans="1:113" ht="15" customHeight="1" x14ac:dyDescent="0.25">
      <c r="A1819" t="s">
        <v>16609</v>
      </c>
      <c r="B1819" t="s">
        <v>113</v>
      </c>
      <c r="C1819" s="1">
        <v>45247.642077430559</v>
      </c>
      <c r="D1819" s="1">
        <v>45279</v>
      </c>
      <c r="E1819" t="s">
        <v>132</v>
      </c>
      <c r="F1819" t="s">
        <v>3098</v>
      </c>
      <c r="G1819" t="str">
        <f>"39-3091.00"</f>
        <v>39-3091.00</v>
      </c>
      <c r="H1819" t="s">
        <v>237</v>
      </c>
      <c r="I1819">
        <v>15</v>
      </c>
      <c r="K1819" s="1">
        <v>45337</v>
      </c>
      <c r="L1819" s="1">
        <v>45630</v>
      </c>
      <c r="O1819" t="s">
        <v>238</v>
      </c>
      <c r="P1819" t="s">
        <v>16610</v>
      </c>
      <c r="R1819" t="s">
        <v>16611</v>
      </c>
      <c r="T1819" t="s">
        <v>16612</v>
      </c>
      <c r="U1819" t="s">
        <v>140</v>
      </c>
      <c r="V1819" s="8" t="str">
        <f>"34293"</f>
        <v>34293</v>
      </c>
      <c r="W1819" t="s">
        <v>118</v>
      </c>
      <c r="Y1819" s="10">
        <v>19418098866</v>
      </c>
      <c r="Z1819" s="3" t="s">
        <v>256</v>
      </c>
      <c r="AA1819">
        <v>711190</v>
      </c>
      <c r="AB1819" t="s">
        <v>16613</v>
      </c>
      <c r="AC1819" t="s">
        <v>3677</v>
      </c>
      <c r="AD1819" t="s">
        <v>1798</v>
      </c>
      <c r="AE1819" t="s">
        <v>378</v>
      </c>
      <c r="AF1819" t="s">
        <v>16611</v>
      </c>
      <c r="AH1819" t="s">
        <v>16612</v>
      </c>
      <c r="AI1819" t="s">
        <v>140</v>
      </c>
      <c r="AJ1819" s="8" t="str">
        <f>"34293"</f>
        <v>34293</v>
      </c>
      <c r="AK1819" t="s">
        <v>118</v>
      </c>
      <c r="AM1819" s="10">
        <v>19418098866</v>
      </c>
      <c r="AN1819" s="3" t="s">
        <v>256</v>
      </c>
      <c r="AO1819" t="s">
        <v>16614</v>
      </c>
      <c r="AP1819" t="s">
        <v>248</v>
      </c>
      <c r="AQ1819" t="s">
        <v>249</v>
      </c>
      <c r="AR1819" t="s">
        <v>250</v>
      </c>
      <c r="AS1819" t="s">
        <v>251</v>
      </c>
      <c r="AT1819" t="s">
        <v>252</v>
      </c>
      <c r="AU1819" t="s">
        <v>253</v>
      </c>
      <c r="AV1819" t="s">
        <v>254</v>
      </c>
      <c r="AW1819" t="s">
        <v>127</v>
      </c>
      <c r="AX1819" s="8" t="str">
        <f>"78550"</f>
        <v>78550</v>
      </c>
      <c r="AY1819" t="s">
        <v>118</v>
      </c>
      <c r="AZ1819" t="s">
        <v>255</v>
      </c>
      <c r="BA1819" s="10">
        <v>19564408720</v>
      </c>
      <c r="BB1819" s="3" t="s">
        <v>256</v>
      </c>
      <c r="BC1819" t="s">
        <v>338</v>
      </c>
      <c r="BD1819" t="s">
        <v>258</v>
      </c>
      <c r="BG1819" t="s">
        <v>140</v>
      </c>
      <c r="BH1819" s="1">
        <v>45246.791666666664</v>
      </c>
      <c r="BI1819">
        <v>40</v>
      </c>
      <c r="BJ1819">
        <v>8</v>
      </c>
      <c r="BK1819">
        <v>0</v>
      </c>
      <c r="BL1819">
        <v>0</v>
      </c>
      <c r="BM1819">
        <v>8</v>
      </c>
      <c r="BN1819">
        <v>8</v>
      </c>
      <c r="BO1819">
        <v>8</v>
      </c>
      <c r="BP1819">
        <v>8</v>
      </c>
      <c r="BQ1819" t="str">
        <f>"1:00 PM"</f>
        <v>1:00 PM</v>
      </c>
      <c r="BR1819" t="str">
        <f>"10:00 PM"</f>
        <v>10:00 PM</v>
      </c>
      <c r="BS1819" t="s">
        <v>131</v>
      </c>
      <c r="BT1819">
        <v>0</v>
      </c>
      <c r="BU1819">
        <v>0</v>
      </c>
      <c r="BV1819" t="s">
        <v>114</v>
      </c>
      <c r="BX1819" s="2" t="s">
        <v>2396</v>
      </c>
      <c r="BY1819" t="s">
        <v>16611</v>
      </c>
      <c r="CA1819" t="s">
        <v>9917</v>
      </c>
      <c r="CB1819" t="s">
        <v>140</v>
      </c>
      <c r="CC1819" s="8" t="str">
        <f>"34293"</f>
        <v>34293</v>
      </c>
      <c r="CD1819" t="s">
        <v>6059</v>
      </c>
      <c r="CE1819" t="s">
        <v>1730</v>
      </c>
      <c r="CF1819" s="12">
        <v>10.4</v>
      </c>
      <c r="CG1819" s="12">
        <v>16.3</v>
      </c>
      <c r="CJ1819" t="s">
        <v>135</v>
      </c>
      <c r="CK1819" t="s">
        <v>342</v>
      </c>
      <c r="CL1819" t="s">
        <v>16615</v>
      </c>
      <c r="CO1819" t="s">
        <v>132</v>
      </c>
      <c r="CP1819" t="s">
        <v>136</v>
      </c>
      <c r="CQ1819" t="s">
        <v>136</v>
      </c>
      <c r="CR1819" t="s">
        <v>114</v>
      </c>
      <c r="CS1819" t="s">
        <v>136</v>
      </c>
      <c r="CT1819" t="s">
        <v>136</v>
      </c>
      <c r="CU1819" t="s">
        <v>136</v>
      </c>
      <c r="CV1819" t="s">
        <v>4970</v>
      </c>
      <c r="CW1819" s="10" t="str">
        <f>"+19418098866"</f>
        <v>+19418098866</v>
      </c>
      <c r="CX1819" t="s">
        <v>16614</v>
      </c>
      <c r="CY1819" t="s">
        <v>132</v>
      </c>
      <c r="CZ1819" t="s">
        <v>137</v>
      </c>
      <c r="DA1819" t="s">
        <v>114</v>
      </c>
      <c r="DB1819" t="s">
        <v>136</v>
      </c>
      <c r="DC1819" t="s">
        <v>136</v>
      </c>
      <c r="DD1819" t="s">
        <v>114</v>
      </c>
    </row>
    <row r="1820" spans="1:113" ht="15" customHeight="1" x14ac:dyDescent="0.25">
      <c r="A1820" t="s">
        <v>24139</v>
      </c>
      <c r="B1820" t="s">
        <v>113</v>
      </c>
      <c r="C1820" s="1">
        <v>45237.8940693287</v>
      </c>
      <c r="D1820" s="1">
        <v>45279</v>
      </c>
      <c r="E1820" t="s">
        <v>132</v>
      </c>
      <c r="F1820" t="s">
        <v>24140</v>
      </c>
      <c r="G1820" t="str">
        <f>"53-3032.00"</f>
        <v>53-3032.00</v>
      </c>
      <c r="H1820" t="s">
        <v>736</v>
      </c>
      <c r="I1820">
        <v>4</v>
      </c>
      <c r="K1820" s="1">
        <v>45323</v>
      </c>
      <c r="L1820" s="1">
        <v>45626</v>
      </c>
      <c r="O1820" t="s">
        <v>238</v>
      </c>
      <c r="P1820" t="s">
        <v>24141</v>
      </c>
      <c r="R1820" t="s">
        <v>24142</v>
      </c>
      <c r="T1820" t="s">
        <v>3063</v>
      </c>
      <c r="U1820" t="s">
        <v>188</v>
      </c>
      <c r="V1820" s="8" t="str">
        <f>"80015"</f>
        <v>80015</v>
      </c>
      <c r="W1820" t="s">
        <v>118</v>
      </c>
      <c r="Y1820" s="10">
        <v>13086551842</v>
      </c>
      <c r="AA1820">
        <v>4841</v>
      </c>
      <c r="AB1820" t="s">
        <v>4851</v>
      </c>
      <c r="AC1820" t="s">
        <v>24143</v>
      </c>
      <c r="AE1820" t="s">
        <v>24144</v>
      </c>
      <c r="AF1820" t="s">
        <v>24142</v>
      </c>
      <c r="AH1820" t="s">
        <v>3063</v>
      </c>
      <c r="AI1820" t="s">
        <v>188</v>
      </c>
      <c r="AJ1820" s="8" t="str">
        <f>"80015"</f>
        <v>80015</v>
      </c>
      <c r="AK1820" t="s">
        <v>118</v>
      </c>
      <c r="AM1820" s="10">
        <v>17203383258</v>
      </c>
      <c r="AO1820" t="s">
        <v>24145</v>
      </c>
      <c r="AX1820" s="8" t="str">
        <f>""</f>
        <v/>
      </c>
      <c r="BG1820" t="s">
        <v>188</v>
      </c>
      <c r="BH1820" s="1">
        <v>45236.791666666664</v>
      </c>
      <c r="BI1820">
        <v>70</v>
      </c>
      <c r="BJ1820">
        <v>4</v>
      </c>
      <c r="BK1820">
        <v>11</v>
      </c>
      <c r="BL1820">
        <v>11</v>
      </c>
      <c r="BM1820">
        <v>11</v>
      </c>
      <c r="BN1820">
        <v>11</v>
      </c>
      <c r="BO1820">
        <v>11</v>
      </c>
      <c r="BP1820">
        <v>11</v>
      </c>
      <c r="BQ1820" t="str">
        <f>"8:00 AM"</f>
        <v>8:00 AM</v>
      </c>
      <c r="BR1820" t="str">
        <f>"7:00 PM"</f>
        <v>7:00 PM</v>
      </c>
      <c r="BS1820" t="s">
        <v>147</v>
      </c>
      <c r="BT1820">
        <v>2</v>
      </c>
      <c r="BU1820">
        <v>12</v>
      </c>
      <c r="BV1820" t="s">
        <v>114</v>
      </c>
      <c r="BX1820" s="2" t="s">
        <v>24146</v>
      </c>
      <c r="BY1820" t="s">
        <v>24142</v>
      </c>
      <c r="CA1820" t="s">
        <v>3063</v>
      </c>
      <c r="CB1820" t="s">
        <v>188</v>
      </c>
      <c r="CC1820" s="8" t="str">
        <f>"80015"</f>
        <v>80015</v>
      </c>
      <c r="CD1820" t="s">
        <v>1807</v>
      </c>
      <c r="CE1820" t="s">
        <v>195</v>
      </c>
      <c r="CF1820" s="12">
        <v>27.5</v>
      </c>
      <c r="CG1820" s="12">
        <v>27.5</v>
      </c>
      <c r="CJ1820" t="s">
        <v>135</v>
      </c>
      <c r="CK1820" t="s">
        <v>24147</v>
      </c>
      <c r="CL1820" t="s">
        <v>24148</v>
      </c>
      <c r="CO1820" t="s">
        <v>132</v>
      </c>
      <c r="CP1820" t="s">
        <v>114</v>
      </c>
      <c r="CQ1820" t="s">
        <v>114</v>
      </c>
      <c r="CR1820" t="s">
        <v>114</v>
      </c>
      <c r="CS1820" t="s">
        <v>136</v>
      </c>
      <c r="CT1820" t="s">
        <v>136</v>
      </c>
      <c r="CU1820" t="s">
        <v>114</v>
      </c>
      <c r="CV1820" t="s">
        <v>5006</v>
      </c>
      <c r="CW1820" s="10" t="str">
        <f>"+17203383258"</f>
        <v>+17203383258</v>
      </c>
      <c r="CX1820" t="s">
        <v>24145</v>
      </c>
      <c r="CY1820" t="s">
        <v>132</v>
      </c>
      <c r="CZ1820" t="s">
        <v>137</v>
      </c>
      <c r="DA1820" t="s">
        <v>114</v>
      </c>
      <c r="DB1820" t="s">
        <v>114</v>
      </c>
      <c r="DC1820" t="s">
        <v>136</v>
      </c>
      <c r="DD1820" t="s">
        <v>114</v>
      </c>
    </row>
    <row r="1821" spans="1:113" ht="15" customHeight="1" x14ac:dyDescent="0.25">
      <c r="A1821" t="s">
        <v>17403</v>
      </c>
      <c r="B1821" t="s">
        <v>113</v>
      </c>
      <c r="C1821" s="1">
        <v>45258.000198379632</v>
      </c>
      <c r="D1821" s="1">
        <v>45278</v>
      </c>
      <c r="E1821" t="s">
        <v>132</v>
      </c>
      <c r="F1821" t="s">
        <v>1595</v>
      </c>
      <c r="G1821" t="str">
        <f>"37-3011.00"</f>
        <v>37-3011.00</v>
      </c>
      <c r="H1821" t="s">
        <v>429</v>
      </c>
      <c r="I1821">
        <v>54</v>
      </c>
      <c r="K1821" s="1">
        <v>45348</v>
      </c>
      <c r="L1821" s="1">
        <v>45607</v>
      </c>
      <c r="O1821" t="s">
        <v>116</v>
      </c>
      <c r="P1821" t="s">
        <v>17404</v>
      </c>
      <c r="Q1821" t="s">
        <v>17405</v>
      </c>
      <c r="R1821" t="s">
        <v>17406</v>
      </c>
      <c r="T1821" t="s">
        <v>1690</v>
      </c>
      <c r="U1821" t="s">
        <v>1691</v>
      </c>
      <c r="V1821" s="8" t="str">
        <f>"29588"</f>
        <v>29588</v>
      </c>
      <c r="W1821" t="s">
        <v>118</v>
      </c>
      <c r="Y1821" s="10">
        <v>18436508875</v>
      </c>
      <c r="AA1821">
        <v>56173</v>
      </c>
      <c r="AB1821" t="s">
        <v>17407</v>
      </c>
      <c r="AC1821" t="s">
        <v>4425</v>
      </c>
      <c r="AE1821" t="s">
        <v>1349</v>
      </c>
      <c r="AF1821" t="s">
        <v>17406</v>
      </c>
      <c r="AH1821" t="s">
        <v>1690</v>
      </c>
      <c r="AI1821" t="s">
        <v>1691</v>
      </c>
      <c r="AJ1821" s="8" t="str">
        <f>"29588"</f>
        <v>29588</v>
      </c>
      <c r="AK1821" t="s">
        <v>118</v>
      </c>
      <c r="AM1821" s="10">
        <v>18436508875</v>
      </c>
      <c r="AO1821" t="s">
        <v>17408</v>
      </c>
      <c r="AP1821" t="s">
        <v>248</v>
      </c>
      <c r="AQ1821" t="s">
        <v>2152</v>
      </c>
      <c r="AR1821" t="s">
        <v>2153</v>
      </c>
      <c r="AS1821" t="s">
        <v>1798</v>
      </c>
      <c r="AT1821" t="s">
        <v>1253</v>
      </c>
      <c r="AU1821" t="s">
        <v>852</v>
      </c>
      <c r="AV1821" t="s">
        <v>853</v>
      </c>
      <c r="AW1821" t="s">
        <v>854</v>
      </c>
      <c r="AX1821" s="8" t="str">
        <f>"83814"</f>
        <v>83814</v>
      </c>
      <c r="AY1821" t="s">
        <v>118</v>
      </c>
      <c r="BA1821" s="10">
        <v>12087772654</v>
      </c>
      <c r="BC1821" t="s">
        <v>2154</v>
      </c>
      <c r="BD1821" t="s">
        <v>856</v>
      </c>
      <c r="BG1821" t="s">
        <v>1691</v>
      </c>
      <c r="BH1821" s="1">
        <v>45256.791666666664</v>
      </c>
      <c r="BI1821">
        <v>40</v>
      </c>
      <c r="BJ1821">
        <v>0</v>
      </c>
      <c r="BK1821">
        <v>8</v>
      </c>
      <c r="BL1821">
        <v>8</v>
      </c>
      <c r="BM1821">
        <v>8</v>
      </c>
      <c r="BN1821">
        <v>8</v>
      </c>
      <c r="BO1821">
        <v>8</v>
      </c>
      <c r="BP1821">
        <v>0</v>
      </c>
      <c r="BQ1821" t="str">
        <f>"6:45 AM"</f>
        <v>6:45 AM</v>
      </c>
      <c r="BR1821" t="str">
        <f>"5:30 PM"</f>
        <v>5:30 PM</v>
      </c>
      <c r="BS1821" t="s">
        <v>131</v>
      </c>
      <c r="BT1821">
        <v>0</v>
      </c>
      <c r="BU1821">
        <v>0</v>
      </c>
      <c r="BV1821" t="s">
        <v>114</v>
      </c>
      <c r="BX1821" t="s">
        <v>9285</v>
      </c>
      <c r="BY1821" t="s">
        <v>17409</v>
      </c>
      <c r="CA1821" t="s">
        <v>1690</v>
      </c>
      <c r="CB1821" t="s">
        <v>1691</v>
      </c>
      <c r="CC1821" s="8" t="str">
        <f>"29588"</f>
        <v>29588</v>
      </c>
      <c r="CD1821" t="s">
        <v>1692</v>
      </c>
      <c r="CE1821" t="s">
        <v>1693</v>
      </c>
      <c r="CF1821" s="12">
        <v>14.6</v>
      </c>
      <c r="CG1821" s="12">
        <v>20</v>
      </c>
      <c r="CH1821" s="12">
        <v>21.9</v>
      </c>
      <c r="CI1821" s="12">
        <v>30</v>
      </c>
      <c r="CJ1821" t="s">
        <v>135</v>
      </c>
      <c r="CK1821" t="s">
        <v>1899</v>
      </c>
      <c r="CL1821" t="s">
        <v>17410</v>
      </c>
      <c r="CO1821" t="s">
        <v>132</v>
      </c>
      <c r="CP1821" t="s">
        <v>136</v>
      </c>
      <c r="CQ1821" t="s">
        <v>136</v>
      </c>
      <c r="CR1821" t="s">
        <v>136</v>
      </c>
      <c r="CS1821" t="s">
        <v>136</v>
      </c>
      <c r="CT1821" t="s">
        <v>136</v>
      </c>
      <c r="CU1821" t="s">
        <v>136</v>
      </c>
      <c r="CV1821" s="2" t="s">
        <v>17411</v>
      </c>
      <c r="CW1821" s="10" t="str">
        <f>"+18436508875"</f>
        <v>+18436508875</v>
      </c>
      <c r="CX1821" t="s">
        <v>17408</v>
      </c>
      <c r="CY1821" t="s">
        <v>132</v>
      </c>
      <c r="CZ1821" t="s">
        <v>137</v>
      </c>
      <c r="DA1821" t="s">
        <v>114</v>
      </c>
      <c r="DB1821" t="s">
        <v>136</v>
      </c>
      <c r="DC1821" t="s">
        <v>136</v>
      </c>
      <c r="DD1821" t="s">
        <v>114</v>
      </c>
    </row>
    <row r="1822" spans="1:113" ht="15" customHeight="1" x14ac:dyDescent="0.25">
      <c r="A1822" t="s">
        <v>17877</v>
      </c>
      <c r="B1822" t="s">
        <v>113</v>
      </c>
      <c r="C1822" s="1">
        <v>45246.735979050929</v>
      </c>
      <c r="D1822" s="1">
        <v>45275</v>
      </c>
      <c r="E1822" t="s">
        <v>132</v>
      </c>
      <c r="F1822" t="s">
        <v>17878</v>
      </c>
      <c r="G1822" t="str">
        <f>"43-5071.00"</f>
        <v>43-5071.00</v>
      </c>
      <c r="H1822" t="s">
        <v>17879</v>
      </c>
      <c r="I1822">
        <v>3</v>
      </c>
      <c r="K1822" s="1">
        <v>45322</v>
      </c>
      <c r="L1822" s="1">
        <v>45687</v>
      </c>
      <c r="O1822" t="s">
        <v>116</v>
      </c>
      <c r="P1822" t="s">
        <v>17880</v>
      </c>
      <c r="Q1822" t="s">
        <v>17881</v>
      </c>
      <c r="R1822" t="s">
        <v>17882</v>
      </c>
      <c r="T1822" t="s">
        <v>3095</v>
      </c>
      <c r="U1822" t="s">
        <v>402</v>
      </c>
      <c r="V1822" s="8" t="str">
        <f>"90058"</f>
        <v>90058</v>
      </c>
      <c r="W1822" t="s">
        <v>118</v>
      </c>
      <c r="Y1822" s="10">
        <v>13236036601</v>
      </c>
      <c r="AA1822">
        <v>4239</v>
      </c>
      <c r="AB1822" t="s">
        <v>17883</v>
      </c>
      <c r="AC1822" t="s">
        <v>17884</v>
      </c>
      <c r="AD1822" t="s">
        <v>17885</v>
      </c>
      <c r="AE1822" t="s">
        <v>629</v>
      </c>
      <c r="AF1822" t="s">
        <v>17882</v>
      </c>
      <c r="AH1822" t="s">
        <v>3095</v>
      </c>
      <c r="AI1822" t="s">
        <v>402</v>
      </c>
      <c r="AJ1822" s="8" t="str">
        <f>"90058"</f>
        <v>90058</v>
      </c>
      <c r="AK1822" t="s">
        <v>118</v>
      </c>
      <c r="AM1822" s="10">
        <v>13236036601</v>
      </c>
      <c r="AO1822" t="s">
        <v>17886</v>
      </c>
      <c r="AX1822" s="8" t="str">
        <f>""</f>
        <v/>
      </c>
      <c r="BG1822" t="s">
        <v>402</v>
      </c>
      <c r="BH1822" s="1">
        <v>45215.833333333336</v>
      </c>
      <c r="BI1822">
        <v>40</v>
      </c>
      <c r="BJ1822">
        <v>0</v>
      </c>
      <c r="BK1822">
        <v>8</v>
      </c>
      <c r="BL1822">
        <v>8</v>
      </c>
      <c r="BM1822">
        <v>8</v>
      </c>
      <c r="BN1822">
        <v>8</v>
      </c>
      <c r="BO1822">
        <v>8</v>
      </c>
      <c r="BP1822">
        <v>0</v>
      </c>
      <c r="BQ1822" t="str">
        <f>"8:00 AM"</f>
        <v>8:00 AM</v>
      </c>
      <c r="BR1822" t="str">
        <f>"4:30 PM"</f>
        <v>4:30 PM</v>
      </c>
      <c r="BS1822" t="s">
        <v>147</v>
      </c>
      <c r="BT1822">
        <v>0</v>
      </c>
      <c r="BU1822">
        <v>0</v>
      </c>
      <c r="BV1822" t="s">
        <v>114</v>
      </c>
      <c r="BX1822" t="s">
        <v>17887</v>
      </c>
      <c r="BY1822" t="s">
        <v>17882</v>
      </c>
      <c r="CA1822" t="s">
        <v>3095</v>
      </c>
      <c r="CB1822" t="s">
        <v>402</v>
      </c>
      <c r="CC1822" s="8" t="str">
        <f>"90058"</f>
        <v>90058</v>
      </c>
      <c r="CD1822" t="s">
        <v>2968</v>
      </c>
      <c r="CE1822" t="s">
        <v>2969</v>
      </c>
      <c r="CF1822" s="12">
        <v>20.49</v>
      </c>
      <c r="CJ1822" t="s">
        <v>135</v>
      </c>
      <c r="CL1822" t="s">
        <v>17888</v>
      </c>
      <c r="CO1822" t="s">
        <v>132</v>
      </c>
      <c r="CP1822" t="s">
        <v>114</v>
      </c>
      <c r="CQ1822" t="s">
        <v>136</v>
      </c>
      <c r="CR1822" t="s">
        <v>114</v>
      </c>
      <c r="CS1822" t="s">
        <v>136</v>
      </c>
      <c r="CT1822" t="s">
        <v>136</v>
      </c>
      <c r="CU1822" t="s">
        <v>136</v>
      </c>
      <c r="CV1822" t="s">
        <v>17889</v>
      </c>
      <c r="CW1822" s="10" t="str">
        <f>"+13236036601"</f>
        <v>+13236036601</v>
      </c>
      <c r="CX1822" t="s">
        <v>17886</v>
      </c>
      <c r="CY1822" t="s">
        <v>17890</v>
      </c>
      <c r="CZ1822" t="s">
        <v>137</v>
      </c>
      <c r="DA1822" t="s">
        <v>114</v>
      </c>
      <c r="DB1822" t="s">
        <v>136</v>
      </c>
      <c r="DC1822" t="s">
        <v>136</v>
      </c>
      <c r="DD1822" t="s">
        <v>114</v>
      </c>
    </row>
    <row r="1823" spans="1:113" ht="15" customHeight="1" x14ac:dyDescent="0.25">
      <c r="A1823" t="s">
        <v>4813</v>
      </c>
      <c r="B1823" t="s">
        <v>113</v>
      </c>
      <c r="C1823" s="1">
        <v>45243.794314120372</v>
      </c>
      <c r="D1823" s="1">
        <v>45275</v>
      </c>
      <c r="E1823" t="s">
        <v>132</v>
      </c>
      <c r="F1823" t="s">
        <v>4814</v>
      </c>
      <c r="G1823" t="str">
        <f>"53-3032.00"</f>
        <v>53-3032.00</v>
      </c>
      <c r="H1823" t="s">
        <v>736</v>
      </c>
      <c r="I1823">
        <v>200</v>
      </c>
      <c r="K1823" s="1">
        <v>45320</v>
      </c>
      <c r="L1823" s="1">
        <v>45624</v>
      </c>
      <c r="O1823" t="s">
        <v>238</v>
      </c>
      <c r="P1823" t="s">
        <v>4815</v>
      </c>
      <c r="R1823" t="s">
        <v>4816</v>
      </c>
      <c r="T1823" t="s">
        <v>4817</v>
      </c>
      <c r="U1823" t="s">
        <v>402</v>
      </c>
      <c r="V1823" s="8" t="str">
        <f>"92020"</f>
        <v>92020</v>
      </c>
      <c r="W1823" t="s">
        <v>118</v>
      </c>
      <c r="Y1823" s="10">
        <v>16197295275</v>
      </c>
      <c r="AA1823">
        <v>561320</v>
      </c>
      <c r="AB1823" t="s">
        <v>4818</v>
      </c>
      <c r="AC1823" t="s">
        <v>4819</v>
      </c>
      <c r="AE1823" t="s">
        <v>4820</v>
      </c>
      <c r="AF1823" t="s">
        <v>4816</v>
      </c>
      <c r="AH1823" t="s">
        <v>4817</v>
      </c>
      <c r="AI1823" t="s">
        <v>402</v>
      </c>
      <c r="AJ1823" s="8" t="str">
        <f>"92020"</f>
        <v>92020</v>
      </c>
      <c r="AK1823" t="s">
        <v>118</v>
      </c>
      <c r="AM1823" s="10">
        <v>16197295275</v>
      </c>
      <c r="AO1823" t="s">
        <v>4821</v>
      </c>
      <c r="AX1823" s="8" t="str">
        <f>""</f>
        <v/>
      </c>
      <c r="BG1823" t="s">
        <v>402</v>
      </c>
      <c r="BH1823" s="1">
        <v>44635.833333333336</v>
      </c>
      <c r="BI1823">
        <v>40</v>
      </c>
      <c r="BJ1823">
        <v>0</v>
      </c>
      <c r="BK1823">
        <v>8</v>
      </c>
      <c r="BL1823">
        <v>8</v>
      </c>
      <c r="BM1823">
        <v>8</v>
      </c>
      <c r="BN1823">
        <v>8</v>
      </c>
      <c r="BO1823">
        <v>8</v>
      </c>
      <c r="BP1823">
        <v>0</v>
      </c>
      <c r="BQ1823" t="str">
        <f>"9:30 AM"</f>
        <v>9:30 AM</v>
      </c>
      <c r="BR1823" t="str">
        <f>"5:30 PM"</f>
        <v>5:30 PM</v>
      </c>
      <c r="BS1823" t="s">
        <v>131</v>
      </c>
      <c r="BT1823">
        <v>0</v>
      </c>
      <c r="BU1823">
        <v>24</v>
      </c>
      <c r="BV1823" t="s">
        <v>114</v>
      </c>
      <c r="BX1823" s="2" t="s">
        <v>4822</v>
      </c>
      <c r="BY1823" t="s">
        <v>4816</v>
      </c>
      <c r="CA1823" t="s">
        <v>4817</v>
      </c>
      <c r="CB1823" t="s">
        <v>402</v>
      </c>
      <c r="CC1823" s="8" t="str">
        <f>"92020"</f>
        <v>92020</v>
      </c>
      <c r="CD1823" t="s">
        <v>2435</v>
      </c>
      <c r="CE1823" t="s">
        <v>2436</v>
      </c>
      <c r="CF1823" s="12">
        <v>28</v>
      </c>
      <c r="CG1823" s="12">
        <v>30</v>
      </c>
      <c r="CJ1823" t="s">
        <v>135</v>
      </c>
      <c r="CL1823" t="s">
        <v>4823</v>
      </c>
      <c r="CO1823" t="s">
        <v>132</v>
      </c>
      <c r="CP1823" t="s">
        <v>114</v>
      </c>
      <c r="CQ1823" t="s">
        <v>114</v>
      </c>
      <c r="CR1823" t="s">
        <v>114</v>
      </c>
      <c r="CS1823" t="s">
        <v>136</v>
      </c>
      <c r="CT1823" t="s">
        <v>136</v>
      </c>
      <c r="CU1823" t="s">
        <v>114</v>
      </c>
      <c r="CV1823" t="s">
        <v>4824</v>
      </c>
      <c r="CW1823" s="10" t="str">
        <f>"+16197295275"</f>
        <v>+16197295275</v>
      </c>
      <c r="CX1823" t="s">
        <v>4821</v>
      </c>
      <c r="CY1823" t="s">
        <v>132</v>
      </c>
      <c r="CZ1823" t="s">
        <v>137</v>
      </c>
      <c r="DA1823" t="s">
        <v>114</v>
      </c>
      <c r="DB1823" t="s">
        <v>114</v>
      </c>
      <c r="DC1823" t="s">
        <v>136</v>
      </c>
      <c r="DD1823" t="s">
        <v>114</v>
      </c>
    </row>
    <row r="1824" spans="1:113" ht="15" customHeight="1" x14ac:dyDescent="0.25">
      <c r="A1824" t="s">
        <v>7382</v>
      </c>
      <c r="B1824" t="s">
        <v>113</v>
      </c>
      <c r="C1824" s="1">
        <v>45240.391535532406</v>
      </c>
      <c r="D1824" s="1">
        <v>45275</v>
      </c>
      <c r="E1824" t="s">
        <v>132</v>
      </c>
      <c r="F1824" t="s">
        <v>7383</v>
      </c>
      <c r="G1824" t="str">
        <f>"35-2014.00"</f>
        <v>35-2014.00</v>
      </c>
      <c r="H1824" t="s">
        <v>154</v>
      </c>
      <c r="I1824">
        <v>2</v>
      </c>
      <c r="K1824" s="1">
        <v>45317</v>
      </c>
      <c r="L1824" s="1">
        <v>46413</v>
      </c>
      <c r="O1824" t="s">
        <v>3248</v>
      </c>
      <c r="P1824" t="s">
        <v>7384</v>
      </c>
      <c r="Q1824" t="s">
        <v>7385</v>
      </c>
      <c r="R1824" t="s">
        <v>7386</v>
      </c>
      <c r="T1824" t="s">
        <v>7387</v>
      </c>
      <c r="U1824" t="s">
        <v>1691</v>
      </c>
      <c r="V1824" s="8" t="str">
        <f>"29438"</f>
        <v>29438</v>
      </c>
      <c r="W1824" t="s">
        <v>118</v>
      </c>
      <c r="Y1824" s="10">
        <v>18648694968</v>
      </c>
      <c r="AA1824">
        <v>722511</v>
      </c>
      <c r="AB1824" t="s">
        <v>7388</v>
      </c>
      <c r="AC1824" t="s">
        <v>4993</v>
      </c>
      <c r="AE1824" t="s">
        <v>1349</v>
      </c>
      <c r="AF1824" t="s">
        <v>7386</v>
      </c>
      <c r="AH1824" t="s">
        <v>7387</v>
      </c>
      <c r="AI1824" t="s">
        <v>1691</v>
      </c>
      <c r="AJ1824" s="8" t="str">
        <f>"29438"</f>
        <v>29438</v>
      </c>
      <c r="AK1824" t="s">
        <v>118</v>
      </c>
      <c r="AM1824" s="10">
        <v>18644444718</v>
      </c>
      <c r="AO1824" t="s">
        <v>7389</v>
      </c>
      <c r="AX1824" s="8" t="str">
        <f>""</f>
        <v/>
      </c>
      <c r="BG1824" t="s">
        <v>1691</v>
      </c>
      <c r="BH1824" s="1">
        <v>45239.791666666664</v>
      </c>
      <c r="BI1824">
        <v>35</v>
      </c>
      <c r="BJ1824">
        <v>0</v>
      </c>
      <c r="BK1824">
        <v>0</v>
      </c>
      <c r="BL1824">
        <v>7</v>
      </c>
      <c r="BM1824">
        <v>7</v>
      </c>
      <c r="BN1824">
        <v>7</v>
      </c>
      <c r="BO1824">
        <v>7</v>
      </c>
      <c r="BP1824">
        <v>7</v>
      </c>
      <c r="BQ1824" t="str">
        <f>"3:00 PM"</f>
        <v>3:00 PM</v>
      </c>
      <c r="BR1824" t="str">
        <f>"10:00 PM"</f>
        <v>10:00 PM</v>
      </c>
      <c r="BS1824" t="s">
        <v>147</v>
      </c>
      <c r="BT1824">
        <v>3</v>
      </c>
      <c r="BU1824">
        <v>3</v>
      </c>
      <c r="BV1824" t="s">
        <v>114</v>
      </c>
      <c r="BX1824" t="s">
        <v>7390</v>
      </c>
      <c r="BY1824" t="s">
        <v>7386</v>
      </c>
      <c r="CA1824" t="s">
        <v>7387</v>
      </c>
      <c r="CB1824" t="s">
        <v>1691</v>
      </c>
      <c r="CC1824" s="8" t="str">
        <f>"29438"</f>
        <v>29438</v>
      </c>
      <c r="CD1824" t="s">
        <v>4990</v>
      </c>
      <c r="CE1824" t="s">
        <v>4991</v>
      </c>
      <c r="CF1824" s="12">
        <v>14.36</v>
      </c>
      <c r="CG1824" s="12">
        <v>17</v>
      </c>
      <c r="CH1824" s="12">
        <v>21.54</v>
      </c>
      <c r="CI1824" s="12">
        <v>25.5</v>
      </c>
      <c r="CJ1824" t="s">
        <v>135</v>
      </c>
      <c r="CL1824" t="s">
        <v>7391</v>
      </c>
      <c r="CO1824" t="s">
        <v>132</v>
      </c>
      <c r="CP1824" t="s">
        <v>114</v>
      </c>
      <c r="CQ1824" t="s">
        <v>114</v>
      </c>
      <c r="CR1824" t="s">
        <v>136</v>
      </c>
      <c r="CS1824" t="s">
        <v>136</v>
      </c>
      <c r="CT1824" t="s">
        <v>136</v>
      </c>
      <c r="CU1824" t="s">
        <v>136</v>
      </c>
      <c r="CV1824" t="s">
        <v>7392</v>
      </c>
      <c r="CW1824" s="10" t="str">
        <f>"+18644444718"</f>
        <v>+18644444718</v>
      </c>
      <c r="CX1824" t="s">
        <v>7389</v>
      </c>
      <c r="CY1824" t="s">
        <v>132</v>
      </c>
      <c r="CZ1824" t="s">
        <v>137</v>
      </c>
      <c r="DA1824" t="s">
        <v>114</v>
      </c>
      <c r="DB1824" t="s">
        <v>114</v>
      </c>
      <c r="DC1824" t="s">
        <v>136</v>
      </c>
      <c r="DD1824" t="s">
        <v>114</v>
      </c>
    </row>
    <row r="1825" spans="1:113" ht="15" customHeight="1" x14ac:dyDescent="0.25">
      <c r="A1825" t="s">
        <v>23127</v>
      </c>
      <c r="B1825" t="s">
        <v>113</v>
      </c>
      <c r="C1825" s="1">
        <v>45238.676531828707</v>
      </c>
      <c r="D1825" s="1">
        <v>45275</v>
      </c>
      <c r="E1825" t="s">
        <v>132</v>
      </c>
      <c r="F1825" t="s">
        <v>23128</v>
      </c>
      <c r="G1825" t="str">
        <f>"39-5012.00"</f>
        <v>39-5012.00</v>
      </c>
      <c r="H1825" t="s">
        <v>23056</v>
      </c>
      <c r="I1825">
        <v>1</v>
      </c>
      <c r="K1825" s="1">
        <v>45323</v>
      </c>
      <c r="L1825" s="1">
        <v>46053</v>
      </c>
      <c r="O1825" t="s">
        <v>184</v>
      </c>
      <c r="P1825" t="s">
        <v>23129</v>
      </c>
      <c r="Q1825" t="s">
        <v>23130</v>
      </c>
      <c r="R1825" t="s">
        <v>23131</v>
      </c>
      <c r="S1825" t="s">
        <v>23132</v>
      </c>
      <c r="T1825" t="s">
        <v>761</v>
      </c>
      <c r="U1825" t="s">
        <v>140</v>
      </c>
      <c r="V1825" s="8" t="str">
        <f>"33446"</f>
        <v>33446</v>
      </c>
      <c r="W1825" t="s">
        <v>118</v>
      </c>
      <c r="Y1825" s="10">
        <v>15614507625</v>
      </c>
      <c r="AA1825">
        <v>812112</v>
      </c>
      <c r="AB1825" t="s">
        <v>23133</v>
      </c>
      <c r="AC1825" t="s">
        <v>145</v>
      </c>
      <c r="AE1825" t="s">
        <v>5129</v>
      </c>
      <c r="AF1825" t="s">
        <v>23134</v>
      </c>
      <c r="AH1825" t="s">
        <v>4524</v>
      </c>
      <c r="AI1825" t="s">
        <v>140</v>
      </c>
      <c r="AJ1825" s="8" t="str">
        <f>"33473"</f>
        <v>33473</v>
      </c>
      <c r="AK1825" t="s">
        <v>118</v>
      </c>
      <c r="AM1825" s="10">
        <v>15618068055</v>
      </c>
      <c r="AO1825" t="s">
        <v>23135</v>
      </c>
      <c r="AX1825" s="8" t="str">
        <f>""</f>
        <v/>
      </c>
      <c r="BG1825" t="s">
        <v>140</v>
      </c>
      <c r="BH1825" s="1">
        <v>45212.833333333336</v>
      </c>
      <c r="BI1825">
        <v>40</v>
      </c>
      <c r="BJ1825">
        <v>0</v>
      </c>
      <c r="BK1825">
        <v>8</v>
      </c>
      <c r="BL1825">
        <v>0</v>
      </c>
      <c r="BM1825">
        <v>8</v>
      </c>
      <c r="BN1825">
        <v>8</v>
      </c>
      <c r="BO1825">
        <v>8</v>
      </c>
      <c r="BP1825">
        <v>8</v>
      </c>
      <c r="BQ1825" t="str">
        <f>"9:00 AM"</f>
        <v>9:00 AM</v>
      </c>
      <c r="BR1825" t="str">
        <f>"6:00 PM"</f>
        <v>6:00 PM</v>
      </c>
      <c r="BS1825" t="s">
        <v>6093</v>
      </c>
      <c r="BT1825">
        <v>12</v>
      </c>
      <c r="BU1825">
        <v>24</v>
      </c>
      <c r="BV1825" t="s">
        <v>114</v>
      </c>
      <c r="BX1825" s="2" t="s">
        <v>23136</v>
      </c>
      <c r="BY1825" t="s">
        <v>23131</v>
      </c>
      <c r="BZ1825" t="s">
        <v>23132</v>
      </c>
      <c r="CA1825" t="s">
        <v>761</v>
      </c>
      <c r="CB1825" t="s">
        <v>140</v>
      </c>
      <c r="CC1825" s="8" t="str">
        <f>"33446"</f>
        <v>33446</v>
      </c>
      <c r="CD1825" t="s">
        <v>767</v>
      </c>
      <c r="CE1825" t="s">
        <v>149</v>
      </c>
      <c r="CF1825" s="12">
        <v>16</v>
      </c>
      <c r="CG1825" s="12">
        <v>18</v>
      </c>
      <c r="CJ1825" t="s">
        <v>135</v>
      </c>
      <c r="CK1825" t="s">
        <v>132</v>
      </c>
      <c r="CL1825" t="s">
        <v>23137</v>
      </c>
      <c r="CO1825" t="s">
        <v>132</v>
      </c>
      <c r="CP1825" t="s">
        <v>114</v>
      </c>
      <c r="CQ1825" t="s">
        <v>136</v>
      </c>
      <c r="CR1825" t="s">
        <v>114</v>
      </c>
      <c r="CS1825" t="s">
        <v>114</v>
      </c>
      <c r="CT1825" t="s">
        <v>136</v>
      </c>
      <c r="CU1825" t="s">
        <v>136</v>
      </c>
      <c r="CV1825" t="s">
        <v>131</v>
      </c>
      <c r="CW1825" s="10" t="str">
        <f>"+15614507625"</f>
        <v>+15614507625</v>
      </c>
      <c r="CX1825" t="s">
        <v>23138</v>
      </c>
      <c r="CY1825" t="s">
        <v>132</v>
      </c>
      <c r="CZ1825" t="s">
        <v>137</v>
      </c>
      <c r="DA1825" t="s">
        <v>114</v>
      </c>
      <c r="DB1825" t="s">
        <v>114</v>
      </c>
      <c r="DC1825" t="s">
        <v>136</v>
      </c>
      <c r="DD1825" t="s">
        <v>114</v>
      </c>
    </row>
    <row r="1826" spans="1:113" ht="15" customHeight="1" x14ac:dyDescent="0.25">
      <c r="A1826" t="s">
        <v>17428</v>
      </c>
      <c r="B1826" t="s">
        <v>113</v>
      </c>
      <c r="C1826" s="1">
        <v>45247.363621064818</v>
      </c>
      <c r="D1826" s="1">
        <v>45274</v>
      </c>
      <c r="E1826" t="s">
        <v>132</v>
      </c>
      <c r="F1826" t="s">
        <v>3245</v>
      </c>
      <c r="G1826" t="str">
        <f>"51-2092.00"</f>
        <v>51-2092.00</v>
      </c>
      <c r="H1826" t="s">
        <v>4544</v>
      </c>
      <c r="I1826">
        <v>5</v>
      </c>
      <c r="K1826" s="1">
        <v>45337</v>
      </c>
      <c r="L1826" s="1">
        <v>45566</v>
      </c>
      <c r="O1826" t="s">
        <v>116</v>
      </c>
      <c r="P1826" t="s">
        <v>17429</v>
      </c>
      <c r="R1826" t="s">
        <v>17430</v>
      </c>
      <c r="S1826" t="s">
        <v>17431</v>
      </c>
      <c r="T1826" t="s">
        <v>5883</v>
      </c>
      <c r="U1826" t="s">
        <v>1598</v>
      </c>
      <c r="V1826" s="8" t="str">
        <f>"36617"</f>
        <v>36617</v>
      </c>
      <c r="W1826" t="s">
        <v>118</v>
      </c>
      <c r="Y1826" s="10">
        <v>17705987177</v>
      </c>
      <c r="AA1826">
        <v>33999</v>
      </c>
      <c r="AB1826" t="s">
        <v>17432</v>
      </c>
      <c r="AC1826" t="s">
        <v>15935</v>
      </c>
      <c r="AE1826" t="s">
        <v>120</v>
      </c>
      <c r="AF1826" t="s">
        <v>17430</v>
      </c>
      <c r="AG1826" t="s">
        <v>17431</v>
      </c>
      <c r="AH1826" t="s">
        <v>5883</v>
      </c>
      <c r="AI1826" t="s">
        <v>1598</v>
      </c>
      <c r="AJ1826" s="8" t="str">
        <f>"36617"</f>
        <v>36617</v>
      </c>
      <c r="AK1826" t="s">
        <v>118</v>
      </c>
      <c r="AM1826" s="10">
        <v>17705987177</v>
      </c>
      <c r="AO1826" t="s">
        <v>17433</v>
      </c>
      <c r="AP1826" t="s">
        <v>248</v>
      </c>
      <c r="AQ1826" t="s">
        <v>3017</v>
      </c>
      <c r="AR1826" t="s">
        <v>3018</v>
      </c>
      <c r="AS1826" t="s">
        <v>1798</v>
      </c>
      <c r="AT1826" t="s">
        <v>3371</v>
      </c>
      <c r="AV1826" t="s">
        <v>1168</v>
      </c>
      <c r="AW1826" t="s">
        <v>127</v>
      </c>
      <c r="AX1826" s="8" t="str">
        <f>"75098"</f>
        <v>75098</v>
      </c>
      <c r="AY1826" t="s">
        <v>118</v>
      </c>
      <c r="BA1826" s="10">
        <v>19724424244</v>
      </c>
      <c r="BC1826" t="s">
        <v>3372</v>
      </c>
      <c r="BD1826" t="s">
        <v>3021</v>
      </c>
      <c r="BG1826" t="s">
        <v>1598</v>
      </c>
      <c r="BH1826" s="1">
        <v>45246.791666666664</v>
      </c>
      <c r="BI1826">
        <v>40</v>
      </c>
      <c r="BJ1826">
        <v>0</v>
      </c>
      <c r="BK1826">
        <v>8</v>
      </c>
      <c r="BL1826">
        <v>8</v>
      </c>
      <c r="BM1826">
        <v>8</v>
      </c>
      <c r="BN1826">
        <v>8</v>
      </c>
      <c r="BO1826">
        <v>8</v>
      </c>
      <c r="BP1826">
        <v>0</v>
      </c>
      <c r="BQ1826" t="str">
        <f>"7:00 AM"</f>
        <v>7:00 AM</v>
      </c>
      <c r="BR1826" t="str">
        <f>"5:00 PM"</f>
        <v>5:00 PM</v>
      </c>
      <c r="BS1826" t="s">
        <v>131</v>
      </c>
      <c r="BT1826">
        <v>0</v>
      </c>
      <c r="BU1826">
        <v>0</v>
      </c>
      <c r="BV1826" t="s">
        <v>114</v>
      </c>
      <c r="BX1826" t="s">
        <v>1480</v>
      </c>
      <c r="BY1826" t="s">
        <v>17430</v>
      </c>
      <c r="CA1826" t="s">
        <v>5883</v>
      </c>
      <c r="CB1826" t="s">
        <v>1598</v>
      </c>
      <c r="CC1826" s="8" t="str">
        <f>"36617"</f>
        <v>36617</v>
      </c>
      <c r="CD1826" t="s">
        <v>2294</v>
      </c>
      <c r="CE1826" t="s">
        <v>2295</v>
      </c>
      <c r="CF1826" s="12">
        <v>15.9</v>
      </c>
      <c r="CG1826" s="12">
        <v>17.899999999999999</v>
      </c>
      <c r="CH1826" s="12">
        <v>23.85</v>
      </c>
      <c r="CI1826" s="12">
        <v>26.85</v>
      </c>
      <c r="CJ1826" t="s">
        <v>135</v>
      </c>
      <c r="CL1826" t="s">
        <v>17434</v>
      </c>
      <c r="CO1826" t="s">
        <v>132</v>
      </c>
      <c r="CP1826" t="s">
        <v>114</v>
      </c>
      <c r="CQ1826" t="s">
        <v>136</v>
      </c>
      <c r="CR1826" t="s">
        <v>136</v>
      </c>
      <c r="CS1826" t="s">
        <v>136</v>
      </c>
      <c r="CT1826" t="s">
        <v>136</v>
      </c>
      <c r="CU1826" t="s">
        <v>136</v>
      </c>
      <c r="CV1826" t="s">
        <v>5425</v>
      </c>
      <c r="CW1826" s="10" t="str">
        <f>"+17705987177"</f>
        <v>+17705987177</v>
      </c>
      <c r="CX1826" t="s">
        <v>132</v>
      </c>
      <c r="CY1826" t="s">
        <v>17435</v>
      </c>
      <c r="CZ1826" t="s">
        <v>137</v>
      </c>
      <c r="DA1826" t="s">
        <v>114</v>
      </c>
      <c r="DB1826" t="s">
        <v>114</v>
      </c>
      <c r="DC1826" t="s">
        <v>136</v>
      </c>
      <c r="DD1826" t="s">
        <v>114</v>
      </c>
    </row>
    <row r="1827" spans="1:113" ht="15" customHeight="1" x14ac:dyDescent="0.25">
      <c r="A1827" t="s">
        <v>18850</v>
      </c>
      <c r="B1827" t="s">
        <v>113</v>
      </c>
      <c r="C1827" s="1">
        <v>45245.689495486113</v>
      </c>
      <c r="D1827" s="1">
        <v>45273</v>
      </c>
      <c r="E1827" t="s">
        <v>132</v>
      </c>
      <c r="F1827" t="s">
        <v>18851</v>
      </c>
      <c r="G1827" t="str">
        <f>"51-9196.00"</f>
        <v>51-9196.00</v>
      </c>
      <c r="H1827" t="s">
        <v>18852</v>
      </c>
      <c r="I1827">
        <v>3</v>
      </c>
      <c r="K1827" s="1">
        <v>45322</v>
      </c>
      <c r="L1827" s="1">
        <v>45687</v>
      </c>
      <c r="O1827" t="s">
        <v>116</v>
      </c>
      <c r="P1827" t="s">
        <v>17880</v>
      </c>
      <c r="Q1827" t="s">
        <v>18853</v>
      </c>
      <c r="R1827" t="s">
        <v>17882</v>
      </c>
      <c r="S1827" t="s">
        <v>3095</v>
      </c>
      <c r="T1827" t="s">
        <v>3095</v>
      </c>
      <c r="U1827" t="s">
        <v>402</v>
      </c>
      <c r="V1827" s="8" t="str">
        <f>"90058"</f>
        <v>90058</v>
      </c>
      <c r="W1827" t="s">
        <v>118</v>
      </c>
      <c r="Y1827" s="10">
        <v>13236036601</v>
      </c>
      <c r="AA1827">
        <v>4239</v>
      </c>
      <c r="AB1827" t="s">
        <v>17884</v>
      </c>
      <c r="AC1827" t="s">
        <v>17883</v>
      </c>
      <c r="AD1827" t="s">
        <v>17885</v>
      </c>
      <c r="AE1827" t="s">
        <v>561</v>
      </c>
      <c r="AF1827" t="s">
        <v>18854</v>
      </c>
      <c r="AH1827" t="s">
        <v>3095</v>
      </c>
      <c r="AI1827" t="s">
        <v>402</v>
      </c>
      <c r="AJ1827" s="8" t="str">
        <f>"90058"</f>
        <v>90058</v>
      </c>
      <c r="AK1827" t="s">
        <v>118</v>
      </c>
      <c r="AM1827" s="10">
        <v>13236036601</v>
      </c>
      <c r="AO1827" t="s">
        <v>17886</v>
      </c>
      <c r="AX1827" s="8" t="str">
        <f>""</f>
        <v/>
      </c>
      <c r="BG1827" t="s">
        <v>402</v>
      </c>
      <c r="BH1827" s="1">
        <v>45215.833333333336</v>
      </c>
      <c r="BI1827">
        <v>40</v>
      </c>
      <c r="BJ1827">
        <v>0</v>
      </c>
      <c r="BK1827">
        <v>8</v>
      </c>
      <c r="BL1827">
        <v>8</v>
      </c>
      <c r="BM1827">
        <v>8</v>
      </c>
      <c r="BN1827">
        <v>8</v>
      </c>
      <c r="BO1827">
        <v>8</v>
      </c>
      <c r="BP1827">
        <v>0</v>
      </c>
      <c r="BQ1827" t="str">
        <f>"8:00 AM"</f>
        <v>8:00 AM</v>
      </c>
      <c r="BR1827" t="str">
        <f>"4:30 PM"</f>
        <v>4:30 PM</v>
      </c>
      <c r="BS1827" t="s">
        <v>131</v>
      </c>
      <c r="BT1827">
        <v>0</v>
      </c>
      <c r="BU1827">
        <v>0</v>
      </c>
      <c r="BV1827" t="s">
        <v>114</v>
      </c>
      <c r="BX1827" t="s">
        <v>18855</v>
      </c>
      <c r="BY1827" t="s">
        <v>17882</v>
      </c>
      <c r="CA1827" t="s">
        <v>3095</v>
      </c>
      <c r="CB1827" t="s">
        <v>402</v>
      </c>
      <c r="CC1827" s="8" t="str">
        <f>"90058"</f>
        <v>90058</v>
      </c>
      <c r="CD1827" t="s">
        <v>2968</v>
      </c>
      <c r="CE1827" t="s">
        <v>2969</v>
      </c>
      <c r="CF1827" s="12">
        <v>20.97</v>
      </c>
      <c r="CJ1827" t="s">
        <v>135</v>
      </c>
      <c r="CL1827" t="s">
        <v>18856</v>
      </c>
      <c r="CO1827" t="s">
        <v>132</v>
      </c>
      <c r="CP1827" t="s">
        <v>114</v>
      </c>
      <c r="CQ1827" t="s">
        <v>136</v>
      </c>
      <c r="CR1827" t="s">
        <v>114</v>
      </c>
      <c r="CS1827" t="s">
        <v>136</v>
      </c>
      <c r="CT1827" t="s">
        <v>136</v>
      </c>
      <c r="CU1827" t="s">
        <v>136</v>
      </c>
      <c r="CV1827" t="s">
        <v>18857</v>
      </c>
      <c r="CW1827" s="10" t="str">
        <f>"+13236036601"</f>
        <v>+13236036601</v>
      </c>
      <c r="CX1827" t="s">
        <v>17886</v>
      </c>
      <c r="CY1827" t="s">
        <v>17890</v>
      </c>
      <c r="CZ1827" t="s">
        <v>137</v>
      </c>
      <c r="DA1827" t="s">
        <v>114</v>
      </c>
      <c r="DB1827" t="s">
        <v>136</v>
      </c>
      <c r="DC1827" t="s">
        <v>136</v>
      </c>
      <c r="DD1827" t="s">
        <v>114</v>
      </c>
    </row>
    <row r="1828" spans="1:113" ht="15" customHeight="1" x14ac:dyDescent="0.25">
      <c r="A1828" t="s">
        <v>14718</v>
      </c>
      <c r="B1828" t="s">
        <v>113</v>
      </c>
      <c r="C1828" s="1">
        <v>45110.002348379632</v>
      </c>
      <c r="D1828" s="1">
        <v>45273</v>
      </c>
      <c r="E1828" t="s">
        <v>114</v>
      </c>
      <c r="F1828" t="s">
        <v>429</v>
      </c>
      <c r="G1828" t="str">
        <f>"37-3011.00"</f>
        <v>37-3011.00</v>
      </c>
      <c r="H1828" t="s">
        <v>429</v>
      </c>
      <c r="I1828">
        <v>8</v>
      </c>
      <c r="K1828" s="1">
        <v>45200</v>
      </c>
      <c r="L1828" s="1">
        <v>45306</v>
      </c>
      <c r="O1828" t="s">
        <v>238</v>
      </c>
      <c r="P1828" t="s">
        <v>13795</v>
      </c>
      <c r="R1828" t="s">
        <v>13796</v>
      </c>
      <c r="T1828" t="s">
        <v>13797</v>
      </c>
      <c r="U1828" t="s">
        <v>386</v>
      </c>
      <c r="V1828" s="8" t="str">
        <f>"38559"</f>
        <v>38559</v>
      </c>
      <c r="W1828" t="s">
        <v>118</v>
      </c>
      <c r="Y1828" s="10">
        <v>19318088554</v>
      </c>
      <c r="AA1828">
        <v>48849</v>
      </c>
      <c r="AB1828" t="s">
        <v>13798</v>
      </c>
      <c r="AC1828" t="s">
        <v>13799</v>
      </c>
      <c r="AE1828" t="s">
        <v>654</v>
      </c>
      <c r="AF1828" t="s">
        <v>13796</v>
      </c>
      <c r="AH1828" t="s">
        <v>13797</v>
      </c>
      <c r="AI1828" t="s">
        <v>386</v>
      </c>
      <c r="AJ1828" s="8" t="str">
        <f>"38559"</f>
        <v>38559</v>
      </c>
      <c r="AK1828" t="s">
        <v>118</v>
      </c>
      <c r="AM1828" s="10">
        <v>19318088554</v>
      </c>
      <c r="AO1828" t="s">
        <v>13800</v>
      </c>
      <c r="AP1828" t="s">
        <v>121</v>
      </c>
      <c r="AQ1828" t="s">
        <v>2173</v>
      </c>
      <c r="AR1828" t="s">
        <v>2174</v>
      </c>
      <c r="AS1828" t="s">
        <v>1829</v>
      </c>
      <c r="AT1828" t="s">
        <v>2175</v>
      </c>
      <c r="AV1828" t="s">
        <v>2176</v>
      </c>
      <c r="AW1828" t="s">
        <v>386</v>
      </c>
      <c r="AX1828" s="8" t="str">
        <f>"37110"</f>
        <v>37110</v>
      </c>
      <c r="AY1828" t="s">
        <v>118</v>
      </c>
      <c r="BA1828" s="10">
        <v>19312747811</v>
      </c>
      <c r="BC1828" t="s">
        <v>2177</v>
      </c>
      <c r="BD1828" t="s">
        <v>2178</v>
      </c>
      <c r="BE1828" t="s">
        <v>386</v>
      </c>
      <c r="BF1828" t="s">
        <v>2179</v>
      </c>
      <c r="BG1828" t="s">
        <v>386</v>
      </c>
      <c r="BH1828" s="1">
        <v>45109.833333333336</v>
      </c>
      <c r="BI1828">
        <v>40</v>
      </c>
      <c r="BJ1828">
        <v>0</v>
      </c>
      <c r="BK1828">
        <v>8</v>
      </c>
      <c r="BL1828">
        <v>8</v>
      </c>
      <c r="BM1828">
        <v>8</v>
      </c>
      <c r="BN1828">
        <v>8</v>
      </c>
      <c r="BO1828">
        <v>8</v>
      </c>
      <c r="BP1828">
        <v>0</v>
      </c>
      <c r="BQ1828" t="str">
        <f>"7:00 AM"</f>
        <v>7:00 AM</v>
      </c>
      <c r="BR1828" t="str">
        <f>"4:00 PM"</f>
        <v>4:00 PM</v>
      </c>
      <c r="BS1828" t="s">
        <v>131</v>
      </c>
      <c r="BT1828">
        <v>0</v>
      </c>
      <c r="BU1828">
        <v>3</v>
      </c>
      <c r="BV1828" t="s">
        <v>114</v>
      </c>
      <c r="BX1828" s="2" t="s">
        <v>14719</v>
      </c>
      <c r="BY1828" t="s">
        <v>13796</v>
      </c>
      <c r="CA1828" t="s">
        <v>13797</v>
      </c>
      <c r="CB1828" t="s">
        <v>386</v>
      </c>
      <c r="CC1828" s="8" t="str">
        <f>"38559"</f>
        <v>38559</v>
      </c>
      <c r="CD1828" t="s">
        <v>5567</v>
      </c>
      <c r="CE1828" t="s">
        <v>2425</v>
      </c>
      <c r="CF1828" s="12">
        <v>15.97</v>
      </c>
      <c r="CH1828" s="12">
        <v>23.96</v>
      </c>
      <c r="CJ1828" t="s">
        <v>135</v>
      </c>
      <c r="CK1828" t="s">
        <v>2181</v>
      </c>
      <c r="CL1828" t="s">
        <v>14720</v>
      </c>
      <c r="CO1828" t="s">
        <v>132</v>
      </c>
      <c r="CP1828" t="s">
        <v>136</v>
      </c>
      <c r="CQ1828" t="s">
        <v>136</v>
      </c>
      <c r="CR1828" t="s">
        <v>136</v>
      </c>
      <c r="CS1828" t="s">
        <v>114</v>
      </c>
      <c r="CT1828" t="s">
        <v>136</v>
      </c>
      <c r="CU1828" t="s">
        <v>114</v>
      </c>
      <c r="CV1828" t="s">
        <v>132</v>
      </c>
      <c r="CW1828" s="10" t="str">
        <f>"+19318088554"</f>
        <v>+19318088554</v>
      </c>
      <c r="CX1828" t="s">
        <v>14721</v>
      </c>
      <c r="CY1828" t="s">
        <v>132</v>
      </c>
      <c r="CZ1828" t="s">
        <v>137</v>
      </c>
      <c r="DA1828" t="s">
        <v>114</v>
      </c>
      <c r="DB1828" t="s">
        <v>114</v>
      </c>
      <c r="DC1828" t="s">
        <v>136</v>
      </c>
      <c r="DD1828" t="s">
        <v>114</v>
      </c>
    </row>
    <row r="1829" spans="1:113" ht="15" customHeight="1" x14ac:dyDescent="0.25">
      <c r="A1829" t="s">
        <v>24125</v>
      </c>
      <c r="B1829" t="s">
        <v>113</v>
      </c>
      <c r="C1829" s="1">
        <v>45239.393646759258</v>
      </c>
      <c r="D1829" s="1">
        <v>45272</v>
      </c>
      <c r="E1829" t="s">
        <v>132</v>
      </c>
      <c r="F1829" t="s">
        <v>24126</v>
      </c>
      <c r="G1829" t="str">
        <f>"53-3033.00"</f>
        <v>53-3033.00</v>
      </c>
      <c r="H1829" t="s">
        <v>2973</v>
      </c>
      <c r="I1829">
        <v>8</v>
      </c>
      <c r="K1829" s="1">
        <v>45280</v>
      </c>
      <c r="L1829" s="1">
        <v>45342</v>
      </c>
      <c r="O1829" t="s">
        <v>238</v>
      </c>
      <c r="P1829" t="s">
        <v>24127</v>
      </c>
      <c r="Q1829" t="s">
        <v>24127</v>
      </c>
      <c r="R1829" t="s">
        <v>24128</v>
      </c>
      <c r="T1829" t="s">
        <v>3273</v>
      </c>
      <c r="U1829" t="s">
        <v>375</v>
      </c>
      <c r="V1829" s="8" t="str">
        <f>"28262"</f>
        <v>28262</v>
      </c>
      <c r="W1829" t="s">
        <v>118</v>
      </c>
      <c r="Y1829" s="10">
        <v>12405054419</v>
      </c>
      <c r="AA1829">
        <v>48851</v>
      </c>
      <c r="AB1829" t="s">
        <v>24129</v>
      </c>
      <c r="AC1829" t="s">
        <v>24130</v>
      </c>
      <c r="AD1829" t="s">
        <v>24131</v>
      </c>
      <c r="AE1829" t="s">
        <v>1836</v>
      </c>
      <c r="AF1829" t="s">
        <v>24128</v>
      </c>
      <c r="AH1829" t="s">
        <v>3273</v>
      </c>
      <c r="AI1829" t="s">
        <v>375</v>
      </c>
      <c r="AJ1829" s="8" t="str">
        <f>"28262"</f>
        <v>28262</v>
      </c>
      <c r="AK1829" t="s">
        <v>118</v>
      </c>
      <c r="AM1829" s="10">
        <v>12405054419</v>
      </c>
      <c r="AO1829" t="s">
        <v>24132</v>
      </c>
      <c r="AX1829" s="8" t="str">
        <f>""</f>
        <v/>
      </c>
      <c r="BG1829" t="s">
        <v>375</v>
      </c>
      <c r="BH1829" s="1">
        <v>45200.833333333336</v>
      </c>
      <c r="BI1829">
        <v>35</v>
      </c>
      <c r="BJ1829">
        <v>7</v>
      </c>
      <c r="BK1829">
        <v>0</v>
      </c>
      <c r="BL1829">
        <v>0</v>
      </c>
      <c r="BM1829">
        <v>7</v>
      </c>
      <c r="BN1829">
        <v>7</v>
      </c>
      <c r="BO1829">
        <v>7</v>
      </c>
      <c r="BP1829">
        <v>7</v>
      </c>
      <c r="BQ1829" t="str">
        <f>"6:00 AM"</f>
        <v>6:00 AM</v>
      </c>
      <c r="BR1829" t="str">
        <f>"1:00 PM"</f>
        <v>1:00 PM</v>
      </c>
      <c r="BS1829" t="s">
        <v>147</v>
      </c>
      <c r="BT1829">
        <v>2</v>
      </c>
      <c r="BU1829">
        <v>12</v>
      </c>
      <c r="BV1829" t="s">
        <v>114</v>
      </c>
      <c r="BX1829" s="2" t="s">
        <v>24133</v>
      </c>
      <c r="BY1829" t="s">
        <v>24128</v>
      </c>
      <c r="CA1829" t="s">
        <v>3273</v>
      </c>
      <c r="CB1829" t="s">
        <v>375</v>
      </c>
      <c r="CC1829" s="8" t="str">
        <f>"28262"</f>
        <v>28262</v>
      </c>
      <c r="CD1829" t="s">
        <v>3275</v>
      </c>
      <c r="CE1829" t="s">
        <v>2940</v>
      </c>
      <c r="CF1829" s="12">
        <v>19.89</v>
      </c>
      <c r="CG1829" s="12">
        <v>20</v>
      </c>
      <c r="CJ1829" t="s">
        <v>135</v>
      </c>
      <c r="CL1829" t="s">
        <v>24134</v>
      </c>
      <c r="CO1829" t="s">
        <v>136</v>
      </c>
      <c r="CP1829" t="s">
        <v>114</v>
      </c>
      <c r="CQ1829" t="s">
        <v>136</v>
      </c>
      <c r="CR1829" t="s">
        <v>114</v>
      </c>
      <c r="CS1829" t="s">
        <v>136</v>
      </c>
      <c r="CT1829" t="s">
        <v>114</v>
      </c>
      <c r="CU1829" t="s">
        <v>136</v>
      </c>
      <c r="CV1829" t="s">
        <v>132</v>
      </c>
      <c r="CW1829" s="10" t="str">
        <f>"+12405054419"</f>
        <v>+12405054419</v>
      </c>
      <c r="CX1829" t="s">
        <v>24132</v>
      </c>
      <c r="CY1829" t="s">
        <v>132</v>
      </c>
      <c r="CZ1829" t="s">
        <v>137</v>
      </c>
      <c r="DA1829" t="s">
        <v>114</v>
      </c>
      <c r="DB1829" t="s">
        <v>114</v>
      </c>
      <c r="DC1829" t="s">
        <v>136</v>
      </c>
      <c r="DD1829" t="s">
        <v>114</v>
      </c>
      <c r="DE1829" t="s">
        <v>11169</v>
      </c>
      <c r="DF1829" t="s">
        <v>5037</v>
      </c>
      <c r="DG1829" t="s">
        <v>628</v>
      </c>
      <c r="DH1829" t="s">
        <v>24127</v>
      </c>
      <c r="DI1829" t="s">
        <v>24135</v>
      </c>
    </row>
    <row r="1830" spans="1:113" ht="15" customHeight="1" x14ac:dyDescent="0.25">
      <c r="A1830" t="s">
        <v>16218</v>
      </c>
      <c r="B1830" t="s">
        <v>113</v>
      </c>
      <c r="C1830" s="1">
        <v>45244.645532754628</v>
      </c>
      <c r="D1830" s="1">
        <v>45271</v>
      </c>
      <c r="E1830" t="s">
        <v>132</v>
      </c>
      <c r="F1830" t="s">
        <v>7812</v>
      </c>
      <c r="G1830" t="str">
        <f>"37-3011.00"</f>
        <v>37-3011.00</v>
      </c>
      <c r="H1830" t="s">
        <v>429</v>
      </c>
      <c r="I1830">
        <v>30</v>
      </c>
      <c r="K1830" s="1">
        <v>45323</v>
      </c>
      <c r="L1830" s="1">
        <v>45626</v>
      </c>
      <c r="O1830" t="s">
        <v>238</v>
      </c>
      <c r="P1830" t="s">
        <v>7813</v>
      </c>
      <c r="Q1830" t="s">
        <v>16219</v>
      </c>
      <c r="R1830" t="s">
        <v>7814</v>
      </c>
      <c r="T1830" t="s">
        <v>1764</v>
      </c>
      <c r="U1830" t="s">
        <v>1434</v>
      </c>
      <c r="V1830" s="8" t="str">
        <f>"40508"</f>
        <v>40508</v>
      </c>
      <c r="W1830" t="s">
        <v>118</v>
      </c>
      <c r="Y1830" s="10">
        <v>18599638692</v>
      </c>
      <c r="AA1830">
        <v>56173</v>
      </c>
      <c r="AB1830" t="s">
        <v>7815</v>
      </c>
      <c r="AC1830" t="s">
        <v>1826</v>
      </c>
      <c r="AE1830" t="s">
        <v>629</v>
      </c>
      <c r="AF1830" t="s">
        <v>7814</v>
      </c>
      <c r="AH1830" t="s">
        <v>1764</v>
      </c>
      <c r="AI1830" t="s">
        <v>1434</v>
      </c>
      <c r="AJ1830" s="8" t="str">
        <f>"40508"</f>
        <v>40508</v>
      </c>
      <c r="AK1830" t="s">
        <v>118</v>
      </c>
      <c r="AM1830" s="10">
        <v>18599638692</v>
      </c>
      <c r="AO1830" t="s">
        <v>7816</v>
      </c>
      <c r="AX1830" s="8" t="str">
        <f>""</f>
        <v/>
      </c>
      <c r="BG1830" t="s">
        <v>1434</v>
      </c>
      <c r="BH1830" s="1">
        <v>45243.791666666664</v>
      </c>
      <c r="BI1830">
        <v>40</v>
      </c>
      <c r="BJ1830">
        <v>0</v>
      </c>
      <c r="BK1830">
        <v>8</v>
      </c>
      <c r="BL1830">
        <v>8</v>
      </c>
      <c r="BM1830">
        <v>8</v>
      </c>
      <c r="BN1830">
        <v>8</v>
      </c>
      <c r="BO1830">
        <v>8</v>
      </c>
      <c r="BP1830">
        <v>0</v>
      </c>
      <c r="BQ1830" t="str">
        <f>"8:00 AM"</f>
        <v>8:00 AM</v>
      </c>
      <c r="BR1830" t="str">
        <f>"4:00 PM"</f>
        <v>4:00 PM</v>
      </c>
      <c r="BS1830" t="s">
        <v>131</v>
      </c>
      <c r="BT1830">
        <v>0</v>
      </c>
      <c r="BU1830">
        <v>0</v>
      </c>
      <c r="BV1830" t="s">
        <v>114</v>
      </c>
      <c r="BX1830" t="s">
        <v>796</v>
      </c>
      <c r="BY1830" t="s">
        <v>7814</v>
      </c>
      <c r="CA1830" t="s">
        <v>1764</v>
      </c>
      <c r="CB1830" t="s">
        <v>1434</v>
      </c>
      <c r="CC1830" s="8" t="str">
        <f>"40508"</f>
        <v>40508</v>
      </c>
      <c r="CD1830" t="s">
        <v>2868</v>
      </c>
      <c r="CE1830" t="s">
        <v>4946</v>
      </c>
      <c r="CF1830" s="12">
        <v>15.64</v>
      </c>
      <c r="CG1830" s="12">
        <v>15.64</v>
      </c>
      <c r="CH1830" s="12">
        <v>23.46</v>
      </c>
      <c r="CI1830" s="12">
        <v>23.46</v>
      </c>
      <c r="CJ1830" t="s">
        <v>135</v>
      </c>
      <c r="CL1830" t="s">
        <v>7817</v>
      </c>
      <c r="CO1830" t="s">
        <v>132</v>
      </c>
      <c r="CP1830" t="s">
        <v>136</v>
      </c>
      <c r="CQ1830" t="s">
        <v>136</v>
      </c>
      <c r="CR1830" t="s">
        <v>136</v>
      </c>
      <c r="CS1830" t="s">
        <v>136</v>
      </c>
      <c r="CT1830" t="s">
        <v>136</v>
      </c>
      <c r="CU1830" t="s">
        <v>114</v>
      </c>
      <c r="CV1830" t="s">
        <v>132</v>
      </c>
      <c r="CW1830" s="10" t="str">
        <f>"+18599638692"</f>
        <v>+18599638692</v>
      </c>
      <c r="CX1830" t="s">
        <v>7816</v>
      </c>
      <c r="CY1830" t="s">
        <v>132</v>
      </c>
      <c r="CZ1830" t="s">
        <v>137</v>
      </c>
      <c r="DA1830" t="s">
        <v>114</v>
      </c>
      <c r="DB1830" t="s">
        <v>114</v>
      </c>
      <c r="DC1830" t="s">
        <v>136</v>
      </c>
      <c r="DD1830" t="s">
        <v>114</v>
      </c>
    </row>
    <row r="1831" spans="1:113" ht="15" customHeight="1" x14ac:dyDescent="0.25">
      <c r="A1831" t="s">
        <v>21994</v>
      </c>
      <c r="B1831" t="s">
        <v>113</v>
      </c>
      <c r="C1831" s="1">
        <v>45209.59755972222</v>
      </c>
      <c r="D1831" s="1">
        <v>45268</v>
      </c>
      <c r="E1831" t="s">
        <v>132</v>
      </c>
      <c r="F1831" t="s">
        <v>21995</v>
      </c>
      <c r="G1831" t="str">
        <f>"37-3011.00"</f>
        <v>37-3011.00</v>
      </c>
      <c r="H1831" t="s">
        <v>429</v>
      </c>
      <c r="I1831">
        <v>1</v>
      </c>
      <c r="K1831" s="1">
        <v>45299</v>
      </c>
      <c r="L1831" s="1">
        <v>46027</v>
      </c>
      <c r="O1831" t="s">
        <v>3248</v>
      </c>
      <c r="P1831" t="s">
        <v>21996</v>
      </c>
      <c r="R1831" t="s">
        <v>21997</v>
      </c>
      <c r="T1831" t="s">
        <v>4847</v>
      </c>
      <c r="U1831" t="s">
        <v>543</v>
      </c>
      <c r="V1831" s="8" t="str">
        <f>"44131"</f>
        <v>44131</v>
      </c>
      <c r="W1831" t="s">
        <v>118</v>
      </c>
      <c r="Y1831" s="10">
        <v>14408210788</v>
      </c>
      <c r="AA1831">
        <v>561730</v>
      </c>
      <c r="AB1831" t="s">
        <v>21998</v>
      </c>
      <c r="AC1831" t="s">
        <v>1616</v>
      </c>
      <c r="AE1831" t="s">
        <v>2729</v>
      </c>
      <c r="AF1831" t="s">
        <v>21997</v>
      </c>
      <c r="AH1831" t="s">
        <v>4847</v>
      </c>
      <c r="AI1831" t="s">
        <v>543</v>
      </c>
      <c r="AJ1831" s="8" t="str">
        <f>"44131"</f>
        <v>44131</v>
      </c>
      <c r="AK1831" t="s">
        <v>118</v>
      </c>
      <c r="AM1831" s="10">
        <v>14408210788</v>
      </c>
      <c r="AO1831" t="s">
        <v>21999</v>
      </c>
      <c r="AP1831" t="s">
        <v>121</v>
      </c>
      <c r="AQ1831" t="s">
        <v>2082</v>
      </c>
      <c r="AR1831" t="s">
        <v>22000</v>
      </c>
      <c r="AS1831" t="s">
        <v>2371</v>
      </c>
      <c r="AT1831" t="s">
        <v>22001</v>
      </c>
      <c r="AU1831" t="s">
        <v>296</v>
      </c>
      <c r="AV1831" t="s">
        <v>4847</v>
      </c>
      <c r="AW1831" t="s">
        <v>543</v>
      </c>
      <c r="AX1831" s="8" t="str">
        <f>"44131"</f>
        <v>44131</v>
      </c>
      <c r="AY1831" t="s">
        <v>118</v>
      </c>
      <c r="BA1831" s="10">
        <v>12165736000</v>
      </c>
      <c r="BB1831">
        <v>7010</v>
      </c>
      <c r="BC1831" t="s">
        <v>22002</v>
      </c>
      <c r="BD1831" t="s">
        <v>22003</v>
      </c>
      <c r="BE1831" t="s">
        <v>543</v>
      </c>
      <c r="BF1831" t="s">
        <v>6446</v>
      </c>
      <c r="BG1831" t="s">
        <v>117</v>
      </c>
      <c r="BH1831" s="1">
        <v>45186.833333333336</v>
      </c>
      <c r="BI1831">
        <v>40</v>
      </c>
      <c r="BJ1831">
        <v>0</v>
      </c>
      <c r="BK1831">
        <v>8</v>
      </c>
      <c r="BL1831">
        <v>8</v>
      </c>
      <c r="BM1831">
        <v>8</v>
      </c>
      <c r="BN1831">
        <v>8</v>
      </c>
      <c r="BO1831">
        <v>8</v>
      </c>
      <c r="BP1831">
        <v>0</v>
      </c>
      <c r="BQ1831" t="str">
        <f>"9:00 AM"</f>
        <v>9:00 AM</v>
      </c>
      <c r="BR1831" t="str">
        <f>"5:00 PM"</f>
        <v>5:00 PM</v>
      </c>
      <c r="BS1831" t="s">
        <v>147</v>
      </c>
      <c r="BT1831">
        <v>0</v>
      </c>
      <c r="BU1831">
        <v>0</v>
      </c>
      <c r="BV1831" t="s">
        <v>114</v>
      </c>
      <c r="BX1831" s="2" t="s">
        <v>22004</v>
      </c>
      <c r="BY1831" t="s">
        <v>22005</v>
      </c>
      <c r="CA1831" t="s">
        <v>21162</v>
      </c>
      <c r="CB1831" t="s">
        <v>117</v>
      </c>
      <c r="CC1831" s="8" t="str">
        <f>"60148"</f>
        <v>60148</v>
      </c>
      <c r="CD1831" t="s">
        <v>4862</v>
      </c>
      <c r="CE1831" t="s">
        <v>134</v>
      </c>
      <c r="CF1831" s="12">
        <v>18</v>
      </c>
      <c r="CG1831" s="12">
        <v>22</v>
      </c>
      <c r="CH1831" s="12">
        <v>27</v>
      </c>
      <c r="CI1831" s="12">
        <v>33</v>
      </c>
      <c r="CJ1831" t="s">
        <v>135</v>
      </c>
      <c r="CL1831" t="s">
        <v>22006</v>
      </c>
      <c r="CO1831" t="s">
        <v>132</v>
      </c>
      <c r="CP1831" t="s">
        <v>114</v>
      </c>
      <c r="CQ1831" t="s">
        <v>114</v>
      </c>
      <c r="CR1831" t="s">
        <v>136</v>
      </c>
      <c r="CS1831" t="s">
        <v>136</v>
      </c>
      <c r="CT1831" t="s">
        <v>136</v>
      </c>
      <c r="CU1831" t="s">
        <v>114</v>
      </c>
      <c r="CV1831" t="s">
        <v>22007</v>
      </c>
      <c r="CW1831" s="10" t="str">
        <f>"+14408210788"</f>
        <v>+14408210788</v>
      </c>
      <c r="CX1831" t="s">
        <v>21999</v>
      </c>
      <c r="CY1831" t="s">
        <v>22008</v>
      </c>
      <c r="CZ1831" t="s">
        <v>137</v>
      </c>
      <c r="DA1831" t="s">
        <v>114</v>
      </c>
      <c r="DB1831" t="s">
        <v>114</v>
      </c>
      <c r="DC1831" t="s">
        <v>136</v>
      </c>
      <c r="DD1831" t="s">
        <v>114</v>
      </c>
      <c r="DE1831" t="s">
        <v>2082</v>
      </c>
      <c r="DF1831" t="s">
        <v>22000</v>
      </c>
      <c r="DG1831" t="s">
        <v>2998</v>
      </c>
      <c r="DH1831" t="s">
        <v>22003</v>
      </c>
      <c r="DI1831" t="s">
        <v>22002</v>
      </c>
    </row>
    <row r="1832" spans="1:113" ht="15" customHeight="1" x14ac:dyDescent="0.25">
      <c r="A1832" t="s">
        <v>21155</v>
      </c>
      <c r="B1832" t="s">
        <v>113</v>
      </c>
      <c r="C1832" s="1">
        <v>45224.964636689816</v>
      </c>
      <c r="D1832" s="1">
        <v>45267</v>
      </c>
      <c r="E1832" t="s">
        <v>132</v>
      </c>
      <c r="F1832" t="s">
        <v>293</v>
      </c>
      <c r="G1832" t="str">
        <f>"37-2012.00"</f>
        <v>37-2012.00</v>
      </c>
      <c r="H1832" t="s">
        <v>205</v>
      </c>
      <c r="I1832">
        <v>23</v>
      </c>
      <c r="K1832" s="1">
        <v>45299</v>
      </c>
      <c r="L1832" s="1">
        <v>45451</v>
      </c>
      <c r="O1832" t="s">
        <v>184</v>
      </c>
      <c r="P1832" t="s">
        <v>3307</v>
      </c>
      <c r="R1832" t="s">
        <v>3308</v>
      </c>
      <c r="T1832" t="s">
        <v>3309</v>
      </c>
      <c r="U1832" t="s">
        <v>140</v>
      </c>
      <c r="V1832" s="8" t="str">
        <f>"32459"</f>
        <v>32459</v>
      </c>
      <c r="W1832" t="s">
        <v>118</v>
      </c>
      <c r="Y1832" s="10">
        <v>18505325650</v>
      </c>
      <c r="AA1832">
        <v>561720</v>
      </c>
      <c r="AB1832" t="s">
        <v>3310</v>
      </c>
      <c r="AC1832" t="s">
        <v>3311</v>
      </c>
      <c r="AE1832" t="s">
        <v>561</v>
      </c>
      <c r="AF1832" t="s">
        <v>3308</v>
      </c>
      <c r="AH1832" t="s">
        <v>3309</v>
      </c>
      <c r="AI1832" t="s">
        <v>140</v>
      </c>
      <c r="AJ1832" s="8" t="str">
        <f>"32459"</f>
        <v>32459</v>
      </c>
      <c r="AK1832" t="s">
        <v>118</v>
      </c>
      <c r="AM1832" s="10">
        <v>18505325650</v>
      </c>
      <c r="AO1832" t="s">
        <v>3312</v>
      </c>
      <c r="AX1832" s="8" t="str">
        <f>""</f>
        <v/>
      </c>
      <c r="BG1832" t="s">
        <v>140</v>
      </c>
      <c r="BH1832" s="1">
        <v>45223.833333333336</v>
      </c>
      <c r="BI1832">
        <v>35</v>
      </c>
      <c r="BJ1832">
        <v>7</v>
      </c>
      <c r="BK1832">
        <v>0</v>
      </c>
      <c r="BL1832">
        <v>0</v>
      </c>
      <c r="BM1832">
        <v>7</v>
      </c>
      <c r="BN1832">
        <v>7</v>
      </c>
      <c r="BO1832">
        <v>7</v>
      </c>
      <c r="BP1832">
        <v>7</v>
      </c>
      <c r="BQ1832" t="str">
        <f>"8:00 AM"</f>
        <v>8:00 AM</v>
      </c>
      <c r="BR1832" t="str">
        <f>"4:30 PM"</f>
        <v>4:30 PM</v>
      </c>
      <c r="BS1832" t="s">
        <v>131</v>
      </c>
      <c r="BT1832">
        <v>0</v>
      </c>
      <c r="BU1832">
        <v>6</v>
      </c>
      <c r="BV1832" t="s">
        <v>114</v>
      </c>
      <c r="BX1832" s="2" t="s">
        <v>21156</v>
      </c>
      <c r="BY1832" t="s">
        <v>8019</v>
      </c>
      <c r="CA1832" t="s">
        <v>8020</v>
      </c>
      <c r="CB1832" t="s">
        <v>140</v>
      </c>
      <c r="CC1832" s="8" t="str">
        <f>"32547"</f>
        <v>32547</v>
      </c>
      <c r="CD1832" t="s">
        <v>5061</v>
      </c>
      <c r="CE1832" t="s">
        <v>3314</v>
      </c>
      <c r="CF1832" s="12">
        <v>14.14</v>
      </c>
      <c r="CG1832" s="12">
        <v>14.14</v>
      </c>
      <c r="CH1832" s="12">
        <v>21.21</v>
      </c>
      <c r="CI1832" s="12">
        <v>21.21</v>
      </c>
      <c r="CJ1832" t="s">
        <v>135</v>
      </c>
      <c r="CL1832" t="s">
        <v>20142</v>
      </c>
      <c r="CO1832" t="s">
        <v>132</v>
      </c>
      <c r="CP1832" t="s">
        <v>114</v>
      </c>
      <c r="CQ1832" t="s">
        <v>114</v>
      </c>
      <c r="CR1832" t="s">
        <v>136</v>
      </c>
      <c r="CS1832" t="s">
        <v>136</v>
      </c>
      <c r="CT1832" t="s">
        <v>136</v>
      </c>
      <c r="CU1832" t="s">
        <v>136</v>
      </c>
      <c r="CV1832" t="s">
        <v>8022</v>
      </c>
      <c r="CW1832" s="10" t="str">
        <f>"+18505325650"</f>
        <v>+18505325650</v>
      </c>
      <c r="CX1832" t="s">
        <v>3312</v>
      </c>
      <c r="CY1832" t="s">
        <v>132</v>
      </c>
      <c r="CZ1832" t="s">
        <v>137</v>
      </c>
      <c r="DA1832" t="s">
        <v>114</v>
      </c>
      <c r="DB1832" t="s">
        <v>114</v>
      </c>
      <c r="DC1832" t="s">
        <v>136</v>
      </c>
      <c r="DD1832" t="s">
        <v>114</v>
      </c>
    </row>
    <row r="1833" spans="1:113" ht="15" customHeight="1" x14ac:dyDescent="0.25">
      <c r="A1833" t="s">
        <v>17595</v>
      </c>
      <c r="B1833" t="s">
        <v>113</v>
      </c>
      <c r="C1833" s="1">
        <v>45223.471975462962</v>
      </c>
      <c r="D1833" s="1">
        <v>45266</v>
      </c>
      <c r="E1833" t="s">
        <v>132</v>
      </c>
      <c r="F1833" t="s">
        <v>17596</v>
      </c>
      <c r="G1833" t="str">
        <f>"19-5011.00"</f>
        <v>19-5011.00</v>
      </c>
      <c r="H1833" t="s">
        <v>17597</v>
      </c>
      <c r="I1833">
        <v>4</v>
      </c>
      <c r="K1833" s="1">
        <v>45299</v>
      </c>
      <c r="L1833" s="1">
        <v>45596</v>
      </c>
      <c r="O1833" t="s">
        <v>3248</v>
      </c>
      <c r="P1833" t="s">
        <v>17598</v>
      </c>
      <c r="R1833" t="s">
        <v>17599</v>
      </c>
      <c r="T1833" t="s">
        <v>2865</v>
      </c>
      <c r="U1833" t="s">
        <v>127</v>
      </c>
      <c r="V1833" s="8" t="str">
        <f>"76058"</f>
        <v>76058</v>
      </c>
      <c r="W1833" t="s">
        <v>118</v>
      </c>
      <c r="Y1833" s="10">
        <v>18176596215</v>
      </c>
      <c r="AA1833">
        <v>541690</v>
      </c>
      <c r="AB1833" t="s">
        <v>17600</v>
      </c>
      <c r="AC1833" t="s">
        <v>1872</v>
      </c>
      <c r="AD1833" t="s">
        <v>2709</v>
      </c>
      <c r="AE1833" t="s">
        <v>17601</v>
      </c>
      <c r="AF1833" t="s">
        <v>17602</v>
      </c>
      <c r="AH1833" t="s">
        <v>2865</v>
      </c>
      <c r="AI1833" t="s">
        <v>127</v>
      </c>
      <c r="AJ1833" s="8" t="str">
        <f>"76058"</f>
        <v>76058</v>
      </c>
      <c r="AK1833" t="s">
        <v>118</v>
      </c>
      <c r="AM1833" s="10">
        <v>18176596215</v>
      </c>
      <c r="AO1833" t="s">
        <v>17603</v>
      </c>
      <c r="AX1833" s="8" t="str">
        <f>""</f>
        <v/>
      </c>
      <c r="BG1833" t="s">
        <v>127</v>
      </c>
      <c r="BH1833" s="1">
        <v>45214.833333333336</v>
      </c>
      <c r="BI1833">
        <v>48</v>
      </c>
      <c r="BJ1833">
        <v>0</v>
      </c>
      <c r="BK1833">
        <v>8</v>
      </c>
      <c r="BL1833">
        <v>8</v>
      </c>
      <c r="BM1833">
        <v>8</v>
      </c>
      <c r="BN1833">
        <v>8</v>
      </c>
      <c r="BO1833">
        <v>8</v>
      </c>
      <c r="BP1833">
        <v>8</v>
      </c>
      <c r="BQ1833" t="str">
        <f>"7:00 AM"</f>
        <v>7:00 AM</v>
      </c>
      <c r="BR1833" t="str">
        <f>"8:00 PM"</f>
        <v>8:00 PM</v>
      </c>
      <c r="BS1833" t="s">
        <v>131</v>
      </c>
      <c r="BT1833">
        <v>0</v>
      </c>
      <c r="BU1833">
        <v>12</v>
      </c>
      <c r="BV1833" t="s">
        <v>114</v>
      </c>
      <c r="BX1833" s="2" t="s">
        <v>17604</v>
      </c>
      <c r="BY1833" t="s">
        <v>17602</v>
      </c>
      <c r="CA1833" t="s">
        <v>3316</v>
      </c>
      <c r="CB1833" t="s">
        <v>127</v>
      </c>
      <c r="CC1833" s="8" t="str">
        <f>"76058"</f>
        <v>76058</v>
      </c>
      <c r="CD1833" t="s">
        <v>1969</v>
      </c>
      <c r="CE1833" t="s">
        <v>263</v>
      </c>
      <c r="CF1833" s="12">
        <v>39</v>
      </c>
      <c r="CG1833" s="12">
        <v>42</v>
      </c>
      <c r="CJ1833" t="s">
        <v>135</v>
      </c>
      <c r="CL1833" t="s">
        <v>17605</v>
      </c>
      <c r="CO1833" t="s">
        <v>132</v>
      </c>
      <c r="CP1833" t="s">
        <v>136</v>
      </c>
      <c r="CQ1833" t="s">
        <v>114</v>
      </c>
      <c r="CR1833" t="s">
        <v>114</v>
      </c>
      <c r="CS1833" t="s">
        <v>136</v>
      </c>
      <c r="CT1833" t="s">
        <v>136</v>
      </c>
      <c r="CU1833" t="s">
        <v>114</v>
      </c>
      <c r="CV1833" t="s">
        <v>131</v>
      </c>
      <c r="CW1833" s="10" t="str">
        <f>"+18176596215"</f>
        <v>+18176596215</v>
      </c>
      <c r="CX1833" t="s">
        <v>17603</v>
      </c>
      <c r="CY1833" t="s">
        <v>17606</v>
      </c>
      <c r="CZ1833" t="s">
        <v>137</v>
      </c>
      <c r="DA1833" t="s">
        <v>114</v>
      </c>
      <c r="DB1833" t="s">
        <v>114</v>
      </c>
      <c r="DC1833" t="s">
        <v>136</v>
      </c>
      <c r="DD1833" t="s">
        <v>114</v>
      </c>
    </row>
    <row r="1834" spans="1:113" ht="15" customHeight="1" x14ac:dyDescent="0.25">
      <c r="A1834" t="s">
        <v>24021</v>
      </c>
      <c r="B1834" t="s">
        <v>113</v>
      </c>
      <c r="C1834" s="1">
        <v>45160.472978587961</v>
      </c>
      <c r="D1834" s="1">
        <v>45266</v>
      </c>
      <c r="E1834" t="s">
        <v>114</v>
      </c>
      <c r="F1834" t="s">
        <v>24022</v>
      </c>
      <c r="G1834" t="str">
        <f>"27-3091.00"</f>
        <v>27-3091.00</v>
      </c>
      <c r="H1834" t="s">
        <v>24023</v>
      </c>
      <c r="I1834">
        <v>1</v>
      </c>
      <c r="K1834" s="1">
        <v>45250</v>
      </c>
      <c r="L1834" s="1">
        <v>45467</v>
      </c>
      <c r="O1834" t="s">
        <v>3248</v>
      </c>
      <c r="P1834" t="s">
        <v>24024</v>
      </c>
      <c r="Q1834" t="s">
        <v>24025</v>
      </c>
      <c r="R1834" t="s">
        <v>24026</v>
      </c>
      <c r="T1834" t="s">
        <v>24027</v>
      </c>
      <c r="U1834" t="s">
        <v>1776</v>
      </c>
      <c r="V1834" s="8" t="str">
        <f>"07057"</f>
        <v>07057</v>
      </c>
      <c r="W1834" t="s">
        <v>118</v>
      </c>
      <c r="X1834" t="s">
        <v>24028</v>
      </c>
      <c r="Y1834" s="10">
        <v>12012452306</v>
      </c>
      <c r="AA1834">
        <v>62161</v>
      </c>
      <c r="AB1834" t="s">
        <v>24029</v>
      </c>
      <c r="AC1834" t="s">
        <v>24030</v>
      </c>
      <c r="AE1834" t="s">
        <v>1386</v>
      </c>
      <c r="AF1834" t="s">
        <v>24031</v>
      </c>
      <c r="AH1834" t="s">
        <v>24027</v>
      </c>
      <c r="AI1834" t="s">
        <v>1776</v>
      </c>
      <c r="AJ1834" s="8" t="str">
        <f>"07057"</f>
        <v>07057</v>
      </c>
      <c r="AK1834" t="s">
        <v>118</v>
      </c>
      <c r="AM1834" s="10">
        <v>12012452306</v>
      </c>
      <c r="AO1834" t="s">
        <v>24032</v>
      </c>
      <c r="AX1834" s="8" t="str">
        <f>""</f>
        <v/>
      </c>
      <c r="BG1834" t="s">
        <v>1776</v>
      </c>
      <c r="BH1834" s="1">
        <v>45141.833333333336</v>
      </c>
      <c r="BI1834">
        <v>40</v>
      </c>
      <c r="BJ1834">
        <v>0</v>
      </c>
      <c r="BK1834">
        <v>8</v>
      </c>
      <c r="BL1834">
        <v>8</v>
      </c>
      <c r="BM1834">
        <v>8</v>
      </c>
      <c r="BN1834">
        <v>8</v>
      </c>
      <c r="BO1834">
        <v>8</v>
      </c>
      <c r="BP1834">
        <v>0</v>
      </c>
      <c r="BQ1834" t="str">
        <f>"7:00 AM"</f>
        <v>7:00 AM</v>
      </c>
      <c r="BR1834" t="str">
        <f>"3:00 PM"</f>
        <v>3:00 PM</v>
      </c>
      <c r="BS1834" t="s">
        <v>147</v>
      </c>
      <c r="BT1834">
        <v>1</v>
      </c>
      <c r="BU1834">
        <v>24</v>
      </c>
      <c r="BV1834" t="s">
        <v>114</v>
      </c>
      <c r="BX1834" s="2" t="s">
        <v>24033</v>
      </c>
      <c r="BY1834" t="s">
        <v>24034</v>
      </c>
      <c r="CA1834" t="s">
        <v>24027</v>
      </c>
      <c r="CB1834" t="s">
        <v>1776</v>
      </c>
      <c r="CC1834" s="8" t="str">
        <f>"07057"</f>
        <v>07057</v>
      </c>
      <c r="CD1834" t="s">
        <v>6043</v>
      </c>
      <c r="CE1834" t="s">
        <v>1418</v>
      </c>
      <c r="CF1834" s="12">
        <v>40.99</v>
      </c>
      <c r="CH1834" s="12">
        <v>61.49</v>
      </c>
      <c r="CJ1834" t="s">
        <v>135</v>
      </c>
      <c r="CL1834" t="s">
        <v>24035</v>
      </c>
      <c r="CO1834" t="s">
        <v>132</v>
      </c>
      <c r="CP1834" t="s">
        <v>136</v>
      </c>
      <c r="CQ1834" t="s">
        <v>136</v>
      </c>
      <c r="CR1834" t="s">
        <v>136</v>
      </c>
      <c r="CS1834" t="s">
        <v>136</v>
      </c>
      <c r="CT1834" t="s">
        <v>136</v>
      </c>
      <c r="CU1834" t="s">
        <v>136</v>
      </c>
      <c r="CV1834" t="s">
        <v>24036</v>
      </c>
      <c r="CW1834" s="10" t="str">
        <f>"+12012452406"</f>
        <v>+12012452406</v>
      </c>
      <c r="CX1834" t="s">
        <v>24037</v>
      </c>
      <c r="CY1834" t="s">
        <v>132</v>
      </c>
      <c r="CZ1834" t="s">
        <v>137</v>
      </c>
      <c r="DA1834" t="s">
        <v>114</v>
      </c>
      <c r="DB1834" t="s">
        <v>114</v>
      </c>
      <c r="DC1834" t="s">
        <v>136</v>
      </c>
      <c r="DD1834" t="s">
        <v>114</v>
      </c>
      <c r="DE1834" t="s">
        <v>24038</v>
      </c>
      <c r="DF1834" t="s">
        <v>24030</v>
      </c>
      <c r="DH1834" t="s">
        <v>24024</v>
      </c>
      <c r="DI1834" t="s">
        <v>24039</v>
      </c>
    </row>
    <row r="1835" spans="1:113" ht="15" customHeight="1" x14ac:dyDescent="0.25">
      <c r="A1835" t="s">
        <v>16203</v>
      </c>
      <c r="B1835" t="s">
        <v>113</v>
      </c>
      <c r="C1835" s="1">
        <v>45226.725898263889</v>
      </c>
      <c r="D1835" s="1">
        <v>45265</v>
      </c>
      <c r="E1835" t="s">
        <v>132</v>
      </c>
      <c r="F1835" t="s">
        <v>9086</v>
      </c>
      <c r="G1835" t="str">
        <f>"47-3012.00"</f>
        <v>47-3012.00</v>
      </c>
      <c r="H1835" t="s">
        <v>979</v>
      </c>
      <c r="I1835">
        <v>3</v>
      </c>
      <c r="K1835" s="1">
        <v>45314</v>
      </c>
      <c r="L1835" s="1">
        <v>45534</v>
      </c>
      <c r="O1835" t="s">
        <v>238</v>
      </c>
      <c r="P1835" t="s">
        <v>16204</v>
      </c>
      <c r="R1835" t="s">
        <v>16205</v>
      </c>
      <c r="T1835" t="s">
        <v>8861</v>
      </c>
      <c r="U1835" t="s">
        <v>127</v>
      </c>
      <c r="V1835" s="8" t="str">
        <f>"79928"</f>
        <v>79928</v>
      </c>
      <c r="W1835" t="s">
        <v>118</v>
      </c>
      <c r="Y1835" s="10">
        <v>18062068796</v>
      </c>
      <c r="AA1835">
        <v>56121</v>
      </c>
      <c r="AB1835" t="s">
        <v>16206</v>
      </c>
      <c r="AC1835" t="s">
        <v>16207</v>
      </c>
      <c r="AD1835" t="s">
        <v>16208</v>
      </c>
      <c r="AE1835" t="s">
        <v>1836</v>
      </c>
      <c r="AF1835" t="s">
        <v>16209</v>
      </c>
      <c r="AH1835" t="s">
        <v>16210</v>
      </c>
      <c r="AI1835" t="s">
        <v>984</v>
      </c>
      <c r="AJ1835" s="8" t="str">
        <f>"64119"</f>
        <v>64119</v>
      </c>
      <c r="AK1835" t="s">
        <v>118</v>
      </c>
      <c r="AM1835" s="10">
        <v>18062068796</v>
      </c>
      <c r="AO1835" t="s">
        <v>16211</v>
      </c>
      <c r="AX1835" s="8" t="str">
        <f>""</f>
        <v/>
      </c>
      <c r="BG1835" t="s">
        <v>984</v>
      </c>
      <c r="BH1835" s="1">
        <v>45224.833333333336</v>
      </c>
      <c r="BI1835">
        <v>40</v>
      </c>
      <c r="BJ1835">
        <v>0</v>
      </c>
      <c r="BK1835">
        <v>8</v>
      </c>
      <c r="BL1835">
        <v>8</v>
      </c>
      <c r="BM1835">
        <v>8</v>
      </c>
      <c r="BN1835">
        <v>8</v>
      </c>
      <c r="BO1835">
        <v>8</v>
      </c>
      <c r="BP1835">
        <v>0</v>
      </c>
      <c r="BQ1835" t="str">
        <f>"7:30 AM"</f>
        <v>7:30 AM</v>
      </c>
      <c r="BR1835" t="str">
        <f>"4:00 PM"</f>
        <v>4:00 PM</v>
      </c>
      <c r="BS1835" t="s">
        <v>131</v>
      </c>
      <c r="BT1835">
        <v>0</v>
      </c>
      <c r="BU1835">
        <v>0</v>
      </c>
      <c r="BV1835" t="s">
        <v>114</v>
      </c>
      <c r="BX1835" s="2" t="s">
        <v>16212</v>
      </c>
      <c r="BY1835" t="s">
        <v>16213</v>
      </c>
      <c r="CA1835" t="s">
        <v>16214</v>
      </c>
      <c r="CB1835" t="s">
        <v>1734</v>
      </c>
      <c r="CC1835" s="8" t="str">
        <f>"66027"</f>
        <v>66027</v>
      </c>
      <c r="CD1835" t="s">
        <v>16215</v>
      </c>
      <c r="CE1835" t="s">
        <v>2431</v>
      </c>
      <c r="CF1835" s="12">
        <v>17.52</v>
      </c>
      <c r="CG1835" s="12">
        <v>18</v>
      </c>
      <c r="CH1835" s="12">
        <v>26.28</v>
      </c>
      <c r="CI1835" s="12">
        <v>27</v>
      </c>
      <c r="CJ1835" t="s">
        <v>135</v>
      </c>
      <c r="CL1835" t="s">
        <v>16216</v>
      </c>
      <c r="CO1835" t="s">
        <v>132</v>
      </c>
      <c r="CP1835" t="s">
        <v>114</v>
      </c>
      <c r="CQ1835" t="s">
        <v>136</v>
      </c>
      <c r="CR1835" t="s">
        <v>136</v>
      </c>
      <c r="CS1835" t="s">
        <v>136</v>
      </c>
      <c r="CT1835" t="s">
        <v>136</v>
      </c>
      <c r="CU1835" t="s">
        <v>114</v>
      </c>
      <c r="CV1835" t="s">
        <v>16217</v>
      </c>
      <c r="CW1835" s="10" t="str">
        <f>"+18062068796"</f>
        <v>+18062068796</v>
      </c>
      <c r="CX1835" t="s">
        <v>16211</v>
      </c>
      <c r="CY1835" t="s">
        <v>132</v>
      </c>
      <c r="CZ1835" t="s">
        <v>137</v>
      </c>
      <c r="DA1835" t="s">
        <v>114</v>
      </c>
      <c r="DB1835" t="s">
        <v>136</v>
      </c>
      <c r="DC1835" t="s">
        <v>136</v>
      </c>
      <c r="DD1835" t="s">
        <v>114</v>
      </c>
    </row>
    <row r="1836" spans="1:113" ht="15" customHeight="1" x14ac:dyDescent="0.25">
      <c r="A1836" t="s">
        <v>22831</v>
      </c>
      <c r="B1836" t="s">
        <v>113</v>
      </c>
      <c r="C1836" s="1">
        <v>45222.720522453703</v>
      </c>
      <c r="D1836" s="1">
        <v>45265</v>
      </c>
      <c r="E1836" t="s">
        <v>132</v>
      </c>
      <c r="F1836" t="s">
        <v>22832</v>
      </c>
      <c r="G1836" t="str">
        <f>"49-3031.00"</f>
        <v>49-3031.00</v>
      </c>
      <c r="H1836" t="s">
        <v>3495</v>
      </c>
      <c r="I1836">
        <v>2</v>
      </c>
      <c r="K1836" s="1">
        <v>45306</v>
      </c>
      <c r="L1836" s="1">
        <v>45488</v>
      </c>
      <c r="O1836" t="s">
        <v>238</v>
      </c>
      <c r="P1836" t="s">
        <v>14697</v>
      </c>
      <c r="R1836" t="s">
        <v>22833</v>
      </c>
      <c r="T1836" t="s">
        <v>14699</v>
      </c>
      <c r="U1836" t="s">
        <v>2706</v>
      </c>
      <c r="V1836" s="8" t="str">
        <f>"99670-0142"</f>
        <v>99670-0142</v>
      </c>
      <c r="W1836" t="s">
        <v>118</v>
      </c>
      <c r="X1836" t="s">
        <v>14700</v>
      </c>
      <c r="Y1836" s="10">
        <v>19074691158</v>
      </c>
      <c r="AA1836">
        <v>483113</v>
      </c>
      <c r="AB1836" t="s">
        <v>14701</v>
      </c>
      <c r="AC1836" t="s">
        <v>14702</v>
      </c>
      <c r="AD1836" t="s">
        <v>150</v>
      </c>
      <c r="AE1836" t="s">
        <v>5347</v>
      </c>
      <c r="AF1836" t="s">
        <v>14698</v>
      </c>
      <c r="AH1836" t="s">
        <v>14699</v>
      </c>
      <c r="AI1836" t="s">
        <v>2706</v>
      </c>
      <c r="AJ1836" s="8" t="str">
        <f>"99670"</f>
        <v>99670</v>
      </c>
      <c r="AK1836" t="s">
        <v>118</v>
      </c>
      <c r="AL1836" t="s">
        <v>14700</v>
      </c>
      <c r="AM1836" s="10">
        <v>19074691158</v>
      </c>
      <c r="AO1836" t="s">
        <v>14703</v>
      </c>
      <c r="AX1836" s="8" t="str">
        <f>""</f>
        <v/>
      </c>
      <c r="BG1836" t="s">
        <v>2706</v>
      </c>
      <c r="BH1836" s="1">
        <v>45221.833333333336</v>
      </c>
      <c r="BI1836">
        <v>56</v>
      </c>
      <c r="BJ1836">
        <v>8</v>
      </c>
      <c r="BK1836">
        <v>8</v>
      </c>
      <c r="BL1836">
        <v>8</v>
      </c>
      <c r="BM1836">
        <v>8</v>
      </c>
      <c r="BN1836">
        <v>8</v>
      </c>
      <c r="BO1836">
        <v>8</v>
      </c>
      <c r="BP1836">
        <v>8</v>
      </c>
      <c r="BQ1836" t="str">
        <f>"9:00 AM"</f>
        <v>9:00 AM</v>
      </c>
      <c r="BR1836" t="str">
        <f>"6:00 PM"</f>
        <v>6:00 PM</v>
      </c>
      <c r="BS1836" t="s">
        <v>2129</v>
      </c>
      <c r="BT1836">
        <v>12</v>
      </c>
      <c r="BU1836">
        <v>12</v>
      </c>
      <c r="BV1836" t="s">
        <v>114</v>
      </c>
      <c r="BX1836" s="2" t="s">
        <v>22834</v>
      </c>
      <c r="BY1836" t="s">
        <v>22835</v>
      </c>
      <c r="CA1836" t="s">
        <v>14699</v>
      </c>
      <c r="CB1836" t="s">
        <v>2706</v>
      </c>
      <c r="CC1836" s="8" t="str">
        <f>"99670"</f>
        <v>99670</v>
      </c>
      <c r="CD1836" t="s">
        <v>7446</v>
      </c>
      <c r="CE1836" t="s">
        <v>2714</v>
      </c>
      <c r="CF1836" s="12">
        <v>30.87</v>
      </c>
      <c r="CG1836" s="12">
        <v>30.87</v>
      </c>
      <c r="CH1836" s="12">
        <v>46.31</v>
      </c>
      <c r="CI1836" s="12">
        <v>46.31</v>
      </c>
      <c r="CJ1836" t="s">
        <v>135</v>
      </c>
      <c r="CK1836" t="s">
        <v>22836</v>
      </c>
      <c r="CL1836" t="s">
        <v>22837</v>
      </c>
      <c r="CO1836" t="s">
        <v>132</v>
      </c>
      <c r="CP1836" t="s">
        <v>114</v>
      </c>
      <c r="CQ1836" t="s">
        <v>136</v>
      </c>
      <c r="CR1836" t="s">
        <v>136</v>
      </c>
      <c r="CS1836" t="s">
        <v>136</v>
      </c>
      <c r="CT1836" t="s">
        <v>136</v>
      </c>
      <c r="CU1836" t="s">
        <v>136</v>
      </c>
      <c r="CV1836" t="s">
        <v>22838</v>
      </c>
      <c r="CW1836" s="10" t="str">
        <f>"N/A"</f>
        <v>N/A</v>
      </c>
      <c r="CX1836" t="s">
        <v>14703</v>
      </c>
      <c r="CY1836" t="s">
        <v>22839</v>
      </c>
      <c r="CZ1836" t="s">
        <v>137</v>
      </c>
      <c r="DA1836" t="s">
        <v>114</v>
      </c>
      <c r="DB1836" t="s">
        <v>114</v>
      </c>
      <c r="DC1836" t="s">
        <v>136</v>
      </c>
      <c r="DD1836" t="s">
        <v>114</v>
      </c>
      <c r="DE1836" t="s">
        <v>14701</v>
      </c>
      <c r="DF1836" t="s">
        <v>14702</v>
      </c>
      <c r="DG1836" t="s">
        <v>150</v>
      </c>
      <c r="DH1836" t="s">
        <v>14697</v>
      </c>
      <c r="DI1836" t="s">
        <v>14703</v>
      </c>
    </row>
    <row r="1837" spans="1:113" ht="15" customHeight="1" x14ac:dyDescent="0.25">
      <c r="A1837" t="s">
        <v>5706</v>
      </c>
      <c r="B1837" t="s">
        <v>113</v>
      </c>
      <c r="C1837" s="1">
        <v>45232.681534374999</v>
      </c>
      <c r="D1837" s="1">
        <v>45264</v>
      </c>
      <c r="E1837" t="s">
        <v>132</v>
      </c>
      <c r="F1837" t="s">
        <v>1973</v>
      </c>
      <c r="G1837" t="str">
        <f>"35-3023.01"</f>
        <v>35-3023.01</v>
      </c>
      <c r="H1837" t="s">
        <v>5262</v>
      </c>
      <c r="I1837">
        <v>20</v>
      </c>
      <c r="K1837" s="1">
        <v>45309</v>
      </c>
      <c r="L1837" s="1">
        <v>45473</v>
      </c>
      <c r="O1837" t="s">
        <v>238</v>
      </c>
      <c r="P1837" t="s">
        <v>3805</v>
      </c>
      <c r="R1837" t="s">
        <v>3806</v>
      </c>
      <c r="T1837" t="s">
        <v>3807</v>
      </c>
      <c r="U1837" t="s">
        <v>222</v>
      </c>
      <c r="V1837" s="8" t="str">
        <f>"02645"</f>
        <v>02645</v>
      </c>
      <c r="W1837" t="s">
        <v>118</v>
      </c>
      <c r="Y1837" s="10">
        <v>17747221810</v>
      </c>
      <c r="AA1837">
        <v>722513</v>
      </c>
      <c r="AB1837" t="s">
        <v>3808</v>
      </c>
      <c r="AC1837" t="s">
        <v>3809</v>
      </c>
      <c r="AE1837" t="s">
        <v>3519</v>
      </c>
      <c r="AF1837" t="s">
        <v>3810</v>
      </c>
      <c r="AH1837" t="s">
        <v>3807</v>
      </c>
      <c r="AI1837" t="s">
        <v>222</v>
      </c>
      <c r="AJ1837" s="8" t="str">
        <f>"02645"</f>
        <v>02645</v>
      </c>
      <c r="AK1837" t="s">
        <v>118</v>
      </c>
      <c r="AM1837" s="10">
        <v>17747221810</v>
      </c>
      <c r="AO1837" t="s">
        <v>3811</v>
      </c>
      <c r="AP1837" t="s">
        <v>248</v>
      </c>
      <c r="AQ1837" t="s">
        <v>3818</v>
      </c>
      <c r="AR1837" t="s">
        <v>3819</v>
      </c>
      <c r="AT1837" t="s">
        <v>5707</v>
      </c>
      <c r="AV1837" t="s">
        <v>5708</v>
      </c>
      <c r="AW1837" t="s">
        <v>1776</v>
      </c>
      <c r="AX1837" s="8" t="str">
        <f>"07017"</f>
        <v>07017</v>
      </c>
      <c r="AY1837" t="s">
        <v>118</v>
      </c>
      <c r="BA1837" s="10">
        <v>18622169262</v>
      </c>
      <c r="BC1837" t="s">
        <v>3821</v>
      </c>
      <c r="BD1837" t="s">
        <v>3820</v>
      </c>
      <c r="BG1837" t="s">
        <v>222</v>
      </c>
      <c r="BH1837" s="1">
        <v>45180.833333333336</v>
      </c>
      <c r="BI1837">
        <v>40</v>
      </c>
      <c r="BJ1837">
        <v>8</v>
      </c>
      <c r="BK1837">
        <v>8</v>
      </c>
      <c r="BL1837">
        <v>8</v>
      </c>
      <c r="BM1837">
        <v>8</v>
      </c>
      <c r="BN1837">
        <v>8</v>
      </c>
      <c r="BO1837">
        <v>0</v>
      </c>
      <c r="BP1837">
        <v>0</v>
      </c>
      <c r="BQ1837" t="str">
        <f>"7:00 AM"</f>
        <v>7:00 AM</v>
      </c>
      <c r="BR1837" t="str">
        <f>"3:00 PM"</f>
        <v>3:00 PM</v>
      </c>
      <c r="BS1837" t="s">
        <v>131</v>
      </c>
      <c r="BT1837">
        <v>0</v>
      </c>
      <c r="BU1837">
        <v>0</v>
      </c>
      <c r="BV1837" t="s">
        <v>114</v>
      </c>
      <c r="BX1837" t="s">
        <v>5709</v>
      </c>
      <c r="BY1837" t="s">
        <v>3812</v>
      </c>
      <c r="CA1837" t="s">
        <v>3813</v>
      </c>
      <c r="CB1837" t="s">
        <v>222</v>
      </c>
      <c r="CC1837" s="8" t="str">
        <f>"02660"</f>
        <v>02660</v>
      </c>
      <c r="CD1837" t="s">
        <v>3119</v>
      </c>
      <c r="CE1837" t="s">
        <v>2322</v>
      </c>
      <c r="CF1837" s="12">
        <v>16.47</v>
      </c>
      <c r="CG1837" s="12">
        <v>16.47</v>
      </c>
      <c r="CJ1837" t="s">
        <v>135</v>
      </c>
      <c r="CK1837" t="s">
        <v>796</v>
      </c>
      <c r="CL1837" t="s">
        <v>3815</v>
      </c>
      <c r="CO1837" t="s">
        <v>132</v>
      </c>
      <c r="CP1837" t="s">
        <v>114</v>
      </c>
      <c r="CQ1837" t="s">
        <v>114</v>
      </c>
      <c r="CR1837" t="s">
        <v>114</v>
      </c>
      <c r="CS1837" t="s">
        <v>136</v>
      </c>
      <c r="CT1837" t="s">
        <v>114</v>
      </c>
      <c r="CU1837" t="s">
        <v>114</v>
      </c>
      <c r="CV1837" t="s">
        <v>5710</v>
      </c>
      <c r="CW1837" s="10" t="str">
        <f>"+17747221810"</f>
        <v>+17747221810</v>
      </c>
      <c r="CX1837" t="s">
        <v>3817</v>
      </c>
      <c r="CY1837" t="s">
        <v>132</v>
      </c>
      <c r="CZ1837" t="s">
        <v>137</v>
      </c>
      <c r="DA1837" t="s">
        <v>114</v>
      </c>
      <c r="DB1837" t="s">
        <v>114</v>
      </c>
      <c r="DC1837" t="s">
        <v>136</v>
      </c>
      <c r="DD1837" t="s">
        <v>114</v>
      </c>
      <c r="DE1837" t="s">
        <v>3818</v>
      </c>
      <c r="DF1837" t="s">
        <v>3819</v>
      </c>
      <c r="DH1837" t="s">
        <v>5711</v>
      </c>
      <c r="DI1837" t="s">
        <v>3821</v>
      </c>
    </row>
    <row r="1838" spans="1:113" ht="15" customHeight="1" x14ac:dyDescent="0.25">
      <c r="A1838" t="s">
        <v>24106</v>
      </c>
      <c r="B1838" t="s">
        <v>113</v>
      </c>
      <c r="C1838" s="1">
        <v>45218.396148726853</v>
      </c>
      <c r="D1838" s="1">
        <v>45264</v>
      </c>
      <c r="E1838" t="s">
        <v>132</v>
      </c>
      <c r="F1838" t="s">
        <v>648</v>
      </c>
      <c r="G1838" t="str">
        <f>"11-9021.00"</f>
        <v>11-9021.00</v>
      </c>
      <c r="H1838" t="s">
        <v>648</v>
      </c>
      <c r="I1838">
        <v>2</v>
      </c>
      <c r="K1838" s="1">
        <v>45293</v>
      </c>
      <c r="L1838" s="1">
        <v>45567</v>
      </c>
      <c r="O1838" t="s">
        <v>184</v>
      </c>
      <c r="P1838" t="s">
        <v>24107</v>
      </c>
      <c r="Q1838" t="s">
        <v>24108</v>
      </c>
      <c r="R1838" t="s">
        <v>24109</v>
      </c>
      <c r="S1838" t="s">
        <v>24110</v>
      </c>
      <c r="T1838" t="s">
        <v>6055</v>
      </c>
      <c r="U1838" t="s">
        <v>140</v>
      </c>
      <c r="V1838" s="8" t="str">
        <f>"34236"</f>
        <v>34236</v>
      </c>
      <c r="W1838" t="s">
        <v>118</v>
      </c>
      <c r="X1838" t="s">
        <v>475</v>
      </c>
      <c r="Y1838" s="10">
        <v>19419552591</v>
      </c>
      <c r="AA1838">
        <v>236220</v>
      </c>
      <c r="AB1838" t="s">
        <v>24111</v>
      </c>
      <c r="AC1838" t="s">
        <v>24112</v>
      </c>
      <c r="AE1838" t="s">
        <v>629</v>
      </c>
      <c r="AF1838" t="s">
        <v>24109</v>
      </c>
      <c r="AG1838" t="s">
        <v>24113</v>
      </c>
      <c r="AH1838" t="s">
        <v>6055</v>
      </c>
      <c r="AI1838" t="s">
        <v>140</v>
      </c>
      <c r="AJ1838" s="8" t="str">
        <f>"34236"</f>
        <v>34236</v>
      </c>
      <c r="AK1838" t="s">
        <v>118</v>
      </c>
      <c r="AL1838" t="s">
        <v>6055</v>
      </c>
      <c r="AM1838" s="10">
        <v>19419552591</v>
      </c>
      <c r="AO1838" t="s">
        <v>24114</v>
      </c>
      <c r="AP1838" t="s">
        <v>121</v>
      </c>
      <c r="AQ1838" t="s">
        <v>8126</v>
      </c>
      <c r="AR1838" t="s">
        <v>24115</v>
      </c>
      <c r="AS1838" t="s">
        <v>931</v>
      </c>
      <c r="AT1838" t="s">
        <v>24116</v>
      </c>
      <c r="AU1838" t="s">
        <v>24117</v>
      </c>
      <c r="AV1838" t="s">
        <v>1309</v>
      </c>
      <c r="AW1838" t="s">
        <v>140</v>
      </c>
      <c r="AX1838" s="8" t="str">
        <f>"33139"</f>
        <v>33139</v>
      </c>
      <c r="AY1838" t="s">
        <v>118</v>
      </c>
      <c r="BA1838" s="10">
        <v>13059158167</v>
      </c>
      <c r="BC1838" t="s">
        <v>24118</v>
      </c>
      <c r="BD1838" t="s">
        <v>24119</v>
      </c>
      <c r="BE1838" t="s">
        <v>140</v>
      </c>
      <c r="BF1838" t="s">
        <v>3229</v>
      </c>
      <c r="BG1838" t="s">
        <v>140</v>
      </c>
      <c r="BH1838" s="1">
        <v>45218.833333333336</v>
      </c>
      <c r="BI1838">
        <v>40</v>
      </c>
      <c r="BJ1838">
        <v>0</v>
      </c>
      <c r="BK1838">
        <v>8</v>
      </c>
      <c r="BL1838">
        <v>8</v>
      </c>
      <c r="BM1838">
        <v>8</v>
      </c>
      <c r="BN1838">
        <v>8</v>
      </c>
      <c r="BO1838">
        <v>8</v>
      </c>
      <c r="BP1838">
        <v>0</v>
      </c>
      <c r="BQ1838" t="str">
        <f>"9:00 AM"</f>
        <v>9:00 AM</v>
      </c>
      <c r="BR1838" t="str">
        <f>"5:00 PM"</f>
        <v>5:00 PM</v>
      </c>
      <c r="BS1838" t="s">
        <v>131</v>
      </c>
      <c r="BT1838">
        <v>1</v>
      </c>
      <c r="BU1838">
        <v>1</v>
      </c>
      <c r="BV1838" t="s">
        <v>136</v>
      </c>
      <c r="BW1838">
        <v>2</v>
      </c>
      <c r="BX1838" t="e">
        <f>- Employee MUST have proficiency in generating reports, articulating project issues, and offering possible solutions TO technical issues that may arise with pools.</f>
        <v>#NAME?</v>
      </c>
      <c r="BY1838" t="s">
        <v>24109</v>
      </c>
      <c r="BZ1838" t="s">
        <v>24113</v>
      </c>
      <c r="CA1838" t="s">
        <v>6055</v>
      </c>
      <c r="CB1838" t="s">
        <v>140</v>
      </c>
      <c r="CC1838" s="8" t="str">
        <f>"34236"</f>
        <v>34236</v>
      </c>
      <c r="CD1838" t="s">
        <v>6059</v>
      </c>
      <c r="CE1838" t="s">
        <v>1730</v>
      </c>
      <c r="CF1838" s="12">
        <v>52.89</v>
      </c>
      <c r="CJ1838" t="s">
        <v>135</v>
      </c>
      <c r="CL1838" t="s">
        <v>24120</v>
      </c>
      <c r="CO1838" t="s">
        <v>132</v>
      </c>
      <c r="CP1838" t="s">
        <v>114</v>
      </c>
      <c r="CQ1838" t="s">
        <v>136</v>
      </c>
      <c r="CR1838" t="s">
        <v>114</v>
      </c>
      <c r="CS1838" t="s">
        <v>136</v>
      </c>
      <c r="CT1838" t="s">
        <v>136</v>
      </c>
      <c r="CU1838" t="s">
        <v>114</v>
      </c>
      <c r="CV1838" t="s">
        <v>24121</v>
      </c>
      <c r="CW1838" s="10" t="str">
        <f>"+19413235635"</f>
        <v>+19413235635</v>
      </c>
      <c r="CX1838" t="s">
        <v>24122</v>
      </c>
      <c r="CY1838" t="s">
        <v>24123</v>
      </c>
      <c r="CZ1838" t="s">
        <v>137</v>
      </c>
      <c r="DA1838" t="s">
        <v>114</v>
      </c>
      <c r="DB1838" t="s">
        <v>114</v>
      </c>
      <c r="DC1838" t="s">
        <v>136</v>
      </c>
      <c r="DD1838" t="s">
        <v>114</v>
      </c>
      <c r="DE1838" t="s">
        <v>8126</v>
      </c>
      <c r="DF1838" t="s">
        <v>24115</v>
      </c>
      <c r="DG1838" t="s">
        <v>3587</v>
      </c>
      <c r="DH1838" t="s">
        <v>24119</v>
      </c>
      <c r="DI1838" t="s">
        <v>24118</v>
      </c>
    </row>
    <row r="1839" spans="1:113" ht="15" customHeight="1" x14ac:dyDescent="0.25">
      <c r="A1839" t="s">
        <v>7549</v>
      </c>
      <c r="B1839" t="s">
        <v>113</v>
      </c>
      <c r="C1839" s="1">
        <v>45191.442297222224</v>
      </c>
      <c r="D1839" s="1">
        <v>45264</v>
      </c>
      <c r="E1839" t="s">
        <v>132</v>
      </c>
      <c r="F1839" t="s">
        <v>7550</v>
      </c>
      <c r="G1839" t="str">
        <f>"53-3032.00"</f>
        <v>53-3032.00</v>
      </c>
      <c r="H1839" t="s">
        <v>736</v>
      </c>
      <c r="I1839">
        <v>2</v>
      </c>
      <c r="K1839" s="1">
        <v>45278</v>
      </c>
      <c r="L1839" s="1">
        <v>45474</v>
      </c>
      <c r="O1839" t="s">
        <v>238</v>
      </c>
      <c r="P1839" t="s">
        <v>7551</v>
      </c>
      <c r="R1839" t="s">
        <v>7552</v>
      </c>
      <c r="T1839" t="s">
        <v>7553</v>
      </c>
      <c r="U1839" t="s">
        <v>819</v>
      </c>
      <c r="V1839" s="8" t="str">
        <f>"46825"</f>
        <v>46825</v>
      </c>
      <c r="W1839" t="s">
        <v>118</v>
      </c>
      <c r="Y1839" s="10">
        <v>13157650734</v>
      </c>
      <c r="AA1839">
        <v>484121</v>
      </c>
      <c r="AB1839" t="s">
        <v>7554</v>
      </c>
      <c r="AC1839" t="s">
        <v>7555</v>
      </c>
      <c r="AE1839" t="s">
        <v>561</v>
      </c>
      <c r="AF1839" t="s">
        <v>7552</v>
      </c>
      <c r="AH1839" t="s">
        <v>7556</v>
      </c>
      <c r="AI1839" t="s">
        <v>819</v>
      </c>
      <c r="AJ1839" s="8" t="str">
        <f>"46825"</f>
        <v>46825</v>
      </c>
      <c r="AK1839" t="s">
        <v>118</v>
      </c>
      <c r="AM1839" s="10">
        <v>13153275691</v>
      </c>
      <c r="AO1839" t="s">
        <v>7557</v>
      </c>
      <c r="AX1839" s="8" t="str">
        <f>""</f>
        <v/>
      </c>
      <c r="BG1839" t="s">
        <v>819</v>
      </c>
      <c r="BH1839" s="1">
        <v>45063.833333333336</v>
      </c>
      <c r="BI1839">
        <v>70</v>
      </c>
      <c r="BJ1839">
        <v>0</v>
      </c>
      <c r="BK1839">
        <v>14</v>
      </c>
      <c r="BL1839">
        <v>14</v>
      </c>
      <c r="BM1839">
        <v>14</v>
      </c>
      <c r="BN1839">
        <v>14</v>
      </c>
      <c r="BO1839">
        <v>14</v>
      </c>
      <c r="BP1839">
        <v>0</v>
      </c>
      <c r="BQ1839" t="str">
        <f>"8:00 AM"</f>
        <v>8:00 AM</v>
      </c>
      <c r="BR1839" t="str">
        <f>"10:00 PM"</f>
        <v>10:00 PM</v>
      </c>
      <c r="BS1839" t="s">
        <v>131</v>
      </c>
      <c r="BT1839">
        <v>2</v>
      </c>
      <c r="BU1839">
        <v>0</v>
      </c>
      <c r="BV1839" t="s">
        <v>114</v>
      </c>
      <c r="BX1839" s="2" t="s">
        <v>7558</v>
      </c>
      <c r="BY1839" t="s">
        <v>7559</v>
      </c>
      <c r="CA1839" t="s">
        <v>7556</v>
      </c>
      <c r="CB1839" t="s">
        <v>819</v>
      </c>
      <c r="CC1839" s="8" t="str">
        <f>"46825"</f>
        <v>46825</v>
      </c>
      <c r="CD1839" t="s">
        <v>7560</v>
      </c>
      <c r="CE1839" t="s">
        <v>7561</v>
      </c>
      <c r="CF1839" s="12">
        <v>1200</v>
      </c>
      <c r="CG1839" s="12">
        <v>2000</v>
      </c>
      <c r="CJ1839" t="s">
        <v>5181</v>
      </c>
      <c r="CL1839" t="s">
        <v>7562</v>
      </c>
      <c r="CO1839" t="s">
        <v>132</v>
      </c>
      <c r="CP1839" t="s">
        <v>114</v>
      </c>
      <c r="CQ1839" t="s">
        <v>136</v>
      </c>
      <c r="CR1839" t="s">
        <v>114</v>
      </c>
      <c r="CS1839" t="s">
        <v>136</v>
      </c>
      <c r="CT1839" t="s">
        <v>136</v>
      </c>
      <c r="CU1839" t="s">
        <v>136</v>
      </c>
      <c r="CV1839" t="s">
        <v>1789</v>
      </c>
      <c r="CW1839" s="10" t="str">
        <f>"+13157650734"</f>
        <v>+13157650734</v>
      </c>
      <c r="CX1839" t="s">
        <v>7557</v>
      </c>
      <c r="CY1839" t="s">
        <v>132</v>
      </c>
      <c r="CZ1839" t="s">
        <v>137</v>
      </c>
      <c r="DA1839" t="s">
        <v>114</v>
      </c>
      <c r="DB1839" t="s">
        <v>114</v>
      </c>
      <c r="DC1839" t="s">
        <v>136</v>
      </c>
      <c r="DD1839" t="s">
        <v>114</v>
      </c>
    </row>
    <row r="1840" spans="1:113" ht="15" customHeight="1" x14ac:dyDescent="0.25">
      <c r="A1840" t="s">
        <v>13939</v>
      </c>
      <c r="B1840" t="s">
        <v>113</v>
      </c>
      <c r="C1840" s="1">
        <v>45232.521181249998</v>
      </c>
      <c r="D1840" s="1">
        <v>45261</v>
      </c>
      <c r="E1840" t="s">
        <v>132</v>
      </c>
      <c r="F1840" t="s">
        <v>13940</v>
      </c>
      <c r="G1840" t="str">
        <f>"49-3053.00"</f>
        <v>49-3053.00</v>
      </c>
      <c r="H1840" t="s">
        <v>9820</v>
      </c>
      <c r="I1840">
        <v>2</v>
      </c>
      <c r="K1840" s="1">
        <v>45316</v>
      </c>
      <c r="L1840" s="1">
        <v>46412</v>
      </c>
      <c r="O1840" t="s">
        <v>116</v>
      </c>
      <c r="P1840" t="s">
        <v>9821</v>
      </c>
      <c r="Q1840" t="s">
        <v>9821</v>
      </c>
      <c r="R1840" t="s">
        <v>9822</v>
      </c>
      <c r="T1840" t="s">
        <v>9828</v>
      </c>
      <c r="U1840" t="s">
        <v>993</v>
      </c>
      <c r="V1840" s="8" t="str">
        <f>"54666"</f>
        <v>54666</v>
      </c>
      <c r="W1840" t="s">
        <v>118</v>
      </c>
      <c r="Y1840" s="10">
        <v>19202535626</v>
      </c>
      <c r="AA1840">
        <v>532284</v>
      </c>
      <c r="AB1840" t="s">
        <v>9824</v>
      </c>
      <c r="AC1840" t="s">
        <v>250</v>
      </c>
      <c r="AD1840" t="s">
        <v>1829</v>
      </c>
      <c r="AE1840" t="s">
        <v>6039</v>
      </c>
      <c r="AF1840" t="s">
        <v>9822</v>
      </c>
      <c r="AH1840" t="s">
        <v>13941</v>
      </c>
      <c r="AI1840" t="s">
        <v>993</v>
      </c>
      <c r="AJ1840" s="8" t="str">
        <f>"54666"</f>
        <v>54666</v>
      </c>
      <c r="AK1840" t="s">
        <v>118</v>
      </c>
      <c r="AM1840" s="10">
        <v>19202535626</v>
      </c>
      <c r="AO1840" t="s">
        <v>9825</v>
      </c>
      <c r="AX1840" s="8" t="str">
        <f>""</f>
        <v/>
      </c>
      <c r="BG1840" t="s">
        <v>993</v>
      </c>
      <c r="BH1840" s="1">
        <v>45186.833333333336</v>
      </c>
      <c r="BI1840">
        <v>40</v>
      </c>
      <c r="BJ1840">
        <v>8</v>
      </c>
      <c r="BK1840">
        <v>0</v>
      </c>
      <c r="BL1840">
        <v>8</v>
      </c>
      <c r="BM1840">
        <v>8</v>
      </c>
      <c r="BN1840">
        <v>0</v>
      </c>
      <c r="BO1840">
        <v>8</v>
      </c>
      <c r="BP1840">
        <v>8</v>
      </c>
      <c r="BQ1840" t="str">
        <f>"8:00 AM"</f>
        <v>8:00 AM</v>
      </c>
      <c r="BR1840" t="str">
        <f>"5:00 PM"</f>
        <v>5:00 PM</v>
      </c>
      <c r="BS1840" t="s">
        <v>131</v>
      </c>
      <c r="BT1840">
        <v>0</v>
      </c>
      <c r="BU1840">
        <v>0</v>
      </c>
      <c r="BV1840" t="s">
        <v>136</v>
      </c>
      <c r="BW1840">
        <v>6</v>
      </c>
      <c r="BX1840" s="2" t="s">
        <v>9826</v>
      </c>
      <c r="BY1840" t="s">
        <v>9827</v>
      </c>
      <c r="CA1840" t="s">
        <v>13941</v>
      </c>
      <c r="CB1840" t="s">
        <v>993</v>
      </c>
      <c r="CC1840" s="8" t="str">
        <f>"54666"</f>
        <v>54666</v>
      </c>
      <c r="CD1840" t="s">
        <v>303</v>
      </c>
      <c r="CE1840" t="s">
        <v>9829</v>
      </c>
      <c r="CF1840" s="12">
        <v>18.579999999999998</v>
      </c>
      <c r="CG1840" s="12">
        <v>18.579999999999998</v>
      </c>
      <c r="CH1840" s="12">
        <v>27.87</v>
      </c>
      <c r="CI1840" s="12">
        <v>27.87</v>
      </c>
      <c r="CJ1840" t="s">
        <v>135</v>
      </c>
      <c r="CL1840" t="s">
        <v>13942</v>
      </c>
      <c r="CO1840" t="s">
        <v>132</v>
      </c>
      <c r="CP1840" t="s">
        <v>114</v>
      </c>
      <c r="CQ1840" t="s">
        <v>114</v>
      </c>
      <c r="CR1840" t="s">
        <v>136</v>
      </c>
      <c r="CS1840" t="s">
        <v>114</v>
      </c>
      <c r="CT1840" t="s">
        <v>136</v>
      </c>
      <c r="CU1840" t="s">
        <v>136</v>
      </c>
      <c r="CV1840" t="s">
        <v>1789</v>
      </c>
      <c r="CW1840" s="10" t="str">
        <f>"+19202535626"</f>
        <v>+19202535626</v>
      </c>
      <c r="CX1840" t="s">
        <v>9825</v>
      </c>
      <c r="CY1840" t="s">
        <v>9832</v>
      </c>
      <c r="CZ1840" t="s">
        <v>137</v>
      </c>
      <c r="DA1840" t="s">
        <v>114</v>
      </c>
      <c r="DB1840" t="s">
        <v>114</v>
      </c>
      <c r="DC1840" t="s">
        <v>136</v>
      </c>
      <c r="DD1840" t="s">
        <v>114</v>
      </c>
    </row>
    <row r="1841" spans="1:113" ht="15" customHeight="1" x14ac:dyDescent="0.25">
      <c r="A1841" t="s">
        <v>9818</v>
      </c>
      <c r="B1841" t="s">
        <v>113</v>
      </c>
      <c r="C1841" s="1">
        <v>45232.513356365744</v>
      </c>
      <c r="D1841" s="1">
        <v>45261</v>
      </c>
      <c r="E1841" t="s">
        <v>132</v>
      </c>
      <c r="F1841" t="s">
        <v>9819</v>
      </c>
      <c r="G1841" t="str">
        <f>"49-3053.00"</f>
        <v>49-3053.00</v>
      </c>
      <c r="H1841" t="s">
        <v>9820</v>
      </c>
      <c r="I1841">
        <v>2</v>
      </c>
      <c r="K1841" s="1">
        <v>45316</v>
      </c>
      <c r="L1841" s="1">
        <v>46412</v>
      </c>
      <c r="O1841" t="s">
        <v>116</v>
      </c>
      <c r="P1841" t="s">
        <v>9821</v>
      </c>
      <c r="Q1841" t="s">
        <v>9821</v>
      </c>
      <c r="R1841" t="s">
        <v>9822</v>
      </c>
      <c r="T1841" t="s">
        <v>9823</v>
      </c>
      <c r="U1841" t="s">
        <v>993</v>
      </c>
      <c r="V1841" s="8" t="str">
        <f>"54666"</f>
        <v>54666</v>
      </c>
      <c r="W1841" t="s">
        <v>118</v>
      </c>
      <c r="Y1841" s="10">
        <v>19202535626</v>
      </c>
      <c r="AA1841">
        <v>532284</v>
      </c>
      <c r="AB1841" t="s">
        <v>9824</v>
      </c>
      <c r="AC1841" t="s">
        <v>250</v>
      </c>
      <c r="AD1841" t="s">
        <v>1829</v>
      </c>
      <c r="AE1841" t="s">
        <v>654</v>
      </c>
      <c r="AF1841" t="s">
        <v>9822</v>
      </c>
      <c r="AH1841" t="s">
        <v>9823</v>
      </c>
      <c r="AI1841" t="s">
        <v>993</v>
      </c>
      <c r="AJ1841" s="8" t="str">
        <f>"54666"</f>
        <v>54666</v>
      </c>
      <c r="AK1841" t="s">
        <v>118</v>
      </c>
      <c r="AM1841" s="10">
        <v>19202535626</v>
      </c>
      <c r="AO1841" t="s">
        <v>9825</v>
      </c>
      <c r="AX1841" s="8" t="str">
        <f>""</f>
        <v/>
      </c>
      <c r="BG1841" t="s">
        <v>993</v>
      </c>
      <c r="BH1841" s="1">
        <v>45186.833333333336</v>
      </c>
      <c r="BI1841">
        <v>40</v>
      </c>
      <c r="BJ1841">
        <v>0</v>
      </c>
      <c r="BK1841">
        <v>8</v>
      </c>
      <c r="BL1841">
        <v>8</v>
      </c>
      <c r="BM1841">
        <v>8</v>
      </c>
      <c r="BN1841">
        <v>8</v>
      </c>
      <c r="BO1841">
        <v>8</v>
      </c>
      <c r="BP1841">
        <v>0</v>
      </c>
      <c r="BQ1841" t="str">
        <f>"8:00 AM"</f>
        <v>8:00 AM</v>
      </c>
      <c r="BR1841" t="str">
        <f>"5:00 PM"</f>
        <v>5:00 PM</v>
      </c>
      <c r="BS1841" t="s">
        <v>131</v>
      </c>
      <c r="BT1841">
        <v>0</v>
      </c>
      <c r="BU1841">
        <v>0</v>
      </c>
      <c r="BV1841" t="s">
        <v>136</v>
      </c>
      <c r="BW1841">
        <v>6</v>
      </c>
      <c r="BX1841" s="2" t="s">
        <v>9826</v>
      </c>
      <c r="BY1841" t="s">
        <v>9827</v>
      </c>
      <c r="CA1841" t="s">
        <v>9828</v>
      </c>
      <c r="CB1841" t="s">
        <v>993</v>
      </c>
      <c r="CC1841" s="8" t="str">
        <f>"54666"</f>
        <v>54666</v>
      </c>
      <c r="CD1841" t="s">
        <v>303</v>
      </c>
      <c r="CE1841" t="s">
        <v>9829</v>
      </c>
      <c r="CF1841" s="12">
        <v>18.579999999999998</v>
      </c>
      <c r="CG1841" s="12">
        <v>18.579999999999998</v>
      </c>
      <c r="CH1841" s="12">
        <v>27.87</v>
      </c>
      <c r="CI1841" s="12">
        <v>27.87</v>
      </c>
      <c r="CJ1841" t="s">
        <v>135</v>
      </c>
      <c r="CK1841" t="s">
        <v>9830</v>
      </c>
      <c r="CL1841" t="s">
        <v>9831</v>
      </c>
      <c r="CO1841" t="s">
        <v>132</v>
      </c>
      <c r="CP1841" t="s">
        <v>114</v>
      </c>
      <c r="CQ1841" t="s">
        <v>114</v>
      </c>
      <c r="CR1841" t="s">
        <v>136</v>
      </c>
      <c r="CS1841" t="s">
        <v>114</v>
      </c>
      <c r="CT1841" t="s">
        <v>136</v>
      </c>
      <c r="CU1841" t="s">
        <v>136</v>
      </c>
      <c r="CV1841" t="s">
        <v>131</v>
      </c>
      <c r="CW1841" s="10" t="str">
        <f>"+19202535626"</f>
        <v>+19202535626</v>
      </c>
      <c r="CX1841" t="s">
        <v>9825</v>
      </c>
      <c r="CY1841" t="s">
        <v>9832</v>
      </c>
      <c r="CZ1841" t="s">
        <v>137</v>
      </c>
      <c r="DA1841" t="s">
        <v>114</v>
      </c>
      <c r="DB1841" t="s">
        <v>114</v>
      </c>
      <c r="DC1841" t="s">
        <v>136</v>
      </c>
      <c r="DD1841" t="s">
        <v>114</v>
      </c>
    </row>
    <row r="1842" spans="1:113" ht="15" customHeight="1" x14ac:dyDescent="0.25">
      <c r="A1842" t="s">
        <v>15371</v>
      </c>
      <c r="B1842" t="s">
        <v>113</v>
      </c>
      <c r="C1842" s="1">
        <v>45230.892238078704</v>
      </c>
      <c r="D1842" s="1">
        <v>45261</v>
      </c>
      <c r="E1842" t="s">
        <v>132</v>
      </c>
      <c r="F1842" t="s">
        <v>15372</v>
      </c>
      <c r="G1842" t="str">
        <f>"53-3053.00"</f>
        <v>53-3053.00</v>
      </c>
      <c r="H1842" t="s">
        <v>7819</v>
      </c>
      <c r="I1842">
        <v>4</v>
      </c>
      <c r="K1842" s="1">
        <v>45260</v>
      </c>
      <c r="L1842" s="1">
        <v>45535</v>
      </c>
      <c r="O1842" t="s">
        <v>116</v>
      </c>
      <c r="P1842" t="s">
        <v>15373</v>
      </c>
      <c r="R1842" t="s">
        <v>15374</v>
      </c>
      <c r="S1842" t="s">
        <v>15375</v>
      </c>
      <c r="T1842" t="s">
        <v>15376</v>
      </c>
      <c r="U1842" t="s">
        <v>543</v>
      </c>
      <c r="V1842" s="8" t="str">
        <f>"43623"</f>
        <v>43623</v>
      </c>
      <c r="W1842" t="s">
        <v>118</v>
      </c>
      <c r="Y1842" s="10">
        <v>14193200552</v>
      </c>
      <c r="AA1842">
        <v>561720</v>
      </c>
      <c r="AB1842" t="s">
        <v>15377</v>
      </c>
      <c r="AC1842" t="s">
        <v>826</v>
      </c>
      <c r="AD1842" t="s">
        <v>15378</v>
      </c>
      <c r="AE1842" t="s">
        <v>15379</v>
      </c>
      <c r="AF1842" t="s">
        <v>15374</v>
      </c>
      <c r="AG1842" t="s">
        <v>15375</v>
      </c>
      <c r="AH1842" t="s">
        <v>15376</v>
      </c>
      <c r="AI1842" t="s">
        <v>543</v>
      </c>
      <c r="AJ1842" s="8" t="str">
        <f>"43623"</f>
        <v>43623</v>
      </c>
      <c r="AK1842" t="s">
        <v>118</v>
      </c>
      <c r="AM1842" s="10">
        <v>14193200552</v>
      </c>
      <c r="AO1842" t="s">
        <v>15380</v>
      </c>
      <c r="AX1842" s="8" t="str">
        <f>""</f>
        <v/>
      </c>
      <c r="BG1842" t="s">
        <v>543</v>
      </c>
      <c r="BH1842" s="1">
        <v>45152.833333333336</v>
      </c>
      <c r="BI1842">
        <v>40</v>
      </c>
      <c r="BJ1842">
        <v>9</v>
      </c>
      <c r="BK1842">
        <v>8</v>
      </c>
      <c r="BL1842">
        <v>8</v>
      </c>
      <c r="BM1842">
        <v>0</v>
      </c>
      <c r="BN1842">
        <v>7</v>
      </c>
      <c r="BO1842">
        <v>0</v>
      </c>
      <c r="BP1842">
        <v>8</v>
      </c>
      <c r="BQ1842" t="str">
        <f>"8:30 AM"</f>
        <v>8:30 AM</v>
      </c>
      <c r="BR1842" t="str">
        <f>"4:30 PM"</f>
        <v>4:30 PM</v>
      </c>
      <c r="BS1842" t="s">
        <v>147</v>
      </c>
      <c r="BT1842">
        <v>3</v>
      </c>
      <c r="BU1842">
        <v>6</v>
      </c>
      <c r="BV1842" t="s">
        <v>114</v>
      </c>
      <c r="BX1842" s="2" t="s">
        <v>15381</v>
      </c>
      <c r="BY1842" t="s">
        <v>15374</v>
      </c>
      <c r="BZ1842" t="s">
        <v>15375</v>
      </c>
      <c r="CA1842" t="s">
        <v>15376</v>
      </c>
      <c r="CB1842" t="s">
        <v>543</v>
      </c>
      <c r="CC1842" s="8" t="str">
        <f>"43623"</f>
        <v>43623</v>
      </c>
      <c r="CD1842" t="s">
        <v>5289</v>
      </c>
      <c r="CE1842" t="s">
        <v>5290</v>
      </c>
      <c r="CF1842" s="12">
        <v>14.5</v>
      </c>
      <c r="CG1842" s="12">
        <v>16</v>
      </c>
      <c r="CJ1842" t="s">
        <v>135</v>
      </c>
      <c r="CL1842" t="s">
        <v>15382</v>
      </c>
      <c r="CO1842" t="s">
        <v>136</v>
      </c>
      <c r="CP1842" t="s">
        <v>114</v>
      </c>
      <c r="CQ1842" t="s">
        <v>136</v>
      </c>
      <c r="CR1842" t="s">
        <v>114</v>
      </c>
      <c r="CS1842" t="s">
        <v>136</v>
      </c>
      <c r="CT1842" t="s">
        <v>136</v>
      </c>
      <c r="CU1842" t="s">
        <v>136</v>
      </c>
      <c r="CV1842" s="2" t="s">
        <v>15383</v>
      </c>
      <c r="CW1842" s="10" t="str">
        <f>"+14193200552"</f>
        <v>+14193200552</v>
      </c>
      <c r="CX1842" t="s">
        <v>15384</v>
      </c>
      <c r="CY1842" t="s">
        <v>15385</v>
      </c>
      <c r="CZ1842" t="s">
        <v>137</v>
      </c>
      <c r="DA1842" t="s">
        <v>114</v>
      </c>
      <c r="DB1842" t="s">
        <v>114</v>
      </c>
      <c r="DC1842" t="s">
        <v>136</v>
      </c>
      <c r="DD1842" t="s">
        <v>114</v>
      </c>
      <c r="DE1842" t="s">
        <v>15377</v>
      </c>
      <c r="DF1842" t="s">
        <v>826</v>
      </c>
      <c r="DG1842" t="s">
        <v>1738</v>
      </c>
      <c r="DH1842" t="s">
        <v>15373</v>
      </c>
      <c r="DI1842" t="s">
        <v>15380</v>
      </c>
    </row>
    <row r="1843" spans="1:113" ht="15" customHeight="1" x14ac:dyDescent="0.25">
      <c r="A1843" t="s">
        <v>14694</v>
      </c>
      <c r="B1843" t="s">
        <v>113</v>
      </c>
      <c r="C1843" s="1">
        <v>45221.218278009263</v>
      </c>
      <c r="D1843" s="1">
        <v>45261</v>
      </c>
      <c r="E1843" t="s">
        <v>132</v>
      </c>
      <c r="F1843" t="s">
        <v>14695</v>
      </c>
      <c r="G1843" t="str">
        <f>"43-3031.00"</f>
        <v>43-3031.00</v>
      </c>
      <c r="H1843" t="s">
        <v>14696</v>
      </c>
      <c r="I1843">
        <v>2</v>
      </c>
      <c r="K1843" s="1">
        <v>45296</v>
      </c>
      <c r="L1843" s="1">
        <v>45478</v>
      </c>
      <c r="O1843" t="s">
        <v>238</v>
      </c>
      <c r="P1843" t="s">
        <v>14697</v>
      </c>
      <c r="R1843" t="s">
        <v>14698</v>
      </c>
      <c r="T1843" t="s">
        <v>14699</v>
      </c>
      <c r="U1843" t="s">
        <v>2706</v>
      </c>
      <c r="V1843" s="8" t="str">
        <f>"99670"</f>
        <v>99670</v>
      </c>
      <c r="W1843" t="s">
        <v>118</v>
      </c>
      <c r="X1843" t="s">
        <v>14700</v>
      </c>
      <c r="Y1843" s="10">
        <v>19074691158</v>
      </c>
      <c r="AA1843">
        <v>483113</v>
      </c>
      <c r="AB1843" t="s">
        <v>14701</v>
      </c>
      <c r="AC1843" t="s">
        <v>14702</v>
      </c>
      <c r="AD1843" t="s">
        <v>150</v>
      </c>
      <c r="AE1843" t="s">
        <v>5347</v>
      </c>
      <c r="AF1843" t="s">
        <v>14698</v>
      </c>
      <c r="AH1843" t="s">
        <v>14699</v>
      </c>
      <c r="AI1843" t="s">
        <v>2706</v>
      </c>
      <c r="AJ1843" s="8" t="str">
        <f>"99670"</f>
        <v>99670</v>
      </c>
      <c r="AK1843" t="s">
        <v>118</v>
      </c>
      <c r="AL1843" t="s">
        <v>14700</v>
      </c>
      <c r="AM1843" s="10">
        <v>19074691158</v>
      </c>
      <c r="AO1843" t="s">
        <v>14703</v>
      </c>
      <c r="AX1843" s="8" t="str">
        <f>""</f>
        <v/>
      </c>
      <c r="BG1843" t="s">
        <v>2706</v>
      </c>
      <c r="BH1843" s="1">
        <v>45220.833333333336</v>
      </c>
      <c r="BI1843">
        <v>40</v>
      </c>
      <c r="BJ1843">
        <v>0</v>
      </c>
      <c r="BK1843">
        <v>8</v>
      </c>
      <c r="BL1843">
        <v>8</v>
      </c>
      <c r="BM1843">
        <v>8</v>
      </c>
      <c r="BN1843">
        <v>8</v>
      </c>
      <c r="BO1843">
        <v>8</v>
      </c>
      <c r="BP1843">
        <v>0</v>
      </c>
      <c r="BQ1843" t="str">
        <f>"9:00 AM"</f>
        <v>9:00 AM</v>
      </c>
      <c r="BR1843" t="str">
        <f>"6:00 PM"</f>
        <v>6:00 PM</v>
      </c>
      <c r="BS1843" t="s">
        <v>147</v>
      </c>
      <c r="BT1843">
        <v>12</v>
      </c>
      <c r="BU1843">
        <v>12</v>
      </c>
      <c r="BV1843" t="s">
        <v>114</v>
      </c>
      <c r="BX1843" s="2" t="s">
        <v>14704</v>
      </c>
      <c r="BY1843" t="s">
        <v>14698</v>
      </c>
      <c r="CA1843" t="s">
        <v>14699</v>
      </c>
      <c r="CB1843" t="s">
        <v>2706</v>
      </c>
      <c r="CC1843" s="8" t="str">
        <f>"99670"</f>
        <v>99670</v>
      </c>
      <c r="CD1843" t="s">
        <v>7446</v>
      </c>
      <c r="CE1843" t="s">
        <v>2714</v>
      </c>
      <c r="CF1843" s="12">
        <v>25.41</v>
      </c>
      <c r="CG1843" s="12">
        <v>25.41</v>
      </c>
      <c r="CH1843" s="12">
        <v>38.119999999999997</v>
      </c>
      <c r="CI1843" s="12">
        <v>38.119999999999997</v>
      </c>
      <c r="CJ1843" t="s">
        <v>135</v>
      </c>
      <c r="CK1843" t="s">
        <v>14705</v>
      </c>
      <c r="CL1843" t="s">
        <v>14706</v>
      </c>
      <c r="CO1843" t="s">
        <v>132</v>
      </c>
      <c r="CP1843" t="s">
        <v>114</v>
      </c>
      <c r="CQ1843" t="s">
        <v>136</v>
      </c>
      <c r="CR1843" t="s">
        <v>136</v>
      </c>
      <c r="CS1843" t="s">
        <v>136</v>
      </c>
      <c r="CT1843" t="s">
        <v>136</v>
      </c>
      <c r="CU1843" t="s">
        <v>136</v>
      </c>
      <c r="CV1843" s="2" t="s">
        <v>14707</v>
      </c>
      <c r="CW1843" s="10" t="str">
        <f>"N/A"</f>
        <v>N/A</v>
      </c>
      <c r="CX1843" t="s">
        <v>14703</v>
      </c>
      <c r="CY1843" t="s">
        <v>14708</v>
      </c>
      <c r="CZ1843" t="s">
        <v>137</v>
      </c>
      <c r="DA1843" t="s">
        <v>114</v>
      </c>
      <c r="DB1843" t="s">
        <v>114</v>
      </c>
      <c r="DC1843" t="s">
        <v>136</v>
      </c>
      <c r="DD1843" t="s">
        <v>114</v>
      </c>
    </row>
    <row r="1844" spans="1:113" ht="15" customHeight="1" x14ac:dyDescent="0.25">
      <c r="A1844" t="s">
        <v>15108</v>
      </c>
      <c r="B1844" t="s">
        <v>113</v>
      </c>
      <c r="C1844" s="1">
        <v>45172.37460289352</v>
      </c>
      <c r="D1844" s="1">
        <v>45261</v>
      </c>
      <c r="E1844" t="s">
        <v>132</v>
      </c>
      <c r="F1844" t="s">
        <v>2769</v>
      </c>
      <c r="G1844" t="str">
        <f>"47-3012.00"</f>
        <v>47-3012.00</v>
      </c>
      <c r="H1844" t="s">
        <v>979</v>
      </c>
      <c r="I1844">
        <v>5</v>
      </c>
      <c r="K1844" s="1">
        <v>45261</v>
      </c>
      <c r="L1844" s="1">
        <v>45397</v>
      </c>
      <c r="O1844" t="s">
        <v>116</v>
      </c>
      <c r="P1844" t="s">
        <v>15109</v>
      </c>
      <c r="R1844" t="s">
        <v>15110</v>
      </c>
      <c r="S1844" t="s">
        <v>15111</v>
      </c>
      <c r="T1844" t="s">
        <v>2126</v>
      </c>
      <c r="U1844" t="s">
        <v>158</v>
      </c>
      <c r="V1844" s="8" t="str">
        <f>"48083"</f>
        <v>48083</v>
      </c>
      <c r="W1844" t="s">
        <v>118</v>
      </c>
      <c r="Y1844" s="10">
        <v>15864050715</v>
      </c>
      <c r="AA1844">
        <v>531311</v>
      </c>
      <c r="AB1844" t="s">
        <v>15112</v>
      </c>
      <c r="AC1844" t="s">
        <v>15113</v>
      </c>
      <c r="AE1844" t="s">
        <v>654</v>
      </c>
      <c r="AF1844" t="s">
        <v>15114</v>
      </c>
      <c r="AG1844" t="s">
        <v>15111</v>
      </c>
      <c r="AH1844" t="s">
        <v>15115</v>
      </c>
      <c r="AI1844" t="s">
        <v>158</v>
      </c>
      <c r="AJ1844" s="8" t="str">
        <f>"48083"</f>
        <v>48083</v>
      </c>
      <c r="AK1844" t="s">
        <v>118</v>
      </c>
      <c r="AM1844" s="10">
        <v>15864050715</v>
      </c>
      <c r="AO1844" t="s">
        <v>15116</v>
      </c>
      <c r="AP1844" t="s">
        <v>121</v>
      </c>
      <c r="AQ1844" t="s">
        <v>989</v>
      </c>
      <c r="AR1844" t="s">
        <v>244</v>
      </c>
      <c r="AS1844" t="s">
        <v>990</v>
      </c>
      <c r="AT1844" t="s">
        <v>991</v>
      </c>
      <c r="AV1844" t="s">
        <v>992</v>
      </c>
      <c r="AW1844" t="s">
        <v>993</v>
      </c>
      <c r="AX1844" s="8" t="str">
        <f>"54301"</f>
        <v>54301</v>
      </c>
      <c r="AY1844" t="s">
        <v>118</v>
      </c>
      <c r="BA1844" s="10">
        <v>18004140978</v>
      </c>
      <c r="BC1844" t="s">
        <v>994</v>
      </c>
      <c r="BD1844" t="s">
        <v>995</v>
      </c>
      <c r="BE1844" t="s">
        <v>581</v>
      </c>
      <c r="BF1844" t="s">
        <v>996</v>
      </c>
      <c r="BG1844" t="s">
        <v>158</v>
      </c>
      <c r="BH1844" s="1">
        <v>45169.833333333336</v>
      </c>
      <c r="BI1844">
        <v>40</v>
      </c>
      <c r="BJ1844">
        <v>0</v>
      </c>
      <c r="BK1844">
        <v>8</v>
      </c>
      <c r="BL1844">
        <v>8</v>
      </c>
      <c r="BM1844">
        <v>8</v>
      </c>
      <c r="BN1844">
        <v>8</v>
      </c>
      <c r="BO1844">
        <v>8</v>
      </c>
      <c r="BP1844">
        <v>0</v>
      </c>
      <c r="BQ1844" t="str">
        <f>"6:30 AM"</f>
        <v>6:30 AM</v>
      </c>
      <c r="BR1844" t="str">
        <f>"4:00 PM"</f>
        <v>4:00 PM</v>
      </c>
      <c r="BS1844" t="s">
        <v>131</v>
      </c>
      <c r="BT1844">
        <v>0</v>
      </c>
      <c r="BU1844">
        <v>0</v>
      </c>
      <c r="BV1844" t="s">
        <v>114</v>
      </c>
      <c r="BX1844" s="2" t="s">
        <v>15117</v>
      </c>
      <c r="BY1844" t="s">
        <v>15118</v>
      </c>
      <c r="BZ1844" t="s">
        <v>9295</v>
      </c>
      <c r="CA1844" t="s">
        <v>2126</v>
      </c>
      <c r="CB1844" t="s">
        <v>158</v>
      </c>
      <c r="CC1844" s="8" t="str">
        <f>"48083"</f>
        <v>48083</v>
      </c>
      <c r="CD1844" t="s">
        <v>2227</v>
      </c>
      <c r="CE1844" t="s">
        <v>2228</v>
      </c>
      <c r="CF1844" s="12">
        <v>19.25</v>
      </c>
      <c r="CH1844" s="12">
        <v>28.88</v>
      </c>
      <c r="CJ1844" t="s">
        <v>135</v>
      </c>
      <c r="CK1844" t="s">
        <v>15119</v>
      </c>
      <c r="CL1844" t="s">
        <v>15120</v>
      </c>
      <c r="CO1844" t="s">
        <v>132</v>
      </c>
      <c r="CP1844" t="s">
        <v>136</v>
      </c>
      <c r="CQ1844" t="s">
        <v>136</v>
      </c>
      <c r="CR1844" t="s">
        <v>136</v>
      </c>
      <c r="CS1844" t="s">
        <v>136</v>
      </c>
      <c r="CT1844" t="s">
        <v>136</v>
      </c>
      <c r="CU1844" t="s">
        <v>136</v>
      </c>
      <c r="CV1844" s="2" t="s">
        <v>15121</v>
      </c>
      <c r="CW1844" s="10" t="str">
        <f>"+15864050715"</f>
        <v>+15864050715</v>
      </c>
      <c r="CX1844" t="s">
        <v>15116</v>
      </c>
      <c r="CY1844" t="s">
        <v>132</v>
      </c>
      <c r="CZ1844" t="s">
        <v>137</v>
      </c>
      <c r="DA1844" t="s">
        <v>114</v>
      </c>
      <c r="DB1844" t="s">
        <v>114</v>
      </c>
      <c r="DC1844" t="s">
        <v>136</v>
      </c>
      <c r="DD1844" t="s">
        <v>114</v>
      </c>
    </row>
    <row r="1845" spans="1:113" ht="15" customHeight="1" x14ac:dyDescent="0.25">
      <c r="A1845" t="s">
        <v>23015</v>
      </c>
      <c r="B1845" t="s">
        <v>113</v>
      </c>
      <c r="C1845" s="1">
        <v>45225.487437847223</v>
      </c>
      <c r="D1845" s="1">
        <v>45260</v>
      </c>
      <c r="E1845" t="s">
        <v>132</v>
      </c>
      <c r="F1845" t="s">
        <v>22339</v>
      </c>
      <c r="G1845" t="str">
        <f>"39-2021.00"</f>
        <v>39-2021.00</v>
      </c>
      <c r="H1845" t="s">
        <v>2895</v>
      </c>
      <c r="I1845">
        <v>1</v>
      </c>
      <c r="K1845" s="1">
        <v>45306</v>
      </c>
      <c r="L1845" s="1">
        <v>45672</v>
      </c>
      <c r="O1845" t="s">
        <v>116</v>
      </c>
      <c r="P1845" t="s">
        <v>22340</v>
      </c>
      <c r="R1845" t="s">
        <v>22341</v>
      </c>
      <c r="S1845" t="s">
        <v>22342</v>
      </c>
      <c r="T1845" t="s">
        <v>8344</v>
      </c>
      <c r="U1845" t="s">
        <v>127</v>
      </c>
      <c r="V1845" s="8" t="str">
        <f>"77056"</f>
        <v>77056</v>
      </c>
      <c r="W1845" t="s">
        <v>118</v>
      </c>
      <c r="Y1845" s="10">
        <v>13466067463</v>
      </c>
      <c r="AA1845">
        <v>81291</v>
      </c>
      <c r="AB1845" t="s">
        <v>22343</v>
      </c>
      <c r="AC1845" t="s">
        <v>11563</v>
      </c>
      <c r="AD1845" t="s">
        <v>22344</v>
      </c>
      <c r="AE1845" t="s">
        <v>6176</v>
      </c>
      <c r="AF1845" t="s">
        <v>22341</v>
      </c>
      <c r="AG1845" t="s">
        <v>22342</v>
      </c>
      <c r="AH1845" t="s">
        <v>8344</v>
      </c>
      <c r="AI1845" t="s">
        <v>127</v>
      </c>
      <c r="AJ1845" s="8" t="str">
        <f>"77056"</f>
        <v>77056</v>
      </c>
      <c r="AK1845" t="s">
        <v>118</v>
      </c>
      <c r="AM1845" s="10">
        <v>13466067463</v>
      </c>
      <c r="AO1845" t="s">
        <v>22345</v>
      </c>
      <c r="AX1845" s="8" t="str">
        <f>""</f>
        <v/>
      </c>
      <c r="BG1845" t="s">
        <v>127</v>
      </c>
      <c r="BH1845" s="1">
        <v>45181.833333333336</v>
      </c>
      <c r="BI1845">
        <v>40</v>
      </c>
      <c r="BJ1845">
        <v>0</v>
      </c>
      <c r="BK1845">
        <v>8</v>
      </c>
      <c r="BL1845">
        <v>8</v>
      </c>
      <c r="BM1845">
        <v>8</v>
      </c>
      <c r="BN1845">
        <v>8</v>
      </c>
      <c r="BO1845">
        <v>8</v>
      </c>
      <c r="BP1845">
        <v>0</v>
      </c>
      <c r="BQ1845" t="str">
        <f>"9:00 AM"</f>
        <v>9:00 AM</v>
      </c>
      <c r="BR1845" t="str">
        <f>"5:00 PM"</f>
        <v>5:00 PM</v>
      </c>
      <c r="BS1845" t="s">
        <v>5177</v>
      </c>
      <c r="BT1845">
        <v>3</v>
      </c>
      <c r="BU1845">
        <v>6</v>
      </c>
      <c r="BV1845" t="s">
        <v>114</v>
      </c>
      <c r="BX1845" s="2" t="s">
        <v>23016</v>
      </c>
      <c r="BY1845" t="s">
        <v>22341</v>
      </c>
      <c r="BZ1845" t="s">
        <v>22342</v>
      </c>
      <c r="CA1845" t="s">
        <v>8344</v>
      </c>
      <c r="CB1845" t="s">
        <v>127</v>
      </c>
      <c r="CC1845" s="8" t="str">
        <f>"77056"</f>
        <v>77056</v>
      </c>
      <c r="CD1845" t="s">
        <v>3327</v>
      </c>
      <c r="CE1845" t="s">
        <v>879</v>
      </c>
      <c r="CF1845" s="12">
        <v>115</v>
      </c>
      <c r="CG1845" s="12">
        <v>120</v>
      </c>
      <c r="CJ1845" t="s">
        <v>135</v>
      </c>
      <c r="CL1845" t="s">
        <v>22347</v>
      </c>
      <c r="CO1845" t="s">
        <v>132</v>
      </c>
      <c r="CP1845" t="s">
        <v>114</v>
      </c>
      <c r="CQ1845" t="s">
        <v>136</v>
      </c>
      <c r="CR1845" t="s">
        <v>114</v>
      </c>
      <c r="CS1845" t="s">
        <v>136</v>
      </c>
      <c r="CT1845" t="s">
        <v>136</v>
      </c>
      <c r="CU1845" t="s">
        <v>136</v>
      </c>
      <c r="CV1845" t="s">
        <v>131</v>
      </c>
      <c r="CW1845" s="10" t="str">
        <f>"+13466067463"</f>
        <v>+13466067463</v>
      </c>
      <c r="CX1845" t="s">
        <v>22345</v>
      </c>
      <c r="CY1845" t="s">
        <v>132</v>
      </c>
      <c r="CZ1845" t="s">
        <v>137</v>
      </c>
      <c r="DA1845" t="s">
        <v>114</v>
      </c>
      <c r="DB1845" t="s">
        <v>114</v>
      </c>
      <c r="DC1845" t="s">
        <v>136</v>
      </c>
      <c r="DD1845" t="s">
        <v>114</v>
      </c>
    </row>
    <row r="1846" spans="1:113" ht="15" customHeight="1" x14ac:dyDescent="0.25">
      <c r="A1846" t="s">
        <v>23943</v>
      </c>
      <c r="B1846" t="s">
        <v>113</v>
      </c>
      <c r="C1846" s="1">
        <v>45223.569302777774</v>
      </c>
      <c r="D1846" s="1">
        <v>45260</v>
      </c>
      <c r="E1846" t="s">
        <v>132</v>
      </c>
      <c r="F1846" t="s">
        <v>23944</v>
      </c>
      <c r="G1846" t="str">
        <f>"49-9071.00"</f>
        <v>49-9071.00</v>
      </c>
      <c r="H1846" t="s">
        <v>5714</v>
      </c>
      <c r="I1846">
        <v>6</v>
      </c>
      <c r="K1846" s="1">
        <v>45306</v>
      </c>
      <c r="L1846" s="1">
        <v>45565</v>
      </c>
      <c r="O1846" t="s">
        <v>116</v>
      </c>
      <c r="P1846" t="s">
        <v>23945</v>
      </c>
      <c r="R1846" t="s">
        <v>23946</v>
      </c>
      <c r="T1846" t="s">
        <v>23947</v>
      </c>
      <c r="U1846" t="s">
        <v>740</v>
      </c>
      <c r="V1846" s="8" t="str">
        <f>"51247"</f>
        <v>51247</v>
      </c>
      <c r="W1846" t="s">
        <v>118</v>
      </c>
      <c r="Y1846" s="10">
        <v>17124518554</v>
      </c>
      <c r="AA1846">
        <v>112120</v>
      </c>
      <c r="AB1846" t="s">
        <v>3123</v>
      </c>
      <c r="AC1846" t="s">
        <v>3069</v>
      </c>
      <c r="AD1846" t="s">
        <v>628</v>
      </c>
      <c r="AE1846" t="s">
        <v>405</v>
      </c>
      <c r="AF1846" t="s">
        <v>23948</v>
      </c>
      <c r="AH1846" t="s">
        <v>23947</v>
      </c>
      <c r="AI1846" t="s">
        <v>740</v>
      </c>
      <c r="AJ1846" s="8" t="str">
        <f>"51247"</f>
        <v>51247</v>
      </c>
      <c r="AK1846" t="s">
        <v>118</v>
      </c>
      <c r="AM1846" s="10">
        <v>17124762560</v>
      </c>
      <c r="AO1846" t="s">
        <v>23949</v>
      </c>
      <c r="AX1846" s="8" t="str">
        <f>""</f>
        <v/>
      </c>
      <c r="BG1846" t="s">
        <v>740</v>
      </c>
      <c r="BH1846" s="1">
        <v>45221.833333333336</v>
      </c>
      <c r="BI1846">
        <v>72</v>
      </c>
      <c r="BJ1846">
        <v>0</v>
      </c>
      <c r="BK1846">
        <v>12</v>
      </c>
      <c r="BL1846">
        <v>12</v>
      </c>
      <c r="BM1846">
        <v>12</v>
      </c>
      <c r="BN1846">
        <v>12</v>
      </c>
      <c r="BO1846">
        <v>12</v>
      </c>
      <c r="BP1846">
        <v>12</v>
      </c>
      <c r="BQ1846" t="str">
        <f>"6:00 AM"</f>
        <v>6:00 AM</v>
      </c>
      <c r="BR1846" t="str">
        <f>"6:00 PM"</f>
        <v>6:00 PM</v>
      </c>
      <c r="BS1846" t="s">
        <v>131</v>
      </c>
      <c r="BT1846">
        <v>0</v>
      </c>
      <c r="BU1846">
        <v>0</v>
      </c>
      <c r="BV1846" t="s">
        <v>114</v>
      </c>
      <c r="BX1846" t="s">
        <v>23950</v>
      </c>
      <c r="BY1846" t="s">
        <v>23951</v>
      </c>
      <c r="CA1846" t="s">
        <v>23947</v>
      </c>
      <c r="CB1846" t="s">
        <v>740</v>
      </c>
      <c r="CC1846" s="8" t="str">
        <f>"51247"</f>
        <v>51247</v>
      </c>
      <c r="CD1846" t="s">
        <v>23952</v>
      </c>
      <c r="CE1846" t="s">
        <v>2289</v>
      </c>
      <c r="CF1846" s="12">
        <v>22</v>
      </c>
      <c r="CG1846" s="12">
        <v>22</v>
      </c>
      <c r="CJ1846" t="s">
        <v>135</v>
      </c>
      <c r="CL1846" t="s">
        <v>23953</v>
      </c>
      <c r="CO1846" t="s">
        <v>132</v>
      </c>
      <c r="CP1846" t="s">
        <v>114</v>
      </c>
      <c r="CQ1846" t="s">
        <v>136</v>
      </c>
      <c r="CR1846" t="s">
        <v>114</v>
      </c>
      <c r="CS1846" t="s">
        <v>136</v>
      </c>
      <c r="CT1846" t="s">
        <v>136</v>
      </c>
      <c r="CU1846" t="s">
        <v>136</v>
      </c>
      <c r="CV1846" t="s">
        <v>23954</v>
      </c>
      <c r="CW1846" s="10" t="str">
        <f>"+17124518554"</f>
        <v>+17124518554</v>
      </c>
      <c r="CX1846" t="s">
        <v>23955</v>
      </c>
      <c r="CY1846" t="s">
        <v>23956</v>
      </c>
      <c r="CZ1846" t="s">
        <v>137</v>
      </c>
      <c r="DA1846" t="s">
        <v>114</v>
      </c>
      <c r="DB1846" t="s">
        <v>114</v>
      </c>
      <c r="DC1846" t="s">
        <v>136</v>
      </c>
      <c r="DD1846" t="s">
        <v>114</v>
      </c>
    </row>
    <row r="1847" spans="1:113" ht="15" customHeight="1" x14ac:dyDescent="0.25">
      <c r="A1847" t="s">
        <v>18898</v>
      </c>
      <c r="B1847" t="s">
        <v>113</v>
      </c>
      <c r="C1847" s="1">
        <v>45218.67502141204</v>
      </c>
      <c r="D1847" s="1">
        <v>45260</v>
      </c>
      <c r="E1847" t="s">
        <v>132</v>
      </c>
      <c r="F1847" t="s">
        <v>18899</v>
      </c>
      <c r="G1847" t="str">
        <f>"49-9071.00"</f>
        <v>49-9071.00</v>
      </c>
      <c r="H1847" t="s">
        <v>5714</v>
      </c>
      <c r="I1847">
        <v>3</v>
      </c>
      <c r="K1847" s="1">
        <v>45261</v>
      </c>
      <c r="L1847" s="1">
        <v>45376</v>
      </c>
      <c r="O1847" t="s">
        <v>116</v>
      </c>
      <c r="P1847" t="s">
        <v>12955</v>
      </c>
      <c r="R1847" t="s">
        <v>7516</v>
      </c>
      <c r="S1847" t="s">
        <v>3076</v>
      </c>
      <c r="T1847" t="s">
        <v>3238</v>
      </c>
      <c r="U1847" t="s">
        <v>222</v>
      </c>
      <c r="V1847" s="8" t="str">
        <f>"02169"</f>
        <v>02169</v>
      </c>
      <c r="W1847" t="s">
        <v>118</v>
      </c>
      <c r="Y1847" s="10">
        <v>12075579208</v>
      </c>
      <c r="AA1847">
        <v>236220</v>
      </c>
      <c r="AB1847" t="s">
        <v>3239</v>
      </c>
      <c r="AC1847" t="s">
        <v>1212</v>
      </c>
      <c r="AE1847" t="s">
        <v>3876</v>
      </c>
      <c r="AF1847" t="s">
        <v>3237</v>
      </c>
      <c r="AG1847" t="s">
        <v>3076</v>
      </c>
      <c r="AH1847" t="s">
        <v>3238</v>
      </c>
      <c r="AI1847" t="s">
        <v>222</v>
      </c>
      <c r="AJ1847" s="8" t="str">
        <f>"02169"</f>
        <v>02169</v>
      </c>
      <c r="AK1847" t="s">
        <v>118</v>
      </c>
      <c r="AM1847" s="10">
        <v>12075579208</v>
      </c>
      <c r="AO1847" t="s">
        <v>3241</v>
      </c>
      <c r="AP1847" t="s">
        <v>121</v>
      </c>
      <c r="AQ1847" t="s">
        <v>898</v>
      </c>
      <c r="AR1847" t="s">
        <v>3877</v>
      </c>
      <c r="AT1847" t="s">
        <v>900</v>
      </c>
      <c r="AU1847" t="s">
        <v>3878</v>
      </c>
      <c r="AV1847" t="s">
        <v>13773</v>
      </c>
      <c r="AW1847" t="s">
        <v>903</v>
      </c>
      <c r="AX1847" s="8" t="str">
        <f>"04101"</f>
        <v>04101</v>
      </c>
      <c r="AY1847" t="s">
        <v>118</v>
      </c>
      <c r="BA1847" s="10">
        <v>12077913260</v>
      </c>
      <c r="BC1847" t="s">
        <v>904</v>
      </c>
      <c r="BD1847" t="s">
        <v>905</v>
      </c>
      <c r="BE1847" t="s">
        <v>903</v>
      </c>
      <c r="BF1847" t="s">
        <v>906</v>
      </c>
      <c r="BG1847" t="s">
        <v>903</v>
      </c>
      <c r="BH1847" s="1">
        <v>45217.833333333336</v>
      </c>
      <c r="BI1847">
        <v>35</v>
      </c>
      <c r="BJ1847">
        <v>0</v>
      </c>
      <c r="BK1847">
        <v>7</v>
      </c>
      <c r="BL1847">
        <v>7</v>
      </c>
      <c r="BM1847">
        <v>7</v>
      </c>
      <c r="BN1847">
        <v>7</v>
      </c>
      <c r="BO1847">
        <v>7</v>
      </c>
      <c r="BP1847">
        <v>0</v>
      </c>
      <c r="BQ1847" t="str">
        <f>"7:00 AM"</f>
        <v>7:00 AM</v>
      </c>
      <c r="BR1847" t="str">
        <f>"2:00 PM"</f>
        <v>2:00 PM</v>
      </c>
      <c r="BS1847" t="s">
        <v>131</v>
      </c>
      <c r="BT1847">
        <v>0</v>
      </c>
      <c r="BU1847">
        <v>0</v>
      </c>
      <c r="BV1847" t="s">
        <v>114</v>
      </c>
      <c r="BX1847" t="s">
        <v>18900</v>
      </c>
      <c r="BY1847" t="s">
        <v>16236</v>
      </c>
      <c r="CA1847" t="s">
        <v>18901</v>
      </c>
      <c r="CB1847" t="s">
        <v>903</v>
      </c>
      <c r="CC1847" s="8" t="str">
        <f>"04609"</f>
        <v>04609</v>
      </c>
      <c r="CD1847" t="s">
        <v>3565</v>
      </c>
      <c r="CE1847" t="s">
        <v>2771</v>
      </c>
      <c r="CF1847" s="12">
        <v>20.81</v>
      </c>
      <c r="CG1847" s="12">
        <v>20.81</v>
      </c>
      <c r="CH1847" s="12">
        <v>31.22</v>
      </c>
      <c r="CI1847" s="12">
        <v>31.22</v>
      </c>
      <c r="CJ1847" t="s">
        <v>135</v>
      </c>
      <c r="CK1847" t="s">
        <v>3243</v>
      </c>
      <c r="CL1847" t="s">
        <v>18902</v>
      </c>
      <c r="CO1847" t="s">
        <v>136</v>
      </c>
      <c r="CP1847" t="s">
        <v>136</v>
      </c>
      <c r="CQ1847" t="s">
        <v>114</v>
      </c>
      <c r="CR1847" t="s">
        <v>136</v>
      </c>
      <c r="CS1847" t="s">
        <v>136</v>
      </c>
      <c r="CT1847" t="s">
        <v>136</v>
      </c>
      <c r="CU1847" t="s">
        <v>136</v>
      </c>
      <c r="CV1847" t="s">
        <v>3243</v>
      </c>
      <c r="CW1847" s="10" t="str">
        <f>"+12076237981"</f>
        <v>+12076237981</v>
      </c>
      <c r="CX1847" t="s">
        <v>3244</v>
      </c>
      <c r="CY1847" t="s">
        <v>4111</v>
      </c>
      <c r="CZ1847" t="s">
        <v>137</v>
      </c>
      <c r="DA1847" t="s">
        <v>114</v>
      </c>
      <c r="DB1847" t="s">
        <v>114</v>
      </c>
      <c r="DC1847" t="s">
        <v>136</v>
      </c>
      <c r="DD1847" t="s">
        <v>114</v>
      </c>
    </row>
    <row r="1848" spans="1:113" ht="15" customHeight="1" x14ac:dyDescent="0.25">
      <c r="A1848" t="s">
        <v>9210</v>
      </c>
      <c r="B1848" t="s">
        <v>113</v>
      </c>
      <c r="C1848" s="1">
        <v>45202.354037152778</v>
      </c>
      <c r="D1848" s="1">
        <v>45260</v>
      </c>
      <c r="E1848" t="s">
        <v>132</v>
      </c>
      <c r="F1848" t="s">
        <v>9211</v>
      </c>
      <c r="G1848" t="str">
        <f>"53-7062.00"</f>
        <v>53-7062.00</v>
      </c>
      <c r="H1848" t="s">
        <v>2078</v>
      </c>
      <c r="I1848">
        <v>25</v>
      </c>
      <c r="K1848" s="1">
        <v>45292</v>
      </c>
      <c r="L1848" s="1">
        <v>45597</v>
      </c>
      <c r="O1848" t="s">
        <v>116</v>
      </c>
      <c r="P1848" t="s">
        <v>9212</v>
      </c>
      <c r="R1848" t="s">
        <v>9213</v>
      </c>
      <c r="T1848" t="s">
        <v>8020</v>
      </c>
      <c r="U1848" t="s">
        <v>140</v>
      </c>
      <c r="V1848" s="8" t="str">
        <f>"32547"</f>
        <v>32547</v>
      </c>
      <c r="W1848" t="s">
        <v>118</v>
      </c>
      <c r="Y1848" s="10">
        <v>18502435455</v>
      </c>
      <c r="AA1848">
        <v>311520</v>
      </c>
      <c r="AB1848" t="s">
        <v>9214</v>
      </c>
      <c r="AC1848" t="s">
        <v>2764</v>
      </c>
      <c r="AE1848" t="s">
        <v>561</v>
      </c>
      <c r="AF1848" t="s">
        <v>9213</v>
      </c>
      <c r="AH1848" t="s">
        <v>8020</v>
      </c>
      <c r="AI1848" t="s">
        <v>140</v>
      </c>
      <c r="AJ1848" s="8" t="str">
        <f>"32547"</f>
        <v>32547</v>
      </c>
      <c r="AK1848" t="s">
        <v>118</v>
      </c>
      <c r="AM1848" s="10">
        <v>18502435455</v>
      </c>
      <c r="AO1848" t="s">
        <v>9215</v>
      </c>
      <c r="AX1848" s="8" t="str">
        <f>""</f>
        <v/>
      </c>
      <c r="BG1848" t="s">
        <v>140</v>
      </c>
      <c r="BH1848" s="1">
        <v>45133.833333333336</v>
      </c>
      <c r="BI1848">
        <v>40</v>
      </c>
      <c r="BJ1848">
        <v>0</v>
      </c>
      <c r="BK1848">
        <v>8</v>
      </c>
      <c r="BL1848">
        <v>8</v>
      </c>
      <c r="BM1848">
        <v>8</v>
      </c>
      <c r="BN1848">
        <v>8</v>
      </c>
      <c r="BO1848">
        <v>8</v>
      </c>
      <c r="BP1848">
        <v>0</v>
      </c>
      <c r="BQ1848" t="str">
        <f>"8:00 AM"</f>
        <v>8:00 AM</v>
      </c>
      <c r="BR1848" t="str">
        <f>"4:30 PM"</f>
        <v>4:30 PM</v>
      </c>
      <c r="BS1848" t="s">
        <v>147</v>
      </c>
      <c r="BT1848">
        <v>0</v>
      </c>
      <c r="BU1848">
        <v>0</v>
      </c>
      <c r="BV1848" t="s">
        <v>114</v>
      </c>
      <c r="BX1848" t="s">
        <v>132</v>
      </c>
      <c r="BY1848" t="s">
        <v>9216</v>
      </c>
      <c r="CA1848" t="s">
        <v>8020</v>
      </c>
      <c r="CB1848" t="s">
        <v>140</v>
      </c>
      <c r="CC1848" s="8" t="str">
        <f>"32547"</f>
        <v>32547</v>
      </c>
      <c r="CD1848" t="s">
        <v>5061</v>
      </c>
      <c r="CE1848" t="s">
        <v>3314</v>
      </c>
      <c r="CF1848" s="12">
        <v>15.99</v>
      </c>
      <c r="CG1848" s="12">
        <v>15.99</v>
      </c>
      <c r="CJ1848" t="s">
        <v>135</v>
      </c>
      <c r="CK1848" t="s">
        <v>132</v>
      </c>
      <c r="CL1848" t="s">
        <v>9217</v>
      </c>
      <c r="CO1848" t="s">
        <v>132</v>
      </c>
      <c r="CP1848" t="s">
        <v>114</v>
      </c>
      <c r="CQ1848" t="s">
        <v>114</v>
      </c>
      <c r="CR1848" t="s">
        <v>114</v>
      </c>
      <c r="CS1848" t="s">
        <v>136</v>
      </c>
      <c r="CT1848" t="s">
        <v>136</v>
      </c>
      <c r="CU1848" t="s">
        <v>136</v>
      </c>
      <c r="CV1848" s="2" t="s">
        <v>9218</v>
      </c>
      <c r="CW1848" s="10" t="str">
        <f>"+18508337587"</f>
        <v>+18508337587</v>
      </c>
      <c r="CX1848" t="s">
        <v>132</v>
      </c>
      <c r="CY1848" t="s">
        <v>9219</v>
      </c>
      <c r="CZ1848" t="s">
        <v>137</v>
      </c>
      <c r="DA1848" t="s">
        <v>114</v>
      </c>
      <c r="DB1848" t="s">
        <v>114</v>
      </c>
      <c r="DC1848" t="s">
        <v>136</v>
      </c>
      <c r="DD1848" t="s">
        <v>114</v>
      </c>
      <c r="DE1848" t="s">
        <v>132</v>
      </c>
      <c r="DF1848" t="s">
        <v>132</v>
      </c>
      <c r="DG1848" t="s">
        <v>132</v>
      </c>
      <c r="DH1848" t="s">
        <v>9212</v>
      </c>
      <c r="DI1848" t="s">
        <v>132</v>
      </c>
    </row>
    <row r="1849" spans="1:113" ht="15" customHeight="1" x14ac:dyDescent="0.25">
      <c r="A1849" t="s">
        <v>18005</v>
      </c>
      <c r="B1849" t="s">
        <v>113</v>
      </c>
      <c r="C1849" s="1">
        <v>45169.683517245372</v>
      </c>
      <c r="D1849" s="1">
        <v>45259</v>
      </c>
      <c r="E1849" t="s">
        <v>114</v>
      </c>
      <c r="F1849" t="s">
        <v>17500</v>
      </c>
      <c r="G1849" t="str">
        <f>"47-2061.00"</f>
        <v>47-2061.00</v>
      </c>
      <c r="H1849" t="s">
        <v>570</v>
      </c>
      <c r="I1849">
        <v>16</v>
      </c>
      <c r="K1849" s="1">
        <v>45244</v>
      </c>
      <c r="L1849" s="1">
        <v>45291</v>
      </c>
      <c r="O1849" t="s">
        <v>116</v>
      </c>
      <c r="P1849" t="s">
        <v>17501</v>
      </c>
      <c r="R1849" t="s">
        <v>17502</v>
      </c>
      <c r="S1849" t="s">
        <v>17503</v>
      </c>
      <c r="T1849" t="s">
        <v>2447</v>
      </c>
      <c r="U1849" t="s">
        <v>169</v>
      </c>
      <c r="V1849" s="8" t="str">
        <f>"56087"</f>
        <v>56087</v>
      </c>
      <c r="W1849" t="s">
        <v>118</v>
      </c>
      <c r="Y1849" s="10">
        <v>15077236942</v>
      </c>
      <c r="AA1849">
        <v>11511</v>
      </c>
      <c r="AB1849" t="s">
        <v>17504</v>
      </c>
      <c r="AC1849" t="s">
        <v>17505</v>
      </c>
      <c r="AE1849" t="s">
        <v>1836</v>
      </c>
      <c r="AF1849" t="s">
        <v>17502</v>
      </c>
      <c r="AG1849" t="s">
        <v>17503</v>
      </c>
      <c r="AH1849" t="s">
        <v>2447</v>
      </c>
      <c r="AI1849" t="s">
        <v>169</v>
      </c>
      <c r="AJ1849" s="8" t="str">
        <f>"56087"</f>
        <v>56087</v>
      </c>
      <c r="AK1849" t="s">
        <v>118</v>
      </c>
      <c r="AM1849" s="10">
        <v>15077236942</v>
      </c>
      <c r="AO1849" t="s">
        <v>17506</v>
      </c>
      <c r="AP1849" t="s">
        <v>121</v>
      </c>
      <c r="AQ1849" t="s">
        <v>929</v>
      </c>
      <c r="AR1849" t="s">
        <v>930</v>
      </c>
      <c r="AS1849" t="s">
        <v>931</v>
      </c>
      <c r="AT1849" t="s">
        <v>932</v>
      </c>
      <c r="AU1849" t="s">
        <v>132</v>
      </c>
      <c r="AV1849" t="s">
        <v>933</v>
      </c>
      <c r="AW1849" t="s">
        <v>740</v>
      </c>
      <c r="AX1849" s="8" t="str">
        <f>"50010"</f>
        <v>50010</v>
      </c>
      <c r="AY1849" t="s">
        <v>118</v>
      </c>
      <c r="BA1849" s="10">
        <v>15152324444</v>
      </c>
      <c r="BB1849">
        <v>0</v>
      </c>
      <c r="BC1849" t="s">
        <v>934</v>
      </c>
      <c r="BD1849" t="s">
        <v>935</v>
      </c>
      <c r="BE1849" t="s">
        <v>740</v>
      </c>
      <c r="BF1849" t="s">
        <v>172</v>
      </c>
      <c r="BG1849" t="s">
        <v>169</v>
      </c>
      <c r="BH1849" s="1">
        <v>45166.833333333336</v>
      </c>
      <c r="BI1849">
        <v>40</v>
      </c>
      <c r="BJ1849">
        <v>0</v>
      </c>
      <c r="BK1849">
        <v>8</v>
      </c>
      <c r="BL1849">
        <v>8</v>
      </c>
      <c r="BM1849">
        <v>8</v>
      </c>
      <c r="BN1849">
        <v>8</v>
      </c>
      <c r="BO1849">
        <v>8</v>
      </c>
      <c r="BP1849">
        <v>0</v>
      </c>
      <c r="BQ1849" t="str">
        <f>"6:00 AM"</f>
        <v>6:00 AM</v>
      </c>
      <c r="BR1849" t="str">
        <f>"6:00 PM"</f>
        <v>6:00 PM</v>
      </c>
      <c r="BS1849" t="s">
        <v>131</v>
      </c>
      <c r="BT1849">
        <v>0</v>
      </c>
      <c r="BU1849">
        <v>0</v>
      </c>
      <c r="BV1849" t="s">
        <v>114</v>
      </c>
      <c r="BX1849" s="2" t="s">
        <v>5247</v>
      </c>
      <c r="BY1849" t="s">
        <v>18006</v>
      </c>
      <c r="CA1849" t="s">
        <v>18007</v>
      </c>
      <c r="CB1849" t="s">
        <v>169</v>
      </c>
      <c r="CC1849" s="8" t="str">
        <f>"56171"</f>
        <v>56171</v>
      </c>
      <c r="CD1849" t="s">
        <v>695</v>
      </c>
      <c r="CE1849" t="s">
        <v>18008</v>
      </c>
      <c r="CF1849" s="12">
        <v>21.39</v>
      </c>
      <c r="CH1849" s="12">
        <v>32.090000000000003</v>
      </c>
      <c r="CJ1849" t="s">
        <v>135</v>
      </c>
      <c r="CK1849" t="s">
        <v>3555</v>
      </c>
      <c r="CL1849" t="s">
        <v>18009</v>
      </c>
      <c r="CO1849" t="s">
        <v>132</v>
      </c>
      <c r="CP1849" t="s">
        <v>114</v>
      </c>
      <c r="CQ1849" t="s">
        <v>136</v>
      </c>
      <c r="CR1849" t="s">
        <v>136</v>
      </c>
      <c r="CS1849" t="s">
        <v>136</v>
      </c>
      <c r="CT1849" t="s">
        <v>136</v>
      </c>
      <c r="CU1849" t="s">
        <v>136</v>
      </c>
      <c r="CV1849" t="s">
        <v>18010</v>
      </c>
      <c r="CW1849" s="10" t="str">
        <f>"+15077236942"</f>
        <v>+15077236942</v>
      </c>
      <c r="CX1849" t="s">
        <v>17506</v>
      </c>
      <c r="CY1849" t="s">
        <v>132</v>
      </c>
      <c r="CZ1849" t="s">
        <v>137</v>
      </c>
      <c r="DA1849" t="s">
        <v>114</v>
      </c>
      <c r="DB1849" t="s">
        <v>136</v>
      </c>
      <c r="DC1849" t="s">
        <v>136</v>
      </c>
      <c r="DD1849" t="s">
        <v>114</v>
      </c>
    </row>
    <row r="1850" spans="1:113" ht="15" customHeight="1" x14ac:dyDescent="0.25">
      <c r="A1850" t="s">
        <v>16451</v>
      </c>
      <c r="B1850" t="s">
        <v>113</v>
      </c>
      <c r="C1850" s="1">
        <v>45127.676093865739</v>
      </c>
      <c r="D1850" s="1">
        <v>45259</v>
      </c>
      <c r="E1850" t="s">
        <v>114</v>
      </c>
      <c r="F1850" t="s">
        <v>2479</v>
      </c>
      <c r="G1850" t="str">
        <f>"51-3011.00"</f>
        <v>51-3011.00</v>
      </c>
      <c r="H1850" t="s">
        <v>9458</v>
      </c>
      <c r="I1850">
        <v>5</v>
      </c>
      <c r="K1850" s="1">
        <v>45202</v>
      </c>
      <c r="L1850" s="1">
        <v>45412</v>
      </c>
      <c r="O1850" t="s">
        <v>238</v>
      </c>
      <c r="P1850" t="s">
        <v>16452</v>
      </c>
      <c r="R1850" t="s">
        <v>16453</v>
      </c>
      <c r="T1850" t="s">
        <v>16454</v>
      </c>
      <c r="U1850" t="s">
        <v>117</v>
      </c>
      <c r="V1850" s="8" t="str">
        <f>"60108"</f>
        <v>60108</v>
      </c>
      <c r="W1850" t="s">
        <v>118</v>
      </c>
      <c r="Y1850" s="10">
        <v>13129613323</v>
      </c>
      <c r="AA1850">
        <v>445291</v>
      </c>
      <c r="AB1850" t="s">
        <v>16455</v>
      </c>
      <c r="AC1850" t="s">
        <v>16456</v>
      </c>
      <c r="AE1850" t="s">
        <v>1283</v>
      </c>
      <c r="AF1850" t="s">
        <v>16453</v>
      </c>
      <c r="AH1850" t="s">
        <v>16457</v>
      </c>
      <c r="AI1850" t="s">
        <v>117</v>
      </c>
      <c r="AJ1850" s="8" t="str">
        <f>"60108"</f>
        <v>60108</v>
      </c>
      <c r="AK1850" t="s">
        <v>118</v>
      </c>
      <c r="AM1850" s="10">
        <v>13129613323</v>
      </c>
      <c r="AO1850" t="s">
        <v>16458</v>
      </c>
      <c r="AP1850" t="s">
        <v>121</v>
      </c>
      <c r="AQ1850" t="s">
        <v>9163</v>
      </c>
      <c r="AR1850" t="s">
        <v>1713</v>
      </c>
      <c r="AS1850" t="s">
        <v>2213</v>
      </c>
      <c r="AT1850" t="s">
        <v>16459</v>
      </c>
      <c r="AU1850" t="s">
        <v>16460</v>
      </c>
      <c r="AV1850" t="s">
        <v>8327</v>
      </c>
      <c r="AW1850" t="s">
        <v>117</v>
      </c>
      <c r="AX1850" s="8" t="str">
        <f>"60641"</f>
        <v>60641</v>
      </c>
      <c r="AY1850" t="s">
        <v>118</v>
      </c>
      <c r="BA1850" s="10">
        <v>17737751717</v>
      </c>
      <c r="BC1850" t="s">
        <v>16461</v>
      </c>
      <c r="BD1850" t="s">
        <v>9167</v>
      </c>
      <c r="BE1850" t="s">
        <v>158</v>
      </c>
      <c r="BF1850" t="s">
        <v>9168</v>
      </c>
      <c r="BG1850" t="s">
        <v>117</v>
      </c>
      <c r="BH1850" s="1">
        <v>45126.833333333336</v>
      </c>
      <c r="BI1850">
        <v>40</v>
      </c>
      <c r="BJ1850">
        <v>0</v>
      </c>
      <c r="BK1850">
        <v>8</v>
      </c>
      <c r="BL1850">
        <v>8</v>
      </c>
      <c r="BM1850">
        <v>8</v>
      </c>
      <c r="BN1850">
        <v>8</v>
      </c>
      <c r="BO1850">
        <v>8</v>
      </c>
      <c r="BP1850">
        <v>0</v>
      </c>
      <c r="BQ1850" t="str">
        <f>"9:00 AM"</f>
        <v>9:00 AM</v>
      </c>
      <c r="BR1850" t="str">
        <f>"5:00 PM"</f>
        <v>5:00 PM</v>
      </c>
      <c r="BS1850" t="s">
        <v>131</v>
      </c>
      <c r="BT1850">
        <v>0</v>
      </c>
      <c r="BU1850">
        <v>3</v>
      </c>
      <c r="BV1850" t="s">
        <v>114</v>
      </c>
      <c r="BX1850" t="s">
        <v>132</v>
      </c>
      <c r="BY1850" t="s">
        <v>16453</v>
      </c>
      <c r="CA1850" t="s">
        <v>7846</v>
      </c>
      <c r="CB1850" t="s">
        <v>117</v>
      </c>
      <c r="CC1850" s="8" t="str">
        <f>"60108"</f>
        <v>60108</v>
      </c>
      <c r="CD1850" t="s">
        <v>4862</v>
      </c>
      <c r="CE1850" t="s">
        <v>134</v>
      </c>
      <c r="CF1850" s="12">
        <v>16.899999999999999</v>
      </c>
      <c r="CJ1850" t="s">
        <v>135</v>
      </c>
      <c r="CL1850" t="s">
        <v>16462</v>
      </c>
      <c r="CO1850" t="s">
        <v>132</v>
      </c>
      <c r="CP1850" t="s">
        <v>114</v>
      </c>
      <c r="CQ1850" t="s">
        <v>136</v>
      </c>
      <c r="CR1850" t="s">
        <v>114</v>
      </c>
      <c r="CS1850" t="s">
        <v>114</v>
      </c>
      <c r="CT1850" t="s">
        <v>136</v>
      </c>
      <c r="CU1850" t="s">
        <v>114</v>
      </c>
      <c r="CV1850" t="s">
        <v>1534</v>
      </c>
      <c r="CW1850" s="10" t="str">
        <f>"+13129613323"</f>
        <v>+13129613323</v>
      </c>
      <c r="CX1850" t="s">
        <v>16463</v>
      </c>
      <c r="CY1850" t="s">
        <v>132</v>
      </c>
      <c r="CZ1850" t="s">
        <v>137</v>
      </c>
      <c r="DA1850" t="s">
        <v>114</v>
      </c>
      <c r="DB1850" t="s">
        <v>114</v>
      </c>
      <c r="DC1850" t="s">
        <v>136</v>
      </c>
      <c r="DD1850" t="s">
        <v>114</v>
      </c>
    </row>
    <row r="1851" spans="1:113" ht="15" customHeight="1" x14ac:dyDescent="0.25">
      <c r="A1851" t="s">
        <v>11210</v>
      </c>
      <c r="B1851" t="s">
        <v>113</v>
      </c>
      <c r="C1851" s="1">
        <v>45213.720578356479</v>
      </c>
      <c r="D1851" s="1">
        <v>45258</v>
      </c>
      <c r="E1851" t="s">
        <v>132</v>
      </c>
      <c r="F1851" t="s">
        <v>11211</v>
      </c>
      <c r="G1851" t="str">
        <f>"53-3032.00"</f>
        <v>53-3032.00</v>
      </c>
      <c r="H1851" t="s">
        <v>736</v>
      </c>
      <c r="I1851">
        <v>1</v>
      </c>
      <c r="K1851" s="1">
        <v>45288</v>
      </c>
      <c r="L1851" s="1">
        <v>45592</v>
      </c>
      <c r="O1851" t="s">
        <v>3248</v>
      </c>
      <c r="P1851" t="s">
        <v>11212</v>
      </c>
      <c r="Q1851" t="s">
        <v>11213</v>
      </c>
      <c r="R1851" t="s">
        <v>11214</v>
      </c>
      <c r="T1851" t="s">
        <v>11215</v>
      </c>
      <c r="U1851" t="s">
        <v>158</v>
      </c>
      <c r="V1851" s="8" t="str">
        <f>"48174"</f>
        <v>48174</v>
      </c>
      <c r="W1851" t="s">
        <v>118</v>
      </c>
      <c r="Y1851" s="10">
        <v>17343474007</v>
      </c>
      <c r="AA1851">
        <v>488490</v>
      </c>
      <c r="AB1851" t="s">
        <v>11216</v>
      </c>
      <c r="AC1851" t="s">
        <v>11217</v>
      </c>
      <c r="AE1851" t="s">
        <v>11218</v>
      </c>
      <c r="AF1851" t="s">
        <v>11219</v>
      </c>
      <c r="AH1851" t="s">
        <v>11215</v>
      </c>
      <c r="AI1851" t="s">
        <v>158</v>
      </c>
      <c r="AJ1851" s="8" t="str">
        <f>"48174"</f>
        <v>48174</v>
      </c>
      <c r="AK1851" t="s">
        <v>118</v>
      </c>
      <c r="AM1851" s="10">
        <v>17343474007</v>
      </c>
      <c r="AO1851" t="s">
        <v>11220</v>
      </c>
      <c r="AX1851" s="8" t="str">
        <f>""</f>
        <v/>
      </c>
      <c r="BG1851" t="s">
        <v>158</v>
      </c>
      <c r="BH1851" s="1">
        <v>45212.833333333336</v>
      </c>
      <c r="BI1851">
        <v>40</v>
      </c>
      <c r="BJ1851">
        <v>0</v>
      </c>
      <c r="BK1851">
        <v>8</v>
      </c>
      <c r="BL1851">
        <v>8</v>
      </c>
      <c r="BM1851">
        <v>8</v>
      </c>
      <c r="BN1851">
        <v>8</v>
      </c>
      <c r="BO1851">
        <v>8</v>
      </c>
      <c r="BP1851">
        <v>0</v>
      </c>
      <c r="BQ1851" t="str">
        <f>"8:00 AM"</f>
        <v>8:00 AM</v>
      </c>
      <c r="BR1851" t="str">
        <f>"8:00 PM"</f>
        <v>8:00 PM</v>
      </c>
      <c r="BS1851" t="s">
        <v>131</v>
      </c>
      <c r="BT1851">
        <v>0</v>
      </c>
      <c r="BU1851">
        <v>12</v>
      </c>
      <c r="BV1851" t="s">
        <v>114</v>
      </c>
      <c r="BX1851" t="s">
        <v>11221</v>
      </c>
      <c r="BY1851" t="s">
        <v>11214</v>
      </c>
      <c r="CA1851" t="s">
        <v>11215</v>
      </c>
      <c r="CB1851" t="s">
        <v>158</v>
      </c>
      <c r="CC1851" s="8" t="str">
        <f>"48174"</f>
        <v>48174</v>
      </c>
      <c r="CD1851" t="s">
        <v>1735</v>
      </c>
      <c r="CE1851" t="s">
        <v>2228</v>
      </c>
      <c r="CF1851" s="12">
        <v>21</v>
      </c>
      <c r="CG1851" s="12">
        <v>25.94</v>
      </c>
      <c r="CJ1851" t="s">
        <v>135</v>
      </c>
      <c r="CL1851" t="s">
        <v>11222</v>
      </c>
      <c r="CO1851" t="s">
        <v>132</v>
      </c>
      <c r="CP1851" t="s">
        <v>136</v>
      </c>
      <c r="CQ1851" t="s">
        <v>136</v>
      </c>
      <c r="CR1851" t="s">
        <v>114</v>
      </c>
      <c r="CS1851" t="s">
        <v>114</v>
      </c>
      <c r="CT1851" t="s">
        <v>136</v>
      </c>
      <c r="CU1851" t="s">
        <v>136</v>
      </c>
      <c r="CV1851" t="s">
        <v>11223</v>
      </c>
      <c r="CW1851" s="10" t="str">
        <f>"+17343474007"</f>
        <v>+17343474007</v>
      </c>
      <c r="CX1851" t="s">
        <v>11220</v>
      </c>
      <c r="CY1851" t="s">
        <v>11224</v>
      </c>
      <c r="CZ1851" t="s">
        <v>137</v>
      </c>
      <c r="DA1851" t="s">
        <v>114</v>
      </c>
      <c r="DB1851" t="s">
        <v>114</v>
      </c>
      <c r="DC1851" t="s">
        <v>136</v>
      </c>
      <c r="DD1851" t="s">
        <v>114</v>
      </c>
      <c r="DE1851" t="s">
        <v>11216</v>
      </c>
      <c r="DF1851" t="s">
        <v>11217</v>
      </c>
      <c r="DH1851" t="s">
        <v>11225</v>
      </c>
      <c r="DI1851" t="s">
        <v>11220</v>
      </c>
    </row>
    <row r="1852" spans="1:113" ht="15" customHeight="1" x14ac:dyDescent="0.25">
      <c r="A1852" t="s">
        <v>17718</v>
      </c>
      <c r="B1852" t="s">
        <v>113</v>
      </c>
      <c r="C1852" s="1">
        <v>45208.674549189818</v>
      </c>
      <c r="D1852" s="1">
        <v>45258</v>
      </c>
      <c r="E1852" t="s">
        <v>132</v>
      </c>
      <c r="F1852" t="s">
        <v>17719</v>
      </c>
      <c r="G1852" t="str">
        <f>"53-7061.00"</f>
        <v>53-7061.00</v>
      </c>
      <c r="H1852" t="s">
        <v>4866</v>
      </c>
      <c r="I1852">
        <v>6</v>
      </c>
      <c r="K1852" s="1">
        <v>45290</v>
      </c>
      <c r="L1852" s="1">
        <v>45565</v>
      </c>
      <c r="O1852" t="s">
        <v>238</v>
      </c>
      <c r="P1852" t="s">
        <v>17720</v>
      </c>
      <c r="R1852" t="s">
        <v>17721</v>
      </c>
      <c r="T1852" t="s">
        <v>17722</v>
      </c>
      <c r="U1852" t="s">
        <v>2706</v>
      </c>
      <c r="V1852" s="8" t="str">
        <f>"99709"</f>
        <v>99709</v>
      </c>
      <c r="W1852" t="s">
        <v>118</v>
      </c>
      <c r="Y1852" s="10">
        <v>19073716121</v>
      </c>
      <c r="AA1852">
        <v>487110</v>
      </c>
      <c r="AB1852" t="s">
        <v>2006</v>
      </c>
      <c r="AC1852" t="s">
        <v>11305</v>
      </c>
      <c r="AE1852" t="s">
        <v>5154</v>
      </c>
      <c r="AF1852" t="s">
        <v>17723</v>
      </c>
      <c r="AH1852" t="s">
        <v>17722</v>
      </c>
      <c r="AI1852" t="s">
        <v>2706</v>
      </c>
      <c r="AJ1852" s="8" t="str">
        <f>"99709"</f>
        <v>99709</v>
      </c>
      <c r="AK1852" t="s">
        <v>118</v>
      </c>
      <c r="AM1852" s="10">
        <v>19073716121</v>
      </c>
      <c r="AO1852" t="s">
        <v>17724</v>
      </c>
      <c r="AX1852" s="8" t="str">
        <f>""</f>
        <v/>
      </c>
      <c r="BG1852" t="s">
        <v>2706</v>
      </c>
      <c r="BH1852" s="1">
        <v>45207.833333333336</v>
      </c>
      <c r="BI1852">
        <v>40</v>
      </c>
      <c r="BJ1852">
        <v>8</v>
      </c>
      <c r="BK1852">
        <v>0</v>
      </c>
      <c r="BL1852">
        <v>0</v>
      </c>
      <c r="BM1852">
        <v>8</v>
      </c>
      <c r="BN1852">
        <v>8</v>
      </c>
      <c r="BO1852">
        <v>8</v>
      </c>
      <c r="BP1852">
        <v>8</v>
      </c>
      <c r="BQ1852" t="str">
        <f>"12:00 AM"</f>
        <v>12:00 AM</v>
      </c>
      <c r="BR1852" t="str">
        <f>"8:00 AM"</f>
        <v>8:00 AM</v>
      </c>
      <c r="BS1852" t="s">
        <v>131</v>
      </c>
      <c r="BT1852">
        <v>0</v>
      </c>
      <c r="BU1852">
        <v>0</v>
      </c>
      <c r="BV1852" t="s">
        <v>114</v>
      </c>
      <c r="BX1852" t="s">
        <v>132</v>
      </c>
      <c r="BY1852" t="s">
        <v>17725</v>
      </c>
      <c r="CA1852" t="s">
        <v>17722</v>
      </c>
      <c r="CB1852" t="s">
        <v>2706</v>
      </c>
      <c r="CC1852" s="8" t="str">
        <f>"99709"</f>
        <v>99709</v>
      </c>
      <c r="CD1852" t="s">
        <v>17726</v>
      </c>
      <c r="CE1852" t="s">
        <v>17727</v>
      </c>
      <c r="CF1852" s="12">
        <v>15.82</v>
      </c>
      <c r="CG1852" s="12">
        <v>24</v>
      </c>
      <c r="CJ1852" t="s">
        <v>135</v>
      </c>
      <c r="CL1852" t="s">
        <v>17728</v>
      </c>
      <c r="CO1852" t="s">
        <v>132</v>
      </c>
      <c r="CP1852" t="s">
        <v>114</v>
      </c>
      <c r="CQ1852" t="s">
        <v>136</v>
      </c>
      <c r="CR1852" t="s">
        <v>136</v>
      </c>
      <c r="CS1852" t="s">
        <v>136</v>
      </c>
      <c r="CT1852" t="s">
        <v>136</v>
      </c>
      <c r="CU1852" t="s">
        <v>136</v>
      </c>
      <c r="CV1852" t="s">
        <v>131</v>
      </c>
      <c r="CW1852" s="10" t="str">
        <f>"+19074748600"</f>
        <v>+19074748600</v>
      </c>
      <c r="CX1852" t="s">
        <v>17729</v>
      </c>
      <c r="CY1852" t="s">
        <v>17730</v>
      </c>
      <c r="CZ1852" t="s">
        <v>137</v>
      </c>
      <c r="DA1852" t="s">
        <v>114</v>
      </c>
      <c r="DB1852" t="s">
        <v>114</v>
      </c>
      <c r="DC1852" t="s">
        <v>136</v>
      </c>
      <c r="DD1852" t="s">
        <v>114</v>
      </c>
    </row>
    <row r="1853" spans="1:113" ht="15" customHeight="1" x14ac:dyDescent="0.25">
      <c r="A1853" t="s">
        <v>13870</v>
      </c>
      <c r="B1853" t="s">
        <v>113</v>
      </c>
      <c r="C1853" s="1">
        <v>45207.945737731483</v>
      </c>
      <c r="D1853" s="1">
        <v>45258</v>
      </c>
      <c r="E1853" t="s">
        <v>132</v>
      </c>
      <c r="F1853" t="s">
        <v>13871</v>
      </c>
      <c r="G1853" t="str">
        <f>"43-4071.00"</f>
        <v>43-4071.00</v>
      </c>
      <c r="H1853" t="s">
        <v>13872</v>
      </c>
      <c r="I1853">
        <v>2</v>
      </c>
      <c r="K1853" s="1">
        <v>45297</v>
      </c>
      <c r="L1853" s="1">
        <v>45479</v>
      </c>
      <c r="O1853" t="s">
        <v>238</v>
      </c>
      <c r="P1853" t="s">
        <v>13873</v>
      </c>
      <c r="Q1853" t="s">
        <v>13874</v>
      </c>
      <c r="R1853" t="s">
        <v>13875</v>
      </c>
      <c r="T1853" t="s">
        <v>11856</v>
      </c>
      <c r="U1853" t="s">
        <v>222</v>
      </c>
      <c r="V1853" s="8" t="str">
        <f>"02126"</f>
        <v>02126</v>
      </c>
      <c r="W1853" t="s">
        <v>118</v>
      </c>
      <c r="Y1853" s="10">
        <v>16173793372</v>
      </c>
      <c r="AA1853">
        <v>541211</v>
      </c>
      <c r="AB1853" t="s">
        <v>13876</v>
      </c>
      <c r="AC1853" t="s">
        <v>9817</v>
      </c>
      <c r="AE1853" t="s">
        <v>561</v>
      </c>
      <c r="AF1853" t="s">
        <v>13875</v>
      </c>
      <c r="AH1853" t="s">
        <v>11856</v>
      </c>
      <c r="AI1853" t="s">
        <v>222</v>
      </c>
      <c r="AJ1853" s="8" t="str">
        <f>"02126"</f>
        <v>02126</v>
      </c>
      <c r="AK1853" t="s">
        <v>118</v>
      </c>
      <c r="AM1853" s="10">
        <v>16173793372</v>
      </c>
      <c r="AO1853" t="s">
        <v>13877</v>
      </c>
      <c r="AX1853" s="8" t="str">
        <f>""</f>
        <v/>
      </c>
      <c r="BG1853" t="s">
        <v>222</v>
      </c>
      <c r="BH1853" s="1">
        <v>45206.833333333336</v>
      </c>
      <c r="BI1853">
        <v>35</v>
      </c>
      <c r="BJ1853">
        <v>0</v>
      </c>
      <c r="BK1853">
        <v>7</v>
      </c>
      <c r="BL1853">
        <v>7</v>
      </c>
      <c r="BM1853">
        <v>7</v>
      </c>
      <c r="BN1853">
        <v>7</v>
      </c>
      <c r="BO1853">
        <v>7</v>
      </c>
      <c r="BP1853">
        <v>0</v>
      </c>
      <c r="BQ1853" t="str">
        <f>"10:00 AM"</f>
        <v>10:00 AM</v>
      </c>
      <c r="BR1853" t="str">
        <f>"5:00 PM"</f>
        <v>5:00 PM</v>
      </c>
      <c r="BS1853" t="s">
        <v>147</v>
      </c>
      <c r="BT1853">
        <v>0</v>
      </c>
      <c r="BU1853">
        <v>0</v>
      </c>
      <c r="BV1853" t="s">
        <v>114</v>
      </c>
      <c r="BX1853" t="s">
        <v>1789</v>
      </c>
      <c r="BY1853" t="s">
        <v>13875</v>
      </c>
      <c r="CA1853" t="s">
        <v>11856</v>
      </c>
      <c r="CB1853" t="s">
        <v>222</v>
      </c>
      <c r="CC1853" s="8" t="str">
        <f>"02126"</f>
        <v>02126</v>
      </c>
      <c r="CD1853" t="s">
        <v>2975</v>
      </c>
      <c r="CE1853" t="s">
        <v>2399</v>
      </c>
      <c r="CF1853" s="12">
        <v>24.1</v>
      </c>
      <c r="CG1853" s="12">
        <v>25</v>
      </c>
      <c r="CJ1853" t="s">
        <v>135</v>
      </c>
      <c r="CL1853" t="s">
        <v>13878</v>
      </c>
      <c r="CO1853" t="s">
        <v>132</v>
      </c>
      <c r="CP1853" t="s">
        <v>114</v>
      </c>
      <c r="CQ1853" t="s">
        <v>114</v>
      </c>
      <c r="CR1853" t="s">
        <v>114</v>
      </c>
      <c r="CS1853" t="s">
        <v>136</v>
      </c>
      <c r="CT1853" t="s">
        <v>136</v>
      </c>
      <c r="CU1853" t="s">
        <v>114</v>
      </c>
      <c r="CV1853" t="s">
        <v>1789</v>
      </c>
      <c r="CW1853" s="10" t="str">
        <f>"+19789022651"</f>
        <v>+19789022651</v>
      </c>
      <c r="CX1853" t="s">
        <v>13879</v>
      </c>
      <c r="CY1853" t="s">
        <v>132</v>
      </c>
      <c r="CZ1853" t="s">
        <v>137</v>
      </c>
      <c r="DA1853" t="s">
        <v>114</v>
      </c>
      <c r="DB1853" t="s">
        <v>114</v>
      </c>
      <c r="DC1853" t="s">
        <v>136</v>
      </c>
      <c r="DD1853" t="s">
        <v>114</v>
      </c>
    </row>
    <row r="1854" spans="1:113" ht="15" customHeight="1" x14ac:dyDescent="0.25">
      <c r="A1854" t="s">
        <v>17867</v>
      </c>
      <c r="B1854" t="s">
        <v>113</v>
      </c>
      <c r="C1854" s="1">
        <v>45195.586709374998</v>
      </c>
      <c r="D1854" s="1">
        <v>45258</v>
      </c>
      <c r="E1854" t="s">
        <v>132</v>
      </c>
      <c r="F1854" t="s">
        <v>293</v>
      </c>
      <c r="G1854" t="str">
        <f>"37-2012.00"</f>
        <v>37-2012.00</v>
      </c>
      <c r="H1854" t="s">
        <v>205</v>
      </c>
      <c r="I1854">
        <v>1</v>
      </c>
      <c r="K1854" s="1">
        <v>45272</v>
      </c>
      <c r="L1854" s="1">
        <v>45526</v>
      </c>
      <c r="O1854" t="s">
        <v>238</v>
      </c>
      <c r="P1854" t="s">
        <v>17868</v>
      </c>
      <c r="R1854" t="s">
        <v>17869</v>
      </c>
      <c r="T1854" t="s">
        <v>13693</v>
      </c>
      <c r="U1854" t="s">
        <v>222</v>
      </c>
      <c r="V1854" s="8" t="str">
        <f>"01507"</f>
        <v>01507</v>
      </c>
      <c r="W1854" t="s">
        <v>118</v>
      </c>
      <c r="Y1854" s="10">
        <v>14136825903</v>
      </c>
      <c r="AA1854">
        <v>531311</v>
      </c>
      <c r="AB1854" t="s">
        <v>17870</v>
      </c>
      <c r="AC1854" t="s">
        <v>17871</v>
      </c>
      <c r="AE1854" t="s">
        <v>120</v>
      </c>
      <c r="AF1854" t="s">
        <v>17872</v>
      </c>
      <c r="AH1854" t="s">
        <v>3660</v>
      </c>
      <c r="AI1854" t="s">
        <v>2740</v>
      </c>
      <c r="AJ1854" s="8" t="str">
        <f>"02807"</f>
        <v>02807</v>
      </c>
      <c r="AK1854" t="s">
        <v>118</v>
      </c>
      <c r="AM1854" s="10">
        <v>14136825903</v>
      </c>
      <c r="AO1854" t="s">
        <v>17873</v>
      </c>
      <c r="AX1854" s="8" t="str">
        <f>""</f>
        <v/>
      </c>
      <c r="BG1854" t="s">
        <v>222</v>
      </c>
      <c r="BH1854" s="1">
        <v>45194.833333333336</v>
      </c>
      <c r="BI1854">
        <v>40</v>
      </c>
      <c r="BJ1854">
        <v>7</v>
      </c>
      <c r="BK1854">
        <v>0</v>
      </c>
      <c r="BL1854">
        <v>5</v>
      </c>
      <c r="BM1854">
        <v>7</v>
      </c>
      <c r="BN1854">
        <v>7</v>
      </c>
      <c r="BO1854">
        <v>7</v>
      </c>
      <c r="BP1854">
        <v>7</v>
      </c>
      <c r="BQ1854" t="str">
        <f>"8:00 AM"</f>
        <v>8:00 AM</v>
      </c>
      <c r="BR1854" t="str">
        <f>"3:00 PM"</f>
        <v>3:00 PM</v>
      </c>
      <c r="BS1854" t="s">
        <v>131</v>
      </c>
      <c r="BT1854">
        <v>0</v>
      </c>
      <c r="BU1854">
        <v>0</v>
      </c>
      <c r="BV1854" t="s">
        <v>114</v>
      </c>
      <c r="BX1854" t="s">
        <v>17874</v>
      </c>
      <c r="BY1854" t="s">
        <v>17869</v>
      </c>
      <c r="CA1854" t="s">
        <v>13693</v>
      </c>
      <c r="CB1854" t="s">
        <v>222</v>
      </c>
      <c r="CC1854" s="8" t="str">
        <f>"01507"</f>
        <v>01507</v>
      </c>
      <c r="CD1854" t="s">
        <v>7220</v>
      </c>
      <c r="CE1854" t="s">
        <v>7221</v>
      </c>
      <c r="CF1854" s="12">
        <v>17.11</v>
      </c>
      <c r="CG1854" s="12">
        <v>17.11</v>
      </c>
      <c r="CJ1854" t="s">
        <v>135</v>
      </c>
      <c r="CL1854" t="s">
        <v>17875</v>
      </c>
      <c r="CO1854" t="s">
        <v>132</v>
      </c>
      <c r="CP1854" t="s">
        <v>114</v>
      </c>
      <c r="CQ1854" t="s">
        <v>136</v>
      </c>
      <c r="CR1854" t="s">
        <v>114</v>
      </c>
      <c r="CS1854" t="s">
        <v>136</v>
      </c>
      <c r="CT1854" t="s">
        <v>136</v>
      </c>
      <c r="CU1854" t="s">
        <v>136</v>
      </c>
      <c r="CV1854" t="s">
        <v>131</v>
      </c>
      <c r="CW1854" s="10" t="str">
        <f>"+14136825903"</f>
        <v>+14136825903</v>
      </c>
      <c r="CX1854" t="s">
        <v>17873</v>
      </c>
      <c r="CY1854" t="s">
        <v>132</v>
      </c>
      <c r="CZ1854" t="s">
        <v>137</v>
      </c>
      <c r="DA1854" t="s">
        <v>114</v>
      </c>
      <c r="DB1854" t="s">
        <v>114</v>
      </c>
      <c r="DC1854" t="s">
        <v>136</v>
      </c>
      <c r="DD1854" t="s">
        <v>114</v>
      </c>
    </row>
    <row r="1855" spans="1:113" ht="15" customHeight="1" x14ac:dyDescent="0.25">
      <c r="A1855" t="s">
        <v>16391</v>
      </c>
      <c r="B1855" t="s">
        <v>113</v>
      </c>
      <c r="C1855" s="1">
        <v>45211.596927430553</v>
      </c>
      <c r="D1855" s="1">
        <v>45257</v>
      </c>
      <c r="E1855" t="s">
        <v>132</v>
      </c>
      <c r="F1855" t="s">
        <v>16392</v>
      </c>
      <c r="G1855" t="str">
        <f>"51-3023.00"</f>
        <v>51-3023.00</v>
      </c>
      <c r="H1855" t="s">
        <v>2377</v>
      </c>
      <c r="I1855">
        <v>18</v>
      </c>
      <c r="K1855" s="1">
        <v>45286</v>
      </c>
      <c r="L1855" s="1">
        <v>46382</v>
      </c>
      <c r="O1855" t="s">
        <v>3248</v>
      </c>
      <c r="P1855" t="s">
        <v>16393</v>
      </c>
      <c r="Q1855" t="s">
        <v>16394</v>
      </c>
      <c r="R1855" t="s">
        <v>16395</v>
      </c>
      <c r="T1855" t="s">
        <v>16396</v>
      </c>
      <c r="U1855" t="s">
        <v>434</v>
      </c>
      <c r="V1855" s="8" t="str">
        <f>"17745"</f>
        <v>17745</v>
      </c>
      <c r="W1855" t="s">
        <v>118</v>
      </c>
      <c r="Y1855" s="10">
        <v>15708581157</v>
      </c>
      <c r="AA1855">
        <v>424470</v>
      </c>
      <c r="AB1855" t="s">
        <v>16397</v>
      </c>
      <c r="AC1855" t="s">
        <v>16398</v>
      </c>
      <c r="AE1855" t="s">
        <v>16399</v>
      </c>
      <c r="AF1855" t="s">
        <v>16395</v>
      </c>
      <c r="AH1855" t="s">
        <v>16396</v>
      </c>
      <c r="AI1855" t="s">
        <v>434</v>
      </c>
      <c r="AJ1855" s="8" t="str">
        <f>"17745"</f>
        <v>17745</v>
      </c>
      <c r="AK1855" t="s">
        <v>118</v>
      </c>
      <c r="AM1855" s="10">
        <v>19178657658</v>
      </c>
      <c r="AO1855" t="s">
        <v>16400</v>
      </c>
      <c r="AX1855" s="8" t="str">
        <f>""</f>
        <v/>
      </c>
      <c r="BG1855" t="s">
        <v>434</v>
      </c>
      <c r="BH1855" s="1">
        <v>45000.833333333336</v>
      </c>
      <c r="BI1855">
        <v>40</v>
      </c>
      <c r="BJ1855">
        <v>0</v>
      </c>
      <c r="BK1855">
        <v>8</v>
      </c>
      <c r="BL1855">
        <v>8</v>
      </c>
      <c r="BM1855">
        <v>8</v>
      </c>
      <c r="BN1855">
        <v>8</v>
      </c>
      <c r="BO1855">
        <v>8</v>
      </c>
      <c r="BP1855">
        <v>0</v>
      </c>
      <c r="BQ1855" t="str">
        <f>"6:00 AM"</f>
        <v>6:00 AM</v>
      </c>
      <c r="BR1855" t="str">
        <f>"2:00 PM"</f>
        <v>2:00 PM</v>
      </c>
      <c r="BS1855" t="s">
        <v>131</v>
      </c>
      <c r="BT1855">
        <v>0</v>
      </c>
      <c r="BU1855">
        <v>36</v>
      </c>
      <c r="BV1855" t="s">
        <v>114</v>
      </c>
      <c r="BX1855" t="s">
        <v>16401</v>
      </c>
      <c r="BY1855" t="s">
        <v>16395</v>
      </c>
      <c r="CA1855" t="s">
        <v>16396</v>
      </c>
      <c r="CB1855" t="s">
        <v>434</v>
      </c>
      <c r="CC1855" s="8" t="str">
        <f>"17745"</f>
        <v>17745</v>
      </c>
      <c r="CD1855" t="s">
        <v>3716</v>
      </c>
      <c r="CE1855" t="s">
        <v>4887</v>
      </c>
      <c r="CF1855" s="12">
        <v>15.61</v>
      </c>
      <c r="CG1855" s="12">
        <v>15.61</v>
      </c>
      <c r="CJ1855" t="s">
        <v>135</v>
      </c>
      <c r="CK1855" t="s">
        <v>16402</v>
      </c>
      <c r="CL1855" t="s">
        <v>16403</v>
      </c>
      <c r="CO1855" t="s">
        <v>132</v>
      </c>
      <c r="CP1855" t="s">
        <v>114</v>
      </c>
      <c r="CQ1855" t="s">
        <v>136</v>
      </c>
      <c r="CR1855" t="s">
        <v>114</v>
      </c>
      <c r="CS1855" t="s">
        <v>136</v>
      </c>
      <c r="CT1855" t="s">
        <v>136</v>
      </c>
      <c r="CU1855" t="s">
        <v>136</v>
      </c>
      <c r="CV1855" t="s">
        <v>132</v>
      </c>
      <c r="CW1855" s="10" t="str">
        <f>"+15708581157"</f>
        <v>+15708581157</v>
      </c>
      <c r="CX1855" t="s">
        <v>16400</v>
      </c>
      <c r="CY1855" t="s">
        <v>132</v>
      </c>
      <c r="CZ1855" t="s">
        <v>137</v>
      </c>
      <c r="DA1855" t="s">
        <v>114</v>
      </c>
      <c r="DB1855" t="s">
        <v>114</v>
      </c>
      <c r="DC1855" t="s">
        <v>136</v>
      </c>
      <c r="DD1855" t="s">
        <v>114</v>
      </c>
    </row>
    <row r="1856" spans="1:113" ht="15" customHeight="1" x14ac:dyDescent="0.25">
      <c r="A1856" t="s">
        <v>12409</v>
      </c>
      <c r="B1856" t="s">
        <v>113</v>
      </c>
      <c r="C1856" s="1">
        <v>45208.624884143515</v>
      </c>
      <c r="D1856" s="1">
        <v>45257</v>
      </c>
      <c r="E1856" t="s">
        <v>132</v>
      </c>
      <c r="F1856" t="s">
        <v>3746</v>
      </c>
      <c r="G1856" t="str">
        <f>"35-2021.00"</f>
        <v>35-2021.00</v>
      </c>
      <c r="H1856" t="s">
        <v>2303</v>
      </c>
      <c r="I1856">
        <v>15</v>
      </c>
      <c r="K1856" s="1">
        <v>45286</v>
      </c>
      <c r="L1856" s="1">
        <v>46016</v>
      </c>
      <c r="O1856" t="s">
        <v>184</v>
      </c>
      <c r="P1856" t="s">
        <v>12410</v>
      </c>
      <c r="R1856" t="s">
        <v>12411</v>
      </c>
      <c r="T1856" t="s">
        <v>2809</v>
      </c>
      <c r="U1856" t="s">
        <v>558</v>
      </c>
      <c r="V1856" s="8" t="str">
        <f>"85282"</f>
        <v>85282</v>
      </c>
      <c r="W1856" t="s">
        <v>118</v>
      </c>
      <c r="Y1856" s="10">
        <v>16232303668</v>
      </c>
      <c r="AA1856">
        <v>72251</v>
      </c>
      <c r="AB1856" t="s">
        <v>12412</v>
      </c>
      <c r="AC1856" t="s">
        <v>12413</v>
      </c>
      <c r="AE1856" t="s">
        <v>12414</v>
      </c>
      <c r="AF1856" t="s">
        <v>12415</v>
      </c>
      <c r="AH1856" t="s">
        <v>2960</v>
      </c>
      <c r="AI1856" t="s">
        <v>558</v>
      </c>
      <c r="AJ1856" s="8" t="str">
        <f>"85016"</f>
        <v>85016</v>
      </c>
      <c r="AK1856" t="s">
        <v>118</v>
      </c>
      <c r="AM1856" s="10">
        <v>16239209099</v>
      </c>
      <c r="AO1856" t="s">
        <v>12416</v>
      </c>
      <c r="AP1856" t="s">
        <v>121</v>
      </c>
      <c r="AQ1856" t="s">
        <v>12417</v>
      </c>
      <c r="AR1856" t="s">
        <v>12418</v>
      </c>
      <c r="AS1856" t="s">
        <v>12419</v>
      </c>
      <c r="AT1856" t="s">
        <v>12420</v>
      </c>
      <c r="AU1856" t="s">
        <v>12421</v>
      </c>
      <c r="AV1856" t="s">
        <v>2960</v>
      </c>
      <c r="AW1856" t="s">
        <v>558</v>
      </c>
      <c r="AX1856" s="8" t="str">
        <f>"85004"</f>
        <v>85004</v>
      </c>
      <c r="AY1856" t="s">
        <v>118</v>
      </c>
      <c r="BA1856" s="10">
        <v>606026068848</v>
      </c>
      <c r="BC1856" t="s">
        <v>12422</v>
      </c>
      <c r="BD1856" t="s">
        <v>12423</v>
      </c>
      <c r="BE1856" t="s">
        <v>558</v>
      </c>
      <c r="BF1856" t="s">
        <v>12424</v>
      </c>
      <c r="BG1856" t="s">
        <v>558</v>
      </c>
      <c r="BH1856" s="1">
        <v>45207.833333333336</v>
      </c>
      <c r="BI1856">
        <v>36</v>
      </c>
      <c r="BJ1856">
        <v>5</v>
      </c>
      <c r="BK1856">
        <v>5</v>
      </c>
      <c r="BL1856">
        <v>5</v>
      </c>
      <c r="BM1856">
        <v>5</v>
      </c>
      <c r="BN1856">
        <v>5</v>
      </c>
      <c r="BO1856">
        <v>5</v>
      </c>
      <c r="BP1856">
        <v>6</v>
      </c>
      <c r="BQ1856" t="str">
        <f>"10:00 AM"</f>
        <v>10:00 AM</v>
      </c>
      <c r="BR1856" t="str">
        <f>"11:00 PM"</f>
        <v>11:00 PM</v>
      </c>
      <c r="BS1856" t="s">
        <v>131</v>
      </c>
      <c r="BT1856">
        <v>0</v>
      </c>
      <c r="BU1856">
        <v>0</v>
      </c>
      <c r="BV1856" t="s">
        <v>114</v>
      </c>
      <c r="BX1856" s="2" t="s">
        <v>12425</v>
      </c>
      <c r="BY1856" t="s">
        <v>12426</v>
      </c>
      <c r="BZ1856" t="s">
        <v>12427</v>
      </c>
      <c r="CA1856" t="s">
        <v>12428</v>
      </c>
      <c r="CB1856" t="s">
        <v>558</v>
      </c>
      <c r="CC1856" s="8" t="str">
        <f>"85392"</f>
        <v>85392</v>
      </c>
      <c r="CD1856" t="s">
        <v>1391</v>
      </c>
      <c r="CE1856" t="s">
        <v>565</v>
      </c>
      <c r="CF1856" s="12">
        <v>16.25</v>
      </c>
      <c r="CG1856" s="12">
        <v>16.25</v>
      </c>
      <c r="CH1856" s="12">
        <v>24.38</v>
      </c>
      <c r="CI1856" s="12">
        <v>24.38</v>
      </c>
      <c r="CJ1856" t="s">
        <v>135</v>
      </c>
      <c r="CL1856" t="s">
        <v>12429</v>
      </c>
      <c r="CO1856" t="s">
        <v>132</v>
      </c>
      <c r="CP1856" t="s">
        <v>114</v>
      </c>
      <c r="CQ1856" t="s">
        <v>114</v>
      </c>
      <c r="CR1856" t="s">
        <v>136</v>
      </c>
      <c r="CS1856" t="s">
        <v>136</v>
      </c>
      <c r="CT1856" t="s">
        <v>136</v>
      </c>
      <c r="CU1856" t="s">
        <v>114</v>
      </c>
      <c r="CV1856" t="s">
        <v>12430</v>
      </c>
      <c r="CW1856" s="10" t="str">
        <f>"+16232303668"</f>
        <v>+16232303668</v>
      </c>
      <c r="CX1856" t="s">
        <v>12431</v>
      </c>
      <c r="CY1856" t="s">
        <v>132</v>
      </c>
      <c r="CZ1856" t="s">
        <v>137</v>
      </c>
      <c r="DA1856" t="s">
        <v>114</v>
      </c>
      <c r="DB1856" t="s">
        <v>114</v>
      </c>
      <c r="DC1856" t="s">
        <v>136</v>
      </c>
      <c r="DD1856" t="s">
        <v>114</v>
      </c>
      <c r="DE1856" t="s">
        <v>9881</v>
      </c>
      <c r="DF1856" t="s">
        <v>1616</v>
      </c>
      <c r="DG1856" t="s">
        <v>628</v>
      </c>
      <c r="DH1856" t="s">
        <v>12423</v>
      </c>
      <c r="DI1856" t="s">
        <v>12432</v>
      </c>
    </row>
    <row r="1857" spans="1:113" ht="15" customHeight="1" x14ac:dyDescent="0.25">
      <c r="A1857" t="s">
        <v>15025</v>
      </c>
      <c r="B1857" t="s">
        <v>113</v>
      </c>
      <c r="C1857" s="1">
        <v>45208.586273032408</v>
      </c>
      <c r="D1857" s="1">
        <v>45257</v>
      </c>
      <c r="E1857" t="s">
        <v>132</v>
      </c>
      <c r="F1857" t="s">
        <v>5756</v>
      </c>
      <c r="G1857" t="str">
        <f>"35-2014.00"</f>
        <v>35-2014.00</v>
      </c>
      <c r="H1857" t="s">
        <v>154</v>
      </c>
      <c r="I1857">
        <v>15</v>
      </c>
      <c r="K1857" s="1">
        <v>45286</v>
      </c>
      <c r="L1857" s="1">
        <v>46016</v>
      </c>
      <c r="O1857" t="s">
        <v>184</v>
      </c>
      <c r="P1857" t="s">
        <v>12410</v>
      </c>
      <c r="R1857" t="s">
        <v>12411</v>
      </c>
      <c r="T1857" t="s">
        <v>2809</v>
      </c>
      <c r="U1857" t="s">
        <v>558</v>
      </c>
      <c r="V1857" s="8" t="str">
        <f>"85282"</f>
        <v>85282</v>
      </c>
      <c r="W1857" t="s">
        <v>118</v>
      </c>
      <c r="Y1857" s="10">
        <v>16232303668</v>
      </c>
      <c r="AA1857">
        <v>72251</v>
      </c>
      <c r="AB1857" t="s">
        <v>12412</v>
      </c>
      <c r="AC1857" t="s">
        <v>12413</v>
      </c>
      <c r="AE1857" t="s">
        <v>12414</v>
      </c>
      <c r="AF1857" t="s">
        <v>12415</v>
      </c>
      <c r="AH1857" t="s">
        <v>2960</v>
      </c>
      <c r="AI1857" t="s">
        <v>558</v>
      </c>
      <c r="AJ1857" s="8" t="str">
        <f>"85016"</f>
        <v>85016</v>
      </c>
      <c r="AK1857" t="s">
        <v>118</v>
      </c>
      <c r="AM1857" s="10">
        <v>16239209099</v>
      </c>
      <c r="AO1857" t="s">
        <v>12416</v>
      </c>
      <c r="AP1857" t="s">
        <v>121</v>
      </c>
      <c r="AQ1857" t="s">
        <v>12417</v>
      </c>
      <c r="AR1857" t="s">
        <v>12418</v>
      </c>
      <c r="AS1857" t="s">
        <v>12419</v>
      </c>
      <c r="AT1857" t="s">
        <v>12420</v>
      </c>
      <c r="AV1857" t="s">
        <v>2960</v>
      </c>
      <c r="AW1857" t="s">
        <v>558</v>
      </c>
      <c r="AX1857" s="8" t="str">
        <f>"85004"</f>
        <v>85004</v>
      </c>
      <c r="AY1857" t="s">
        <v>118</v>
      </c>
      <c r="BA1857" s="10">
        <v>606026068848</v>
      </c>
      <c r="BC1857" t="s">
        <v>12422</v>
      </c>
      <c r="BD1857" t="s">
        <v>12423</v>
      </c>
      <c r="BE1857" t="s">
        <v>558</v>
      </c>
      <c r="BF1857" t="s">
        <v>12424</v>
      </c>
      <c r="BG1857" t="s">
        <v>558</v>
      </c>
      <c r="BH1857" s="1">
        <v>45207.833333333336</v>
      </c>
      <c r="BI1857">
        <v>36</v>
      </c>
      <c r="BJ1857">
        <v>5</v>
      </c>
      <c r="BK1857">
        <v>5</v>
      </c>
      <c r="BL1857">
        <v>5</v>
      </c>
      <c r="BM1857">
        <v>5</v>
      </c>
      <c r="BN1857">
        <v>6</v>
      </c>
      <c r="BO1857">
        <v>5</v>
      </c>
      <c r="BP1857">
        <v>5</v>
      </c>
      <c r="BQ1857" t="str">
        <f>"10:00 AM"</f>
        <v>10:00 AM</v>
      </c>
      <c r="BR1857" t="str">
        <f>"11:00 PM"</f>
        <v>11:00 PM</v>
      </c>
      <c r="BS1857" t="s">
        <v>131</v>
      </c>
      <c r="BT1857">
        <v>0</v>
      </c>
      <c r="BU1857">
        <v>0</v>
      </c>
      <c r="BV1857" t="s">
        <v>114</v>
      </c>
      <c r="BX1857" s="2" t="s">
        <v>12425</v>
      </c>
      <c r="BY1857" t="s">
        <v>12426</v>
      </c>
      <c r="BZ1857" t="s">
        <v>12427</v>
      </c>
      <c r="CA1857" t="s">
        <v>12428</v>
      </c>
      <c r="CB1857" t="s">
        <v>558</v>
      </c>
      <c r="CC1857" s="8" t="str">
        <f>"85392"</f>
        <v>85392</v>
      </c>
      <c r="CD1857" t="s">
        <v>1391</v>
      </c>
      <c r="CE1857" t="s">
        <v>565</v>
      </c>
      <c r="CF1857" s="12">
        <v>18.079999999999998</v>
      </c>
      <c r="CG1857" s="12">
        <v>27.12</v>
      </c>
      <c r="CJ1857" t="s">
        <v>135</v>
      </c>
      <c r="CL1857" t="s">
        <v>15026</v>
      </c>
      <c r="CO1857" t="s">
        <v>132</v>
      </c>
      <c r="CP1857" t="s">
        <v>114</v>
      </c>
      <c r="CQ1857" t="s">
        <v>114</v>
      </c>
      <c r="CR1857" t="s">
        <v>114</v>
      </c>
      <c r="CS1857" t="s">
        <v>136</v>
      </c>
      <c r="CT1857" t="s">
        <v>136</v>
      </c>
      <c r="CU1857" t="s">
        <v>114</v>
      </c>
      <c r="CV1857" t="s">
        <v>15027</v>
      </c>
      <c r="CW1857" s="10" t="str">
        <f>"+16232303668"</f>
        <v>+16232303668</v>
      </c>
      <c r="CX1857" t="s">
        <v>12431</v>
      </c>
      <c r="CY1857" t="s">
        <v>132</v>
      </c>
      <c r="CZ1857" t="s">
        <v>137</v>
      </c>
      <c r="DA1857" t="s">
        <v>114</v>
      </c>
      <c r="DB1857" t="s">
        <v>114</v>
      </c>
      <c r="DC1857" t="s">
        <v>136</v>
      </c>
      <c r="DD1857" t="s">
        <v>114</v>
      </c>
      <c r="DE1857" t="s">
        <v>9881</v>
      </c>
      <c r="DF1857" t="s">
        <v>1616</v>
      </c>
      <c r="DG1857" t="s">
        <v>628</v>
      </c>
      <c r="DH1857" t="s">
        <v>12423</v>
      </c>
      <c r="DI1857" t="s">
        <v>12432</v>
      </c>
    </row>
    <row r="1858" spans="1:113" ht="15" customHeight="1" x14ac:dyDescent="0.25">
      <c r="A1858" t="s">
        <v>15253</v>
      </c>
      <c r="B1858" t="s">
        <v>113</v>
      </c>
      <c r="C1858" s="1">
        <v>45203.71860925926</v>
      </c>
      <c r="D1858" s="1">
        <v>45257</v>
      </c>
      <c r="E1858" t="s">
        <v>132</v>
      </c>
      <c r="F1858" t="s">
        <v>685</v>
      </c>
      <c r="G1858" t="str">
        <f>"35-3023.00"</f>
        <v>35-3023.00</v>
      </c>
      <c r="H1858" t="s">
        <v>1365</v>
      </c>
      <c r="I1858">
        <v>20</v>
      </c>
      <c r="K1858" s="1">
        <v>45292</v>
      </c>
      <c r="L1858" s="1">
        <v>45596</v>
      </c>
      <c r="O1858" t="s">
        <v>238</v>
      </c>
      <c r="P1858" t="s">
        <v>15254</v>
      </c>
      <c r="R1858" t="s">
        <v>15255</v>
      </c>
      <c r="S1858" t="s">
        <v>15256</v>
      </c>
      <c r="T1858" t="s">
        <v>15257</v>
      </c>
      <c r="U1858" t="s">
        <v>127</v>
      </c>
      <c r="V1858" s="8" t="str">
        <f>"78575"</f>
        <v>78575</v>
      </c>
      <c r="W1858" t="s">
        <v>118</v>
      </c>
      <c r="Y1858" s="10">
        <v>19566059360</v>
      </c>
      <c r="Z1858" s="3" t="s">
        <v>256</v>
      </c>
      <c r="AA1858">
        <v>71399</v>
      </c>
      <c r="AB1858" t="s">
        <v>15258</v>
      </c>
      <c r="AC1858" t="s">
        <v>1555</v>
      </c>
      <c r="AE1858" t="s">
        <v>5347</v>
      </c>
      <c r="AF1858" t="s">
        <v>15255</v>
      </c>
      <c r="AG1858" t="s">
        <v>15256</v>
      </c>
      <c r="AH1858" t="s">
        <v>15257</v>
      </c>
      <c r="AI1858" t="s">
        <v>127</v>
      </c>
      <c r="AJ1858" s="8" t="str">
        <f>"78575"</f>
        <v>78575</v>
      </c>
      <c r="AK1858" t="s">
        <v>118</v>
      </c>
      <c r="AM1858" s="10">
        <v>19566059360</v>
      </c>
      <c r="AN1858" s="3" t="s">
        <v>256</v>
      </c>
      <c r="AO1858" t="s">
        <v>15259</v>
      </c>
      <c r="AP1858" t="s">
        <v>248</v>
      </c>
      <c r="AQ1858" t="s">
        <v>249</v>
      </c>
      <c r="AR1858" t="s">
        <v>250</v>
      </c>
      <c r="AS1858" t="s">
        <v>251</v>
      </c>
      <c r="AT1858" t="s">
        <v>252</v>
      </c>
      <c r="AU1858" t="s">
        <v>253</v>
      </c>
      <c r="AV1858" t="s">
        <v>254</v>
      </c>
      <c r="AW1858" t="s">
        <v>127</v>
      </c>
      <c r="AX1858" s="8" t="str">
        <f>"78550"</f>
        <v>78550</v>
      </c>
      <c r="AY1858" t="s">
        <v>118</v>
      </c>
      <c r="AZ1858" t="s">
        <v>255</v>
      </c>
      <c r="BA1858" s="10">
        <v>19564408720</v>
      </c>
      <c r="BB1858" s="3" t="s">
        <v>256</v>
      </c>
      <c r="BC1858" t="s">
        <v>338</v>
      </c>
      <c r="BD1858" t="s">
        <v>258</v>
      </c>
      <c r="BG1858" t="s">
        <v>127</v>
      </c>
      <c r="BH1858" s="1">
        <v>45202.833333333336</v>
      </c>
      <c r="BI1858">
        <v>40</v>
      </c>
      <c r="BJ1858">
        <v>8</v>
      </c>
      <c r="BK1858">
        <v>0</v>
      </c>
      <c r="BL1858">
        <v>0</v>
      </c>
      <c r="BM1858">
        <v>8</v>
      </c>
      <c r="BN1858">
        <v>8</v>
      </c>
      <c r="BO1858">
        <v>8</v>
      </c>
      <c r="BP1858">
        <v>8</v>
      </c>
      <c r="BQ1858" t="str">
        <f>"1:00 PM"</f>
        <v>1:00 PM</v>
      </c>
      <c r="BR1858" t="str">
        <f>"10:00 PM"</f>
        <v>10:00 PM</v>
      </c>
      <c r="BS1858" t="s">
        <v>131</v>
      </c>
      <c r="BT1858">
        <v>0</v>
      </c>
      <c r="BU1858">
        <v>0</v>
      </c>
      <c r="BV1858" t="s">
        <v>114</v>
      </c>
      <c r="BX1858" s="2" t="s">
        <v>339</v>
      </c>
      <c r="BY1858" t="s">
        <v>15260</v>
      </c>
      <c r="CA1858" t="s">
        <v>2568</v>
      </c>
      <c r="CB1858" t="s">
        <v>127</v>
      </c>
      <c r="CC1858" s="8" t="str">
        <f>"78521"</f>
        <v>78521</v>
      </c>
      <c r="CD1858" t="s">
        <v>3361</v>
      </c>
      <c r="CE1858" t="s">
        <v>3362</v>
      </c>
      <c r="CF1858" s="12">
        <v>9.7200000000000006</v>
      </c>
      <c r="CG1858" s="12">
        <v>15.1</v>
      </c>
      <c r="CJ1858" t="s">
        <v>135</v>
      </c>
      <c r="CK1858" t="s">
        <v>342</v>
      </c>
      <c r="CL1858" t="s">
        <v>15261</v>
      </c>
      <c r="CO1858" t="s">
        <v>132</v>
      </c>
      <c r="CP1858" t="s">
        <v>136</v>
      </c>
      <c r="CQ1858" t="s">
        <v>136</v>
      </c>
      <c r="CR1858" t="s">
        <v>114</v>
      </c>
      <c r="CS1858" t="s">
        <v>136</v>
      </c>
      <c r="CT1858" t="s">
        <v>136</v>
      </c>
      <c r="CU1858" t="s">
        <v>136</v>
      </c>
      <c r="CV1858" t="s">
        <v>15262</v>
      </c>
      <c r="CW1858" s="10" t="str">
        <f>"+19566059360"</f>
        <v>+19566059360</v>
      </c>
      <c r="CX1858" t="s">
        <v>15263</v>
      </c>
      <c r="CY1858" t="s">
        <v>132</v>
      </c>
      <c r="CZ1858" t="s">
        <v>137</v>
      </c>
      <c r="DA1858" t="s">
        <v>114</v>
      </c>
      <c r="DB1858" t="s">
        <v>136</v>
      </c>
      <c r="DC1858" t="s">
        <v>136</v>
      </c>
      <c r="DD1858" t="s">
        <v>114</v>
      </c>
    </row>
    <row r="1859" spans="1:113" ht="15" customHeight="1" x14ac:dyDescent="0.25">
      <c r="A1859" t="s">
        <v>14835</v>
      </c>
      <c r="B1859" t="s">
        <v>113</v>
      </c>
      <c r="C1859" s="1">
        <v>45195.790979398145</v>
      </c>
      <c r="D1859" s="1">
        <v>45257</v>
      </c>
      <c r="E1859" t="s">
        <v>132</v>
      </c>
      <c r="F1859" t="s">
        <v>14836</v>
      </c>
      <c r="G1859" t="str">
        <f>"51-3011.00"</f>
        <v>51-3011.00</v>
      </c>
      <c r="H1859" t="s">
        <v>9458</v>
      </c>
      <c r="I1859">
        <v>1</v>
      </c>
      <c r="K1859" s="1">
        <v>45278</v>
      </c>
      <c r="L1859" s="1">
        <v>45628</v>
      </c>
      <c r="O1859" t="s">
        <v>184</v>
      </c>
      <c r="P1859" t="s">
        <v>14837</v>
      </c>
      <c r="Q1859" t="s">
        <v>14838</v>
      </c>
      <c r="R1859" t="s">
        <v>14839</v>
      </c>
      <c r="T1859" t="s">
        <v>3209</v>
      </c>
      <c r="U1859" t="s">
        <v>792</v>
      </c>
      <c r="V1859" s="8" t="str">
        <f>"98901"</f>
        <v>98901</v>
      </c>
      <c r="W1859" t="s">
        <v>118</v>
      </c>
      <c r="Y1859" s="10">
        <v>15098330424</v>
      </c>
      <c r="AA1859">
        <v>722515</v>
      </c>
      <c r="AB1859" t="s">
        <v>14840</v>
      </c>
      <c r="AC1859" t="s">
        <v>486</v>
      </c>
      <c r="AE1859" t="s">
        <v>561</v>
      </c>
      <c r="AF1859" t="s">
        <v>14839</v>
      </c>
      <c r="AH1859" t="s">
        <v>3209</v>
      </c>
      <c r="AI1859" t="s">
        <v>792</v>
      </c>
      <c r="AJ1859" s="8" t="str">
        <f>"98901"</f>
        <v>98901</v>
      </c>
      <c r="AK1859" t="s">
        <v>118</v>
      </c>
      <c r="AM1859" s="10">
        <v>15098330424</v>
      </c>
      <c r="AO1859" t="s">
        <v>14841</v>
      </c>
      <c r="AX1859" s="8" t="str">
        <f>""</f>
        <v/>
      </c>
      <c r="BG1859" t="s">
        <v>792</v>
      </c>
      <c r="BH1859" s="1">
        <v>45104.833333333336</v>
      </c>
      <c r="BI1859">
        <v>40</v>
      </c>
      <c r="BJ1859">
        <v>0</v>
      </c>
      <c r="BK1859">
        <v>8</v>
      </c>
      <c r="BL1859">
        <v>8</v>
      </c>
      <c r="BM1859">
        <v>8</v>
      </c>
      <c r="BN1859">
        <v>8</v>
      </c>
      <c r="BO1859">
        <v>8</v>
      </c>
      <c r="BP1859">
        <v>0</v>
      </c>
      <c r="BQ1859" t="str">
        <f>"7:30 AM"</f>
        <v>7:30 AM</v>
      </c>
      <c r="BR1859" t="str">
        <f>"4:00 PM"</f>
        <v>4:00 PM</v>
      </c>
      <c r="BS1859" t="s">
        <v>1506</v>
      </c>
      <c r="BT1859">
        <v>24</v>
      </c>
      <c r="BU1859">
        <v>24</v>
      </c>
      <c r="BV1859" t="s">
        <v>114</v>
      </c>
      <c r="BX1859" s="2" t="s">
        <v>14842</v>
      </c>
      <c r="BY1859" t="s">
        <v>14843</v>
      </c>
      <c r="CA1859" t="s">
        <v>3209</v>
      </c>
      <c r="CB1859" t="s">
        <v>792</v>
      </c>
      <c r="CC1859" s="8" t="str">
        <f>"98901"</f>
        <v>98901</v>
      </c>
      <c r="CD1859" t="s">
        <v>3210</v>
      </c>
      <c r="CE1859" t="s">
        <v>3211</v>
      </c>
      <c r="CF1859" s="12">
        <v>18.02</v>
      </c>
      <c r="CG1859" s="12">
        <v>18.02</v>
      </c>
      <c r="CH1859" s="12">
        <v>27.03</v>
      </c>
      <c r="CI1859" s="12">
        <v>27.03</v>
      </c>
      <c r="CJ1859" t="s">
        <v>135</v>
      </c>
      <c r="CL1859" t="s">
        <v>14844</v>
      </c>
      <c r="CO1859" t="s">
        <v>132</v>
      </c>
      <c r="CP1859" t="s">
        <v>114</v>
      </c>
      <c r="CQ1859" t="s">
        <v>114</v>
      </c>
      <c r="CR1859" t="s">
        <v>136</v>
      </c>
      <c r="CS1859" t="s">
        <v>136</v>
      </c>
      <c r="CT1859" t="s">
        <v>136</v>
      </c>
      <c r="CU1859" t="s">
        <v>136</v>
      </c>
      <c r="CV1859" t="s">
        <v>131</v>
      </c>
      <c r="CW1859" s="10" t="str">
        <f>"+19528579576"</f>
        <v>+19528579576</v>
      </c>
      <c r="CX1859" t="s">
        <v>14845</v>
      </c>
      <c r="CY1859" t="s">
        <v>132</v>
      </c>
      <c r="CZ1859" t="s">
        <v>137</v>
      </c>
      <c r="DA1859" t="s">
        <v>114</v>
      </c>
      <c r="DB1859" t="s">
        <v>114</v>
      </c>
      <c r="DC1859" t="s">
        <v>136</v>
      </c>
      <c r="DD1859" t="s">
        <v>114</v>
      </c>
    </row>
    <row r="1860" spans="1:113" ht="15" customHeight="1" x14ac:dyDescent="0.25">
      <c r="A1860" t="s">
        <v>2276</v>
      </c>
      <c r="B1860" t="s">
        <v>113</v>
      </c>
      <c r="C1860" s="1">
        <v>45187.843785879631</v>
      </c>
      <c r="D1860" s="1">
        <v>45257</v>
      </c>
      <c r="E1860" t="s">
        <v>132</v>
      </c>
      <c r="F1860" t="s">
        <v>2277</v>
      </c>
      <c r="G1860" t="str">
        <f>"35-3023.00"</f>
        <v>35-3023.00</v>
      </c>
      <c r="H1860" t="s">
        <v>1365</v>
      </c>
      <c r="I1860">
        <v>2</v>
      </c>
      <c r="K1860" s="1">
        <v>45271</v>
      </c>
      <c r="L1860" s="1">
        <v>45565</v>
      </c>
      <c r="O1860" t="s">
        <v>184</v>
      </c>
      <c r="P1860" t="s">
        <v>2278</v>
      </c>
      <c r="Q1860" t="s">
        <v>2279</v>
      </c>
      <c r="R1860" t="s">
        <v>2280</v>
      </c>
      <c r="T1860" t="s">
        <v>2281</v>
      </c>
      <c r="U1860" t="s">
        <v>740</v>
      </c>
      <c r="V1860" s="8" t="str">
        <f>"50536"</f>
        <v>50536</v>
      </c>
      <c r="W1860" t="s">
        <v>118</v>
      </c>
      <c r="Y1860" s="10">
        <v>17122981169</v>
      </c>
      <c r="AA1860">
        <v>722513</v>
      </c>
      <c r="AB1860" t="s">
        <v>2282</v>
      </c>
      <c r="AC1860" t="s">
        <v>250</v>
      </c>
      <c r="AD1860" t="s">
        <v>708</v>
      </c>
      <c r="AE1860" t="s">
        <v>2283</v>
      </c>
      <c r="AF1860" t="s">
        <v>2280</v>
      </c>
      <c r="AH1860" t="s">
        <v>2281</v>
      </c>
      <c r="AI1860" t="s">
        <v>740</v>
      </c>
      <c r="AJ1860" s="8" t="str">
        <f>"50536"</f>
        <v>50536</v>
      </c>
      <c r="AK1860" t="s">
        <v>118</v>
      </c>
      <c r="AM1860" s="10">
        <v>17122981169</v>
      </c>
      <c r="AO1860" t="s">
        <v>2284</v>
      </c>
      <c r="AX1860" s="8" t="str">
        <f>""</f>
        <v/>
      </c>
      <c r="BG1860" t="s">
        <v>740</v>
      </c>
      <c r="BH1860" s="1">
        <v>45186.833333333336</v>
      </c>
      <c r="BI1860">
        <v>40</v>
      </c>
      <c r="BJ1860">
        <v>0</v>
      </c>
      <c r="BK1860">
        <v>8</v>
      </c>
      <c r="BL1860">
        <v>6</v>
      </c>
      <c r="BM1860">
        <v>0</v>
      </c>
      <c r="BN1860">
        <v>6</v>
      </c>
      <c r="BO1860">
        <v>10</v>
      </c>
      <c r="BP1860">
        <v>10</v>
      </c>
      <c r="BQ1860" t="str">
        <f>"10:30 AM"</f>
        <v>10:30 AM</v>
      </c>
      <c r="BR1860" t="str">
        <f>"5:00 PM"</f>
        <v>5:00 PM</v>
      </c>
      <c r="BS1860" t="s">
        <v>131</v>
      </c>
      <c r="BT1860">
        <v>0</v>
      </c>
      <c r="BU1860">
        <v>0</v>
      </c>
      <c r="BV1860" t="s">
        <v>114</v>
      </c>
      <c r="BX1860" t="s">
        <v>2285</v>
      </c>
      <c r="BY1860" t="s">
        <v>2286</v>
      </c>
      <c r="BZ1860" t="s">
        <v>2287</v>
      </c>
      <c r="CA1860" t="s">
        <v>2287</v>
      </c>
      <c r="CB1860" t="s">
        <v>740</v>
      </c>
      <c r="CC1860" s="8" t="str">
        <f>"51360"</f>
        <v>51360</v>
      </c>
      <c r="CD1860" t="s">
        <v>2288</v>
      </c>
      <c r="CE1860" t="s">
        <v>2289</v>
      </c>
      <c r="CF1860" s="12">
        <v>12</v>
      </c>
      <c r="CG1860" s="12">
        <v>13.75</v>
      </c>
      <c r="CH1860" s="12">
        <v>18</v>
      </c>
      <c r="CI1860" s="12">
        <v>20.63</v>
      </c>
      <c r="CJ1860" t="s">
        <v>135</v>
      </c>
      <c r="CL1860" t="s">
        <v>2290</v>
      </c>
      <c r="CO1860" t="s">
        <v>132</v>
      </c>
      <c r="CP1860" t="s">
        <v>114</v>
      </c>
      <c r="CQ1860" t="s">
        <v>114</v>
      </c>
      <c r="CR1860" t="s">
        <v>136</v>
      </c>
      <c r="CS1860" t="s">
        <v>136</v>
      </c>
      <c r="CT1860" t="s">
        <v>136</v>
      </c>
      <c r="CU1860" t="s">
        <v>136</v>
      </c>
      <c r="CV1860" t="s">
        <v>131</v>
      </c>
      <c r="CW1860" s="10" t="str">
        <f>"+17122981169"</f>
        <v>+17122981169</v>
      </c>
      <c r="CX1860" t="s">
        <v>2284</v>
      </c>
      <c r="CY1860" t="s">
        <v>132</v>
      </c>
      <c r="CZ1860" t="s">
        <v>137</v>
      </c>
      <c r="DA1860" t="s">
        <v>114</v>
      </c>
      <c r="DB1860" t="s">
        <v>114</v>
      </c>
      <c r="DC1860" t="s">
        <v>136</v>
      </c>
      <c r="DD1860" t="s">
        <v>114</v>
      </c>
      <c r="DE1860" t="s">
        <v>2282</v>
      </c>
      <c r="DF1860" t="s">
        <v>250</v>
      </c>
      <c r="DG1860" t="s">
        <v>2291</v>
      </c>
      <c r="DH1860" t="s">
        <v>2278</v>
      </c>
      <c r="DI1860" t="s">
        <v>2284</v>
      </c>
    </row>
    <row r="1861" spans="1:113" ht="15" customHeight="1" x14ac:dyDescent="0.25">
      <c r="A1861" t="s">
        <v>21285</v>
      </c>
      <c r="B1861" t="s">
        <v>113</v>
      </c>
      <c r="C1861" s="1">
        <v>45196.885563425923</v>
      </c>
      <c r="D1861" s="1">
        <v>45254</v>
      </c>
      <c r="E1861" t="s">
        <v>132</v>
      </c>
      <c r="F1861" t="s">
        <v>21286</v>
      </c>
      <c r="G1861" t="str">
        <f>"47-2031.00"</f>
        <v>47-2031.00</v>
      </c>
      <c r="H1861" t="s">
        <v>115</v>
      </c>
      <c r="I1861">
        <v>2</v>
      </c>
      <c r="K1861" s="1">
        <v>45271</v>
      </c>
      <c r="L1861" s="1">
        <v>45636</v>
      </c>
      <c r="O1861" t="s">
        <v>184</v>
      </c>
      <c r="P1861" t="s">
        <v>21287</v>
      </c>
      <c r="Q1861" t="s">
        <v>21287</v>
      </c>
      <c r="R1861" t="s">
        <v>21288</v>
      </c>
      <c r="T1861" t="s">
        <v>21289</v>
      </c>
      <c r="U1861" t="s">
        <v>415</v>
      </c>
      <c r="V1861" s="8" t="str">
        <f>"00959"</f>
        <v>00959</v>
      </c>
      <c r="W1861" t="s">
        <v>118</v>
      </c>
      <c r="Y1861" s="10">
        <v>17872198761</v>
      </c>
      <c r="AA1861">
        <v>238350</v>
      </c>
      <c r="AB1861" t="s">
        <v>21290</v>
      </c>
      <c r="AC1861" t="s">
        <v>21291</v>
      </c>
      <c r="AE1861" t="s">
        <v>438</v>
      </c>
      <c r="AF1861" t="s">
        <v>21288</v>
      </c>
      <c r="AH1861" t="s">
        <v>21289</v>
      </c>
      <c r="AI1861" t="s">
        <v>415</v>
      </c>
      <c r="AJ1861" s="8" t="str">
        <f>"00959"</f>
        <v>00959</v>
      </c>
      <c r="AK1861" t="s">
        <v>118</v>
      </c>
      <c r="AM1861" s="10">
        <v>17872198761</v>
      </c>
      <c r="AO1861" t="s">
        <v>21292</v>
      </c>
      <c r="AX1861" s="8" t="str">
        <f>""</f>
        <v/>
      </c>
      <c r="BG1861" t="s">
        <v>415</v>
      </c>
      <c r="BH1861" s="1">
        <v>45195.833333333336</v>
      </c>
      <c r="BI1861">
        <v>40</v>
      </c>
      <c r="BJ1861">
        <v>0</v>
      </c>
      <c r="BK1861">
        <v>8</v>
      </c>
      <c r="BL1861">
        <v>8</v>
      </c>
      <c r="BM1861">
        <v>8</v>
      </c>
      <c r="BN1861">
        <v>8</v>
      </c>
      <c r="BO1861">
        <v>8</v>
      </c>
      <c r="BP1861">
        <v>0</v>
      </c>
      <c r="BQ1861" t="str">
        <f>"8:00 AM"</f>
        <v>8:00 AM</v>
      </c>
      <c r="BR1861" t="str">
        <f>"5:00 PM"</f>
        <v>5:00 PM</v>
      </c>
      <c r="BS1861" t="s">
        <v>147</v>
      </c>
      <c r="BT1861">
        <v>0</v>
      </c>
      <c r="BU1861">
        <v>12</v>
      </c>
      <c r="BV1861" t="s">
        <v>114</v>
      </c>
      <c r="BX1861" s="2" t="s">
        <v>7622</v>
      </c>
      <c r="BY1861" t="s">
        <v>21288</v>
      </c>
      <c r="CA1861" t="s">
        <v>21289</v>
      </c>
      <c r="CB1861" t="s">
        <v>415</v>
      </c>
      <c r="CC1861" s="8" t="str">
        <f>"00959"</f>
        <v>00959</v>
      </c>
      <c r="CD1861" t="s">
        <v>21289</v>
      </c>
      <c r="CE1861" t="s">
        <v>18385</v>
      </c>
      <c r="CF1861" s="12">
        <v>11.25</v>
      </c>
      <c r="CG1861" s="12">
        <v>11.25</v>
      </c>
      <c r="CJ1861" t="s">
        <v>135</v>
      </c>
      <c r="CL1861" t="s">
        <v>21293</v>
      </c>
      <c r="CO1861" t="s">
        <v>132</v>
      </c>
      <c r="CP1861" t="s">
        <v>114</v>
      </c>
      <c r="CQ1861" t="s">
        <v>136</v>
      </c>
      <c r="CR1861" t="s">
        <v>114</v>
      </c>
      <c r="CS1861" t="s">
        <v>136</v>
      </c>
      <c r="CT1861" t="s">
        <v>136</v>
      </c>
      <c r="CU1861" t="s">
        <v>136</v>
      </c>
      <c r="CV1861" t="s">
        <v>21294</v>
      </c>
      <c r="CW1861" s="10" t="str">
        <f>"+17872198761"</f>
        <v>+17872198761</v>
      </c>
      <c r="CX1861" t="s">
        <v>21292</v>
      </c>
      <c r="CY1861" t="s">
        <v>132</v>
      </c>
      <c r="CZ1861" t="s">
        <v>137</v>
      </c>
      <c r="DA1861" t="s">
        <v>114</v>
      </c>
      <c r="DB1861" t="s">
        <v>114</v>
      </c>
      <c r="DC1861" t="s">
        <v>136</v>
      </c>
      <c r="DD1861" t="s">
        <v>114</v>
      </c>
    </row>
    <row r="1862" spans="1:113" ht="15" customHeight="1" x14ac:dyDescent="0.25">
      <c r="A1862" t="s">
        <v>5941</v>
      </c>
      <c r="B1862" t="s">
        <v>113</v>
      </c>
      <c r="C1862" s="1">
        <v>45218.935246875</v>
      </c>
      <c r="D1862" s="1">
        <v>45250</v>
      </c>
      <c r="E1862" t="s">
        <v>132</v>
      </c>
      <c r="F1862" t="s">
        <v>3992</v>
      </c>
      <c r="G1862" t="str">
        <f>"37-2011.00"</f>
        <v>37-2011.00</v>
      </c>
      <c r="H1862" t="s">
        <v>1089</v>
      </c>
      <c r="I1862">
        <v>15</v>
      </c>
      <c r="K1862" s="1">
        <v>45293</v>
      </c>
      <c r="L1862" s="1">
        <v>45382</v>
      </c>
      <c r="O1862" t="s">
        <v>238</v>
      </c>
      <c r="P1862" t="s">
        <v>5942</v>
      </c>
      <c r="R1862" t="s">
        <v>5943</v>
      </c>
      <c r="S1862" t="s">
        <v>1196</v>
      </c>
      <c r="T1862" t="s">
        <v>5944</v>
      </c>
      <c r="U1862" t="s">
        <v>211</v>
      </c>
      <c r="V1862" s="8" t="str">
        <f>"84115"</f>
        <v>84115</v>
      </c>
      <c r="W1862" t="s">
        <v>118</v>
      </c>
      <c r="Y1862" s="10">
        <v>13853959658</v>
      </c>
      <c r="AA1862">
        <v>56173</v>
      </c>
      <c r="AB1862" t="s">
        <v>2732</v>
      </c>
      <c r="AC1862" t="s">
        <v>5945</v>
      </c>
      <c r="AE1862" t="s">
        <v>120</v>
      </c>
      <c r="AF1862" t="s">
        <v>5943</v>
      </c>
      <c r="AG1862" t="s">
        <v>5946</v>
      </c>
      <c r="AH1862" t="s">
        <v>5947</v>
      </c>
      <c r="AI1862" t="s">
        <v>211</v>
      </c>
      <c r="AJ1862" s="8" t="str">
        <f>"84115"</f>
        <v>84115</v>
      </c>
      <c r="AK1862" t="s">
        <v>118</v>
      </c>
      <c r="AM1862" s="10">
        <v>13853959658</v>
      </c>
      <c r="AO1862" t="s">
        <v>5948</v>
      </c>
      <c r="AP1862" t="s">
        <v>248</v>
      </c>
      <c r="AQ1862" t="s">
        <v>1700</v>
      </c>
      <c r="AR1862" t="s">
        <v>1701</v>
      </c>
      <c r="AT1862" t="s">
        <v>1702</v>
      </c>
      <c r="AV1862" t="s">
        <v>2467</v>
      </c>
      <c r="AW1862" t="s">
        <v>211</v>
      </c>
      <c r="AX1862" s="8" t="str">
        <f>"84059"</f>
        <v>84059</v>
      </c>
      <c r="AY1862" t="s">
        <v>118</v>
      </c>
      <c r="BA1862" s="10">
        <v>18013677097</v>
      </c>
      <c r="BC1862" t="s">
        <v>4601</v>
      </c>
      <c r="BD1862" t="s">
        <v>4602</v>
      </c>
      <c r="BG1862" t="s">
        <v>211</v>
      </c>
      <c r="BH1862" s="1">
        <v>45217.833333333336</v>
      </c>
      <c r="BI1862">
        <v>35</v>
      </c>
      <c r="BJ1862">
        <v>0</v>
      </c>
      <c r="BK1862">
        <v>7</v>
      </c>
      <c r="BL1862">
        <v>7</v>
      </c>
      <c r="BM1862">
        <v>7</v>
      </c>
      <c r="BN1862">
        <v>7</v>
      </c>
      <c r="BO1862">
        <v>7</v>
      </c>
      <c r="BP1862">
        <v>0</v>
      </c>
      <c r="BQ1862" t="str">
        <f>"8:00 AM"</f>
        <v>8:00 AM</v>
      </c>
      <c r="BR1862" t="str">
        <f>"3:30 PM"</f>
        <v>3:30 PM</v>
      </c>
      <c r="BS1862" t="s">
        <v>131</v>
      </c>
      <c r="BT1862">
        <v>0</v>
      </c>
      <c r="BU1862">
        <v>0</v>
      </c>
      <c r="BV1862" t="s">
        <v>114</v>
      </c>
      <c r="BX1862" s="2" t="s">
        <v>4603</v>
      </c>
      <c r="BY1862" t="s">
        <v>5943</v>
      </c>
      <c r="BZ1862" t="s">
        <v>1196</v>
      </c>
      <c r="CA1862" t="s">
        <v>5947</v>
      </c>
      <c r="CB1862" t="s">
        <v>211</v>
      </c>
      <c r="CC1862" s="8" t="str">
        <f>"84115"</f>
        <v>84115</v>
      </c>
      <c r="CD1862" t="s">
        <v>1567</v>
      </c>
      <c r="CE1862" t="s">
        <v>1568</v>
      </c>
      <c r="CF1862" s="12">
        <v>14.3</v>
      </c>
      <c r="CJ1862" t="s">
        <v>135</v>
      </c>
      <c r="CK1862" t="s">
        <v>4604</v>
      </c>
      <c r="CL1862" t="s">
        <v>5949</v>
      </c>
      <c r="CO1862" t="s">
        <v>132</v>
      </c>
      <c r="CP1862" t="s">
        <v>136</v>
      </c>
      <c r="CQ1862" t="s">
        <v>136</v>
      </c>
      <c r="CR1862" t="s">
        <v>114</v>
      </c>
      <c r="CS1862" t="s">
        <v>114</v>
      </c>
      <c r="CT1862" t="s">
        <v>136</v>
      </c>
      <c r="CU1862" t="s">
        <v>136</v>
      </c>
      <c r="CV1862" t="s">
        <v>2470</v>
      </c>
      <c r="CW1862" s="10" t="str">
        <f>"+13853959658"</f>
        <v>+13853959658</v>
      </c>
      <c r="CX1862" t="s">
        <v>5948</v>
      </c>
      <c r="CY1862" t="s">
        <v>132</v>
      </c>
      <c r="CZ1862" t="s">
        <v>137</v>
      </c>
      <c r="DA1862" t="s">
        <v>114</v>
      </c>
      <c r="DB1862" t="s">
        <v>114</v>
      </c>
      <c r="DC1862" t="s">
        <v>136</v>
      </c>
      <c r="DD1862" t="s">
        <v>114</v>
      </c>
    </row>
    <row r="1863" spans="1:113" ht="15" customHeight="1" x14ac:dyDescent="0.25">
      <c r="A1863" t="s">
        <v>5396</v>
      </c>
      <c r="B1863" t="s">
        <v>113</v>
      </c>
      <c r="C1863" s="1">
        <v>45215.50609722222</v>
      </c>
      <c r="D1863" s="1">
        <v>45250</v>
      </c>
      <c r="E1863" t="s">
        <v>132</v>
      </c>
      <c r="F1863" t="s">
        <v>2628</v>
      </c>
      <c r="G1863" t="str">
        <f>"47-2061.00"</f>
        <v>47-2061.00</v>
      </c>
      <c r="H1863" t="s">
        <v>570</v>
      </c>
      <c r="I1863">
        <v>1</v>
      </c>
      <c r="K1863" s="1">
        <v>45301</v>
      </c>
      <c r="L1863" s="1">
        <v>45583</v>
      </c>
      <c r="O1863" t="s">
        <v>3248</v>
      </c>
      <c r="P1863" t="s">
        <v>5397</v>
      </c>
      <c r="R1863" t="s">
        <v>5398</v>
      </c>
      <c r="T1863" t="s">
        <v>5399</v>
      </c>
      <c r="U1863" t="s">
        <v>222</v>
      </c>
      <c r="V1863" s="8" t="str">
        <f>"01237"</f>
        <v>01237</v>
      </c>
      <c r="W1863" t="s">
        <v>118</v>
      </c>
      <c r="Y1863" s="10">
        <v>14134999905</v>
      </c>
      <c r="AA1863">
        <v>236118</v>
      </c>
      <c r="AB1863" t="s">
        <v>5400</v>
      </c>
      <c r="AC1863" t="s">
        <v>5401</v>
      </c>
      <c r="AE1863" t="s">
        <v>5402</v>
      </c>
      <c r="AF1863" t="s">
        <v>5403</v>
      </c>
      <c r="AH1863" t="s">
        <v>5399</v>
      </c>
      <c r="AI1863" t="s">
        <v>222</v>
      </c>
      <c r="AJ1863" s="8" t="str">
        <f>"01237"</f>
        <v>01237</v>
      </c>
      <c r="AK1863" t="s">
        <v>118</v>
      </c>
      <c r="AM1863" s="10">
        <v>14134999905</v>
      </c>
      <c r="AO1863" t="s">
        <v>5404</v>
      </c>
      <c r="AX1863" s="8" t="str">
        <f>""</f>
        <v/>
      </c>
      <c r="BG1863" t="s">
        <v>222</v>
      </c>
      <c r="BH1863" s="1">
        <v>44972.791666666664</v>
      </c>
      <c r="BI1863">
        <v>40</v>
      </c>
      <c r="BJ1863">
        <v>0</v>
      </c>
      <c r="BK1863">
        <v>8</v>
      </c>
      <c r="BL1863">
        <v>8</v>
      </c>
      <c r="BM1863">
        <v>8</v>
      </c>
      <c r="BN1863">
        <v>8</v>
      </c>
      <c r="BO1863">
        <v>8</v>
      </c>
      <c r="BP1863">
        <v>0</v>
      </c>
      <c r="BQ1863" t="str">
        <f>"8:00 AM"</f>
        <v>8:00 AM</v>
      </c>
      <c r="BR1863" t="str">
        <f>"4:30 PM"</f>
        <v>4:30 PM</v>
      </c>
      <c r="BS1863" t="s">
        <v>131</v>
      </c>
      <c r="BT1863">
        <v>0</v>
      </c>
      <c r="BU1863">
        <v>0</v>
      </c>
      <c r="BV1863" t="s">
        <v>114</v>
      </c>
      <c r="BX1863" t="s">
        <v>5405</v>
      </c>
      <c r="BY1863" t="s">
        <v>5398</v>
      </c>
      <c r="CA1863" t="s">
        <v>5406</v>
      </c>
      <c r="CB1863" t="s">
        <v>222</v>
      </c>
      <c r="CC1863" s="8" t="str">
        <f>"01237"</f>
        <v>01237</v>
      </c>
      <c r="CD1863" t="s">
        <v>5399</v>
      </c>
      <c r="CE1863" t="s">
        <v>5407</v>
      </c>
      <c r="CF1863" s="12">
        <v>26.12</v>
      </c>
      <c r="CG1863" s="12">
        <v>26.12</v>
      </c>
      <c r="CH1863" s="12">
        <v>39.24</v>
      </c>
      <c r="CI1863" s="12">
        <v>39.24</v>
      </c>
      <c r="CJ1863" t="s">
        <v>135</v>
      </c>
      <c r="CL1863" t="s">
        <v>5408</v>
      </c>
      <c r="CO1863" t="s">
        <v>132</v>
      </c>
      <c r="CP1863" t="s">
        <v>114</v>
      </c>
      <c r="CQ1863" t="s">
        <v>114</v>
      </c>
      <c r="CR1863" t="s">
        <v>136</v>
      </c>
      <c r="CS1863" t="s">
        <v>136</v>
      </c>
      <c r="CT1863" t="s">
        <v>136</v>
      </c>
      <c r="CU1863" t="s">
        <v>114</v>
      </c>
      <c r="CV1863" t="s">
        <v>5409</v>
      </c>
      <c r="CW1863" s="10" t="str">
        <f>"+14134999905"</f>
        <v>+14134999905</v>
      </c>
      <c r="CX1863" t="s">
        <v>5410</v>
      </c>
      <c r="CY1863" t="s">
        <v>132</v>
      </c>
      <c r="CZ1863" t="s">
        <v>137</v>
      </c>
      <c r="DA1863" t="s">
        <v>114</v>
      </c>
      <c r="DB1863" t="s">
        <v>114</v>
      </c>
      <c r="DC1863" t="s">
        <v>136</v>
      </c>
      <c r="DD1863" t="s">
        <v>114</v>
      </c>
    </row>
    <row r="1864" spans="1:113" ht="15" customHeight="1" x14ac:dyDescent="0.25">
      <c r="A1864" t="s">
        <v>3320</v>
      </c>
      <c r="B1864" t="s">
        <v>113</v>
      </c>
      <c r="C1864" s="1">
        <v>45196.954020254627</v>
      </c>
      <c r="D1864" s="1">
        <v>45250</v>
      </c>
      <c r="E1864" t="s">
        <v>132</v>
      </c>
      <c r="F1864" t="s">
        <v>700</v>
      </c>
      <c r="G1864" t="str">
        <f>"37-3011.00"</f>
        <v>37-3011.00</v>
      </c>
      <c r="H1864" t="s">
        <v>429</v>
      </c>
      <c r="I1864">
        <v>10</v>
      </c>
      <c r="K1864" s="1">
        <v>45271</v>
      </c>
      <c r="L1864" s="1">
        <v>45352</v>
      </c>
      <c r="O1864" t="s">
        <v>238</v>
      </c>
      <c r="P1864" t="s">
        <v>3321</v>
      </c>
      <c r="R1864" t="s">
        <v>3322</v>
      </c>
      <c r="T1864" t="s">
        <v>2564</v>
      </c>
      <c r="U1864" t="s">
        <v>127</v>
      </c>
      <c r="V1864" s="8" t="str">
        <f>"77092"</f>
        <v>77092</v>
      </c>
      <c r="W1864" t="s">
        <v>118</v>
      </c>
      <c r="Y1864" s="10">
        <v>17136889377</v>
      </c>
      <c r="AA1864">
        <v>56173</v>
      </c>
      <c r="AB1864" t="s">
        <v>3323</v>
      </c>
      <c r="AC1864" t="s">
        <v>3324</v>
      </c>
      <c r="AE1864" t="s">
        <v>2372</v>
      </c>
      <c r="AF1864" t="s">
        <v>3322</v>
      </c>
      <c r="AH1864" t="s">
        <v>2564</v>
      </c>
      <c r="AI1864" t="s">
        <v>127</v>
      </c>
      <c r="AJ1864" s="8" t="str">
        <f>"77092"</f>
        <v>77092</v>
      </c>
      <c r="AK1864" t="s">
        <v>118</v>
      </c>
      <c r="AM1864" s="10">
        <v>17136889377</v>
      </c>
      <c r="AO1864" t="s">
        <v>132</v>
      </c>
      <c r="AP1864" t="s">
        <v>121</v>
      </c>
      <c r="AQ1864" t="s">
        <v>1172</v>
      </c>
      <c r="AR1864" t="s">
        <v>1173</v>
      </c>
      <c r="AS1864" t="s">
        <v>708</v>
      </c>
      <c r="AT1864" t="s">
        <v>3325</v>
      </c>
      <c r="AV1864" t="s">
        <v>603</v>
      </c>
      <c r="AW1864" t="s">
        <v>127</v>
      </c>
      <c r="AX1864" s="8" t="str">
        <f>"78705"</f>
        <v>78705</v>
      </c>
      <c r="AY1864" t="s">
        <v>118</v>
      </c>
      <c r="BA1864" s="10">
        <v>15123470007</v>
      </c>
      <c r="BC1864" t="s">
        <v>1175</v>
      </c>
      <c r="BD1864" t="s">
        <v>1176</v>
      </c>
      <c r="BE1864" t="s">
        <v>127</v>
      </c>
      <c r="BF1864" t="s">
        <v>750</v>
      </c>
      <c r="BG1864" t="s">
        <v>127</v>
      </c>
      <c r="BH1864" s="1">
        <v>45195.833333333336</v>
      </c>
      <c r="BI1864">
        <v>40</v>
      </c>
      <c r="BJ1864">
        <v>0</v>
      </c>
      <c r="BK1864">
        <v>8</v>
      </c>
      <c r="BL1864">
        <v>8</v>
      </c>
      <c r="BM1864">
        <v>8</v>
      </c>
      <c r="BN1864">
        <v>8</v>
      </c>
      <c r="BO1864">
        <v>8</v>
      </c>
      <c r="BP1864">
        <v>0</v>
      </c>
      <c r="BQ1864" t="str">
        <f>"7:00 AM"</f>
        <v>7:00 AM</v>
      </c>
      <c r="BR1864" t="str">
        <f>"4:00 PM"</f>
        <v>4:00 PM</v>
      </c>
      <c r="BS1864" t="s">
        <v>131</v>
      </c>
      <c r="BT1864">
        <v>0</v>
      </c>
      <c r="BU1864">
        <v>0</v>
      </c>
      <c r="BV1864" t="s">
        <v>114</v>
      </c>
      <c r="BX1864" s="2" t="s">
        <v>3326</v>
      </c>
      <c r="BY1864" t="s">
        <v>3322</v>
      </c>
      <c r="CA1864" t="s">
        <v>2564</v>
      </c>
      <c r="CB1864" t="s">
        <v>127</v>
      </c>
      <c r="CC1864" s="8" t="str">
        <f>"77092"</f>
        <v>77092</v>
      </c>
      <c r="CD1864" t="s">
        <v>3327</v>
      </c>
      <c r="CE1864" t="s">
        <v>879</v>
      </c>
      <c r="CF1864" s="12">
        <v>15.56</v>
      </c>
      <c r="CG1864" s="12">
        <v>15.56</v>
      </c>
      <c r="CH1864" s="12">
        <v>23.34</v>
      </c>
      <c r="CI1864" s="12">
        <v>23.34</v>
      </c>
      <c r="CJ1864" t="s">
        <v>135</v>
      </c>
      <c r="CL1864" t="s">
        <v>3328</v>
      </c>
      <c r="CO1864" t="s">
        <v>132</v>
      </c>
      <c r="CP1864" t="s">
        <v>136</v>
      </c>
      <c r="CQ1864" t="s">
        <v>136</v>
      </c>
      <c r="CR1864" t="s">
        <v>136</v>
      </c>
      <c r="CS1864" t="s">
        <v>136</v>
      </c>
      <c r="CT1864" t="s">
        <v>136</v>
      </c>
      <c r="CU1864" t="s">
        <v>114</v>
      </c>
      <c r="CV1864" s="2" t="s">
        <v>3329</v>
      </c>
      <c r="CW1864" s="10" t="str">
        <f>"+17136889377"</f>
        <v>+17136889377</v>
      </c>
      <c r="CX1864" t="s">
        <v>3330</v>
      </c>
      <c r="CY1864" t="s">
        <v>132</v>
      </c>
      <c r="CZ1864" t="s">
        <v>137</v>
      </c>
      <c r="DA1864" t="s">
        <v>114</v>
      </c>
      <c r="DB1864" t="s">
        <v>114</v>
      </c>
      <c r="DC1864" t="s">
        <v>136</v>
      </c>
      <c r="DD1864" t="s">
        <v>114</v>
      </c>
    </row>
    <row r="1865" spans="1:113" ht="15" customHeight="1" x14ac:dyDescent="0.25">
      <c r="A1865" t="s">
        <v>9542</v>
      </c>
      <c r="B1865" t="s">
        <v>113</v>
      </c>
      <c r="C1865" s="1">
        <v>45196.734930092593</v>
      </c>
      <c r="D1865" s="1">
        <v>45250</v>
      </c>
      <c r="E1865" t="s">
        <v>132</v>
      </c>
      <c r="F1865" t="s">
        <v>9543</v>
      </c>
      <c r="G1865" t="str">
        <f>"31-9092.00"</f>
        <v>31-9092.00</v>
      </c>
      <c r="H1865" t="s">
        <v>9544</v>
      </c>
      <c r="I1865">
        <v>10</v>
      </c>
      <c r="K1865" s="1">
        <v>45271</v>
      </c>
      <c r="L1865" s="1">
        <v>45514</v>
      </c>
      <c r="O1865" t="s">
        <v>116</v>
      </c>
      <c r="P1865" t="s">
        <v>9545</v>
      </c>
      <c r="Q1865" t="s">
        <v>9546</v>
      </c>
      <c r="R1865" t="s">
        <v>9547</v>
      </c>
      <c r="T1865" t="s">
        <v>2746</v>
      </c>
      <c r="U1865" t="s">
        <v>375</v>
      </c>
      <c r="V1865" s="8" t="str">
        <f>"28806"</f>
        <v>28806</v>
      </c>
      <c r="W1865" t="s">
        <v>118</v>
      </c>
      <c r="Y1865" s="10">
        <v>17049895736</v>
      </c>
      <c r="AA1865">
        <v>623311</v>
      </c>
      <c r="AB1865" t="s">
        <v>9548</v>
      </c>
      <c r="AC1865" t="s">
        <v>9549</v>
      </c>
      <c r="AD1865" t="s">
        <v>9550</v>
      </c>
      <c r="AE1865" t="s">
        <v>9551</v>
      </c>
      <c r="AF1865" t="s">
        <v>9547</v>
      </c>
      <c r="AH1865" t="s">
        <v>2746</v>
      </c>
      <c r="AI1865" t="s">
        <v>375</v>
      </c>
      <c r="AJ1865" s="8" t="str">
        <f>"28806"</f>
        <v>28806</v>
      </c>
      <c r="AK1865" t="s">
        <v>118</v>
      </c>
      <c r="AM1865" s="10">
        <v>17048137476</v>
      </c>
      <c r="AN1865">
        <v>55</v>
      </c>
      <c r="AO1865" t="s">
        <v>9552</v>
      </c>
      <c r="AP1865" t="s">
        <v>121</v>
      </c>
      <c r="AQ1865" t="s">
        <v>9553</v>
      </c>
      <c r="AR1865" t="s">
        <v>9554</v>
      </c>
      <c r="AS1865" t="s">
        <v>9555</v>
      </c>
      <c r="AT1865" t="s">
        <v>9556</v>
      </c>
      <c r="AV1865" t="s">
        <v>2137</v>
      </c>
      <c r="AW1865" t="s">
        <v>375</v>
      </c>
      <c r="AX1865" s="8" t="str">
        <f>"27609"</f>
        <v>27609</v>
      </c>
      <c r="AY1865" t="s">
        <v>118</v>
      </c>
      <c r="BA1865" s="10">
        <v>19198330840</v>
      </c>
      <c r="BB1865">
        <v>55</v>
      </c>
      <c r="BC1865" t="s">
        <v>9552</v>
      </c>
      <c r="BD1865" t="s">
        <v>9551</v>
      </c>
      <c r="BE1865" t="s">
        <v>375</v>
      </c>
      <c r="BF1865" t="s">
        <v>1223</v>
      </c>
      <c r="BG1865" t="s">
        <v>375</v>
      </c>
      <c r="BH1865" s="1">
        <v>45195.833333333336</v>
      </c>
      <c r="BI1865">
        <v>45</v>
      </c>
      <c r="BJ1865">
        <v>0</v>
      </c>
      <c r="BK1865">
        <v>9</v>
      </c>
      <c r="BL1865">
        <v>9</v>
      </c>
      <c r="BM1865">
        <v>9</v>
      </c>
      <c r="BN1865">
        <v>9</v>
      </c>
      <c r="BO1865">
        <v>9</v>
      </c>
      <c r="BP1865">
        <v>0</v>
      </c>
      <c r="BQ1865" t="str">
        <f>"9:00 AM"</f>
        <v>9:00 AM</v>
      </c>
      <c r="BR1865" t="str">
        <f>"5:00 PM"</f>
        <v>5:00 PM</v>
      </c>
      <c r="BS1865" t="s">
        <v>147</v>
      </c>
      <c r="BT1865">
        <v>0</v>
      </c>
      <c r="BU1865">
        <v>0</v>
      </c>
      <c r="BV1865" t="s">
        <v>114</v>
      </c>
      <c r="BX1865" t="s">
        <v>132</v>
      </c>
      <c r="BY1865" t="s">
        <v>9557</v>
      </c>
      <c r="CA1865" t="s">
        <v>2746</v>
      </c>
      <c r="CB1865" t="s">
        <v>375</v>
      </c>
      <c r="CC1865" s="8" t="str">
        <f>"28806"</f>
        <v>28806</v>
      </c>
      <c r="CD1865" t="s">
        <v>2747</v>
      </c>
      <c r="CE1865" t="s">
        <v>2135</v>
      </c>
      <c r="CF1865" s="12">
        <v>16.61</v>
      </c>
      <c r="CJ1865" t="s">
        <v>135</v>
      </c>
      <c r="CL1865" t="s">
        <v>9558</v>
      </c>
      <c r="CO1865" t="s">
        <v>132</v>
      </c>
      <c r="CP1865" t="s">
        <v>114</v>
      </c>
      <c r="CQ1865" t="s">
        <v>114</v>
      </c>
      <c r="CR1865" t="s">
        <v>114</v>
      </c>
      <c r="CS1865" t="s">
        <v>136</v>
      </c>
      <c r="CT1865" t="s">
        <v>136</v>
      </c>
      <c r="CU1865" t="s">
        <v>136</v>
      </c>
      <c r="CV1865" t="s">
        <v>9559</v>
      </c>
      <c r="CW1865" s="10" t="str">
        <f>"+17048137476"</f>
        <v>+17048137476</v>
      </c>
      <c r="CX1865" t="s">
        <v>9560</v>
      </c>
      <c r="CY1865" t="s">
        <v>132</v>
      </c>
      <c r="CZ1865" t="s">
        <v>137</v>
      </c>
      <c r="DA1865" t="s">
        <v>114</v>
      </c>
      <c r="DB1865" t="s">
        <v>114</v>
      </c>
      <c r="DC1865" t="s">
        <v>136</v>
      </c>
      <c r="DD1865" t="s">
        <v>114</v>
      </c>
    </row>
    <row r="1866" spans="1:113" ht="15" customHeight="1" x14ac:dyDescent="0.25">
      <c r="A1866" t="s">
        <v>21222</v>
      </c>
      <c r="B1866" t="s">
        <v>113</v>
      </c>
      <c r="C1866" s="1">
        <v>45178.025848958336</v>
      </c>
      <c r="D1866" s="1">
        <v>45250</v>
      </c>
      <c r="E1866" t="s">
        <v>132</v>
      </c>
      <c r="F1866" t="s">
        <v>20983</v>
      </c>
      <c r="G1866" t="str">
        <f>"51-2092.00"</f>
        <v>51-2092.00</v>
      </c>
      <c r="H1866" t="s">
        <v>4544</v>
      </c>
      <c r="I1866">
        <v>36</v>
      </c>
      <c r="K1866" s="1">
        <v>45257</v>
      </c>
      <c r="L1866" s="1">
        <v>45437</v>
      </c>
      <c r="O1866" t="s">
        <v>3248</v>
      </c>
      <c r="P1866" t="s">
        <v>20984</v>
      </c>
      <c r="R1866" t="s">
        <v>20985</v>
      </c>
      <c r="T1866" t="s">
        <v>13718</v>
      </c>
      <c r="U1866" t="s">
        <v>434</v>
      </c>
      <c r="V1866" s="8" t="str">
        <f>"16830"</f>
        <v>16830</v>
      </c>
      <c r="W1866" t="s">
        <v>118</v>
      </c>
      <c r="Y1866" s="10">
        <v>18147659615</v>
      </c>
      <c r="AA1866">
        <v>333415</v>
      </c>
      <c r="AB1866" t="s">
        <v>20986</v>
      </c>
      <c r="AC1866" t="s">
        <v>9393</v>
      </c>
      <c r="AE1866" t="s">
        <v>20987</v>
      </c>
      <c r="AF1866" t="s">
        <v>20988</v>
      </c>
      <c r="AG1866" t="s">
        <v>20989</v>
      </c>
      <c r="AH1866" t="s">
        <v>3407</v>
      </c>
      <c r="AJ1866" s="8" t="str">
        <f>"67110"</f>
        <v>67110</v>
      </c>
      <c r="AK1866" t="s">
        <v>20990</v>
      </c>
      <c r="AL1866" t="s">
        <v>20991</v>
      </c>
      <c r="AM1866" s="10">
        <v>528117764801</v>
      </c>
      <c r="AO1866" t="s">
        <v>20992</v>
      </c>
      <c r="AX1866" s="8" t="str">
        <f>""</f>
        <v/>
      </c>
      <c r="BG1866" t="s">
        <v>434</v>
      </c>
      <c r="BH1866" s="1">
        <v>45130.833333333336</v>
      </c>
      <c r="BI1866">
        <v>48</v>
      </c>
      <c r="BJ1866">
        <v>0</v>
      </c>
      <c r="BK1866">
        <v>8</v>
      </c>
      <c r="BL1866">
        <v>8</v>
      </c>
      <c r="BM1866">
        <v>8</v>
      </c>
      <c r="BN1866">
        <v>8</v>
      </c>
      <c r="BO1866">
        <v>8</v>
      </c>
      <c r="BP1866">
        <v>8</v>
      </c>
      <c r="BQ1866" t="str">
        <f>"7:00 AM"</f>
        <v>7:00 AM</v>
      </c>
      <c r="BR1866" t="str">
        <f>"3:00 PM"</f>
        <v>3:00 PM</v>
      </c>
      <c r="BS1866" t="s">
        <v>131</v>
      </c>
      <c r="BT1866">
        <v>1</v>
      </c>
      <c r="BU1866">
        <v>0</v>
      </c>
      <c r="BV1866" t="s">
        <v>114</v>
      </c>
      <c r="BX1866" t="s">
        <v>20993</v>
      </c>
      <c r="BY1866" t="s">
        <v>20985</v>
      </c>
      <c r="CA1866" t="s">
        <v>13718</v>
      </c>
      <c r="CB1866" t="s">
        <v>434</v>
      </c>
      <c r="CC1866" s="8" t="str">
        <f>"16830"</f>
        <v>16830</v>
      </c>
      <c r="CD1866" t="s">
        <v>13718</v>
      </c>
      <c r="CE1866" t="s">
        <v>4887</v>
      </c>
      <c r="CF1866" s="12">
        <v>15.69</v>
      </c>
      <c r="CG1866" s="12">
        <v>15.69</v>
      </c>
      <c r="CJ1866" t="s">
        <v>135</v>
      </c>
      <c r="CL1866" t="s">
        <v>21223</v>
      </c>
      <c r="CO1866" t="s">
        <v>132</v>
      </c>
      <c r="CP1866" t="s">
        <v>114</v>
      </c>
      <c r="CQ1866" t="s">
        <v>136</v>
      </c>
      <c r="CR1866" t="s">
        <v>114</v>
      </c>
      <c r="CS1866" t="s">
        <v>136</v>
      </c>
      <c r="CT1866" t="s">
        <v>136</v>
      </c>
      <c r="CU1866" t="s">
        <v>136</v>
      </c>
      <c r="CV1866" t="s">
        <v>20993</v>
      </c>
      <c r="CW1866" s="10" t="str">
        <f>"+18147659615"</f>
        <v>+18147659615</v>
      </c>
      <c r="CX1866" t="s">
        <v>20992</v>
      </c>
      <c r="CY1866" t="s">
        <v>132</v>
      </c>
      <c r="CZ1866" t="s">
        <v>137</v>
      </c>
      <c r="DA1866" t="s">
        <v>114</v>
      </c>
      <c r="DB1866" t="s">
        <v>114</v>
      </c>
      <c r="DC1866" t="s">
        <v>136</v>
      </c>
      <c r="DD1866" t="s">
        <v>114</v>
      </c>
    </row>
    <row r="1867" spans="1:113" ht="15" customHeight="1" x14ac:dyDescent="0.25">
      <c r="A1867" t="s">
        <v>20982</v>
      </c>
      <c r="B1867" t="s">
        <v>113</v>
      </c>
      <c r="C1867" s="1">
        <v>45178.019657638892</v>
      </c>
      <c r="D1867" s="1">
        <v>45250</v>
      </c>
      <c r="E1867" t="s">
        <v>132</v>
      </c>
      <c r="F1867" t="s">
        <v>20983</v>
      </c>
      <c r="G1867" t="str">
        <f>"51-2092.00"</f>
        <v>51-2092.00</v>
      </c>
      <c r="H1867" t="s">
        <v>4544</v>
      </c>
      <c r="I1867">
        <v>36</v>
      </c>
      <c r="K1867" s="1">
        <v>45257</v>
      </c>
      <c r="L1867" s="1">
        <v>45437</v>
      </c>
      <c r="O1867" t="s">
        <v>3248</v>
      </c>
      <c r="P1867" t="s">
        <v>20984</v>
      </c>
      <c r="R1867" t="s">
        <v>20985</v>
      </c>
      <c r="T1867" t="s">
        <v>13718</v>
      </c>
      <c r="U1867" t="s">
        <v>434</v>
      </c>
      <c r="V1867" s="8" t="str">
        <f>"16830"</f>
        <v>16830</v>
      </c>
      <c r="W1867" t="s">
        <v>118</v>
      </c>
      <c r="Y1867" s="10">
        <v>18147659615</v>
      </c>
      <c r="AA1867">
        <v>333415</v>
      </c>
      <c r="AB1867" t="s">
        <v>20986</v>
      </c>
      <c r="AC1867" t="s">
        <v>9393</v>
      </c>
      <c r="AE1867" t="s">
        <v>20987</v>
      </c>
      <c r="AF1867" t="s">
        <v>20988</v>
      </c>
      <c r="AG1867" t="s">
        <v>20989</v>
      </c>
      <c r="AH1867" t="s">
        <v>3407</v>
      </c>
      <c r="AJ1867" s="8" t="str">
        <f>"67110"</f>
        <v>67110</v>
      </c>
      <c r="AK1867" t="s">
        <v>20990</v>
      </c>
      <c r="AL1867" t="s">
        <v>20991</v>
      </c>
      <c r="AM1867" s="10">
        <v>528117764801</v>
      </c>
      <c r="AO1867" t="s">
        <v>20992</v>
      </c>
      <c r="AX1867" s="8" t="str">
        <f>""</f>
        <v/>
      </c>
      <c r="BG1867" t="s">
        <v>434</v>
      </c>
      <c r="BH1867" s="1">
        <v>45130.833333333336</v>
      </c>
      <c r="BI1867">
        <v>48</v>
      </c>
      <c r="BJ1867">
        <v>0</v>
      </c>
      <c r="BK1867">
        <v>8</v>
      </c>
      <c r="BL1867">
        <v>8</v>
      </c>
      <c r="BM1867">
        <v>8</v>
      </c>
      <c r="BN1867">
        <v>8</v>
      </c>
      <c r="BO1867">
        <v>8</v>
      </c>
      <c r="BP1867">
        <v>8</v>
      </c>
      <c r="BQ1867" t="str">
        <f>"7:00 AM"</f>
        <v>7:00 AM</v>
      </c>
      <c r="BR1867" t="str">
        <f>"3:00 PM"</f>
        <v>3:00 PM</v>
      </c>
      <c r="BS1867" t="s">
        <v>131</v>
      </c>
      <c r="BT1867">
        <v>1</v>
      </c>
      <c r="BU1867">
        <v>0</v>
      </c>
      <c r="BV1867" t="s">
        <v>114</v>
      </c>
      <c r="BX1867" t="s">
        <v>20993</v>
      </c>
      <c r="BY1867" t="s">
        <v>20985</v>
      </c>
      <c r="CA1867" t="s">
        <v>13718</v>
      </c>
      <c r="CB1867" t="s">
        <v>434</v>
      </c>
      <c r="CC1867" s="8" t="str">
        <f>"16830"</f>
        <v>16830</v>
      </c>
      <c r="CD1867" t="s">
        <v>13718</v>
      </c>
      <c r="CE1867" t="s">
        <v>4887</v>
      </c>
      <c r="CF1867" s="12">
        <v>23.54</v>
      </c>
      <c r="CG1867" s="12">
        <v>23.54</v>
      </c>
      <c r="CJ1867" t="s">
        <v>135</v>
      </c>
      <c r="CL1867" t="s">
        <v>20994</v>
      </c>
      <c r="CO1867" t="s">
        <v>132</v>
      </c>
      <c r="CP1867" t="s">
        <v>114</v>
      </c>
      <c r="CQ1867" t="s">
        <v>136</v>
      </c>
      <c r="CR1867" t="s">
        <v>114</v>
      </c>
      <c r="CS1867" t="s">
        <v>136</v>
      </c>
      <c r="CT1867" t="s">
        <v>136</v>
      </c>
      <c r="CU1867" t="s">
        <v>136</v>
      </c>
      <c r="CV1867" t="s">
        <v>20993</v>
      </c>
      <c r="CW1867" s="10" t="str">
        <f>"+18147659615"</f>
        <v>+18147659615</v>
      </c>
      <c r="CX1867" t="s">
        <v>20992</v>
      </c>
      <c r="CY1867" t="s">
        <v>132</v>
      </c>
      <c r="CZ1867" t="s">
        <v>137</v>
      </c>
      <c r="DA1867" t="s">
        <v>114</v>
      </c>
      <c r="DB1867" t="s">
        <v>114</v>
      </c>
      <c r="DC1867" t="s">
        <v>136</v>
      </c>
      <c r="DD1867" t="s">
        <v>114</v>
      </c>
    </row>
    <row r="1868" spans="1:113" ht="15" customHeight="1" x14ac:dyDescent="0.25">
      <c r="A1868" t="s">
        <v>19088</v>
      </c>
      <c r="B1868" t="s">
        <v>113</v>
      </c>
      <c r="C1868" s="1">
        <v>45144.547263541666</v>
      </c>
      <c r="D1868" s="1">
        <v>45250</v>
      </c>
      <c r="E1868" t="s">
        <v>114</v>
      </c>
      <c r="F1868" t="s">
        <v>19089</v>
      </c>
      <c r="G1868" t="str">
        <f>"47-1011.00"</f>
        <v>47-1011.00</v>
      </c>
      <c r="H1868" t="s">
        <v>8562</v>
      </c>
      <c r="I1868">
        <v>1</v>
      </c>
      <c r="K1868" s="1">
        <v>45219</v>
      </c>
      <c r="L1868" s="1">
        <v>45930</v>
      </c>
      <c r="O1868" t="s">
        <v>184</v>
      </c>
      <c r="P1868" t="s">
        <v>399</v>
      </c>
      <c r="R1868" t="s">
        <v>400</v>
      </c>
      <c r="T1868" t="s">
        <v>401</v>
      </c>
      <c r="U1868" t="s">
        <v>402</v>
      </c>
      <c r="V1868" s="8" t="str">
        <f>"92008"</f>
        <v>92008</v>
      </c>
      <c r="W1868" t="s">
        <v>118</v>
      </c>
      <c r="Y1868" s="10">
        <v>17605607127</v>
      </c>
      <c r="AA1868">
        <v>23622</v>
      </c>
      <c r="AB1868" t="s">
        <v>403</v>
      </c>
      <c r="AC1868" t="s">
        <v>404</v>
      </c>
      <c r="AE1868" t="s">
        <v>405</v>
      </c>
      <c r="AF1868" t="s">
        <v>400</v>
      </c>
      <c r="AH1868" t="s">
        <v>401</v>
      </c>
      <c r="AI1868" t="s">
        <v>402</v>
      </c>
      <c r="AJ1868" s="8" t="str">
        <f>"92008"</f>
        <v>92008</v>
      </c>
      <c r="AK1868" t="s">
        <v>118</v>
      </c>
      <c r="AM1868" s="10">
        <v>17605607127</v>
      </c>
      <c r="AO1868" t="s">
        <v>406</v>
      </c>
      <c r="AP1868" t="s">
        <v>121</v>
      </c>
      <c r="AQ1868" t="s">
        <v>407</v>
      </c>
      <c r="AR1868" t="s">
        <v>408</v>
      </c>
      <c r="AS1868" t="s">
        <v>409</v>
      </c>
      <c r="AT1868" t="s">
        <v>410</v>
      </c>
      <c r="AU1868" t="s">
        <v>411</v>
      </c>
      <c r="AV1868" t="s">
        <v>412</v>
      </c>
      <c r="AW1868" t="s">
        <v>402</v>
      </c>
      <c r="AX1868" s="8" t="str">
        <f>"94108"</f>
        <v>94108</v>
      </c>
      <c r="AY1868" t="s">
        <v>118</v>
      </c>
      <c r="BA1868" s="10">
        <v>14159813000</v>
      </c>
      <c r="BC1868" t="s">
        <v>413</v>
      </c>
      <c r="BD1868" t="s">
        <v>414</v>
      </c>
      <c r="BE1868" t="s">
        <v>402</v>
      </c>
      <c r="BF1868" t="s">
        <v>172</v>
      </c>
      <c r="BG1868" t="s">
        <v>415</v>
      </c>
      <c r="BH1868" s="1">
        <v>45143.833333333336</v>
      </c>
      <c r="BI1868">
        <v>40</v>
      </c>
      <c r="BJ1868">
        <v>0</v>
      </c>
      <c r="BK1868">
        <v>8</v>
      </c>
      <c r="BL1868">
        <v>8</v>
      </c>
      <c r="BM1868">
        <v>8</v>
      </c>
      <c r="BN1868">
        <v>8</v>
      </c>
      <c r="BO1868">
        <v>8</v>
      </c>
      <c r="BP1868">
        <v>0</v>
      </c>
      <c r="BQ1868" t="str">
        <f>"9:00 AM"</f>
        <v>9:00 AM</v>
      </c>
      <c r="BR1868" t="str">
        <f>"5:00 PM"</f>
        <v>5:00 PM</v>
      </c>
      <c r="BS1868" t="s">
        <v>147</v>
      </c>
      <c r="BT1868">
        <v>0</v>
      </c>
      <c r="BU1868">
        <v>24</v>
      </c>
      <c r="BV1868" t="s">
        <v>136</v>
      </c>
      <c r="BW1868">
        <v>10</v>
      </c>
      <c r="BX1868" s="2" t="s">
        <v>19090</v>
      </c>
      <c r="BY1868" t="s">
        <v>417</v>
      </c>
      <c r="CA1868" t="s">
        <v>418</v>
      </c>
      <c r="CB1868" t="s">
        <v>415</v>
      </c>
      <c r="CC1868" s="8" t="str">
        <f>"00603"</f>
        <v>00603</v>
      </c>
      <c r="CD1868" t="s">
        <v>419</v>
      </c>
      <c r="CE1868" t="s">
        <v>420</v>
      </c>
      <c r="CF1868" s="12">
        <v>14.26</v>
      </c>
      <c r="CG1868" s="12">
        <v>14.26</v>
      </c>
      <c r="CH1868" s="12">
        <v>21.39</v>
      </c>
      <c r="CI1868" s="12">
        <v>21.39</v>
      </c>
      <c r="CJ1868" t="s">
        <v>135</v>
      </c>
      <c r="CL1868" t="s">
        <v>19091</v>
      </c>
      <c r="CO1868" t="s">
        <v>132</v>
      </c>
      <c r="CP1868" t="s">
        <v>114</v>
      </c>
      <c r="CQ1868" t="s">
        <v>136</v>
      </c>
      <c r="CR1868" t="s">
        <v>136</v>
      </c>
      <c r="CS1868" t="s">
        <v>114</v>
      </c>
      <c r="CT1868" t="s">
        <v>136</v>
      </c>
      <c r="CU1868" t="s">
        <v>136</v>
      </c>
      <c r="CV1868" t="s">
        <v>19092</v>
      </c>
      <c r="CW1868" s="10" t="str">
        <f>"N/A"</f>
        <v>N/A</v>
      </c>
      <c r="CX1868" t="s">
        <v>406</v>
      </c>
      <c r="CY1868" t="s">
        <v>422</v>
      </c>
      <c r="CZ1868" t="s">
        <v>137</v>
      </c>
      <c r="DA1868" t="s">
        <v>114</v>
      </c>
      <c r="DB1868" t="s">
        <v>114</v>
      </c>
      <c r="DC1868" t="s">
        <v>136</v>
      </c>
      <c r="DD1868" t="s">
        <v>114</v>
      </c>
      <c r="DE1868" t="s">
        <v>423</v>
      </c>
      <c r="DF1868" t="s">
        <v>424</v>
      </c>
      <c r="DG1868" t="s">
        <v>425</v>
      </c>
      <c r="DH1868" t="s">
        <v>19093</v>
      </c>
      <c r="DI1868" t="s">
        <v>426</v>
      </c>
    </row>
    <row r="1869" spans="1:113" ht="15" customHeight="1" x14ac:dyDescent="0.25">
      <c r="A1869" t="s">
        <v>22722</v>
      </c>
      <c r="B1869" t="s">
        <v>113</v>
      </c>
      <c r="C1869" s="1">
        <v>45197.781023495372</v>
      </c>
      <c r="D1869" s="1">
        <v>45247</v>
      </c>
      <c r="E1869" t="s">
        <v>132</v>
      </c>
      <c r="F1869" t="s">
        <v>3517</v>
      </c>
      <c r="G1869" t="str">
        <f>"51-6011.00"</f>
        <v>51-6011.00</v>
      </c>
      <c r="H1869" t="s">
        <v>2015</v>
      </c>
      <c r="I1869">
        <v>15</v>
      </c>
      <c r="K1869" s="1">
        <v>45272</v>
      </c>
      <c r="L1869" s="1">
        <v>45397</v>
      </c>
      <c r="O1869" t="s">
        <v>116</v>
      </c>
      <c r="P1869" t="s">
        <v>19460</v>
      </c>
      <c r="Q1869" t="s">
        <v>19461</v>
      </c>
      <c r="R1869" t="s">
        <v>19462</v>
      </c>
      <c r="S1869" t="s">
        <v>7460</v>
      </c>
      <c r="T1869" t="s">
        <v>19463</v>
      </c>
      <c r="U1869" t="s">
        <v>188</v>
      </c>
      <c r="V1869" s="8" t="str">
        <f>"80487"</f>
        <v>80487</v>
      </c>
      <c r="W1869" t="s">
        <v>118</v>
      </c>
      <c r="Y1869" s="10">
        <v>19708752854</v>
      </c>
      <c r="AA1869">
        <v>53131</v>
      </c>
      <c r="AB1869" t="s">
        <v>17732</v>
      </c>
      <c r="AC1869" t="s">
        <v>19887</v>
      </c>
      <c r="AD1869" t="s">
        <v>19888</v>
      </c>
      <c r="AE1869" t="s">
        <v>19889</v>
      </c>
      <c r="AF1869" t="s">
        <v>19462</v>
      </c>
      <c r="AG1869" t="s">
        <v>7460</v>
      </c>
      <c r="AH1869" t="s">
        <v>19892</v>
      </c>
      <c r="AI1869" t="s">
        <v>188</v>
      </c>
      <c r="AJ1869" s="8" t="str">
        <f>"80487"</f>
        <v>80487</v>
      </c>
      <c r="AK1869" t="s">
        <v>118</v>
      </c>
      <c r="AM1869" s="10">
        <v>19708752854</v>
      </c>
      <c r="AO1869" t="s">
        <v>19466</v>
      </c>
      <c r="AX1869" s="8" t="str">
        <f>""</f>
        <v/>
      </c>
      <c r="BG1869" t="s">
        <v>188</v>
      </c>
      <c r="BH1869" s="1">
        <v>45196.833333333336</v>
      </c>
      <c r="BI1869">
        <v>36</v>
      </c>
      <c r="BJ1869">
        <v>8</v>
      </c>
      <c r="BK1869">
        <v>6</v>
      </c>
      <c r="BL1869">
        <v>7</v>
      </c>
      <c r="BM1869">
        <v>0</v>
      </c>
      <c r="BN1869">
        <v>0</v>
      </c>
      <c r="BO1869">
        <v>7</v>
      </c>
      <c r="BP1869">
        <v>8</v>
      </c>
      <c r="BQ1869" t="str">
        <f>"8:00 AM"</f>
        <v>8:00 AM</v>
      </c>
      <c r="BR1869" t="str">
        <f>"4:30 PM"</f>
        <v>4:30 PM</v>
      </c>
      <c r="BS1869" t="s">
        <v>131</v>
      </c>
      <c r="BT1869">
        <v>0</v>
      </c>
      <c r="BU1869">
        <v>0</v>
      </c>
      <c r="BV1869" t="s">
        <v>114</v>
      </c>
      <c r="BX1869" s="2" t="s">
        <v>22723</v>
      </c>
      <c r="BY1869" t="s">
        <v>19462</v>
      </c>
      <c r="BZ1869" t="s">
        <v>22724</v>
      </c>
      <c r="CA1869" t="s">
        <v>19892</v>
      </c>
      <c r="CB1869" t="s">
        <v>188</v>
      </c>
      <c r="CC1869" s="8" t="str">
        <f>"80487"</f>
        <v>80487</v>
      </c>
      <c r="CD1869" t="s">
        <v>11908</v>
      </c>
      <c r="CE1869" t="s">
        <v>1038</v>
      </c>
      <c r="CF1869" s="12">
        <v>16.75</v>
      </c>
      <c r="CG1869" s="12">
        <v>16.75</v>
      </c>
      <c r="CH1869" s="12">
        <v>25.13</v>
      </c>
      <c r="CI1869" s="12">
        <v>25.13</v>
      </c>
      <c r="CJ1869" t="s">
        <v>135</v>
      </c>
      <c r="CL1869" t="s">
        <v>22725</v>
      </c>
      <c r="CO1869" t="s">
        <v>132</v>
      </c>
      <c r="CP1869" t="s">
        <v>114</v>
      </c>
      <c r="CQ1869" t="s">
        <v>136</v>
      </c>
      <c r="CR1869" t="s">
        <v>136</v>
      </c>
      <c r="CS1869" t="s">
        <v>136</v>
      </c>
      <c r="CT1869" t="s">
        <v>136</v>
      </c>
      <c r="CU1869" t="s">
        <v>136</v>
      </c>
      <c r="CV1869" t="s">
        <v>22726</v>
      </c>
      <c r="CW1869" s="10" t="str">
        <f>"+19708793075"</f>
        <v>+19708793075</v>
      </c>
      <c r="CX1869" t="s">
        <v>19895</v>
      </c>
      <c r="CY1869" t="s">
        <v>22727</v>
      </c>
      <c r="CZ1869" t="s">
        <v>137</v>
      </c>
      <c r="DA1869" t="s">
        <v>114</v>
      </c>
      <c r="DB1869" t="s">
        <v>114</v>
      </c>
      <c r="DC1869" t="s">
        <v>136</v>
      </c>
      <c r="DD1869" t="s">
        <v>114</v>
      </c>
    </row>
    <row r="1870" spans="1:113" ht="15" customHeight="1" x14ac:dyDescent="0.25">
      <c r="A1870" t="s">
        <v>17031</v>
      </c>
      <c r="B1870" t="s">
        <v>113</v>
      </c>
      <c r="C1870" s="1">
        <v>45194.644783564814</v>
      </c>
      <c r="D1870" s="1">
        <v>45247</v>
      </c>
      <c r="E1870" t="s">
        <v>132</v>
      </c>
      <c r="F1870" t="s">
        <v>17032</v>
      </c>
      <c r="G1870" t="str">
        <f>"35-2011.00"</f>
        <v>35-2011.00</v>
      </c>
      <c r="H1870" t="s">
        <v>138</v>
      </c>
      <c r="I1870">
        <v>4</v>
      </c>
      <c r="K1870" s="1">
        <v>45269</v>
      </c>
      <c r="L1870" s="1">
        <v>45463</v>
      </c>
      <c r="O1870" t="s">
        <v>116</v>
      </c>
      <c r="P1870" t="s">
        <v>17033</v>
      </c>
      <c r="Q1870" t="s">
        <v>17034</v>
      </c>
      <c r="R1870" t="s">
        <v>17035</v>
      </c>
      <c r="T1870" t="s">
        <v>3483</v>
      </c>
      <c r="U1870" t="s">
        <v>188</v>
      </c>
      <c r="V1870" s="8" t="str">
        <f>"80214"</f>
        <v>80214</v>
      </c>
      <c r="W1870" t="s">
        <v>118</v>
      </c>
      <c r="Y1870" s="10">
        <v>17209992923</v>
      </c>
      <c r="AA1870">
        <v>72251</v>
      </c>
      <c r="AB1870" t="s">
        <v>17036</v>
      </c>
      <c r="AC1870" t="s">
        <v>17037</v>
      </c>
      <c r="AE1870" t="s">
        <v>654</v>
      </c>
      <c r="AF1870" t="s">
        <v>17038</v>
      </c>
      <c r="AH1870" t="s">
        <v>17039</v>
      </c>
      <c r="AI1870" t="s">
        <v>188</v>
      </c>
      <c r="AJ1870" s="8" t="str">
        <f>"80214"</f>
        <v>80214</v>
      </c>
      <c r="AK1870" t="s">
        <v>118</v>
      </c>
      <c r="AM1870" s="10">
        <v>17209992923</v>
      </c>
      <c r="AO1870" t="s">
        <v>17040</v>
      </c>
      <c r="AX1870" s="8" t="str">
        <f>""</f>
        <v/>
      </c>
      <c r="BG1870" t="s">
        <v>188</v>
      </c>
      <c r="BH1870" s="1">
        <v>45190.833333333336</v>
      </c>
      <c r="BI1870">
        <v>40</v>
      </c>
      <c r="BJ1870">
        <v>6</v>
      </c>
      <c r="BK1870">
        <v>6</v>
      </c>
      <c r="BL1870">
        <v>5</v>
      </c>
      <c r="BM1870">
        <v>5</v>
      </c>
      <c r="BN1870">
        <v>6</v>
      </c>
      <c r="BO1870">
        <v>6</v>
      </c>
      <c r="BP1870">
        <v>6</v>
      </c>
      <c r="BQ1870" t="str">
        <f>"6:00 PM"</f>
        <v>6:00 PM</v>
      </c>
      <c r="BR1870" t="str">
        <f>"3:00 AM"</f>
        <v>3:00 AM</v>
      </c>
      <c r="BS1870" t="s">
        <v>147</v>
      </c>
      <c r="BT1870">
        <v>0</v>
      </c>
      <c r="BU1870">
        <v>1</v>
      </c>
      <c r="BV1870" t="s">
        <v>114</v>
      </c>
      <c r="BX1870" t="s">
        <v>17041</v>
      </c>
      <c r="BY1870" t="s">
        <v>17042</v>
      </c>
      <c r="CA1870" t="s">
        <v>3483</v>
      </c>
      <c r="CB1870" t="s">
        <v>188</v>
      </c>
      <c r="CC1870" s="8" t="str">
        <f>"80214"</f>
        <v>80214</v>
      </c>
      <c r="CD1870" t="s">
        <v>1767</v>
      </c>
      <c r="CE1870" t="s">
        <v>195</v>
      </c>
      <c r="CF1870" s="12">
        <v>15.22</v>
      </c>
      <c r="CG1870" s="12">
        <v>20</v>
      </c>
      <c r="CJ1870" t="s">
        <v>135</v>
      </c>
      <c r="CL1870" t="s">
        <v>17043</v>
      </c>
      <c r="CO1870" t="s">
        <v>132</v>
      </c>
      <c r="CP1870" t="s">
        <v>114</v>
      </c>
      <c r="CQ1870" t="s">
        <v>114</v>
      </c>
      <c r="CR1870" t="s">
        <v>114</v>
      </c>
      <c r="CS1870" t="s">
        <v>136</v>
      </c>
      <c r="CT1870" t="s">
        <v>136</v>
      </c>
      <c r="CU1870" t="s">
        <v>114</v>
      </c>
      <c r="CV1870" t="s">
        <v>796</v>
      </c>
      <c r="CW1870" s="10" t="str">
        <f>"+13037366090"</f>
        <v>+13037366090</v>
      </c>
      <c r="CX1870" t="s">
        <v>17044</v>
      </c>
      <c r="CY1870" t="s">
        <v>132</v>
      </c>
      <c r="CZ1870" t="s">
        <v>137</v>
      </c>
      <c r="DA1870" t="s">
        <v>114</v>
      </c>
      <c r="DB1870" t="s">
        <v>114</v>
      </c>
      <c r="DC1870" t="s">
        <v>136</v>
      </c>
      <c r="DD1870" t="s">
        <v>114</v>
      </c>
    </row>
    <row r="1871" spans="1:113" ht="15" customHeight="1" x14ac:dyDescent="0.25">
      <c r="A1871" t="s">
        <v>20473</v>
      </c>
      <c r="B1871" t="s">
        <v>113</v>
      </c>
      <c r="C1871" s="1">
        <v>45180.528090972221</v>
      </c>
      <c r="D1871" s="1">
        <v>45247</v>
      </c>
      <c r="E1871" t="s">
        <v>132</v>
      </c>
      <c r="F1871" t="s">
        <v>20474</v>
      </c>
      <c r="G1871" t="str">
        <f>"31-1122.00"</f>
        <v>31-1122.00</v>
      </c>
      <c r="H1871" t="s">
        <v>8076</v>
      </c>
      <c r="I1871">
        <v>4</v>
      </c>
      <c r="K1871" s="1">
        <v>45261</v>
      </c>
      <c r="L1871" s="1">
        <v>45536</v>
      </c>
      <c r="O1871" t="s">
        <v>3248</v>
      </c>
      <c r="P1871" t="s">
        <v>20475</v>
      </c>
      <c r="R1871" t="s">
        <v>20476</v>
      </c>
      <c r="T1871" t="s">
        <v>20477</v>
      </c>
      <c r="U1871" t="s">
        <v>402</v>
      </c>
      <c r="V1871" s="8" t="str">
        <f>"91915"</f>
        <v>91915</v>
      </c>
      <c r="W1871" t="s">
        <v>118</v>
      </c>
      <c r="Y1871" s="10">
        <v>16193169105</v>
      </c>
      <c r="AA1871">
        <v>623990</v>
      </c>
      <c r="AB1871" t="s">
        <v>8859</v>
      </c>
      <c r="AC1871" t="s">
        <v>2787</v>
      </c>
      <c r="AE1871" t="s">
        <v>743</v>
      </c>
      <c r="AF1871" t="s">
        <v>20476</v>
      </c>
      <c r="AH1871" t="s">
        <v>20477</v>
      </c>
      <c r="AI1871" t="s">
        <v>402</v>
      </c>
      <c r="AJ1871" s="8" t="str">
        <f>"91915"</f>
        <v>91915</v>
      </c>
      <c r="AK1871" t="s">
        <v>118</v>
      </c>
      <c r="AM1871" s="10">
        <v>16193169105</v>
      </c>
      <c r="AO1871" t="s">
        <v>20478</v>
      </c>
      <c r="AX1871" s="8" t="str">
        <f>""</f>
        <v/>
      </c>
      <c r="BG1871" t="s">
        <v>402</v>
      </c>
      <c r="BH1871" s="1">
        <v>45179.833333333336</v>
      </c>
      <c r="BI1871">
        <v>40</v>
      </c>
      <c r="BJ1871">
        <v>0</v>
      </c>
      <c r="BK1871">
        <v>8</v>
      </c>
      <c r="BL1871">
        <v>8</v>
      </c>
      <c r="BM1871">
        <v>8</v>
      </c>
      <c r="BN1871">
        <v>8</v>
      </c>
      <c r="BO1871">
        <v>8</v>
      </c>
      <c r="BP1871">
        <v>0</v>
      </c>
      <c r="BQ1871" t="str">
        <f>"7:00 AM"</f>
        <v>7:00 AM</v>
      </c>
      <c r="BR1871" t="str">
        <f>"5:00 AM"</f>
        <v>5:00 AM</v>
      </c>
      <c r="BS1871" t="s">
        <v>131</v>
      </c>
      <c r="BT1871">
        <v>1</v>
      </c>
      <c r="BU1871">
        <v>0</v>
      </c>
      <c r="BV1871" t="s">
        <v>114</v>
      </c>
      <c r="BX1871" t="s">
        <v>20479</v>
      </c>
      <c r="BY1871" t="s">
        <v>20480</v>
      </c>
      <c r="CA1871" t="s">
        <v>20481</v>
      </c>
      <c r="CB1871" t="s">
        <v>402</v>
      </c>
      <c r="CC1871" s="8" t="str">
        <f>"91945"</f>
        <v>91945</v>
      </c>
      <c r="CD1871" t="s">
        <v>2435</v>
      </c>
      <c r="CE1871" t="s">
        <v>2436</v>
      </c>
      <c r="CF1871" s="12">
        <v>15.5</v>
      </c>
      <c r="CG1871" s="12">
        <v>18</v>
      </c>
      <c r="CH1871" s="12">
        <v>23.25</v>
      </c>
      <c r="CI1871" s="12">
        <v>27</v>
      </c>
      <c r="CJ1871" t="s">
        <v>135</v>
      </c>
      <c r="CL1871" t="s">
        <v>20482</v>
      </c>
      <c r="CO1871" t="s">
        <v>132</v>
      </c>
      <c r="CP1871" t="s">
        <v>136</v>
      </c>
      <c r="CQ1871" t="s">
        <v>136</v>
      </c>
      <c r="CR1871" t="s">
        <v>136</v>
      </c>
      <c r="CS1871" t="s">
        <v>136</v>
      </c>
      <c r="CT1871" t="s">
        <v>136</v>
      </c>
      <c r="CU1871" t="s">
        <v>136</v>
      </c>
      <c r="CV1871" t="s">
        <v>20483</v>
      </c>
      <c r="CW1871" s="10" t="str">
        <f>"+16193169311"</f>
        <v>+16193169311</v>
      </c>
      <c r="CX1871" t="s">
        <v>20478</v>
      </c>
      <c r="CY1871" t="s">
        <v>132</v>
      </c>
      <c r="CZ1871" t="s">
        <v>137</v>
      </c>
      <c r="DA1871" t="s">
        <v>114</v>
      </c>
      <c r="DB1871" t="s">
        <v>114</v>
      </c>
      <c r="DC1871" t="s">
        <v>136</v>
      </c>
      <c r="DD1871" t="s">
        <v>114</v>
      </c>
    </row>
    <row r="1872" spans="1:113" ht="15" customHeight="1" x14ac:dyDescent="0.25">
      <c r="A1872" t="s">
        <v>10198</v>
      </c>
      <c r="B1872" t="s">
        <v>113</v>
      </c>
      <c r="C1872" s="1">
        <v>45168.650287152777</v>
      </c>
      <c r="D1872" s="1">
        <v>45247</v>
      </c>
      <c r="E1872" t="s">
        <v>114</v>
      </c>
      <c r="F1872" t="s">
        <v>10199</v>
      </c>
      <c r="G1872" t="str">
        <f>"35-2013.00"</f>
        <v>35-2013.00</v>
      </c>
      <c r="H1872" t="s">
        <v>9961</v>
      </c>
      <c r="I1872">
        <v>1</v>
      </c>
      <c r="K1872" s="1">
        <v>45243</v>
      </c>
      <c r="L1872" s="1">
        <v>45608</v>
      </c>
      <c r="O1872" t="s">
        <v>184</v>
      </c>
      <c r="P1872" t="s">
        <v>10200</v>
      </c>
      <c r="R1872" t="s">
        <v>10201</v>
      </c>
      <c r="T1872" t="s">
        <v>3012</v>
      </c>
      <c r="U1872" t="s">
        <v>222</v>
      </c>
      <c r="V1872" s="8" t="str">
        <f>"02465"</f>
        <v>02465</v>
      </c>
      <c r="W1872" t="s">
        <v>118</v>
      </c>
      <c r="Y1872" s="10">
        <v>16177108877</v>
      </c>
      <c r="AA1872">
        <v>541611</v>
      </c>
      <c r="AB1872" t="s">
        <v>10202</v>
      </c>
      <c r="AC1872" t="s">
        <v>10203</v>
      </c>
      <c r="AE1872" t="s">
        <v>1495</v>
      </c>
      <c r="AF1872" t="s">
        <v>10201</v>
      </c>
      <c r="AH1872" t="s">
        <v>3012</v>
      </c>
      <c r="AI1872" t="s">
        <v>222</v>
      </c>
      <c r="AJ1872" s="8" t="str">
        <f>"02465"</f>
        <v>02465</v>
      </c>
      <c r="AK1872" t="s">
        <v>118</v>
      </c>
      <c r="AM1872" s="10">
        <v>16177108877</v>
      </c>
      <c r="AO1872" t="s">
        <v>10204</v>
      </c>
      <c r="AX1872" s="8" t="str">
        <f>""</f>
        <v/>
      </c>
      <c r="BG1872" t="s">
        <v>222</v>
      </c>
      <c r="BH1872" s="1">
        <v>45167.833333333336</v>
      </c>
      <c r="BI1872">
        <v>35</v>
      </c>
      <c r="BJ1872">
        <v>0</v>
      </c>
      <c r="BK1872">
        <v>7</v>
      </c>
      <c r="BL1872">
        <v>7</v>
      </c>
      <c r="BM1872">
        <v>7</v>
      </c>
      <c r="BN1872">
        <v>7</v>
      </c>
      <c r="BO1872">
        <v>7</v>
      </c>
      <c r="BP1872">
        <v>0</v>
      </c>
      <c r="BQ1872" t="str">
        <f>"12:00 PM"</f>
        <v>12:00 PM</v>
      </c>
      <c r="BR1872" t="str">
        <f>"7:00 PM"</f>
        <v>7:00 PM</v>
      </c>
      <c r="BS1872" t="s">
        <v>147</v>
      </c>
      <c r="BT1872">
        <v>0</v>
      </c>
      <c r="BU1872">
        <v>36</v>
      </c>
      <c r="BV1872" t="s">
        <v>114</v>
      </c>
      <c r="BX1872" s="2" t="s">
        <v>10205</v>
      </c>
      <c r="BY1872" t="s">
        <v>10201</v>
      </c>
      <c r="CA1872" t="s">
        <v>3012</v>
      </c>
      <c r="CB1872" t="s">
        <v>222</v>
      </c>
      <c r="CC1872" s="8" t="str">
        <f>"02465"</f>
        <v>02465</v>
      </c>
      <c r="CD1872" t="s">
        <v>10206</v>
      </c>
      <c r="CE1872" t="s">
        <v>2399</v>
      </c>
      <c r="CF1872" s="12">
        <v>21.88</v>
      </c>
      <c r="CH1872" s="12">
        <v>32.85</v>
      </c>
      <c r="CJ1872" t="s">
        <v>135</v>
      </c>
      <c r="CL1872" t="s">
        <v>10207</v>
      </c>
      <c r="CO1872" t="s">
        <v>132</v>
      </c>
      <c r="CP1872" t="s">
        <v>114</v>
      </c>
      <c r="CQ1872" t="s">
        <v>136</v>
      </c>
      <c r="CR1872" t="s">
        <v>136</v>
      </c>
      <c r="CS1872" t="s">
        <v>136</v>
      </c>
      <c r="CT1872" t="s">
        <v>136</v>
      </c>
      <c r="CU1872" t="s">
        <v>136</v>
      </c>
      <c r="CV1872" t="s">
        <v>10208</v>
      </c>
      <c r="CW1872" s="10" t="str">
        <f>"+16177108877"</f>
        <v>+16177108877</v>
      </c>
      <c r="CX1872" t="s">
        <v>10209</v>
      </c>
      <c r="CY1872" t="s">
        <v>132</v>
      </c>
      <c r="CZ1872" t="s">
        <v>137</v>
      </c>
      <c r="DA1872" t="s">
        <v>114</v>
      </c>
      <c r="DB1872" t="s">
        <v>114</v>
      </c>
      <c r="DC1872" t="s">
        <v>136</v>
      </c>
      <c r="DD1872" t="s">
        <v>114</v>
      </c>
    </row>
    <row r="1873" spans="1:113" ht="15" customHeight="1" x14ac:dyDescent="0.25">
      <c r="A1873" t="s">
        <v>15772</v>
      </c>
      <c r="B1873" t="s">
        <v>113</v>
      </c>
      <c r="C1873" s="1">
        <v>45159.457493518516</v>
      </c>
      <c r="D1873" s="1">
        <v>45247</v>
      </c>
      <c r="E1873" t="s">
        <v>114</v>
      </c>
      <c r="F1873" t="s">
        <v>15773</v>
      </c>
      <c r="G1873" t="str">
        <f>"47-2081.00"</f>
        <v>47-2081.00</v>
      </c>
      <c r="H1873" t="s">
        <v>7777</v>
      </c>
      <c r="I1873">
        <v>15</v>
      </c>
      <c r="K1873" s="1">
        <v>45234</v>
      </c>
      <c r="L1873" s="1">
        <v>45600</v>
      </c>
      <c r="O1873" t="s">
        <v>3248</v>
      </c>
      <c r="P1873" t="s">
        <v>15774</v>
      </c>
      <c r="R1873" t="s">
        <v>15775</v>
      </c>
      <c r="T1873" t="s">
        <v>15776</v>
      </c>
      <c r="U1873" t="s">
        <v>140</v>
      </c>
      <c r="V1873" s="8" t="str">
        <f>"32713"</f>
        <v>32713</v>
      </c>
      <c r="W1873" t="s">
        <v>118</v>
      </c>
      <c r="Y1873" s="10">
        <v>13866687633</v>
      </c>
      <c r="AA1873">
        <v>238310</v>
      </c>
      <c r="AB1873" t="s">
        <v>3023</v>
      </c>
      <c r="AC1873" t="s">
        <v>15777</v>
      </c>
      <c r="AD1873" t="s">
        <v>3563</v>
      </c>
      <c r="AE1873" t="s">
        <v>15778</v>
      </c>
      <c r="AF1873" t="s">
        <v>15779</v>
      </c>
      <c r="AH1873" t="s">
        <v>15776</v>
      </c>
      <c r="AI1873" t="s">
        <v>140</v>
      </c>
      <c r="AJ1873" s="8" t="str">
        <f>"32713"</f>
        <v>32713</v>
      </c>
      <c r="AK1873" t="s">
        <v>118</v>
      </c>
      <c r="AM1873" s="10">
        <v>13868488282</v>
      </c>
      <c r="AO1873" t="s">
        <v>15780</v>
      </c>
      <c r="AX1873" s="8" t="str">
        <f>""</f>
        <v/>
      </c>
      <c r="BG1873" t="s">
        <v>140</v>
      </c>
      <c r="BH1873" s="1">
        <v>45091.833333333336</v>
      </c>
      <c r="BI1873">
        <v>40</v>
      </c>
      <c r="BJ1873">
        <v>0</v>
      </c>
      <c r="BK1873">
        <v>8</v>
      </c>
      <c r="BL1873">
        <v>8</v>
      </c>
      <c r="BM1873">
        <v>8</v>
      </c>
      <c r="BN1873">
        <v>8</v>
      </c>
      <c r="BO1873">
        <v>8</v>
      </c>
      <c r="BP1873">
        <v>0</v>
      </c>
      <c r="BQ1873" t="str">
        <f>"8:00 AM"</f>
        <v>8:00 AM</v>
      </c>
      <c r="BR1873" t="str">
        <f>"4:00 PM"</f>
        <v>4:00 PM</v>
      </c>
      <c r="BS1873" t="s">
        <v>131</v>
      </c>
      <c r="BT1873">
        <v>0</v>
      </c>
      <c r="BU1873">
        <v>12</v>
      </c>
      <c r="BV1873" t="s">
        <v>114</v>
      </c>
      <c r="BX1873" s="2" t="s">
        <v>15781</v>
      </c>
      <c r="BY1873" t="s">
        <v>15775</v>
      </c>
      <c r="CA1873" t="s">
        <v>15776</v>
      </c>
      <c r="CB1873" t="s">
        <v>140</v>
      </c>
      <c r="CC1873" s="8" t="str">
        <f>"32713"</f>
        <v>32713</v>
      </c>
      <c r="CD1873" t="s">
        <v>3091</v>
      </c>
      <c r="CE1873" t="s">
        <v>3092</v>
      </c>
      <c r="CF1873" s="12">
        <v>20.54</v>
      </c>
      <c r="CJ1873" t="s">
        <v>135</v>
      </c>
      <c r="CL1873" t="s">
        <v>15782</v>
      </c>
      <c r="CO1873" t="s">
        <v>132</v>
      </c>
      <c r="CP1873" t="s">
        <v>136</v>
      </c>
      <c r="CQ1873" t="s">
        <v>136</v>
      </c>
      <c r="CR1873" t="s">
        <v>114</v>
      </c>
      <c r="CS1873" t="s">
        <v>114</v>
      </c>
      <c r="CT1873" t="s">
        <v>136</v>
      </c>
      <c r="CU1873" t="s">
        <v>136</v>
      </c>
      <c r="CV1873" t="s">
        <v>15783</v>
      </c>
      <c r="CW1873" s="10" t="str">
        <f>"+13866687633"</f>
        <v>+13866687633</v>
      </c>
      <c r="CX1873" t="s">
        <v>15784</v>
      </c>
      <c r="CY1873" t="s">
        <v>132</v>
      </c>
      <c r="CZ1873" t="s">
        <v>137</v>
      </c>
      <c r="DA1873" t="s">
        <v>114</v>
      </c>
      <c r="DB1873" t="s">
        <v>114</v>
      </c>
      <c r="DC1873" t="s">
        <v>136</v>
      </c>
      <c r="DD1873" t="s">
        <v>114</v>
      </c>
    </row>
    <row r="1874" spans="1:113" ht="15" customHeight="1" x14ac:dyDescent="0.25">
      <c r="A1874" t="s">
        <v>20754</v>
      </c>
      <c r="B1874" t="s">
        <v>113</v>
      </c>
      <c r="C1874" s="1">
        <v>45159.452920949072</v>
      </c>
      <c r="D1874" s="1">
        <v>45247</v>
      </c>
      <c r="E1874" t="s">
        <v>114</v>
      </c>
      <c r="F1874" t="s">
        <v>20755</v>
      </c>
      <c r="G1874" t="str">
        <f>"47-2082.00"</f>
        <v>47-2082.00</v>
      </c>
      <c r="H1874" t="s">
        <v>13156</v>
      </c>
      <c r="I1874">
        <v>15</v>
      </c>
      <c r="K1874" s="1">
        <v>45234</v>
      </c>
      <c r="L1874" s="1">
        <v>45539</v>
      </c>
      <c r="O1874" t="s">
        <v>3248</v>
      </c>
      <c r="P1874" t="s">
        <v>20756</v>
      </c>
      <c r="R1874" t="s">
        <v>15775</v>
      </c>
      <c r="T1874" t="s">
        <v>15776</v>
      </c>
      <c r="U1874" t="s">
        <v>140</v>
      </c>
      <c r="V1874" s="8" t="str">
        <f>"32713"</f>
        <v>32713</v>
      </c>
      <c r="W1874" t="s">
        <v>118</v>
      </c>
      <c r="Y1874" s="10">
        <v>13868488282</v>
      </c>
      <c r="AA1874">
        <v>238310</v>
      </c>
      <c r="AB1874" t="s">
        <v>3023</v>
      </c>
      <c r="AC1874" t="s">
        <v>15777</v>
      </c>
      <c r="AE1874" t="s">
        <v>15778</v>
      </c>
      <c r="AF1874" t="s">
        <v>15775</v>
      </c>
      <c r="AH1874" t="s">
        <v>15776</v>
      </c>
      <c r="AI1874" t="s">
        <v>140</v>
      </c>
      <c r="AJ1874" s="8" t="str">
        <f>"32713"</f>
        <v>32713</v>
      </c>
      <c r="AK1874" t="s">
        <v>118</v>
      </c>
      <c r="AM1874" s="10">
        <v>13868488282</v>
      </c>
      <c r="AO1874" t="s">
        <v>20757</v>
      </c>
      <c r="AX1874" s="8" t="str">
        <f>""</f>
        <v/>
      </c>
      <c r="BG1874" t="s">
        <v>140</v>
      </c>
      <c r="BH1874" s="1">
        <v>45091.833333333336</v>
      </c>
      <c r="BI1874">
        <v>40</v>
      </c>
      <c r="BJ1874">
        <v>0</v>
      </c>
      <c r="BK1874">
        <v>8</v>
      </c>
      <c r="BL1874">
        <v>8</v>
      </c>
      <c r="BM1874">
        <v>8</v>
      </c>
      <c r="BN1874">
        <v>8</v>
      </c>
      <c r="BO1874">
        <v>8</v>
      </c>
      <c r="BP1874">
        <v>0</v>
      </c>
      <c r="BQ1874" t="str">
        <f>"8:00 AM"</f>
        <v>8:00 AM</v>
      </c>
      <c r="BR1874" t="str">
        <f>"4:00 PM"</f>
        <v>4:00 PM</v>
      </c>
      <c r="BS1874" t="s">
        <v>131</v>
      </c>
      <c r="BT1874">
        <v>0</v>
      </c>
      <c r="BU1874">
        <v>12</v>
      </c>
      <c r="BV1874" t="s">
        <v>114</v>
      </c>
      <c r="BX1874" t="s">
        <v>20758</v>
      </c>
      <c r="BY1874" t="s">
        <v>15775</v>
      </c>
      <c r="CA1874" t="s">
        <v>15776</v>
      </c>
      <c r="CB1874" t="s">
        <v>140</v>
      </c>
      <c r="CC1874" s="8" t="str">
        <f>"32713"</f>
        <v>32713</v>
      </c>
      <c r="CD1874" t="s">
        <v>3091</v>
      </c>
      <c r="CE1874" t="s">
        <v>3092</v>
      </c>
      <c r="CF1874" s="12">
        <v>31.67</v>
      </c>
      <c r="CJ1874" t="s">
        <v>135</v>
      </c>
      <c r="CL1874" t="s">
        <v>20759</v>
      </c>
      <c r="CO1874" t="s">
        <v>132</v>
      </c>
      <c r="CP1874" t="s">
        <v>136</v>
      </c>
      <c r="CQ1874" t="s">
        <v>136</v>
      </c>
      <c r="CR1874" t="s">
        <v>114</v>
      </c>
      <c r="CS1874" t="s">
        <v>114</v>
      </c>
      <c r="CT1874" t="s">
        <v>136</v>
      </c>
      <c r="CU1874" t="s">
        <v>136</v>
      </c>
      <c r="CV1874" s="2" t="s">
        <v>20760</v>
      </c>
      <c r="CW1874" s="10" t="str">
        <f>"+13866687633"</f>
        <v>+13866687633</v>
      </c>
      <c r="CX1874" t="s">
        <v>15784</v>
      </c>
      <c r="CY1874" t="s">
        <v>132</v>
      </c>
      <c r="CZ1874" t="s">
        <v>137</v>
      </c>
      <c r="DA1874" t="s">
        <v>114</v>
      </c>
      <c r="DB1874" t="s">
        <v>114</v>
      </c>
      <c r="DC1874" t="s">
        <v>136</v>
      </c>
      <c r="DD1874" t="s">
        <v>114</v>
      </c>
    </row>
    <row r="1875" spans="1:113" ht="15" customHeight="1" x14ac:dyDescent="0.25">
      <c r="A1875" t="s">
        <v>8617</v>
      </c>
      <c r="B1875" t="s">
        <v>113</v>
      </c>
      <c r="C1875" s="1">
        <v>45205.632039004631</v>
      </c>
      <c r="D1875" s="1">
        <v>45246</v>
      </c>
      <c r="E1875" t="s">
        <v>132</v>
      </c>
      <c r="F1875" t="s">
        <v>8618</v>
      </c>
      <c r="G1875" t="str">
        <f>"49-3031.00"</f>
        <v>49-3031.00</v>
      </c>
      <c r="H1875" t="s">
        <v>3495</v>
      </c>
      <c r="I1875">
        <v>2</v>
      </c>
      <c r="K1875" s="1">
        <v>45290</v>
      </c>
      <c r="L1875" s="1">
        <v>45473</v>
      </c>
      <c r="O1875" t="s">
        <v>3248</v>
      </c>
      <c r="P1875" t="s">
        <v>8619</v>
      </c>
      <c r="R1875" t="s">
        <v>8620</v>
      </c>
      <c r="T1875" t="s">
        <v>8621</v>
      </c>
      <c r="U1875" t="s">
        <v>2262</v>
      </c>
      <c r="V1875" s="8" t="str">
        <f>"06607"</f>
        <v>06607</v>
      </c>
      <c r="W1875" t="s">
        <v>118</v>
      </c>
      <c r="Y1875" s="10">
        <v>12035706493</v>
      </c>
      <c r="AA1875">
        <v>53241</v>
      </c>
      <c r="AB1875" t="s">
        <v>8622</v>
      </c>
      <c r="AC1875" t="s">
        <v>8623</v>
      </c>
      <c r="AD1875" t="s">
        <v>8624</v>
      </c>
      <c r="AE1875" t="s">
        <v>654</v>
      </c>
      <c r="AF1875" t="s">
        <v>8625</v>
      </c>
      <c r="AH1875" t="s">
        <v>5968</v>
      </c>
      <c r="AI1875" t="s">
        <v>2262</v>
      </c>
      <c r="AJ1875" s="8" t="str">
        <f>"06607"</f>
        <v>06607</v>
      </c>
      <c r="AK1875" t="s">
        <v>118</v>
      </c>
      <c r="AM1875" s="10">
        <v>12035706493</v>
      </c>
      <c r="AO1875" t="s">
        <v>8626</v>
      </c>
      <c r="AX1875" s="8" t="str">
        <f>""</f>
        <v/>
      </c>
      <c r="BG1875" t="s">
        <v>2262</v>
      </c>
      <c r="BH1875" s="1">
        <v>44843.833333333336</v>
      </c>
      <c r="BI1875">
        <v>40</v>
      </c>
      <c r="BJ1875">
        <v>0</v>
      </c>
      <c r="BK1875">
        <v>8</v>
      </c>
      <c r="BL1875">
        <v>8</v>
      </c>
      <c r="BM1875">
        <v>8</v>
      </c>
      <c r="BN1875">
        <v>0</v>
      </c>
      <c r="BO1875">
        <v>8</v>
      </c>
      <c r="BP1875">
        <v>8</v>
      </c>
      <c r="BQ1875" t="str">
        <f>"9:00 PM"</f>
        <v>9:00 PM</v>
      </c>
      <c r="BR1875" t="str">
        <f>"5:00 PM"</f>
        <v>5:00 PM</v>
      </c>
      <c r="BS1875" t="s">
        <v>147</v>
      </c>
      <c r="BT1875">
        <v>1</v>
      </c>
      <c r="BU1875">
        <v>6</v>
      </c>
      <c r="BV1875" t="s">
        <v>114</v>
      </c>
      <c r="BX1875" s="2" t="s">
        <v>8627</v>
      </c>
      <c r="BY1875" t="s">
        <v>8628</v>
      </c>
      <c r="CA1875" t="s">
        <v>8629</v>
      </c>
      <c r="CB1875" t="s">
        <v>2262</v>
      </c>
      <c r="CC1875" s="8" t="str">
        <f>"06516"</f>
        <v>06516</v>
      </c>
      <c r="CD1875" t="s">
        <v>8630</v>
      </c>
      <c r="CE1875" t="s">
        <v>8631</v>
      </c>
      <c r="CF1875" s="12">
        <v>28.32</v>
      </c>
      <c r="CG1875" s="12">
        <v>28.32</v>
      </c>
      <c r="CJ1875" t="s">
        <v>135</v>
      </c>
      <c r="CL1875" t="s">
        <v>8632</v>
      </c>
      <c r="CO1875" t="s">
        <v>132</v>
      </c>
      <c r="CP1875" t="s">
        <v>114</v>
      </c>
      <c r="CQ1875" t="s">
        <v>114</v>
      </c>
      <c r="CR1875" t="s">
        <v>114</v>
      </c>
      <c r="CS1875" t="s">
        <v>136</v>
      </c>
      <c r="CT1875" t="s">
        <v>136</v>
      </c>
      <c r="CU1875" t="s">
        <v>136</v>
      </c>
      <c r="CV1875" t="s">
        <v>8633</v>
      </c>
      <c r="CW1875" s="10" t="str">
        <f>"+12035706493"</f>
        <v>+12035706493</v>
      </c>
      <c r="CX1875" t="s">
        <v>8626</v>
      </c>
      <c r="CY1875" t="s">
        <v>132</v>
      </c>
      <c r="CZ1875" t="s">
        <v>137</v>
      </c>
      <c r="DA1875" t="s">
        <v>114</v>
      </c>
      <c r="DB1875" t="s">
        <v>114</v>
      </c>
      <c r="DC1875" t="s">
        <v>136</v>
      </c>
      <c r="DD1875" t="s">
        <v>114</v>
      </c>
    </row>
    <row r="1876" spans="1:113" ht="15" customHeight="1" x14ac:dyDescent="0.25">
      <c r="A1876" t="s">
        <v>7072</v>
      </c>
      <c r="B1876" t="s">
        <v>113</v>
      </c>
      <c r="C1876" s="1">
        <v>45203.773155439812</v>
      </c>
      <c r="D1876" s="1">
        <v>45246</v>
      </c>
      <c r="E1876" t="s">
        <v>132</v>
      </c>
      <c r="F1876" t="s">
        <v>736</v>
      </c>
      <c r="G1876" t="str">
        <f>"53-3032.00"</f>
        <v>53-3032.00</v>
      </c>
      <c r="H1876" t="s">
        <v>736</v>
      </c>
      <c r="I1876">
        <v>10</v>
      </c>
      <c r="K1876" s="1">
        <v>45292</v>
      </c>
      <c r="L1876" s="1">
        <v>45566</v>
      </c>
      <c r="O1876" t="s">
        <v>3248</v>
      </c>
      <c r="P1876" t="s">
        <v>7073</v>
      </c>
      <c r="R1876" t="s">
        <v>7074</v>
      </c>
      <c r="T1876" t="s">
        <v>7075</v>
      </c>
      <c r="U1876" t="s">
        <v>402</v>
      </c>
      <c r="V1876" s="8" t="str">
        <f>"92627"</f>
        <v>92627</v>
      </c>
      <c r="W1876" t="s">
        <v>118</v>
      </c>
      <c r="Y1876" s="10">
        <v>17144943277</v>
      </c>
      <c r="AA1876">
        <v>484220</v>
      </c>
      <c r="AB1876" t="s">
        <v>7076</v>
      </c>
      <c r="AC1876" t="s">
        <v>7077</v>
      </c>
      <c r="AE1876" t="s">
        <v>1836</v>
      </c>
      <c r="AF1876" t="s">
        <v>7074</v>
      </c>
      <c r="AH1876" t="s">
        <v>7075</v>
      </c>
      <c r="AI1876" t="s">
        <v>402</v>
      </c>
      <c r="AJ1876" s="8" t="str">
        <f>"92627"</f>
        <v>92627</v>
      </c>
      <c r="AK1876" t="s">
        <v>118</v>
      </c>
      <c r="AM1876" s="10">
        <v>17144943277</v>
      </c>
      <c r="AO1876" t="s">
        <v>7078</v>
      </c>
      <c r="AX1876" s="8" t="str">
        <f>""</f>
        <v/>
      </c>
      <c r="BG1876" t="s">
        <v>402</v>
      </c>
      <c r="BH1876" s="1">
        <v>45202.833333333336</v>
      </c>
      <c r="BI1876">
        <v>40</v>
      </c>
      <c r="BJ1876">
        <v>0</v>
      </c>
      <c r="BK1876">
        <v>8</v>
      </c>
      <c r="BL1876">
        <v>8</v>
      </c>
      <c r="BM1876">
        <v>8</v>
      </c>
      <c r="BN1876">
        <v>8</v>
      </c>
      <c r="BO1876">
        <v>8</v>
      </c>
      <c r="BP1876">
        <v>0</v>
      </c>
      <c r="BQ1876" t="str">
        <f>"6:00 AM"</f>
        <v>6:00 AM</v>
      </c>
      <c r="BR1876" t="str">
        <f>"3:00 PM"</f>
        <v>3:00 PM</v>
      </c>
      <c r="BS1876" t="s">
        <v>147</v>
      </c>
      <c r="BT1876">
        <v>12</v>
      </c>
      <c r="BU1876">
        <v>12</v>
      </c>
      <c r="BV1876" t="s">
        <v>114</v>
      </c>
      <c r="BX1876" s="2" t="s">
        <v>7079</v>
      </c>
      <c r="BY1876" t="s">
        <v>7074</v>
      </c>
      <c r="CA1876" t="s">
        <v>7075</v>
      </c>
      <c r="CB1876" t="s">
        <v>402</v>
      </c>
      <c r="CC1876" s="8" t="str">
        <f>"92627"</f>
        <v>92627</v>
      </c>
      <c r="CD1876" t="s">
        <v>2274</v>
      </c>
      <c r="CE1876" t="s">
        <v>2969</v>
      </c>
      <c r="CF1876" s="12">
        <v>26.1</v>
      </c>
      <c r="CG1876" s="12">
        <v>34.58</v>
      </c>
      <c r="CJ1876" t="s">
        <v>135</v>
      </c>
      <c r="CL1876" t="s">
        <v>7080</v>
      </c>
      <c r="CO1876" t="s">
        <v>132</v>
      </c>
      <c r="CP1876" t="s">
        <v>114</v>
      </c>
      <c r="CQ1876" t="s">
        <v>114</v>
      </c>
      <c r="CR1876" t="s">
        <v>114</v>
      </c>
      <c r="CS1876" t="s">
        <v>136</v>
      </c>
      <c r="CT1876" t="s">
        <v>114</v>
      </c>
      <c r="CU1876" t="s">
        <v>114</v>
      </c>
      <c r="CV1876" t="s">
        <v>131</v>
      </c>
      <c r="CW1876" s="10" t="str">
        <f>"+17144943277"</f>
        <v>+17144943277</v>
      </c>
      <c r="CX1876" t="s">
        <v>7078</v>
      </c>
      <c r="CY1876" t="s">
        <v>7081</v>
      </c>
      <c r="CZ1876" t="s">
        <v>137</v>
      </c>
      <c r="DA1876" t="s">
        <v>114</v>
      </c>
      <c r="DB1876" t="s">
        <v>114</v>
      </c>
      <c r="DC1876" t="s">
        <v>136</v>
      </c>
      <c r="DD1876" t="s">
        <v>114</v>
      </c>
    </row>
    <row r="1877" spans="1:113" ht="15" customHeight="1" x14ac:dyDescent="0.25">
      <c r="A1877" t="s">
        <v>20785</v>
      </c>
      <c r="B1877" t="s">
        <v>113</v>
      </c>
      <c r="C1877" s="1">
        <v>45194.690642939815</v>
      </c>
      <c r="D1877" s="1">
        <v>45246</v>
      </c>
      <c r="E1877" t="s">
        <v>132</v>
      </c>
      <c r="F1877" t="s">
        <v>20786</v>
      </c>
      <c r="G1877" t="str">
        <f>"35-1011.00"</f>
        <v>35-1011.00</v>
      </c>
      <c r="H1877" t="s">
        <v>1043</v>
      </c>
      <c r="I1877">
        <v>5</v>
      </c>
      <c r="K1877" s="1">
        <v>45275</v>
      </c>
      <c r="L1877" s="1">
        <v>45551</v>
      </c>
      <c r="O1877" t="s">
        <v>3248</v>
      </c>
      <c r="P1877" t="s">
        <v>20787</v>
      </c>
      <c r="Q1877" t="s">
        <v>20788</v>
      </c>
      <c r="R1877" t="s">
        <v>20789</v>
      </c>
      <c r="S1877" t="s">
        <v>9505</v>
      </c>
      <c r="T1877" t="s">
        <v>20790</v>
      </c>
      <c r="U1877" t="s">
        <v>358</v>
      </c>
      <c r="V1877" s="8" t="str">
        <f>"11963"</f>
        <v>11963</v>
      </c>
      <c r="W1877" t="s">
        <v>118</v>
      </c>
      <c r="Y1877" s="10">
        <v>16318045412</v>
      </c>
      <c r="AA1877">
        <v>722511</v>
      </c>
      <c r="AB1877" t="s">
        <v>20791</v>
      </c>
      <c r="AC1877" t="s">
        <v>9394</v>
      </c>
      <c r="AE1877" t="s">
        <v>5076</v>
      </c>
      <c r="AF1877" t="s">
        <v>9505</v>
      </c>
      <c r="AG1877" t="s">
        <v>20792</v>
      </c>
      <c r="AH1877" t="s">
        <v>20790</v>
      </c>
      <c r="AI1877" t="s">
        <v>358</v>
      </c>
      <c r="AJ1877" s="8" t="str">
        <f>"11963"</f>
        <v>11963</v>
      </c>
      <c r="AK1877" t="s">
        <v>118</v>
      </c>
      <c r="AM1877" s="10">
        <v>16318045412</v>
      </c>
      <c r="AO1877" t="s">
        <v>20793</v>
      </c>
      <c r="AX1877" s="8" t="str">
        <f>""</f>
        <v/>
      </c>
      <c r="BG1877" t="s">
        <v>358</v>
      </c>
      <c r="BH1877" s="1">
        <v>45193.833333333336</v>
      </c>
      <c r="BI1877">
        <v>40</v>
      </c>
      <c r="BJ1877">
        <v>8</v>
      </c>
      <c r="BK1877">
        <v>8</v>
      </c>
      <c r="BL1877">
        <v>8</v>
      </c>
      <c r="BM1877">
        <v>0</v>
      </c>
      <c r="BN1877">
        <v>0</v>
      </c>
      <c r="BO1877">
        <v>8</v>
      </c>
      <c r="BP1877">
        <v>8</v>
      </c>
      <c r="BQ1877" t="str">
        <f>"1:00 PM"</f>
        <v>1:00 PM</v>
      </c>
      <c r="BR1877" t="str">
        <f>"9:00 PM"</f>
        <v>9:00 PM</v>
      </c>
      <c r="BS1877" t="s">
        <v>131</v>
      </c>
      <c r="BT1877">
        <v>0</v>
      </c>
      <c r="BU1877">
        <v>0</v>
      </c>
      <c r="BV1877" t="s">
        <v>114</v>
      </c>
      <c r="BX1877" s="2" t="s">
        <v>20794</v>
      </c>
      <c r="BY1877" t="s">
        <v>20795</v>
      </c>
      <c r="CA1877" t="s">
        <v>20796</v>
      </c>
      <c r="CB1877" t="s">
        <v>358</v>
      </c>
      <c r="CC1877" s="8" t="str">
        <f>"11963"</f>
        <v>11963</v>
      </c>
      <c r="CD1877" t="s">
        <v>1752</v>
      </c>
      <c r="CE1877" t="s">
        <v>1418</v>
      </c>
      <c r="CF1877" s="12">
        <v>36.409999999999997</v>
      </c>
      <c r="CG1877" s="12">
        <v>49</v>
      </c>
      <c r="CJ1877" t="s">
        <v>135</v>
      </c>
      <c r="CK1877" t="s">
        <v>20797</v>
      </c>
      <c r="CL1877" t="s">
        <v>20798</v>
      </c>
      <c r="CO1877" t="s">
        <v>132</v>
      </c>
      <c r="CP1877" t="s">
        <v>114</v>
      </c>
      <c r="CQ1877" t="s">
        <v>136</v>
      </c>
      <c r="CR1877" t="s">
        <v>114</v>
      </c>
      <c r="CS1877" t="s">
        <v>136</v>
      </c>
      <c r="CT1877" t="s">
        <v>136</v>
      </c>
      <c r="CU1877" t="s">
        <v>136</v>
      </c>
      <c r="CV1877" t="s">
        <v>20799</v>
      </c>
      <c r="CW1877" s="10" t="str">
        <f>"+16317251774"</f>
        <v>+16317251774</v>
      </c>
      <c r="CX1877" t="s">
        <v>20800</v>
      </c>
      <c r="CY1877" t="s">
        <v>132</v>
      </c>
      <c r="CZ1877" t="s">
        <v>137</v>
      </c>
      <c r="DA1877" t="s">
        <v>114</v>
      </c>
      <c r="DB1877" t="s">
        <v>114</v>
      </c>
      <c r="DC1877" t="s">
        <v>136</v>
      </c>
      <c r="DD1877" t="s">
        <v>114</v>
      </c>
      <c r="DE1877" t="s">
        <v>10354</v>
      </c>
      <c r="DF1877" t="s">
        <v>9394</v>
      </c>
      <c r="DH1877" t="s">
        <v>20787</v>
      </c>
      <c r="DI1877" t="s">
        <v>20800</v>
      </c>
    </row>
    <row r="1878" spans="1:113" ht="15" customHeight="1" x14ac:dyDescent="0.25">
      <c r="A1878" t="s">
        <v>11992</v>
      </c>
      <c r="B1878" t="s">
        <v>113</v>
      </c>
      <c r="C1878" s="1">
        <v>45191.625736458336</v>
      </c>
      <c r="D1878" s="1">
        <v>45246</v>
      </c>
      <c r="E1878" t="s">
        <v>132</v>
      </c>
      <c r="F1878" t="s">
        <v>11993</v>
      </c>
      <c r="G1878" t="str">
        <f>"31-1122.00"</f>
        <v>31-1122.00</v>
      </c>
      <c r="H1878" t="s">
        <v>8076</v>
      </c>
      <c r="I1878">
        <v>4</v>
      </c>
      <c r="K1878" s="1">
        <v>45275</v>
      </c>
      <c r="L1878" s="1">
        <v>45550</v>
      </c>
      <c r="O1878" t="s">
        <v>184</v>
      </c>
      <c r="P1878" t="s">
        <v>11994</v>
      </c>
      <c r="R1878" t="s">
        <v>11995</v>
      </c>
      <c r="T1878" t="s">
        <v>11996</v>
      </c>
      <c r="U1878" t="s">
        <v>140</v>
      </c>
      <c r="V1878" s="8" t="str">
        <f>"32904"</f>
        <v>32904</v>
      </c>
      <c r="W1878" t="s">
        <v>118</v>
      </c>
      <c r="Y1878" s="10">
        <v>13219146430</v>
      </c>
      <c r="AA1878">
        <v>623311</v>
      </c>
      <c r="AB1878" t="s">
        <v>11997</v>
      </c>
      <c r="AC1878" t="s">
        <v>1713</v>
      </c>
      <c r="AD1878" t="s">
        <v>1555</v>
      </c>
      <c r="AE1878" t="s">
        <v>11998</v>
      </c>
      <c r="AF1878" t="s">
        <v>11995</v>
      </c>
      <c r="AH1878" t="s">
        <v>11996</v>
      </c>
      <c r="AI1878" t="s">
        <v>140</v>
      </c>
      <c r="AJ1878" s="8" t="str">
        <f>"32904"</f>
        <v>32904</v>
      </c>
      <c r="AK1878" t="s">
        <v>118</v>
      </c>
      <c r="AM1878" s="10">
        <v>18023237422</v>
      </c>
      <c r="AO1878" t="s">
        <v>11999</v>
      </c>
      <c r="AX1878" s="8" t="str">
        <f>""</f>
        <v/>
      </c>
      <c r="BG1878" t="s">
        <v>140</v>
      </c>
      <c r="BH1878" s="1">
        <v>45139.833333333336</v>
      </c>
      <c r="BI1878">
        <v>40</v>
      </c>
      <c r="BJ1878">
        <v>10</v>
      </c>
      <c r="BK1878">
        <v>0</v>
      </c>
      <c r="BL1878">
        <v>0</v>
      </c>
      <c r="BM1878">
        <v>0</v>
      </c>
      <c r="BN1878">
        <v>10</v>
      </c>
      <c r="BO1878">
        <v>10</v>
      </c>
      <c r="BP1878">
        <v>10</v>
      </c>
      <c r="BQ1878" t="str">
        <f>"8:00 PM"</f>
        <v>8:00 PM</v>
      </c>
      <c r="BR1878" t="str">
        <f>"6:00 AM"</f>
        <v>6:00 AM</v>
      </c>
      <c r="BS1878" t="s">
        <v>147</v>
      </c>
      <c r="BT1878">
        <v>0</v>
      </c>
      <c r="BU1878">
        <v>0</v>
      </c>
      <c r="BV1878" t="s">
        <v>114</v>
      </c>
      <c r="BX1878" t="s">
        <v>12000</v>
      </c>
      <c r="BY1878" t="s">
        <v>11995</v>
      </c>
      <c r="CA1878" t="s">
        <v>12001</v>
      </c>
      <c r="CB1878" t="s">
        <v>140</v>
      </c>
      <c r="CC1878" s="8" t="str">
        <f>"32904"</f>
        <v>32904</v>
      </c>
      <c r="CD1878" t="s">
        <v>5183</v>
      </c>
      <c r="CE1878" t="s">
        <v>5184</v>
      </c>
      <c r="CF1878" s="12">
        <v>13</v>
      </c>
      <c r="CG1878" s="12">
        <v>13</v>
      </c>
      <c r="CH1878" s="12">
        <v>19.5</v>
      </c>
      <c r="CI1878" s="12">
        <v>19.5</v>
      </c>
      <c r="CJ1878" t="s">
        <v>135</v>
      </c>
      <c r="CK1878" t="s">
        <v>12002</v>
      </c>
      <c r="CL1878" t="s">
        <v>12003</v>
      </c>
      <c r="CO1878" t="s">
        <v>132</v>
      </c>
      <c r="CP1878" t="s">
        <v>114</v>
      </c>
      <c r="CQ1878" t="s">
        <v>114</v>
      </c>
      <c r="CR1878" t="s">
        <v>136</v>
      </c>
      <c r="CS1878" t="s">
        <v>136</v>
      </c>
      <c r="CT1878" t="s">
        <v>136</v>
      </c>
      <c r="CU1878" t="s">
        <v>136</v>
      </c>
      <c r="CV1878" t="s">
        <v>12004</v>
      </c>
      <c r="CW1878" s="10" t="str">
        <f>"+13219146430"</f>
        <v>+13219146430</v>
      </c>
      <c r="CX1878" t="s">
        <v>12005</v>
      </c>
      <c r="CY1878" t="s">
        <v>132</v>
      </c>
      <c r="CZ1878" t="s">
        <v>137</v>
      </c>
      <c r="DA1878" t="s">
        <v>114</v>
      </c>
      <c r="DB1878" t="s">
        <v>114</v>
      </c>
      <c r="DC1878" t="s">
        <v>136</v>
      </c>
      <c r="DD1878" t="s">
        <v>114</v>
      </c>
    </row>
    <row r="1879" spans="1:113" ht="15" customHeight="1" x14ac:dyDescent="0.25">
      <c r="A1879" t="s">
        <v>17045</v>
      </c>
      <c r="B1879" t="s">
        <v>113</v>
      </c>
      <c r="C1879" s="1">
        <v>45176.681099421294</v>
      </c>
      <c r="D1879" s="1">
        <v>45246</v>
      </c>
      <c r="E1879" t="s">
        <v>132</v>
      </c>
      <c r="F1879" t="s">
        <v>11993</v>
      </c>
      <c r="G1879" t="str">
        <f>"31-1122.00"</f>
        <v>31-1122.00</v>
      </c>
      <c r="H1879" t="s">
        <v>8076</v>
      </c>
      <c r="I1879">
        <v>4</v>
      </c>
      <c r="K1879" s="1">
        <v>45260</v>
      </c>
      <c r="L1879" s="1">
        <v>45550</v>
      </c>
      <c r="O1879" t="s">
        <v>184</v>
      </c>
      <c r="P1879" t="s">
        <v>17046</v>
      </c>
      <c r="R1879" t="s">
        <v>17047</v>
      </c>
      <c r="T1879" t="s">
        <v>5182</v>
      </c>
      <c r="U1879" t="s">
        <v>140</v>
      </c>
      <c r="V1879" s="8" t="str">
        <f>"32955"</f>
        <v>32955</v>
      </c>
      <c r="W1879" t="s">
        <v>118</v>
      </c>
      <c r="Y1879" s="10">
        <v>13218774001</v>
      </c>
      <c r="AA1879">
        <v>623311</v>
      </c>
      <c r="AB1879" t="s">
        <v>11997</v>
      </c>
      <c r="AC1879" t="s">
        <v>1713</v>
      </c>
      <c r="AD1879" t="s">
        <v>1555</v>
      </c>
      <c r="AE1879" t="s">
        <v>17048</v>
      </c>
      <c r="AF1879" t="s">
        <v>17049</v>
      </c>
      <c r="AG1879">
        <v>1147</v>
      </c>
      <c r="AH1879" t="s">
        <v>1672</v>
      </c>
      <c r="AI1879" t="s">
        <v>506</v>
      </c>
      <c r="AJ1879" s="8" t="str">
        <f>"05672"</f>
        <v>05672</v>
      </c>
      <c r="AK1879" t="s">
        <v>118</v>
      </c>
      <c r="AM1879" s="10">
        <v>8023237422</v>
      </c>
      <c r="AO1879" t="s">
        <v>11999</v>
      </c>
      <c r="AX1879" s="8" t="str">
        <f>""</f>
        <v/>
      </c>
      <c r="BG1879" t="s">
        <v>140</v>
      </c>
      <c r="BH1879" s="1">
        <v>45139.833333333336</v>
      </c>
      <c r="BI1879">
        <v>40</v>
      </c>
      <c r="BJ1879">
        <v>10</v>
      </c>
      <c r="BK1879">
        <v>10</v>
      </c>
      <c r="BL1879">
        <v>10</v>
      </c>
      <c r="BM1879">
        <v>10</v>
      </c>
      <c r="BN1879">
        <v>0</v>
      </c>
      <c r="BO1879">
        <v>0</v>
      </c>
      <c r="BP1879">
        <v>0</v>
      </c>
      <c r="BQ1879" t="str">
        <f>"8:00 PM"</f>
        <v>8:00 PM</v>
      </c>
      <c r="BR1879" t="str">
        <f>"6:00 AM"</f>
        <v>6:00 AM</v>
      </c>
      <c r="BS1879" t="s">
        <v>131</v>
      </c>
      <c r="BT1879">
        <v>0</v>
      </c>
      <c r="BU1879">
        <v>0</v>
      </c>
      <c r="BV1879" t="s">
        <v>114</v>
      </c>
      <c r="BX1879" t="s">
        <v>17050</v>
      </c>
      <c r="BY1879" t="s">
        <v>17047</v>
      </c>
      <c r="CA1879" t="s">
        <v>5182</v>
      </c>
      <c r="CB1879" t="s">
        <v>140</v>
      </c>
      <c r="CC1879" s="8" t="str">
        <f>"32955"</f>
        <v>32955</v>
      </c>
      <c r="CD1879" t="s">
        <v>5183</v>
      </c>
      <c r="CE1879" t="s">
        <v>5184</v>
      </c>
      <c r="CF1879" s="12">
        <v>13</v>
      </c>
      <c r="CG1879" s="12">
        <v>13</v>
      </c>
      <c r="CH1879" s="12">
        <v>19.5</v>
      </c>
      <c r="CI1879" s="12">
        <v>19.5</v>
      </c>
      <c r="CJ1879" t="s">
        <v>135</v>
      </c>
      <c r="CL1879" t="s">
        <v>17051</v>
      </c>
      <c r="CO1879" t="s">
        <v>132</v>
      </c>
      <c r="CP1879" t="s">
        <v>114</v>
      </c>
      <c r="CQ1879" t="s">
        <v>114</v>
      </c>
      <c r="CR1879" t="s">
        <v>136</v>
      </c>
      <c r="CS1879" t="s">
        <v>136</v>
      </c>
      <c r="CT1879" t="s">
        <v>136</v>
      </c>
      <c r="CU1879" t="s">
        <v>136</v>
      </c>
      <c r="CV1879" t="s">
        <v>12004</v>
      </c>
      <c r="CW1879" s="10" t="str">
        <f>"+13218774001"</f>
        <v>+13218774001</v>
      </c>
      <c r="CX1879" t="s">
        <v>17052</v>
      </c>
      <c r="CY1879" t="s">
        <v>17053</v>
      </c>
      <c r="CZ1879" t="s">
        <v>137</v>
      </c>
      <c r="DA1879" t="s">
        <v>114</v>
      </c>
      <c r="DB1879" t="s">
        <v>114</v>
      </c>
      <c r="DC1879" t="s">
        <v>136</v>
      </c>
      <c r="DD1879" t="s">
        <v>114</v>
      </c>
    </row>
    <row r="1880" spans="1:113" ht="15" customHeight="1" x14ac:dyDescent="0.25">
      <c r="A1880" t="s">
        <v>10228</v>
      </c>
      <c r="B1880" t="s">
        <v>113</v>
      </c>
      <c r="C1880" s="1">
        <v>45171.557268518518</v>
      </c>
      <c r="D1880" s="1">
        <v>45246</v>
      </c>
      <c r="E1880" t="s">
        <v>132</v>
      </c>
      <c r="F1880" t="s">
        <v>1230</v>
      </c>
      <c r="G1880" t="str">
        <f>"47-3016.00"</f>
        <v>47-3016.00</v>
      </c>
      <c r="H1880" t="s">
        <v>370</v>
      </c>
      <c r="I1880">
        <v>40</v>
      </c>
      <c r="K1880" s="1">
        <v>45261</v>
      </c>
      <c r="L1880" s="1">
        <v>45626</v>
      </c>
      <c r="O1880" t="s">
        <v>184</v>
      </c>
      <c r="P1880" t="s">
        <v>1231</v>
      </c>
      <c r="R1880" t="s">
        <v>1232</v>
      </c>
      <c r="T1880" t="s">
        <v>1233</v>
      </c>
      <c r="U1880" t="s">
        <v>140</v>
      </c>
      <c r="V1880" s="8" t="str">
        <f>"32404"</f>
        <v>32404</v>
      </c>
      <c r="W1880" t="s">
        <v>118</v>
      </c>
      <c r="Y1880" s="10">
        <v>14235670906</v>
      </c>
      <c r="AA1880">
        <v>23816</v>
      </c>
      <c r="AB1880" t="s">
        <v>1234</v>
      </c>
      <c r="AC1880" t="s">
        <v>1235</v>
      </c>
      <c r="AE1880" t="s">
        <v>629</v>
      </c>
      <c r="AF1880" t="s">
        <v>1232</v>
      </c>
      <c r="AH1880" t="s">
        <v>1233</v>
      </c>
      <c r="AI1880" t="s">
        <v>140</v>
      </c>
      <c r="AJ1880" s="8" t="str">
        <f>"32404"</f>
        <v>32404</v>
      </c>
      <c r="AK1880" t="s">
        <v>118</v>
      </c>
      <c r="AM1880" s="10">
        <v>14235670906</v>
      </c>
      <c r="AO1880" t="s">
        <v>1236</v>
      </c>
      <c r="AP1880" t="s">
        <v>248</v>
      </c>
      <c r="AQ1880" t="s">
        <v>1237</v>
      </c>
      <c r="AR1880" t="s">
        <v>763</v>
      </c>
      <c r="AT1880" t="s">
        <v>1032</v>
      </c>
      <c r="AU1880" t="s">
        <v>852</v>
      </c>
      <c r="AV1880" t="s">
        <v>1033</v>
      </c>
      <c r="AW1880" t="s">
        <v>854</v>
      </c>
      <c r="AX1880" s="8" t="str">
        <f>"83814"</f>
        <v>83814</v>
      </c>
      <c r="AY1880" t="s">
        <v>118</v>
      </c>
      <c r="BA1880" s="10">
        <v>12087772654</v>
      </c>
      <c r="BC1880" t="s">
        <v>1238</v>
      </c>
      <c r="BD1880" t="s">
        <v>856</v>
      </c>
      <c r="BG1880" t="s">
        <v>140</v>
      </c>
      <c r="BH1880" s="1">
        <v>45169.833333333336</v>
      </c>
      <c r="BI1880">
        <v>40</v>
      </c>
      <c r="BJ1880">
        <v>0</v>
      </c>
      <c r="BK1880">
        <v>8</v>
      </c>
      <c r="BL1880">
        <v>8</v>
      </c>
      <c r="BM1880">
        <v>8</v>
      </c>
      <c r="BN1880">
        <v>8</v>
      </c>
      <c r="BO1880">
        <v>8</v>
      </c>
      <c r="BP1880">
        <v>0</v>
      </c>
      <c r="BQ1880" t="str">
        <f>"8:00 AM"</f>
        <v>8:00 AM</v>
      </c>
      <c r="BR1880" t="str">
        <f>"5:00 PM"</f>
        <v>5:00 PM</v>
      </c>
      <c r="BS1880" t="s">
        <v>131</v>
      </c>
      <c r="BT1880">
        <v>0</v>
      </c>
      <c r="BU1880">
        <v>0</v>
      </c>
      <c r="BV1880" t="s">
        <v>114</v>
      </c>
      <c r="BX1880" s="2" t="s">
        <v>1239</v>
      </c>
      <c r="BY1880" t="s">
        <v>10229</v>
      </c>
      <c r="CA1880" t="s">
        <v>10230</v>
      </c>
      <c r="CB1880" t="s">
        <v>140</v>
      </c>
      <c r="CC1880" s="8" t="str">
        <f>"33914"</f>
        <v>33914</v>
      </c>
      <c r="CD1880" t="s">
        <v>362</v>
      </c>
      <c r="CE1880" t="s">
        <v>363</v>
      </c>
      <c r="CF1880" s="12">
        <v>15.76</v>
      </c>
      <c r="CG1880" s="12">
        <v>21</v>
      </c>
      <c r="CH1880" s="12">
        <v>23.64</v>
      </c>
      <c r="CI1880" s="12">
        <v>31.5</v>
      </c>
      <c r="CJ1880" t="s">
        <v>135</v>
      </c>
      <c r="CK1880" t="s">
        <v>1244</v>
      </c>
      <c r="CL1880" t="s">
        <v>10231</v>
      </c>
      <c r="CO1880" t="s">
        <v>132</v>
      </c>
      <c r="CP1880" t="s">
        <v>136</v>
      </c>
      <c r="CQ1880" t="s">
        <v>136</v>
      </c>
      <c r="CR1880" t="s">
        <v>136</v>
      </c>
      <c r="CS1880" t="s">
        <v>136</v>
      </c>
      <c r="CT1880" t="s">
        <v>136</v>
      </c>
      <c r="CU1880" t="s">
        <v>114</v>
      </c>
      <c r="CV1880" t="s">
        <v>1040</v>
      </c>
      <c r="CW1880" s="10" t="str">
        <f>"+14235670906"</f>
        <v>+14235670906</v>
      </c>
      <c r="CX1880" t="s">
        <v>1236</v>
      </c>
      <c r="CY1880" t="s">
        <v>132</v>
      </c>
      <c r="CZ1880" t="s">
        <v>137</v>
      </c>
      <c r="DA1880" t="s">
        <v>114</v>
      </c>
      <c r="DB1880" t="s">
        <v>114</v>
      </c>
      <c r="DC1880" t="s">
        <v>136</v>
      </c>
      <c r="DD1880" t="s">
        <v>114</v>
      </c>
    </row>
    <row r="1881" spans="1:113" ht="15" customHeight="1" x14ac:dyDescent="0.25">
      <c r="A1881" t="s">
        <v>4227</v>
      </c>
      <c r="B1881" t="s">
        <v>113</v>
      </c>
      <c r="C1881" s="1">
        <v>45171.39825578704</v>
      </c>
      <c r="D1881" s="1">
        <v>45246</v>
      </c>
      <c r="E1881" t="s">
        <v>132</v>
      </c>
      <c r="F1881" t="s">
        <v>4228</v>
      </c>
      <c r="G1881" t="str">
        <f>"51-9198.00"</f>
        <v>51-9198.00</v>
      </c>
      <c r="H1881" t="s">
        <v>1892</v>
      </c>
      <c r="I1881">
        <v>70</v>
      </c>
      <c r="K1881" s="1">
        <v>45261</v>
      </c>
      <c r="L1881" s="1">
        <v>45626</v>
      </c>
      <c r="O1881" t="s">
        <v>184</v>
      </c>
      <c r="P1881" t="s">
        <v>4229</v>
      </c>
      <c r="Q1881" t="s">
        <v>4230</v>
      </c>
      <c r="R1881" t="s">
        <v>4231</v>
      </c>
      <c r="T1881" t="s">
        <v>4232</v>
      </c>
      <c r="U1881" t="s">
        <v>1598</v>
      </c>
      <c r="V1881" s="8" t="str">
        <f>"35125"</f>
        <v>35125</v>
      </c>
      <c r="W1881" t="s">
        <v>118</v>
      </c>
      <c r="Y1881" s="10">
        <v>12053384242</v>
      </c>
      <c r="AA1881">
        <v>33637</v>
      </c>
      <c r="AB1881" t="s">
        <v>4233</v>
      </c>
      <c r="AC1881" t="s">
        <v>4234</v>
      </c>
      <c r="AE1881" t="s">
        <v>3876</v>
      </c>
      <c r="AF1881" t="s">
        <v>4231</v>
      </c>
      <c r="AH1881" t="s">
        <v>4232</v>
      </c>
      <c r="AI1881" t="s">
        <v>1598</v>
      </c>
      <c r="AJ1881" s="8" t="str">
        <f>"35125"</f>
        <v>35125</v>
      </c>
      <c r="AK1881" t="s">
        <v>118</v>
      </c>
      <c r="AM1881" s="10">
        <v>12053884242</v>
      </c>
      <c r="AO1881" t="s">
        <v>4235</v>
      </c>
      <c r="AP1881" t="s">
        <v>121</v>
      </c>
      <c r="AQ1881" t="s">
        <v>2123</v>
      </c>
      <c r="AR1881" t="s">
        <v>160</v>
      </c>
      <c r="AS1881" t="s">
        <v>962</v>
      </c>
      <c r="AT1881" t="s">
        <v>2124</v>
      </c>
      <c r="AU1881" t="s">
        <v>2125</v>
      </c>
      <c r="AV1881" t="s">
        <v>2126</v>
      </c>
      <c r="AW1881" t="s">
        <v>158</v>
      </c>
      <c r="AX1881" s="8" t="str">
        <f>"48084"</f>
        <v>48084</v>
      </c>
      <c r="AY1881" t="s">
        <v>118</v>
      </c>
      <c r="BA1881" s="10">
        <v>12482582506</v>
      </c>
      <c r="BC1881" t="s">
        <v>2127</v>
      </c>
      <c r="BD1881" t="s">
        <v>2128</v>
      </c>
      <c r="BE1881" t="s">
        <v>158</v>
      </c>
      <c r="BF1881" t="s">
        <v>172</v>
      </c>
      <c r="BG1881" t="s">
        <v>1598</v>
      </c>
      <c r="BH1881" s="1">
        <v>45167.833333333336</v>
      </c>
      <c r="BI1881">
        <v>40</v>
      </c>
      <c r="BJ1881">
        <v>0</v>
      </c>
      <c r="BK1881">
        <v>8</v>
      </c>
      <c r="BL1881">
        <v>8</v>
      </c>
      <c r="BM1881">
        <v>8</v>
      </c>
      <c r="BN1881">
        <v>8</v>
      </c>
      <c r="BO1881">
        <v>8</v>
      </c>
      <c r="BP1881">
        <v>0</v>
      </c>
      <c r="BQ1881" t="str">
        <f>"6:00 AM"</f>
        <v>6:00 AM</v>
      </c>
      <c r="BR1881" t="str">
        <f>"2:00 PM"</f>
        <v>2:00 PM</v>
      </c>
      <c r="BS1881" t="s">
        <v>131</v>
      </c>
      <c r="BT1881">
        <v>0</v>
      </c>
      <c r="BU1881">
        <v>0</v>
      </c>
      <c r="BV1881" t="s">
        <v>114</v>
      </c>
      <c r="BX1881" s="2" t="s">
        <v>4236</v>
      </c>
      <c r="BY1881" t="s">
        <v>4231</v>
      </c>
      <c r="CA1881" t="s">
        <v>4232</v>
      </c>
      <c r="CB1881" t="s">
        <v>1598</v>
      </c>
      <c r="CC1881" s="8" t="str">
        <f>"35125"</f>
        <v>35125</v>
      </c>
      <c r="CD1881" t="s">
        <v>3271</v>
      </c>
      <c r="CE1881" t="s">
        <v>2413</v>
      </c>
      <c r="CF1881" s="12">
        <v>14.5</v>
      </c>
      <c r="CG1881" s="12">
        <v>17</v>
      </c>
      <c r="CH1881" s="12">
        <v>21.75</v>
      </c>
      <c r="CI1881" s="12">
        <v>25.5</v>
      </c>
      <c r="CJ1881" t="s">
        <v>135</v>
      </c>
      <c r="CK1881" t="s">
        <v>2131</v>
      </c>
      <c r="CL1881" t="s">
        <v>4237</v>
      </c>
      <c r="CO1881" t="s">
        <v>132</v>
      </c>
      <c r="CP1881" t="s">
        <v>114</v>
      </c>
      <c r="CQ1881" t="s">
        <v>136</v>
      </c>
      <c r="CR1881" t="s">
        <v>136</v>
      </c>
      <c r="CS1881" t="s">
        <v>114</v>
      </c>
      <c r="CT1881" t="s">
        <v>136</v>
      </c>
      <c r="CU1881" t="s">
        <v>136</v>
      </c>
      <c r="CV1881" s="2" t="s">
        <v>4238</v>
      </c>
      <c r="CW1881" s="10" t="str">
        <f>"+12053384242"</f>
        <v>+12053384242</v>
      </c>
      <c r="CX1881" t="s">
        <v>4239</v>
      </c>
      <c r="CY1881" t="s">
        <v>796</v>
      </c>
      <c r="CZ1881" t="s">
        <v>137</v>
      </c>
      <c r="DA1881" t="s">
        <v>114</v>
      </c>
      <c r="DB1881" t="s">
        <v>136</v>
      </c>
      <c r="DC1881" t="s">
        <v>136</v>
      </c>
      <c r="DD1881" t="s">
        <v>114</v>
      </c>
    </row>
    <row r="1882" spans="1:113" ht="15" customHeight="1" x14ac:dyDescent="0.25">
      <c r="A1882" t="s">
        <v>10437</v>
      </c>
      <c r="B1882" t="s">
        <v>113</v>
      </c>
      <c r="C1882" s="1">
        <v>45170.884120138886</v>
      </c>
      <c r="D1882" s="1">
        <v>45246</v>
      </c>
      <c r="E1882" t="s">
        <v>132</v>
      </c>
      <c r="F1882" t="s">
        <v>10438</v>
      </c>
      <c r="G1882" t="str">
        <f>"37-2019.00"</f>
        <v>37-2019.00</v>
      </c>
      <c r="H1882" t="s">
        <v>10439</v>
      </c>
      <c r="I1882">
        <v>2</v>
      </c>
      <c r="K1882" s="1">
        <v>45245</v>
      </c>
      <c r="L1882" s="1">
        <v>45383</v>
      </c>
      <c r="O1882" t="s">
        <v>116</v>
      </c>
      <c r="P1882" t="s">
        <v>10440</v>
      </c>
      <c r="R1882" t="s">
        <v>10441</v>
      </c>
      <c r="T1882" t="s">
        <v>10442</v>
      </c>
      <c r="U1882" t="s">
        <v>402</v>
      </c>
      <c r="V1882" s="8" t="str">
        <f>"92351"</f>
        <v>92351</v>
      </c>
      <c r="W1882" t="s">
        <v>118</v>
      </c>
      <c r="Y1882" s="10">
        <v>19498135970</v>
      </c>
      <c r="AA1882">
        <v>238350</v>
      </c>
      <c r="AB1882" t="s">
        <v>3346</v>
      </c>
      <c r="AC1882" t="s">
        <v>10443</v>
      </c>
      <c r="AE1882" t="s">
        <v>629</v>
      </c>
      <c r="AF1882" t="s">
        <v>10441</v>
      </c>
      <c r="AH1882" t="s">
        <v>10444</v>
      </c>
      <c r="AI1882" t="s">
        <v>402</v>
      </c>
      <c r="AJ1882" s="8" t="str">
        <f>"92351"</f>
        <v>92351</v>
      </c>
      <c r="AK1882" t="s">
        <v>118</v>
      </c>
      <c r="AM1882" s="10">
        <v>19498135970</v>
      </c>
      <c r="AO1882" t="s">
        <v>10445</v>
      </c>
      <c r="AP1882" t="s">
        <v>248</v>
      </c>
      <c r="AQ1882" t="s">
        <v>143</v>
      </c>
      <c r="AR1882" t="s">
        <v>10446</v>
      </c>
      <c r="AT1882" t="s">
        <v>10447</v>
      </c>
      <c r="AV1882" t="s">
        <v>10448</v>
      </c>
      <c r="AW1882" t="s">
        <v>402</v>
      </c>
      <c r="AX1882" s="8" t="str">
        <f>"93206"</f>
        <v>93206</v>
      </c>
      <c r="AY1882" t="s">
        <v>118</v>
      </c>
      <c r="BA1882" s="10">
        <v>16614279971</v>
      </c>
      <c r="BC1882" t="s">
        <v>10449</v>
      </c>
      <c r="BD1882" t="s">
        <v>10450</v>
      </c>
      <c r="BG1882" t="s">
        <v>402</v>
      </c>
      <c r="BH1882" s="1">
        <v>45168.833333333336</v>
      </c>
      <c r="BI1882">
        <v>40</v>
      </c>
      <c r="BJ1882">
        <v>0</v>
      </c>
      <c r="BK1882">
        <v>8</v>
      </c>
      <c r="BL1882">
        <v>8</v>
      </c>
      <c r="BM1882">
        <v>8</v>
      </c>
      <c r="BN1882">
        <v>8</v>
      </c>
      <c r="BO1882">
        <v>8</v>
      </c>
      <c r="BP1882">
        <v>0</v>
      </c>
      <c r="BQ1882" t="str">
        <f>"7:30 AM"</f>
        <v>7:30 AM</v>
      </c>
      <c r="BR1882" t="str">
        <f>"4:30 PM"</f>
        <v>4:30 PM</v>
      </c>
      <c r="BS1882" t="s">
        <v>147</v>
      </c>
      <c r="BT1882">
        <v>1</v>
      </c>
      <c r="BU1882">
        <v>6</v>
      </c>
      <c r="BV1882" t="s">
        <v>114</v>
      </c>
      <c r="BX1882" t="s">
        <v>10451</v>
      </c>
      <c r="BY1882" t="s">
        <v>10452</v>
      </c>
      <c r="BZ1882" t="s">
        <v>10453</v>
      </c>
      <c r="CA1882" t="s">
        <v>10442</v>
      </c>
      <c r="CB1882" t="s">
        <v>402</v>
      </c>
      <c r="CC1882" s="8" t="str">
        <f>"92651"</f>
        <v>92651</v>
      </c>
      <c r="CD1882" t="s">
        <v>2274</v>
      </c>
      <c r="CE1882" t="s">
        <v>2969</v>
      </c>
      <c r="CF1882" s="12">
        <v>21.97</v>
      </c>
      <c r="CG1882" s="12">
        <v>21.97</v>
      </c>
      <c r="CJ1882" t="s">
        <v>135</v>
      </c>
      <c r="CL1882" t="s">
        <v>10454</v>
      </c>
      <c r="CO1882" t="s">
        <v>132</v>
      </c>
      <c r="CP1882" t="s">
        <v>114</v>
      </c>
      <c r="CQ1882" t="s">
        <v>136</v>
      </c>
      <c r="CR1882" t="s">
        <v>114</v>
      </c>
      <c r="CS1882" t="s">
        <v>136</v>
      </c>
      <c r="CT1882" t="s">
        <v>136</v>
      </c>
      <c r="CU1882" t="s">
        <v>136</v>
      </c>
      <c r="CV1882" t="s">
        <v>131</v>
      </c>
      <c r="CW1882" s="10" t="str">
        <f>"+16614695020"</f>
        <v>+16614695020</v>
      </c>
      <c r="CX1882" t="s">
        <v>10449</v>
      </c>
      <c r="CY1882" t="s">
        <v>132</v>
      </c>
      <c r="CZ1882" t="s">
        <v>137</v>
      </c>
      <c r="DA1882" t="s">
        <v>114</v>
      </c>
      <c r="DB1882" t="s">
        <v>114</v>
      </c>
      <c r="DC1882" t="s">
        <v>136</v>
      </c>
      <c r="DD1882" t="s">
        <v>114</v>
      </c>
    </row>
    <row r="1883" spans="1:113" ht="15" customHeight="1" x14ac:dyDescent="0.25">
      <c r="A1883" t="s">
        <v>17362</v>
      </c>
      <c r="B1883" t="s">
        <v>113</v>
      </c>
      <c r="C1883" s="1">
        <v>45167.660237037038</v>
      </c>
      <c r="D1883" s="1">
        <v>45246</v>
      </c>
      <c r="E1883" t="s">
        <v>114</v>
      </c>
      <c r="F1883" t="s">
        <v>4078</v>
      </c>
      <c r="G1883" t="str">
        <f>"37-2011.00"</f>
        <v>37-2011.00</v>
      </c>
      <c r="H1883" t="s">
        <v>1089</v>
      </c>
      <c r="I1883">
        <v>10</v>
      </c>
      <c r="K1883" s="1">
        <v>45242</v>
      </c>
      <c r="L1883" s="1">
        <v>45382</v>
      </c>
      <c r="O1883" t="s">
        <v>238</v>
      </c>
      <c r="P1883" t="s">
        <v>4079</v>
      </c>
      <c r="R1883" t="s">
        <v>4080</v>
      </c>
      <c r="T1883" t="s">
        <v>4081</v>
      </c>
      <c r="U1883" t="s">
        <v>211</v>
      </c>
      <c r="V1883" s="8" t="str">
        <f>"84011"</f>
        <v>84011</v>
      </c>
      <c r="W1883" t="s">
        <v>118</v>
      </c>
      <c r="Y1883" s="10">
        <v>18013653333</v>
      </c>
      <c r="AA1883">
        <v>5617</v>
      </c>
      <c r="AB1883" t="s">
        <v>4082</v>
      </c>
      <c r="AC1883" t="s">
        <v>575</v>
      </c>
      <c r="AE1883" t="s">
        <v>1836</v>
      </c>
      <c r="AF1883" t="s">
        <v>4083</v>
      </c>
      <c r="AH1883" t="s">
        <v>4081</v>
      </c>
      <c r="AI1883" t="s">
        <v>211</v>
      </c>
      <c r="AJ1883" s="8" t="str">
        <f>"84011"</f>
        <v>84011</v>
      </c>
      <c r="AK1883" t="s">
        <v>118</v>
      </c>
      <c r="AM1883" s="10">
        <v>18013653333</v>
      </c>
      <c r="AO1883" t="s">
        <v>132</v>
      </c>
      <c r="AP1883" t="s">
        <v>121</v>
      </c>
      <c r="AQ1883" t="s">
        <v>1172</v>
      </c>
      <c r="AR1883" t="s">
        <v>1173</v>
      </c>
      <c r="AS1883" t="s">
        <v>708</v>
      </c>
      <c r="AT1883" t="s">
        <v>4084</v>
      </c>
      <c r="AU1883" t="s">
        <v>4085</v>
      </c>
      <c r="AV1883" t="s">
        <v>603</v>
      </c>
      <c r="AW1883" t="s">
        <v>127</v>
      </c>
      <c r="AX1883" s="8" t="str">
        <f>"78758"</f>
        <v>78758</v>
      </c>
      <c r="AY1883" t="s">
        <v>118</v>
      </c>
      <c r="BA1883" s="10">
        <v>15128722894</v>
      </c>
      <c r="BC1883" t="s">
        <v>1175</v>
      </c>
      <c r="BD1883" t="s">
        <v>4086</v>
      </c>
      <c r="BE1883" t="s">
        <v>127</v>
      </c>
      <c r="BF1883" t="s">
        <v>750</v>
      </c>
      <c r="BG1883" t="s">
        <v>211</v>
      </c>
      <c r="BH1883" s="1">
        <v>45166.833333333336</v>
      </c>
      <c r="BI1883">
        <v>40</v>
      </c>
      <c r="BJ1883">
        <v>0</v>
      </c>
      <c r="BK1883">
        <v>8</v>
      </c>
      <c r="BL1883">
        <v>8</v>
      </c>
      <c r="BM1883">
        <v>8</v>
      </c>
      <c r="BN1883">
        <v>8</v>
      </c>
      <c r="BO1883">
        <v>8</v>
      </c>
      <c r="BP1883">
        <v>0</v>
      </c>
      <c r="BQ1883" t="str">
        <f>"8:00 AM"</f>
        <v>8:00 AM</v>
      </c>
      <c r="BR1883" t="str">
        <f>"5:00 PM"</f>
        <v>5:00 PM</v>
      </c>
      <c r="BS1883" t="s">
        <v>131</v>
      </c>
      <c r="BT1883">
        <v>0</v>
      </c>
      <c r="BU1883">
        <v>0</v>
      </c>
      <c r="BV1883" t="s">
        <v>114</v>
      </c>
      <c r="BX1883" t="s">
        <v>17363</v>
      </c>
      <c r="BY1883" t="s">
        <v>17364</v>
      </c>
      <c r="CA1883" t="s">
        <v>2114</v>
      </c>
      <c r="CB1883" t="s">
        <v>211</v>
      </c>
      <c r="CC1883" s="8" t="str">
        <f>"84606"</f>
        <v>84606</v>
      </c>
      <c r="CD1883" t="s">
        <v>2468</v>
      </c>
      <c r="CE1883" t="s">
        <v>2469</v>
      </c>
      <c r="CF1883" s="12">
        <v>15.83</v>
      </c>
      <c r="CG1883" s="12">
        <v>15.83</v>
      </c>
      <c r="CH1883" s="12">
        <v>23.75</v>
      </c>
      <c r="CI1883" s="12">
        <v>23.75</v>
      </c>
      <c r="CJ1883" t="s">
        <v>135</v>
      </c>
      <c r="CL1883" t="s">
        <v>4092</v>
      </c>
      <c r="CO1883" t="s">
        <v>132</v>
      </c>
      <c r="CP1883" t="s">
        <v>136</v>
      </c>
      <c r="CQ1883" t="s">
        <v>136</v>
      </c>
      <c r="CR1883" t="s">
        <v>136</v>
      </c>
      <c r="CS1883" t="s">
        <v>114</v>
      </c>
      <c r="CT1883" t="s">
        <v>136</v>
      </c>
      <c r="CU1883" t="s">
        <v>136</v>
      </c>
      <c r="CV1883" t="s">
        <v>8457</v>
      </c>
      <c r="CW1883" s="10" t="str">
        <f>"+13854270136"</f>
        <v>+13854270136</v>
      </c>
      <c r="CX1883" t="s">
        <v>4094</v>
      </c>
      <c r="CY1883" t="s">
        <v>132</v>
      </c>
      <c r="CZ1883" t="s">
        <v>137</v>
      </c>
      <c r="DA1883" t="s">
        <v>114</v>
      </c>
      <c r="DB1883" t="s">
        <v>114</v>
      </c>
      <c r="DC1883" t="s">
        <v>136</v>
      </c>
      <c r="DD1883" t="s">
        <v>114</v>
      </c>
    </row>
    <row r="1884" spans="1:113" ht="15" customHeight="1" x14ac:dyDescent="0.25">
      <c r="A1884" t="s">
        <v>4077</v>
      </c>
      <c r="B1884" t="s">
        <v>113</v>
      </c>
      <c r="C1884" s="1">
        <v>45167.654303356481</v>
      </c>
      <c r="D1884" s="1">
        <v>45246</v>
      </c>
      <c r="E1884" t="s">
        <v>114</v>
      </c>
      <c r="F1884" t="s">
        <v>4078</v>
      </c>
      <c r="G1884" t="str">
        <f>"37-2011.00"</f>
        <v>37-2011.00</v>
      </c>
      <c r="H1884" t="s">
        <v>1089</v>
      </c>
      <c r="I1884">
        <v>10</v>
      </c>
      <c r="K1884" s="1">
        <v>45242</v>
      </c>
      <c r="L1884" s="1">
        <v>45382</v>
      </c>
      <c r="O1884" t="s">
        <v>238</v>
      </c>
      <c r="P1884" t="s">
        <v>4079</v>
      </c>
      <c r="R1884" t="s">
        <v>4080</v>
      </c>
      <c r="T1884" t="s">
        <v>4081</v>
      </c>
      <c r="U1884" t="s">
        <v>211</v>
      </c>
      <c r="V1884" s="8" t="str">
        <f>"84011"</f>
        <v>84011</v>
      </c>
      <c r="W1884" t="s">
        <v>118</v>
      </c>
      <c r="Y1884" s="10">
        <v>18013653333</v>
      </c>
      <c r="AA1884">
        <v>5617</v>
      </c>
      <c r="AB1884" t="s">
        <v>4082</v>
      </c>
      <c r="AC1884" t="s">
        <v>575</v>
      </c>
      <c r="AE1884" t="s">
        <v>1836</v>
      </c>
      <c r="AF1884" t="s">
        <v>4083</v>
      </c>
      <c r="AH1884" t="s">
        <v>4081</v>
      </c>
      <c r="AI1884" t="s">
        <v>211</v>
      </c>
      <c r="AJ1884" s="8" t="str">
        <f>"84011"</f>
        <v>84011</v>
      </c>
      <c r="AK1884" t="s">
        <v>118</v>
      </c>
      <c r="AM1884" s="10">
        <v>18013653333</v>
      </c>
      <c r="AO1884" t="s">
        <v>132</v>
      </c>
      <c r="AP1884" t="s">
        <v>121</v>
      </c>
      <c r="AQ1884" t="s">
        <v>1172</v>
      </c>
      <c r="AR1884" t="s">
        <v>1173</v>
      </c>
      <c r="AS1884" t="s">
        <v>708</v>
      </c>
      <c r="AT1884" t="s">
        <v>4084</v>
      </c>
      <c r="AU1884" t="s">
        <v>4085</v>
      </c>
      <c r="AV1884" t="s">
        <v>603</v>
      </c>
      <c r="AW1884" t="s">
        <v>127</v>
      </c>
      <c r="AX1884" s="8" t="str">
        <f>"78758"</f>
        <v>78758</v>
      </c>
      <c r="AY1884" t="s">
        <v>118</v>
      </c>
      <c r="BA1884" s="10">
        <v>15128722894</v>
      </c>
      <c r="BC1884" t="s">
        <v>1175</v>
      </c>
      <c r="BD1884" t="s">
        <v>4086</v>
      </c>
      <c r="BE1884" t="s">
        <v>127</v>
      </c>
      <c r="BF1884" t="s">
        <v>130</v>
      </c>
      <c r="BG1884" t="s">
        <v>211</v>
      </c>
      <c r="BH1884" s="1">
        <v>45166.833333333336</v>
      </c>
      <c r="BI1884">
        <v>40</v>
      </c>
      <c r="BJ1884">
        <v>0</v>
      </c>
      <c r="BK1884">
        <v>8</v>
      </c>
      <c r="BL1884">
        <v>8</v>
      </c>
      <c r="BM1884">
        <v>8</v>
      </c>
      <c r="BN1884">
        <v>8</v>
      </c>
      <c r="BO1884">
        <v>8</v>
      </c>
      <c r="BP1884">
        <v>0</v>
      </c>
      <c r="BQ1884" t="str">
        <f>"8:00 AM"</f>
        <v>8:00 AM</v>
      </c>
      <c r="BR1884" t="str">
        <f>"5:00 PM"</f>
        <v>5:00 PM</v>
      </c>
      <c r="BS1884" t="s">
        <v>131</v>
      </c>
      <c r="BT1884">
        <v>0</v>
      </c>
      <c r="BU1884">
        <v>0</v>
      </c>
      <c r="BV1884" t="s">
        <v>114</v>
      </c>
      <c r="BX1884" t="s">
        <v>4087</v>
      </c>
      <c r="BY1884" t="s">
        <v>4088</v>
      </c>
      <c r="CA1884" t="s">
        <v>4089</v>
      </c>
      <c r="CB1884" t="s">
        <v>211</v>
      </c>
      <c r="CC1884" s="8" t="str">
        <f>"84321"</f>
        <v>84321</v>
      </c>
      <c r="CD1884" t="s">
        <v>4090</v>
      </c>
      <c r="CE1884" t="s">
        <v>4091</v>
      </c>
      <c r="CF1884" s="12">
        <v>15.83</v>
      </c>
      <c r="CG1884" s="12">
        <v>15.83</v>
      </c>
      <c r="CH1884" s="12">
        <v>23.75</v>
      </c>
      <c r="CI1884" s="12">
        <v>23.75</v>
      </c>
      <c r="CJ1884" t="s">
        <v>135</v>
      </c>
      <c r="CL1884" t="s">
        <v>4092</v>
      </c>
      <c r="CO1884" t="s">
        <v>132</v>
      </c>
      <c r="CP1884" t="s">
        <v>136</v>
      </c>
      <c r="CQ1884" t="s">
        <v>136</v>
      </c>
      <c r="CR1884" t="s">
        <v>136</v>
      </c>
      <c r="CS1884" t="s">
        <v>114</v>
      </c>
      <c r="CT1884" t="s">
        <v>136</v>
      </c>
      <c r="CU1884" t="s">
        <v>136</v>
      </c>
      <c r="CV1884" t="s">
        <v>4093</v>
      </c>
      <c r="CW1884" s="10" t="str">
        <f>"+13854270136"</f>
        <v>+13854270136</v>
      </c>
      <c r="CX1884" t="s">
        <v>4094</v>
      </c>
      <c r="CY1884" t="s">
        <v>132</v>
      </c>
      <c r="CZ1884" t="s">
        <v>137</v>
      </c>
      <c r="DA1884" t="s">
        <v>114</v>
      </c>
      <c r="DB1884" t="s">
        <v>114</v>
      </c>
      <c r="DC1884" t="s">
        <v>136</v>
      </c>
      <c r="DD1884" t="s">
        <v>114</v>
      </c>
    </row>
    <row r="1885" spans="1:113" ht="15" customHeight="1" x14ac:dyDescent="0.25">
      <c r="A1885" t="s">
        <v>8454</v>
      </c>
      <c r="B1885" t="s">
        <v>113</v>
      </c>
      <c r="C1885" s="1">
        <v>45167.649516319441</v>
      </c>
      <c r="D1885" s="1">
        <v>45246</v>
      </c>
      <c r="E1885" t="s">
        <v>114</v>
      </c>
      <c r="F1885" t="s">
        <v>4078</v>
      </c>
      <c r="G1885" t="str">
        <f>"37-2011.00"</f>
        <v>37-2011.00</v>
      </c>
      <c r="H1885" t="s">
        <v>1089</v>
      </c>
      <c r="I1885">
        <v>10</v>
      </c>
      <c r="K1885" s="1">
        <v>45242</v>
      </c>
      <c r="L1885" s="1">
        <v>45382</v>
      </c>
      <c r="O1885" t="s">
        <v>238</v>
      </c>
      <c r="P1885" t="s">
        <v>4079</v>
      </c>
      <c r="R1885" t="s">
        <v>4080</v>
      </c>
      <c r="T1885" t="s">
        <v>4081</v>
      </c>
      <c r="U1885" t="s">
        <v>211</v>
      </c>
      <c r="V1885" s="8" t="str">
        <f>"84011"</f>
        <v>84011</v>
      </c>
      <c r="W1885" t="s">
        <v>118</v>
      </c>
      <c r="Y1885" s="10">
        <v>18013653333</v>
      </c>
      <c r="AA1885">
        <v>5617</v>
      </c>
      <c r="AB1885" t="s">
        <v>4082</v>
      </c>
      <c r="AC1885" t="s">
        <v>575</v>
      </c>
      <c r="AE1885" t="s">
        <v>1836</v>
      </c>
      <c r="AF1885" t="s">
        <v>4083</v>
      </c>
      <c r="AH1885" t="s">
        <v>4081</v>
      </c>
      <c r="AI1885" t="s">
        <v>211</v>
      </c>
      <c r="AJ1885" s="8" t="str">
        <f>"84011"</f>
        <v>84011</v>
      </c>
      <c r="AK1885" t="s">
        <v>118</v>
      </c>
      <c r="AM1885" s="10">
        <v>18013653333</v>
      </c>
      <c r="AO1885" t="s">
        <v>132</v>
      </c>
      <c r="AP1885" t="s">
        <v>121</v>
      </c>
      <c r="AQ1885" t="s">
        <v>1172</v>
      </c>
      <c r="AR1885" t="s">
        <v>1173</v>
      </c>
      <c r="AS1885" t="s">
        <v>708</v>
      </c>
      <c r="AT1885" t="s">
        <v>4084</v>
      </c>
      <c r="AU1885" t="s">
        <v>4085</v>
      </c>
      <c r="AV1885" t="s">
        <v>603</v>
      </c>
      <c r="AW1885" t="s">
        <v>127</v>
      </c>
      <c r="AX1885" s="8" t="str">
        <f>"78758"</f>
        <v>78758</v>
      </c>
      <c r="AY1885" t="s">
        <v>118</v>
      </c>
      <c r="BA1885" s="10">
        <v>15128722894</v>
      </c>
      <c r="BC1885" t="s">
        <v>1175</v>
      </c>
      <c r="BD1885" t="s">
        <v>4086</v>
      </c>
      <c r="BE1885" t="s">
        <v>127</v>
      </c>
      <c r="BF1885" t="s">
        <v>750</v>
      </c>
      <c r="BG1885" t="s">
        <v>211</v>
      </c>
      <c r="BH1885" s="1">
        <v>45166.833333333336</v>
      </c>
      <c r="BI1885">
        <v>40</v>
      </c>
      <c r="BJ1885">
        <v>0</v>
      </c>
      <c r="BK1885">
        <v>8</v>
      </c>
      <c r="BL1885">
        <v>8</v>
      </c>
      <c r="BM1885">
        <v>8</v>
      </c>
      <c r="BN1885">
        <v>8</v>
      </c>
      <c r="BO1885">
        <v>8</v>
      </c>
      <c r="BP1885">
        <v>0</v>
      </c>
      <c r="BQ1885" t="str">
        <f>"8:00 AM"</f>
        <v>8:00 AM</v>
      </c>
      <c r="BR1885" t="str">
        <f>"5:00 PM"</f>
        <v>5:00 PM</v>
      </c>
      <c r="BS1885" t="s">
        <v>131</v>
      </c>
      <c r="BT1885">
        <v>0</v>
      </c>
      <c r="BU1885">
        <v>0</v>
      </c>
      <c r="BV1885" t="s">
        <v>114</v>
      </c>
      <c r="BX1885" t="s">
        <v>8455</v>
      </c>
      <c r="BY1885" t="s">
        <v>8456</v>
      </c>
      <c r="CA1885" t="s">
        <v>6762</v>
      </c>
      <c r="CB1885" t="s">
        <v>211</v>
      </c>
      <c r="CC1885" s="8" t="str">
        <f>"84011"</f>
        <v>84011</v>
      </c>
      <c r="CD1885" t="s">
        <v>4300</v>
      </c>
      <c r="CE1885" t="s">
        <v>1482</v>
      </c>
      <c r="CF1885" s="12">
        <v>15.83</v>
      </c>
      <c r="CG1885" s="12">
        <v>15.83</v>
      </c>
      <c r="CH1885" s="12">
        <v>23.75</v>
      </c>
      <c r="CI1885" s="12">
        <v>23.75</v>
      </c>
      <c r="CJ1885" t="s">
        <v>135</v>
      </c>
      <c r="CL1885" t="s">
        <v>4092</v>
      </c>
      <c r="CO1885" t="s">
        <v>132</v>
      </c>
      <c r="CP1885" t="s">
        <v>136</v>
      </c>
      <c r="CQ1885" t="s">
        <v>136</v>
      </c>
      <c r="CR1885" t="s">
        <v>136</v>
      </c>
      <c r="CS1885" t="s">
        <v>114</v>
      </c>
      <c r="CT1885" t="s">
        <v>136</v>
      </c>
      <c r="CU1885" t="s">
        <v>136</v>
      </c>
      <c r="CV1885" t="s">
        <v>8457</v>
      </c>
      <c r="CW1885" s="10" t="str">
        <f>"+13854270136"</f>
        <v>+13854270136</v>
      </c>
      <c r="CX1885" t="s">
        <v>4094</v>
      </c>
      <c r="CY1885" t="s">
        <v>132</v>
      </c>
      <c r="CZ1885" t="s">
        <v>137</v>
      </c>
      <c r="DA1885" t="s">
        <v>114</v>
      </c>
      <c r="DB1885" t="s">
        <v>114</v>
      </c>
      <c r="DC1885" t="s">
        <v>136</v>
      </c>
      <c r="DD1885" t="s">
        <v>114</v>
      </c>
    </row>
    <row r="1886" spans="1:113" ht="15" customHeight="1" x14ac:dyDescent="0.25">
      <c r="A1886" t="s">
        <v>20824</v>
      </c>
      <c r="B1886" t="s">
        <v>113</v>
      </c>
      <c r="C1886" s="1">
        <v>45167.642293055556</v>
      </c>
      <c r="D1886" s="1">
        <v>45246</v>
      </c>
      <c r="E1886" t="s">
        <v>114</v>
      </c>
      <c r="F1886" t="s">
        <v>4078</v>
      </c>
      <c r="G1886" t="str">
        <f>"37-2011.00"</f>
        <v>37-2011.00</v>
      </c>
      <c r="H1886" t="s">
        <v>1089</v>
      </c>
      <c r="I1886">
        <v>10</v>
      </c>
      <c r="K1886" s="1">
        <v>45242</v>
      </c>
      <c r="L1886" s="1">
        <v>45382</v>
      </c>
      <c r="O1886" t="s">
        <v>238</v>
      </c>
      <c r="P1886" t="s">
        <v>4079</v>
      </c>
      <c r="R1886" t="s">
        <v>4080</v>
      </c>
      <c r="T1886" t="s">
        <v>4081</v>
      </c>
      <c r="U1886" t="s">
        <v>211</v>
      </c>
      <c r="V1886" s="8" t="str">
        <f>"84011"</f>
        <v>84011</v>
      </c>
      <c r="W1886" t="s">
        <v>118</v>
      </c>
      <c r="Y1886" s="10">
        <v>18013653333</v>
      </c>
      <c r="AA1886">
        <v>5617</v>
      </c>
      <c r="AB1886" t="s">
        <v>4082</v>
      </c>
      <c r="AC1886" t="s">
        <v>575</v>
      </c>
      <c r="AE1886" t="s">
        <v>1836</v>
      </c>
      <c r="AF1886" t="s">
        <v>4083</v>
      </c>
      <c r="AH1886" t="s">
        <v>4081</v>
      </c>
      <c r="AI1886" t="s">
        <v>211</v>
      </c>
      <c r="AJ1886" s="8" t="str">
        <f>"84011"</f>
        <v>84011</v>
      </c>
      <c r="AK1886" t="s">
        <v>118</v>
      </c>
      <c r="AM1886" s="10">
        <v>18013653333</v>
      </c>
      <c r="AO1886" t="s">
        <v>132</v>
      </c>
      <c r="AP1886" t="s">
        <v>121</v>
      </c>
      <c r="AQ1886" t="s">
        <v>1172</v>
      </c>
      <c r="AR1886" t="s">
        <v>1173</v>
      </c>
      <c r="AS1886" t="s">
        <v>708</v>
      </c>
      <c r="AT1886" t="s">
        <v>4084</v>
      </c>
      <c r="AU1886" t="s">
        <v>4085</v>
      </c>
      <c r="AV1886" t="s">
        <v>603</v>
      </c>
      <c r="AW1886" t="s">
        <v>127</v>
      </c>
      <c r="AX1886" s="8" t="str">
        <f>"78758"</f>
        <v>78758</v>
      </c>
      <c r="AY1886" t="s">
        <v>118</v>
      </c>
      <c r="BA1886" s="10">
        <v>15128722894</v>
      </c>
      <c r="BC1886" t="s">
        <v>1175</v>
      </c>
      <c r="BD1886" t="s">
        <v>4086</v>
      </c>
      <c r="BE1886" t="s">
        <v>127</v>
      </c>
      <c r="BF1886" t="s">
        <v>750</v>
      </c>
      <c r="BG1886" t="s">
        <v>211</v>
      </c>
      <c r="BH1886" s="1">
        <v>45166.833333333336</v>
      </c>
      <c r="BI1886">
        <v>40</v>
      </c>
      <c r="BJ1886">
        <v>0</v>
      </c>
      <c r="BK1886">
        <v>8</v>
      </c>
      <c r="BL1886">
        <v>8</v>
      </c>
      <c r="BM1886">
        <v>8</v>
      </c>
      <c r="BN1886">
        <v>8</v>
      </c>
      <c r="BO1886">
        <v>8</v>
      </c>
      <c r="BP1886">
        <v>0</v>
      </c>
      <c r="BQ1886" t="str">
        <f>"8:00 AM"</f>
        <v>8:00 AM</v>
      </c>
      <c r="BR1886" t="str">
        <f>"5:00 PM"</f>
        <v>5:00 PM</v>
      </c>
      <c r="BS1886" t="s">
        <v>131</v>
      </c>
      <c r="BT1886">
        <v>0</v>
      </c>
      <c r="BU1886">
        <v>0</v>
      </c>
      <c r="BV1886" t="s">
        <v>114</v>
      </c>
      <c r="BX1886" t="s">
        <v>8455</v>
      </c>
      <c r="BY1886" t="s">
        <v>20825</v>
      </c>
      <c r="CA1886" t="s">
        <v>7946</v>
      </c>
      <c r="CB1886" t="s">
        <v>211</v>
      </c>
      <c r="CC1886" s="8" t="str">
        <f>"84013"</f>
        <v>84013</v>
      </c>
      <c r="CD1886" t="s">
        <v>2468</v>
      </c>
      <c r="CE1886" t="s">
        <v>2469</v>
      </c>
      <c r="CF1886" s="12">
        <v>15.83</v>
      </c>
      <c r="CG1886" s="12">
        <v>15.83</v>
      </c>
      <c r="CH1886" s="12">
        <v>23.75</v>
      </c>
      <c r="CI1886" s="12">
        <v>23.75</v>
      </c>
      <c r="CJ1886" t="s">
        <v>135</v>
      </c>
      <c r="CL1886" t="s">
        <v>4092</v>
      </c>
      <c r="CO1886" t="s">
        <v>132</v>
      </c>
      <c r="CP1886" t="s">
        <v>136</v>
      </c>
      <c r="CQ1886" t="s">
        <v>136</v>
      </c>
      <c r="CR1886" t="s">
        <v>136</v>
      </c>
      <c r="CS1886" t="s">
        <v>114</v>
      </c>
      <c r="CT1886" t="s">
        <v>136</v>
      </c>
      <c r="CU1886" t="s">
        <v>136</v>
      </c>
      <c r="CV1886" t="s">
        <v>4093</v>
      </c>
      <c r="CW1886" s="10" t="str">
        <f>"+13854270136"</f>
        <v>+13854270136</v>
      </c>
      <c r="CX1886" t="s">
        <v>4094</v>
      </c>
      <c r="CY1886" t="s">
        <v>132</v>
      </c>
      <c r="CZ1886" t="s">
        <v>137</v>
      </c>
      <c r="DA1886" t="s">
        <v>114</v>
      </c>
      <c r="DB1886" t="s">
        <v>114</v>
      </c>
      <c r="DC1886" t="s">
        <v>136</v>
      </c>
      <c r="DD1886" t="s">
        <v>114</v>
      </c>
    </row>
    <row r="1887" spans="1:113" ht="15" customHeight="1" x14ac:dyDescent="0.25">
      <c r="A1887" t="s">
        <v>10620</v>
      </c>
      <c r="B1887" t="s">
        <v>113</v>
      </c>
      <c r="C1887" s="1">
        <v>45233.447501620372</v>
      </c>
      <c r="D1887" s="1">
        <v>45245</v>
      </c>
      <c r="E1887" t="s">
        <v>132</v>
      </c>
      <c r="F1887" t="s">
        <v>3098</v>
      </c>
      <c r="G1887" t="str">
        <f>"39-3091.00"</f>
        <v>39-3091.00</v>
      </c>
      <c r="H1887" t="s">
        <v>237</v>
      </c>
      <c r="I1887">
        <v>15</v>
      </c>
      <c r="K1887" s="1">
        <v>45323</v>
      </c>
      <c r="L1887" s="1">
        <v>45626</v>
      </c>
      <c r="O1887" t="s">
        <v>238</v>
      </c>
      <c r="P1887" t="s">
        <v>10621</v>
      </c>
      <c r="Q1887" t="s">
        <v>10622</v>
      </c>
      <c r="R1887" t="s">
        <v>10623</v>
      </c>
      <c r="S1887" t="s">
        <v>10624</v>
      </c>
      <c r="T1887" t="s">
        <v>10625</v>
      </c>
      <c r="U1887" t="s">
        <v>558</v>
      </c>
      <c r="V1887" s="8" t="str">
        <f>"85268"</f>
        <v>85268</v>
      </c>
      <c r="W1887" t="s">
        <v>118</v>
      </c>
      <c r="Y1887" s="10">
        <v>14802310251</v>
      </c>
      <c r="Z1887" s="3" t="s">
        <v>256</v>
      </c>
      <c r="AA1887">
        <v>71119</v>
      </c>
      <c r="AB1887" t="s">
        <v>10626</v>
      </c>
      <c r="AC1887" t="s">
        <v>2238</v>
      </c>
      <c r="AE1887" t="s">
        <v>10627</v>
      </c>
      <c r="AF1887" t="s">
        <v>10623</v>
      </c>
      <c r="AG1887" t="s">
        <v>10624</v>
      </c>
      <c r="AH1887" t="s">
        <v>10625</v>
      </c>
      <c r="AI1887" t="s">
        <v>558</v>
      </c>
      <c r="AJ1887" s="8" t="str">
        <f>"85268"</f>
        <v>85268</v>
      </c>
      <c r="AK1887" t="s">
        <v>118</v>
      </c>
      <c r="AM1887" s="10">
        <v>14802310251</v>
      </c>
      <c r="AN1887" s="3" t="s">
        <v>256</v>
      </c>
      <c r="AO1887" t="s">
        <v>10628</v>
      </c>
      <c r="AP1887" t="s">
        <v>248</v>
      </c>
      <c r="AQ1887" t="s">
        <v>249</v>
      </c>
      <c r="AR1887" t="s">
        <v>250</v>
      </c>
      <c r="AS1887" t="s">
        <v>251</v>
      </c>
      <c r="AT1887" t="s">
        <v>252</v>
      </c>
      <c r="AU1887" t="s">
        <v>253</v>
      </c>
      <c r="AV1887" t="s">
        <v>254</v>
      </c>
      <c r="AW1887" t="s">
        <v>127</v>
      </c>
      <c r="AX1887" s="8" t="str">
        <f>"78550"</f>
        <v>78550</v>
      </c>
      <c r="AY1887" t="s">
        <v>118</v>
      </c>
      <c r="AZ1887" t="s">
        <v>255</v>
      </c>
      <c r="BA1887" s="10">
        <v>19564408720</v>
      </c>
      <c r="BB1887" s="3" t="s">
        <v>256</v>
      </c>
      <c r="BC1887" t="s">
        <v>338</v>
      </c>
      <c r="BD1887" t="s">
        <v>258</v>
      </c>
      <c r="BG1887" t="s">
        <v>558</v>
      </c>
      <c r="BH1887" s="1">
        <v>45232.833333333336</v>
      </c>
      <c r="BI1887">
        <v>40</v>
      </c>
      <c r="BJ1887">
        <v>8</v>
      </c>
      <c r="BK1887">
        <v>0</v>
      </c>
      <c r="BL1887">
        <v>0</v>
      </c>
      <c r="BM1887">
        <v>8</v>
      </c>
      <c r="BN1887">
        <v>8</v>
      </c>
      <c r="BO1887">
        <v>8</v>
      </c>
      <c r="BP1887">
        <v>8</v>
      </c>
      <c r="BQ1887" t="str">
        <f>"1:00 PM"</f>
        <v>1:00 PM</v>
      </c>
      <c r="BR1887" t="str">
        <f>"10:00 PM"</f>
        <v>10:00 PM</v>
      </c>
      <c r="BS1887" t="s">
        <v>131</v>
      </c>
      <c r="BT1887">
        <v>0</v>
      </c>
      <c r="BU1887">
        <v>0</v>
      </c>
      <c r="BV1887" t="s">
        <v>114</v>
      </c>
      <c r="BX1887" s="2" t="s">
        <v>2396</v>
      </c>
      <c r="BY1887" t="s">
        <v>10629</v>
      </c>
      <c r="CA1887" t="s">
        <v>10625</v>
      </c>
      <c r="CB1887" t="s">
        <v>558</v>
      </c>
      <c r="CC1887" s="8" t="str">
        <f>"85268"</f>
        <v>85268</v>
      </c>
      <c r="CD1887" t="s">
        <v>1391</v>
      </c>
      <c r="CE1887" t="s">
        <v>565</v>
      </c>
      <c r="CF1887" s="12">
        <v>10.01</v>
      </c>
      <c r="CG1887" s="12">
        <v>16.489999999999998</v>
      </c>
      <c r="CJ1887" t="s">
        <v>135</v>
      </c>
      <c r="CK1887" t="s">
        <v>342</v>
      </c>
      <c r="CL1887" t="s">
        <v>10630</v>
      </c>
      <c r="CO1887" t="s">
        <v>132</v>
      </c>
      <c r="CP1887" t="s">
        <v>136</v>
      </c>
      <c r="CQ1887" t="s">
        <v>136</v>
      </c>
      <c r="CR1887" t="s">
        <v>114</v>
      </c>
      <c r="CS1887" t="s">
        <v>136</v>
      </c>
      <c r="CT1887" t="s">
        <v>136</v>
      </c>
      <c r="CU1887" t="s">
        <v>136</v>
      </c>
      <c r="CV1887" t="s">
        <v>4970</v>
      </c>
      <c r="CW1887" s="10" t="str">
        <f>"+14802310251"</f>
        <v>+14802310251</v>
      </c>
      <c r="CX1887" t="s">
        <v>10628</v>
      </c>
      <c r="CY1887" t="s">
        <v>132</v>
      </c>
      <c r="CZ1887" t="s">
        <v>137</v>
      </c>
      <c r="DA1887" t="s">
        <v>114</v>
      </c>
      <c r="DB1887" t="s">
        <v>136</v>
      </c>
      <c r="DC1887" t="s">
        <v>136</v>
      </c>
      <c r="DD1887" t="s">
        <v>114</v>
      </c>
    </row>
    <row r="1888" spans="1:113" ht="15" customHeight="1" x14ac:dyDescent="0.25">
      <c r="A1888" t="s">
        <v>13445</v>
      </c>
      <c r="B1888" t="s">
        <v>113</v>
      </c>
      <c r="C1888" s="1">
        <v>45202.320138425923</v>
      </c>
      <c r="D1888" s="1">
        <v>45245</v>
      </c>
      <c r="E1888" t="s">
        <v>132</v>
      </c>
      <c r="F1888" t="s">
        <v>11292</v>
      </c>
      <c r="G1888" t="str">
        <f>"35-3023.00"</f>
        <v>35-3023.00</v>
      </c>
      <c r="H1888" t="s">
        <v>1365</v>
      </c>
      <c r="I1888">
        <v>8</v>
      </c>
      <c r="K1888" s="1">
        <v>45292</v>
      </c>
      <c r="L1888" s="1">
        <v>45596</v>
      </c>
      <c r="O1888" t="s">
        <v>238</v>
      </c>
      <c r="P1888" t="s">
        <v>13446</v>
      </c>
      <c r="R1888" t="s">
        <v>13447</v>
      </c>
      <c r="T1888" t="s">
        <v>12354</v>
      </c>
      <c r="U1888" t="s">
        <v>402</v>
      </c>
      <c r="V1888" s="8" t="str">
        <f>"93601"</f>
        <v>93601</v>
      </c>
      <c r="W1888" t="s">
        <v>118</v>
      </c>
      <c r="Y1888" s="10">
        <v>15596762815</v>
      </c>
      <c r="AA1888">
        <v>71399</v>
      </c>
      <c r="AB1888" t="s">
        <v>12355</v>
      </c>
      <c r="AC1888" t="s">
        <v>486</v>
      </c>
      <c r="AE1888" t="s">
        <v>1644</v>
      </c>
      <c r="AF1888" t="s">
        <v>13447</v>
      </c>
      <c r="AH1888" t="s">
        <v>12354</v>
      </c>
      <c r="AI1888" t="s">
        <v>402</v>
      </c>
      <c r="AJ1888" s="8" t="str">
        <f>"93601"</f>
        <v>93601</v>
      </c>
      <c r="AK1888" t="s">
        <v>118</v>
      </c>
      <c r="AM1888" s="10">
        <v>15596762815</v>
      </c>
      <c r="AO1888" t="s">
        <v>13448</v>
      </c>
      <c r="AP1888" t="s">
        <v>248</v>
      </c>
      <c r="AQ1888" t="s">
        <v>249</v>
      </c>
      <c r="AR1888" t="s">
        <v>250</v>
      </c>
      <c r="AS1888" t="s">
        <v>251</v>
      </c>
      <c r="AT1888" t="s">
        <v>252</v>
      </c>
      <c r="AU1888" t="s">
        <v>253</v>
      </c>
      <c r="AV1888" t="s">
        <v>254</v>
      </c>
      <c r="AW1888" t="s">
        <v>127</v>
      </c>
      <c r="AX1888" s="8" t="str">
        <f>"78550"</f>
        <v>78550</v>
      </c>
      <c r="AY1888" t="s">
        <v>118</v>
      </c>
      <c r="AZ1888" t="s">
        <v>255</v>
      </c>
      <c r="BA1888" s="10">
        <v>19564408720</v>
      </c>
      <c r="BB1888" s="3" t="s">
        <v>256</v>
      </c>
      <c r="BC1888" t="s">
        <v>257</v>
      </c>
      <c r="BD1888" t="s">
        <v>258</v>
      </c>
      <c r="BG1888" t="s">
        <v>402</v>
      </c>
      <c r="BH1888" s="1">
        <v>45201.833333333336</v>
      </c>
      <c r="BI1888">
        <v>40</v>
      </c>
      <c r="BJ1888">
        <v>8</v>
      </c>
      <c r="BK1888">
        <v>0</v>
      </c>
      <c r="BL1888">
        <v>0</v>
      </c>
      <c r="BM1888">
        <v>8</v>
      </c>
      <c r="BN1888">
        <v>8</v>
      </c>
      <c r="BO1888">
        <v>8</v>
      </c>
      <c r="BP1888">
        <v>8</v>
      </c>
      <c r="BQ1888" t="str">
        <f>"1:00 PM"</f>
        <v>1:00 PM</v>
      </c>
      <c r="BR1888" t="str">
        <f>"10:00 PM"</f>
        <v>10:00 PM</v>
      </c>
      <c r="BS1888" t="s">
        <v>131</v>
      </c>
      <c r="BT1888">
        <v>0</v>
      </c>
      <c r="BU1888">
        <v>0</v>
      </c>
      <c r="BV1888" t="s">
        <v>114</v>
      </c>
      <c r="BX1888" s="2" t="s">
        <v>259</v>
      </c>
      <c r="BY1888" t="s">
        <v>13449</v>
      </c>
      <c r="CA1888" t="s">
        <v>12354</v>
      </c>
      <c r="CB1888" t="s">
        <v>402</v>
      </c>
      <c r="CC1888" s="8" t="str">
        <f>"93601"</f>
        <v>93601</v>
      </c>
      <c r="CD1888" t="s">
        <v>4890</v>
      </c>
      <c r="CE1888" t="s">
        <v>4891</v>
      </c>
      <c r="CF1888" s="12">
        <v>14.27</v>
      </c>
      <c r="CG1888" s="12">
        <v>17.32</v>
      </c>
      <c r="CJ1888" t="s">
        <v>135</v>
      </c>
      <c r="CK1888" t="s">
        <v>264</v>
      </c>
      <c r="CL1888" t="s">
        <v>13450</v>
      </c>
      <c r="CO1888" t="s">
        <v>132</v>
      </c>
      <c r="CP1888" t="s">
        <v>136</v>
      </c>
      <c r="CQ1888" t="s">
        <v>136</v>
      </c>
      <c r="CR1888" t="s">
        <v>114</v>
      </c>
      <c r="CS1888" t="s">
        <v>136</v>
      </c>
      <c r="CT1888" t="s">
        <v>136</v>
      </c>
      <c r="CU1888" t="s">
        <v>136</v>
      </c>
      <c r="CV1888" t="s">
        <v>2258</v>
      </c>
      <c r="CW1888" s="10" t="str">
        <f>"+15596762815"</f>
        <v>+15596762815</v>
      </c>
      <c r="CX1888" t="s">
        <v>13448</v>
      </c>
      <c r="CY1888" t="s">
        <v>132</v>
      </c>
      <c r="CZ1888" t="s">
        <v>137</v>
      </c>
      <c r="DA1888" t="s">
        <v>114</v>
      </c>
      <c r="DB1888" t="s">
        <v>114</v>
      </c>
      <c r="DC1888" t="s">
        <v>136</v>
      </c>
      <c r="DD1888" t="s">
        <v>114</v>
      </c>
    </row>
    <row r="1889" spans="1:113" ht="15" customHeight="1" x14ac:dyDescent="0.25">
      <c r="A1889" t="s">
        <v>1625</v>
      </c>
      <c r="B1889" t="s">
        <v>113</v>
      </c>
      <c r="C1889" s="1">
        <v>45190.59137962963</v>
      </c>
      <c r="D1889" s="1">
        <v>45245</v>
      </c>
      <c r="E1889" t="s">
        <v>132</v>
      </c>
      <c r="F1889" t="s">
        <v>1626</v>
      </c>
      <c r="G1889" t="str">
        <f>"35-3031.00"</f>
        <v>35-3031.00</v>
      </c>
      <c r="H1889" t="s">
        <v>347</v>
      </c>
      <c r="I1889">
        <v>12</v>
      </c>
      <c r="K1889" s="1">
        <v>45265</v>
      </c>
      <c r="L1889" s="1">
        <v>45504</v>
      </c>
      <c r="O1889" t="s">
        <v>238</v>
      </c>
      <c r="P1889" t="s">
        <v>1627</v>
      </c>
      <c r="Q1889" t="s">
        <v>1628</v>
      </c>
      <c r="R1889" t="s">
        <v>1629</v>
      </c>
      <c r="T1889" t="s">
        <v>1630</v>
      </c>
      <c r="U1889" t="s">
        <v>140</v>
      </c>
      <c r="V1889" s="8" t="str">
        <f>"33908"</f>
        <v>33908</v>
      </c>
      <c r="W1889" t="s">
        <v>118</v>
      </c>
      <c r="Y1889" s="10">
        <v>17172540818</v>
      </c>
      <c r="Z1889" s="3" t="s">
        <v>256</v>
      </c>
      <c r="AA1889">
        <v>7225</v>
      </c>
      <c r="AB1889" t="s">
        <v>1631</v>
      </c>
      <c r="AC1889" t="s">
        <v>1632</v>
      </c>
      <c r="AE1889" t="s">
        <v>561</v>
      </c>
      <c r="AF1889" t="s">
        <v>1629</v>
      </c>
      <c r="AH1889" t="s">
        <v>1630</v>
      </c>
      <c r="AI1889" t="s">
        <v>140</v>
      </c>
      <c r="AJ1889" s="8" t="str">
        <f>"33908"</f>
        <v>33908</v>
      </c>
      <c r="AK1889" t="s">
        <v>118</v>
      </c>
      <c r="AM1889" s="10">
        <v>17172540818</v>
      </c>
      <c r="AN1889" s="3" t="s">
        <v>256</v>
      </c>
      <c r="AO1889" t="s">
        <v>1633</v>
      </c>
      <c r="AP1889" t="s">
        <v>248</v>
      </c>
      <c r="AQ1889" t="s">
        <v>249</v>
      </c>
      <c r="AR1889" t="s">
        <v>250</v>
      </c>
      <c r="AS1889" t="s">
        <v>251</v>
      </c>
      <c r="AT1889" t="s">
        <v>252</v>
      </c>
      <c r="AU1889" t="s">
        <v>253</v>
      </c>
      <c r="AV1889" t="s">
        <v>254</v>
      </c>
      <c r="AW1889" t="s">
        <v>127</v>
      </c>
      <c r="AX1889" s="8" t="str">
        <f>"78550"</f>
        <v>78550</v>
      </c>
      <c r="AY1889" t="s">
        <v>118</v>
      </c>
      <c r="AZ1889" t="s">
        <v>255</v>
      </c>
      <c r="BA1889" s="10">
        <v>19564408720</v>
      </c>
      <c r="BB1889" s="3" t="s">
        <v>256</v>
      </c>
      <c r="BC1889" t="s">
        <v>338</v>
      </c>
      <c r="BD1889" t="s">
        <v>258</v>
      </c>
      <c r="BG1889" t="s">
        <v>140</v>
      </c>
      <c r="BH1889" s="1">
        <v>45189.833333333336</v>
      </c>
      <c r="BI1889">
        <v>40</v>
      </c>
      <c r="BJ1889">
        <v>8</v>
      </c>
      <c r="BK1889">
        <v>0</v>
      </c>
      <c r="BL1889">
        <v>0</v>
      </c>
      <c r="BM1889">
        <v>8</v>
      </c>
      <c r="BN1889">
        <v>8</v>
      </c>
      <c r="BO1889">
        <v>8</v>
      </c>
      <c r="BP1889">
        <v>8</v>
      </c>
      <c r="BQ1889" t="str">
        <f>"8:00 AM"</f>
        <v>8:00 AM</v>
      </c>
      <c r="BR1889" t="str">
        <f>"10:00 PM"</f>
        <v>10:00 PM</v>
      </c>
      <c r="BS1889" t="s">
        <v>131</v>
      </c>
      <c r="BT1889">
        <v>0</v>
      </c>
      <c r="BU1889">
        <v>0</v>
      </c>
      <c r="BV1889" t="s">
        <v>114</v>
      </c>
      <c r="BX1889" s="2" t="s">
        <v>1634</v>
      </c>
      <c r="BY1889" t="s">
        <v>1629</v>
      </c>
      <c r="CA1889" t="s">
        <v>1630</v>
      </c>
      <c r="CB1889" t="s">
        <v>140</v>
      </c>
      <c r="CC1889" s="8" t="str">
        <f>"33908"</f>
        <v>33908</v>
      </c>
      <c r="CD1889" t="s">
        <v>362</v>
      </c>
      <c r="CE1889" t="s">
        <v>363</v>
      </c>
      <c r="CF1889" s="12">
        <v>15.7</v>
      </c>
      <c r="CG1889" s="12">
        <v>15.7</v>
      </c>
      <c r="CH1889" s="12">
        <v>23.55</v>
      </c>
      <c r="CI1889" s="12">
        <v>23.55</v>
      </c>
      <c r="CJ1889" t="s">
        <v>135</v>
      </c>
      <c r="CK1889" t="s">
        <v>1635</v>
      </c>
      <c r="CL1889" t="s">
        <v>1636</v>
      </c>
      <c r="CO1889" t="s">
        <v>132</v>
      </c>
      <c r="CP1889" t="s">
        <v>114</v>
      </c>
      <c r="CQ1889" t="s">
        <v>136</v>
      </c>
      <c r="CR1889" t="s">
        <v>136</v>
      </c>
      <c r="CS1889" t="s">
        <v>136</v>
      </c>
      <c r="CT1889" t="s">
        <v>136</v>
      </c>
      <c r="CU1889" t="s">
        <v>136</v>
      </c>
      <c r="CV1889" t="s">
        <v>1637</v>
      </c>
      <c r="CW1889" s="10" t="str">
        <f>"+17172540818"</f>
        <v>+17172540818</v>
      </c>
      <c r="CX1889" t="s">
        <v>1633</v>
      </c>
      <c r="CY1889" t="s">
        <v>132</v>
      </c>
      <c r="CZ1889" t="s">
        <v>137</v>
      </c>
      <c r="DA1889" t="s">
        <v>114</v>
      </c>
      <c r="DB1889" t="s">
        <v>136</v>
      </c>
      <c r="DC1889" t="s">
        <v>136</v>
      </c>
      <c r="DD1889" t="s">
        <v>114</v>
      </c>
    </row>
    <row r="1890" spans="1:113" ht="15" customHeight="1" x14ac:dyDescent="0.25">
      <c r="A1890" t="s">
        <v>19621</v>
      </c>
      <c r="B1890" t="s">
        <v>113</v>
      </c>
      <c r="C1890" s="1">
        <v>45185.625174074077</v>
      </c>
      <c r="D1890" s="1">
        <v>45245</v>
      </c>
      <c r="E1890" t="s">
        <v>132</v>
      </c>
      <c r="F1890" t="s">
        <v>19622</v>
      </c>
      <c r="G1890" t="str">
        <f>"47-2141.00"</f>
        <v>47-2141.00</v>
      </c>
      <c r="H1890" t="s">
        <v>5569</v>
      </c>
      <c r="I1890">
        <v>1</v>
      </c>
      <c r="K1890" s="1">
        <v>45264</v>
      </c>
      <c r="L1890" s="1">
        <v>45534</v>
      </c>
      <c r="O1890" t="s">
        <v>184</v>
      </c>
      <c r="P1890" t="s">
        <v>19623</v>
      </c>
      <c r="R1890" t="s">
        <v>19624</v>
      </c>
      <c r="T1890" t="s">
        <v>221</v>
      </c>
      <c r="U1890" t="s">
        <v>222</v>
      </c>
      <c r="V1890" s="8" t="str">
        <f>"02632"</f>
        <v>02632</v>
      </c>
      <c r="W1890" t="s">
        <v>118</v>
      </c>
      <c r="Y1890" s="10">
        <v>17748362241</v>
      </c>
      <c r="AA1890">
        <v>236118</v>
      </c>
      <c r="AB1890" t="s">
        <v>19625</v>
      </c>
      <c r="AC1890" t="s">
        <v>19626</v>
      </c>
      <c r="AE1890" t="s">
        <v>12687</v>
      </c>
      <c r="AF1890" t="s">
        <v>19624</v>
      </c>
      <c r="AH1890" t="s">
        <v>221</v>
      </c>
      <c r="AI1890" t="s">
        <v>222</v>
      </c>
      <c r="AJ1890" s="8" t="str">
        <f>"02632"</f>
        <v>02632</v>
      </c>
      <c r="AK1890" t="s">
        <v>118</v>
      </c>
      <c r="AM1890" s="10">
        <v>17748362241</v>
      </c>
      <c r="AO1890" t="s">
        <v>19627</v>
      </c>
      <c r="AX1890" s="8" t="str">
        <f>""</f>
        <v/>
      </c>
      <c r="BG1890" t="s">
        <v>222</v>
      </c>
      <c r="BH1890" s="1">
        <v>45184.833333333336</v>
      </c>
      <c r="BI1890">
        <v>40</v>
      </c>
      <c r="BJ1890">
        <v>0</v>
      </c>
      <c r="BK1890">
        <v>8</v>
      </c>
      <c r="BL1890">
        <v>8</v>
      </c>
      <c r="BM1890">
        <v>8</v>
      </c>
      <c r="BN1890">
        <v>8</v>
      </c>
      <c r="BO1890">
        <v>8</v>
      </c>
      <c r="BP1890">
        <v>0</v>
      </c>
      <c r="BQ1890" t="str">
        <f>"9:00 AM"</f>
        <v>9:00 AM</v>
      </c>
      <c r="BR1890" t="str">
        <f>"5:00 PM"</f>
        <v>5:00 PM</v>
      </c>
      <c r="BS1890" t="s">
        <v>1506</v>
      </c>
      <c r="BT1890">
        <v>0</v>
      </c>
      <c r="BU1890">
        <v>0</v>
      </c>
      <c r="BV1890" t="s">
        <v>114</v>
      </c>
      <c r="BX1890" t="s">
        <v>132</v>
      </c>
      <c r="BY1890" t="s">
        <v>19624</v>
      </c>
      <c r="CA1890" t="s">
        <v>221</v>
      </c>
      <c r="CB1890" t="s">
        <v>222</v>
      </c>
      <c r="CC1890" s="8" t="str">
        <f>"02632"</f>
        <v>02632</v>
      </c>
      <c r="CD1890" t="s">
        <v>3119</v>
      </c>
      <c r="CE1890" t="s">
        <v>2322</v>
      </c>
      <c r="CF1890" s="12">
        <v>22.96</v>
      </c>
      <c r="CG1890" s="12">
        <v>24</v>
      </c>
      <c r="CJ1890" t="s">
        <v>135</v>
      </c>
      <c r="CK1890" t="s">
        <v>132</v>
      </c>
      <c r="CL1890" t="s">
        <v>19628</v>
      </c>
      <c r="CO1890" t="s">
        <v>132</v>
      </c>
      <c r="CP1890" t="s">
        <v>114</v>
      </c>
      <c r="CQ1890" t="s">
        <v>136</v>
      </c>
      <c r="CR1890" t="s">
        <v>114</v>
      </c>
      <c r="CS1890" t="s">
        <v>136</v>
      </c>
      <c r="CT1890" t="s">
        <v>136</v>
      </c>
      <c r="CU1890" t="s">
        <v>114</v>
      </c>
      <c r="CV1890" t="s">
        <v>19629</v>
      </c>
      <c r="CW1890" s="10" t="str">
        <f>"N/A"</f>
        <v>N/A</v>
      </c>
      <c r="CX1890" t="s">
        <v>19627</v>
      </c>
      <c r="CY1890" t="s">
        <v>19630</v>
      </c>
      <c r="CZ1890" t="s">
        <v>137</v>
      </c>
      <c r="DA1890" t="s">
        <v>114</v>
      </c>
      <c r="DB1890" t="s">
        <v>114</v>
      </c>
      <c r="DC1890" t="s">
        <v>136</v>
      </c>
      <c r="DD1890" t="s">
        <v>114</v>
      </c>
    </row>
    <row r="1891" spans="1:113" ht="15" customHeight="1" x14ac:dyDescent="0.25">
      <c r="A1891" t="s">
        <v>1486</v>
      </c>
      <c r="B1891" t="s">
        <v>113</v>
      </c>
      <c r="C1891" s="1">
        <v>45175.493235069443</v>
      </c>
      <c r="D1891" s="1">
        <v>45245</v>
      </c>
      <c r="E1891" t="s">
        <v>132</v>
      </c>
      <c r="F1891" t="s">
        <v>1487</v>
      </c>
      <c r="G1891" t="str">
        <f>"39-9011.01"</f>
        <v>39-9011.01</v>
      </c>
      <c r="H1891" t="s">
        <v>1488</v>
      </c>
      <c r="I1891">
        <v>1</v>
      </c>
      <c r="K1891" s="1">
        <v>45250</v>
      </c>
      <c r="L1891" s="1">
        <v>45554</v>
      </c>
      <c r="O1891" t="s">
        <v>184</v>
      </c>
      <c r="P1891" t="s">
        <v>1489</v>
      </c>
      <c r="R1891" t="s">
        <v>1490</v>
      </c>
      <c r="S1891" t="s">
        <v>1491</v>
      </c>
      <c r="T1891" t="s">
        <v>1492</v>
      </c>
      <c r="U1891" t="s">
        <v>358</v>
      </c>
      <c r="V1891" s="8" t="str">
        <f>"10065"</f>
        <v>10065</v>
      </c>
      <c r="W1891" t="s">
        <v>118</v>
      </c>
      <c r="Y1891" s="10">
        <v>16075922089</v>
      </c>
      <c r="AA1891">
        <v>814110</v>
      </c>
      <c r="AB1891" t="s">
        <v>1493</v>
      </c>
      <c r="AC1891" t="s">
        <v>1494</v>
      </c>
      <c r="AE1891" t="s">
        <v>1495</v>
      </c>
      <c r="AF1891" t="s">
        <v>1496</v>
      </c>
      <c r="AG1891" t="s">
        <v>1491</v>
      </c>
      <c r="AH1891" t="s">
        <v>1497</v>
      </c>
      <c r="AI1891" t="s">
        <v>358</v>
      </c>
      <c r="AJ1891" s="8" t="str">
        <f>"10065"</f>
        <v>10065</v>
      </c>
      <c r="AK1891" t="s">
        <v>118</v>
      </c>
      <c r="AM1891" s="10">
        <v>16075922089</v>
      </c>
      <c r="AO1891" t="s">
        <v>1498</v>
      </c>
      <c r="AP1891" t="s">
        <v>121</v>
      </c>
      <c r="AQ1891" t="s">
        <v>1499</v>
      </c>
      <c r="AR1891" t="s">
        <v>1500</v>
      </c>
      <c r="AT1891" t="s">
        <v>1501</v>
      </c>
      <c r="AU1891" t="s">
        <v>1502</v>
      </c>
      <c r="AV1891" t="s">
        <v>1497</v>
      </c>
      <c r="AW1891" t="s">
        <v>358</v>
      </c>
      <c r="AX1891" s="8" t="str">
        <f>"10004"</f>
        <v>10004</v>
      </c>
      <c r="AY1891" t="s">
        <v>118</v>
      </c>
      <c r="BA1891" s="10">
        <v>16462307444</v>
      </c>
      <c r="BC1891" t="s">
        <v>1503</v>
      </c>
      <c r="BD1891" t="s">
        <v>1504</v>
      </c>
      <c r="BE1891" t="s">
        <v>358</v>
      </c>
      <c r="BF1891" t="s">
        <v>1505</v>
      </c>
      <c r="BG1891" t="s">
        <v>358</v>
      </c>
      <c r="BH1891" s="1">
        <v>45165.833333333336</v>
      </c>
      <c r="BI1891">
        <v>50</v>
      </c>
      <c r="BJ1891">
        <v>0</v>
      </c>
      <c r="BK1891">
        <v>10</v>
      </c>
      <c r="BL1891">
        <v>10</v>
      </c>
      <c r="BM1891">
        <v>10</v>
      </c>
      <c r="BN1891">
        <v>10</v>
      </c>
      <c r="BO1891">
        <v>10</v>
      </c>
      <c r="BP1891">
        <v>0</v>
      </c>
      <c r="BQ1891" t="str">
        <f>"8:00 AM"</f>
        <v>8:00 AM</v>
      </c>
      <c r="BR1891" t="str">
        <f>"6:00 PM"</f>
        <v>6:00 PM</v>
      </c>
      <c r="BS1891" t="s">
        <v>1506</v>
      </c>
      <c r="BT1891">
        <v>0</v>
      </c>
      <c r="BU1891">
        <v>4</v>
      </c>
      <c r="BV1891" t="s">
        <v>114</v>
      </c>
      <c r="BX1891" s="2" t="s">
        <v>1507</v>
      </c>
      <c r="BY1891" t="s">
        <v>1496</v>
      </c>
      <c r="BZ1891" t="s">
        <v>1491</v>
      </c>
      <c r="CA1891" t="s">
        <v>1497</v>
      </c>
      <c r="CB1891" t="s">
        <v>358</v>
      </c>
      <c r="CC1891" s="8" t="str">
        <f>"10065"</f>
        <v>10065</v>
      </c>
      <c r="CD1891" t="s">
        <v>1497</v>
      </c>
      <c r="CE1891" t="s">
        <v>1418</v>
      </c>
      <c r="CF1891" s="12">
        <v>17.5</v>
      </c>
      <c r="CH1891" s="12">
        <v>26.25</v>
      </c>
      <c r="CJ1891" t="s">
        <v>135</v>
      </c>
      <c r="CK1891" t="s">
        <v>132</v>
      </c>
      <c r="CL1891" t="s">
        <v>1508</v>
      </c>
      <c r="CO1891" t="s">
        <v>132</v>
      </c>
      <c r="CP1891" t="s">
        <v>114</v>
      </c>
      <c r="CQ1891" t="s">
        <v>114</v>
      </c>
      <c r="CR1891" t="s">
        <v>136</v>
      </c>
      <c r="CS1891" t="s">
        <v>114</v>
      </c>
      <c r="CT1891" t="s">
        <v>114</v>
      </c>
      <c r="CU1891" t="s">
        <v>114</v>
      </c>
      <c r="CV1891" t="s">
        <v>131</v>
      </c>
      <c r="CW1891" s="10" t="str">
        <f>"+16072697818"</f>
        <v>+16072697818</v>
      </c>
      <c r="CX1891" t="s">
        <v>1509</v>
      </c>
      <c r="CY1891" t="s">
        <v>132</v>
      </c>
      <c r="CZ1891" t="s">
        <v>137</v>
      </c>
      <c r="DA1891" t="s">
        <v>114</v>
      </c>
      <c r="DB1891" t="s">
        <v>114</v>
      </c>
      <c r="DC1891" t="s">
        <v>136</v>
      </c>
      <c r="DD1891" t="s">
        <v>114</v>
      </c>
    </row>
    <row r="1892" spans="1:113" ht="15" customHeight="1" x14ac:dyDescent="0.25">
      <c r="A1892" t="s">
        <v>10137</v>
      </c>
      <c r="B1892" t="s">
        <v>113</v>
      </c>
      <c r="C1892" s="1">
        <v>45172.959111921293</v>
      </c>
      <c r="D1892" s="1">
        <v>45245</v>
      </c>
      <c r="E1892" t="s">
        <v>132</v>
      </c>
      <c r="F1892" t="s">
        <v>6044</v>
      </c>
      <c r="G1892" t="str">
        <f>"35-3031.00"</f>
        <v>35-3031.00</v>
      </c>
      <c r="H1892" t="s">
        <v>347</v>
      </c>
      <c r="I1892">
        <v>13</v>
      </c>
      <c r="K1892" s="1">
        <v>45247</v>
      </c>
      <c r="L1892" s="1">
        <v>45550</v>
      </c>
      <c r="O1892" t="s">
        <v>116</v>
      </c>
      <c r="P1892" t="s">
        <v>10138</v>
      </c>
      <c r="Q1892" t="s">
        <v>10139</v>
      </c>
      <c r="R1892" t="s">
        <v>10140</v>
      </c>
      <c r="T1892" t="s">
        <v>10141</v>
      </c>
      <c r="U1892" t="s">
        <v>188</v>
      </c>
      <c r="V1892" s="8" t="str">
        <f>"80204"</f>
        <v>80204</v>
      </c>
      <c r="W1892" t="s">
        <v>118</v>
      </c>
      <c r="Y1892" s="10">
        <v>13039156280</v>
      </c>
      <c r="AA1892">
        <v>72251</v>
      </c>
      <c r="AB1892" t="s">
        <v>10142</v>
      </c>
      <c r="AC1892" t="s">
        <v>10143</v>
      </c>
      <c r="AE1892" t="s">
        <v>120</v>
      </c>
      <c r="AF1892" t="s">
        <v>10140</v>
      </c>
      <c r="AH1892" t="s">
        <v>10141</v>
      </c>
      <c r="AI1892" t="s">
        <v>188</v>
      </c>
      <c r="AJ1892" s="8" t="str">
        <f>"80204"</f>
        <v>80204</v>
      </c>
      <c r="AK1892" t="s">
        <v>118</v>
      </c>
      <c r="AM1892" s="10">
        <v>13039156280</v>
      </c>
      <c r="AO1892" t="s">
        <v>10144</v>
      </c>
      <c r="AP1892" t="s">
        <v>121</v>
      </c>
      <c r="AQ1892" t="s">
        <v>1059</v>
      </c>
      <c r="AR1892" t="s">
        <v>1069</v>
      </c>
      <c r="AS1892" t="s">
        <v>962</v>
      </c>
      <c r="AT1892" t="s">
        <v>1070</v>
      </c>
      <c r="AU1892" t="s">
        <v>1071</v>
      </c>
      <c r="AV1892" t="s">
        <v>573</v>
      </c>
      <c r="AW1892" t="s">
        <v>550</v>
      </c>
      <c r="AX1892" s="8" t="str">
        <f>"30309"</f>
        <v>30309</v>
      </c>
      <c r="AY1892" t="s">
        <v>118</v>
      </c>
      <c r="BA1892" s="10">
        <v>14042404151</v>
      </c>
      <c r="BC1892" t="s">
        <v>1072</v>
      </c>
      <c r="BD1892" t="s">
        <v>1073</v>
      </c>
      <c r="BE1892" t="s">
        <v>550</v>
      </c>
      <c r="BF1892" t="s">
        <v>1074</v>
      </c>
      <c r="BG1892" t="s">
        <v>188</v>
      </c>
      <c r="BH1892" s="1">
        <v>45171.833333333336</v>
      </c>
      <c r="BI1892">
        <v>35</v>
      </c>
      <c r="BJ1892">
        <v>0</v>
      </c>
      <c r="BK1892">
        <v>7</v>
      </c>
      <c r="BL1892">
        <v>7</v>
      </c>
      <c r="BM1892">
        <v>0</v>
      </c>
      <c r="BN1892">
        <v>7</v>
      </c>
      <c r="BO1892">
        <v>7</v>
      </c>
      <c r="BP1892">
        <v>7</v>
      </c>
      <c r="BQ1892" t="str">
        <f>"9:00 AM"</f>
        <v>9:00 AM</v>
      </c>
      <c r="BR1892" t="str">
        <f>"11:00 PM"</f>
        <v>11:00 PM</v>
      </c>
      <c r="BS1892" t="s">
        <v>131</v>
      </c>
      <c r="BT1892">
        <v>0</v>
      </c>
      <c r="BU1892">
        <v>3</v>
      </c>
      <c r="BV1892" t="s">
        <v>114</v>
      </c>
      <c r="BX1892" s="2" t="s">
        <v>10145</v>
      </c>
      <c r="BY1892" t="s">
        <v>10140</v>
      </c>
      <c r="CA1892" t="s">
        <v>10141</v>
      </c>
      <c r="CB1892" t="s">
        <v>188</v>
      </c>
      <c r="CC1892" s="8" t="str">
        <f>"80204"</f>
        <v>80204</v>
      </c>
      <c r="CD1892" t="s">
        <v>194</v>
      </c>
      <c r="CE1892" t="s">
        <v>195</v>
      </c>
      <c r="CF1892" s="12">
        <v>18.48</v>
      </c>
      <c r="CH1892" s="12">
        <v>27.72</v>
      </c>
      <c r="CJ1892" t="s">
        <v>135</v>
      </c>
      <c r="CK1892" t="s">
        <v>10146</v>
      </c>
      <c r="CL1892" t="s">
        <v>10147</v>
      </c>
      <c r="CO1892" t="s">
        <v>132</v>
      </c>
      <c r="CP1892" t="s">
        <v>114</v>
      </c>
      <c r="CQ1892" t="s">
        <v>136</v>
      </c>
      <c r="CR1892" t="s">
        <v>136</v>
      </c>
      <c r="CS1892" t="s">
        <v>136</v>
      </c>
      <c r="CT1892" t="s">
        <v>136</v>
      </c>
      <c r="CU1892" t="s">
        <v>136</v>
      </c>
      <c r="CV1892" t="s">
        <v>10148</v>
      </c>
      <c r="CW1892" s="10" t="str">
        <f>"+13039156280"</f>
        <v>+13039156280</v>
      </c>
      <c r="CX1892" t="s">
        <v>10149</v>
      </c>
      <c r="CY1892" t="s">
        <v>132</v>
      </c>
      <c r="CZ1892" t="s">
        <v>137</v>
      </c>
      <c r="DA1892" t="s">
        <v>114</v>
      </c>
      <c r="DB1892" t="s">
        <v>114</v>
      </c>
      <c r="DC1892" t="s">
        <v>136</v>
      </c>
      <c r="DD1892" t="s">
        <v>114</v>
      </c>
    </row>
    <row r="1893" spans="1:113" ht="15" customHeight="1" x14ac:dyDescent="0.25">
      <c r="A1893" t="s">
        <v>18201</v>
      </c>
      <c r="B1893" t="s">
        <v>113</v>
      </c>
      <c r="C1893" s="1">
        <v>45135.719600231481</v>
      </c>
      <c r="D1893" s="1">
        <v>45245</v>
      </c>
      <c r="E1893" t="s">
        <v>114</v>
      </c>
      <c r="F1893" t="s">
        <v>18202</v>
      </c>
      <c r="G1893" t="str">
        <f>"19-3022.00"</f>
        <v>19-3022.00</v>
      </c>
      <c r="H1893" t="s">
        <v>18203</v>
      </c>
      <c r="I1893">
        <v>3</v>
      </c>
      <c r="K1893" s="1">
        <v>45219</v>
      </c>
      <c r="L1893" s="1">
        <v>45366</v>
      </c>
      <c r="O1893" t="s">
        <v>184</v>
      </c>
      <c r="P1893" t="s">
        <v>18204</v>
      </c>
      <c r="R1893" t="s">
        <v>18205</v>
      </c>
      <c r="T1893" t="s">
        <v>18206</v>
      </c>
      <c r="U1893" t="s">
        <v>358</v>
      </c>
      <c r="V1893" s="8" t="str">
        <f>"10457"</f>
        <v>10457</v>
      </c>
      <c r="W1893" t="s">
        <v>118</v>
      </c>
      <c r="Y1893" s="10">
        <v>16468869440</v>
      </c>
      <c r="AA1893">
        <v>813410</v>
      </c>
      <c r="AB1893" t="s">
        <v>18207</v>
      </c>
      <c r="AC1893" t="s">
        <v>18208</v>
      </c>
      <c r="AE1893" t="s">
        <v>18209</v>
      </c>
      <c r="AF1893" t="s">
        <v>18205</v>
      </c>
      <c r="AH1893" t="s">
        <v>18206</v>
      </c>
      <c r="AI1893" t="s">
        <v>358</v>
      </c>
      <c r="AJ1893" s="8" t="str">
        <f>"10457"</f>
        <v>10457</v>
      </c>
      <c r="AK1893" t="s">
        <v>118</v>
      </c>
      <c r="AM1893" s="10">
        <v>16468869440</v>
      </c>
      <c r="AO1893" t="s">
        <v>18210</v>
      </c>
      <c r="AX1893" s="8" t="str">
        <f>""</f>
        <v/>
      </c>
      <c r="BG1893" t="s">
        <v>358</v>
      </c>
      <c r="BH1893" s="1">
        <v>45130.833333333336</v>
      </c>
      <c r="BI1893">
        <v>40</v>
      </c>
      <c r="BJ1893">
        <v>0</v>
      </c>
      <c r="BK1893">
        <v>8</v>
      </c>
      <c r="BL1893">
        <v>8</v>
      </c>
      <c r="BM1893">
        <v>8</v>
      </c>
      <c r="BN1893">
        <v>8</v>
      </c>
      <c r="BO1893">
        <v>8</v>
      </c>
      <c r="BP1893">
        <v>0</v>
      </c>
      <c r="BQ1893" t="str">
        <f>"9:00 AM"</f>
        <v>9:00 AM</v>
      </c>
      <c r="BR1893" t="str">
        <f>"5:00 PM"</f>
        <v>5:00 PM</v>
      </c>
      <c r="BS1893" t="s">
        <v>131</v>
      </c>
      <c r="BT1893">
        <v>0</v>
      </c>
      <c r="BU1893">
        <v>12</v>
      </c>
      <c r="BV1893" t="s">
        <v>114</v>
      </c>
      <c r="BX1893" t="s">
        <v>18211</v>
      </c>
      <c r="BY1893" t="s">
        <v>18205</v>
      </c>
      <c r="CA1893" t="s">
        <v>18212</v>
      </c>
      <c r="CB1893" t="s">
        <v>358</v>
      </c>
      <c r="CC1893" s="8" t="str">
        <f>"10457"</f>
        <v>10457</v>
      </c>
      <c r="CD1893" t="s">
        <v>18206</v>
      </c>
      <c r="CE1893" t="s">
        <v>1418</v>
      </c>
      <c r="CF1893" s="12">
        <v>36.979999999999997</v>
      </c>
      <c r="CG1893" s="12">
        <v>36.979999999999997</v>
      </c>
      <c r="CH1893" s="12">
        <v>0</v>
      </c>
      <c r="CJ1893" t="s">
        <v>135</v>
      </c>
      <c r="CL1893" t="s">
        <v>18213</v>
      </c>
      <c r="CO1893" t="s">
        <v>132</v>
      </c>
      <c r="CP1893" t="s">
        <v>114</v>
      </c>
      <c r="CQ1893" t="s">
        <v>114</v>
      </c>
      <c r="CR1893" t="s">
        <v>114</v>
      </c>
      <c r="CS1893" t="s">
        <v>136</v>
      </c>
      <c r="CT1893" t="s">
        <v>136</v>
      </c>
      <c r="CU1893" t="s">
        <v>114</v>
      </c>
      <c r="CV1893" t="s">
        <v>18214</v>
      </c>
      <c r="CW1893" s="10" t="str">
        <f>"+19299220466"</f>
        <v>+19299220466</v>
      </c>
      <c r="CX1893" t="s">
        <v>18210</v>
      </c>
      <c r="CY1893" t="s">
        <v>18215</v>
      </c>
      <c r="CZ1893" t="s">
        <v>137</v>
      </c>
      <c r="DA1893" t="s">
        <v>114</v>
      </c>
      <c r="DB1893" t="s">
        <v>114</v>
      </c>
      <c r="DC1893" t="s">
        <v>136</v>
      </c>
      <c r="DD1893" t="s">
        <v>114</v>
      </c>
    </row>
    <row r="1894" spans="1:113" ht="15" customHeight="1" x14ac:dyDescent="0.25">
      <c r="A1894" t="s">
        <v>15785</v>
      </c>
      <c r="B1894" t="s">
        <v>113</v>
      </c>
      <c r="C1894" s="1">
        <v>45207.545929050924</v>
      </c>
      <c r="D1894" s="1">
        <v>45244</v>
      </c>
      <c r="E1894" t="s">
        <v>132</v>
      </c>
      <c r="F1894" t="s">
        <v>685</v>
      </c>
      <c r="G1894" t="str">
        <f>"39-3091.00"</f>
        <v>39-3091.00</v>
      </c>
      <c r="H1894" t="s">
        <v>237</v>
      </c>
      <c r="I1894">
        <v>20</v>
      </c>
      <c r="K1894" s="1">
        <v>45297</v>
      </c>
      <c r="L1894" s="1">
        <v>45600</v>
      </c>
      <c r="O1894" t="s">
        <v>238</v>
      </c>
      <c r="P1894" t="s">
        <v>15786</v>
      </c>
      <c r="R1894" t="s">
        <v>15787</v>
      </c>
      <c r="T1894" t="s">
        <v>15788</v>
      </c>
      <c r="U1894" t="s">
        <v>402</v>
      </c>
      <c r="V1894" s="8" t="str">
        <f>"95482"</f>
        <v>95482</v>
      </c>
      <c r="W1894" t="s">
        <v>118</v>
      </c>
      <c r="Y1894" s="10">
        <v>17073916581</v>
      </c>
      <c r="Z1894" s="3" t="s">
        <v>256</v>
      </c>
      <c r="AA1894">
        <v>71399</v>
      </c>
      <c r="AB1894" t="s">
        <v>15789</v>
      </c>
      <c r="AC1894" t="s">
        <v>5623</v>
      </c>
      <c r="AE1894" t="s">
        <v>1836</v>
      </c>
      <c r="AF1894" t="s">
        <v>15790</v>
      </c>
      <c r="AH1894" t="s">
        <v>15788</v>
      </c>
      <c r="AI1894" t="s">
        <v>402</v>
      </c>
      <c r="AJ1894" s="8" t="str">
        <f>"95482"</f>
        <v>95482</v>
      </c>
      <c r="AK1894" t="s">
        <v>118</v>
      </c>
      <c r="AM1894" s="10">
        <v>17073916581</v>
      </c>
      <c r="AN1894" s="3" t="s">
        <v>256</v>
      </c>
      <c r="AO1894" t="s">
        <v>15791</v>
      </c>
      <c r="AP1894" t="s">
        <v>248</v>
      </c>
      <c r="AQ1894" t="s">
        <v>249</v>
      </c>
      <c r="AR1894" t="s">
        <v>250</v>
      </c>
      <c r="AS1894" t="s">
        <v>251</v>
      </c>
      <c r="AT1894" t="s">
        <v>252</v>
      </c>
      <c r="AU1894" t="s">
        <v>253</v>
      </c>
      <c r="AV1894" t="s">
        <v>254</v>
      </c>
      <c r="AW1894" t="s">
        <v>127</v>
      </c>
      <c r="AX1894" s="8" t="str">
        <f>"78550"</f>
        <v>78550</v>
      </c>
      <c r="AY1894" t="s">
        <v>118</v>
      </c>
      <c r="AZ1894" t="s">
        <v>255</v>
      </c>
      <c r="BA1894" s="10">
        <v>19564408720</v>
      </c>
      <c r="BB1894" s="3" t="s">
        <v>256</v>
      </c>
      <c r="BC1894" t="s">
        <v>338</v>
      </c>
      <c r="BD1894" t="s">
        <v>258</v>
      </c>
      <c r="BG1894" t="s">
        <v>402</v>
      </c>
      <c r="BH1894" s="1">
        <v>45206.833333333336</v>
      </c>
      <c r="BI1894">
        <v>40</v>
      </c>
      <c r="BJ1894">
        <v>8</v>
      </c>
      <c r="BK1894">
        <v>0</v>
      </c>
      <c r="BL1894">
        <v>0</v>
      </c>
      <c r="BM1894">
        <v>8</v>
      </c>
      <c r="BN1894">
        <v>8</v>
      </c>
      <c r="BO1894">
        <v>8</v>
      </c>
      <c r="BP1894">
        <v>8</v>
      </c>
      <c r="BQ1894" t="str">
        <f>"1:00 PM"</f>
        <v>1:00 PM</v>
      </c>
      <c r="BR1894" t="str">
        <f>"10:00 PM"</f>
        <v>10:00 PM</v>
      </c>
      <c r="BS1894" t="s">
        <v>131</v>
      </c>
      <c r="BT1894">
        <v>0</v>
      </c>
      <c r="BU1894">
        <v>0</v>
      </c>
      <c r="BV1894" t="s">
        <v>114</v>
      </c>
      <c r="BX1894" s="2" t="s">
        <v>339</v>
      </c>
      <c r="BY1894" t="s">
        <v>15790</v>
      </c>
      <c r="CA1894" t="s">
        <v>15792</v>
      </c>
      <c r="CB1894" t="s">
        <v>402</v>
      </c>
      <c r="CC1894" s="8" t="str">
        <f>"95482"</f>
        <v>95482</v>
      </c>
      <c r="CD1894" t="s">
        <v>5952</v>
      </c>
      <c r="CE1894" t="s">
        <v>5953</v>
      </c>
      <c r="CF1894" s="12">
        <v>15.32</v>
      </c>
      <c r="CG1894" s="12">
        <v>18.399999999999999</v>
      </c>
      <c r="CJ1894" t="s">
        <v>135</v>
      </c>
      <c r="CK1894" t="s">
        <v>342</v>
      </c>
      <c r="CL1894" t="s">
        <v>15793</v>
      </c>
      <c r="CO1894" t="s">
        <v>132</v>
      </c>
      <c r="CP1894" t="s">
        <v>136</v>
      </c>
      <c r="CQ1894" t="s">
        <v>136</v>
      </c>
      <c r="CR1894" t="s">
        <v>114</v>
      </c>
      <c r="CS1894" t="s">
        <v>136</v>
      </c>
      <c r="CT1894" t="s">
        <v>136</v>
      </c>
      <c r="CU1894" t="s">
        <v>136</v>
      </c>
      <c r="CV1894" t="s">
        <v>9745</v>
      </c>
      <c r="CW1894" s="10" t="str">
        <f>"+17073916581"</f>
        <v>+17073916581</v>
      </c>
      <c r="CX1894" t="s">
        <v>15791</v>
      </c>
      <c r="CY1894" t="s">
        <v>132</v>
      </c>
      <c r="CZ1894" t="s">
        <v>137</v>
      </c>
      <c r="DA1894" t="s">
        <v>114</v>
      </c>
      <c r="DB1894" t="s">
        <v>114</v>
      </c>
      <c r="DC1894" t="s">
        <v>136</v>
      </c>
      <c r="DD1894" t="s">
        <v>114</v>
      </c>
    </row>
    <row r="1895" spans="1:113" ht="15" customHeight="1" x14ac:dyDescent="0.25">
      <c r="A1895" t="s">
        <v>18297</v>
      </c>
      <c r="B1895" t="s">
        <v>113</v>
      </c>
      <c r="C1895" s="1">
        <v>45208.508945023146</v>
      </c>
      <c r="D1895" s="1">
        <v>45243</v>
      </c>
      <c r="E1895" t="s">
        <v>132</v>
      </c>
      <c r="F1895" t="s">
        <v>2324</v>
      </c>
      <c r="G1895" t="str">
        <f>"35-3023.00"</f>
        <v>35-3023.00</v>
      </c>
      <c r="H1895" t="s">
        <v>1365</v>
      </c>
      <c r="I1895">
        <v>7</v>
      </c>
      <c r="K1895" s="1">
        <v>45297</v>
      </c>
      <c r="L1895" s="1">
        <v>45601</v>
      </c>
      <c r="O1895" t="s">
        <v>238</v>
      </c>
      <c r="P1895" t="s">
        <v>18222</v>
      </c>
      <c r="Q1895" t="s">
        <v>132</v>
      </c>
      <c r="R1895" t="s">
        <v>18223</v>
      </c>
      <c r="S1895" t="s">
        <v>18224</v>
      </c>
      <c r="T1895" t="s">
        <v>18225</v>
      </c>
      <c r="U1895" t="s">
        <v>140</v>
      </c>
      <c r="V1895" s="8" t="str">
        <f>"33572"</f>
        <v>33572</v>
      </c>
      <c r="W1895" t="s">
        <v>118</v>
      </c>
      <c r="X1895" t="s">
        <v>132</v>
      </c>
      <c r="Y1895" s="10">
        <v>15188574022</v>
      </c>
      <c r="Z1895" s="3" t="s">
        <v>256</v>
      </c>
      <c r="AA1895">
        <v>71399</v>
      </c>
      <c r="AB1895" t="s">
        <v>18226</v>
      </c>
      <c r="AC1895" t="s">
        <v>18227</v>
      </c>
      <c r="AD1895" t="s">
        <v>132</v>
      </c>
      <c r="AE1895" t="s">
        <v>561</v>
      </c>
      <c r="AF1895" t="s">
        <v>18223</v>
      </c>
      <c r="AG1895" t="s">
        <v>18228</v>
      </c>
      <c r="AH1895" t="s">
        <v>18298</v>
      </c>
      <c r="AI1895" t="s">
        <v>140</v>
      </c>
      <c r="AJ1895" s="8" t="str">
        <f>"33572"</f>
        <v>33572</v>
      </c>
      <c r="AK1895" t="s">
        <v>118</v>
      </c>
      <c r="AM1895" s="10">
        <v>15188574022</v>
      </c>
      <c r="AN1895" s="3" t="s">
        <v>256</v>
      </c>
      <c r="AO1895" t="s">
        <v>18229</v>
      </c>
      <c r="AP1895" t="s">
        <v>248</v>
      </c>
      <c r="AQ1895" t="s">
        <v>249</v>
      </c>
      <c r="AR1895" t="s">
        <v>250</v>
      </c>
      <c r="AS1895" t="s">
        <v>251</v>
      </c>
      <c r="AT1895" t="s">
        <v>252</v>
      </c>
      <c r="AU1895" t="s">
        <v>253</v>
      </c>
      <c r="AV1895" t="s">
        <v>254</v>
      </c>
      <c r="AW1895" t="s">
        <v>127</v>
      </c>
      <c r="AX1895" s="8" t="str">
        <f>"78550"</f>
        <v>78550</v>
      </c>
      <c r="AY1895" t="s">
        <v>118</v>
      </c>
      <c r="AZ1895" t="s">
        <v>255</v>
      </c>
      <c r="BA1895" s="10">
        <v>19564408720</v>
      </c>
      <c r="BB1895" s="3" t="s">
        <v>256</v>
      </c>
      <c r="BC1895" t="s">
        <v>257</v>
      </c>
      <c r="BD1895" t="s">
        <v>258</v>
      </c>
      <c r="BG1895" t="s">
        <v>140</v>
      </c>
      <c r="BH1895" s="1">
        <v>45207.833333333336</v>
      </c>
      <c r="BI1895">
        <v>40</v>
      </c>
      <c r="BJ1895">
        <v>8</v>
      </c>
      <c r="BK1895">
        <v>0</v>
      </c>
      <c r="BL1895">
        <v>0</v>
      </c>
      <c r="BM1895">
        <v>8</v>
      </c>
      <c r="BN1895">
        <v>8</v>
      </c>
      <c r="BO1895">
        <v>8</v>
      </c>
      <c r="BP1895">
        <v>8</v>
      </c>
      <c r="BQ1895" t="str">
        <f>"1:00 PM"</f>
        <v>1:00 PM</v>
      </c>
      <c r="BR1895" t="str">
        <f>"10:00 PM"</f>
        <v>10:00 PM</v>
      </c>
      <c r="BS1895" t="s">
        <v>131</v>
      </c>
      <c r="BT1895">
        <v>0</v>
      </c>
      <c r="BU1895">
        <v>0</v>
      </c>
      <c r="BV1895" t="s">
        <v>114</v>
      </c>
      <c r="BX1895" s="2" t="s">
        <v>259</v>
      </c>
      <c r="BY1895" t="s">
        <v>18223</v>
      </c>
      <c r="CA1895" t="s">
        <v>18225</v>
      </c>
      <c r="CB1895" t="s">
        <v>140</v>
      </c>
      <c r="CC1895" s="8" t="str">
        <f>"33572"</f>
        <v>33572</v>
      </c>
      <c r="CD1895" t="s">
        <v>781</v>
      </c>
      <c r="CE1895" t="s">
        <v>467</v>
      </c>
      <c r="CF1895" s="12">
        <v>10.98</v>
      </c>
      <c r="CG1895" s="12">
        <v>16.079999999999998</v>
      </c>
      <c r="CJ1895" t="s">
        <v>135</v>
      </c>
      <c r="CK1895" t="s">
        <v>264</v>
      </c>
      <c r="CL1895" t="s">
        <v>18299</v>
      </c>
      <c r="CO1895" t="s">
        <v>132</v>
      </c>
      <c r="CP1895" t="s">
        <v>136</v>
      </c>
      <c r="CQ1895" t="s">
        <v>136</v>
      </c>
      <c r="CR1895" t="s">
        <v>114</v>
      </c>
      <c r="CS1895" t="s">
        <v>136</v>
      </c>
      <c r="CT1895" t="s">
        <v>136</v>
      </c>
      <c r="CU1895" t="s">
        <v>136</v>
      </c>
      <c r="CV1895" t="s">
        <v>2258</v>
      </c>
      <c r="CW1895" s="10" t="str">
        <f>"+15188577090"</f>
        <v>+15188577090</v>
      </c>
      <c r="CX1895" t="s">
        <v>18229</v>
      </c>
      <c r="CY1895" t="s">
        <v>132</v>
      </c>
      <c r="CZ1895" t="s">
        <v>137</v>
      </c>
      <c r="DA1895" t="s">
        <v>114</v>
      </c>
      <c r="DB1895" t="s">
        <v>136</v>
      </c>
      <c r="DC1895" t="s">
        <v>136</v>
      </c>
      <c r="DD1895" t="s">
        <v>114</v>
      </c>
    </row>
    <row r="1896" spans="1:113" ht="15" customHeight="1" x14ac:dyDescent="0.25">
      <c r="A1896" t="s">
        <v>1041</v>
      </c>
      <c r="B1896" t="s">
        <v>113</v>
      </c>
      <c r="C1896" s="1">
        <v>45173.667402777777</v>
      </c>
      <c r="D1896" s="1">
        <v>45243</v>
      </c>
      <c r="E1896" t="s">
        <v>132</v>
      </c>
      <c r="F1896" t="s">
        <v>1042</v>
      </c>
      <c r="G1896" t="str">
        <f>"35-1011.00"</f>
        <v>35-1011.00</v>
      </c>
      <c r="H1896" t="s">
        <v>1043</v>
      </c>
      <c r="I1896">
        <v>2</v>
      </c>
      <c r="K1896" s="1">
        <v>45261</v>
      </c>
      <c r="L1896" s="1">
        <v>45565</v>
      </c>
      <c r="O1896" t="s">
        <v>116</v>
      </c>
      <c r="P1896" t="s">
        <v>1044</v>
      </c>
      <c r="R1896" t="s">
        <v>1045</v>
      </c>
      <c r="T1896" t="s">
        <v>1046</v>
      </c>
      <c r="U1896" t="s">
        <v>386</v>
      </c>
      <c r="V1896" s="8" t="str">
        <f>"38117"</f>
        <v>38117</v>
      </c>
      <c r="W1896" t="s">
        <v>118</v>
      </c>
      <c r="Y1896" s="10">
        <v>19013019043</v>
      </c>
      <c r="AA1896">
        <v>722511</v>
      </c>
      <c r="AB1896" t="s">
        <v>1047</v>
      </c>
      <c r="AC1896" t="s">
        <v>1048</v>
      </c>
      <c r="AE1896" t="s">
        <v>1049</v>
      </c>
      <c r="AF1896" t="s">
        <v>1050</v>
      </c>
      <c r="AG1896" t="s">
        <v>1051</v>
      </c>
      <c r="AH1896" t="s">
        <v>1046</v>
      </c>
      <c r="AI1896" t="s">
        <v>386</v>
      </c>
      <c r="AJ1896" s="8" t="str">
        <f>"38117"</f>
        <v>38117</v>
      </c>
      <c r="AK1896" t="s">
        <v>118</v>
      </c>
      <c r="AM1896" s="10">
        <v>19013019043</v>
      </c>
      <c r="AO1896" t="s">
        <v>1052</v>
      </c>
      <c r="AX1896" s="8" t="str">
        <f>""</f>
        <v/>
      </c>
      <c r="BG1896" t="s">
        <v>386</v>
      </c>
      <c r="BH1896" s="1">
        <v>45163.833333333336</v>
      </c>
      <c r="BI1896">
        <v>48</v>
      </c>
      <c r="BJ1896">
        <v>8</v>
      </c>
      <c r="BK1896">
        <v>0</v>
      </c>
      <c r="BL1896">
        <v>8</v>
      </c>
      <c r="BM1896">
        <v>8</v>
      </c>
      <c r="BN1896">
        <v>8</v>
      </c>
      <c r="BO1896">
        <v>8</v>
      </c>
      <c r="BP1896">
        <v>8</v>
      </c>
      <c r="BQ1896" t="str">
        <f>"2:00 PM"</f>
        <v>2:00 PM</v>
      </c>
      <c r="BR1896" t="str">
        <f>"10:00 PM"</f>
        <v>10:00 PM</v>
      </c>
      <c r="BS1896" t="s">
        <v>147</v>
      </c>
      <c r="BT1896">
        <v>1</v>
      </c>
      <c r="BU1896">
        <v>72</v>
      </c>
      <c r="BV1896" t="s">
        <v>136</v>
      </c>
      <c r="BW1896">
        <v>1</v>
      </c>
      <c r="BX1896" s="2" t="s">
        <v>1053</v>
      </c>
      <c r="BY1896" t="s">
        <v>1050</v>
      </c>
      <c r="CA1896" t="s">
        <v>1046</v>
      </c>
      <c r="CB1896" t="s">
        <v>386</v>
      </c>
      <c r="CC1896" s="8" t="str">
        <f>"38117"</f>
        <v>38117</v>
      </c>
      <c r="CD1896" t="s">
        <v>1054</v>
      </c>
      <c r="CE1896" t="s">
        <v>1055</v>
      </c>
      <c r="CF1896" s="12">
        <v>27.21</v>
      </c>
      <c r="CG1896" s="12">
        <v>30</v>
      </c>
      <c r="CJ1896" t="s">
        <v>135</v>
      </c>
      <c r="CL1896" t="s">
        <v>1056</v>
      </c>
      <c r="CO1896" t="s">
        <v>136</v>
      </c>
      <c r="CP1896" t="s">
        <v>114</v>
      </c>
      <c r="CQ1896" t="s">
        <v>114</v>
      </c>
      <c r="CR1896" t="s">
        <v>114</v>
      </c>
      <c r="CS1896" t="s">
        <v>136</v>
      </c>
      <c r="CT1896" t="s">
        <v>136</v>
      </c>
      <c r="CU1896" t="s">
        <v>136</v>
      </c>
      <c r="CV1896" t="s">
        <v>131</v>
      </c>
      <c r="CW1896" s="10" t="str">
        <f>"+19013019043"</f>
        <v>+19013019043</v>
      </c>
      <c r="CX1896" t="s">
        <v>1052</v>
      </c>
      <c r="CY1896" t="s">
        <v>1057</v>
      </c>
      <c r="CZ1896" t="s">
        <v>137</v>
      </c>
      <c r="DA1896" t="s">
        <v>114</v>
      </c>
      <c r="DB1896" t="s">
        <v>114</v>
      </c>
      <c r="DC1896" t="s">
        <v>136</v>
      </c>
      <c r="DD1896" t="s">
        <v>114</v>
      </c>
    </row>
    <row r="1897" spans="1:113" ht="15" customHeight="1" x14ac:dyDescent="0.25">
      <c r="A1897" t="s">
        <v>16701</v>
      </c>
      <c r="B1897" t="s">
        <v>113</v>
      </c>
      <c r="C1897" s="1">
        <v>45167.619911921298</v>
      </c>
      <c r="D1897" s="1">
        <v>45243</v>
      </c>
      <c r="E1897" t="s">
        <v>114</v>
      </c>
      <c r="F1897" t="s">
        <v>5413</v>
      </c>
      <c r="G1897" t="str">
        <f>"53-3032.00"</f>
        <v>53-3032.00</v>
      </c>
      <c r="H1897" t="s">
        <v>736</v>
      </c>
      <c r="I1897">
        <v>2</v>
      </c>
      <c r="K1897" s="1">
        <v>45245</v>
      </c>
      <c r="L1897" s="1">
        <v>45458</v>
      </c>
      <c r="O1897" t="s">
        <v>238</v>
      </c>
      <c r="P1897" t="s">
        <v>16702</v>
      </c>
      <c r="R1897" t="s">
        <v>16703</v>
      </c>
      <c r="T1897" t="s">
        <v>16704</v>
      </c>
      <c r="U1897" t="s">
        <v>2775</v>
      </c>
      <c r="V1897" s="8" t="str">
        <f>"58494"</f>
        <v>58494</v>
      </c>
      <c r="W1897" t="s">
        <v>118</v>
      </c>
      <c r="Y1897" s="10">
        <v>17019891904</v>
      </c>
      <c r="AA1897">
        <v>484110</v>
      </c>
      <c r="AB1897" t="s">
        <v>16705</v>
      </c>
      <c r="AC1897" t="s">
        <v>16706</v>
      </c>
      <c r="AE1897" t="s">
        <v>561</v>
      </c>
      <c r="AF1897" t="s">
        <v>16703</v>
      </c>
      <c r="AH1897" t="s">
        <v>16704</v>
      </c>
      <c r="AI1897" t="s">
        <v>2775</v>
      </c>
      <c r="AJ1897" s="8" t="str">
        <f>"58494"</f>
        <v>58494</v>
      </c>
      <c r="AK1897" t="s">
        <v>118</v>
      </c>
      <c r="AM1897" s="10">
        <v>17019891904</v>
      </c>
      <c r="AO1897" t="s">
        <v>16707</v>
      </c>
      <c r="AP1897" t="s">
        <v>121</v>
      </c>
      <c r="AQ1897" t="s">
        <v>16708</v>
      </c>
      <c r="AR1897" t="s">
        <v>16709</v>
      </c>
      <c r="AS1897" t="s">
        <v>5584</v>
      </c>
      <c r="AT1897" t="s">
        <v>16710</v>
      </c>
      <c r="AU1897" t="s">
        <v>167</v>
      </c>
      <c r="AV1897" t="s">
        <v>168</v>
      </c>
      <c r="AW1897" t="s">
        <v>169</v>
      </c>
      <c r="AX1897" s="8" t="str">
        <f>"55402"</f>
        <v>55402</v>
      </c>
      <c r="AY1897" t="s">
        <v>118</v>
      </c>
      <c r="BA1897" s="10">
        <v>16124925185</v>
      </c>
      <c r="BC1897" t="s">
        <v>16711</v>
      </c>
      <c r="BD1897" t="s">
        <v>16712</v>
      </c>
      <c r="BE1897" t="s">
        <v>169</v>
      </c>
      <c r="BF1897" t="s">
        <v>8138</v>
      </c>
      <c r="BG1897" t="s">
        <v>2775</v>
      </c>
      <c r="BH1897" s="1">
        <v>45166.833333333336</v>
      </c>
      <c r="BI1897">
        <v>50</v>
      </c>
      <c r="BJ1897">
        <v>0</v>
      </c>
      <c r="BK1897">
        <v>10</v>
      </c>
      <c r="BL1897">
        <v>10</v>
      </c>
      <c r="BM1897">
        <v>10</v>
      </c>
      <c r="BN1897">
        <v>10</v>
      </c>
      <c r="BO1897">
        <v>10</v>
      </c>
      <c r="BP1897">
        <v>0</v>
      </c>
      <c r="BQ1897" t="str">
        <f>"7:00 AM"</f>
        <v>7:00 AM</v>
      </c>
      <c r="BR1897" t="str">
        <f>"5:00 PM"</f>
        <v>5:00 PM</v>
      </c>
      <c r="BS1897" t="s">
        <v>147</v>
      </c>
      <c r="BT1897">
        <v>0</v>
      </c>
      <c r="BU1897">
        <v>3</v>
      </c>
      <c r="BV1897" t="s">
        <v>114</v>
      </c>
      <c r="BX1897" s="2" t="s">
        <v>16713</v>
      </c>
      <c r="BY1897" t="s">
        <v>16703</v>
      </c>
      <c r="CA1897" t="s">
        <v>16704</v>
      </c>
      <c r="CB1897" t="s">
        <v>2775</v>
      </c>
      <c r="CC1897" s="8" t="str">
        <f>"58494"</f>
        <v>58494</v>
      </c>
      <c r="CD1897" t="s">
        <v>10872</v>
      </c>
      <c r="CE1897" t="s">
        <v>10873</v>
      </c>
      <c r="CF1897" s="12">
        <v>25.6</v>
      </c>
      <c r="CG1897" s="12">
        <v>25.6</v>
      </c>
      <c r="CH1897" s="12">
        <v>38.4</v>
      </c>
      <c r="CI1897" s="12">
        <v>38.4</v>
      </c>
      <c r="CJ1897" t="s">
        <v>135</v>
      </c>
      <c r="CL1897" t="s">
        <v>16714</v>
      </c>
      <c r="CO1897" t="s">
        <v>132</v>
      </c>
      <c r="CP1897" t="s">
        <v>114</v>
      </c>
      <c r="CQ1897" t="s">
        <v>136</v>
      </c>
      <c r="CR1897" t="s">
        <v>136</v>
      </c>
      <c r="CS1897" t="s">
        <v>136</v>
      </c>
      <c r="CT1897" t="s">
        <v>136</v>
      </c>
      <c r="CU1897" t="s">
        <v>136</v>
      </c>
      <c r="CV1897" t="s">
        <v>131</v>
      </c>
      <c r="CW1897" s="10" t="str">
        <f>"+17019891904"</f>
        <v>+17019891904</v>
      </c>
      <c r="CX1897" t="s">
        <v>16707</v>
      </c>
      <c r="CY1897" t="s">
        <v>132</v>
      </c>
      <c r="CZ1897" t="s">
        <v>137</v>
      </c>
      <c r="DA1897" t="s">
        <v>114</v>
      </c>
      <c r="DB1897" t="s">
        <v>114</v>
      </c>
      <c r="DC1897" t="s">
        <v>136</v>
      </c>
      <c r="DD1897" t="s">
        <v>114</v>
      </c>
    </row>
    <row r="1898" spans="1:113" ht="15" customHeight="1" x14ac:dyDescent="0.25">
      <c r="A1898" t="s">
        <v>19715</v>
      </c>
      <c r="B1898" t="s">
        <v>113</v>
      </c>
      <c r="C1898" s="1">
        <v>45148.755028009262</v>
      </c>
      <c r="D1898" s="1">
        <v>45243</v>
      </c>
      <c r="E1898" t="s">
        <v>114</v>
      </c>
      <c r="F1898" t="s">
        <v>952</v>
      </c>
      <c r="G1898" t="str">
        <f>"43-4081.00"</f>
        <v>43-4081.00</v>
      </c>
      <c r="H1898" t="s">
        <v>952</v>
      </c>
      <c r="I1898">
        <v>50</v>
      </c>
      <c r="K1898" s="1">
        <v>45232</v>
      </c>
      <c r="L1898" s="1">
        <v>45514</v>
      </c>
      <c r="O1898" t="s">
        <v>3248</v>
      </c>
      <c r="P1898" t="s">
        <v>11678</v>
      </c>
      <c r="Q1898" t="s">
        <v>11678</v>
      </c>
      <c r="R1898" t="s">
        <v>11679</v>
      </c>
      <c r="T1898" t="s">
        <v>1233</v>
      </c>
      <c r="U1898" t="s">
        <v>140</v>
      </c>
      <c r="V1898" s="8" t="str">
        <f>"32404"</f>
        <v>32404</v>
      </c>
      <c r="W1898" t="s">
        <v>118</v>
      </c>
      <c r="Y1898" s="10">
        <v>18506339944</v>
      </c>
      <c r="AA1898">
        <v>561320</v>
      </c>
      <c r="AB1898" t="s">
        <v>5131</v>
      </c>
      <c r="AC1898" t="s">
        <v>2709</v>
      </c>
      <c r="AD1898" t="s">
        <v>628</v>
      </c>
      <c r="AE1898" t="s">
        <v>561</v>
      </c>
      <c r="AF1898" t="s">
        <v>11679</v>
      </c>
      <c r="AH1898" t="s">
        <v>1233</v>
      </c>
      <c r="AI1898" t="s">
        <v>140</v>
      </c>
      <c r="AJ1898" s="8" t="str">
        <f>"32404"</f>
        <v>32404</v>
      </c>
      <c r="AK1898" t="s">
        <v>118</v>
      </c>
      <c r="AL1898" t="s">
        <v>19716</v>
      </c>
      <c r="AM1898" s="10">
        <v>18506339944</v>
      </c>
      <c r="AO1898" t="s">
        <v>11680</v>
      </c>
      <c r="AX1898" s="8" t="str">
        <f>""</f>
        <v/>
      </c>
      <c r="BG1898" t="s">
        <v>140</v>
      </c>
      <c r="BH1898" s="1">
        <v>45147.833333333336</v>
      </c>
      <c r="BI1898">
        <v>56</v>
      </c>
      <c r="BJ1898">
        <v>8</v>
      </c>
      <c r="BK1898">
        <v>8</v>
      </c>
      <c r="BL1898">
        <v>8</v>
      </c>
      <c r="BM1898">
        <v>8</v>
      </c>
      <c r="BN1898">
        <v>8</v>
      </c>
      <c r="BO1898">
        <v>8</v>
      </c>
      <c r="BP1898">
        <v>8</v>
      </c>
      <c r="BQ1898" t="str">
        <f>"8:00 AM"</f>
        <v>8:00 AM</v>
      </c>
      <c r="BR1898" t="str">
        <f>"5:00 PM"</f>
        <v>5:00 PM</v>
      </c>
      <c r="BS1898" t="s">
        <v>147</v>
      </c>
      <c r="BT1898">
        <v>1</v>
      </c>
      <c r="BU1898">
        <v>1</v>
      </c>
      <c r="BV1898" t="s">
        <v>114</v>
      </c>
      <c r="BX1898" t="s">
        <v>19717</v>
      </c>
      <c r="BY1898" t="s">
        <v>19718</v>
      </c>
      <c r="CA1898" t="s">
        <v>1233</v>
      </c>
      <c r="CB1898" t="s">
        <v>140</v>
      </c>
      <c r="CC1898" s="8" t="str">
        <f>"32405"</f>
        <v>32405</v>
      </c>
      <c r="CD1898" t="s">
        <v>2727</v>
      </c>
      <c r="CE1898" t="s">
        <v>2728</v>
      </c>
      <c r="CF1898" s="12">
        <v>14</v>
      </c>
      <c r="CG1898" s="12">
        <v>16</v>
      </c>
      <c r="CH1898" s="12">
        <v>21</v>
      </c>
      <c r="CI1898" s="12">
        <v>24</v>
      </c>
      <c r="CJ1898" t="s">
        <v>135</v>
      </c>
      <c r="CK1898" t="s">
        <v>19719</v>
      </c>
      <c r="CL1898" t="s">
        <v>19720</v>
      </c>
      <c r="CO1898" t="s">
        <v>132</v>
      </c>
      <c r="CP1898" t="s">
        <v>136</v>
      </c>
      <c r="CQ1898" t="s">
        <v>136</v>
      </c>
      <c r="CR1898" t="s">
        <v>136</v>
      </c>
      <c r="CS1898" t="s">
        <v>136</v>
      </c>
      <c r="CT1898" t="s">
        <v>136</v>
      </c>
      <c r="CU1898" t="s">
        <v>136</v>
      </c>
      <c r="CV1898" t="s">
        <v>19721</v>
      </c>
      <c r="CW1898" s="10" t="str">
        <f>"+18506339944"</f>
        <v>+18506339944</v>
      </c>
      <c r="CX1898" t="s">
        <v>11680</v>
      </c>
      <c r="CY1898" t="s">
        <v>19722</v>
      </c>
      <c r="CZ1898" t="s">
        <v>10033</v>
      </c>
      <c r="DA1898" t="s">
        <v>136</v>
      </c>
      <c r="DB1898" t="s">
        <v>136</v>
      </c>
      <c r="DC1898" t="s">
        <v>136</v>
      </c>
      <c r="DD1898" t="s">
        <v>136</v>
      </c>
      <c r="DE1898" t="s">
        <v>5131</v>
      </c>
      <c r="DF1898" t="s">
        <v>2709</v>
      </c>
      <c r="DG1898" t="s">
        <v>628</v>
      </c>
      <c r="DH1898" t="s">
        <v>11678</v>
      </c>
      <c r="DI1898" t="s">
        <v>11687</v>
      </c>
    </row>
    <row r="1899" spans="1:113" ht="15" customHeight="1" x14ac:dyDescent="0.25">
      <c r="A1899" t="s">
        <v>8822</v>
      </c>
      <c r="B1899" t="s">
        <v>113</v>
      </c>
      <c r="C1899" s="1">
        <v>45204.631919097221</v>
      </c>
      <c r="D1899" s="1">
        <v>45239</v>
      </c>
      <c r="E1899" t="s">
        <v>132</v>
      </c>
      <c r="F1899" t="s">
        <v>3746</v>
      </c>
      <c r="G1899" t="str">
        <f>"35-2014.00"</f>
        <v>35-2014.00</v>
      </c>
      <c r="H1899" t="s">
        <v>154</v>
      </c>
      <c r="I1899">
        <v>9</v>
      </c>
      <c r="K1899" s="1">
        <v>45279</v>
      </c>
      <c r="L1899" s="1">
        <v>45539</v>
      </c>
      <c r="O1899" t="s">
        <v>116</v>
      </c>
      <c r="P1899" t="s">
        <v>8823</v>
      </c>
      <c r="R1899" t="s">
        <v>8824</v>
      </c>
      <c r="T1899" t="s">
        <v>8825</v>
      </c>
      <c r="U1899" t="s">
        <v>140</v>
      </c>
      <c r="V1899" s="8" t="str">
        <f>"34689"</f>
        <v>34689</v>
      </c>
      <c r="W1899" t="s">
        <v>118</v>
      </c>
      <c r="Y1899" s="10">
        <v>17279432400</v>
      </c>
      <c r="AA1899">
        <v>72251</v>
      </c>
      <c r="AB1899" t="s">
        <v>8826</v>
      </c>
      <c r="AC1899" t="s">
        <v>8827</v>
      </c>
      <c r="AE1899" t="s">
        <v>8828</v>
      </c>
      <c r="AF1899" t="s">
        <v>8824</v>
      </c>
      <c r="AH1899" t="s">
        <v>8825</v>
      </c>
      <c r="AI1899" t="s">
        <v>140</v>
      </c>
      <c r="AJ1899" s="8" t="str">
        <f>"34689"</f>
        <v>34689</v>
      </c>
      <c r="AK1899" t="s">
        <v>118</v>
      </c>
      <c r="AM1899" s="10">
        <v>17279432400</v>
      </c>
      <c r="AO1899" t="s">
        <v>8829</v>
      </c>
      <c r="AP1899" t="s">
        <v>121</v>
      </c>
      <c r="AQ1899" t="s">
        <v>8830</v>
      </c>
      <c r="AR1899" t="s">
        <v>4410</v>
      </c>
      <c r="AS1899" t="s">
        <v>3369</v>
      </c>
      <c r="AT1899" t="s">
        <v>8831</v>
      </c>
      <c r="AV1899" t="s">
        <v>8832</v>
      </c>
      <c r="AW1899" t="s">
        <v>140</v>
      </c>
      <c r="AX1899" s="8" t="str">
        <f>"33771"</f>
        <v>33771</v>
      </c>
      <c r="AY1899" t="s">
        <v>118</v>
      </c>
      <c r="BA1899" s="10">
        <v>17277810000</v>
      </c>
      <c r="BC1899" t="s">
        <v>8833</v>
      </c>
      <c r="BD1899" t="s">
        <v>8834</v>
      </c>
      <c r="BE1899" t="s">
        <v>1642</v>
      </c>
      <c r="BF1899" t="s">
        <v>8835</v>
      </c>
      <c r="BG1899" t="s">
        <v>140</v>
      </c>
      <c r="BH1899" s="1">
        <v>45162.833333333336</v>
      </c>
      <c r="BI1899">
        <v>40</v>
      </c>
      <c r="BJ1899">
        <v>0</v>
      </c>
      <c r="BK1899">
        <v>8</v>
      </c>
      <c r="BL1899">
        <v>8</v>
      </c>
      <c r="BM1899">
        <v>8</v>
      </c>
      <c r="BN1899">
        <v>8</v>
      </c>
      <c r="BO1899">
        <v>8</v>
      </c>
      <c r="BP1899">
        <v>0</v>
      </c>
      <c r="BQ1899" t="str">
        <f>"8:00 AM"</f>
        <v>8:00 AM</v>
      </c>
      <c r="BR1899" t="str">
        <f>"5:00 PM"</f>
        <v>5:00 PM</v>
      </c>
      <c r="BS1899" t="s">
        <v>131</v>
      </c>
      <c r="BT1899">
        <v>0</v>
      </c>
      <c r="BU1899">
        <v>0</v>
      </c>
      <c r="BV1899" t="s">
        <v>114</v>
      </c>
      <c r="BX1899" t="s">
        <v>131</v>
      </c>
      <c r="BY1899" t="s">
        <v>8824</v>
      </c>
      <c r="CA1899" t="s">
        <v>8825</v>
      </c>
      <c r="CB1899" t="s">
        <v>140</v>
      </c>
      <c r="CC1899" s="8" t="str">
        <f>"34689"</f>
        <v>34689</v>
      </c>
      <c r="CD1899" t="s">
        <v>466</v>
      </c>
      <c r="CE1899" t="s">
        <v>467</v>
      </c>
      <c r="CF1899" s="12">
        <v>15.75</v>
      </c>
      <c r="CG1899" s="12">
        <v>15.75</v>
      </c>
      <c r="CH1899" s="12">
        <v>15.75</v>
      </c>
      <c r="CI1899" s="12">
        <v>15.75</v>
      </c>
      <c r="CJ1899" t="s">
        <v>135</v>
      </c>
      <c r="CL1899" t="s">
        <v>8836</v>
      </c>
      <c r="CO1899" t="s">
        <v>132</v>
      </c>
      <c r="CP1899" t="s">
        <v>136</v>
      </c>
      <c r="CQ1899" t="s">
        <v>114</v>
      </c>
      <c r="CR1899" t="s">
        <v>136</v>
      </c>
      <c r="CS1899" t="s">
        <v>136</v>
      </c>
      <c r="CT1899" t="s">
        <v>136</v>
      </c>
      <c r="CU1899" t="s">
        <v>114</v>
      </c>
      <c r="CV1899" t="s">
        <v>8837</v>
      </c>
      <c r="CW1899" s="10" t="str">
        <f>"+17279348400"</f>
        <v>+17279348400</v>
      </c>
      <c r="CX1899" t="s">
        <v>8829</v>
      </c>
      <c r="CY1899" t="s">
        <v>8838</v>
      </c>
      <c r="CZ1899" t="s">
        <v>137</v>
      </c>
      <c r="DA1899" t="s">
        <v>114</v>
      </c>
      <c r="DB1899" t="s">
        <v>114</v>
      </c>
      <c r="DC1899" t="s">
        <v>136</v>
      </c>
      <c r="DD1899" t="s">
        <v>114</v>
      </c>
    </row>
    <row r="1900" spans="1:113" ht="15" customHeight="1" x14ac:dyDescent="0.25">
      <c r="A1900" t="s">
        <v>23624</v>
      </c>
      <c r="B1900" t="s">
        <v>113</v>
      </c>
      <c r="C1900" s="1">
        <v>45175.756329398151</v>
      </c>
      <c r="D1900" s="1">
        <v>45239</v>
      </c>
      <c r="E1900" t="s">
        <v>132</v>
      </c>
      <c r="F1900" t="s">
        <v>1397</v>
      </c>
      <c r="G1900" t="str">
        <f>"35-2013.00"</f>
        <v>35-2013.00</v>
      </c>
      <c r="H1900" t="s">
        <v>9961</v>
      </c>
      <c r="I1900">
        <v>1</v>
      </c>
      <c r="K1900" s="1">
        <v>45261</v>
      </c>
      <c r="L1900" s="1">
        <v>45471</v>
      </c>
      <c r="O1900" t="s">
        <v>238</v>
      </c>
      <c r="P1900" t="s">
        <v>23625</v>
      </c>
      <c r="R1900" t="s">
        <v>23626</v>
      </c>
      <c r="S1900" t="s">
        <v>23627</v>
      </c>
      <c r="T1900" t="s">
        <v>1220</v>
      </c>
      <c r="U1900" t="s">
        <v>358</v>
      </c>
      <c r="V1900" s="8" t="str">
        <f>"10018"</f>
        <v>10018</v>
      </c>
      <c r="W1900" t="s">
        <v>118</v>
      </c>
      <c r="Y1900" s="10">
        <v>13477468168</v>
      </c>
      <c r="AA1900">
        <v>814110</v>
      </c>
      <c r="AB1900" t="s">
        <v>23628</v>
      </c>
      <c r="AC1900" t="s">
        <v>23629</v>
      </c>
      <c r="AE1900" t="s">
        <v>561</v>
      </c>
      <c r="AF1900" t="s">
        <v>23626</v>
      </c>
      <c r="AG1900" t="s">
        <v>23630</v>
      </c>
      <c r="AH1900" t="s">
        <v>1220</v>
      </c>
      <c r="AI1900" t="s">
        <v>358</v>
      </c>
      <c r="AJ1900" s="8" t="str">
        <f>"10018"</f>
        <v>10018</v>
      </c>
      <c r="AK1900" t="s">
        <v>118</v>
      </c>
      <c r="AM1900" s="10">
        <v>13473915120</v>
      </c>
      <c r="AO1900" t="s">
        <v>23631</v>
      </c>
      <c r="AX1900" s="8" t="str">
        <f>""</f>
        <v/>
      </c>
      <c r="BG1900" t="s">
        <v>358</v>
      </c>
      <c r="BH1900" s="1">
        <v>45174.833333333336</v>
      </c>
      <c r="BI1900">
        <v>35</v>
      </c>
      <c r="BJ1900">
        <v>0</v>
      </c>
      <c r="BK1900">
        <v>7</v>
      </c>
      <c r="BL1900">
        <v>7</v>
      </c>
      <c r="BM1900">
        <v>7</v>
      </c>
      <c r="BN1900">
        <v>7</v>
      </c>
      <c r="BO1900">
        <v>7</v>
      </c>
      <c r="BP1900">
        <v>0</v>
      </c>
      <c r="BQ1900" t="str">
        <f>"2:00 PM"</f>
        <v>2:00 PM</v>
      </c>
      <c r="BR1900" t="str">
        <f>"9:00 PM"</f>
        <v>9:00 PM</v>
      </c>
      <c r="BS1900" t="s">
        <v>147</v>
      </c>
      <c r="BT1900">
        <v>0</v>
      </c>
      <c r="BU1900">
        <v>24</v>
      </c>
      <c r="BV1900" t="s">
        <v>114</v>
      </c>
      <c r="BX1900" t="s">
        <v>131</v>
      </c>
      <c r="BY1900" t="s">
        <v>23632</v>
      </c>
      <c r="BZ1900" t="s">
        <v>23630</v>
      </c>
      <c r="CA1900" t="s">
        <v>1220</v>
      </c>
      <c r="CB1900" t="s">
        <v>358</v>
      </c>
      <c r="CC1900" s="8" t="str">
        <f>"10018"</f>
        <v>10018</v>
      </c>
      <c r="CD1900" t="s">
        <v>1497</v>
      </c>
      <c r="CE1900" t="s">
        <v>1418</v>
      </c>
      <c r="CF1900" s="12">
        <v>22</v>
      </c>
      <c r="CJ1900" t="s">
        <v>135</v>
      </c>
      <c r="CL1900" t="s">
        <v>23633</v>
      </c>
      <c r="CO1900" t="s">
        <v>132</v>
      </c>
      <c r="CP1900" t="s">
        <v>114</v>
      </c>
      <c r="CQ1900" t="s">
        <v>114</v>
      </c>
      <c r="CR1900" t="s">
        <v>114</v>
      </c>
      <c r="CS1900" t="s">
        <v>114</v>
      </c>
      <c r="CT1900" t="s">
        <v>136</v>
      </c>
      <c r="CU1900" t="s">
        <v>114</v>
      </c>
      <c r="CV1900" t="s">
        <v>131</v>
      </c>
      <c r="CW1900" s="10" t="str">
        <f>"+13477468168"</f>
        <v>+13477468168</v>
      </c>
      <c r="CX1900" t="s">
        <v>23631</v>
      </c>
      <c r="CY1900" t="s">
        <v>132</v>
      </c>
      <c r="CZ1900" t="s">
        <v>137</v>
      </c>
      <c r="DA1900" t="s">
        <v>114</v>
      </c>
      <c r="DB1900" t="s">
        <v>114</v>
      </c>
      <c r="DC1900" t="s">
        <v>136</v>
      </c>
      <c r="DD1900" t="s">
        <v>114</v>
      </c>
    </row>
    <row r="1901" spans="1:113" ht="15" customHeight="1" x14ac:dyDescent="0.25">
      <c r="A1901" t="s">
        <v>16912</v>
      </c>
      <c r="B1901" t="s">
        <v>113</v>
      </c>
      <c r="C1901" s="1">
        <v>45167.758427430555</v>
      </c>
      <c r="D1901" s="1">
        <v>45239</v>
      </c>
      <c r="E1901" t="s">
        <v>114</v>
      </c>
      <c r="F1901" t="s">
        <v>1397</v>
      </c>
      <c r="G1901" t="str">
        <f>"39-9011.01"</f>
        <v>39-9011.01</v>
      </c>
      <c r="H1901" t="s">
        <v>183</v>
      </c>
      <c r="I1901">
        <v>1</v>
      </c>
      <c r="K1901" s="1">
        <v>45248</v>
      </c>
      <c r="L1901" s="1">
        <v>45514</v>
      </c>
      <c r="O1901" t="s">
        <v>184</v>
      </c>
      <c r="P1901" t="s">
        <v>16913</v>
      </c>
      <c r="R1901" t="s">
        <v>16914</v>
      </c>
      <c r="T1901" t="s">
        <v>1563</v>
      </c>
      <c r="U1901" t="s">
        <v>211</v>
      </c>
      <c r="V1901" s="8" t="str">
        <f>"84120"</f>
        <v>84120</v>
      </c>
      <c r="W1901" t="s">
        <v>118</v>
      </c>
      <c r="Y1901" s="10">
        <v>18017038984</v>
      </c>
      <c r="AA1901">
        <v>814110</v>
      </c>
      <c r="AB1901" t="s">
        <v>16915</v>
      </c>
      <c r="AC1901" t="s">
        <v>12754</v>
      </c>
      <c r="AD1901" t="s">
        <v>16916</v>
      </c>
      <c r="AE1901" t="s">
        <v>16917</v>
      </c>
      <c r="AF1901" t="s">
        <v>16914</v>
      </c>
      <c r="AH1901" t="s">
        <v>1563</v>
      </c>
      <c r="AI1901" t="s">
        <v>211</v>
      </c>
      <c r="AJ1901" s="8" t="str">
        <f>"84120"</f>
        <v>84120</v>
      </c>
      <c r="AK1901" t="s">
        <v>118</v>
      </c>
      <c r="AM1901" s="10">
        <v>18017038984</v>
      </c>
      <c r="AO1901" t="s">
        <v>16918</v>
      </c>
      <c r="AX1901" s="8" t="str">
        <f>""</f>
        <v/>
      </c>
      <c r="BG1901" t="s">
        <v>211</v>
      </c>
      <c r="BH1901" s="1">
        <v>45166.833333333336</v>
      </c>
      <c r="BI1901">
        <v>37.5</v>
      </c>
      <c r="BJ1901">
        <v>0</v>
      </c>
      <c r="BK1901">
        <v>7.5</v>
      </c>
      <c r="BL1901">
        <v>7.5</v>
      </c>
      <c r="BM1901">
        <v>7.5</v>
      </c>
      <c r="BN1901">
        <v>7.5</v>
      </c>
      <c r="BO1901">
        <v>7.5</v>
      </c>
      <c r="BP1901">
        <v>0</v>
      </c>
      <c r="BQ1901" t="str">
        <f>"6:30 AM"</f>
        <v>6:30 AM</v>
      </c>
      <c r="BR1901" t="str">
        <f>"2:00 PM"</f>
        <v>2:00 PM</v>
      </c>
      <c r="BS1901" t="s">
        <v>147</v>
      </c>
      <c r="BT1901">
        <v>0</v>
      </c>
      <c r="BU1901">
        <v>12</v>
      </c>
      <c r="BV1901" t="s">
        <v>114</v>
      </c>
      <c r="BX1901" t="s">
        <v>132</v>
      </c>
      <c r="BY1901" t="s">
        <v>16914</v>
      </c>
      <c r="CA1901" t="s">
        <v>1563</v>
      </c>
      <c r="CB1901" t="s">
        <v>211</v>
      </c>
      <c r="CC1901" s="8" t="str">
        <f>"84120"</f>
        <v>84120</v>
      </c>
      <c r="CD1901" t="s">
        <v>1567</v>
      </c>
      <c r="CE1901" t="s">
        <v>1568</v>
      </c>
      <c r="CF1901" s="12">
        <v>13.51</v>
      </c>
      <c r="CG1901" s="12">
        <v>13.51</v>
      </c>
      <c r="CJ1901" t="s">
        <v>135</v>
      </c>
      <c r="CL1901" t="s">
        <v>16919</v>
      </c>
      <c r="CO1901" t="s">
        <v>132</v>
      </c>
      <c r="CP1901" t="s">
        <v>114</v>
      </c>
      <c r="CQ1901" t="s">
        <v>114</v>
      </c>
      <c r="CR1901" t="s">
        <v>114</v>
      </c>
      <c r="CS1901" t="s">
        <v>114</v>
      </c>
      <c r="CT1901" t="s">
        <v>136</v>
      </c>
      <c r="CU1901" t="s">
        <v>136</v>
      </c>
      <c r="CV1901" t="s">
        <v>16920</v>
      </c>
      <c r="CW1901" s="10" t="str">
        <f>"+18017037984"</f>
        <v>+18017037984</v>
      </c>
      <c r="CX1901" t="s">
        <v>16918</v>
      </c>
      <c r="CY1901" t="s">
        <v>132</v>
      </c>
      <c r="CZ1901" t="s">
        <v>137</v>
      </c>
      <c r="DA1901" t="s">
        <v>114</v>
      </c>
      <c r="DB1901" t="s">
        <v>114</v>
      </c>
      <c r="DC1901" t="s">
        <v>136</v>
      </c>
      <c r="DD1901" t="s">
        <v>114</v>
      </c>
    </row>
    <row r="1902" spans="1:113" ht="15" customHeight="1" x14ac:dyDescent="0.25">
      <c r="A1902" t="s">
        <v>11677</v>
      </c>
      <c r="B1902" t="s">
        <v>113</v>
      </c>
      <c r="C1902" s="1">
        <v>45148.701392708332</v>
      </c>
      <c r="D1902" s="1">
        <v>45239</v>
      </c>
      <c r="E1902" t="s">
        <v>114</v>
      </c>
      <c r="F1902" t="s">
        <v>3638</v>
      </c>
      <c r="G1902" t="str">
        <f>"41-2011.00"</f>
        <v>41-2011.00</v>
      </c>
      <c r="H1902" t="s">
        <v>3638</v>
      </c>
      <c r="I1902">
        <v>100</v>
      </c>
      <c r="K1902" s="1">
        <v>45231</v>
      </c>
      <c r="L1902" s="1">
        <v>45567</v>
      </c>
      <c r="O1902" t="s">
        <v>3248</v>
      </c>
      <c r="P1902" t="s">
        <v>11678</v>
      </c>
      <c r="Q1902" t="s">
        <v>11678</v>
      </c>
      <c r="R1902" t="s">
        <v>11679</v>
      </c>
      <c r="T1902" t="s">
        <v>1233</v>
      </c>
      <c r="U1902" t="s">
        <v>140</v>
      </c>
      <c r="V1902" s="8" t="str">
        <f>"32404"</f>
        <v>32404</v>
      </c>
      <c r="W1902" t="s">
        <v>118</v>
      </c>
      <c r="Y1902" s="10">
        <v>18506339944</v>
      </c>
      <c r="AA1902">
        <v>561320</v>
      </c>
      <c r="AB1902" t="s">
        <v>5131</v>
      </c>
      <c r="AC1902" t="s">
        <v>2709</v>
      </c>
      <c r="AD1902" t="s">
        <v>628</v>
      </c>
      <c r="AE1902" t="s">
        <v>561</v>
      </c>
      <c r="AF1902" t="s">
        <v>11679</v>
      </c>
      <c r="AH1902" t="s">
        <v>1233</v>
      </c>
      <c r="AI1902" t="s">
        <v>140</v>
      </c>
      <c r="AJ1902" s="8" t="str">
        <f>"32404"</f>
        <v>32404</v>
      </c>
      <c r="AK1902" t="s">
        <v>118</v>
      </c>
      <c r="AM1902" s="10">
        <v>18506339944</v>
      </c>
      <c r="AO1902" t="s">
        <v>11680</v>
      </c>
      <c r="AX1902" s="8" t="str">
        <f>""</f>
        <v/>
      </c>
      <c r="BG1902" t="s">
        <v>140</v>
      </c>
      <c r="BH1902" s="1">
        <v>45120.833333333336</v>
      </c>
      <c r="BI1902">
        <v>56</v>
      </c>
      <c r="BJ1902">
        <v>8</v>
      </c>
      <c r="BK1902">
        <v>8</v>
      </c>
      <c r="BL1902">
        <v>8</v>
      </c>
      <c r="BM1902">
        <v>8</v>
      </c>
      <c r="BN1902">
        <v>8</v>
      </c>
      <c r="BO1902">
        <v>8</v>
      </c>
      <c r="BP1902">
        <v>8</v>
      </c>
      <c r="BQ1902" t="str">
        <f>"12:00 AM"</f>
        <v>12:00 AM</v>
      </c>
      <c r="BR1902" t="str">
        <f>"10:00 PM"</f>
        <v>10:00 PM</v>
      </c>
      <c r="BS1902" t="s">
        <v>147</v>
      </c>
      <c r="BT1902">
        <v>1</v>
      </c>
      <c r="BU1902">
        <v>3</v>
      </c>
      <c r="BV1902" t="s">
        <v>114</v>
      </c>
      <c r="BX1902" t="s">
        <v>11681</v>
      </c>
      <c r="BY1902" t="s">
        <v>11682</v>
      </c>
      <c r="CA1902" t="s">
        <v>1233</v>
      </c>
      <c r="CB1902" t="s">
        <v>140</v>
      </c>
      <c r="CC1902" s="8" t="str">
        <f>"32401"</f>
        <v>32401</v>
      </c>
      <c r="CD1902" t="s">
        <v>2727</v>
      </c>
      <c r="CE1902" t="s">
        <v>2728</v>
      </c>
      <c r="CF1902" s="12">
        <v>12.6</v>
      </c>
      <c r="CG1902" s="12">
        <v>16</v>
      </c>
      <c r="CH1902" s="12">
        <v>18</v>
      </c>
      <c r="CI1902" s="12">
        <v>20</v>
      </c>
      <c r="CJ1902" t="s">
        <v>135</v>
      </c>
      <c r="CK1902" t="s">
        <v>11683</v>
      </c>
      <c r="CL1902" t="s">
        <v>11684</v>
      </c>
      <c r="CO1902" t="s">
        <v>132</v>
      </c>
      <c r="CP1902" t="s">
        <v>114</v>
      </c>
      <c r="CQ1902" t="s">
        <v>136</v>
      </c>
      <c r="CR1902" t="s">
        <v>136</v>
      </c>
      <c r="CS1902" t="s">
        <v>136</v>
      </c>
      <c r="CT1902" t="s">
        <v>136</v>
      </c>
      <c r="CU1902" t="s">
        <v>136</v>
      </c>
      <c r="CV1902" t="s">
        <v>11685</v>
      </c>
      <c r="CW1902" s="10" t="str">
        <f>"+18506339944"</f>
        <v>+18506339944</v>
      </c>
      <c r="CX1902" t="s">
        <v>11680</v>
      </c>
      <c r="CY1902" t="s">
        <v>11686</v>
      </c>
      <c r="CZ1902" t="s">
        <v>137</v>
      </c>
      <c r="DA1902" t="s">
        <v>114</v>
      </c>
      <c r="DB1902" t="s">
        <v>136</v>
      </c>
      <c r="DC1902" t="s">
        <v>136</v>
      </c>
      <c r="DD1902" t="s">
        <v>114</v>
      </c>
      <c r="DE1902" t="s">
        <v>5131</v>
      </c>
      <c r="DF1902" t="s">
        <v>2709</v>
      </c>
      <c r="DG1902" t="s">
        <v>628</v>
      </c>
      <c r="DH1902" t="s">
        <v>11678</v>
      </c>
      <c r="DI1902" t="s">
        <v>11687</v>
      </c>
    </row>
    <row r="1903" spans="1:113" ht="15" customHeight="1" x14ac:dyDescent="0.25">
      <c r="A1903" t="s">
        <v>14509</v>
      </c>
      <c r="B1903" t="s">
        <v>113</v>
      </c>
      <c r="C1903" s="1">
        <v>45170.726750925925</v>
      </c>
      <c r="D1903" s="1">
        <v>45238</v>
      </c>
      <c r="E1903" t="s">
        <v>132</v>
      </c>
      <c r="F1903" t="s">
        <v>429</v>
      </c>
      <c r="G1903" t="str">
        <f>"37-3011.00"</f>
        <v>37-3011.00</v>
      </c>
      <c r="H1903" t="s">
        <v>429</v>
      </c>
      <c r="I1903">
        <v>3</v>
      </c>
      <c r="K1903" s="1">
        <v>45245</v>
      </c>
      <c r="L1903" s="1">
        <v>46340</v>
      </c>
      <c r="O1903" t="s">
        <v>184</v>
      </c>
      <c r="P1903" t="s">
        <v>14510</v>
      </c>
      <c r="R1903" t="s">
        <v>14511</v>
      </c>
      <c r="T1903" t="s">
        <v>14512</v>
      </c>
      <c r="U1903" t="s">
        <v>2262</v>
      </c>
      <c r="V1903" s="8" t="str">
        <f>"06854"</f>
        <v>06854</v>
      </c>
      <c r="W1903" t="s">
        <v>118</v>
      </c>
      <c r="Y1903" s="10">
        <v>12038524201</v>
      </c>
      <c r="AA1903">
        <v>561730</v>
      </c>
      <c r="AB1903" t="s">
        <v>14513</v>
      </c>
      <c r="AC1903" t="s">
        <v>3412</v>
      </c>
      <c r="AE1903" t="s">
        <v>561</v>
      </c>
      <c r="AF1903" t="s">
        <v>14511</v>
      </c>
      <c r="AH1903" t="s">
        <v>14512</v>
      </c>
      <c r="AI1903" t="s">
        <v>2262</v>
      </c>
      <c r="AJ1903" s="8" t="str">
        <f>"06854"</f>
        <v>06854</v>
      </c>
      <c r="AK1903" t="s">
        <v>118</v>
      </c>
      <c r="AM1903" s="10">
        <v>12038524201</v>
      </c>
      <c r="AO1903" t="s">
        <v>14514</v>
      </c>
      <c r="AP1903" t="s">
        <v>121</v>
      </c>
      <c r="AQ1903" t="s">
        <v>14515</v>
      </c>
      <c r="AR1903" t="s">
        <v>14516</v>
      </c>
      <c r="AT1903" t="s">
        <v>14517</v>
      </c>
      <c r="AU1903" t="s">
        <v>14518</v>
      </c>
      <c r="AV1903" t="s">
        <v>9306</v>
      </c>
      <c r="AW1903" t="s">
        <v>2262</v>
      </c>
      <c r="AX1903" s="8" t="str">
        <f>"06902"</f>
        <v>06902</v>
      </c>
      <c r="AY1903" t="s">
        <v>118</v>
      </c>
      <c r="BA1903" s="10">
        <v>12033477222</v>
      </c>
      <c r="BC1903" t="s">
        <v>14519</v>
      </c>
      <c r="BD1903" t="s">
        <v>14520</v>
      </c>
      <c r="BE1903" t="s">
        <v>127</v>
      </c>
      <c r="BF1903" t="s">
        <v>172</v>
      </c>
      <c r="BG1903" t="s">
        <v>2262</v>
      </c>
      <c r="BH1903" s="1">
        <v>45169.833333333336</v>
      </c>
      <c r="BI1903">
        <v>40</v>
      </c>
      <c r="BJ1903">
        <v>0</v>
      </c>
      <c r="BK1903">
        <v>8</v>
      </c>
      <c r="BL1903">
        <v>8</v>
      </c>
      <c r="BM1903">
        <v>8</v>
      </c>
      <c r="BN1903">
        <v>8</v>
      </c>
      <c r="BO1903">
        <v>8</v>
      </c>
      <c r="BP1903">
        <v>0</v>
      </c>
      <c r="BQ1903" t="str">
        <f>"8:00 AM"</f>
        <v>8:00 AM</v>
      </c>
      <c r="BR1903" t="str">
        <f>"5:00 PM"</f>
        <v>5:00 PM</v>
      </c>
      <c r="BS1903" t="s">
        <v>131</v>
      </c>
      <c r="BT1903">
        <v>0</v>
      </c>
      <c r="BU1903">
        <v>0</v>
      </c>
      <c r="BV1903" t="s">
        <v>114</v>
      </c>
      <c r="BX1903" t="s">
        <v>132</v>
      </c>
      <c r="BY1903" t="s">
        <v>14521</v>
      </c>
      <c r="CA1903" t="s">
        <v>14512</v>
      </c>
      <c r="CB1903" t="s">
        <v>2262</v>
      </c>
      <c r="CC1903" s="8" t="str">
        <f>"06854"</f>
        <v>06854</v>
      </c>
      <c r="CD1903" t="s">
        <v>5968</v>
      </c>
      <c r="CE1903" t="s">
        <v>5969</v>
      </c>
      <c r="CF1903" s="12">
        <v>21</v>
      </c>
      <c r="CG1903" s="12">
        <v>21</v>
      </c>
      <c r="CJ1903" t="s">
        <v>135</v>
      </c>
      <c r="CK1903" t="s">
        <v>132</v>
      </c>
      <c r="CL1903" t="s">
        <v>14522</v>
      </c>
      <c r="CO1903" t="s">
        <v>132</v>
      </c>
      <c r="CP1903" t="s">
        <v>136</v>
      </c>
      <c r="CQ1903" t="s">
        <v>136</v>
      </c>
      <c r="CR1903" t="s">
        <v>114</v>
      </c>
      <c r="CS1903" t="s">
        <v>114</v>
      </c>
      <c r="CT1903" t="s">
        <v>136</v>
      </c>
      <c r="CU1903" t="s">
        <v>136</v>
      </c>
      <c r="CV1903" t="s">
        <v>132</v>
      </c>
      <c r="CW1903" s="10" t="str">
        <f>"+12035158557"</f>
        <v>+12035158557</v>
      </c>
      <c r="CX1903" t="s">
        <v>14523</v>
      </c>
      <c r="CY1903" t="s">
        <v>132</v>
      </c>
      <c r="CZ1903" t="s">
        <v>137</v>
      </c>
      <c r="DA1903" t="s">
        <v>114</v>
      </c>
      <c r="DB1903" t="s">
        <v>114</v>
      </c>
      <c r="DC1903" t="s">
        <v>136</v>
      </c>
      <c r="DD1903" t="s">
        <v>114</v>
      </c>
      <c r="DE1903" t="s">
        <v>14515</v>
      </c>
      <c r="DF1903" t="s">
        <v>14516</v>
      </c>
      <c r="DH1903" t="s">
        <v>14520</v>
      </c>
      <c r="DI1903" t="s">
        <v>14519</v>
      </c>
    </row>
    <row r="1904" spans="1:113" ht="15" customHeight="1" x14ac:dyDescent="0.25">
      <c r="A1904" t="s">
        <v>15931</v>
      </c>
      <c r="B1904" t="s">
        <v>113</v>
      </c>
      <c r="C1904" s="1">
        <v>45170.131302662034</v>
      </c>
      <c r="D1904" s="1">
        <v>45238</v>
      </c>
      <c r="E1904" t="s">
        <v>132</v>
      </c>
      <c r="F1904" t="s">
        <v>12696</v>
      </c>
      <c r="G1904" t="str">
        <f>"37-2011.00"</f>
        <v>37-2011.00</v>
      </c>
      <c r="H1904" t="s">
        <v>1089</v>
      </c>
      <c r="I1904">
        <v>4</v>
      </c>
      <c r="K1904" s="1">
        <v>45247</v>
      </c>
      <c r="L1904" s="1">
        <v>45429</v>
      </c>
      <c r="O1904" t="s">
        <v>184</v>
      </c>
      <c r="P1904" t="s">
        <v>15932</v>
      </c>
      <c r="Q1904" t="s">
        <v>132</v>
      </c>
      <c r="R1904" t="s">
        <v>15933</v>
      </c>
      <c r="S1904" t="s">
        <v>132</v>
      </c>
      <c r="T1904" t="s">
        <v>15934</v>
      </c>
      <c r="U1904" t="s">
        <v>402</v>
      </c>
      <c r="V1904" s="8" t="str">
        <f>"90280"</f>
        <v>90280</v>
      </c>
      <c r="W1904" t="s">
        <v>118</v>
      </c>
      <c r="X1904" t="s">
        <v>132</v>
      </c>
      <c r="Y1904" s="10">
        <v>13237546050</v>
      </c>
      <c r="AA1904">
        <v>561720</v>
      </c>
      <c r="AB1904" t="s">
        <v>1745</v>
      </c>
      <c r="AC1904" t="s">
        <v>15935</v>
      </c>
      <c r="AD1904" t="s">
        <v>132</v>
      </c>
      <c r="AE1904" t="s">
        <v>11197</v>
      </c>
      <c r="AF1904" t="s">
        <v>15936</v>
      </c>
      <c r="AH1904" t="s">
        <v>518</v>
      </c>
      <c r="AI1904" t="s">
        <v>402</v>
      </c>
      <c r="AJ1904" s="8" t="str">
        <f>"90011"</f>
        <v>90011</v>
      </c>
      <c r="AK1904" t="s">
        <v>118</v>
      </c>
      <c r="AM1904" s="10">
        <v>13234465839</v>
      </c>
      <c r="AO1904" t="s">
        <v>15937</v>
      </c>
      <c r="AX1904" s="8" t="str">
        <f>""</f>
        <v/>
      </c>
      <c r="BG1904" t="s">
        <v>402</v>
      </c>
      <c r="BH1904" s="1">
        <v>45113.833333333336</v>
      </c>
      <c r="BI1904">
        <v>40</v>
      </c>
      <c r="BJ1904">
        <v>0</v>
      </c>
      <c r="BK1904">
        <v>8</v>
      </c>
      <c r="BL1904">
        <v>8</v>
      </c>
      <c r="BM1904">
        <v>8</v>
      </c>
      <c r="BN1904">
        <v>8</v>
      </c>
      <c r="BO1904">
        <v>0</v>
      </c>
      <c r="BP1904">
        <v>8</v>
      </c>
      <c r="BQ1904" t="str">
        <f>"8:00 AM"</f>
        <v>8:00 AM</v>
      </c>
      <c r="BR1904" t="str">
        <f>"4:30 PM"</f>
        <v>4:30 PM</v>
      </c>
      <c r="BS1904" t="s">
        <v>131</v>
      </c>
      <c r="BT1904">
        <v>0</v>
      </c>
      <c r="BU1904">
        <v>0</v>
      </c>
      <c r="BV1904" t="s">
        <v>114</v>
      </c>
      <c r="BX1904" t="s">
        <v>15938</v>
      </c>
      <c r="BY1904" t="s">
        <v>15933</v>
      </c>
      <c r="BZ1904" t="s">
        <v>132</v>
      </c>
      <c r="CA1904" t="s">
        <v>15934</v>
      </c>
      <c r="CB1904" t="s">
        <v>402</v>
      </c>
      <c r="CC1904" s="8" t="str">
        <f>"90280"</f>
        <v>90280</v>
      </c>
      <c r="CD1904" t="s">
        <v>2968</v>
      </c>
      <c r="CE1904" t="s">
        <v>2969</v>
      </c>
      <c r="CF1904" s="12">
        <v>18.46</v>
      </c>
      <c r="CG1904" s="12">
        <v>18.46</v>
      </c>
      <c r="CH1904" s="12">
        <v>27.75</v>
      </c>
      <c r="CI1904" s="12">
        <v>27.75</v>
      </c>
      <c r="CJ1904" t="s">
        <v>135</v>
      </c>
      <c r="CK1904" t="s">
        <v>132</v>
      </c>
      <c r="CL1904" t="s">
        <v>15939</v>
      </c>
      <c r="CO1904" t="s">
        <v>132</v>
      </c>
      <c r="CP1904" t="s">
        <v>136</v>
      </c>
      <c r="CQ1904" t="s">
        <v>136</v>
      </c>
      <c r="CR1904" t="s">
        <v>136</v>
      </c>
      <c r="CS1904" t="s">
        <v>136</v>
      </c>
      <c r="CT1904" t="s">
        <v>136</v>
      </c>
      <c r="CU1904" t="s">
        <v>136</v>
      </c>
      <c r="CV1904" t="s">
        <v>1480</v>
      </c>
      <c r="CW1904" s="10" t="str">
        <f>"+13237546050"</f>
        <v>+13237546050</v>
      </c>
      <c r="CX1904" t="s">
        <v>15937</v>
      </c>
      <c r="CY1904" t="s">
        <v>132</v>
      </c>
      <c r="CZ1904" t="s">
        <v>137</v>
      </c>
      <c r="DA1904" t="s">
        <v>114</v>
      </c>
      <c r="DB1904" t="s">
        <v>114</v>
      </c>
      <c r="DC1904" t="s">
        <v>136</v>
      </c>
      <c r="DD1904" t="s">
        <v>114</v>
      </c>
    </row>
    <row r="1905" spans="1:113" ht="15" customHeight="1" x14ac:dyDescent="0.25">
      <c r="A1905" t="s">
        <v>15900</v>
      </c>
      <c r="B1905" t="s">
        <v>113</v>
      </c>
      <c r="C1905" s="1">
        <v>45154.619295486111</v>
      </c>
      <c r="D1905" s="1">
        <v>45238</v>
      </c>
      <c r="E1905" t="s">
        <v>114</v>
      </c>
      <c r="F1905" t="s">
        <v>15901</v>
      </c>
      <c r="G1905" t="str">
        <f>"51-3023.00"</f>
        <v>51-3023.00</v>
      </c>
      <c r="H1905" t="s">
        <v>2377</v>
      </c>
      <c r="I1905">
        <v>5</v>
      </c>
      <c r="K1905" s="1">
        <v>45231</v>
      </c>
      <c r="L1905" s="1">
        <v>46326</v>
      </c>
      <c r="O1905" t="s">
        <v>184</v>
      </c>
      <c r="P1905" t="s">
        <v>15902</v>
      </c>
      <c r="R1905" t="s">
        <v>15903</v>
      </c>
      <c r="T1905" t="s">
        <v>15904</v>
      </c>
      <c r="U1905" t="s">
        <v>1434</v>
      </c>
      <c r="V1905" s="8" t="str">
        <f>"41031"</f>
        <v>41031</v>
      </c>
      <c r="W1905" t="s">
        <v>118</v>
      </c>
      <c r="Y1905" s="10">
        <v>18592340002</v>
      </c>
      <c r="AA1905">
        <v>31161</v>
      </c>
      <c r="AB1905" t="s">
        <v>15905</v>
      </c>
      <c r="AC1905" t="s">
        <v>11160</v>
      </c>
      <c r="AD1905" t="s">
        <v>1714</v>
      </c>
      <c r="AE1905" t="s">
        <v>743</v>
      </c>
      <c r="AF1905" t="s">
        <v>15906</v>
      </c>
      <c r="AH1905" t="s">
        <v>15904</v>
      </c>
      <c r="AI1905" t="s">
        <v>1434</v>
      </c>
      <c r="AJ1905" s="8" t="str">
        <f>"41031"</f>
        <v>41031</v>
      </c>
      <c r="AK1905" t="s">
        <v>118</v>
      </c>
      <c r="AM1905" s="10">
        <v>18592340002</v>
      </c>
      <c r="AO1905" t="s">
        <v>15907</v>
      </c>
      <c r="AP1905" t="s">
        <v>121</v>
      </c>
      <c r="AQ1905" t="s">
        <v>15908</v>
      </c>
      <c r="AR1905" t="s">
        <v>15909</v>
      </c>
      <c r="AS1905" t="s">
        <v>4883</v>
      </c>
      <c r="AT1905" t="s">
        <v>15910</v>
      </c>
      <c r="AU1905" t="s">
        <v>6041</v>
      </c>
      <c r="AV1905" t="s">
        <v>1764</v>
      </c>
      <c r="AW1905" t="s">
        <v>1434</v>
      </c>
      <c r="AX1905" s="8" t="str">
        <f>"40507"</f>
        <v>40507</v>
      </c>
      <c r="AY1905" t="s">
        <v>118</v>
      </c>
      <c r="BA1905" s="10">
        <v>18592887409</v>
      </c>
      <c r="BC1905" t="s">
        <v>15911</v>
      </c>
      <c r="BD1905" t="s">
        <v>15912</v>
      </c>
      <c r="BE1905" t="s">
        <v>1434</v>
      </c>
      <c r="BF1905" t="s">
        <v>15913</v>
      </c>
      <c r="BG1905" t="s">
        <v>1434</v>
      </c>
      <c r="BH1905" s="1">
        <v>45153.833333333336</v>
      </c>
      <c r="BI1905">
        <v>40</v>
      </c>
      <c r="BJ1905">
        <v>0</v>
      </c>
      <c r="BK1905">
        <v>8</v>
      </c>
      <c r="BL1905">
        <v>8</v>
      </c>
      <c r="BM1905">
        <v>8</v>
      </c>
      <c r="BN1905">
        <v>8</v>
      </c>
      <c r="BO1905">
        <v>8</v>
      </c>
      <c r="BP1905">
        <v>0</v>
      </c>
      <c r="BQ1905" t="str">
        <f>"7:30 AM"</f>
        <v>7:30 AM</v>
      </c>
      <c r="BR1905" t="str">
        <f>"4:00 PM"</f>
        <v>4:00 PM</v>
      </c>
      <c r="BS1905" t="s">
        <v>131</v>
      </c>
      <c r="BT1905">
        <v>0</v>
      </c>
      <c r="BU1905">
        <v>0</v>
      </c>
      <c r="BV1905" t="s">
        <v>114</v>
      </c>
      <c r="BX1905" s="2" t="s">
        <v>15914</v>
      </c>
      <c r="BY1905" t="s">
        <v>15903</v>
      </c>
      <c r="CA1905" t="s">
        <v>15904</v>
      </c>
      <c r="CB1905" t="s">
        <v>1434</v>
      </c>
      <c r="CC1905" s="8" t="str">
        <f>"41031"</f>
        <v>41031</v>
      </c>
      <c r="CD1905" t="s">
        <v>1160</v>
      </c>
      <c r="CE1905" t="s">
        <v>3299</v>
      </c>
      <c r="CF1905" s="12">
        <v>15.54</v>
      </c>
      <c r="CH1905" s="12">
        <v>23.31</v>
      </c>
      <c r="CJ1905" t="s">
        <v>135</v>
      </c>
      <c r="CK1905" t="s">
        <v>132</v>
      </c>
      <c r="CL1905" t="s">
        <v>15915</v>
      </c>
      <c r="CO1905" t="s">
        <v>132</v>
      </c>
      <c r="CP1905" t="s">
        <v>114</v>
      </c>
      <c r="CQ1905" t="s">
        <v>114</v>
      </c>
      <c r="CR1905" t="s">
        <v>136</v>
      </c>
      <c r="CS1905" t="s">
        <v>114</v>
      </c>
      <c r="CT1905" t="s">
        <v>136</v>
      </c>
      <c r="CU1905" t="s">
        <v>114</v>
      </c>
      <c r="CV1905" t="s">
        <v>15916</v>
      </c>
      <c r="CW1905" s="10" t="str">
        <f>"+18592340002"</f>
        <v>+18592340002</v>
      </c>
      <c r="CX1905" t="s">
        <v>15907</v>
      </c>
      <c r="CY1905" t="s">
        <v>132</v>
      </c>
      <c r="CZ1905" t="s">
        <v>137</v>
      </c>
      <c r="DA1905" t="s">
        <v>114</v>
      </c>
      <c r="DB1905" t="s">
        <v>114</v>
      </c>
      <c r="DC1905" t="s">
        <v>136</v>
      </c>
      <c r="DD1905" t="s">
        <v>114</v>
      </c>
    </row>
    <row r="1906" spans="1:113" ht="15" customHeight="1" x14ac:dyDescent="0.25">
      <c r="A1906" t="s">
        <v>20381</v>
      </c>
      <c r="B1906" t="s">
        <v>113</v>
      </c>
      <c r="C1906" s="1">
        <v>45151.56747037037</v>
      </c>
      <c r="D1906" s="1">
        <v>45238</v>
      </c>
      <c r="E1906" t="s">
        <v>114</v>
      </c>
      <c r="F1906" t="s">
        <v>20382</v>
      </c>
      <c r="G1906" t="str">
        <f>"51-4121.00"</f>
        <v>51-4121.00</v>
      </c>
      <c r="H1906" t="s">
        <v>815</v>
      </c>
      <c r="I1906">
        <v>30</v>
      </c>
      <c r="K1906" s="1">
        <v>45231</v>
      </c>
      <c r="L1906" s="1">
        <v>45838</v>
      </c>
      <c r="O1906" t="s">
        <v>184</v>
      </c>
      <c r="P1906" t="s">
        <v>15942</v>
      </c>
      <c r="Q1906" t="s">
        <v>475</v>
      </c>
      <c r="R1906" t="s">
        <v>15943</v>
      </c>
      <c r="T1906" t="s">
        <v>2438</v>
      </c>
      <c r="V1906" s="8" t="str">
        <f>"30071"</f>
        <v>30071</v>
      </c>
      <c r="W1906" t="s">
        <v>8680</v>
      </c>
      <c r="X1906" t="s">
        <v>550</v>
      </c>
      <c r="Y1906" s="10">
        <v>17705570019</v>
      </c>
      <c r="AA1906">
        <v>238220</v>
      </c>
      <c r="AB1906" t="s">
        <v>8649</v>
      </c>
      <c r="AC1906" t="s">
        <v>15944</v>
      </c>
      <c r="AD1906" t="s">
        <v>475</v>
      </c>
      <c r="AE1906" t="s">
        <v>537</v>
      </c>
      <c r="AF1906" t="s">
        <v>15943</v>
      </c>
      <c r="AH1906" t="s">
        <v>2438</v>
      </c>
      <c r="AJ1906" s="8" t="str">
        <f>"30071"</f>
        <v>30071</v>
      </c>
      <c r="AK1906" t="s">
        <v>8680</v>
      </c>
      <c r="AL1906" t="s">
        <v>4904</v>
      </c>
      <c r="AM1906" s="10">
        <v>17705570019</v>
      </c>
      <c r="AO1906" t="s">
        <v>15946</v>
      </c>
      <c r="AP1906" t="s">
        <v>121</v>
      </c>
      <c r="AQ1906" t="s">
        <v>539</v>
      </c>
      <c r="AR1906" t="s">
        <v>540</v>
      </c>
      <c r="AT1906" t="s">
        <v>541</v>
      </c>
      <c r="AV1906" t="s">
        <v>15947</v>
      </c>
      <c r="AW1906" t="s">
        <v>543</v>
      </c>
      <c r="AX1906" s="8" t="str">
        <f>"45315"</f>
        <v>45315</v>
      </c>
      <c r="AY1906" t="s">
        <v>118</v>
      </c>
      <c r="AZ1906" t="s">
        <v>878</v>
      </c>
      <c r="BA1906" s="10">
        <v>19376029941</v>
      </c>
      <c r="BC1906" t="s">
        <v>544</v>
      </c>
      <c r="BD1906" t="s">
        <v>545</v>
      </c>
      <c r="BE1906" t="s">
        <v>358</v>
      </c>
      <c r="BF1906" t="s">
        <v>546</v>
      </c>
      <c r="BG1906" t="s">
        <v>550</v>
      </c>
      <c r="BH1906" s="1">
        <v>45149.833333333336</v>
      </c>
      <c r="BI1906">
        <v>40</v>
      </c>
      <c r="BJ1906">
        <v>0</v>
      </c>
      <c r="BK1906">
        <v>8</v>
      </c>
      <c r="BL1906">
        <v>8</v>
      </c>
      <c r="BM1906">
        <v>8</v>
      </c>
      <c r="BN1906">
        <v>8</v>
      </c>
      <c r="BO1906">
        <v>8</v>
      </c>
      <c r="BP1906">
        <v>0</v>
      </c>
      <c r="BQ1906" t="str">
        <f>"8:00 AM"</f>
        <v>8:00 AM</v>
      </c>
      <c r="BR1906" t="str">
        <f>"5:00 PM"</f>
        <v>5:00 PM</v>
      </c>
      <c r="BS1906" t="s">
        <v>131</v>
      </c>
      <c r="BT1906">
        <v>0</v>
      </c>
      <c r="BU1906">
        <v>12</v>
      </c>
      <c r="BV1906" t="s">
        <v>114</v>
      </c>
      <c r="BX1906" s="2" t="s">
        <v>20383</v>
      </c>
      <c r="BY1906" t="s">
        <v>548</v>
      </c>
      <c r="CA1906" t="s">
        <v>6940</v>
      </c>
      <c r="CB1906" t="s">
        <v>550</v>
      </c>
      <c r="CC1906" s="8" t="str">
        <f>"30145"</f>
        <v>30145</v>
      </c>
      <c r="CD1906" t="s">
        <v>551</v>
      </c>
      <c r="CE1906" t="s">
        <v>552</v>
      </c>
      <c r="CF1906" s="12">
        <v>22</v>
      </c>
      <c r="CG1906" s="12">
        <v>22</v>
      </c>
      <c r="CH1906" s="12">
        <v>33</v>
      </c>
      <c r="CI1906" s="12">
        <v>33</v>
      </c>
      <c r="CJ1906" t="s">
        <v>135</v>
      </c>
      <c r="CK1906" t="s">
        <v>132</v>
      </c>
      <c r="CL1906" t="s">
        <v>20384</v>
      </c>
      <c r="CO1906" t="s">
        <v>132</v>
      </c>
      <c r="CP1906" t="s">
        <v>114</v>
      </c>
      <c r="CQ1906" t="s">
        <v>136</v>
      </c>
      <c r="CR1906" t="s">
        <v>136</v>
      </c>
      <c r="CS1906" t="s">
        <v>114</v>
      </c>
      <c r="CT1906" t="s">
        <v>136</v>
      </c>
      <c r="CU1906" t="s">
        <v>136</v>
      </c>
      <c r="CV1906" t="s">
        <v>20385</v>
      </c>
      <c r="CW1906" s="10" t="str">
        <f>"+16786874924"</f>
        <v>+16786874924</v>
      </c>
      <c r="CX1906" t="s">
        <v>15946</v>
      </c>
      <c r="CY1906" t="s">
        <v>15950</v>
      </c>
      <c r="CZ1906" t="s">
        <v>137</v>
      </c>
      <c r="DA1906" t="s">
        <v>114</v>
      </c>
      <c r="DB1906" t="s">
        <v>114</v>
      </c>
      <c r="DC1906" t="s">
        <v>136</v>
      </c>
      <c r="DD1906" t="s">
        <v>114</v>
      </c>
    </row>
    <row r="1907" spans="1:113" ht="15" customHeight="1" x14ac:dyDescent="0.25">
      <c r="A1907" t="s">
        <v>15940</v>
      </c>
      <c r="B1907" t="s">
        <v>113</v>
      </c>
      <c r="C1907" s="1">
        <v>45151.460408796294</v>
      </c>
      <c r="D1907" s="1">
        <v>45238</v>
      </c>
      <c r="E1907" t="s">
        <v>114</v>
      </c>
      <c r="F1907" t="s">
        <v>15941</v>
      </c>
      <c r="G1907" t="str">
        <f>"47-1011.00"</f>
        <v>47-1011.00</v>
      </c>
      <c r="H1907" t="s">
        <v>8562</v>
      </c>
      <c r="I1907">
        <v>30</v>
      </c>
      <c r="K1907" s="1">
        <v>45231</v>
      </c>
      <c r="L1907" s="1">
        <v>45838</v>
      </c>
      <c r="O1907" t="s">
        <v>184</v>
      </c>
      <c r="P1907" t="s">
        <v>15942</v>
      </c>
      <c r="Q1907" t="s">
        <v>475</v>
      </c>
      <c r="R1907" t="s">
        <v>15943</v>
      </c>
      <c r="T1907" t="s">
        <v>2438</v>
      </c>
      <c r="V1907" s="8" t="str">
        <f>"30071"</f>
        <v>30071</v>
      </c>
      <c r="W1907" t="s">
        <v>8680</v>
      </c>
      <c r="X1907" t="s">
        <v>550</v>
      </c>
      <c r="Y1907" s="10">
        <v>17705570019</v>
      </c>
      <c r="AA1907">
        <v>238220</v>
      </c>
      <c r="AB1907" t="s">
        <v>8649</v>
      </c>
      <c r="AC1907" t="s">
        <v>15944</v>
      </c>
      <c r="AD1907" t="s">
        <v>475</v>
      </c>
      <c r="AE1907" t="s">
        <v>537</v>
      </c>
      <c r="AF1907" t="s">
        <v>15943</v>
      </c>
      <c r="AH1907" t="s">
        <v>2438</v>
      </c>
      <c r="AJ1907" s="8" t="str">
        <f>"30071"</f>
        <v>30071</v>
      </c>
      <c r="AK1907" t="s">
        <v>8680</v>
      </c>
      <c r="AL1907" t="s">
        <v>15945</v>
      </c>
      <c r="AM1907" s="10">
        <v>17705570019</v>
      </c>
      <c r="AO1907" t="s">
        <v>15946</v>
      </c>
      <c r="AP1907" t="s">
        <v>121</v>
      </c>
      <c r="AQ1907" t="s">
        <v>539</v>
      </c>
      <c r="AR1907" t="s">
        <v>540</v>
      </c>
      <c r="AT1907" t="s">
        <v>541</v>
      </c>
      <c r="AV1907" t="s">
        <v>15947</v>
      </c>
      <c r="AW1907" t="s">
        <v>543</v>
      </c>
      <c r="AX1907" s="8" t="str">
        <f>"45315"</f>
        <v>45315</v>
      </c>
      <c r="AY1907" t="s">
        <v>118</v>
      </c>
      <c r="BA1907" s="10">
        <v>19376029941</v>
      </c>
      <c r="BC1907" t="s">
        <v>544</v>
      </c>
      <c r="BD1907" t="s">
        <v>545</v>
      </c>
      <c r="BE1907" t="s">
        <v>358</v>
      </c>
      <c r="BF1907" t="s">
        <v>546</v>
      </c>
      <c r="BG1907" t="s">
        <v>550</v>
      </c>
      <c r="BH1907" s="1">
        <v>45150.833333333336</v>
      </c>
      <c r="BI1907">
        <v>40</v>
      </c>
      <c r="BJ1907">
        <v>0</v>
      </c>
      <c r="BK1907">
        <v>8</v>
      </c>
      <c r="BL1907">
        <v>8</v>
      </c>
      <c r="BM1907">
        <v>8</v>
      </c>
      <c r="BN1907">
        <v>8</v>
      </c>
      <c r="BO1907">
        <v>8</v>
      </c>
      <c r="BP1907">
        <v>0</v>
      </c>
      <c r="BQ1907" t="str">
        <f>"8:00 AM"</f>
        <v>8:00 AM</v>
      </c>
      <c r="BR1907" t="str">
        <f>"5:00 PM"</f>
        <v>5:00 PM</v>
      </c>
      <c r="BS1907" t="s">
        <v>147</v>
      </c>
      <c r="BT1907">
        <v>0</v>
      </c>
      <c r="BU1907">
        <v>24</v>
      </c>
      <c r="BV1907" t="s">
        <v>114</v>
      </c>
      <c r="BX1907" t="s">
        <v>15948</v>
      </c>
      <c r="BY1907" t="s">
        <v>548</v>
      </c>
      <c r="CA1907" t="s">
        <v>6940</v>
      </c>
      <c r="CB1907" t="s">
        <v>550</v>
      </c>
      <c r="CC1907" s="8" t="str">
        <f>"30145"</f>
        <v>30145</v>
      </c>
      <c r="CD1907" t="s">
        <v>551</v>
      </c>
      <c r="CE1907" t="s">
        <v>552</v>
      </c>
      <c r="CF1907" s="12">
        <v>34.14</v>
      </c>
      <c r="CG1907" s="12">
        <v>34.14</v>
      </c>
      <c r="CH1907" s="12">
        <v>51.3</v>
      </c>
      <c r="CI1907" s="12">
        <v>51.3</v>
      </c>
      <c r="CJ1907" t="s">
        <v>135</v>
      </c>
      <c r="CK1907" t="s">
        <v>132</v>
      </c>
      <c r="CL1907" t="s">
        <v>15949</v>
      </c>
      <c r="CO1907" t="s">
        <v>132</v>
      </c>
      <c r="CP1907" t="s">
        <v>114</v>
      </c>
      <c r="CQ1907" t="s">
        <v>136</v>
      </c>
      <c r="CR1907" t="s">
        <v>136</v>
      </c>
      <c r="CS1907" t="s">
        <v>114</v>
      </c>
      <c r="CT1907" t="s">
        <v>136</v>
      </c>
      <c r="CU1907" t="s">
        <v>114</v>
      </c>
      <c r="CV1907" t="s">
        <v>1480</v>
      </c>
      <c r="CW1907" s="10" t="str">
        <f>"+16786874924"</f>
        <v>+16786874924</v>
      </c>
      <c r="CX1907" t="s">
        <v>15946</v>
      </c>
      <c r="CY1907" t="s">
        <v>15950</v>
      </c>
      <c r="CZ1907" t="s">
        <v>137</v>
      </c>
      <c r="DA1907" t="s">
        <v>114</v>
      </c>
      <c r="DB1907" t="s">
        <v>114</v>
      </c>
      <c r="DC1907" t="s">
        <v>136</v>
      </c>
      <c r="DD1907" t="s">
        <v>114</v>
      </c>
    </row>
    <row r="1908" spans="1:113" ht="15" customHeight="1" x14ac:dyDescent="0.25">
      <c r="A1908" t="s">
        <v>18448</v>
      </c>
      <c r="B1908" t="s">
        <v>113</v>
      </c>
      <c r="C1908" s="1">
        <v>45150.592285300925</v>
      </c>
      <c r="D1908" s="1">
        <v>45238</v>
      </c>
      <c r="E1908" t="s">
        <v>114</v>
      </c>
      <c r="F1908" t="s">
        <v>18449</v>
      </c>
      <c r="G1908" t="str">
        <f>"47-2152.00"</f>
        <v>47-2152.00</v>
      </c>
      <c r="H1908" t="s">
        <v>532</v>
      </c>
      <c r="I1908">
        <v>30</v>
      </c>
      <c r="K1908" s="1">
        <v>45231</v>
      </c>
      <c r="L1908" s="1">
        <v>45838</v>
      </c>
      <c r="O1908" t="s">
        <v>184</v>
      </c>
      <c r="P1908" t="s">
        <v>15942</v>
      </c>
      <c r="Q1908" t="s">
        <v>475</v>
      </c>
      <c r="R1908" t="s">
        <v>15943</v>
      </c>
      <c r="T1908" t="s">
        <v>2438</v>
      </c>
      <c r="V1908" s="8" t="str">
        <f>"30071"</f>
        <v>30071</v>
      </c>
      <c r="W1908" t="s">
        <v>8680</v>
      </c>
      <c r="X1908" t="s">
        <v>550</v>
      </c>
      <c r="Y1908" s="10">
        <v>17705570019</v>
      </c>
      <c r="AA1908">
        <v>238220</v>
      </c>
      <c r="AB1908" t="s">
        <v>8649</v>
      </c>
      <c r="AC1908" t="s">
        <v>15944</v>
      </c>
      <c r="AD1908" t="s">
        <v>475</v>
      </c>
      <c r="AE1908" t="s">
        <v>537</v>
      </c>
      <c r="AF1908" t="s">
        <v>15943</v>
      </c>
      <c r="AH1908" t="s">
        <v>2438</v>
      </c>
      <c r="AJ1908" s="8" t="str">
        <f>"30071"</f>
        <v>30071</v>
      </c>
      <c r="AK1908" t="s">
        <v>8680</v>
      </c>
      <c r="AL1908" t="s">
        <v>12505</v>
      </c>
      <c r="AM1908" s="10">
        <v>17705570019</v>
      </c>
      <c r="AO1908" t="s">
        <v>15946</v>
      </c>
      <c r="AP1908" t="s">
        <v>121</v>
      </c>
      <c r="AQ1908" t="s">
        <v>539</v>
      </c>
      <c r="AR1908" t="s">
        <v>540</v>
      </c>
      <c r="AT1908" t="s">
        <v>541</v>
      </c>
      <c r="AV1908" t="s">
        <v>15947</v>
      </c>
      <c r="AW1908" t="s">
        <v>543</v>
      </c>
      <c r="AX1908" s="8" t="str">
        <f>"45315"</f>
        <v>45315</v>
      </c>
      <c r="AY1908" t="s">
        <v>118</v>
      </c>
      <c r="BA1908" s="10">
        <v>19376029941</v>
      </c>
      <c r="BC1908" t="s">
        <v>544</v>
      </c>
      <c r="BD1908" t="s">
        <v>545</v>
      </c>
      <c r="BE1908" t="s">
        <v>358</v>
      </c>
      <c r="BF1908" t="s">
        <v>18450</v>
      </c>
      <c r="BG1908" t="s">
        <v>550</v>
      </c>
      <c r="BH1908" s="1">
        <v>45149.833333333336</v>
      </c>
      <c r="BI1908">
        <v>40</v>
      </c>
      <c r="BJ1908">
        <v>0</v>
      </c>
      <c r="BK1908">
        <v>8</v>
      </c>
      <c r="BL1908">
        <v>8</v>
      </c>
      <c r="BM1908">
        <v>8</v>
      </c>
      <c r="BN1908">
        <v>8</v>
      </c>
      <c r="BO1908">
        <v>8</v>
      </c>
      <c r="BP1908">
        <v>0</v>
      </c>
      <c r="BQ1908" t="str">
        <f>"8:00 AM"</f>
        <v>8:00 AM</v>
      </c>
      <c r="BR1908" t="str">
        <f>"5:00 PM"</f>
        <v>5:00 PM</v>
      </c>
      <c r="BS1908" t="s">
        <v>131</v>
      </c>
      <c r="BT1908">
        <v>0</v>
      </c>
      <c r="BU1908">
        <v>12</v>
      </c>
      <c r="BV1908" t="s">
        <v>114</v>
      </c>
      <c r="BX1908" t="s">
        <v>18451</v>
      </c>
      <c r="BY1908" t="s">
        <v>548</v>
      </c>
      <c r="CA1908" t="s">
        <v>6940</v>
      </c>
      <c r="CB1908" t="s">
        <v>550</v>
      </c>
      <c r="CC1908" s="8" t="str">
        <f>"30145"</f>
        <v>30145</v>
      </c>
      <c r="CD1908" t="s">
        <v>551</v>
      </c>
      <c r="CE1908" t="s">
        <v>552</v>
      </c>
      <c r="CF1908" s="12">
        <v>27.09</v>
      </c>
      <c r="CG1908" s="12">
        <v>27.09</v>
      </c>
      <c r="CH1908" s="12">
        <v>40.64</v>
      </c>
      <c r="CI1908" s="12">
        <v>40.64</v>
      </c>
      <c r="CJ1908" t="s">
        <v>135</v>
      </c>
      <c r="CL1908" t="s">
        <v>18452</v>
      </c>
      <c r="CO1908" t="s">
        <v>132</v>
      </c>
      <c r="CP1908" t="s">
        <v>114</v>
      </c>
      <c r="CQ1908" t="s">
        <v>136</v>
      </c>
      <c r="CR1908" t="s">
        <v>136</v>
      </c>
      <c r="CS1908" t="s">
        <v>114</v>
      </c>
      <c r="CT1908" t="s">
        <v>136</v>
      </c>
      <c r="CU1908" t="s">
        <v>114</v>
      </c>
      <c r="CV1908" t="s">
        <v>1480</v>
      </c>
      <c r="CW1908" s="10" t="str">
        <f>"+16786874924"</f>
        <v>+16786874924</v>
      </c>
      <c r="CX1908" t="s">
        <v>15946</v>
      </c>
      <c r="CY1908" t="s">
        <v>15950</v>
      </c>
      <c r="CZ1908" t="s">
        <v>137</v>
      </c>
      <c r="DA1908" t="s">
        <v>114</v>
      </c>
      <c r="DB1908" t="s">
        <v>114</v>
      </c>
      <c r="DC1908" t="s">
        <v>136</v>
      </c>
      <c r="DD1908" t="s">
        <v>114</v>
      </c>
    </row>
    <row r="1909" spans="1:113" ht="15" customHeight="1" x14ac:dyDescent="0.25">
      <c r="A1909" t="s">
        <v>20610</v>
      </c>
      <c r="B1909" t="s">
        <v>113</v>
      </c>
      <c r="C1909" s="1">
        <v>45148.711724884262</v>
      </c>
      <c r="D1909" s="1">
        <v>45238</v>
      </c>
      <c r="E1909" t="s">
        <v>114</v>
      </c>
      <c r="F1909" t="s">
        <v>20611</v>
      </c>
      <c r="G1909" t="str">
        <f>"37-2012.00"</f>
        <v>37-2012.00</v>
      </c>
      <c r="H1909" t="s">
        <v>205</v>
      </c>
      <c r="I1909">
        <v>100</v>
      </c>
      <c r="K1909" s="1">
        <v>45231</v>
      </c>
      <c r="L1909" s="1">
        <v>45535</v>
      </c>
      <c r="O1909" t="s">
        <v>238</v>
      </c>
      <c r="P1909" t="s">
        <v>11678</v>
      </c>
      <c r="Q1909" t="s">
        <v>11678</v>
      </c>
      <c r="R1909" t="s">
        <v>11679</v>
      </c>
      <c r="T1909" t="s">
        <v>1233</v>
      </c>
      <c r="U1909" t="s">
        <v>140</v>
      </c>
      <c r="V1909" s="8" t="str">
        <f>"32404"</f>
        <v>32404</v>
      </c>
      <c r="W1909" t="s">
        <v>118</v>
      </c>
      <c r="X1909" t="s">
        <v>19716</v>
      </c>
      <c r="Y1909" s="10">
        <v>18506339944</v>
      </c>
      <c r="AA1909">
        <v>561320</v>
      </c>
      <c r="AB1909" t="s">
        <v>5131</v>
      </c>
      <c r="AC1909" t="s">
        <v>2709</v>
      </c>
      <c r="AD1909" t="s">
        <v>628</v>
      </c>
      <c r="AE1909" t="s">
        <v>561</v>
      </c>
      <c r="AF1909" t="s">
        <v>11679</v>
      </c>
      <c r="AH1909" t="s">
        <v>1233</v>
      </c>
      <c r="AI1909" t="s">
        <v>140</v>
      </c>
      <c r="AJ1909" s="8" t="str">
        <f>"32404"</f>
        <v>32404</v>
      </c>
      <c r="AK1909" t="s">
        <v>118</v>
      </c>
      <c r="AM1909" s="10">
        <v>18506339944</v>
      </c>
      <c r="AO1909" t="s">
        <v>20612</v>
      </c>
      <c r="AX1909" s="8" t="str">
        <f>""</f>
        <v/>
      </c>
      <c r="BG1909" t="s">
        <v>140</v>
      </c>
      <c r="BH1909" s="1">
        <v>45147.833333333336</v>
      </c>
      <c r="BI1909">
        <v>56</v>
      </c>
      <c r="BJ1909">
        <v>8</v>
      </c>
      <c r="BK1909">
        <v>8</v>
      </c>
      <c r="BL1909">
        <v>8</v>
      </c>
      <c r="BM1909">
        <v>8</v>
      </c>
      <c r="BN1909">
        <v>8</v>
      </c>
      <c r="BO1909">
        <v>8</v>
      </c>
      <c r="BP1909">
        <v>8</v>
      </c>
      <c r="BQ1909" t="str">
        <f>"8:00 AM"</f>
        <v>8:00 AM</v>
      </c>
      <c r="BR1909" t="str">
        <f>"5:00 PM"</f>
        <v>5:00 PM</v>
      </c>
      <c r="BS1909" t="s">
        <v>147</v>
      </c>
      <c r="BT1909">
        <v>1</v>
      </c>
      <c r="BU1909">
        <v>1</v>
      </c>
      <c r="BV1909" t="s">
        <v>114</v>
      </c>
      <c r="BX1909" t="s">
        <v>132</v>
      </c>
      <c r="BY1909" t="s">
        <v>20613</v>
      </c>
      <c r="CA1909" t="s">
        <v>1233</v>
      </c>
      <c r="CB1909" t="s">
        <v>140</v>
      </c>
      <c r="CC1909" s="8" t="str">
        <f>"32404"</f>
        <v>32404</v>
      </c>
      <c r="CD1909" t="s">
        <v>2727</v>
      </c>
      <c r="CE1909" t="s">
        <v>2728</v>
      </c>
      <c r="CF1909" s="12">
        <v>14</v>
      </c>
      <c r="CG1909" s="12">
        <v>16</v>
      </c>
      <c r="CH1909" s="12">
        <v>21</v>
      </c>
      <c r="CI1909" s="12">
        <v>24</v>
      </c>
      <c r="CJ1909" t="s">
        <v>135</v>
      </c>
      <c r="CK1909" t="s">
        <v>20614</v>
      </c>
      <c r="CL1909" t="s">
        <v>20615</v>
      </c>
      <c r="CO1909" t="s">
        <v>132</v>
      </c>
      <c r="CP1909" t="s">
        <v>114</v>
      </c>
      <c r="CQ1909" t="s">
        <v>136</v>
      </c>
      <c r="CR1909" t="s">
        <v>136</v>
      </c>
      <c r="CS1909" t="s">
        <v>136</v>
      </c>
      <c r="CT1909" t="s">
        <v>136</v>
      </c>
      <c r="CU1909" t="s">
        <v>136</v>
      </c>
      <c r="CV1909" t="s">
        <v>20616</v>
      </c>
      <c r="CW1909" s="10" t="str">
        <f>"+18506339944"</f>
        <v>+18506339944</v>
      </c>
      <c r="CX1909" t="s">
        <v>11680</v>
      </c>
      <c r="CY1909" t="s">
        <v>11686</v>
      </c>
      <c r="CZ1909" t="s">
        <v>137</v>
      </c>
      <c r="DA1909" t="s">
        <v>114</v>
      </c>
      <c r="DB1909" t="s">
        <v>136</v>
      </c>
      <c r="DC1909" t="s">
        <v>136</v>
      </c>
      <c r="DD1909" t="s">
        <v>114</v>
      </c>
      <c r="DE1909" t="s">
        <v>5131</v>
      </c>
      <c r="DF1909" t="s">
        <v>2709</v>
      </c>
      <c r="DG1909" t="s">
        <v>628</v>
      </c>
      <c r="DH1909" t="s">
        <v>11678</v>
      </c>
      <c r="DI1909" t="s">
        <v>11687</v>
      </c>
    </row>
    <row r="1910" spans="1:113" ht="15" customHeight="1" x14ac:dyDescent="0.25">
      <c r="A1910" t="s">
        <v>15668</v>
      </c>
      <c r="B1910" t="s">
        <v>113</v>
      </c>
      <c r="C1910" s="1">
        <v>45113.384597800927</v>
      </c>
      <c r="D1910" s="1">
        <v>45238</v>
      </c>
      <c r="E1910" t="s">
        <v>114</v>
      </c>
      <c r="F1910" t="s">
        <v>15669</v>
      </c>
      <c r="G1910" t="str">
        <f>"41-2031.00"</f>
        <v>41-2031.00</v>
      </c>
      <c r="H1910" t="s">
        <v>2705</v>
      </c>
      <c r="I1910">
        <v>4</v>
      </c>
      <c r="K1910" s="1">
        <v>45200</v>
      </c>
      <c r="L1910" s="1">
        <v>45383</v>
      </c>
      <c r="O1910" t="s">
        <v>238</v>
      </c>
      <c r="P1910" t="s">
        <v>15670</v>
      </c>
      <c r="R1910" t="s">
        <v>15671</v>
      </c>
      <c r="T1910" t="s">
        <v>1721</v>
      </c>
      <c r="U1910" t="s">
        <v>1722</v>
      </c>
      <c r="V1910" s="8" t="str">
        <f>"21401"</f>
        <v>21401</v>
      </c>
      <c r="W1910" t="s">
        <v>118</v>
      </c>
      <c r="Y1910" s="10">
        <v>14439951521</v>
      </c>
      <c r="AA1910">
        <v>448150</v>
      </c>
      <c r="AB1910" t="s">
        <v>15672</v>
      </c>
      <c r="AC1910" t="s">
        <v>15673</v>
      </c>
      <c r="AD1910" t="s">
        <v>6180</v>
      </c>
      <c r="AE1910" t="s">
        <v>1836</v>
      </c>
      <c r="AF1910" t="s">
        <v>15671</v>
      </c>
      <c r="AH1910" t="s">
        <v>1721</v>
      </c>
      <c r="AI1910" t="s">
        <v>1722</v>
      </c>
      <c r="AJ1910" s="8" t="str">
        <f>"21401"</f>
        <v>21401</v>
      </c>
      <c r="AK1910" t="s">
        <v>118</v>
      </c>
      <c r="AM1910" s="10">
        <v>14439951521</v>
      </c>
      <c r="AO1910" t="s">
        <v>15674</v>
      </c>
      <c r="AP1910" t="s">
        <v>121</v>
      </c>
      <c r="AQ1910" t="s">
        <v>3557</v>
      </c>
      <c r="AR1910" t="s">
        <v>3097</v>
      </c>
      <c r="AS1910" t="s">
        <v>2291</v>
      </c>
      <c r="AT1910" t="s">
        <v>15675</v>
      </c>
      <c r="AU1910" t="s">
        <v>15676</v>
      </c>
      <c r="AV1910" t="s">
        <v>2026</v>
      </c>
      <c r="AW1910" t="s">
        <v>211</v>
      </c>
      <c r="AX1910" s="8" t="str">
        <f>"84123"</f>
        <v>84123</v>
      </c>
      <c r="AY1910" t="s">
        <v>118</v>
      </c>
      <c r="BA1910" s="10">
        <v>18015316600</v>
      </c>
      <c r="BC1910" t="s">
        <v>15677</v>
      </c>
      <c r="BD1910" t="s">
        <v>15678</v>
      </c>
      <c r="BE1910" t="s">
        <v>211</v>
      </c>
      <c r="BF1910" t="s">
        <v>172</v>
      </c>
      <c r="BG1910" t="s">
        <v>211</v>
      </c>
      <c r="BH1910" s="1">
        <v>45105.833333333336</v>
      </c>
      <c r="BI1910">
        <v>40</v>
      </c>
      <c r="BJ1910">
        <v>0</v>
      </c>
      <c r="BK1910">
        <v>8</v>
      </c>
      <c r="BL1910">
        <v>8</v>
      </c>
      <c r="BM1910">
        <v>8</v>
      </c>
      <c r="BN1910">
        <v>8</v>
      </c>
      <c r="BO1910">
        <v>8</v>
      </c>
      <c r="BP1910">
        <v>0</v>
      </c>
      <c r="BQ1910" t="str">
        <f>"10:00 AM"</f>
        <v>10:00 AM</v>
      </c>
      <c r="BR1910" t="str">
        <f>"6:00 PM"</f>
        <v>6:00 PM</v>
      </c>
      <c r="BS1910" t="s">
        <v>147</v>
      </c>
      <c r="BT1910">
        <v>0</v>
      </c>
      <c r="BU1910">
        <v>1</v>
      </c>
      <c r="BV1910" t="s">
        <v>114</v>
      </c>
      <c r="BX1910" t="s">
        <v>15679</v>
      </c>
      <c r="BY1910" t="s">
        <v>15680</v>
      </c>
      <c r="CA1910" t="s">
        <v>210</v>
      </c>
      <c r="CB1910" t="s">
        <v>211</v>
      </c>
      <c r="CC1910" s="8" t="str">
        <f>"84060"</f>
        <v>84060</v>
      </c>
      <c r="CD1910" t="s">
        <v>228</v>
      </c>
      <c r="CE1910" t="s">
        <v>229</v>
      </c>
      <c r="CF1910" s="12">
        <v>18</v>
      </c>
      <c r="CG1910" s="12">
        <v>18</v>
      </c>
      <c r="CH1910" s="12">
        <v>27</v>
      </c>
      <c r="CI1910" s="12">
        <v>27</v>
      </c>
      <c r="CJ1910" t="s">
        <v>135</v>
      </c>
      <c r="CL1910" t="s">
        <v>15681</v>
      </c>
      <c r="CO1910" t="s">
        <v>132</v>
      </c>
      <c r="CP1910" t="s">
        <v>114</v>
      </c>
      <c r="CQ1910" t="s">
        <v>114</v>
      </c>
      <c r="CR1910" t="s">
        <v>136</v>
      </c>
      <c r="CS1910" t="s">
        <v>136</v>
      </c>
      <c r="CT1910" t="s">
        <v>136</v>
      </c>
      <c r="CU1910" t="s">
        <v>136</v>
      </c>
      <c r="CV1910" t="s">
        <v>15682</v>
      </c>
      <c r="CW1910" s="10" t="str">
        <f>"+14356580155"</f>
        <v>+14356580155</v>
      </c>
      <c r="CX1910" t="s">
        <v>15674</v>
      </c>
      <c r="CY1910" t="s">
        <v>15683</v>
      </c>
      <c r="CZ1910" t="s">
        <v>137</v>
      </c>
      <c r="DA1910" t="s">
        <v>114</v>
      </c>
      <c r="DB1910" t="s">
        <v>114</v>
      </c>
      <c r="DC1910" t="s">
        <v>136</v>
      </c>
      <c r="DD1910" t="s">
        <v>114</v>
      </c>
    </row>
    <row r="1911" spans="1:113" ht="15" customHeight="1" x14ac:dyDescent="0.25">
      <c r="A1911" t="s">
        <v>19557</v>
      </c>
      <c r="B1911" t="s">
        <v>113</v>
      </c>
      <c r="C1911" s="1">
        <v>45141.69080138889</v>
      </c>
      <c r="D1911" s="1">
        <v>45237</v>
      </c>
      <c r="E1911" t="s">
        <v>114</v>
      </c>
      <c r="F1911" t="s">
        <v>153</v>
      </c>
      <c r="G1911" t="str">
        <f>"35-2014.00"</f>
        <v>35-2014.00</v>
      </c>
      <c r="H1911" t="s">
        <v>154</v>
      </c>
      <c r="I1911">
        <v>4</v>
      </c>
      <c r="K1911" s="1">
        <v>45216</v>
      </c>
      <c r="L1911" s="1">
        <v>45901</v>
      </c>
      <c r="O1911" t="s">
        <v>184</v>
      </c>
      <c r="P1911" t="s">
        <v>10369</v>
      </c>
      <c r="R1911" t="s">
        <v>10370</v>
      </c>
      <c r="T1911" t="s">
        <v>10371</v>
      </c>
      <c r="U1911" t="s">
        <v>984</v>
      </c>
      <c r="V1911" s="8" t="str">
        <f>"64011"</f>
        <v>64011</v>
      </c>
      <c r="W1911" t="s">
        <v>118</v>
      </c>
      <c r="Y1911" s="10">
        <v>18167864848</v>
      </c>
      <c r="AA1911">
        <v>447110</v>
      </c>
      <c r="AB1911" t="s">
        <v>10372</v>
      </c>
      <c r="AC1911" t="s">
        <v>10373</v>
      </c>
      <c r="AE1911" t="s">
        <v>743</v>
      </c>
      <c r="AF1911" t="s">
        <v>10370</v>
      </c>
      <c r="AH1911" t="s">
        <v>10371</v>
      </c>
      <c r="AI1911" t="s">
        <v>984</v>
      </c>
      <c r="AJ1911" s="8" t="str">
        <f>"64011"</f>
        <v>64011</v>
      </c>
      <c r="AK1911" t="s">
        <v>118</v>
      </c>
      <c r="AM1911" s="10" t="s">
        <v>10374</v>
      </c>
      <c r="AO1911" t="s">
        <v>10375</v>
      </c>
      <c r="AP1911" t="s">
        <v>121</v>
      </c>
      <c r="AQ1911" t="s">
        <v>3935</v>
      </c>
      <c r="AR1911" t="s">
        <v>3936</v>
      </c>
      <c r="AS1911" t="s">
        <v>3937</v>
      </c>
      <c r="AT1911" t="s">
        <v>3938</v>
      </c>
      <c r="AU1911" t="s">
        <v>3939</v>
      </c>
      <c r="AV1911" t="s">
        <v>3940</v>
      </c>
      <c r="AW1911" t="s">
        <v>2262</v>
      </c>
      <c r="AX1911" s="8" t="str">
        <f>"06510"</f>
        <v>06510</v>
      </c>
      <c r="AY1911" t="s">
        <v>118</v>
      </c>
      <c r="BA1911" s="10">
        <v>19198270660</v>
      </c>
      <c r="BC1911" t="s">
        <v>3941</v>
      </c>
      <c r="BD1911" t="s">
        <v>3942</v>
      </c>
      <c r="BE1911" t="s">
        <v>375</v>
      </c>
      <c r="BF1911" t="s">
        <v>3943</v>
      </c>
      <c r="BG1911" t="s">
        <v>1734</v>
      </c>
      <c r="BH1911" s="1">
        <v>45140.833333333336</v>
      </c>
      <c r="BI1911">
        <v>48</v>
      </c>
      <c r="BJ1911">
        <v>4</v>
      </c>
      <c r="BK1911">
        <v>8</v>
      </c>
      <c r="BL1911">
        <v>8</v>
      </c>
      <c r="BM1911">
        <v>8</v>
      </c>
      <c r="BN1911">
        <v>8</v>
      </c>
      <c r="BO1911">
        <v>8</v>
      </c>
      <c r="BP1911">
        <v>4</v>
      </c>
      <c r="BQ1911" t="str">
        <f>"3:00 AM"</f>
        <v>3:00 AM</v>
      </c>
      <c r="BR1911" t="str">
        <f>"5:00 PM"</f>
        <v>5:00 PM</v>
      </c>
      <c r="BS1911" t="s">
        <v>147</v>
      </c>
      <c r="BT1911">
        <v>0</v>
      </c>
      <c r="BU1911">
        <v>12</v>
      </c>
      <c r="BV1911" t="s">
        <v>114</v>
      </c>
      <c r="BX1911" t="s">
        <v>19558</v>
      </c>
      <c r="BY1911" t="s">
        <v>10377</v>
      </c>
      <c r="CA1911" t="s">
        <v>6708</v>
      </c>
      <c r="CB1911" t="s">
        <v>1734</v>
      </c>
      <c r="CC1911" s="8" t="str">
        <f>"66801"</f>
        <v>66801</v>
      </c>
      <c r="CD1911" t="s">
        <v>2169</v>
      </c>
      <c r="CE1911" t="s">
        <v>5123</v>
      </c>
      <c r="CF1911" s="12">
        <v>12</v>
      </c>
      <c r="CG1911" s="12">
        <v>12</v>
      </c>
      <c r="CH1911" s="12">
        <v>18</v>
      </c>
      <c r="CI1911" s="12">
        <v>18</v>
      </c>
      <c r="CJ1911" t="s">
        <v>135</v>
      </c>
      <c r="CL1911" t="s">
        <v>19559</v>
      </c>
      <c r="CO1911" t="s">
        <v>132</v>
      </c>
      <c r="CP1911" t="s">
        <v>114</v>
      </c>
      <c r="CQ1911" t="s">
        <v>114</v>
      </c>
      <c r="CR1911" t="s">
        <v>136</v>
      </c>
      <c r="CS1911" t="s">
        <v>114</v>
      </c>
      <c r="CT1911" t="s">
        <v>136</v>
      </c>
      <c r="CU1911" t="s">
        <v>114</v>
      </c>
      <c r="CV1911" t="s">
        <v>5906</v>
      </c>
      <c r="CW1911" s="10" t="str">
        <f>"816 625 5539"</f>
        <v>816 625 5539</v>
      </c>
      <c r="CX1911" t="s">
        <v>10375</v>
      </c>
      <c r="CY1911" t="s">
        <v>132</v>
      </c>
      <c r="CZ1911" t="s">
        <v>137</v>
      </c>
      <c r="DA1911" t="s">
        <v>114</v>
      </c>
      <c r="DB1911" t="s">
        <v>114</v>
      </c>
      <c r="DC1911" t="s">
        <v>136</v>
      </c>
      <c r="DD1911" t="s">
        <v>114</v>
      </c>
    </row>
    <row r="1912" spans="1:113" ht="15" customHeight="1" x14ac:dyDescent="0.25">
      <c r="A1912" t="s">
        <v>17340</v>
      </c>
      <c r="B1912" t="s">
        <v>113</v>
      </c>
      <c r="C1912" s="1">
        <v>45141.268428587966</v>
      </c>
      <c r="D1912" s="1">
        <v>45237</v>
      </c>
      <c r="E1912" t="s">
        <v>114</v>
      </c>
      <c r="F1912" t="s">
        <v>5842</v>
      </c>
      <c r="G1912" t="str">
        <f>"35-3031.00"</f>
        <v>35-3031.00</v>
      </c>
      <c r="H1912" t="s">
        <v>347</v>
      </c>
      <c r="I1912">
        <v>15</v>
      </c>
      <c r="K1912" s="1">
        <v>45231</v>
      </c>
      <c r="L1912" s="1">
        <v>45532</v>
      </c>
      <c r="O1912" t="s">
        <v>116</v>
      </c>
      <c r="P1912" t="s">
        <v>8396</v>
      </c>
      <c r="R1912" t="s">
        <v>8397</v>
      </c>
      <c r="T1912" t="s">
        <v>8398</v>
      </c>
      <c r="U1912" t="s">
        <v>1642</v>
      </c>
      <c r="V1912" s="8" t="str">
        <f>"26003"</f>
        <v>26003</v>
      </c>
      <c r="W1912" t="s">
        <v>118</v>
      </c>
      <c r="Y1912" s="10">
        <v>13042434032</v>
      </c>
      <c r="AA1912">
        <v>713110</v>
      </c>
      <c r="AB1912" t="s">
        <v>8399</v>
      </c>
      <c r="AC1912" t="s">
        <v>7528</v>
      </c>
      <c r="AE1912" t="s">
        <v>7804</v>
      </c>
      <c r="AF1912" t="s">
        <v>8397</v>
      </c>
      <c r="AH1912" t="s">
        <v>8398</v>
      </c>
      <c r="AI1912" t="s">
        <v>1642</v>
      </c>
      <c r="AJ1912" s="8" t="str">
        <f>"26003"</f>
        <v>26003</v>
      </c>
      <c r="AK1912" t="s">
        <v>118</v>
      </c>
      <c r="AM1912" s="10">
        <v>13042434032</v>
      </c>
      <c r="AO1912" t="s">
        <v>132</v>
      </c>
      <c r="AP1912" t="s">
        <v>248</v>
      </c>
      <c r="AQ1912" t="s">
        <v>354</v>
      </c>
      <c r="AR1912" t="s">
        <v>355</v>
      </c>
      <c r="AT1912" t="s">
        <v>356</v>
      </c>
      <c r="AV1912" t="s">
        <v>357</v>
      </c>
      <c r="AW1912" t="s">
        <v>358</v>
      </c>
      <c r="AX1912" s="8" t="str">
        <f>"11590"</f>
        <v>11590</v>
      </c>
      <c r="AY1912" t="s">
        <v>118</v>
      </c>
      <c r="BA1912" s="10">
        <v>15163307168</v>
      </c>
      <c r="BC1912" t="s">
        <v>359</v>
      </c>
      <c r="BD1912" t="s">
        <v>360</v>
      </c>
      <c r="BG1912" t="s">
        <v>1642</v>
      </c>
      <c r="BH1912" s="1">
        <v>45131.833333333336</v>
      </c>
      <c r="BI1912">
        <v>35</v>
      </c>
      <c r="BJ1912">
        <v>7</v>
      </c>
      <c r="BK1912">
        <v>0</v>
      </c>
      <c r="BL1912">
        <v>7</v>
      </c>
      <c r="BM1912">
        <v>0</v>
      </c>
      <c r="BN1912">
        <v>7</v>
      </c>
      <c r="BO1912">
        <v>7</v>
      </c>
      <c r="BP1912">
        <v>7</v>
      </c>
      <c r="BQ1912" t="str">
        <f>"7:00 AM"</f>
        <v>7:00 AM</v>
      </c>
      <c r="BR1912" t="str">
        <f>"11:00 PM"</f>
        <v>11:00 PM</v>
      </c>
      <c r="BS1912" t="s">
        <v>131</v>
      </c>
      <c r="BT1912">
        <v>0</v>
      </c>
      <c r="BU1912">
        <v>0</v>
      </c>
      <c r="BV1912" t="s">
        <v>114</v>
      </c>
      <c r="BX1912" t="s">
        <v>131</v>
      </c>
      <c r="BY1912" t="s">
        <v>17341</v>
      </c>
      <c r="CA1912" t="s">
        <v>11541</v>
      </c>
      <c r="CB1912" t="s">
        <v>140</v>
      </c>
      <c r="CC1912" s="8" t="str">
        <f>"33966"</f>
        <v>33966</v>
      </c>
      <c r="CD1912" t="s">
        <v>362</v>
      </c>
      <c r="CE1912" t="s">
        <v>363</v>
      </c>
      <c r="CF1912" s="12">
        <v>14.03</v>
      </c>
      <c r="CG1912" s="12">
        <v>14.03</v>
      </c>
      <c r="CH1912" s="12">
        <v>21.05</v>
      </c>
      <c r="CI1912" s="12">
        <v>21.05</v>
      </c>
      <c r="CJ1912" t="s">
        <v>135</v>
      </c>
      <c r="CK1912" t="s">
        <v>17342</v>
      </c>
      <c r="CL1912" t="s">
        <v>17343</v>
      </c>
      <c r="CO1912" t="s">
        <v>132</v>
      </c>
      <c r="CP1912" t="s">
        <v>114</v>
      </c>
      <c r="CQ1912" t="s">
        <v>114</v>
      </c>
      <c r="CR1912" t="s">
        <v>136</v>
      </c>
      <c r="CS1912" t="s">
        <v>114</v>
      </c>
      <c r="CT1912" t="s">
        <v>136</v>
      </c>
      <c r="CU1912" t="s">
        <v>136</v>
      </c>
      <c r="CV1912" t="s">
        <v>17344</v>
      </c>
      <c r="CW1912" s="10" t="str">
        <f>"+13042434147"</f>
        <v>+13042434147</v>
      </c>
      <c r="CX1912" t="s">
        <v>17345</v>
      </c>
      <c r="CY1912" t="s">
        <v>132</v>
      </c>
      <c r="CZ1912" t="s">
        <v>137</v>
      </c>
      <c r="DA1912" t="s">
        <v>114</v>
      </c>
      <c r="DB1912" t="s">
        <v>114</v>
      </c>
      <c r="DC1912" t="s">
        <v>136</v>
      </c>
      <c r="DD1912" t="s">
        <v>114</v>
      </c>
    </row>
    <row r="1913" spans="1:113" ht="15" customHeight="1" x14ac:dyDescent="0.25">
      <c r="A1913" t="s">
        <v>11596</v>
      </c>
      <c r="B1913" t="s">
        <v>113</v>
      </c>
      <c r="C1913" s="1">
        <v>45117.668538773149</v>
      </c>
      <c r="D1913" s="1">
        <v>45237</v>
      </c>
      <c r="E1913" t="s">
        <v>114</v>
      </c>
      <c r="F1913" t="s">
        <v>6111</v>
      </c>
      <c r="G1913" t="str">
        <f>"49-3031.00"</f>
        <v>49-3031.00</v>
      </c>
      <c r="H1913" t="s">
        <v>3495</v>
      </c>
      <c r="I1913">
        <v>3</v>
      </c>
      <c r="K1913" s="1">
        <v>45200</v>
      </c>
      <c r="L1913" s="1">
        <v>45473</v>
      </c>
      <c r="O1913" t="s">
        <v>116</v>
      </c>
      <c r="P1913" t="s">
        <v>6112</v>
      </c>
      <c r="R1913" t="s">
        <v>6113</v>
      </c>
      <c r="T1913" t="s">
        <v>2960</v>
      </c>
      <c r="U1913" t="s">
        <v>558</v>
      </c>
      <c r="V1913" s="8" t="str">
        <f>"85009"</f>
        <v>85009</v>
      </c>
      <c r="W1913" t="s">
        <v>118</v>
      </c>
      <c r="Y1913" s="10">
        <v>13363241917</v>
      </c>
      <c r="AA1913">
        <v>485119</v>
      </c>
      <c r="AB1913" t="s">
        <v>6114</v>
      </c>
      <c r="AC1913" t="s">
        <v>6115</v>
      </c>
      <c r="AE1913" t="s">
        <v>1349</v>
      </c>
      <c r="AF1913" t="s">
        <v>6113</v>
      </c>
      <c r="AH1913" t="s">
        <v>2960</v>
      </c>
      <c r="AI1913" t="s">
        <v>558</v>
      </c>
      <c r="AJ1913" s="8" t="str">
        <f>"85009"</f>
        <v>85009</v>
      </c>
      <c r="AK1913" t="s">
        <v>118</v>
      </c>
      <c r="AM1913" s="10">
        <v>13363241917</v>
      </c>
      <c r="AO1913" t="s">
        <v>6116</v>
      </c>
      <c r="AP1913" t="s">
        <v>121</v>
      </c>
      <c r="AQ1913" t="s">
        <v>6117</v>
      </c>
      <c r="AR1913" t="s">
        <v>6118</v>
      </c>
      <c r="AS1913" t="s">
        <v>5940</v>
      </c>
      <c r="AT1913" t="s">
        <v>6119</v>
      </c>
      <c r="AU1913" t="s">
        <v>6120</v>
      </c>
      <c r="AV1913" t="s">
        <v>1220</v>
      </c>
      <c r="AW1913" t="s">
        <v>358</v>
      </c>
      <c r="AX1913" s="8" t="str">
        <f>"10007"</f>
        <v>10007</v>
      </c>
      <c r="AY1913" t="s">
        <v>118</v>
      </c>
      <c r="BA1913" s="10">
        <v>17183615999</v>
      </c>
      <c r="BC1913" t="s">
        <v>6121</v>
      </c>
      <c r="BD1913" t="s">
        <v>6122</v>
      </c>
      <c r="BE1913" t="s">
        <v>358</v>
      </c>
      <c r="BF1913" t="s">
        <v>6123</v>
      </c>
      <c r="BG1913" t="s">
        <v>558</v>
      </c>
      <c r="BH1913" s="1">
        <v>45109.833333333336</v>
      </c>
      <c r="BI1913">
        <v>40</v>
      </c>
      <c r="BJ1913">
        <v>0</v>
      </c>
      <c r="BK1913">
        <v>8</v>
      </c>
      <c r="BL1913">
        <v>8</v>
      </c>
      <c r="BM1913">
        <v>8</v>
      </c>
      <c r="BN1913">
        <v>8</v>
      </c>
      <c r="BO1913">
        <v>8</v>
      </c>
      <c r="BP1913">
        <v>0</v>
      </c>
      <c r="BQ1913" t="str">
        <f>"8:00 AM"</f>
        <v>8:00 AM</v>
      </c>
      <c r="BR1913" t="str">
        <f>"4:00 PM"</f>
        <v>4:00 PM</v>
      </c>
      <c r="BS1913" t="s">
        <v>131</v>
      </c>
      <c r="BT1913">
        <v>1</v>
      </c>
      <c r="BU1913">
        <v>0</v>
      </c>
      <c r="BV1913" t="s">
        <v>114</v>
      </c>
      <c r="BX1913" t="s">
        <v>131</v>
      </c>
      <c r="BY1913" t="s">
        <v>11597</v>
      </c>
      <c r="CA1913" t="s">
        <v>4731</v>
      </c>
      <c r="CB1913" t="s">
        <v>581</v>
      </c>
      <c r="CC1913" s="8" t="str">
        <f>"22079"</f>
        <v>22079</v>
      </c>
      <c r="CD1913" t="s">
        <v>2457</v>
      </c>
      <c r="CE1913" t="s">
        <v>11598</v>
      </c>
      <c r="CF1913" s="12">
        <v>29.15</v>
      </c>
      <c r="CG1913" s="12">
        <v>29.15</v>
      </c>
      <c r="CH1913" s="12">
        <v>43.73</v>
      </c>
      <c r="CI1913" s="12">
        <v>43.73</v>
      </c>
      <c r="CJ1913" t="s">
        <v>135</v>
      </c>
      <c r="CL1913" t="s">
        <v>6124</v>
      </c>
      <c r="CO1913" t="s">
        <v>132</v>
      </c>
      <c r="CP1913" t="s">
        <v>114</v>
      </c>
      <c r="CQ1913" t="s">
        <v>114</v>
      </c>
      <c r="CR1913" t="s">
        <v>136</v>
      </c>
      <c r="CS1913" t="s">
        <v>136</v>
      </c>
      <c r="CT1913" t="s">
        <v>136</v>
      </c>
      <c r="CU1913" t="s">
        <v>114</v>
      </c>
      <c r="CV1913" t="s">
        <v>11599</v>
      </c>
      <c r="CW1913" s="10" t="str">
        <f>"+15715226218"</f>
        <v>+15715226218</v>
      </c>
      <c r="CX1913" t="s">
        <v>11600</v>
      </c>
      <c r="CY1913" t="s">
        <v>6127</v>
      </c>
      <c r="CZ1913" t="s">
        <v>137</v>
      </c>
      <c r="DA1913" t="s">
        <v>114</v>
      </c>
      <c r="DB1913" t="s">
        <v>114</v>
      </c>
      <c r="DC1913" t="s">
        <v>136</v>
      </c>
      <c r="DD1913" t="s">
        <v>114</v>
      </c>
    </row>
    <row r="1914" spans="1:113" ht="15" customHeight="1" x14ac:dyDescent="0.25">
      <c r="A1914" t="s">
        <v>17336</v>
      </c>
      <c r="B1914" t="s">
        <v>113</v>
      </c>
      <c r="C1914" s="1">
        <v>45202.83397511574</v>
      </c>
      <c r="D1914" s="1">
        <v>45236</v>
      </c>
      <c r="E1914" t="s">
        <v>132</v>
      </c>
      <c r="F1914" t="s">
        <v>1230</v>
      </c>
      <c r="G1914" t="str">
        <f>"47-3016.00"</f>
        <v>47-3016.00</v>
      </c>
      <c r="H1914" t="s">
        <v>370</v>
      </c>
      <c r="I1914">
        <v>35</v>
      </c>
      <c r="K1914" s="1">
        <v>45292</v>
      </c>
      <c r="L1914" s="1">
        <v>45657</v>
      </c>
      <c r="O1914" t="s">
        <v>184</v>
      </c>
      <c r="P1914" t="s">
        <v>1231</v>
      </c>
      <c r="R1914" t="s">
        <v>1232</v>
      </c>
      <c r="T1914" t="s">
        <v>1233</v>
      </c>
      <c r="U1914" t="s">
        <v>140</v>
      </c>
      <c r="V1914" s="8" t="str">
        <f>"32404"</f>
        <v>32404</v>
      </c>
      <c r="W1914" t="s">
        <v>118</v>
      </c>
      <c r="Y1914" s="10">
        <v>14235670906</v>
      </c>
      <c r="AA1914">
        <v>23816</v>
      </c>
      <c r="AB1914" t="s">
        <v>1234</v>
      </c>
      <c r="AC1914" t="s">
        <v>1235</v>
      </c>
      <c r="AE1914" t="s">
        <v>629</v>
      </c>
      <c r="AF1914" t="s">
        <v>1232</v>
      </c>
      <c r="AH1914" t="s">
        <v>1233</v>
      </c>
      <c r="AI1914" t="s">
        <v>140</v>
      </c>
      <c r="AJ1914" s="8" t="str">
        <f>"32404"</f>
        <v>32404</v>
      </c>
      <c r="AK1914" t="s">
        <v>118</v>
      </c>
      <c r="AM1914" s="10">
        <v>14235670906</v>
      </c>
      <c r="AO1914" t="s">
        <v>1236</v>
      </c>
      <c r="AP1914" t="s">
        <v>248</v>
      </c>
      <c r="AQ1914" t="s">
        <v>1237</v>
      </c>
      <c r="AR1914" t="s">
        <v>763</v>
      </c>
      <c r="AT1914" t="s">
        <v>1253</v>
      </c>
      <c r="AU1914" t="s">
        <v>852</v>
      </c>
      <c r="AV1914" t="s">
        <v>853</v>
      </c>
      <c r="AW1914" t="s">
        <v>854</v>
      </c>
      <c r="AX1914" s="8" t="str">
        <f>"83814"</f>
        <v>83814</v>
      </c>
      <c r="AY1914" t="s">
        <v>118</v>
      </c>
      <c r="BA1914" s="10">
        <v>12087772654</v>
      </c>
      <c r="BC1914" t="s">
        <v>1254</v>
      </c>
      <c r="BD1914" t="s">
        <v>856</v>
      </c>
      <c r="BG1914" t="s">
        <v>333</v>
      </c>
      <c r="BH1914" s="1">
        <v>45201.833333333336</v>
      </c>
      <c r="BI1914">
        <v>40</v>
      </c>
      <c r="BJ1914">
        <v>0</v>
      </c>
      <c r="BK1914">
        <v>8</v>
      </c>
      <c r="BL1914">
        <v>8</v>
      </c>
      <c r="BM1914">
        <v>8</v>
      </c>
      <c r="BN1914">
        <v>8</v>
      </c>
      <c r="BO1914">
        <v>8</v>
      </c>
      <c r="BP1914">
        <v>0</v>
      </c>
      <c r="BQ1914" t="str">
        <f>"8:00 AM"</f>
        <v>8:00 AM</v>
      </c>
      <c r="BR1914" t="str">
        <f>"5:00 PM"</f>
        <v>5:00 PM</v>
      </c>
      <c r="BS1914" t="s">
        <v>131</v>
      </c>
      <c r="BT1914">
        <v>0</v>
      </c>
      <c r="BU1914">
        <v>0</v>
      </c>
      <c r="BV1914" t="s">
        <v>114</v>
      </c>
      <c r="BX1914" t="s">
        <v>17337</v>
      </c>
      <c r="BY1914" t="s">
        <v>17338</v>
      </c>
      <c r="CA1914" t="s">
        <v>5514</v>
      </c>
      <c r="CB1914" t="s">
        <v>333</v>
      </c>
      <c r="CC1914" s="8" t="str">
        <f>"70458"</f>
        <v>70458</v>
      </c>
      <c r="CD1914" t="s">
        <v>340</v>
      </c>
      <c r="CE1914" t="s">
        <v>341</v>
      </c>
      <c r="CF1914" s="12">
        <v>18.8</v>
      </c>
      <c r="CG1914" s="12">
        <v>22</v>
      </c>
      <c r="CH1914" s="12">
        <v>28.2</v>
      </c>
      <c r="CI1914" s="12">
        <v>33</v>
      </c>
      <c r="CJ1914" t="s">
        <v>135</v>
      </c>
      <c r="CK1914" t="s">
        <v>1244</v>
      </c>
      <c r="CL1914" t="s">
        <v>17339</v>
      </c>
      <c r="CO1914" t="s">
        <v>132</v>
      </c>
      <c r="CP1914" t="s">
        <v>136</v>
      </c>
      <c r="CQ1914" t="s">
        <v>136</v>
      </c>
      <c r="CR1914" t="s">
        <v>136</v>
      </c>
      <c r="CS1914" t="s">
        <v>136</v>
      </c>
      <c r="CT1914" t="s">
        <v>136</v>
      </c>
      <c r="CU1914" t="s">
        <v>114</v>
      </c>
      <c r="CV1914" t="s">
        <v>1040</v>
      </c>
      <c r="CW1914" s="10" t="str">
        <f>"+14235670906"</f>
        <v>+14235670906</v>
      </c>
      <c r="CX1914" t="s">
        <v>1236</v>
      </c>
      <c r="CY1914" t="s">
        <v>132</v>
      </c>
      <c r="CZ1914" t="s">
        <v>137</v>
      </c>
      <c r="DA1914" t="s">
        <v>114</v>
      </c>
      <c r="DB1914" t="s">
        <v>114</v>
      </c>
      <c r="DC1914" t="s">
        <v>136</v>
      </c>
      <c r="DD1914" t="s">
        <v>114</v>
      </c>
    </row>
    <row r="1915" spans="1:113" ht="15" customHeight="1" x14ac:dyDescent="0.25">
      <c r="A1915" t="s">
        <v>14385</v>
      </c>
      <c r="B1915" t="s">
        <v>113</v>
      </c>
      <c r="C1915" s="1">
        <v>45167.758092592594</v>
      </c>
      <c r="D1915" s="1">
        <v>45236</v>
      </c>
      <c r="E1915" t="s">
        <v>136</v>
      </c>
      <c r="F1915" t="s">
        <v>1743</v>
      </c>
      <c r="G1915" t="str">
        <f>"37-3012.00"</f>
        <v>37-3012.00</v>
      </c>
      <c r="H1915" t="s">
        <v>14386</v>
      </c>
      <c r="I1915">
        <v>1</v>
      </c>
      <c r="K1915" s="1">
        <v>45242</v>
      </c>
      <c r="L1915" s="1">
        <v>45515</v>
      </c>
      <c r="O1915" t="s">
        <v>116</v>
      </c>
      <c r="P1915" t="s">
        <v>14387</v>
      </c>
      <c r="R1915" t="s">
        <v>14388</v>
      </c>
      <c r="T1915" t="s">
        <v>845</v>
      </c>
      <c r="U1915" t="s">
        <v>479</v>
      </c>
      <c r="V1915" s="8" t="str">
        <f>"97502"</f>
        <v>97502</v>
      </c>
      <c r="W1915" t="s">
        <v>118</v>
      </c>
      <c r="Y1915" s="10">
        <v>15412616913</v>
      </c>
      <c r="AA1915">
        <v>5617</v>
      </c>
      <c r="AB1915" t="s">
        <v>5737</v>
      </c>
      <c r="AC1915" t="s">
        <v>144</v>
      </c>
      <c r="AD1915" t="s">
        <v>5738</v>
      </c>
      <c r="AE1915" t="s">
        <v>1836</v>
      </c>
      <c r="AF1915" t="s">
        <v>14388</v>
      </c>
      <c r="AH1915" t="s">
        <v>845</v>
      </c>
      <c r="AI1915" t="s">
        <v>479</v>
      </c>
      <c r="AJ1915" s="8" t="str">
        <f>"97502"</f>
        <v>97502</v>
      </c>
      <c r="AK1915" t="s">
        <v>118</v>
      </c>
      <c r="AM1915" s="10">
        <v>15412616913</v>
      </c>
      <c r="AO1915" t="s">
        <v>5740</v>
      </c>
      <c r="AP1915" t="s">
        <v>121</v>
      </c>
      <c r="AQ1915" t="s">
        <v>8716</v>
      </c>
      <c r="AR1915" t="s">
        <v>1963</v>
      </c>
      <c r="AS1915" t="s">
        <v>8717</v>
      </c>
      <c r="AT1915" t="s">
        <v>13037</v>
      </c>
      <c r="AV1915" t="s">
        <v>8719</v>
      </c>
      <c r="AW1915" t="s">
        <v>479</v>
      </c>
      <c r="AX1915" s="8" t="str">
        <f>"97035"</f>
        <v>97035</v>
      </c>
      <c r="AY1915" t="s">
        <v>118</v>
      </c>
      <c r="BA1915" s="10">
        <v>15032102249</v>
      </c>
      <c r="BC1915" t="s">
        <v>8720</v>
      </c>
      <c r="BD1915" t="s">
        <v>8721</v>
      </c>
      <c r="BE1915" t="s">
        <v>479</v>
      </c>
      <c r="BF1915" t="s">
        <v>8722</v>
      </c>
      <c r="BG1915" t="s">
        <v>479</v>
      </c>
      <c r="BH1915" s="1">
        <v>45166.833333333336</v>
      </c>
      <c r="BI1915">
        <v>40</v>
      </c>
      <c r="BJ1915">
        <v>0</v>
      </c>
      <c r="BK1915">
        <v>8</v>
      </c>
      <c r="BL1915">
        <v>8</v>
      </c>
      <c r="BM1915">
        <v>8</v>
      </c>
      <c r="BN1915">
        <v>8</v>
      </c>
      <c r="BO1915">
        <v>8</v>
      </c>
      <c r="BP1915">
        <v>0</v>
      </c>
      <c r="BQ1915" t="str">
        <f>"7:00 AM"</f>
        <v>7:00 AM</v>
      </c>
      <c r="BR1915" t="str">
        <f>"3:00 PM"</f>
        <v>3:00 PM</v>
      </c>
      <c r="BS1915" t="s">
        <v>131</v>
      </c>
      <c r="BT1915">
        <v>0</v>
      </c>
      <c r="BU1915">
        <v>3</v>
      </c>
      <c r="BV1915" t="s">
        <v>114</v>
      </c>
      <c r="BX1915" s="2" t="s">
        <v>14389</v>
      </c>
      <c r="BY1915" t="s">
        <v>14388</v>
      </c>
      <c r="CA1915" t="s">
        <v>845</v>
      </c>
      <c r="CB1915" t="s">
        <v>479</v>
      </c>
      <c r="CC1915" s="8" t="str">
        <f>"97502"</f>
        <v>97502</v>
      </c>
      <c r="CD1915" t="s">
        <v>859</v>
      </c>
      <c r="CE1915" t="s">
        <v>860</v>
      </c>
      <c r="CF1915" s="12">
        <v>24.74</v>
      </c>
      <c r="CH1915" s="12">
        <v>37.11</v>
      </c>
      <c r="CJ1915" t="s">
        <v>135</v>
      </c>
      <c r="CL1915" t="s">
        <v>14390</v>
      </c>
      <c r="CO1915" t="s">
        <v>132</v>
      </c>
      <c r="CP1915" t="s">
        <v>136</v>
      </c>
      <c r="CQ1915" t="s">
        <v>114</v>
      </c>
      <c r="CR1915" t="s">
        <v>136</v>
      </c>
      <c r="CS1915" t="s">
        <v>114</v>
      </c>
      <c r="CT1915" t="s">
        <v>136</v>
      </c>
      <c r="CU1915" t="s">
        <v>136</v>
      </c>
      <c r="CV1915" t="s">
        <v>14391</v>
      </c>
      <c r="CW1915" s="10" t="str">
        <f>"+15412616913"</f>
        <v>+15412616913</v>
      </c>
      <c r="CX1915" t="s">
        <v>5746</v>
      </c>
      <c r="CY1915" t="s">
        <v>132</v>
      </c>
      <c r="CZ1915" t="s">
        <v>137</v>
      </c>
      <c r="DA1915" t="s">
        <v>114</v>
      </c>
      <c r="DB1915" t="s">
        <v>114</v>
      </c>
      <c r="DC1915" t="s">
        <v>136</v>
      </c>
      <c r="DD1915" t="s">
        <v>114</v>
      </c>
    </row>
    <row r="1916" spans="1:113" ht="15" customHeight="1" x14ac:dyDescent="0.25">
      <c r="A1916" t="s">
        <v>17245</v>
      </c>
      <c r="B1916" t="s">
        <v>113</v>
      </c>
      <c r="C1916" s="1">
        <v>45159.612754629627</v>
      </c>
      <c r="D1916" s="1">
        <v>45236</v>
      </c>
      <c r="E1916" t="s">
        <v>136</v>
      </c>
      <c r="F1916" t="s">
        <v>17246</v>
      </c>
      <c r="G1916" t="str">
        <f>"47-2061.00"</f>
        <v>47-2061.00</v>
      </c>
      <c r="H1916" t="s">
        <v>570</v>
      </c>
      <c r="I1916">
        <v>24</v>
      </c>
      <c r="K1916" s="1">
        <v>45240</v>
      </c>
      <c r="L1916" s="1">
        <v>45537</v>
      </c>
      <c r="O1916" t="s">
        <v>3248</v>
      </c>
      <c r="P1916" t="s">
        <v>17247</v>
      </c>
      <c r="Q1916" t="s">
        <v>17248</v>
      </c>
      <c r="R1916" t="s">
        <v>17249</v>
      </c>
      <c r="S1916" t="s">
        <v>17250</v>
      </c>
      <c r="T1916" t="s">
        <v>17251</v>
      </c>
      <c r="U1916" t="s">
        <v>550</v>
      </c>
      <c r="V1916" s="8" t="str">
        <f>"30047"</f>
        <v>30047</v>
      </c>
      <c r="W1916" t="s">
        <v>118</v>
      </c>
      <c r="X1916" t="s">
        <v>17252</v>
      </c>
      <c r="Y1916" s="10">
        <v>14086673045</v>
      </c>
      <c r="AA1916">
        <v>56131</v>
      </c>
      <c r="AB1916" t="s">
        <v>17253</v>
      </c>
      <c r="AC1916" t="s">
        <v>119</v>
      </c>
      <c r="AD1916" t="s">
        <v>9987</v>
      </c>
      <c r="AE1916" t="s">
        <v>6039</v>
      </c>
      <c r="AF1916" t="s">
        <v>17254</v>
      </c>
      <c r="AG1916" t="s">
        <v>17250</v>
      </c>
      <c r="AH1916" t="s">
        <v>6035</v>
      </c>
      <c r="AI1916" t="s">
        <v>550</v>
      </c>
      <c r="AJ1916" s="8" t="str">
        <f>"30047"</f>
        <v>30047</v>
      </c>
      <c r="AK1916" t="s">
        <v>118</v>
      </c>
      <c r="AL1916" t="s">
        <v>17255</v>
      </c>
      <c r="AM1916" s="10">
        <v>14705193007</v>
      </c>
      <c r="AO1916" t="s">
        <v>17256</v>
      </c>
      <c r="AX1916" s="8" t="str">
        <f>""</f>
        <v/>
      </c>
      <c r="BG1916" t="s">
        <v>550</v>
      </c>
      <c r="BH1916" s="1">
        <v>45109.833333333336</v>
      </c>
      <c r="BI1916">
        <v>35</v>
      </c>
      <c r="BJ1916">
        <v>0</v>
      </c>
      <c r="BK1916">
        <v>7</v>
      </c>
      <c r="BL1916">
        <v>7</v>
      </c>
      <c r="BM1916">
        <v>7</v>
      </c>
      <c r="BN1916">
        <v>7</v>
      </c>
      <c r="BO1916">
        <v>7</v>
      </c>
      <c r="BP1916">
        <v>0</v>
      </c>
      <c r="BQ1916" t="str">
        <f>"8:00 AM"</f>
        <v>8:00 AM</v>
      </c>
      <c r="BR1916" t="str">
        <f>"4:00 PM"</f>
        <v>4:00 PM</v>
      </c>
      <c r="BS1916" t="s">
        <v>147</v>
      </c>
      <c r="BT1916">
        <v>3</v>
      </c>
      <c r="BU1916">
        <v>24</v>
      </c>
      <c r="BV1916" t="s">
        <v>114</v>
      </c>
      <c r="BX1916" t="s">
        <v>17257</v>
      </c>
      <c r="BY1916" t="s">
        <v>17249</v>
      </c>
      <c r="BZ1916" t="s">
        <v>17250</v>
      </c>
      <c r="CA1916" t="s">
        <v>17251</v>
      </c>
      <c r="CB1916" t="s">
        <v>550</v>
      </c>
      <c r="CC1916" s="8" t="str">
        <f>"30047"</f>
        <v>30047</v>
      </c>
      <c r="CD1916" t="s">
        <v>4904</v>
      </c>
      <c r="CE1916" t="s">
        <v>552</v>
      </c>
      <c r="CF1916" s="12">
        <v>17</v>
      </c>
      <c r="CG1916" s="12">
        <v>19</v>
      </c>
      <c r="CJ1916" t="s">
        <v>135</v>
      </c>
      <c r="CL1916" t="s">
        <v>17258</v>
      </c>
      <c r="CO1916" t="s">
        <v>132</v>
      </c>
      <c r="CP1916" t="s">
        <v>114</v>
      </c>
      <c r="CQ1916" t="s">
        <v>136</v>
      </c>
      <c r="CR1916" t="s">
        <v>114</v>
      </c>
      <c r="CS1916" t="s">
        <v>136</v>
      </c>
      <c r="CT1916" t="s">
        <v>136</v>
      </c>
      <c r="CU1916" t="s">
        <v>114</v>
      </c>
      <c r="CV1916" t="s">
        <v>17259</v>
      </c>
      <c r="CW1916" s="10" t="str">
        <f>"+14086673045"</f>
        <v>+14086673045</v>
      </c>
      <c r="CX1916" t="s">
        <v>17256</v>
      </c>
      <c r="CY1916" t="s">
        <v>17260</v>
      </c>
      <c r="CZ1916" t="s">
        <v>137</v>
      </c>
      <c r="DA1916" t="s">
        <v>114</v>
      </c>
      <c r="DB1916" t="s">
        <v>114</v>
      </c>
      <c r="DC1916" t="s">
        <v>136</v>
      </c>
      <c r="DD1916" t="s">
        <v>114</v>
      </c>
    </row>
    <row r="1917" spans="1:113" ht="15" customHeight="1" x14ac:dyDescent="0.25">
      <c r="A1917" t="s">
        <v>20267</v>
      </c>
      <c r="B1917" t="s">
        <v>113</v>
      </c>
      <c r="C1917" s="1">
        <v>45150.445964583334</v>
      </c>
      <c r="D1917" s="1">
        <v>45236</v>
      </c>
      <c r="E1917" t="s">
        <v>114</v>
      </c>
      <c r="F1917" t="s">
        <v>20268</v>
      </c>
      <c r="G1917" t="str">
        <f>"47-3012.00"</f>
        <v>47-3012.00</v>
      </c>
      <c r="H1917" t="s">
        <v>979</v>
      </c>
      <c r="I1917">
        <v>1</v>
      </c>
      <c r="K1917" s="1">
        <v>45231</v>
      </c>
      <c r="L1917" s="1">
        <v>46082</v>
      </c>
      <c r="O1917" t="s">
        <v>184</v>
      </c>
      <c r="P1917" t="s">
        <v>20269</v>
      </c>
      <c r="R1917" t="s">
        <v>20270</v>
      </c>
      <c r="T1917" t="s">
        <v>20271</v>
      </c>
      <c r="U1917" t="s">
        <v>903</v>
      </c>
      <c r="V1917" s="8" t="str">
        <f>"04474"</f>
        <v>04474</v>
      </c>
      <c r="W1917" t="s">
        <v>118</v>
      </c>
      <c r="Y1917" s="10">
        <v>12074784079</v>
      </c>
      <c r="AA1917">
        <v>236115</v>
      </c>
      <c r="AB1917" t="s">
        <v>20272</v>
      </c>
      <c r="AC1917" t="s">
        <v>3351</v>
      </c>
      <c r="AD1917" t="s">
        <v>20273</v>
      </c>
      <c r="AE1917" t="s">
        <v>9834</v>
      </c>
      <c r="AF1917" t="s">
        <v>20270</v>
      </c>
      <c r="AH1917" t="s">
        <v>20271</v>
      </c>
      <c r="AI1917" t="s">
        <v>903</v>
      </c>
      <c r="AJ1917" s="8" t="str">
        <f>"04474"</f>
        <v>04474</v>
      </c>
      <c r="AK1917" t="s">
        <v>118</v>
      </c>
      <c r="AM1917" s="10">
        <v>12074784079</v>
      </c>
      <c r="AO1917" t="s">
        <v>20274</v>
      </c>
      <c r="AX1917" s="8" t="str">
        <f>""</f>
        <v/>
      </c>
      <c r="BG1917" t="s">
        <v>903</v>
      </c>
      <c r="BH1917" s="1">
        <v>45120.833333333336</v>
      </c>
      <c r="BI1917">
        <v>40</v>
      </c>
      <c r="BJ1917">
        <v>0</v>
      </c>
      <c r="BK1917">
        <v>8</v>
      </c>
      <c r="BL1917">
        <v>8</v>
      </c>
      <c r="BM1917">
        <v>8</v>
      </c>
      <c r="BN1917">
        <v>8</v>
      </c>
      <c r="BO1917">
        <v>8</v>
      </c>
      <c r="BP1917">
        <v>0</v>
      </c>
      <c r="BQ1917" t="str">
        <f>"7:00 AM"</f>
        <v>7:00 AM</v>
      </c>
      <c r="BR1917" t="str">
        <f>"3:00 PM"</f>
        <v>3:00 PM</v>
      </c>
      <c r="BS1917" t="s">
        <v>147</v>
      </c>
      <c r="BT1917">
        <v>0</v>
      </c>
      <c r="BU1917">
        <v>12</v>
      </c>
      <c r="BV1917" t="s">
        <v>114</v>
      </c>
      <c r="BX1917" s="2" t="s">
        <v>20275</v>
      </c>
      <c r="BY1917" t="s">
        <v>20270</v>
      </c>
      <c r="CA1917" t="s">
        <v>20271</v>
      </c>
      <c r="CB1917" t="s">
        <v>903</v>
      </c>
      <c r="CC1917" s="8" t="str">
        <f>"04474"</f>
        <v>04474</v>
      </c>
      <c r="CD1917" t="s">
        <v>20276</v>
      </c>
      <c r="CE1917" t="s">
        <v>20277</v>
      </c>
      <c r="CF1917" s="12">
        <v>16</v>
      </c>
      <c r="CG1917" s="12">
        <v>18</v>
      </c>
      <c r="CH1917" s="12">
        <v>24</v>
      </c>
      <c r="CI1917" s="12">
        <v>27</v>
      </c>
      <c r="CJ1917" t="s">
        <v>135</v>
      </c>
      <c r="CL1917" t="s">
        <v>20278</v>
      </c>
      <c r="CO1917" t="s">
        <v>132</v>
      </c>
      <c r="CP1917" t="s">
        <v>136</v>
      </c>
      <c r="CQ1917" t="s">
        <v>114</v>
      </c>
      <c r="CR1917" t="s">
        <v>136</v>
      </c>
      <c r="CS1917" t="s">
        <v>136</v>
      </c>
      <c r="CT1917" t="s">
        <v>136</v>
      </c>
      <c r="CU1917" t="s">
        <v>114</v>
      </c>
      <c r="CV1917" t="s">
        <v>20279</v>
      </c>
      <c r="CW1917" s="10" t="str">
        <f>"+12074784079"</f>
        <v>+12074784079</v>
      </c>
      <c r="CX1917" t="s">
        <v>20274</v>
      </c>
      <c r="CY1917" t="s">
        <v>132</v>
      </c>
      <c r="CZ1917" t="s">
        <v>137</v>
      </c>
      <c r="DA1917" t="s">
        <v>114</v>
      </c>
      <c r="DB1917" t="s">
        <v>114</v>
      </c>
      <c r="DC1917" t="s">
        <v>136</v>
      </c>
      <c r="DD1917" t="s">
        <v>114</v>
      </c>
    </row>
    <row r="1918" spans="1:113" ht="15" customHeight="1" x14ac:dyDescent="0.25">
      <c r="A1918" t="s">
        <v>20292</v>
      </c>
      <c r="B1918" t="s">
        <v>113</v>
      </c>
      <c r="C1918" s="1">
        <v>45141.701190509259</v>
      </c>
      <c r="D1918" s="1">
        <v>45236</v>
      </c>
      <c r="E1918" t="s">
        <v>114</v>
      </c>
      <c r="F1918" t="s">
        <v>153</v>
      </c>
      <c r="G1918" t="str">
        <f>"35-2014.00"</f>
        <v>35-2014.00</v>
      </c>
      <c r="H1918" t="s">
        <v>154</v>
      </c>
      <c r="I1918">
        <v>4</v>
      </c>
      <c r="K1918" s="1">
        <v>45216</v>
      </c>
      <c r="L1918" s="1">
        <v>45901</v>
      </c>
      <c r="O1918" t="s">
        <v>184</v>
      </c>
      <c r="P1918" t="s">
        <v>10369</v>
      </c>
      <c r="R1918" t="s">
        <v>10370</v>
      </c>
      <c r="T1918" t="s">
        <v>10371</v>
      </c>
      <c r="U1918" t="s">
        <v>984</v>
      </c>
      <c r="V1918" s="8" t="str">
        <f>"64011"</f>
        <v>64011</v>
      </c>
      <c r="W1918" t="s">
        <v>118</v>
      </c>
      <c r="Y1918" s="10">
        <v>18167864848</v>
      </c>
      <c r="AA1918">
        <v>447110</v>
      </c>
      <c r="AB1918" t="s">
        <v>10372</v>
      </c>
      <c r="AC1918" t="s">
        <v>10373</v>
      </c>
      <c r="AE1918" t="s">
        <v>743</v>
      </c>
      <c r="AF1918" t="s">
        <v>10370</v>
      </c>
      <c r="AH1918" t="s">
        <v>10371</v>
      </c>
      <c r="AI1918" t="s">
        <v>984</v>
      </c>
      <c r="AJ1918" s="8" t="str">
        <f>"64011"</f>
        <v>64011</v>
      </c>
      <c r="AK1918" t="s">
        <v>118</v>
      </c>
      <c r="AM1918" s="10" t="s">
        <v>10374</v>
      </c>
      <c r="AO1918" t="s">
        <v>10375</v>
      </c>
      <c r="AP1918" t="s">
        <v>121</v>
      </c>
      <c r="AQ1918" t="s">
        <v>3935</v>
      </c>
      <c r="AR1918" t="s">
        <v>3936</v>
      </c>
      <c r="AS1918" t="s">
        <v>3937</v>
      </c>
      <c r="AT1918" t="s">
        <v>3938</v>
      </c>
      <c r="AU1918" t="s">
        <v>3939</v>
      </c>
      <c r="AV1918" t="s">
        <v>3940</v>
      </c>
      <c r="AW1918" t="s">
        <v>2262</v>
      </c>
      <c r="AX1918" s="8" t="str">
        <f>"06510"</f>
        <v>06510</v>
      </c>
      <c r="AY1918" t="s">
        <v>118</v>
      </c>
      <c r="BA1918" s="10">
        <v>19198270660</v>
      </c>
      <c r="BC1918" t="s">
        <v>3941</v>
      </c>
      <c r="BD1918" t="s">
        <v>3942</v>
      </c>
      <c r="BE1918" t="s">
        <v>375</v>
      </c>
      <c r="BF1918" t="s">
        <v>3943</v>
      </c>
      <c r="BG1918" t="s">
        <v>1734</v>
      </c>
      <c r="BH1918" s="1">
        <v>45140.833333333336</v>
      </c>
      <c r="BI1918">
        <v>48</v>
      </c>
      <c r="BJ1918">
        <v>4</v>
      </c>
      <c r="BK1918">
        <v>8</v>
      </c>
      <c r="BL1918">
        <v>8</v>
      </c>
      <c r="BM1918">
        <v>8</v>
      </c>
      <c r="BN1918">
        <v>8</v>
      </c>
      <c r="BO1918">
        <v>8</v>
      </c>
      <c r="BP1918">
        <v>4</v>
      </c>
      <c r="BQ1918" t="str">
        <f>"9:00 AM"</f>
        <v>9:00 AM</v>
      </c>
      <c r="BR1918" t="str">
        <f>"5:00 PM"</f>
        <v>5:00 PM</v>
      </c>
      <c r="BS1918" t="s">
        <v>147</v>
      </c>
      <c r="BT1918">
        <v>0</v>
      </c>
      <c r="BU1918">
        <v>12</v>
      </c>
      <c r="BV1918" t="s">
        <v>114</v>
      </c>
      <c r="BX1918" t="s">
        <v>20293</v>
      </c>
      <c r="BY1918" t="s">
        <v>11935</v>
      </c>
      <c r="CA1918" t="s">
        <v>11936</v>
      </c>
      <c r="CB1918" t="s">
        <v>1734</v>
      </c>
      <c r="CC1918" s="8" t="str">
        <f>"67144"</f>
        <v>67144</v>
      </c>
      <c r="CD1918" t="s">
        <v>4888</v>
      </c>
      <c r="CE1918" t="s">
        <v>4876</v>
      </c>
      <c r="CF1918" s="12">
        <v>12.85</v>
      </c>
      <c r="CG1918" s="12">
        <v>12.85</v>
      </c>
      <c r="CH1918" s="12">
        <v>19.28</v>
      </c>
      <c r="CI1918" s="12">
        <v>19.28</v>
      </c>
      <c r="CJ1918" t="s">
        <v>135</v>
      </c>
      <c r="CL1918" t="s">
        <v>20294</v>
      </c>
      <c r="CO1918" t="s">
        <v>132</v>
      </c>
      <c r="CP1918" t="s">
        <v>136</v>
      </c>
      <c r="CQ1918" t="s">
        <v>114</v>
      </c>
      <c r="CR1918" t="s">
        <v>136</v>
      </c>
      <c r="CS1918" t="s">
        <v>114</v>
      </c>
      <c r="CT1918" t="s">
        <v>114</v>
      </c>
      <c r="CU1918" t="s">
        <v>114</v>
      </c>
      <c r="CV1918" t="s">
        <v>5906</v>
      </c>
      <c r="CW1918" s="10" t="str">
        <f>"816 625 5539"</f>
        <v>816 625 5539</v>
      </c>
      <c r="CX1918" t="s">
        <v>10375</v>
      </c>
      <c r="CY1918" t="s">
        <v>132</v>
      </c>
      <c r="CZ1918" t="s">
        <v>137</v>
      </c>
      <c r="DA1918" t="s">
        <v>114</v>
      </c>
      <c r="DB1918" t="s">
        <v>114</v>
      </c>
      <c r="DC1918" t="s">
        <v>136</v>
      </c>
      <c r="DD1918" t="s">
        <v>114</v>
      </c>
    </row>
    <row r="1919" spans="1:113" ht="15" customHeight="1" x14ac:dyDescent="0.25">
      <c r="A1919" t="s">
        <v>6110</v>
      </c>
      <c r="B1919" t="s">
        <v>113</v>
      </c>
      <c r="C1919" s="1">
        <v>45189.679249189816</v>
      </c>
      <c r="D1919" s="1">
        <v>45233</v>
      </c>
      <c r="E1919" t="s">
        <v>132</v>
      </c>
      <c r="F1919" t="s">
        <v>6111</v>
      </c>
      <c r="G1919" t="str">
        <f>"49-3031.00"</f>
        <v>49-3031.00</v>
      </c>
      <c r="H1919" t="s">
        <v>3495</v>
      </c>
      <c r="I1919">
        <v>3</v>
      </c>
      <c r="K1919" s="1">
        <v>45264</v>
      </c>
      <c r="L1919" s="1">
        <v>45473</v>
      </c>
      <c r="O1919" t="s">
        <v>116</v>
      </c>
      <c r="P1919" t="s">
        <v>6112</v>
      </c>
      <c r="R1919" t="s">
        <v>6113</v>
      </c>
      <c r="T1919" t="s">
        <v>2960</v>
      </c>
      <c r="U1919" t="s">
        <v>558</v>
      </c>
      <c r="V1919" s="8" t="str">
        <f>"85009"</f>
        <v>85009</v>
      </c>
      <c r="W1919" t="s">
        <v>118</v>
      </c>
      <c r="Y1919" s="10">
        <v>13363241917</v>
      </c>
      <c r="AA1919">
        <v>485119</v>
      </c>
      <c r="AB1919" t="s">
        <v>6114</v>
      </c>
      <c r="AC1919" t="s">
        <v>6115</v>
      </c>
      <c r="AE1919" t="s">
        <v>1349</v>
      </c>
      <c r="AF1919" t="s">
        <v>6113</v>
      </c>
      <c r="AH1919" t="s">
        <v>2960</v>
      </c>
      <c r="AI1919" t="s">
        <v>558</v>
      </c>
      <c r="AJ1919" s="8" t="str">
        <f>"85009"</f>
        <v>85009</v>
      </c>
      <c r="AK1919" t="s">
        <v>118</v>
      </c>
      <c r="AM1919" s="10">
        <v>13363241917</v>
      </c>
      <c r="AO1919" t="s">
        <v>6116</v>
      </c>
      <c r="AP1919" t="s">
        <v>121</v>
      </c>
      <c r="AQ1919" t="s">
        <v>6117</v>
      </c>
      <c r="AR1919" t="s">
        <v>6118</v>
      </c>
      <c r="AS1919" t="s">
        <v>5940</v>
      </c>
      <c r="AT1919" t="s">
        <v>6119</v>
      </c>
      <c r="AU1919" t="s">
        <v>6120</v>
      </c>
      <c r="AV1919" t="s">
        <v>1220</v>
      </c>
      <c r="AW1919" t="s">
        <v>358</v>
      </c>
      <c r="AX1919" s="8" t="str">
        <f>"10007"</f>
        <v>10007</v>
      </c>
      <c r="AY1919" t="s">
        <v>118</v>
      </c>
      <c r="BA1919" s="10">
        <v>17183615999</v>
      </c>
      <c r="BC1919" t="s">
        <v>6121</v>
      </c>
      <c r="BD1919" t="s">
        <v>6122</v>
      </c>
      <c r="BE1919" t="s">
        <v>358</v>
      </c>
      <c r="BF1919" t="s">
        <v>6123</v>
      </c>
      <c r="BG1919" t="s">
        <v>558</v>
      </c>
      <c r="BH1919" s="1">
        <v>45116.833333333336</v>
      </c>
      <c r="BI1919">
        <v>40</v>
      </c>
      <c r="BJ1919">
        <v>0</v>
      </c>
      <c r="BK1919">
        <v>8</v>
      </c>
      <c r="BL1919">
        <v>8</v>
      </c>
      <c r="BM1919">
        <v>8</v>
      </c>
      <c r="BN1919">
        <v>8</v>
      </c>
      <c r="BO1919">
        <v>8</v>
      </c>
      <c r="BP1919">
        <v>0</v>
      </c>
      <c r="BQ1919" t="str">
        <f>"8:00 AM"</f>
        <v>8:00 AM</v>
      </c>
      <c r="BR1919" t="str">
        <f>"4:00 PM"</f>
        <v>4:00 PM</v>
      </c>
      <c r="BS1919" t="s">
        <v>131</v>
      </c>
      <c r="BT1919">
        <v>1</v>
      </c>
      <c r="BU1919">
        <v>0</v>
      </c>
      <c r="BV1919" t="s">
        <v>114</v>
      </c>
      <c r="BX1919" t="s">
        <v>131</v>
      </c>
      <c r="BY1919" t="s">
        <v>6113</v>
      </c>
      <c r="CA1919" t="s">
        <v>2960</v>
      </c>
      <c r="CB1919" t="s">
        <v>558</v>
      </c>
      <c r="CC1919" s="8" t="str">
        <f>"85009"</f>
        <v>85009</v>
      </c>
      <c r="CD1919" t="s">
        <v>1391</v>
      </c>
      <c r="CE1919" t="s">
        <v>565</v>
      </c>
      <c r="CF1919" s="12">
        <v>29.15</v>
      </c>
      <c r="CG1919" s="12">
        <v>29.15</v>
      </c>
      <c r="CH1919" s="12">
        <v>43.73</v>
      </c>
      <c r="CI1919" s="12">
        <v>43.73</v>
      </c>
      <c r="CJ1919" t="s">
        <v>135</v>
      </c>
      <c r="CL1919" t="s">
        <v>6124</v>
      </c>
      <c r="CO1919" t="s">
        <v>132</v>
      </c>
      <c r="CP1919" t="s">
        <v>136</v>
      </c>
      <c r="CQ1919" t="s">
        <v>114</v>
      </c>
      <c r="CR1919" t="s">
        <v>136</v>
      </c>
      <c r="CS1919" t="s">
        <v>136</v>
      </c>
      <c r="CT1919" t="s">
        <v>136</v>
      </c>
      <c r="CU1919" t="s">
        <v>114</v>
      </c>
      <c r="CV1919" t="s">
        <v>6125</v>
      </c>
      <c r="CW1919" s="10" t="str">
        <f>"+15715226218"</f>
        <v>+15715226218</v>
      </c>
      <c r="CX1919" t="s">
        <v>6126</v>
      </c>
      <c r="CY1919" t="s">
        <v>6127</v>
      </c>
      <c r="CZ1919" t="s">
        <v>137</v>
      </c>
      <c r="DA1919" t="s">
        <v>114</v>
      </c>
      <c r="DB1919" t="s">
        <v>114</v>
      </c>
      <c r="DC1919" t="s">
        <v>136</v>
      </c>
      <c r="DD1919" t="s">
        <v>114</v>
      </c>
    </row>
    <row r="1920" spans="1:113" ht="15" customHeight="1" x14ac:dyDescent="0.25">
      <c r="A1920" t="s">
        <v>23219</v>
      </c>
      <c r="B1920" t="s">
        <v>113</v>
      </c>
      <c r="C1920" s="1">
        <v>45169.632134143518</v>
      </c>
      <c r="D1920" s="1">
        <v>45233</v>
      </c>
      <c r="E1920" t="s">
        <v>136</v>
      </c>
      <c r="F1920" t="s">
        <v>11164</v>
      </c>
      <c r="G1920" t="str">
        <f>"53-7065.00"</f>
        <v>53-7065.00</v>
      </c>
      <c r="H1920" t="s">
        <v>2763</v>
      </c>
      <c r="I1920">
        <v>10</v>
      </c>
      <c r="K1920" s="1">
        <v>45245</v>
      </c>
      <c r="L1920" s="1">
        <v>45444</v>
      </c>
      <c r="O1920" t="s">
        <v>116</v>
      </c>
      <c r="P1920" t="s">
        <v>11165</v>
      </c>
      <c r="Q1920" t="s">
        <v>132</v>
      </c>
      <c r="R1920" t="s">
        <v>23220</v>
      </c>
      <c r="S1920" t="s">
        <v>23221</v>
      </c>
      <c r="T1920" t="s">
        <v>23222</v>
      </c>
      <c r="U1920" t="s">
        <v>140</v>
      </c>
      <c r="V1920" s="8" t="str">
        <f>"32541"</f>
        <v>32541</v>
      </c>
      <c r="W1920" t="s">
        <v>118</v>
      </c>
      <c r="Y1920" s="10">
        <v>13346558314</v>
      </c>
      <c r="AA1920">
        <v>561320</v>
      </c>
      <c r="AB1920" t="s">
        <v>11166</v>
      </c>
      <c r="AC1920" t="s">
        <v>11167</v>
      </c>
      <c r="AD1920" t="s">
        <v>132</v>
      </c>
      <c r="AE1920" t="s">
        <v>3518</v>
      </c>
      <c r="AF1920" t="s">
        <v>23220</v>
      </c>
      <c r="AG1920" t="s">
        <v>23221</v>
      </c>
      <c r="AH1920" t="s">
        <v>23222</v>
      </c>
      <c r="AI1920" t="s">
        <v>140</v>
      </c>
      <c r="AJ1920" s="8" t="str">
        <f>"32541"</f>
        <v>32541</v>
      </c>
      <c r="AK1920" t="s">
        <v>118</v>
      </c>
      <c r="AM1920" s="10">
        <v>14042700000</v>
      </c>
      <c r="AO1920" t="s">
        <v>23223</v>
      </c>
      <c r="AP1920" t="s">
        <v>248</v>
      </c>
      <c r="AQ1920" t="s">
        <v>2437</v>
      </c>
      <c r="AR1920" t="s">
        <v>1791</v>
      </c>
      <c r="AS1920" t="s">
        <v>2438</v>
      </c>
      <c r="AT1920" t="s">
        <v>2440</v>
      </c>
      <c r="AU1920" t="s">
        <v>132</v>
      </c>
      <c r="AV1920" t="s">
        <v>1781</v>
      </c>
      <c r="AW1920" t="s">
        <v>581</v>
      </c>
      <c r="AX1920" s="8" t="str">
        <f>"23831"</f>
        <v>23831</v>
      </c>
      <c r="AY1920" t="s">
        <v>118</v>
      </c>
      <c r="BA1920" s="10">
        <v>15082923536</v>
      </c>
      <c r="BC1920" t="s">
        <v>2441</v>
      </c>
      <c r="BD1920" t="s">
        <v>2439</v>
      </c>
      <c r="BG1920" t="s">
        <v>140</v>
      </c>
      <c r="BH1920" s="1">
        <v>45168.833333333336</v>
      </c>
      <c r="BI1920">
        <v>35</v>
      </c>
      <c r="BJ1920">
        <v>5</v>
      </c>
      <c r="BK1920">
        <v>5</v>
      </c>
      <c r="BL1920">
        <v>5</v>
      </c>
      <c r="BM1920">
        <v>5</v>
      </c>
      <c r="BN1920">
        <v>5</v>
      </c>
      <c r="BO1920">
        <v>5</v>
      </c>
      <c r="BP1920">
        <v>5</v>
      </c>
      <c r="BQ1920" t="str">
        <f>"4:00 AM"</f>
        <v>4:00 AM</v>
      </c>
      <c r="BR1920" t="str">
        <f>"7:00 AM"</f>
        <v>7:00 AM</v>
      </c>
      <c r="BS1920" t="s">
        <v>131</v>
      </c>
      <c r="BT1920">
        <v>0</v>
      </c>
      <c r="BU1920">
        <v>3</v>
      </c>
      <c r="BV1920" t="s">
        <v>114</v>
      </c>
      <c r="BX1920" t="s">
        <v>132</v>
      </c>
      <c r="BY1920" t="s">
        <v>23224</v>
      </c>
      <c r="BZ1920" t="s">
        <v>132</v>
      </c>
      <c r="CA1920" t="s">
        <v>23222</v>
      </c>
      <c r="CB1920" t="s">
        <v>140</v>
      </c>
      <c r="CC1920" s="8" t="str">
        <f>"32541"</f>
        <v>32541</v>
      </c>
      <c r="CD1920" t="s">
        <v>5061</v>
      </c>
      <c r="CE1920" t="s">
        <v>3314</v>
      </c>
      <c r="CF1920" s="12">
        <v>14.55</v>
      </c>
      <c r="CG1920" s="12">
        <v>14.55</v>
      </c>
      <c r="CH1920" s="12">
        <v>21.83</v>
      </c>
      <c r="CI1920" s="12">
        <v>21.83</v>
      </c>
      <c r="CJ1920" t="s">
        <v>135</v>
      </c>
      <c r="CK1920" t="s">
        <v>132</v>
      </c>
      <c r="CL1920" t="s">
        <v>23225</v>
      </c>
      <c r="CO1920" t="s">
        <v>132</v>
      </c>
      <c r="CP1920" t="s">
        <v>114</v>
      </c>
      <c r="CQ1920" t="s">
        <v>136</v>
      </c>
      <c r="CR1920" t="s">
        <v>136</v>
      </c>
      <c r="CS1920" t="s">
        <v>136</v>
      </c>
      <c r="CT1920" t="s">
        <v>136</v>
      </c>
      <c r="CU1920" t="s">
        <v>114</v>
      </c>
      <c r="CV1920" t="s">
        <v>132</v>
      </c>
      <c r="CW1920" s="10" t="str">
        <f>"+13346558314"</f>
        <v>+13346558314</v>
      </c>
      <c r="CX1920" t="s">
        <v>23223</v>
      </c>
      <c r="CY1920" t="s">
        <v>132</v>
      </c>
      <c r="CZ1920" t="s">
        <v>137</v>
      </c>
      <c r="DA1920" t="s">
        <v>114</v>
      </c>
      <c r="DB1920" t="s">
        <v>114</v>
      </c>
      <c r="DC1920" t="s">
        <v>136</v>
      </c>
      <c r="DD1920" t="s">
        <v>114</v>
      </c>
      <c r="DE1920" t="s">
        <v>2437</v>
      </c>
      <c r="DF1920" t="s">
        <v>1791</v>
      </c>
      <c r="DG1920" t="s">
        <v>114</v>
      </c>
      <c r="DH1920" t="s">
        <v>2439</v>
      </c>
      <c r="DI1920" t="s">
        <v>2441</v>
      </c>
    </row>
    <row r="1921" spans="1:108" ht="15" customHeight="1" x14ac:dyDescent="0.25">
      <c r="A1921" t="s">
        <v>4627</v>
      </c>
      <c r="B1921" t="s">
        <v>113</v>
      </c>
      <c r="C1921" s="1">
        <v>45168.644237962966</v>
      </c>
      <c r="D1921" s="1">
        <v>45233</v>
      </c>
      <c r="E1921" t="s">
        <v>114</v>
      </c>
      <c r="F1921" t="s">
        <v>4628</v>
      </c>
      <c r="G1921" t="str">
        <f>"51-2099.00"</f>
        <v>51-2099.00</v>
      </c>
      <c r="H1921" t="s">
        <v>4629</v>
      </c>
      <c r="I1921">
        <v>4</v>
      </c>
      <c r="K1921" s="1">
        <v>45250</v>
      </c>
      <c r="L1921" s="1">
        <v>45616</v>
      </c>
      <c r="O1921" t="s">
        <v>184</v>
      </c>
      <c r="P1921" t="s">
        <v>4630</v>
      </c>
      <c r="Q1921" t="s">
        <v>4631</v>
      </c>
      <c r="R1921" t="s">
        <v>4632</v>
      </c>
      <c r="S1921" t="s">
        <v>4633</v>
      </c>
      <c r="T1921" t="s">
        <v>1220</v>
      </c>
      <c r="U1921" t="s">
        <v>358</v>
      </c>
      <c r="V1921" s="8" t="str">
        <f>"10011"</f>
        <v>10011</v>
      </c>
      <c r="W1921" t="s">
        <v>118</v>
      </c>
      <c r="Y1921" s="10">
        <v>12122420606</v>
      </c>
      <c r="AA1921">
        <v>541420</v>
      </c>
      <c r="AB1921" t="s">
        <v>4634</v>
      </c>
      <c r="AC1921" t="s">
        <v>4635</v>
      </c>
      <c r="AE1921" t="s">
        <v>4636</v>
      </c>
      <c r="AF1921" t="s">
        <v>4632</v>
      </c>
      <c r="AG1921" t="s">
        <v>4633</v>
      </c>
      <c r="AH1921" t="s">
        <v>1220</v>
      </c>
      <c r="AI1921" t="s">
        <v>358</v>
      </c>
      <c r="AJ1921" s="8" t="str">
        <f>"10011"</f>
        <v>10011</v>
      </c>
      <c r="AK1921" t="s">
        <v>118</v>
      </c>
      <c r="AM1921" s="10">
        <v>12122420606</v>
      </c>
      <c r="AO1921" t="s">
        <v>4637</v>
      </c>
      <c r="AP1921" t="s">
        <v>121</v>
      </c>
      <c r="AQ1921" t="s">
        <v>4638</v>
      </c>
      <c r="AR1921" t="s">
        <v>4639</v>
      </c>
      <c r="AT1921" t="s">
        <v>4640</v>
      </c>
      <c r="AU1921" t="s">
        <v>4641</v>
      </c>
      <c r="AV1921" t="s">
        <v>1220</v>
      </c>
      <c r="AW1921" t="s">
        <v>358</v>
      </c>
      <c r="AX1921" s="8" t="str">
        <f>"10010"</f>
        <v>10010</v>
      </c>
      <c r="AY1921" t="s">
        <v>118</v>
      </c>
      <c r="BA1921" s="10">
        <v>19175585047</v>
      </c>
      <c r="BC1921" t="s">
        <v>4642</v>
      </c>
      <c r="BD1921" t="s">
        <v>4643</v>
      </c>
      <c r="BE1921" t="s">
        <v>402</v>
      </c>
      <c r="BF1921" t="s">
        <v>4644</v>
      </c>
      <c r="BG1921" t="s">
        <v>402</v>
      </c>
      <c r="BH1921" s="1">
        <v>45167.833333333336</v>
      </c>
      <c r="BI1921">
        <v>40</v>
      </c>
      <c r="BJ1921">
        <v>0</v>
      </c>
      <c r="BK1921">
        <v>8</v>
      </c>
      <c r="BL1921">
        <v>8</v>
      </c>
      <c r="BM1921">
        <v>8</v>
      </c>
      <c r="BN1921">
        <v>8</v>
      </c>
      <c r="BO1921">
        <v>8</v>
      </c>
      <c r="BP1921">
        <v>0</v>
      </c>
      <c r="BQ1921" t="str">
        <f>"9:00 AM"</f>
        <v>9:00 AM</v>
      </c>
      <c r="BR1921" t="str">
        <f>"5:00 PM"</f>
        <v>5:00 PM</v>
      </c>
      <c r="BS1921" t="s">
        <v>131</v>
      </c>
      <c r="BT1921">
        <v>0</v>
      </c>
      <c r="BU1921">
        <v>24</v>
      </c>
      <c r="BV1921" t="s">
        <v>114</v>
      </c>
      <c r="BX1921" s="2" t="s">
        <v>4645</v>
      </c>
      <c r="BY1921" t="s">
        <v>4646</v>
      </c>
      <c r="BZ1921" t="s">
        <v>4647</v>
      </c>
      <c r="CA1921" t="s">
        <v>4648</v>
      </c>
      <c r="CB1921" t="s">
        <v>402</v>
      </c>
      <c r="CC1921" s="8" t="str">
        <f>"90277"</f>
        <v>90277</v>
      </c>
      <c r="CD1921" t="s">
        <v>2968</v>
      </c>
      <c r="CE1921" t="s">
        <v>2969</v>
      </c>
      <c r="CF1921" s="12">
        <v>19.809999999999999</v>
      </c>
      <c r="CG1921" s="12">
        <v>20</v>
      </c>
      <c r="CH1921" s="12">
        <v>29.72</v>
      </c>
      <c r="CI1921" s="12">
        <v>29.72</v>
      </c>
      <c r="CJ1921" t="s">
        <v>135</v>
      </c>
      <c r="CL1921" t="s">
        <v>4649</v>
      </c>
      <c r="CO1921" t="s">
        <v>132</v>
      </c>
      <c r="CP1921" t="s">
        <v>114</v>
      </c>
      <c r="CQ1921" t="s">
        <v>136</v>
      </c>
      <c r="CR1921" t="s">
        <v>136</v>
      </c>
      <c r="CS1921" t="s">
        <v>114</v>
      </c>
      <c r="CT1921" t="s">
        <v>136</v>
      </c>
      <c r="CU1921" t="s">
        <v>114</v>
      </c>
      <c r="CV1921" t="s">
        <v>4650</v>
      </c>
      <c r="CW1921" s="10" t="str">
        <f>"+19172142838"</f>
        <v>+19172142838</v>
      </c>
      <c r="CX1921" t="s">
        <v>4637</v>
      </c>
      <c r="CY1921" t="s">
        <v>132</v>
      </c>
      <c r="CZ1921" t="s">
        <v>137</v>
      </c>
      <c r="DA1921" t="s">
        <v>114</v>
      </c>
      <c r="DB1921" t="s">
        <v>114</v>
      </c>
      <c r="DC1921" t="s">
        <v>136</v>
      </c>
      <c r="DD1921" t="s">
        <v>114</v>
      </c>
    </row>
    <row r="1922" spans="1:108" ht="15" customHeight="1" x14ac:dyDescent="0.25">
      <c r="A1922" t="s">
        <v>16827</v>
      </c>
      <c r="B1922" t="s">
        <v>113</v>
      </c>
      <c r="C1922" s="1">
        <v>45154.34937708333</v>
      </c>
      <c r="D1922" s="1">
        <v>45233</v>
      </c>
      <c r="E1922" t="s">
        <v>114</v>
      </c>
      <c r="F1922" t="s">
        <v>16828</v>
      </c>
      <c r="G1922" t="str">
        <f>"53-7064.00"</f>
        <v>53-7064.00</v>
      </c>
      <c r="H1922" t="s">
        <v>3138</v>
      </c>
      <c r="I1922">
        <v>2</v>
      </c>
      <c r="K1922" s="1">
        <v>45230</v>
      </c>
      <c r="L1922" s="1">
        <v>45261</v>
      </c>
      <c r="O1922" t="s">
        <v>184</v>
      </c>
      <c r="P1922" t="s">
        <v>16829</v>
      </c>
      <c r="Q1922" t="s">
        <v>16830</v>
      </c>
      <c r="R1922" t="s">
        <v>16831</v>
      </c>
      <c r="S1922" t="s">
        <v>16832</v>
      </c>
      <c r="T1922" t="s">
        <v>16833</v>
      </c>
      <c r="U1922" t="s">
        <v>127</v>
      </c>
      <c r="V1922" s="8" t="str">
        <f>"75019"</f>
        <v>75019</v>
      </c>
      <c r="W1922" t="s">
        <v>118</v>
      </c>
      <c r="Y1922" s="10">
        <v>12149560077</v>
      </c>
      <c r="Z1922">
        <v>1137</v>
      </c>
      <c r="AA1922">
        <v>326150</v>
      </c>
      <c r="AB1922" t="s">
        <v>16834</v>
      </c>
      <c r="AC1922" t="s">
        <v>1995</v>
      </c>
      <c r="AD1922" t="s">
        <v>9456</v>
      </c>
      <c r="AE1922" t="s">
        <v>5492</v>
      </c>
      <c r="AF1922" t="s">
        <v>16835</v>
      </c>
      <c r="AH1922" t="s">
        <v>16833</v>
      </c>
      <c r="AI1922" t="s">
        <v>127</v>
      </c>
      <c r="AJ1922" s="8" t="str">
        <f>"75019"</f>
        <v>75019</v>
      </c>
      <c r="AK1922" t="s">
        <v>118</v>
      </c>
      <c r="AM1922" s="10">
        <v>12149560077</v>
      </c>
      <c r="AN1922">
        <v>1137</v>
      </c>
      <c r="AO1922" t="s">
        <v>16836</v>
      </c>
      <c r="AX1922" s="8" t="str">
        <f>""</f>
        <v/>
      </c>
      <c r="BG1922" t="s">
        <v>127</v>
      </c>
      <c r="BH1922" s="1">
        <v>45050.833333333336</v>
      </c>
      <c r="BI1922">
        <v>40</v>
      </c>
      <c r="BJ1922">
        <v>0</v>
      </c>
      <c r="BK1922">
        <v>10</v>
      </c>
      <c r="BL1922">
        <v>10</v>
      </c>
      <c r="BM1922">
        <v>10</v>
      </c>
      <c r="BN1922">
        <v>10</v>
      </c>
      <c r="BO1922">
        <v>0</v>
      </c>
      <c r="BP1922">
        <v>0</v>
      </c>
      <c r="BQ1922" t="str">
        <f>"5:00 AM"</f>
        <v>5:00 AM</v>
      </c>
      <c r="BR1922" t="str">
        <f>"3:30 PM"</f>
        <v>3:30 PM</v>
      </c>
      <c r="BS1922" t="s">
        <v>131</v>
      </c>
      <c r="BT1922">
        <v>0</v>
      </c>
      <c r="BU1922">
        <v>0</v>
      </c>
      <c r="BV1922" t="s">
        <v>114</v>
      </c>
      <c r="BX1922" t="s">
        <v>16837</v>
      </c>
      <c r="BY1922" t="s">
        <v>16831</v>
      </c>
      <c r="BZ1922" t="s">
        <v>16832</v>
      </c>
      <c r="CA1922" t="s">
        <v>16833</v>
      </c>
      <c r="CB1922" t="s">
        <v>127</v>
      </c>
      <c r="CC1922" s="8" t="str">
        <f>"75019"</f>
        <v>75019</v>
      </c>
      <c r="CD1922" t="s">
        <v>2301</v>
      </c>
      <c r="CE1922" t="s">
        <v>263</v>
      </c>
      <c r="CF1922" s="12">
        <v>16</v>
      </c>
      <c r="CG1922" s="12">
        <v>17</v>
      </c>
      <c r="CH1922" s="12">
        <v>24</v>
      </c>
      <c r="CI1922" s="12">
        <v>25.5</v>
      </c>
      <c r="CJ1922" t="s">
        <v>135</v>
      </c>
      <c r="CL1922" t="s">
        <v>16838</v>
      </c>
      <c r="CO1922" t="s">
        <v>132</v>
      </c>
      <c r="CP1922" t="s">
        <v>114</v>
      </c>
      <c r="CQ1922" t="s">
        <v>114</v>
      </c>
      <c r="CR1922" t="s">
        <v>136</v>
      </c>
      <c r="CS1922" t="s">
        <v>136</v>
      </c>
      <c r="CT1922" t="s">
        <v>136</v>
      </c>
      <c r="CU1922" t="s">
        <v>114</v>
      </c>
      <c r="CV1922" s="2" t="s">
        <v>16839</v>
      </c>
      <c r="CW1922" s="10" t="str">
        <f>"N/A"</f>
        <v>N/A</v>
      </c>
      <c r="CX1922" t="s">
        <v>16836</v>
      </c>
      <c r="CY1922" t="s">
        <v>16840</v>
      </c>
      <c r="CZ1922" t="s">
        <v>137</v>
      </c>
      <c r="DA1922" t="s">
        <v>114</v>
      </c>
      <c r="DB1922" t="s">
        <v>114</v>
      </c>
      <c r="DC1922" t="s">
        <v>136</v>
      </c>
      <c r="DD1922" t="s">
        <v>114</v>
      </c>
    </row>
    <row r="1923" spans="1:108" ht="15" customHeight="1" x14ac:dyDescent="0.25">
      <c r="A1923" t="s">
        <v>23157</v>
      </c>
      <c r="B1923" t="s">
        <v>113</v>
      </c>
      <c r="C1923" s="1">
        <v>45163.675353240738</v>
      </c>
      <c r="D1923" s="1">
        <v>45232</v>
      </c>
      <c r="E1923" t="s">
        <v>114</v>
      </c>
      <c r="F1923" t="s">
        <v>23083</v>
      </c>
      <c r="G1923" t="str">
        <f>"35-1011.00"</f>
        <v>35-1011.00</v>
      </c>
      <c r="H1923" t="s">
        <v>1043</v>
      </c>
      <c r="I1923">
        <v>2</v>
      </c>
      <c r="K1923" s="1">
        <v>45245</v>
      </c>
      <c r="L1923" s="1">
        <v>45412</v>
      </c>
      <c r="O1923" t="s">
        <v>116</v>
      </c>
      <c r="P1923" t="s">
        <v>23158</v>
      </c>
      <c r="R1923" t="s">
        <v>23159</v>
      </c>
      <c r="T1923" t="s">
        <v>21636</v>
      </c>
      <c r="U1923" t="s">
        <v>211</v>
      </c>
      <c r="V1923" s="8" t="str">
        <f>"84060"</f>
        <v>84060</v>
      </c>
      <c r="W1923" t="s">
        <v>118</v>
      </c>
      <c r="Y1923" s="10">
        <v>18013626532</v>
      </c>
      <c r="AA1923">
        <v>722511</v>
      </c>
      <c r="AB1923" t="s">
        <v>23160</v>
      </c>
      <c r="AC1923" t="s">
        <v>2688</v>
      </c>
      <c r="AD1923" t="s">
        <v>1719</v>
      </c>
      <c r="AE1923" t="s">
        <v>19938</v>
      </c>
      <c r="AF1923" t="s">
        <v>23161</v>
      </c>
      <c r="AH1923" t="s">
        <v>16925</v>
      </c>
      <c r="AI1923" t="s">
        <v>211</v>
      </c>
      <c r="AJ1923" s="8" t="str">
        <f>"84604"</f>
        <v>84604</v>
      </c>
      <c r="AK1923" t="s">
        <v>118</v>
      </c>
      <c r="AM1923" s="10">
        <v>18013626532</v>
      </c>
      <c r="AO1923" t="s">
        <v>23162</v>
      </c>
      <c r="AP1923" t="s">
        <v>121</v>
      </c>
      <c r="AQ1923" t="s">
        <v>23163</v>
      </c>
      <c r="AR1923" t="s">
        <v>2754</v>
      </c>
      <c r="AS1923" t="s">
        <v>141</v>
      </c>
      <c r="AT1923" t="s">
        <v>23164</v>
      </c>
      <c r="AU1923" t="s">
        <v>8927</v>
      </c>
      <c r="AV1923" t="s">
        <v>12942</v>
      </c>
      <c r="AW1923" t="s">
        <v>211</v>
      </c>
      <c r="AX1923" s="8" t="str">
        <f>"84111"</f>
        <v>84111</v>
      </c>
      <c r="AY1923" t="s">
        <v>118</v>
      </c>
      <c r="BA1923" s="10">
        <v>14356550500</v>
      </c>
      <c r="BC1923" t="s">
        <v>22719</v>
      </c>
      <c r="BD1923" t="s">
        <v>23165</v>
      </c>
      <c r="BE1923" t="s">
        <v>211</v>
      </c>
      <c r="BF1923" t="s">
        <v>1566</v>
      </c>
      <c r="BG1923" t="s">
        <v>211</v>
      </c>
      <c r="BH1923" s="1">
        <v>45161.833333333336</v>
      </c>
      <c r="BI1923">
        <v>45</v>
      </c>
      <c r="BJ1923">
        <v>9</v>
      </c>
      <c r="BK1923">
        <v>9</v>
      </c>
      <c r="BL1923">
        <v>0</v>
      </c>
      <c r="BM1923">
        <v>0</v>
      </c>
      <c r="BN1923">
        <v>9</v>
      </c>
      <c r="BO1923">
        <v>9</v>
      </c>
      <c r="BP1923">
        <v>9</v>
      </c>
      <c r="BQ1923" t="str">
        <f>"11:30 AM"</f>
        <v>11:30 AM</v>
      </c>
      <c r="BR1923" t="str">
        <f>"8:30 PM"</f>
        <v>8:30 PM</v>
      </c>
      <c r="BS1923" t="s">
        <v>131</v>
      </c>
      <c r="BT1923">
        <v>0</v>
      </c>
      <c r="BU1923">
        <v>24</v>
      </c>
      <c r="BV1923" t="s">
        <v>136</v>
      </c>
      <c r="BW1923">
        <v>5</v>
      </c>
      <c r="BX1923" t="s">
        <v>23166</v>
      </c>
      <c r="BY1923" t="s">
        <v>23167</v>
      </c>
      <c r="CA1923" t="s">
        <v>210</v>
      </c>
      <c r="CB1923" t="s">
        <v>211</v>
      </c>
      <c r="CC1923" s="8" t="str">
        <f>"84060"</f>
        <v>84060</v>
      </c>
      <c r="CD1923" t="s">
        <v>228</v>
      </c>
      <c r="CE1923" t="s">
        <v>229</v>
      </c>
      <c r="CF1923" s="12">
        <v>29.4</v>
      </c>
      <c r="CG1923" s="12">
        <v>29.4</v>
      </c>
      <c r="CH1923" s="12">
        <v>44.1</v>
      </c>
      <c r="CI1923" s="12">
        <v>44.1</v>
      </c>
      <c r="CJ1923" t="s">
        <v>135</v>
      </c>
      <c r="CK1923" t="s">
        <v>132</v>
      </c>
      <c r="CL1923" t="s">
        <v>23168</v>
      </c>
      <c r="CO1923" t="s">
        <v>132</v>
      </c>
      <c r="CP1923" t="s">
        <v>114</v>
      </c>
      <c r="CQ1923" t="s">
        <v>114</v>
      </c>
      <c r="CR1923" t="s">
        <v>136</v>
      </c>
      <c r="CS1923" t="s">
        <v>136</v>
      </c>
      <c r="CT1923" t="s">
        <v>136</v>
      </c>
      <c r="CU1923" t="s">
        <v>136</v>
      </c>
      <c r="CV1923" t="s">
        <v>1480</v>
      </c>
      <c r="CW1923" s="10" t="str">
        <f>"+18013626532"</f>
        <v>+18013626532</v>
      </c>
      <c r="CX1923" t="s">
        <v>23162</v>
      </c>
      <c r="CY1923" t="s">
        <v>132</v>
      </c>
      <c r="CZ1923" t="s">
        <v>137</v>
      </c>
      <c r="DA1923" t="s">
        <v>114</v>
      </c>
      <c r="DB1923" t="s">
        <v>114</v>
      </c>
      <c r="DC1923" t="s">
        <v>136</v>
      </c>
      <c r="DD1923" t="s">
        <v>114</v>
      </c>
    </row>
    <row r="1924" spans="1:108" ht="15" customHeight="1" x14ac:dyDescent="0.25">
      <c r="A1924" t="s">
        <v>4708</v>
      </c>
      <c r="B1924" t="s">
        <v>113</v>
      </c>
      <c r="C1924" s="1">
        <v>45154.629652199073</v>
      </c>
      <c r="D1924" s="1">
        <v>45232</v>
      </c>
      <c r="E1924" t="s">
        <v>114</v>
      </c>
      <c r="F1924" t="s">
        <v>4709</v>
      </c>
      <c r="G1924" t="str">
        <f>"47-2061.00"</f>
        <v>47-2061.00</v>
      </c>
      <c r="H1924" t="s">
        <v>570</v>
      </c>
      <c r="I1924">
        <v>15</v>
      </c>
      <c r="K1924" s="1">
        <v>45231</v>
      </c>
      <c r="L1924" s="1">
        <v>45382</v>
      </c>
      <c r="O1924" t="s">
        <v>238</v>
      </c>
      <c r="P1924" t="s">
        <v>4710</v>
      </c>
      <c r="R1924" t="s">
        <v>4711</v>
      </c>
      <c r="T1924" t="s">
        <v>3246</v>
      </c>
      <c r="U1924" t="s">
        <v>211</v>
      </c>
      <c r="V1924" s="8" t="str">
        <f>"84653"</f>
        <v>84653</v>
      </c>
      <c r="W1924" t="s">
        <v>118</v>
      </c>
      <c r="Y1924" s="10">
        <v>18012809400</v>
      </c>
      <c r="AA1924">
        <v>32412</v>
      </c>
      <c r="AB1924" t="s">
        <v>2869</v>
      </c>
      <c r="AC1924" t="s">
        <v>1826</v>
      </c>
      <c r="AD1924" t="s">
        <v>4712</v>
      </c>
      <c r="AE1924" t="s">
        <v>561</v>
      </c>
      <c r="AF1924" t="s">
        <v>4711</v>
      </c>
      <c r="AH1924" t="s">
        <v>3246</v>
      </c>
      <c r="AI1924" t="s">
        <v>211</v>
      </c>
      <c r="AJ1924" s="8" t="str">
        <f>"84653"</f>
        <v>84653</v>
      </c>
      <c r="AK1924" t="s">
        <v>118</v>
      </c>
      <c r="AM1924" s="10">
        <v>18012809400</v>
      </c>
      <c r="AO1924" t="s">
        <v>132</v>
      </c>
      <c r="AP1924" t="s">
        <v>121</v>
      </c>
      <c r="AQ1924" t="s">
        <v>1172</v>
      </c>
      <c r="AR1924" t="s">
        <v>1173</v>
      </c>
      <c r="AS1924" t="s">
        <v>708</v>
      </c>
      <c r="AT1924" t="s">
        <v>4084</v>
      </c>
      <c r="AU1924">
        <v>1406</v>
      </c>
      <c r="AV1924" t="s">
        <v>603</v>
      </c>
      <c r="AW1924" t="s">
        <v>127</v>
      </c>
      <c r="AX1924" s="8" t="str">
        <f>"78758"</f>
        <v>78758</v>
      </c>
      <c r="AY1924" t="s">
        <v>118</v>
      </c>
      <c r="BA1924" s="10">
        <v>15123470007</v>
      </c>
      <c r="BC1924" t="s">
        <v>4713</v>
      </c>
      <c r="BD1924" t="s">
        <v>4086</v>
      </c>
      <c r="BE1924" t="s">
        <v>127</v>
      </c>
      <c r="BF1924" t="s">
        <v>750</v>
      </c>
      <c r="BG1924" t="s">
        <v>211</v>
      </c>
      <c r="BH1924" s="1">
        <v>45153.833333333336</v>
      </c>
      <c r="BI1924">
        <v>40</v>
      </c>
      <c r="BJ1924">
        <v>0</v>
      </c>
      <c r="BK1924">
        <v>8</v>
      </c>
      <c r="BL1924">
        <v>8</v>
      </c>
      <c r="BM1924">
        <v>8</v>
      </c>
      <c r="BN1924">
        <v>8</v>
      </c>
      <c r="BO1924">
        <v>8</v>
      </c>
      <c r="BP1924">
        <v>0</v>
      </c>
      <c r="BQ1924" t="str">
        <f>"6:00 AM"</f>
        <v>6:00 AM</v>
      </c>
      <c r="BR1924" t="str">
        <f>"3:00 PM"</f>
        <v>3:00 PM</v>
      </c>
      <c r="BS1924" t="s">
        <v>131</v>
      </c>
      <c r="BT1924">
        <v>0</v>
      </c>
      <c r="BU1924">
        <v>0</v>
      </c>
      <c r="BV1924" t="s">
        <v>114</v>
      </c>
      <c r="BX1924" t="s">
        <v>131</v>
      </c>
      <c r="BY1924" t="s">
        <v>4711</v>
      </c>
      <c r="CA1924" t="s">
        <v>3246</v>
      </c>
      <c r="CB1924" t="s">
        <v>211</v>
      </c>
      <c r="CC1924" s="8" t="str">
        <f>"84653"</f>
        <v>84653</v>
      </c>
      <c r="CD1924" t="s">
        <v>1567</v>
      </c>
      <c r="CE1924" t="s">
        <v>1568</v>
      </c>
      <c r="CF1924" s="12">
        <v>21.54</v>
      </c>
      <c r="CG1924" s="12">
        <v>21.54</v>
      </c>
      <c r="CH1924" s="12">
        <v>32.31</v>
      </c>
      <c r="CI1924" s="12">
        <v>32.31</v>
      </c>
      <c r="CJ1924" t="s">
        <v>135</v>
      </c>
      <c r="CL1924" t="s">
        <v>4714</v>
      </c>
      <c r="CO1924" t="s">
        <v>132</v>
      </c>
      <c r="CP1924" t="s">
        <v>136</v>
      </c>
      <c r="CQ1924" t="s">
        <v>136</v>
      </c>
      <c r="CR1924" t="s">
        <v>136</v>
      </c>
      <c r="CS1924" t="s">
        <v>136</v>
      </c>
      <c r="CT1924" t="s">
        <v>136</v>
      </c>
      <c r="CU1924" t="s">
        <v>114</v>
      </c>
      <c r="CV1924" t="s">
        <v>4715</v>
      </c>
      <c r="CW1924" s="10" t="str">
        <f>"+18012809400"</f>
        <v>+18012809400</v>
      </c>
      <c r="CX1924" t="s">
        <v>4716</v>
      </c>
      <c r="CY1924" t="s">
        <v>132</v>
      </c>
      <c r="CZ1924" t="s">
        <v>137</v>
      </c>
      <c r="DA1924" t="s">
        <v>114</v>
      </c>
      <c r="DB1924" t="s">
        <v>114</v>
      </c>
      <c r="DC1924" t="s">
        <v>136</v>
      </c>
      <c r="DD1924" t="s">
        <v>114</v>
      </c>
    </row>
    <row r="1925" spans="1:108" ht="15" customHeight="1" x14ac:dyDescent="0.25">
      <c r="A1925" t="s">
        <v>21559</v>
      </c>
      <c r="B1925" t="s">
        <v>113</v>
      </c>
      <c r="C1925" s="1">
        <v>45141.711545949074</v>
      </c>
      <c r="D1925" s="1">
        <v>45232</v>
      </c>
      <c r="E1925" t="s">
        <v>114</v>
      </c>
      <c r="F1925" t="s">
        <v>2277</v>
      </c>
      <c r="G1925" t="str">
        <f>"41-2011.00"</f>
        <v>41-2011.00</v>
      </c>
      <c r="H1925" t="s">
        <v>3638</v>
      </c>
      <c r="I1925">
        <v>8</v>
      </c>
      <c r="K1925" s="1">
        <v>45216</v>
      </c>
      <c r="L1925" s="1">
        <v>45901</v>
      </c>
      <c r="O1925" t="s">
        <v>184</v>
      </c>
      <c r="P1925" t="s">
        <v>10369</v>
      </c>
      <c r="R1925" t="s">
        <v>10370</v>
      </c>
      <c r="T1925" t="s">
        <v>10371</v>
      </c>
      <c r="U1925" t="s">
        <v>984</v>
      </c>
      <c r="V1925" s="8" t="str">
        <f>"64011"</f>
        <v>64011</v>
      </c>
      <c r="W1925" t="s">
        <v>118</v>
      </c>
      <c r="Y1925" s="10">
        <v>18167864848</v>
      </c>
      <c r="AA1925">
        <v>447110</v>
      </c>
      <c r="AB1925" t="s">
        <v>10372</v>
      </c>
      <c r="AC1925" t="s">
        <v>10373</v>
      </c>
      <c r="AE1925" t="s">
        <v>743</v>
      </c>
      <c r="AF1925" t="s">
        <v>10370</v>
      </c>
      <c r="AH1925" t="s">
        <v>10371</v>
      </c>
      <c r="AI1925" t="s">
        <v>984</v>
      </c>
      <c r="AJ1925" s="8" t="str">
        <f>"64011"</f>
        <v>64011</v>
      </c>
      <c r="AK1925" t="s">
        <v>118</v>
      </c>
      <c r="AM1925" s="10" t="s">
        <v>10374</v>
      </c>
      <c r="AO1925" t="s">
        <v>10375</v>
      </c>
      <c r="AP1925" t="s">
        <v>121</v>
      </c>
      <c r="AQ1925" t="s">
        <v>3935</v>
      </c>
      <c r="AR1925" t="s">
        <v>3936</v>
      </c>
      <c r="AS1925" t="s">
        <v>3937</v>
      </c>
      <c r="AT1925" t="s">
        <v>3938</v>
      </c>
      <c r="AU1925" t="s">
        <v>3939</v>
      </c>
      <c r="AV1925" t="s">
        <v>3940</v>
      </c>
      <c r="AW1925" t="s">
        <v>2262</v>
      </c>
      <c r="AX1925" s="8" t="str">
        <f>"06510"</f>
        <v>06510</v>
      </c>
      <c r="AY1925" t="s">
        <v>118</v>
      </c>
      <c r="BA1925" s="10">
        <v>19198270660</v>
      </c>
      <c r="BC1925" t="s">
        <v>3941</v>
      </c>
      <c r="BD1925" t="s">
        <v>3942</v>
      </c>
      <c r="BE1925" t="s">
        <v>375</v>
      </c>
      <c r="BF1925" t="s">
        <v>3943</v>
      </c>
      <c r="BG1925" t="s">
        <v>1734</v>
      </c>
      <c r="BH1925" s="1">
        <v>45140.833333333336</v>
      </c>
      <c r="BI1925">
        <v>49</v>
      </c>
      <c r="BJ1925">
        <v>4</v>
      </c>
      <c r="BK1925">
        <v>8</v>
      </c>
      <c r="BL1925">
        <v>8</v>
      </c>
      <c r="BM1925">
        <v>8</v>
      </c>
      <c r="BN1925">
        <v>8</v>
      </c>
      <c r="BO1925">
        <v>8</v>
      </c>
      <c r="BP1925">
        <v>5</v>
      </c>
      <c r="BQ1925" t="str">
        <f>"9:00 AM"</f>
        <v>9:00 AM</v>
      </c>
      <c r="BR1925" t="str">
        <f>"5:00 PM"</f>
        <v>5:00 PM</v>
      </c>
      <c r="BS1925" t="s">
        <v>147</v>
      </c>
      <c r="BT1925">
        <v>0</v>
      </c>
      <c r="BU1925">
        <v>12</v>
      </c>
      <c r="BV1925" t="s">
        <v>114</v>
      </c>
      <c r="BX1925" t="s">
        <v>21560</v>
      </c>
      <c r="BY1925" t="s">
        <v>11935</v>
      </c>
      <c r="CA1925" t="s">
        <v>11936</v>
      </c>
      <c r="CB1925" t="s">
        <v>1734</v>
      </c>
      <c r="CC1925" s="8" t="str">
        <f>"67144"</f>
        <v>67144</v>
      </c>
      <c r="CD1925" t="s">
        <v>4888</v>
      </c>
      <c r="CE1925" t="s">
        <v>4876</v>
      </c>
      <c r="CF1925" s="12">
        <v>11.23</v>
      </c>
      <c r="CG1925" s="12">
        <v>11.23</v>
      </c>
      <c r="CH1925" s="12">
        <v>16.850000000000001</v>
      </c>
      <c r="CI1925" s="12">
        <v>16.850000000000001</v>
      </c>
      <c r="CJ1925" t="s">
        <v>135</v>
      </c>
      <c r="CL1925" t="s">
        <v>21561</v>
      </c>
      <c r="CO1925" t="s">
        <v>132</v>
      </c>
      <c r="CP1925" t="s">
        <v>136</v>
      </c>
      <c r="CQ1925" t="s">
        <v>114</v>
      </c>
      <c r="CR1925" t="s">
        <v>136</v>
      </c>
      <c r="CS1925" t="s">
        <v>114</v>
      </c>
      <c r="CT1925" t="s">
        <v>136</v>
      </c>
      <c r="CU1925" t="s">
        <v>114</v>
      </c>
      <c r="CV1925" t="s">
        <v>5906</v>
      </c>
      <c r="CW1925" s="10" t="str">
        <f>"816 625 5539"</f>
        <v>816 625 5539</v>
      </c>
      <c r="CX1925" t="s">
        <v>10375</v>
      </c>
      <c r="CY1925" t="s">
        <v>21562</v>
      </c>
      <c r="CZ1925" t="s">
        <v>137</v>
      </c>
      <c r="DA1925" t="s">
        <v>114</v>
      </c>
      <c r="DB1925" t="s">
        <v>114</v>
      </c>
      <c r="DC1925" t="s">
        <v>136</v>
      </c>
      <c r="DD1925" t="s">
        <v>114</v>
      </c>
    </row>
    <row r="1926" spans="1:108" ht="15" customHeight="1" x14ac:dyDescent="0.25">
      <c r="A1926" t="s">
        <v>11933</v>
      </c>
      <c r="B1926" t="s">
        <v>113</v>
      </c>
      <c r="C1926" s="1">
        <v>45141.70640185185</v>
      </c>
      <c r="D1926" s="1">
        <v>45232</v>
      </c>
      <c r="E1926" t="s">
        <v>114</v>
      </c>
      <c r="F1926" t="s">
        <v>1088</v>
      </c>
      <c r="G1926" t="str">
        <f>"37-2011.00"</f>
        <v>37-2011.00</v>
      </c>
      <c r="H1926" t="s">
        <v>1089</v>
      </c>
      <c r="I1926">
        <v>3</v>
      </c>
      <c r="K1926" s="1">
        <v>45216</v>
      </c>
      <c r="L1926" s="1">
        <v>45901</v>
      </c>
      <c r="O1926" t="s">
        <v>184</v>
      </c>
      <c r="P1926" t="s">
        <v>10369</v>
      </c>
      <c r="R1926" t="s">
        <v>10370</v>
      </c>
      <c r="T1926" t="s">
        <v>10371</v>
      </c>
      <c r="U1926" t="s">
        <v>984</v>
      </c>
      <c r="V1926" s="8" t="str">
        <f>"64011"</f>
        <v>64011</v>
      </c>
      <c r="W1926" t="s">
        <v>118</v>
      </c>
      <c r="Y1926" s="10">
        <v>18167864848</v>
      </c>
      <c r="AA1926">
        <v>447110</v>
      </c>
      <c r="AB1926" t="s">
        <v>10372</v>
      </c>
      <c r="AC1926" t="s">
        <v>10373</v>
      </c>
      <c r="AE1926" t="s">
        <v>743</v>
      </c>
      <c r="AF1926" t="s">
        <v>10370</v>
      </c>
      <c r="AH1926" t="s">
        <v>10371</v>
      </c>
      <c r="AI1926" t="s">
        <v>984</v>
      </c>
      <c r="AJ1926" s="8" t="str">
        <f>"64011"</f>
        <v>64011</v>
      </c>
      <c r="AK1926" t="s">
        <v>118</v>
      </c>
      <c r="AM1926" s="10" t="s">
        <v>10374</v>
      </c>
      <c r="AO1926" t="s">
        <v>10375</v>
      </c>
      <c r="AP1926" t="s">
        <v>121</v>
      </c>
      <c r="AQ1926" t="s">
        <v>3935</v>
      </c>
      <c r="AR1926" t="s">
        <v>3936</v>
      </c>
      <c r="AS1926" t="s">
        <v>3937</v>
      </c>
      <c r="AT1926" t="s">
        <v>3938</v>
      </c>
      <c r="AU1926" t="s">
        <v>3939</v>
      </c>
      <c r="AV1926" t="s">
        <v>3940</v>
      </c>
      <c r="AW1926" t="s">
        <v>2262</v>
      </c>
      <c r="AX1926" s="8" t="str">
        <f>"06510"</f>
        <v>06510</v>
      </c>
      <c r="AY1926" t="s">
        <v>118</v>
      </c>
      <c r="BA1926" s="10">
        <v>19198270660</v>
      </c>
      <c r="BC1926" t="s">
        <v>3941</v>
      </c>
      <c r="BD1926" t="s">
        <v>3942</v>
      </c>
      <c r="BE1926" t="s">
        <v>375</v>
      </c>
      <c r="BF1926" t="s">
        <v>3943</v>
      </c>
      <c r="BG1926" t="s">
        <v>1734</v>
      </c>
      <c r="BH1926" s="1">
        <v>45140.833333333336</v>
      </c>
      <c r="BI1926">
        <v>48</v>
      </c>
      <c r="BJ1926">
        <v>4</v>
      </c>
      <c r="BK1926">
        <v>8</v>
      </c>
      <c r="BL1926">
        <v>8</v>
      </c>
      <c r="BM1926">
        <v>8</v>
      </c>
      <c r="BN1926">
        <v>8</v>
      </c>
      <c r="BO1926">
        <v>8</v>
      </c>
      <c r="BP1926">
        <v>4</v>
      </c>
      <c r="BQ1926" t="str">
        <f>"9:00 AM"</f>
        <v>9:00 AM</v>
      </c>
      <c r="BR1926" t="str">
        <f>"5:00 PM"</f>
        <v>5:00 PM</v>
      </c>
      <c r="BS1926" t="s">
        <v>147</v>
      </c>
      <c r="BT1926">
        <v>0</v>
      </c>
      <c r="BU1926">
        <v>0</v>
      </c>
      <c r="BV1926" t="s">
        <v>114</v>
      </c>
      <c r="BX1926" s="2" t="s">
        <v>11934</v>
      </c>
      <c r="BY1926" t="s">
        <v>11935</v>
      </c>
      <c r="CA1926" t="s">
        <v>11936</v>
      </c>
      <c r="CB1926" t="s">
        <v>1734</v>
      </c>
      <c r="CC1926" s="8" t="str">
        <f>"67144"</f>
        <v>67144</v>
      </c>
      <c r="CD1926" t="s">
        <v>4888</v>
      </c>
      <c r="CE1926" t="s">
        <v>4876</v>
      </c>
      <c r="CF1926" s="12">
        <v>13.88</v>
      </c>
      <c r="CG1926" s="12">
        <v>13.88</v>
      </c>
      <c r="CH1926" s="12">
        <v>20.82</v>
      </c>
      <c r="CI1926" s="12">
        <v>20.82</v>
      </c>
      <c r="CJ1926" t="s">
        <v>135</v>
      </c>
      <c r="CL1926" t="s">
        <v>11937</v>
      </c>
      <c r="CO1926" t="s">
        <v>132</v>
      </c>
      <c r="CP1926" t="s">
        <v>136</v>
      </c>
      <c r="CQ1926" t="s">
        <v>114</v>
      </c>
      <c r="CR1926" t="s">
        <v>136</v>
      </c>
      <c r="CS1926" t="s">
        <v>114</v>
      </c>
      <c r="CT1926" t="s">
        <v>136</v>
      </c>
      <c r="CU1926" t="s">
        <v>114</v>
      </c>
      <c r="CV1926" t="s">
        <v>5906</v>
      </c>
      <c r="CW1926" s="10" t="str">
        <f>"816 625 5539"</f>
        <v>816 625 5539</v>
      </c>
      <c r="CX1926" t="s">
        <v>10375</v>
      </c>
      <c r="CY1926" t="s">
        <v>11938</v>
      </c>
      <c r="CZ1926" t="s">
        <v>137</v>
      </c>
      <c r="DA1926" t="s">
        <v>114</v>
      </c>
      <c r="DB1926" t="s">
        <v>114</v>
      </c>
      <c r="DC1926" t="s">
        <v>136</v>
      </c>
      <c r="DD1926" t="s">
        <v>114</v>
      </c>
    </row>
    <row r="1927" spans="1:108" ht="15" customHeight="1" x14ac:dyDescent="0.25">
      <c r="A1927" t="s">
        <v>16698</v>
      </c>
      <c r="B1927" t="s">
        <v>113</v>
      </c>
      <c r="C1927" s="1">
        <v>45141.676732175925</v>
      </c>
      <c r="D1927" s="1">
        <v>45232</v>
      </c>
      <c r="E1927" t="s">
        <v>114</v>
      </c>
      <c r="F1927" t="s">
        <v>2277</v>
      </c>
      <c r="G1927" t="str">
        <f>"41-2011.00"</f>
        <v>41-2011.00</v>
      </c>
      <c r="H1927" t="s">
        <v>3638</v>
      </c>
      <c r="I1927">
        <v>6</v>
      </c>
      <c r="K1927" s="1">
        <v>45216</v>
      </c>
      <c r="L1927" s="1">
        <v>45901</v>
      </c>
      <c r="O1927" t="s">
        <v>184</v>
      </c>
      <c r="P1927" t="s">
        <v>10369</v>
      </c>
      <c r="R1927" t="s">
        <v>10370</v>
      </c>
      <c r="T1927" t="s">
        <v>10371</v>
      </c>
      <c r="U1927" t="s">
        <v>984</v>
      </c>
      <c r="V1927" s="8" t="str">
        <f>"64011"</f>
        <v>64011</v>
      </c>
      <c r="W1927" t="s">
        <v>118</v>
      </c>
      <c r="Y1927" s="10">
        <v>18167864848</v>
      </c>
      <c r="AA1927">
        <v>447110</v>
      </c>
      <c r="AB1927" t="s">
        <v>10372</v>
      </c>
      <c r="AC1927" t="s">
        <v>10373</v>
      </c>
      <c r="AE1927" t="s">
        <v>743</v>
      </c>
      <c r="AF1927" t="s">
        <v>10370</v>
      </c>
      <c r="AH1927" t="s">
        <v>10371</v>
      </c>
      <c r="AI1927" t="s">
        <v>984</v>
      </c>
      <c r="AJ1927" s="8" t="str">
        <f>"64011"</f>
        <v>64011</v>
      </c>
      <c r="AK1927" t="s">
        <v>118</v>
      </c>
      <c r="AM1927" s="10" t="s">
        <v>10374</v>
      </c>
      <c r="AO1927" t="s">
        <v>10375</v>
      </c>
      <c r="AP1927" t="s">
        <v>121</v>
      </c>
      <c r="AQ1927" t="s">
        <v>3935</v>
      </c>
      <c r="AR1927" t="s">
        <v>3936</v>
      </c>
      <c r="AS1927" t="s">
        <v>3937</v>
      </c>
      <c r="AT1927" t="s">
        <v>3938</v>
      </c>
      <c r="AU1927" t="s">
        <v>3939</v>
      </c>
      <c r="AV1927" t="s">
        <v>3940</v>
      </c>
      <c r="AW1927" t="s">
        <v>2262</v>
      </c>
      <c r="AX1927" s="8" t="str">
        <f>"06510"</f>
        <v>06510</v>
      </c>
      <c r="AY1927" t="s">
        <v>118</v>
      </c>
      <c r="BA1927" s="10">
        <v>19198270660</v>
      </c>
      <c r="BC1927" t="s">
        <v>3941</v>
      </c>
      <c r="BD1927" t="s">
        <v>3942</v>
      </c>
      <c r="BE1927" t="s">
        <v>375</v>
      </c>
      <c r="BF1927" t="s">
        <v>3943</v>
      </c>
      <c r="BG1927" t="s">
        <v>1734</v>
      </c>
      <c r="BH1927" s="1">
        <v>45140.833333333336</v>
      </c>
      <c r="BI1927">
        <v>48</v>
      </c>
      <c r="BJ1927">
        <v>4</v>
      </c>
      <c r="BK1927">
        <v>8</v>
      </c>
      <c r="BL1927">
        <v>8</v>
      </c>
      <c r="BM1927">
        <v>8</v>
      </c>
      <c r="BN1927">
        <v>8</v>
      </c>
      <c r="BO1927">
        <v>8</v>
      </c>
      <c r="BP1927">
        <v>4</v>
      </c>
      <c r="BQ1927" t="str">
        <f>"9:00 AM"</f>
        <v>9:00 AM</v>
      </c>
      <c r="BR1927" t="str">
        <f>"5:00 PM"</f>
        <v>5:00 PM</v>
      </c>
      <c r="BS1927" t="s">
        <v>147</v>
      </c>
      <c r="BT1927">
        <v>0</v>
      </c>
      <c r="BU1927">
        <v>12</v>
      </c>
      <c r="BV1927" t="s">
        <v>114</v>
      </c>
      <c r="BX1927" t="s">
        <v>16699</v>
      </c>
      <c r="BY1927" t="s">
        <v>10377</v>
      </c>
      <c r="CA1927" t="s">
        <v>6708</v>
      </c>
      <c r="CB1927" t="s">
        <v>1734</v>
      </c>
      <c r="CC1927" s="8" t="str">
        <f>"66801"</f>
        <v>66801</v>
      </c>
      <c r="CD1927" t="s">
        <v>2169</v>
      </c>
      <c r="CE1927" t="s">
        <v>5123</v>
      </c>
      <c r="CF1927" s="12">
        <v>10.62</v>
      </c>
      <c r="CG1927" s="12">
        <v>10.62</v>
      </c>
      <c r="CH1927" s="12">
        <v>15.93</v>
      </c>
      <c r="CI1927" s="12">
        <v>15.93</v>
      </c>
      <c r="CJ1927" t="s">
        <v>135</v>
      </c>
      <c r="CL1927" t="s">
        <v>16700</v>
      </c>
      <c r="CO1927" t="s">
        <v>132</v>
      </c>
      <c r="CP1927" t="s">
        <v>114</v>
      </c>
      <c r="CQ1927" t="s">
        <v>114</v>
      </c>
      <c r="CR1927" t="s">
        <v>136</v>
      </c>
      <c r="CS1927" t="s">
        <v>114</v>
      </c>
      <c r="CT1927" t="s">
        <v>136</v>
      </c>
      <c r="CU1927" t="s">
        <v>114</v>
      </c>
      <c r="CV1927" t="s">
        <v>5906</v>
      </c>
      <c r="CW1927" s="10" t="str">
        <f>"816 625 5539"</f>
        <v>816 625 5539</v>
      </c>
      <c r="CX1927" t="s">
        <v>10375</v>
      </c>
      <c r="CY1927" t="s">
        <v>132</v>
      </c>
      <c r="CZ1927" t="s">
        <v>137</v>
      </c>
      <c r="DA1927" t="s">
        <v>114</v>
      </c>
      <c r="DB1927" t="s">
        <v>114</v>
      </c>
      <c r="DC1927" t="s">
        <v>136</v>
      </c>
      <c r="DD1927" t="s">
        <v>114</v>
      </c>
    </row>
    <row r="1928" spans="1:108" ht="15" customHeight="1" x14ac:dyDescent="0.25">
      <c r="A1928" t="s">
        <v>12012</v>
      </c>
      <c r="B1928" t="s">
        <v>113</v>
      </c>
      <c r="C1928" s="1">
        <v>45161.842665625001</v>
      </c>
      <c r="D1928" s="1">
        <v>45231</v>
      </c>
      <c r="E1928" t="s">
        <v>114</v>
      </c>
      <c r="F1928" t="s">
        <v>12013</v>
      </c>
      <c r="G1928" t="str">
        <f>"39-2021.00"</f>
        <v>39-2021.00</v>
      </c>
      <c r="H1928" t="s">
        <v>2895</v>
      </c>
      <c r="I1928">
        <v>1</v>
      </c>
      <c r="K1928" s="1">
        <v>45243</v>
      </c>
      <c r="L1928" s="1">
        <v>45517</v>
      </c>
      <c r="O1928" t="s">
        <v>184</v>
      </c>
      <c r="P1928" t="s">
        <v>12014</v>
      </c>
      <c r="R1928" t="s">
        <v>12015</v>
      </c>
      <c r="T1928" t="s">
        <v>12016</v>
      </c>
      <c r="U1928" t="s">
        <v>211</v>
      </c>
      <c r="V1928" s="8" t="str">
        <f>"84124"</f>
        <v>84124</v>
      </c>
      <c r="W1928" t="s">
        <v>118</v>
      </c>
      <c r="Y1928" s="10">
        <v>18014109063</v>
      </c>
      <c r="AA1928">
        <v>81291</v>
      </c>
      <c r="AB1928" t="s">
        <v>12017</v>
      </c>
      <c r="AC1928" t="s">
        <v>12018</v>
      </c>
      <c r="AE1928" t="s">
        <v>561</v>
      </c>
      <c r="AF1928" t="s">
        <v>12015</v>
      </c>
      <c r="AH1928" t="s">
        <v>12016</v>
      </c>
      <c r="AI1928" t="s">
        <v>211</v>
      </c>
      <c r="AJ1928" s="8" t="str">
        <f>"84124"</f>
        <v>84124</v>
      </c>
      <c r="AK1928" t="s">
        <v>118</v>
      </c>
      <c r="AM1928" s="10">
        <v>18014109063</v>
      </c>
      <c r="AO1928" t="s">
        <v>12019</v>
      </c>
      <c r="AX1928" s="8" t="str">
        <f>""</f>
        <v/>
      </c>
      <c r="BG1928" t="s">
        <v>211</v>
      </c>
      <c r="BH1928" s="1">
        <v>45118.833333333336</v>
      </c>
      <c r="BI1928">
        <v>40</v>
      </c>
      <c r="BJ1928">
        <v>0</v>
      </c>
      <c r="BK1928">
        <v>8</v>
      </c>
      <c r="BL1928">
        <v>8</v>
      </c>
      <c r="BM1928">
        <v>8</v>
      </c>
      <c r="BN1928">
        <v>8</v>
      </c>
      <c r="BO1928">
        <v>8</v>
      </c>
      <c r="BP1928">
        <v>0</v>
      </c>
      <c r="BQ1928" t="str">
        <f>"8:30 AM"</f>
        <v>8:30 AM</v>
      </c>
      <c r="BR1928" t="str">
        <f>"5:00 PM"</f>
        <v>5:00 PM</v>
      </c>
      <c r="BS1928" t="s">
        <v>147</v>
      </c>
      <c r="BT1928">
        <v>0</v>
      </c>
      <c r="BU1928">
        <v>60</v>
      </c>
      <c r="BV1928" t="s">
        <v>114</v>
      </c>
      <c r="BX1928" s="2" t="s">
        <v>12020</v>
      </c>
      <c r="BY1928" t="s">
        <v>12015</v>
      </c>
      <c r="CA1928" t="s">
        <v>12016</v>
      </c>
      <c r="CB1928" t="s">
        <v>211</v>
      </c>
      <c r="CC1928" s="8" t="str">
        <f>"84124"</f>
        <v>84124</v>
      </c>
      <c r="CD1928" t="s">
        <v>1567</v>
      </c>
      <c r="CE1928" t="s">
        <v>1568</v>
      </c>
      <c r="CF1928" s="12">
        <v>15.29</v>
      </c>
      <c r="CG1928" s="12">
        <v>17.29</v>
      </c>
      <c r="CH1928" s="12">
        <v>22.94</v>
      </c>
      <c r="CI1928" s="12">
        <v>25.94</v>
      </c>
      <c r="CJ1928" t="s">
        <v>135</v>
      </c>
      <c r="CL1928" t="s">
        <v>12021</v>
      </c>
      <c r="CO1928" t="s">
        <v>132</v>
      </c>
      <c r="CP1928" t="s">
        <v>114</v>
      </c>
      <c r="CQ1928" t="s">
        <v>136</v>
      </c>
      <c r="CR1928" t="s">
        <v>114</v>
      </c>
      <c r="CS1928" t="s">
        <v>136</v>
      </c>
      <c r="CT1928" t="s">
        <v>136</v>
      </c>
      <c r="CU1928" t="s">
        <v>114</v>
      </c>
      <c r="CV1928" t="s">
        <v>1789</v>
      </c>
      <c r="CW1928" s="10" t="str">
        <f>"+18014109063"</f>
        <v>+18014109063</v>
      </c>
      <c r="CX1928" t="s">
        <v>12022</v>
      </c>
      <c r="CY1928" t="s">
        <v>132</v>
      </c>
      <c r="CZ1928" t="s">
        <v>137</v>
      </c>
      <c r="DA1928" t="s">
        <v>114</v>
      </c>
      <c r="DB1928" t="s">
        <v>114</v>
      </c>
      <c r="DC1928" t="s">
        <v>136</v>
      </c>
      <c r="DD1928" t="s">
        <v>114</v>
      </c>
    </row>
    <row r="1929" spans="1:108" ht="15" customHeight="1" x14ac:dyDescent="0.25">
      <c r="A1929" t="s">
        <v>17009</v>
      </c>
      <c r="B1929" t="s">
        <v>113</v>
      </c>
      <c r="C1929" s="1">
        <v>45142.794794907408</v>
      </c>
      <c r="D1929" s="1">
        <v>45231</v>
      </c>
      <c r="E1929" t="s">
        <v>136</v>
      </c>
      <c r="F1929" t="s">
        <v>17010</v>
      </c>
      <c r="G1929" t="str">
        <f>"39-9011.01"</f>
        <v>39-9011.01</v>
      </c>
      <c r="H1929" t="s">
        <v>183</v>
      </c>
      <c r="I1929">
        <v>1</v>
      </c>
      <c r="K1929" s="1">
        <v>45217</v>
      </c>
      <c r="L1929" s="1">
        <v>45930</v>
      </c>
      <c r="O1929" t="s">
        <v>184</v>
      </c>
      <c r="P1929" t="s">
        <v>17011</v>
      </c>
      <c r="Q1929" t="s">
        <v>692</v>
      </c>
      <c r="R1929" t="s">
        <v>17012</v>
      </c>
      <c r="T1929" t="s">
        <v>412</v>
      </c>
      <c r="U1929" t="s">
        <v>402</v>
      </c>
      <c r="V1929" s="8" t="str">
        <f>"94121-1130"</f>
        <v>94121-1130</v>
      </c>
      <c r="W1929" t="s">
        <v>118</v>
      </c>
      <c r="X1929" t="s">
        <v>17013</v>
      </c>
      <c r="Y1929" s="10">
        <v>14159162840</v>
      </c>
      <c r="AA1929">
        <v>814110</v>
      </c>
      <c r="AB1929" t="s">
        <v>12500</v>
      </c>
      <c r="AC1929" t="s">
        <v>826</v>
      </c>
      <c r="AD1929" t="s">
        <v>17014</v>
      </c>
      <c r="AE1929" t="s">
        <v>120</v>
      </c>
      <c r="AF1929" t="s">
        <v>17012</v>
      </c>
      <c r="AH1929" t="s">
        <v>412</v>
      </c>
      <c r="AI1929" t="s">
        <v>402</v>
      </c>
      <c r="AJ1929" s="8" t="str">
        <f>"94121-1130"</f>
        <v>94121-1130</v>
      </c>
      <c r="AK1929" t="s">
        <v>118</v>
      </c>
      <c r="AL1929" t="s">
        <v>692</v>
      </c>
      <c r="AM1929" s="10">
        <v>14159162840</v>
      </c>
      <c r="AO1929" t="s">
        <v>17015</v>
      </c>
      <c r="AP1929" t="s">
        <v>121</v>
      </c>
      <c r="AQ1929" t="s">
        <v>3935</v>
      </c>
      <c r="AR1929" t="s">
        <v>3936</v>
      </c>
      <c r="AS1929" t="s">
        <v>3937</v>
      </c>
      <c r="AT1929" t="s">
        <v>3938</v>
      </c>
      <c r="AU1929" t="s">
        <v>3939</v>
      </c>
      <c r="AV1929" t="s">
        <v>3940</v>
      </c>
      <c r="AW1929" t="s">
        <v>2262</v>
      </c>
      <c r="AX1929" s="8" t="str">
        <f>"06510"</f>
        <v>06510</v>
      </c>
      <c r="AY1929" t="s">
        <v>118</v>
      </c>
      <c r="BA1929" s="10">
        <v>19198270660</v>
      </c>
      <c r="BC1929" t="s">
        <v>3941</v>
      </c>
      <c r="BD1929" t="s">
        <v>3942</v>
      </c>
      <c r="BE1929" t="s">
        <v>375</v>
      </c>
      <c r="BF1929" t="s">
        <v>3943</v>
      </c>
      <c r="BG1929" t="s">
        <v>402</v>
      </c>
      <c r="BH1929" s="1">
        <v>45133.833333333336</v>
      </c>
      <c r="BI1929">
        <v>61</v>
      </c>
      <c r="BJ1929">
        <v>2</v>
      </c>
      <c r="BK1929">
        <v>11</v>
      </c>
      <c r="BL1929">
        <v>11</v>
      </c>
      <c r="BM1929">
        <v>11</v>
      </c>
      <c r="BN1929">
        <v>11</v>
      </c>
      <c r="BO1929">
        <v>11</v>
      </c>
      <c r="BP1929">
        <v>4</v>
      </c>
      <c r="BQ1929" t="str">
        <f>"6:00 AM"</f>
        <v>6:00 AM</v>
      </c>
      <c r="BR1929" t="str">
        <f>"5:00 PM"</f>
        <v>5:00 PM</v>
      </c>
      <c r="BS1929" t="s">
        <v>131</v>
      </c>
      <c r="BT1929">
        <v>0</v>
      </c>
      <c r="BU1929">
        <v>0</v>
      </c>
      <c r="BV1929" t="s">
        <v>114</v>
      </c>
      <c r="BX1929" t="s">
        <v>132</v>
      </c>
      <c r="BY1929" t="s">
        <v>17012</v>
      </c>
      <c r="CA1929" t="s">
        <v>412</v>
      </c>
      <c r="CB1929" t="s">
        <v>402</v>
      </c>
      <c r="CC1929" s="8" t="str">
        <f>"94121-1130"</f>
        <v>94121-1130</v>
      </c>
      <c r="CD1929" t="s">
        <v>12071</v>
      </c>
      <c r="CE1929" t="s">
        <v>2737</v>
      </c>
      <c r="CF1929" s="12">
        <v>18.809999999999999</v>
      </c>
      <c r="CG1929" s="12">
        <v>18.809999999999999</v>
      </c>
      <c r="CH1929" s="12">
        <v>28.22</v>
      </c>
      <c r="CI1929" s="12">
        <v>28.22</v>
      </c>
      <c r="CJ1929" t="s">
        <v>135</v>
      </c>
      <c r="CL1929" t="s">
        <v>17016</v>
      </c>
      <c r="CO1929" t="s">
        <v>132</v>
      </c>
      <c r="CP1929" t="s">
        <v>136</v>
      </c>
      <c r="CQ1929" t="s">
        <v>114</v>
      </c>
      <c r="CR1929" t="s">
        <v>136</v>
      </c>
      <c r="CS1929" t="s">
        <v>114</v>
      </c>
      <c r="CT1929" t="s">
        <v>136</v>
      </c>
      <c r="CU1929" t="s">
        <v>136</v>
      </c>
      <c r="CV1929" s="2" t="s">
        <v>17017</v>
      </c>
      <c r="CW1929" s="10" t="str">
        <f>"+14159162840"</f>
        <v>+14159162840</v>
      </c>
      <c r="CX1929" t="s">
        <v>17015</v>
      </c>
      <c r="CY1929" t="s">
        <v>132</v>
      </c>
      <c r="CZ1929" t="s">
        <v>137</v>
      </c>
      <c r="DA1929" t="s">
        <v>114</v>
      </c>
      <c r="DB1929" t="s">
        <v>114</v>
      </c>
      <c r="DC1929" t="s">
        <v>136</v>
      </c>
      <c r="DD1929" t="s">
        <v>114</v>
      </c>
    </row>
    <row r="1930" spans="1:108" ht="15" customHeight="1" x14ac:dyDescent="0.25">
      <c r="A1930" t="s">
        <v>3928</v>
      </c>
      <c r="B1930" t="s">
        <v>113</v>
      </c>
      <c r="C1930" s="1">
        <v>45142.790065740737</v>
      </c>
      <c r="D1930" s="1">
        <v>45231</v>
      </c>
      <c r="E1930" t="s">
        <v>114</v>
      </c>
      <c r="F1930" t="s">
        <v>3929</v>
      </c>
      <c r="G1930" t="str">
        <f>"35-1012.00"</f>
        <v>35-1012.00</v>
      </c>
      <c r="H1930" t="s">
        <v>2122</v>
      </c>
      <c r="I1930">
        <v>5</v>
      </c>
      <c r="K1930" s="1">
        <v>45217</v>
      </c>
      <c r="L1930" s="1">
        <v>46235</v>
      </c>
      <c r="O1930" t="s">
        <v>184</v>
      </c>
      <c r="P1930" t="s">
        <v>3930</v>
      </c>
      <c r="R1930" t="s">
        <v>3931</v>
      </c>
      <c r="T1930" t="s">
        <v>3033</v>
      </c>
      <c r="U1930" t="s">
        <v>2706</v>
      </c>
      <c r="V1930" s="8" t="str">
        <f>"99501"</f>
        <v>99501</v>
      </c>
      <c r="W1930" t="s">
        <v>118</v>
      </c>
      <c r="Y1930" s="10">
        <v>19073024488</v>
      </c>
      <c r="AA1930">
        <v>722511</v>
      </c>
      <c r="AB1930" t="s">
        <v>3932</v>
      </c>
      <c r="AC1930" t="s">
        <v>986</v>
      </c>
      <c r="AE1930" t="s">
        <v>3933</v>
      </c>
      <c r="AF1930" t="s">
        <v>3931</v>
      </c>
      <c r="AH1930" t="s">
        <v>3033</v>
      </c>
      <c r="AI1930" t="s">
        <v>2706</v>
      </c>
      <c r="AJ1930" s="8" t="str">
        <f>"99501"</f>
        <v>99501</v>
      </c>
      <c r="AK1930" t="s">
        <v>118</v>
      </c>
      <c r="AM1930" s="10">
        <v>19073023638</v>
      </c>
      <c r="AO1930" t="s">
        <v>3934</v>
      </c>
      <c r="AP1930" t="s">
        <v>121</v>
      </c>
      <c r="AQ1930" t="s">
        <v>3935</v>
      </c>
      <c r="AR1930" t="s">
        <v>3936</v>
      </c>
      <c r="AS1930" t="s">
        <v>3937</v>
      </c>
      <c r="AT1930" t="s">
        <v>3938</v>
      </c>
      <c r="AU1930" t="s">
        <v>3939</v>
      </c>
      <c r="AV1930" t="s">
        <v>3940</v>
      </c>
      <c r="AW1930" t="s">
        <v>2262</v>
      </c>
      <c r="AX1930" s="8" t="str">
        <f>"06510"</f>
        <v>06510</v>
      </c>
      <c r="AY1930" t="s">
        <v>118</v>
      </c>
      <c r="BA1930" s="10">
        <v>19198270660</v>
      </c>
      <c r="BC1930" t="s">
        <v>3941</v>
      </c>
      <c r="BD1930" t="s">
        <v>3942</v>
      </c>
      <c r="BE1930" t="s">
        <v>375</v>
      </c>
      <c r="BF1930" t="s">
        <v>3943</v>
      </c>
      <c r="BG1930" t="s">
        <v>2706</v>
      </c>
      <c r="BH1930" s="1">
        <v>45141.833333333336</v>
      </c>
      <c r="BI1930">
        <v>48</v>
      </c>
      <c r="BJ1930">
        <v>4</v>
      </c>
      <c r="BK1930">
        <v>8</v>
      </c>
      <c r="BL1930">
        <v>8</v>
      </c>
      <c r="BM1930">
        <v>8</v>
      </c>
      <c r="BN1930">
        <v>8</v>
      </c>
      <c r="BO1930">
        <v>8</v>
      </c>
      <c r="BP1930">
        <v>4</v>
      </c>
      <c r="BQ1930" t="str">
        <f>"7:00 AM"</f>
        <v>7:00 AM</v>
      </c>
      <c r="BR1930" t="str">
        <f>"11:00 PM"</f>
        <v>11:00 PM</v>
      </c>
      <c r="BS1930" t="s">
        <v>1506</v>
      </c>
      <c r="BT1930">
        <v>0</v>
      </c>
      <c r="BU1930">
        <v>12</v>
      </c>
      <c r="BV1930" t="s">
        <v>136</v>
      </c>
      <c r="BW1930">
        <v>20</v>
      </c>
      <c r="BX1930" t="s">
        <v>3944</v>
      </c>
      <c r="BY1930" t="s">
        <v>3945</v>
      </c>
      <c r="CA1930" t="s">
        <v>3033</v>
      </c>
      <c r="CB1930" t="s">
        <v>2706</v>
      </c>
      <c r="CC1930" s="8" t="str">
        <f>"99519"</f>
        <v>99519</v>
      </c>
      <c r="CD1930" t="s">
        <v>3034</v>
      </c>
      <c r="CE1930" t="s">
        <v>3035</v>
      </c>
      <c r="CF1930" s="12">
        <v>19.73</v>
      </c>
      <c r="CG1930" s="12">
        <v>19.73</v>
      </c>
      <c r="CH1930" s="12">
        <v>29.56</v>
      </c>
      <c r="CI1930" s="12">
        <v>29.56</v>
      </c>
      <c r="CJ1930" t="s">
        <v>135</v>
      </c>
      <c r="CL1930" t="s">
        <v>3946</v>
      </c>
      <c r="CO1930" t="s">
        <v>132</v>
      </c>
      <c r="CP1930" t="s">
        <v>114</v>
      </c>
      <c r="CQ1930" t="s">
        <v>114</v>
      </c>
      <c r="CR1930" t="s">
        <v>136</v>
      </c>
      <c r="CS1930" t="s">
        <v>114</v>
      </c>
      <c r="CT1930" t="s">
        <v>136</v>
      </c>
      <c r="CU1930" t="s">
        <v>136</v>
      </c>
      <c r="CV1930" t="s">
        <v>3947</v>
      </c>
      <c r="CW1930" s="10" t="str">
        <f>"+19073023638"</f>
        <v>+19073023638</v>
      </c>
      <c r="CX1930" t="s">
        <v>3934</v>
      </c>
      <c r="CY1930" t="s">
        <v>132</v>
      </c>
      <c r="CZ1930" t="s">
        <v>137</v>
      </c>
      <c r="DA1930" t="s">
        <v>114</v>
      </c>
      <c r="DB1930" t="s">
        <v>114</v>
      </c>
      <c r="DC1930" t="s">
        <v>136</v>
      </c>
      <c r="DD1930" t="s">
        <v>114</v>
      </c>
    </row>
    <row r="1931" spans="1:108" ht="15" customHeight="1" x14ac:dyDescent="0.25">
      <c r="A1931" t="s">
        <v>15346</v>
      </c>
      <c r="B1931" t="s">
        <v>113</v>
      </c>
      <c r="C1931" s="1">
        <v>45142.784835763887</v>
      </c>
      <c r="D1931" s="1">
        <v>45231</v>
      </c>
      <c r="E1931" t="s">
        <v>114</v>
      </c>
      <c r="F1931" t="s">
        <v>15347</v>
      </c>
      <c r="G1931" t="str">
        <f>"41-2011.00"</f>
        <v>41-2011.00</v>
      </c>
      <c r="H1931" t="s">
        <v>3638</v>
      </c>
      <c r="I1931">
        <v>5</v>
      </c>
      <c r="K1931" s="1">
        <v>45217</v>
      </c>
      <c r="L1931" s="1">
        <v>46235</v>
      </c>
      <c r="O1931" t="s">
        <v>184</v>
      </c>
      <c r="P1931" t="s">
        <v>3930</v>
      </c>
      <c r="R1931" t="s">
        <v>3931</v>
      </c>
      <c r="T1931" t="s">
        <v>3033</v>
      </c>
      <c r="U1931" t="s">
        <v>2706</v>
      </c>
      <c r="V1931" s="8" t="str">
        <f>"99501"</f>
        <v>99501</v>
      </c>
      <c r="W1931" t="s">
        <v>118</v>
      </c>
      <c r="Y1931" s="10">
        <v>19073024488</v>
      </c>
      <c r="AA1931">
        <v>722511</v>
      </c>
      <c r="AB1931" t="s">
        <v>3932</v>
      </c>
      <c r="AC1931" t="s">
        <v>986</v>
      </c>
      <c r="AE1931" t="s">
        <v>3933</v>
      </c>
      <c r="AF1931" t="s">
        <v>3931</v>
      </c>
      <c r="AH1931" t="s">
        <v>3033</v>
      </c>
      <c r="AI1931" t="s">
        <v>2706</v>
      </c>
      <c r="AJ1931" s="8" t="str">
        <f>"99501"</f>
        <v>99501</v>
      </c>
      <c r="AK1931" t="s">
        <v>118</v>
      </c>
      <c r="AM1931" s="10">
        <v>19073023638</v>
      </c>
      <c r="AO1931" t="s">
        <v>3934</v>
      </c>
      <c r="AP1931" t="s">
        <v>121</v>
      </c>
      <c r="AQ1931" t="s">
        <v>3935</v>
      </c>
      <c r="AR1931" t="s">
        <v>3936</v>
      </c>
      <c r="AS1931" t="s">
        <v>3937</v>
      </c>
      <c r="AT1931" t="s">
        <v>3938</v>
      </c>
      <c r="AU1931" t="s">
        <v>3939</v>
      </c>
      <c r="AV1931" t="s">
        <v>3940</v>
      </c>
      <c r="AW1931" t="s">
        <v>2262</v>
      </c>
      <c r="AX1931" s="8" t="str">
        <f>"06510"</f>
        <v>06510</v>
      </c>
      <c r="AY1931" t="s">
        <v>118</v>
      </c>
      <c r="BA1931" s="10">
        <v>19198270660</v>
      </c>
      <c r="BC1931" t="s">
        <v>3941</v>
      </c>
      <c r="BD1931" t="s">
        <v>3942</v>
      </c>
      <c r="BE1931" t="s">
        <v>375</v>
      </c>
      <c r="BF1931" t="s">
        <v>3943</v>
      </c>
      <c r="BG1931" t="s">
        <v>2706</v>
      </c>
      <c r="BH1931" s="1">
        <v>45141.833333333336</v>
      </c>
      <c r="BI1931">
        <v>48</v>
      </c>
      <c r="BJ1931">
        <v>4</v>
      </c>
      <c r="BK1931">
        <v>8</v>
      </c>
      <c r="BL1931">
        <v>8</v>
      </c>
      <c r="BM1931">
        <v>8</v>
      </c>
      <c r="BN1931">
        <v>8</v>
      </c>
      <c r="BO1931">
        <v>8</v>
      </c>
      <c r="BP1931">
        <v>4</v>
      </c>
      <c r="BQ1931" t="str">
        <f>"7:00 AM"</f>
        <v>7:00 AM</v>
      </c>
      <c r="BR1931" t="str">
        <f>"11:00 PM"</f>
        <v>11:00 PM</v>
      </c>
      <c r="BS1931" t="s">
        <v>147</v>
      </c>
      <c r="BT1931">
        <v>0</v>
      </c>
      <c r="BU1931">
        <v>12</v>
      </c>
      <c r="BV1931" t="s">
        <v>114</v>
      </c>
      <c r="BX1931" t="s">
        <v>15348</v>
      </c>
      <c r="BY1931" t="s">
        <v>3945</v>
      </c>
      <c r="CA1931" t="s">
        <v>3033</v>
      </c>
      <c r="CB1931" t="s">
        <v>2706</v>
      </c>
      <c r="CC1931" s="8" t="str">
        <f>"99519"</f>
        <v>99519</v>
      </c>
      <c r="CD1931" t="s">
        <v>3034</v>
      </c>
      <c r="CE1931" t="s">
        <v>3035</v>
      </c>
      <c r="CF1931" s="12">
        <v>16.27</v>
      </c>
      <c r="CG1931" s="12">
        <v>16.27</v>
      </c>
      <c r="CH1931" s="12">
        <v>24.41</v>
      </c>
      <c r="CI1931" s="12">
        <v>24.41</v>
      </c>
      <c r="CJ1931" t="s">
        <v>135</v>
      </c>
      <c r="CL1931" t="s">
        <v>15349</v>
      </c>
      <c r="CO1931" t="s">
        <v>132</v>
      </c>
      <c r="CP1931" t="s">
        <v>114</v>
      </c>
      <c r="CQ1931" t="s">
        <v>114</v>
      </c>
      <c r="CR1931" t="s">
        <v>136</v>
      </c>
      <c r="CS1931" t="s">
        <v>114</v>
      </c>
      <c r="CT1931" t="s">
        <v>136</v>
      </c>
      <c r="CU1931" t="s">
        <v>136</v>
      </c>
      <c r="CV1931" s="2" t="s">
        <v>15350</v>
      </c>
      <c r="CW1931" s="10" t="str">
        <f>"+19073023638"</f>
        <v>+19073023638</v>
      </c>
      <c r="CX1931" t="s">
        <v>3934</v>
      </c>
      <c r="CY1931" t="s">
        <v>132</v>
      </c>
      <c r="CZ1931" t="s">
        <v>137</v>
      </c>
      <c r="DA1931" t="s">
        <v>114</v>
      </c>
      <c r="DB1931" t="s">
        <v>114</v>
      </c>
      <c r="DC1931" t="s">
        <v>136</v>
      </c>
      <c r="DD1931" t="s">
        <v>114</v>
      </c>
    </row>
    <row r="1932" spans="1:108" ht="15" customHeight="1" x14ac:dyDescent="0.25">
      <c r="A1932" t="s">
        <v>4704</v>
      </c>
      <c r="B1932" t="s">
        <v>113</v>
      </c>
      <c r="C1932" s="1">
        <v>45142.777796643517</v>
      </c>
      <c r="D1932" s="1">
        <v>45231</v>
      </c>
      <c r="E1932" t="s">
        <v>114</v>
      </c>
      <c r="F1932" t="s">
        <v>153</v>
      </c>
      <c r="G1932" t="str">
        <f>"35-2014.00"</f>
        <v>35-2014.00</v>
      </c>
      <c r="H1932" t="s">
        <v>154</v>
      </c>
      <c r="I1932">
        <v>15</v>
      </c>
      <c r="K1932" s="1">
        <v>45217</v>
      </c>
      <c r="L1932" s="1">
        <v>46022</v>
      </c>
      <c r="O1932" t="s">
        <v>184</v>
      </c>
      <c r="P1932" t="s">
        <v>3930</v>
      </c>
      <c r="R1932" t="s">
        <v>3931</v>
      </c>
      <c r="T1932" t="s">
        <v>3033</v>
      </c>
      <c r="U1932" t="s">
        <v>2706</v>
      </c>
      <c r="V1932" s="8" t="str">
        <f>"99501"</f>
        <v>99501</v>
      </c>
      <c r="W1932" t="s">
        <v>118</v>
      </c>
      <c r="Y1932" s="10">
        <v>19073024488</v>
      </c>
      <c r="AA1932">
        <v>722511</v>
      </c>
      <c r="AB1932" t="s">
        <v>3932</v>
      </c>
      <c r="AC1932" t="s">
        <v>986</v>
      </c>
      <c r="AE1932" t="s">
        <v>3933</v>
      </c>
      <c r="AF1932" t="s">
        <v>3931</v>
      </c>
      <c r="AH1932" t="s">
        <v>3033</v>
      </c>
      <c r="AI1932" t="s">
        <v>2706</v>
      </c>
      <c r="AJ1932" s="8" t="str">
        <f>"99501"</f>
        <v>99501</v>
      </c>
      <c r="AK1932" t="s">
        <v>118</v>
      </c>
      <c r="AM1932" s="10">
        <v>19073023638</v>
      </c>
      <c r="AO1932" t="s">
        <v>3934</v>
      </c>
      <c r="AP1932" t="s">
        <v>121</v>
      </c>
      <c r="AQ1932" t="s">
        <v>3935</v>
      </c>
      <c r="AR1932" t="s">
        <v>3936</v>
      </c>
      <c r="AS1932" t="s">
        <v>3937</v>
      </c>
      <c r="AT1932" t="s">
        <v>3938</v>
      </c>
      <c r="AU1932" t="s">
        <v>3939</v>
      </c>
      <c r="AV1932" t="s">
        <v>3940</v>
      </c>
      <c r="AW1932" t="s">
        <v>2262</v>
      </c>
      <c r="AX1932" s="8" t="str">
        <f>"06510"</f>
        <v>06510</v>
      </c>
      <c r="AY1932" t="s">
        <v>118</v>
      </c>
      <c r="BA1932" s="10">
        <v>19198270660</v>
      </c>
      <c r="BC1932" t="s">
        <v>3941</v>
      </c>
      <c r="BD1932" t="s">
        <v>3942</v>
      </c>
      <c r="BE1932" t="s">
        <v>375</v>
      </c>
      <c r="BF1932" t="s">
        <v>3943</v>
      </c>
      <c r="BG1932" t="s">
        <v>2706</v>
      </c>
      <c r="BH1932" s="1">
        <v>45141.833333333336</v>
      </c>
      <c r="BI1932">
        <v>48</v>
      </c>
      <c r="BJ1932">
        <v>4</v>
      </c>
      <c r="BK1932">
        <v>8</v>
      </c>
      <c r="BL1932">
        <v>8</v>
      </c>
      <c r="BM1932">
        <v>8</v>
      </c>
      <c r="BN1932">
        <v>8</v>
      </c>
      <c r="BO1932">
        <v>8</v>
      </c>
      <c r="BP1932">
        <v>4</v>
      </c>
      <c r="BQ1932" t="str">
        <f>"7:00 AM"</f>
        <v>7:00 AM</v>
      </c>
      <c r="BR1932" t="str">
        <f>"11:00 PM"</f>
        <v>11:00 PM</v>
      </c>
      <c r="BS1932" t="s">
        <v>147</v>
      </c>
      <c r="BT1932">
        <v>0</v>
      </c>
      <c r="BU1932">
        <v>12</v>
      </c>
      <c r="BV1932" t="s">
        <v>114</v>
      </c>
      <c r="BX1932" t="s">
        <v>4705</v>
      </c>
      <c r="BY1932" t="s">
        <v>3945</v>
      </c>
      <c r="CA1932" t="s">
        <v>3033</v>
      </c>
      <c r="CB1932" t="s">
        <v>2706</v>
      </c>
      <c r="CC1932" s="8" t="str">
        <f>"99519"</f>
        <v>99519</v>
      </c>
      <c r="CD1932" t="s">
        <v>3034</v>
      </c>
      <c r="CE1932" t="s">
        <v>3035</v>
      </c>
      <c r="CF1932" s="12">
        <v>18.32</v>
      </c>
      <c r="CG1932" s="12">
        <v>18.32</v>
      </c>
      <c r="CH1932" s="12">
        <v>27.48</v>
      </c>
      <c r="CI1932" s="12">
        <v>27.48</v>
      </c>
      <c r="CJ1932" t="s">
        <v>135</v>
      </c>
      <c r="CL1932" t="s">
        <v>4706</v>
      </c>
      <c r="CO1932" t="s">
        <v>132</v>
      </c>
      <c r="CP1932" t="s">
        <v>114</v>
      </c>
      <c r="CQ1932" t="s">
        <v>114</v>
      </c>
      <c r="CR1932" t="s">
        <v>136</v>
      </c>
      <c r="CS1932" t="s">
        <v>114</v>
      </c>
      <c r="CT1932" t="s">
        <v>136</v>
      </c>
      <c r="CU1932" t="s">
        <v>136</v>
      </c>
      <c r="CV1932" t="s">
        <v>4707</v>
      </c>
      <c r="CW1932" s="10" t="str">
        <f>"+19073023638"</f>
        <v>+19073023638</v>
      </c>
      <c r="CX1932" t="s">
        <v>3934</v>
      </c>
      <c r="CY1932" t="s">
        <v>132</v>
      </c>
      <c r="CZ1932" t="s">
        <v>137</v>
      </c>
      <c r="DA1932" t="s">
        <v>114</v>
      </c>
      <c r="DB1932" t="s">
        <v>114</v>
      </c>
      <c r="DC1932" t="s">
        <v>136</v>
      </c>
      <c r="DD1932" t="s">
        <v>114</v>
      </c>
    </row>
    <row r="1933" spans="1:108" ht="15" customHeight="1" x14ac:dyDescent="0.25">
      <c r="A1933" t="s">
        <v>10368</v>
      </c>
      <c r="B1933" t="s">
        <v>113</v>
      </c>
      <c r="C1933" s="1">
        <v>45141.669632986108</v>
      </c>
      <c r="D1933" s="1">
        <v>45231</v>
      </c>
      <c r="E1933" t="s">
        <v>114</v>
      </c>
      <c r="F1933" t="s">
        <v>1088</v>
      </c>
      <c r="G1933" t="str">
        <f>"37-2011.00"</f>
        <v>37-2011.00</v>
      </c>
      <c r="H1933" t="s">
        <v>1089</v>
      </c>
      <c r="I1933">
        <v>2</v>
      </c>
      <c r="K1933" s="1">
        <v>45216</v>
      </c>
      <c r="L1933" s="1">
        <v>45901</v>
      </c>
      <c r="O1933" t="s">
        <v>184</v>
      </c>
      <c r="P1933" t="s">
        <v>10369</v>
      </c>
      <c r="R1933" t="s">
        <v>10370</v>
      </c>
      <c r="T1933" t="s">
        <v>10371</v>
      </c>
      <c r="U1933" t="s">
        <v>984</v>
      </c>
      <c r="V1933" s="8" t="str">
        <f>"64011"</f>
        <v>64011</v>
      </c>
      <c r="W1933" t="s">
        <v>118</v>
      </c>
      <c r="Y1933" s="10">
        <v>18167864848</v>
      </c>
      <c r="AA1933">
        <v>447110</v>
      </c>
      <c r="AB1933" t="s">
        <v>10372</v>
      </c>
      <c r="AC1933" t="s">
        <v>10373</v>
      </c>
      <c r="AE1933" t="s">
        <v>743</v>
      </c>
      <c r="AF1933" t="s">
        <v>10370</v>
      </c>
      <c r="AH1933" t="s">
        <v>10371</v>
      </c>
      <c r="AI1933" t="s">
        <v>984</v>
      </c>
      <c r="AJ1933" s="8" t="str">
        <f>"64011"</f>
        <v>64011</v>
      </c>
      <c r="AK1933" t="s">
        <v>118</v>
      </c>
      <c r="AM1933" s="10" t="s">
        <v>10374</v>
      </c>
      <c r="AO1933" t="s">
        <v>10375</v>
      </c>
      <c r="AP1933" t="s">
        <v>121</v>
      </c>
      <c r="AQ1933" t="s">
        <v>3935</v>
      </c>
      <c r="AR1933" t="s">
        <v>3936</v>
      </c>
      <c r="AS1933" t="s">
        <v>3937</v>
      </c>
      <c r="AT1933" t="s">
        <v>3938</v>
      </c>
      <c r="AU1933" t="s">
        <v>3939</v>
      </c>
      <c r="AV1933" t="s">
        <v>3940</v>
      </c>
      <c r="AW1933" t="s">
        <v>2262</v>
      </c>
      <c r="AX1933" s="8" t="str">
        <f>"06510"</f>
        <v>06510</v>
      </c>
      <c r="AY1933" t="s">
        <v>118</v>
      </c>
      <c r="BA1933" s="10">
        <v>19198270660</v>
      </c>
      <c r="BC1933" t="s">
        <v>3941</v>
      </c>
      <c r="BD1933" t="s">
        <v>3942</v>
      </c>
      <c r="BE1933" t="s">
        <v>375</v>
      </c>
      <c r="BF1933" t="s">
        <v>3943</v>
      </c>
      <c r="BG1933" t="s">
        <v>1734</v>
      </c>
      <c r="BH1933" s="1">
        <v>45140.833333333336</v>
      </c>
      <c r="BI1933">
        <v>44</v>
      </c>
      <c r="BJ1933">
        <v>0</v>
      </c>
      <c r="BK1933">
        <v>8</v>
      </c>
      <c r="BL1933">
        <v>8</v>
      </c>
      <c r="BM1933">
        <v>8</v>
      </c>
      <c r="BN1933">
        <v>8</v>
      </c>
      <c r="BO1933">
        <v>8</v>
      </c>
      <c r="BP1933">
        <v>4</v>
      </c>
      <c r="BQ1933" t="str">
        <f>"9:00 AM"</f>
        <v>9:00 AM</v>
      </c>
      <c r="BR1933" t="str">
        <f>"5:00 PM"</f>
        <v>5:00 PM</v>
      </c>
      <c r="BS1933" t="s">
        <v>147</v>
      </c>
      <c r="BT1933">
        <v>0</v>
      </c>
      <c r="BU1933">
        <v>0</v>
      </c>
      <c r="BV1933" t="s">
        <v>114</v>
      </c>
      <c r="BX1933" s="2" t="s">
        <v>10376</v>
      </c>
      <c r="BY1933" t="s">
        <v>10377</v>
      </c>
      <c r="CA1933" t="s">
        <v>6708</v>
      </c>
      <c r="CB1933" t="s">
        <v>1734</v>
      </c>
      <c r="CC1933" s="8" t="str">
        <f>"66801"</f>
        <v>66801</v>
      </c>
      <c r="CD1933" t="s">
        <v>2169</v>
      </c>
      <c r="CE1933" t="s">
        <v>5123</v>
      </c>
      <c r="CF1933" s="12">
        <v>13.88</v>
      </c>
      <c r="CG1933" s="12">
        <v>13.88</v>
      </c>
      <c r="CH1933" s="12">
        <v>20.82</v>
      </c>
      <c r="CI1933" s="12">
        <v>20.82</v>
      </c>
      <c r="CJ1933" t="s">
        <v>135</v>
      </c>
      <c r="CL1933" t="s">
        <v>10378</v>
      </c>
      <c r="CO1933" t="s">
        <v>132</v>
      </c>
      <c r="CP1933" t="s">
        <v>114</v>
      </c>
      <c r="CQ1933" t="s">
        <v>114</v>
      </c>
      <c r="CR1933" t="s">
        <v>136</v>
      </c>
      <c r="CS1933" t="s">
        <v>114</v>
      </c>
      <c r="CT1933" t="s">
        <v>136</v>
      </c>
      <c r="CU1933" t="s">
        <v>114</v>
      </c>
      <c r="CV1933" t="s">
        <v>9299</v>
      </c>
      <c r="CW1933" s="10" t="str">
        <f>"816 625 5539"</f>
        <v>816 625 5539</v>
      </c>
      <c r="CX1933" t="s">
        <v>10375</v>
      </c>
      <c r="CY1933" t="s">
        <v>132</v>
      </c>
      <c r="CZ1933" t="s">
        <v>137</v>
      </c>
      <c r="DA1933" t="s">
        <v>114</v>
      </c>
      <c r="DB1933" t="s">
        <v>114</v>
      </c>
      <c r="DC1933" t="s">
        <v>136</v>
      </c>
      <c r="DD1933" t="s">
        <v>114</v>
      </c>
    </row>
    <row r="1934" spans="1:108" ht="15" customHeight="1" x14ac:dyDescent="0.25">
      <c r="A1934" t="s">
        <v>11709</v>
      </c>
      <c r="B1934" t="s">
        <v>113</v>
      </c>
      <c r="C1934" s="1">
        <v>45168.63130601852</v>
      </c>
      <c r="D1934" s="1">
        <v>45230</v>
      </c>
      <c r="E1934" t="s">
        <v>114</v>
      </c>
      <c r="F1934" t="s">
        <v>10347</v>
      </c>
      <c r="G1934" t="str">
        <f>"43-4081.00"</f>
        <v>43-4081.00</v>
      </c>
      <c r="H1934" t="s">
        <v>952</v>
      </c>
      <c r="I1934">
        <v>1</v>
      </c>
      <c r="K1934" s="1">
        <v>45243</v>
      </c>
      <c r="L1934" s="1">
        <v>45334</v>
      </c>
      <c r="O1934" t="s">
        <v>238</v>
      </c>
      <c r="P1934" t="s">
        <v>11710</v>
      </c>
      <c r="Q1934" t="s">
        <v>4097</v>
      </c>
      <c r="R1934" t="s">
        <v>11711</v>
      </c>
      <c r="T1934" t="s">
        <v>3170</v>
      </c>
      <c r="U1934" t="s">
        <v>2194</v>
      </c>
      <c r="V1934" s="8" t="str">
        <f>"03251"</f>
        <v>03251</v>
      </c>
      <c r="W1934" t="s">
        <v>118</v>
      </c>
      <c r="Y1934" s="10">
        <v>16037457500</v>
      </c>
      <c r="AA1934">
        <v>721110</v>
      </c>
      <c r="AB1934" t="s">
        <v>3920</v>
      </c>
      <c r="AC1934" t="s">
        <v>3921</v>
      </c>
      <c r="AE1934" t="s">
        <v>3922</v>
      </c>
      <c r="AF1934" t="s">
        <v>4099</v>
      </c>
      <c r="AH1934" t="s">
        <v>4100</v>
      </c>
      <c r="AI1934" t="s">
        <v>222</v>
      </c>
      <c r="AJ1934" s="8" t="str">
        <f>"02601"</f>
        <v>02601</v>
      </c>
      <c r="AK1934" t="s">
        <v>118</v>
      </c>
      <c r="AM1934" s="10">
        <v>15089571880</v>
      </c>
      <c r="AO1934" t="s">
        <v>3923</v>
      </c>
      <c r="AX1934" s="8" t="str">
        <f>""</f>
        <v/>
      </c>
      <c r="BG1934" t="s">
        <v>2194</v>
      </c>
      <c r="BH1934" s="1">
        <v>45167.833333333336</v>
      </c>
      <c r="BI1934">
        <v>40</v>
      </c>
      <c r="BJ1934">
        <v>8</v>
      </c>
      <c r="BK1934">
        <v>8</v>
      </c>
      <c r="BL1934">
        <v>0</v>
      </c>
      <c r="BM1934">
        <v>8</v>
      </c>
      <c r="BN1934">
        <v>0</v>
      </c>
      <c r="BO1934">
        <v>8</v>
      </c>
      <c r="BP1934">
        <v>8</v>
      </c>
      <c r="BQ1934" t="str">
        <f>"7:00 AM"</f>
        <v>7:00 AM</v>
      </c>
      <c r="BR1934" t="str">
        <f>"3:30 PM"</f>
        <v>3:30 PM</v>
      </c>
      <c r="BS1934" t="s">
        <v>147</v>
      </c>
      <c r="BT1934">
        <v>0</v>
      </c>
      <c r="BU1934">
        <v>0</v>
      </c>
      <c r="BV1934" t="s">
        <v>114</v>
      </c>
      <c r="BX1934" s="2" t="s">
        <v>11712</v>
      </c>
      <c r="BY1934" t="s">
        <v>11713</v>
      </c>
      <c r="CA1934" t="s">
        <v>3170</v>
      </c>
      <c r="CB1934" t="s">
        <v>2194</v>
      </c>
      <c r="CC1934" s="8" t="str">
        <f>"03251"</f>
        <v>03251</v>
      </c>
      <c r="CD1934" t="s">
        <v>3924</v>
      </c>
      <c r="CE1934" t="s">
        <v>2365</v>
      </c>
      <c r="CF1934" s="12">
        <v>14.76</v>
      </c>
      <c r="CJ1934" t="s">
        <v>135</v>
      </c>
      <c r="CL1934" t="s">
        <v>11714</v>
      </c>
      <c r="CO1934" t="s">
        <v>132</v>
      </c>
      <c r="CP1934" t="s">
        <v>114</v>
      </c>
      <c r="CQ1934" t="s">
        <v>114</v>
      </c>
      <c r="CR1934" t="s">
        <v>114</v>
      </c>
      <c r="CS1934" t="s">
        <v>136</v>
      </c>
      <c r="CT1934" t="s">
        <v>136</v>
      </c>
      <c r="CU1934" t="s">
        <v>136</v>
      </c>
      <c r="CV1934" t="s">
        <v>11715</v>
      </c>
      <c r="CW1934" s="10" t="str">
        <f>"N/A"</f>
        <v>N/A</v>
      </c>
      <c r="CX1934" t="s">
        <v>3923</v>
      </c>
      <c r="CY1934" t="s">
        <v>4104</v>
      </c>
      <c r="CZ1934" t="s">
        <v>137</v>
      </c>
      <c r="DA1934" t="s">
        <v>114</v>
      </c>
      <c r="DB1934" t="s">
        <v>114</v>
      </c>
      <c r="DC1934" t="s">
        <v>136</v>
      </c>
      <c r="DD1934" t="s">
        <v>114</v>
      </c>
    </row>
    <row r="1935" spans="1:108" ht="15" customHeight="1" x14ac:dyDescent="0.25">
      <c r="A1935" t="s">
        <v>4095</v>
      </c>
      <c r="B1935" t="s">
        <v>113</v>
      </c>
      <c r="C1935" s="1">
        <v>45168.625493402775</v>
      </c>
      <c r="D1935" s="1">
        <v>45230</v>
      </c>
      <c r="E1935" t="s">
        <v>114</v>
      </c>
      <c r="F1935" t="s">
        <v>293</v>
      </c>
      <c r="G1935" t="str">
        <f>"37-2012.00"</f>
        <v>37-2012.00</v>
      </c>
      <c r="H1935" t="s">
        <v>205</v>
      </c>
      <c r="I1935">
        <v>1</v>
      </c>
      <c r="K1935" s="1">
        <v>45243</v>
      </c>
      <c r="L1935" s="1">
        <v>45334</v>
      </c>
      <c r="O1935" t="s">
        <v>238</v>
      </c>
      <c r="P1935" t="s">
        <v>4096</v>
      </c>
      <c r="Q1935" t="s">
        <v>4097</v>
      </c>
      <c r="R1935" t="s">
        <v>4098</v>
      </c>
      <c r="T1935" t="s">
        <v>3170</v>
      </c>
      <c r="U1935" t="s">
        <v>2194</v>
      </c>
      <c r="V1935" s="8" t="str">
        <f>"03251"</f>
        <v>03251</v>
      </c>
      <c r="W1935" t="s">
        <v>118</v>
      </c>
      <c r="Y1935" s="10">
        <v>16037457500</v>
      </c>
      <c r="AA1935">
        <v>721110</v>
      </c>
      <c r="AB1935" t="s">
        <v>3920</v>
      </c>
      <c r="AC1935" t="s">
        <v>3921</v>
      </c>
      <c r="AE1935" t="s">
        <v>3922</v>
      </c>
      <c r="AF1935" t="s">
        <v>4099</v>
      </c>
      <c r="AH1935" t="s">
        <v>4100</v>
      </c>
      <c r="AI1935" t="s">
        <v>222</v>
      </c>
      <c r="AJ1935" s="8" t="str">
        <f>"02601"</f>
        <v>02601</v>
      </c>
      <c r="AK1935" t="s">
        <v>118</v>
      </c>
      <c r="AM1935" s="10">
        <v>15089571880</v>
      </c>
      <c r="AO1935" t="s">
        <v>3923</v>
      </c>
      <c r="AX1935" s="8" t="str">
        <f>""</f>
        <v/>
      </c>
      <c r="BG1935" t="s">
        <v>2194</v>
      </c>
      <c r="BH1935" s="1">
        <v>45167.833333333336</v>
      </c>
      <c r="BI1935">
        <v>40</v>
      </c>
      <c r="BJ1935">
        <v>8</v>
      </c>
      <c r="BK1935">
        <v>8</v>
      </c>
      <c r="BL1935">
        <v>0</v>
      </c>
      <c r="BM1935">
        <v>8</v>
      </c>
      <c r="BN1935">
        <v>0</v>
      </c>
      <c r="BO1935">
        <v>8</v>
      </c>
      <c r="BP1935">
        <v>8</v>
      </c>
      <c r="BQ1935" t="str">
        <f>"7:00 AM"</f>
        <v>7:00 AM</v>
      </c>
      <c r="BR1935" t="str">
        <f>"3:30 PM"</f>
        <v>3:30 PM</v>
      </c>
      <c r="BS1935" t="s">
        <v>131</v>
      </c>
      <c r="BT1935">
        <v>0</v>
      </c>
      <c r="BU1935">
        <v>0</v>
      </c>
      <c r="BV1935" t="s">
        <v>114</v>
      </c>
      <c r="BX1935" t="s">
        <v>796</v>
      </c>
      <c r="BY1935" t="s">
        <v>4101</v>
      </c>
      <c r="CA1935" t="s">
        <v>3170</v>
      </c>
      <c r="CB1935" t="s">
        <v>2194</v>
      </c>
      <c r="CC1935" s="8" t="str">
        <f>"03251"</f>
        <v>03251</v>
      </c>
      <c r="CD1935" t="s">
        <v>3924</v>
      </c>
      <c r="CE1935" t="s">
        <v>2365</v>
      </c>
      <c r="CF1935" s="12">
        <v>14.58</v>
      </c>
      <c r="CJ1935" t="s">
        <v>135</v>
      </c>
      <c r="CL1935" t="s">
        <v>4102</v>
      </c>
      <c r="CO1935" t="s">
        <v>132</v>
      </c>
      <c r="CP1935" t="s">
        <v>114</v>
      </c>
      <c r="CQ1935" t="s">
        <v>114</v>
      </c>
      <c r="CR1935" t="s">
        <v>114</v>
      </c>
      <c r="CS1935" t="s">
        <v>136</v>
      </c>
      <c r="CT1935" t="s">
        <v>136</v>
      </c>
      <c r="CU1935" t="s">
        <v>136</v>
      </c>
      <c r="CV1935" t="s">
        <v>4103</v>
      </c>
      <c r="CW1935" s="10" t="str">
        <f>"N/A"</f>
        <v>N/A</v>
      </c>
      <c r="CX1935" t="s">
        <v>3923</v>
      </c>
      <c r="CY1935" t="s">
        <v>4104</v>
      </c>
      <c r="CZ1935" t="s">
        <v>137</v>
      </c>
      <c r="DA1935" t="s">
        <v>114</v>
      </c>
      <c r="DB1935" t="s">
        <v>114</v>
      </c>
      <c r="DC1935" t="s">
        <v>136</v>
      </c>
      <c r="DD1935" t="s">
        <v>114</v>
      </c>
    </row>
    <row r="1936" spans="1:108" ht="15" customHeight="1" x14ac:dyDescent="0.25">
      <c r="A1936" t="s">
        <v>530</v>
      </c>
      <c r="B1936" t="s">
        <v>113</v>
      </c>
      <c r="C1936" s="1">
        <v>45154.624724305555</v>
      </c>
      <c r="D1936" s="1">
        <v>45230</v>
      </c>
      <c r="E1936" t="s">
        <v>114</v>
      </c>
      <c r="F1936" t="s">
        <v>531</v>
      </c>
      <c r="G1936" t="str">
        <f>"47-2152.00"</f>
        <v>47-2152.00</v>
      </c>
      <c r="H1936" t="s">
        <v>532</v>
      </c>
      <c r="I1936">
        <v>25</v>
      </c>
      <c r="K1936" s="1">
        <v>45231</v>
      </c>
      <c r="L1936" s="1">
        <v>45838</v>
      </c>
      <c r="O1936" t="s">
        <v>184</v>
      </c>
      <c r="P1936" t="s">
        <v>533</v>
      </c>
      <c r="R1936" t="s">
        <v>534</v>
      </c>
      <c r="T1936" t="s">
        <v>535</v>
      </c>
      <c r="U1936" t="s">
        <v>386</v>
      </c>
      <c r="V1936" s="8" t="str">
        <f>"30767"</f>
        <v>30767</v>
      </c>
      <c r="W1936" t="s">
        <v>118</v>
      </c>
      <c r="Y1936" s="10">
        <v>14705199010</v>
      </c>
      <c r="AA1936">
        <v>238220</v>
      </c>
      <c r="AB1936" t="s">
        <v>362</v>
      </c>
      <c r="AC1936" t="s">
        <v>536</v>
      </c>
      <c r="AE1936" t="s">
        <v>537</v>
      </c>
      <c r="AF1936" t="s">
        <v>534</v>
      </c>
      <c r="AH1936" t="s">
        <v>535</v>
      </c>
      <c r="AI1936" t="s">
        <v>386</v>
      </c>
      <c r="AJ1936" s="8" t="str">
        <f>"30767"</f>
        <v>30767</v>
      </c>
      <c r="AK1936" t="s">
        <v>118</v>
      </c>
      <c r="AM1936" s="10">
        <v>14705199010</v>
      </c>
      <c r="AO1936" t="s">
        <v>538</v>
      </c>
      <c r="AP1936" t="s">
        <v>121</v>
      </c>
      <c r="AQ1936" t="s">
        <v>539</v>
      </c>
      <c r="AR1936" t="s">
        <v>540</v>
      </c>
      <c r="AS1936" t="s">
        <v>475</v>
      </c>
      <c r="AT1936" t="s">
        <v>541</v>
      </c>
      <c r="AV1936" t="s">
        <v>542</v>
      </c>
      <c r="AW1936" t="s">
        <v>543</v>
      </c>
      <c r="AX1936" s="8" t="str">
        <f>"45315"</f>
        <v>45315</v>
      </c>
      <c r="AY1936" t="s">
        <v>118</v>
      </c>
      <c r="BA1936" s="10">
        <v>19376029941</v>
      </c>
      <c r="BC1936" t="s">
        <v>544</v>
      </c>
      <c r="BD1936" t="s">
        <v>545</v>
      </c>
      <c r="BE1936" t="s">
        <v>358</v>
      </c>
      <c r="BF1936" t="s">
        <v>546</v>
      </c>
      <c r="BG1936" t="s">
        <v>386</v>
      </c>
      <c r="BH1936" s="1">
        <v>45154.833333333336</v>
      </c>
      <c r="BI1936">
        <v>40</v>
      </c>
      <c r="BJ1936">
        <v>0</v>
      </c>
      <c r="BK1936">
        <v>8</v>
      </c>
      <c r="BL1936">
        <v>8</v>
      </c>
      <c r="BM1936">
        <v>8</v>
      </c>
      <c r="BN1936">
        <v>8</v>
      </c>
      <c r="BO1936">
        <v>8</v>
      </c>
      <c r="BP1936">
        <v>0</v>
      </c>
      <c r="BQ1936" t="str">
        <f>"8:00 AM"</f>
        <v>8:00 AM</v>
      </c>
      <c r="BR1936" t="str">
        <f>"5:00 PM"</f>
        <v>5:00 PM</v>
      </c>
      <c r="BS1936" t="s">
        <v>147</v>
      </c>
      <c r="BT1936">
        <v>0</v>
      </c>
      <c r="BU1936">
        <v>300</v>
      </c>
      <c r="BV1936" t="s">
        <v>114</v>
      </c>
      <c r="BX1936" s="2" t="s">
        <v>547</v>
      </c>
      <c r="BY1936" t="s">
        <v>548</v>
      </c>
      <c r="CA1936" t="s">
        <v>549</v>
      </c>
      <c r="CB1936" t="s">
        <v>550</v>
      </c>
      <c r="CC1936" s="8" t="str">
        <f>"30120"</f>
        <v>30120</v>
      </c>
      <c r="CD1936" t="s">
        <v>551</v>
      </c>
      <c r="CE1936" t="s">
        <v>552</v>
      </c>
      <c r="CF1936" s="12">
        <v>27.09</v>
      </c>
      <c r="CG1936" s="12">
        <v>28</v>
      </c>
      <c r="CH1936" s="12">
        <v>40.700000000000003</v>
      </c>
      <c r="CI1936" s="12">
        <v>42</v>
      </c>
      <c r="CJ1936" t="s">
        <v>135</v>
      </c>
      <c r="CL1936" t="s">
        <v>553</v>
      </c>
      <c r="CO1936" t="s">
        <v>132</v>
      </c>
      <c r="CP1936" t="s">
        <v>114</v>
      </c>
      <c r="CQ1936" t="s">
        <v>136</v>
      </c>
      <c r="CR1936" t="s">
        <v>136</v>
      </c>
      <c r="CS1936" t="s">
        <v>114</v>
      </c>
      <c r="CT1936" t="s">
        <v>136</v>
      </c>
      <c r="CU1936" t="s">
        <v>114</v>
      </c>
      <c r="CV1936" t="s">
        <v>131</v>
      </c>
      <c r="CW1936" s="10" t="str">
        <f>"+14705199010"</f>
        <v>+14705199010</v>
      </c>
      <c r="CX1936" t="s">
        <v>538</v>
      </c>
      <c r="CY1936" t="s">
        <v>132</v>
      </c>
      <c r="CZ1936" t="s">
        <v>137</v>
      </c>
      <c r="DA1936" t="s">
        <v>114</v>
      </c>
      <c r="DB1936" t="s">
        <v>114</v>
      </c>
      <c r="DC1936" t="s">
        <v>136</v>
      </c>
      <c r="DD1936" t="s">
        <v>114</v>
      </c>
    </row>
    <row r="1937" spans="1:113" ht="15" customHeight="1" x14ac:dyDescent="0.25">
      <c r="A1937" t="s">
        <v>3678</v>
      </c>
      <c r="B1937" t="s">
        <v>113</v>
      </c>
      <c r="C1937" s="1">
        <v>45154.620591319443</v>
      </c>
      <c r="D1937" s="1">
        <v>45230</v>
      </c>
      <c r="E1937" t="s">
        <v>114</v>
      </c>
      <c r="F1937" t="s">
        <v>3679</v>
      </c>
      <c r="G1937" t="str">
        <f>"51-4121.00"</f>
        <v>51-4121.00</v>
      </c>
      <c r="H1937" t="s">
        <v>815</v>
      </c>
      <c r="I1937">
        <v>25</v>
      </c>
      <c r="K1937" s="1">
        <v>45231</v>
      </c>
      <c r="L1937" s="1">
        <v>45838</v>
      </c>
      <c r="O1937" t="s">
        <v>184</v>
      </c>
      <c r="P1937" t="s">
        <v>533</v>
      </c>
      <c r="R1937" t="s">
        <v>534</v>
      </c>
      <c r="T1937" t="s">
        <v>535</v>
      </c>
      <c r="U1937" t="s">
        <v>386</v>
      </c>
      <c r="V1937" s="8" t="str">
        <f>"30767"</f>
        <v>30767</v>
      </c>
      <c r="W1937" t="s">
        <v>118</v>
      </c>
      <c r="Y1937" s="10">
        <v>14705199010</v>
      </c>
      <c r="AA1937">
        <v>238220</v>
      </c>
      <c r="AB1937" t="s">
        <v>362</v>
      </c>
      <c r="AC1937" t="s">
        <v>536</v>
      </c>
      <c r="AE1937" t="s">
        <v>537</v>
      </c>
      <c r="AF1937" t="s">
        <v>534</v>
      </c>
      <c r="AH1937" t="s">
        <v>535</v>
      </c>
      <c r="AI1937" t="s">
        <v>386</v>
      </c>
      <c r="AJ1937" s="8" t="str">
        <f>"30767"</f>
        <v>30767</v>
      </c>
      <c r="AK1937" t="s">
        <v>118</v>
      </c>
      <c r="AM1937" s="10">
        <v>14705199010</v>
      </c>
      <c r="AO1937" t="s">
        <v>538</v>
      </c>
      <c r="AP1937" t="s">
        <v>121</v>
      </c>
      <c r="AQ1937" t="s">
        <v>539</v>
      </c>
      <c r="AR1937" t="s">
        <v>540</v>
      </c>
      <c r="AS1937" t="s">
        <v>475</v>
      </c>
      <c r="AT1937" t="s">
        <v>541</v>
      </c>
      <c r="AV1937" t="s">
        <v>542</v>
      </c>
      <c r="AW1937" t="s">
        <v>543</v>
      </c>
      <c r="AX1937" s="8" t="str">
        <f>"45315"</f>
        <v>45315</v>
      </c>
      <c r="AY1937" t="s">
        <v>118</v>
      </c>
      <c r="BA1937" s="10">
        <v>19376029941</v>
      </c>
      <c r="BC1937" t="s">
        <v>544</v>
      </c>
      <c r="BD1937" t="s">
        <v>545</v>
      </c>
      <c r="BE1937" t="s">
        <v>358</v>
      </c>
      <c r="BF1937" t="s">
        <v>546</v>
      </c>
      <c r="BG1937" t="s">
        <v>386</v>
      </c>
      <c r="BH1937" s="1">
        <v>45154.833333333336</v>
      </c>
      <c r="BI1937">
        <v>40</v>
      </c>
      <c r="BJ1937">
        <v>0</v>
      </c>
      <c r="BK1937">
        <v>8</v>
      </c>
      <c r="BL1937">
        <v>8</v>
      </c>
      <c r="BM1937">
        <v>8</v>
      </c>
      <c r="BN1937">
        <v>8</v>
      </c>
      <c r="BO1937">
        <v>8</v>
      </c>
      <c r="BP1937">
        <v>0</v>
      </c>
      <c r="BQ1937" t="str">
        <f>"8:00 AM"</f>
        <v>8:00 AM</v>
      </c>
      <c r="BR1937" t="str">
        <f>"5:00 PM"</f>
        <v>5:00 PM</v>
      </c>
      <c r="BS1937" t="s">
        <v>131</v>
      </c>
      <c r="BT1937">
        <v>0</v>
      </c>
      <c r="BU1937">
        <v>180</v>
      </c>
      <c r="BV1937" t="s">
        <v>114</v>
      </c>
      <c r="BX1937" s="2" t="s">
        <v>3680</v>
      </c>
      <c r="BY1937" t="s">
        <v>548</v>
      </c>
      <c r="CA1937" t="s">
        <v>549</v>
      </c>
      <c r="CB1937" t="s">
        <v>550</v>
      </c>
      <c r="CC1937" s="8" t="str">
        <f>"30120"</f>
        <v>30120</v>
      </c>
      <c r="CD1937" t="s">
        <v>551</v>
      </c>
      <c r="CE1937" t="s">
        <v>552</v>
      </c>
      <c r="CF1937" s="12">
        <v>22</v>
      </c>
      <c r="CG1937" s="12">
        <v>23</v>
      </c>
      <c r="CH1937" s="12">
        <v>33</v>
      </c>
      <c r="CI1937" s="12">
        <v>34.5</v>
      </c>
      <c r="CJ1937" t="s">
        <v>135</v>
      </c>
      <c r="CL1937" t="s">
        <v>3681</v>
      </c>
      <c r="CO1937" t="s">
        <v>132</v>
      </c>
      <c r="CP1937" t="s">
        <v>114</v>
      </c>
      <c r="CQ1937" t="s">
        <v>136</v>
      </c>
      <c r="CR1937" t="s">
        <v>136</v>
      </c>
      <c r="CS1937" t="s">
        <v>114</v>
      </c>
      <c r="CT1937" t="s">
        <v>136</v>
      </c>
      <c r="CU1937" t="s">
        <v>114</v>
      </c>
      <c r="CV1937" t="s">
        <v>131</v>
      </c>
      <c r="CW1937" s="10" t="str">
        <f>"+14705199010"</f>
        <v>+14705199010</v>
      </c>
      <c r="CX1937" t="s">
        <v>538</v>
      </c>
      <c r="CY1937" t="s">
        <v>132</v>
      </c>
      <c r="CZ1937" t="s">
        <v>137</v>
      </c>
      <c r="DA1937" t="s">
        <v>114</v>
      </c>
      <c r="DB1937" t="s">
        <v>114</v>
      </c>
      <c r="DC1937" t="s">
        <v>136</v>
      </c>
      <c r="DD1937" t="s">
        <v>114</v>
      </c>
    </row>
    <row r="1938" spans="1:113" ht="15" customHeight="1" x14ac:dyDescent="0.25">
      <c r="A1938" t="s">
        <v>6631</v>
      </c>
      <c r="B1938" t="s">
        <v>113</v>
      </c>
      <c r="C1938" s="1">
        <v>45154.616077662038</v>
      </c>
      <c r="D1938" s="1">
        <v>45230</v>
      </c>
      <c r="E1938" t="s">
        <v>114</v>
      </c>
      <c r="F1938" t="s">
        <v>6632</v>
      </c>
      <c r="G1938" t="str">
        <f>"51-2041.00"</f>
        <v>51-2041.00</v>
      </c>
      <c r="H1938" t="s">
        <v>2613</v>
      </c>
      <c r="I1938">
        <v>25</v>
      </c>
      <c r="K1938" s="1">
        <v>45231</v>
      </c>
      <c r="L1938" s="1">
        <v>45838</v>
      </c>
      <c r="O1938" t="s">
        <v>184</v>
      </c>
      <c r="P1938" t="s">
        <v>533</v>
      </c>
      <c r="R1938" t="s">
        <v>534</v>
      </c>
      <c r="T1938" t="s">
        <v>535</v>
      </c>
      <c r="U1938" t="s">
        <v>386</v>
      </c>
      <c r="V1938" s="8" t="str">
        <f>"30767"</f>
        <v>30767</v>
      </c>
      <c r="W1938" t="s">
        <v>118</v>
      </c>
      <c r="Y1938" s="10">
        <v>14705199010</v>
      </c>
      <c r="AA1938">
        <v>238220</v>
      </c>
      <c r="AB1938" t="s">
        <v>362</v>
      </c>
      <c r="AC1938" t="s">
        <v>536</v>
      </c>
      <c r="AE1938" t="s">
        <v>537</v>
      </c>
      <c r="AF1938" t="s">
        <v>534</v>
      </c>
      <c r="AH1938" t="s">
        <v>535</v>
      </c>
      <c r="AI1938" t="s">
        <v>386</v>
      </c>
      <c r="AJ1938" s="8" t="str">
        <f>"30767"</f>
        <v>30767</v>
      </c>
      <c r="AK1938" t="s">
        <v>118</v>
      </c>
      <c r="AM1938" s="10">
        <v>14705199010</v>
      </c>
      <c r="AO1938" t="s">
        <v>538</v>
      </c>
      <c r="AP1938" t="s">
        <v>121</v>
      </c>
      <c r="AQ1938" t="s">
        <v>539</v>
      </c>
      <c r="AR1938" t="s">
        <v>540</v>
      </c>
      <c r="AS1938" t="s">
        <v>475</v>
      </c>
      <c r="AT1938" t="s">
        <v>541</v>
      </c>
      <c r="AV1938" t="s">
        <v>542</v>
      </c>
      <c r="AW1938" t="s">
        <v>543</v>
      </c>
      <c r="AX1938" s="8" t="str">
        <f>"45315"</f>
        <v>45315</v>
      </c>
      <c r="AY1938" t="s">
        <v>118</v>
      </c>
      <c r="BA1938" s="10">
        <v>19376029941</v>
      </c>
      <c r="BC1938" t="s">
        <v>544</v>
      </c>
      <c r="BD1938" t="s">
        <v>545</v>
      </c>
      <c r="BE1938" t="s">
        <v>358</v>
      </c>
      <c r="BF1938" t="s">
        <v>546</v>
      </c>
      <c r="BG1938" t="s">
        <v>386</v>
      </c>
      <c r="BH1938" s="1">
        <v>45154.833333333336</v>
      </c>
      <c r="BI1938">
        <v>40</v>
      </c>
      <c r="BJ1938">
        <v>0</v>
      </c>
      <c r="BK1938">
        <v>8</v>
      </c>
      <c r="BL1938">
        <v>8</v>
      </c>
      <c r="BM1938">
        <v>8</v>
      </c>
      <c r="BN1938">
        <v>8</v>
      </c>
      <c r="BO1938">
        <v>8</v>
      </c>
      <c r="BP1938">
        <v>0</v>
      </c>
      <c r="BQ1938" t="str">
        <f>"8:00 AM"</f>
        <v>8:00 AM</v>
      </c>
      <c r="BR1938" t="str">
        <f>"5:00 PM"</f>
        <v>5:00 PM</v>
      </c>
      <c r="BS1938" t="s">
        <v>131</v>
      </c>
      <c r="BT1938">
        <v>0</v>
      </c>
      <c r="BU1938">
        <v>180</v>
      </c>
      <c r="BV1938" t="s">
        <v>114</v>
      </c>
      <c r="BX1938" s="2" t="s">
        <v>6633</v>
      </c>
      <c r="BY1938" t="s">
        <v>548</v>
      </c>
      <c r="CA1938" t="s">
        <v>549</v>
      </c>
      <c r="CB1938" t="s">
        <v>550</v>
      </c>
      <c r="CC1938" s="8" t="str">
        <f>"30120"</f>
        <v>30120</v>
      </c>
      <c r="CD1938" t="s">
        <v>551</v>
      </c>
      <c r="CE1938" t="s">
        <v>552</v>
      </c>
      <c r="CF1938" s="12">
        <v>21.77</v>
      </c>
      <c r="CG1938" s="12">
        <v>22</v>
      </c>
      <c r="CH1938" s="12">
        <v>32.700000000000003</v>
      </c>
      <c r="CI1938" s="12">
        <v>33</v>
      </c>
      <c r="CJ1938" t="s">
        <v>135</v>
      </c>
      <c r="CL1938" t="s">
        <v>6634</v>
      </c>
      <c r="CO1938" t="s">
        <v>132</v>
      </c>
      <c r="CP1938" t="s">
        <v>114</v>
      </c>
      <c r="CQ1938" t="s">
        <v>136</v>
      </c>
      <c r="CR1938" t="s">
        <v>136</v>
      </c>
      <c r="CS1938" t="s">
        <v>114</v>
      </c>
      <c r="CT1938" t="s">
        <v>136</v>
      </c>
      <c r="CU1938" t="s">
        <v>114</v>
      </c>
      <c r="CV1938" t="s">
        <v>131</v>
      </c>
      <c r="CW1938" s="10" t="str">
        <f>"+14705199010"</f>
        <v>+14705199010</v>
      </c>
      <c r="CX1938" t="s">
        <v>538</v>
      </c>
      <c r="CY1938" t="s">
        <v>132</v>
      </c>
      <c r="CZ1938" t="s">
        <v>137</v>
      </c>
      <c r="DA1938" t="s">
        <v>114</v>
      </c>
      <c r="DB1938" t="s">
        <v>114</v>
      </c>
      <c r="DC1938" t="s">
        <v>136</v>
      </c>
      <c r="DD1938" t="s">
        <v>114</v>
      </c>
    </row>
    <row r="1939" spans="1:113" ht="15" customHeight="1" x14ac:dyDescent="0.25">
      <c r="A1939" t="s">
        <v>10210</v>
      </c>
      <c r="B1939" t="s">
        <v>113</v>
      </c>
      <c r="C1939" s="1">
        <v>45125.59621585648</v>
      </c>
      <c r="D1939" s="1">
        <v>45230</v>
      </c>
      <c r="E1939" t="s">
        <v>114</v>
      </c>
      <c r="F1939" t="s">
        <v>2759</v>
      </c>
      <c r="G1939" t="str">
        <f>"53-7051.00"</f>
        <v>53-7051.00</v>
      </c>
      <c r="H1939" t="s">
        <v>2209</v>
      </c>
      <c r="I1939">
        <v>1</v>
      </c>
      <c r="K1939" s="1">
        <v>45200</v>
      </c>
      <c r="L1939" s="1">
        <v>46173</v>
      </c>
      <c r="O1939" t="s">
        <v>238</v>
      </c>
      <c r="P1939" t="s">
        <v>10211</v>
      </c>
      <c r="Q1939" t="s">
        <v>10212</v>
      </c>
      <c r="R1939" t="s">
        <v>10213</v>
      </c>
      <c r="T1939" t="s">
        <v>10214</v>
      </c>
      <c r="U1939" t="s">
        <v>358</v>
      </c>
      <c r="V1939" s="8" t="str">
        <f>"14210"</f>
        <v>14210</v>
      </c>
      <c r="W1939" t="s">
        <v>118</v>
      </c>
      <c r="Y1939" s="10">
        <v>17168263300</v>
      </c>
      <c r="AA1939">
        <v>42491</v>
      </c>
      <c r="AB1939" t="s">
        <v>10215</v>
      </c>
      <c r="AC1939" t="s">
        <v>10216</v>
      </c>
      <c r="AE1939" t="s">
        <v>10217</v>
      </c>
      <c r="AF1939" t="s">
        <v>10213</v>
      </c>
      <c r="AH1939" t="s">
        <v>10214</v>
      </c>
      <c r="AI1939" t="s">
        <v>358</v>
      </c>
      <c r="AJ1939" s="8" t="str">
        <f>"14210"</f>
        <v>14210</v>
      </c>
      <c r="AK1939" t="s">
        <v>118</v>
      </c>
      <c r="AM1939" s="10">
        <v>17168263330</v>
      </c>
      <c r="AO1939" t="s">
        <v>10218</v>
      </c>
      <c r="AP1939" t="s">
        <v>121</v>
      </c>
      <c r="AQ1939" t="s">
        <v>2898</v>
      </c>
      <c r="AR1939" t="s">
        <v>3015</v>
      </c>
      <c r="AT1939" t="s">
        <v>10219</v>
      </c>
      <c r="AU1939" t="s">
        <v>517</v>
      </c>
      <c r="AV1939" t="s">
        <v>5539</v>
      </c>
      <c r="AW1939" t="s">
        <v>6049</v>
      </c>
      <c r="AX1939" s="8" t="str">
        <f>"20036"</f>
        <v>20036</v>
      </c>
      <c r="AY1939" t="s">
        <v>118</v>
      </c>
      <c r="BA1939" s="10">
        <v>12027174774</v>
      </c>
      <c r="BC1939" t="s">
        <v>10220</v>
      </c>
      <c r="BD1939" t="s">
        <v>10221</v>
      </c>
      <c r="BE1939" t="s">
        <v>6049</v>
      </c>
      <c r="BF1939" t="s">
        <v>10222</v>
      </c>
      <c r="BG1939" t="s">
        <v>358</v>
      </c>
      <c r="BH1939" s="1">
        <v>45119.833333333336</v>
      </c>
      <c r="BI1939">
        <v>40</v>
      </c>
      <c r="BJ1939">
        <v>0</v>
      </c>
      <c r="BK1939">
        <v>8</v>
      </c>
      <c r="BL1939">
        <v>8</v>
      </c>
      <c r="BM1939">
        <v>8</v>
      </c>
      <c r="BN1939">
        <v>8</v>
      </c>
      <c r="BO1939">
        <v>8</v>
      </c>
      <c r="BP1939">
        <v>0</v>
      </c>
      <c r="BQ1939" t="str">
        <f>"8:30 AM"</f>
        <v>8:30 AM</v>
      </c>
      <c r="BR1939" t="str">
        <f>"4:30 PM"</f>
        <v>4:30 PM</v>
      </c>
      <c r="BS1939" t="s">
        <v>147</v>
      </c>
      <c r="BT1939">
        <v>0</v>
      </c>
      <c r="BU1939">
        <v>0</v>
      </c>
      <c r="BV1939" t="s">
        <v>114</v>
      </c>
      <c r="BX1939" s="2" t="s">
        <v>10223</v>
      </c>
      <c r="BY1939" t="s">
        <v>10224</v>
      </c>
      <c r="CA1939" t="s">
        <v>10214</v>
      </c>
      <c r="CB1939" t="s">
        <v>358</v>
      </c>
      <c r="CC1939" s="8" t="str">
        <f>"14210"</f>
        <v>14210</v>
      </c>
      <c r="CD1939" t="s">
        <v>4845</v>
      </c>
      <c r="CE1939" t="s">
        <v>7417</v>
      </c>
      <c r="CF1939" s="12">
        <v>20.75</v>
      </c>
      <c r="CG1939" s="12">
        <v>21</v>
      </c>
      <c r="CH1939" s="12">
        <v>31.5</v>
      </c>
      <c r="CI1939" s="12">
        <v>32</v>
      </c>
      <c r="CJ1939" t="s">
        <v>135</v>
      </c>
      <c r="CL1939" t="s">
        <v>10225</v>
      </c>
      <c r="CO1939" t="s">
        <v>132</v>
      </c>
      <c r="CP1939" t="s">
        <v>114</v>
      </c>
      <c r="CQ1939" t="s">
        <v>114</v>
      </c>
      <c r="CR1939" t="s">
        <v>114</v>
      </c>
      <c r="CS1939" t="s">
        <v>136</v>
      </c>
      <c r="CT1939" t="s">
        <v>136</v>
      </c>
      <c r="CU1939" t="s">
        <v>136</v>
      </c>
      <c r="CV1939" t="s">
        <v>132</v>
      </c>
      <c r="CW1939" s="10" t="str">
        <f>"+17168263300"</f>
        <v>+17168263300</v>
      </c>
      <c r="CX1939" t="s">
        <v>10218</v>
      </c>
      <c r="CY1939" t="s">
        <v>132</v>
      </c>
      <c r="CZ1939" t="s">
        <v>137</v>
      </c>
      <c r="DA1939" t="s">
        <v>114</v>
      </c>
      <c r="DB1939" t="s">
        <v>114</v>
      </c>
      <c r="DC1939" t="s">
        <v>136</v>
      </c>
      <c r="DD1939" t="s">
        <v>114</v>
      </c>
      <c r="DE1939" t="s">
        <v>10226</v>
      </c>
      <c r="DF1939" t="s">
        <v>10227</v>
      </c>
      <c r="DH1939" t="s">
        <v>10221</v>
      </c>
      <c r="DI1939" t="s">
        <v>10220</v>
      </c>
    </row>
    <row r="1940" spans="1:113" ht="15" customHeight="1" x14ac:dyDescent="0.25">
      <c r="A1940" t="s">
        <v>14560</v>
      </c>
      <c r="B1940" t="s">
        <v>113</v>
      </c>
      <c r="C1940" s="1">
        <v>45121.521944907407</v>
      </c>
      <c r="D1940" s="1">
        <v>45230</v>
      </c>
      <c r="E1940" t="s">
        <v>114</v>
      </c>
      <c r="F1940" t="s">
        <v>1421</v>
      </c>
      <c r="G1940" t="str">
        <f>"17-3026.00"</f>
        <v>17-3026.00</v>
      </c>
      <c r="H1940" t="s">
        <v>1422</v>
      </c>
      <c r="I1940">
        <v>5</v>
      </c>
      <c r="K1940" s="1">
        <v>45208</v>
      </c>
      <c r="L1940" s="1">
        <v>45898</v>
      </c>
      <c r="O1940" t="s">
        <v>184</v>
      </c>
      <c r="P1940" t="s">
        <v>1423</v>
      </c>
      <c r="R1940" t="s">
        <v>1424</v>
      </c>
      <c r="S1940" t="s">
        <v>1425</v>
      </c>
      <c r="T1940" t="s">
        <v>1426</v>
      </c>
      <c r="U1940" t="s">
        <v>1427</v>
      </c>
      <c r="V1940" s="8" t="str">
        <f>"19904"</f>
        <v>19904</v>
      </c>
      <c r="W1940" t="s">
        <v>118</v>
      </c>
      <c r="Y1940" s="10">
        <v>18885343018</v>
      </c>
      <c r="AA1940">
        <v>33324</v>
      </c>
      <c r="AB1940" t="s">
        <v>1428</v>
      </c>
      <c r="AC1940" t="s">
        <v>1429</v>
      </c>
      <c r="AE1940" t="s">
        <v>1430</v>
      </c>
      <c r="AF1940" t="s">
        <v>1424</v>
      </c>
      <c r="AG1940" t="s">
        <v>1425</v>
      </c>
      <c r="AH1940" t="s">
        <v>1426</v>
      </c>
      <c r="AI1940" t="s">
        <v>1427</v>
      </c>
      <c r="AJ1940" s="8" t="str">
        <f>"19904"</f>
        <v>19904</v>
      </c>
      <c r="AK1940" t="s">
        <v>118</v>
      </c>
      <c r="AM1940" s="10">
        <v>18885343018</v>
      </c>
      <c r="AO1940" t="s">
        <v>1431</v>
      </c>
      <c r="AP1940" t="s">
        <v>121</v>
      </c>
      <c r="AQ1940" t="s">
        <v>1215</v>
      </c>
      <c r="AR1940" t="s">
        <v>1216</v>
      </c>
      <c r="AS1940" t="s">
        <v>1432</v>
      </c>
      <c r="AT1940" t="s">
        <v>1433</v>
      </c>
      <c r="AU1940" t="s">
        <v>1219</v>
      </c>
      <c r="AV1940" t="s">
        <v>1220</v>
      </c>
      <c r="AW1940" t="s">
        <v>358</v>
      </c>
      <c r="AX1940" s="8" t="str">
        <f>"10036"</f>
        <v>10036</v>
      </c>
      <c r="AY1940" t="s">
        <v>118</v>
      </c>
      <c r="BA1940" s="10">
        <v>12123247280</v>
      </c>
      <c r="BC1940" t="s">
        <v>1221</v>
      </c>
      <c r="BD1940" t="s">
        <v>1222</v>
      </c>
      <c r="BE1940" t="s">
        <v>375</v>
      </c>
      <c r="BF1940" t="s">
        <v>1223</v>
      </c>
      <c r="BG1940" t="s">
        <v>819</v>
      </c>
      <c r="BH1940" s="1">
        <v>45119.833333333336</v>
      </c>
      <c r="BI1940">
        <v>40</v>
      </c>
      <c r="BJ1940">
        <v>0</v>
      </c>
      <c r="BK1940">
        <v>8</v>
      </c>
      <c r="BL1940">
        <v>8</v>
      </c>
      <c r="BM1940">
        <v>8</v>
      </c>
      <c r="BN1940">
        <v>8</v>
      </c>
      <c r="BO1940">
        <v>8</v>
      </c>
      <c r="BP1940">
        <v>0</v>
      </c>
      <c r="BQ1940" t="str">
        <f>"9:00 AM"</f>
        <v>9:00 AM</v>
      </c>
      <c r="BR1940" t="str">
        <f>"6:00 PM"</f>
        <v>6:00 PM</v>
      </c>
      <c r="BS1940" t="s">
        <v>147</v>
      </c>
      <c r="BT1940">
        <v>0</v>
      </c>
      <c r="BU1940">
        <v>12</v>
      </c>
      <c r="BV1940" t="s">
        <v>114</v>
      </c>
      <c r="BX1940" s="2" t="s">
        <v>1435</v>
      </c>
      <c r="BY1940" t="s">
        <v>14561</v>
      </c>
      <c r="CA1940" t="s">
        <v>14562</v>
      </c>
      <c r="CB1940" t="s">
        <v>819</v>
      </c>
      <c r="CC1940" s="8" t="str">
        <f>"46901"</f>
        <v>46901</v>
      </c>
      <c r="CD1940" t="s">
        <v>3110</v>
      </c>
      <c r="CE1940" t="s">
        <v>14563</v>
      </c>
      <c r="CF1940" s="12">
        <v>26.84</v>
      </c>
      <c r="CI1940" s="12">
        <v>40.26</v>
      </c>
      <c r="CJ1940" t="s">
        <v>135</v>
      </c>
      <c r="CK1940" t="s">
        <v>14564</v>
      </c>
      <c r="CL1940" t="s">
        <v>1441</v>
      </c>
      <c r="CO1940" t="s">
        <v>132</v>
      </c>
      <c r="CP1940" t="s">
        <v>114</v>
      </c>
      <c r="CQ1940" t="s">
        <v>114</v>
      </c>
      <c r="CR1940" t="s">
        <v>136</v>
      </c>
      <c r="CS1940" t="s">
        <v>136</v>
      </c>
      <c r="CT1940" t="s">
        <v>136</v>
      </c>
      <c r="CU1940" t="s">
        <v>114</v>
      </c>
      <c r="CV1940" t="s">
        <v>1442</v>
      </c>
      <c r="CW1940" s="10" t="str">
        <f>"+18885343018"</f>
        <v>+18885343018</v>
      </c>
      <c r="CX1940" t="s">
        <v>1431</v>
      </c>
      <c r="CY1940" t="s">
        <v>132</v>
      </c>
      <c r="CZ1940" t="s">
        <v>137</v>
      </c>
      <c r="DA1940" t="s">
        <v>114</v>
      </c>
      <c r="DB1940" t="s">
        <v>114</v>
      </c>
      <c r="DC1940" t="s">
        <v>136</v>
      </c>
      <c r="DD1940" t="s">
        <v>114</v>
      </c>
    </row>
    <row r="1941" spans="1:113" ht="15" customHeight="1" x14ac:dyDescent="0.25">
      <c r="A1941" t="s">
        <v>12065</v>
      </c>
      <c r="B1941" t="s">
        <v>113</v>
      </c>
      <c r="C1941" s="1">
        <v>45161.055490856481</v>
      </c>
      <c r="D1941" s="1">
        <v>45229</v>
      </c>
      <c r="E1941" t="s">
        <v>114</v>
      </c>
      <c r="F1941" t="s">
        <v>12066</v>
      </c>
      <c r="G1941" t="str">
        <f>"43-6013.00"</f>
        <v>43-6013.00</v>
      </c>
      <c r="H1941" t="s">
        <v>12067</v>
      </c>
      <c r="I1941">
        <v>4</v>
      </c>
      <c r="K1941" s="1">
        <v>45245</v>
      </c>
      <c r="L1941" s="1">
        <v>45610</v>
      </c>
      <c r="O1941" t="s">
        <v>184</v>
      </c>
      <c r="P1941" t="s">
        <v>12068</v>
      </c>
      <c r="Q1941" t="s">
        <v>12069</v>
      </c>
      <c r="R1941" t="s">
        <v>12070</v>
      </c>
      <c r="T1941" t="s">
        <v>12071</v>
      </c>
      <c r="U1941" t="s">
        <v>402</v>
      </c>
      <c r="V1941" s="8" t="str">
        <f>"94109"</f>
        <v>94109</v>
      </c>
      <c r="W1941" t="s">
        <v>118</v>
      </c>
      <c r="Y1941" s="10">
        <v>14156768407</v>
      </c>
      <c r="AA1941">
        <v>621111</v>
      </c>
      <c r="AB1941" t="s">
        <v>12072</v>
      </c>
      <c r="AC1941" t="s">
        <v>12073</v>
      </c>
      <c r="AE1941" t="s">
        <v>12074</v>
      </c>
      <c r="AF1941" t="s">
        <v>12070</v>
      </c>
      <c r="AH1941" t="s">
        <v>12071</v>
      </c>
      <c r="AI1941" t="s">
        <v>402</v>
      </c>
      <c r="AJ1941" s="8" t="str">
        <f>"94109"</f>
        <v>94109</v>
      </c>
      <c r="AK1941" t="s">
        <v>118</v>
      </c>
      <c r="AM1941" s="10">
        <v>14156768407</v>
      </c>
      <c r="AO1941" t="s">
        <v>12075</v>
      </c>
      <c r="AX1941" s="8" t="str">
        <f>""</f>
        <v/>
      </c>
      <c r="BG1941" t="s">
        <v>402</v>
      </c>
      <c r="BH1941" s="1">
        <v>45122.833333333336</v>
      </c>
      <c r="BI1941">
        <v>40</v>
      </c>
      <c r="BJ1941">
        <v>0</v>
      </c>
      <c r="BK1941">
        <v>8</v>
      </c>
      <c r="BL1941">
        <v>8</v>
      </c>
      <c r="BM1941">
        <v>8</v>
      </c>
      <c r="BN1941">
        <v>8</v>
      </c>
      <c r="BO1941">
        <v>8</v>
      </c>
      <c r="BP1941">
        <v>0</v>
      </c>
      <c r="BQ1941" t="str">
        <f>"9:00 AM"</f>
        <v>9:00 AM</v>
      </c>
      <c r="BR1941" t="str">
        <f>"5:00 PM"</f>
        <v>5:00 PM</v>
      </c>
      <c r="BS1941" t="s">
        <v>147</v>
      </c>
      <c r="BT1941">
        <v>0</v>
      </c>
      <c r="BU1941">
        <v>0</v>
      </c>
      <c r="BV1941" t="s">
        <v>114</v>
      </c>
      <c r="BX1941" s="2" t="s">
        <v>12076</v>
      </c>
      <c r="BY1941" t="s">
        <v>12070</v>
      </c>
      <c r="CA1941" t="s">
        <v>12071</v>
      </c>
      <c r="CB1941" t="s">
        <v>402</v>
      </c>
      <c r="CC1941" s="8" t="str">
        <f>"94109"</f>
        <v>94109</v>
      </c>
      <c r="CD1941" t="s">
        <v>12071</v>
      </c>
      <c r="CE1941" t="s">
        <v>2737</v>
      </c>
      <c r="CF1941" s="12">
        <v>26.32</v>
      </c>
      <c r="CG1941" s="12">
        <v>26.32</v>
      </c>
      <c r="CH1941" s="12">
        <v>0</v>
      </c>
      <c r="CI1941" s="12">
        <v>0</v>
      </c>
      <c r="CJ1941" t="s">
        <v>135</v>
      </c>
      <c r="CL1941" t="s">
        <v>12077</v>
      </c>
      <c r="CO1941" t="s">
        <v>132</v>
      </c>
      <c r="CP1941" t="s">
        <v>114</v>
      </c>
      <c r="CQ1941" t="s">
        <v>114</v>
      </c>
      <c r="CR1941" t="s">
        <v>114</v>
      </c>
      <c r="CS1941" t="s">
        <v>114</v>
      </c>
      <c r="CT1941" t="s">
        <v>114</v>
      </c>
      <c r="CU1941" t="s">
        <v>114</v>
      </c>
      <c r="CV1941" t="s">
        <v>1789</v>
      </c>
      <c r="CW1941" s="10" t="str">
        <f>"+14156768407"</f>
        <v>+14156768407</v>
      </c>
      <c r="CX1941" t="s">
        <v>12078</v>
      </c>
      <c r="CY1941" t="s">
        <v>12079</v>
      </c>
      <c r="CZ1941" t="s">
        <v>137</v>
      </c>
      <c r="DA1941" t="s">
        <v>114</v>
      </c>
      <c r="DB1941" t="s">
        <v>136</v>
      </c>
      <c r="DC1941" t="s">
        <v>136</v>
      </c>
      <c r="DD1941" t="s">
        <v>114</v>
      </c>
    </row>
    <row r="1942" spans="1:113" ht="15" customHeight="1" x14ac:dyDescent="0.25">
      <c r="A1942" t="s">
        <v>13028</v>
      </c>
      <c r="B1942" t="s">
        <v>113</v>
      </c>
      <c r="C1942" s="1">
        <v>45154.610185648147</v>
      </c>
      <c r="D1942" s="1">
        <v>45229</v>
      </c>
      <c r="E1942" t="s">
        <v>114</v>
      </c>
      <c r="F1942" t="s">
        <v>13029</v>
      </c>
      <c r="G1942" t="str">
        <f>"17-3027.00"</f>
        <v>17-3027.00</v>
      </c>
      <c r="H1942" t="s">
        <v>13030</v>
      </c>
      <c r="I1942">
        <v>25</v>
      </c>
      <c r="K1942" s="1">
        <v>45231</v>
      </c>
      <c r="L1942" s="1">
        <v>45838</v>
      </c>
      <c r="O1942" t="s">
        <v>184</v>
      </c>
      <c r="P1942" t="s">
        <v>533</v>
      </c>
      <c r="R1942" t="s">
        <v>534</v>
      </c>
      <c r="T1942" t="s">
        <v>535</v>
      </c>
      <c r="U1942" t="s">
        <v>386</v>
      </c>
      <c r="V1942" s="8" t="str">
        <f>"30767"</f>
        <v>30767</v>
      </c>
      <c r="W1942" t="s">
        <v>118</v>
      </c>
      <c r="X1942" t="s">
        <v>796</v>
      </c>
      <c r="Y1942" s="10">
        <v>14705199010</v>
      </c>
      <c r="AA1942">
        <v>238220</v>
      </c>
      <c r="AB1942" t="s">
        <v>362</v>
      </c>
      <c r="AC1942" t="s">
        <v>536</v>
      </c>
      <c r="AE1942" t="s">
        <v>537</v>
      </c>
      <c r="AF1942" t="s">
        <v>534</v>
      </c>
      <c r="AH1942" t="s">
        <v>535</v>
      </c>
      <c r="AI1942" t="s">
        <v>386</v>
      </c>
      <c r="AJ1942" s="8" t="str">
        <f>"30767"</f>
        <v>30767</v>
      </c>
      <c r="AK1942" t="s">
        <v>118</v>
      </c>
      <c r="AM1942" s="10">
        <v>14705199010</v>
      </c>
      <c r="AO1942" t="s">
        <v>538</v>
      </c>
      <c r="AP1942" t="s">
        <v>121</v>
      </c>
      <c r="AQ1942" t="s">
        <v>539</v>
      </c>
      <c r="AR1942" t="s">
        <v>540</v>
      </c>
      <c r="AS1942" t="s">
        <v>475</v>
      </c>
      <c r="AT1942" t="s">
        <v>541</v>
      </c>
      <c r="AV1942" t="s">
        <v>542</v>
      </c>
      <c r="AW1942" t="s">
        <v>543</v>
      </c>
      <c r="AX1942" s="8" t="str">
        <f>"45315"</f>
        <v>45315</v>
      </c>
      <c r="AY1942" t="s">
        <v>118</v>
      </c>
      <c r="BA1942" s="10">
        <v>19376029941</v>
      </c>
      <c r="BC1942" t="s">
        <v>544</v>
      </c>
      <c r="BD1942" t="s">
        <v>545</v>
      </c>
      <c r="BE1942" t="s">
        <v>358</v>
      </c>
      <c r="BF1942" t="s">
        <v>546</v>
      </c>
      <c r="BG1942" t="s">
        <v>386</v>
      </c>
      <c r="BH1942" s="1">
        <v>45154.833333333336</v>
      </c>
      <c r="BI1942">
        <v>40</v>
      </c>
      <c r="BJ1942">
        <v>0</v>
      </c>
      <c r="BK1942">
        <v>8</v>
      </c>
      <c r="BL1942">
        <v>8</v>
      </c>
      <c r="BM1942">
        <v>8</v>
      </c>
      <c r="BN1942">
        <v>8</v>
      </c>
      <c r="BO1942">
        <v>8</v>
      </c>
      <c r="BP1942">
        <v>0</v>
      </c>
      <c r="BQ1942" t="str">
        <f>"8:00 AM"</f>
        <v>8:00 AM</v>
      </c>
      <c r="BR1942" t="str">
        <f>"5:00 PM"</f>
        <v>5:00 PM</v>
      </c>
      <c r="BS1942" t="s">
        <v>147</v>
      </c>
      <c r="BT1942">
        <v>0</v>
      </c>
      <c r="BU1942">
        <v>24</v>
      </c>
      <c r="BV1942" t="s">
        <v>114</v>
      </c>
      <c r="BX1942" t="s">
        <v>132</v>
      </c>
      <c r="BY1942" t="s">
        <v>548</v>
      </c>
      <c r="CA1942" t="s">
        <v>549</v>
      </c>
      <c r="CB1942" t="s">
        <v>550</v>
      </c>
      <c r="CC1942" s="8" t="str">
        <f>"30120"</f>
        <v>30120</v>
      </c>
      <c r="CD1942" t="s">
        <v>551</v>
      </c>
      <c r="CE1942" t="s">
        <v>552</v>
      </c>
      <c r="CF1942" s="12">
        <v>32.200000000000003</v>
      </c>
      <c r="CG1942" s="12">
        <v>35</v>
      </c>
      <c r="CH1942" s="12">
        <v>48.3</v>
      </c>
      <c r="CI1942" s="12">
        <v>52.5</v>
      </c>
      <c r="CJ1942" t="s">
        <v>135</v>
      </c>
      <c r="CL1942" t="s">
        <v>13031</v>
      </c>
      <c r="CO1942" t="s">
        <v>132</v>
      </c>
      <c r="CP1942" t="s">
        <v>114</v>
      </c>
      <c r="CQ1942" t="s">
        <v>136</v>
      </c>
      <c r="CR1942" t="s">
        <v>136</v>
      </c>
      <c r="CS1942" t="s">
        <v>114</v>
      </c>
      <c r="CT1942" t="s">
        <v>136</v>
      </c>
      <c r="CU1942" t="s">
        <v>114</v>
      </c>
      <c r="CV1942" t="s">
        <v>131</v>
      </c>
      <c r="CW1942" s="10" t="str">
        <f>"+824705199010"</f>
        <v>+824705199010</v>
      </c>
      <c r="CX1942" t="s">
        <v>538</v>
      </c>
      <c r="CY1942" t="s">
        <v>132</v>
      </c>
      <c r="CZ1942" t="s">
        <v>137</v>
      </c>
      <c r="DA1942" t="s">
        <v>114</v>
      </c>
      <c r="DB1942" t="s">
        <v>114</v>
      </c>
      <c r="DC1942" t="s">
        <v>136</v>
      </c>
      <c r="DD1942" t="s">
        <v>114</v>
      </c>
    </row>
    <row r="1943" spans="1:113" ht="15" customHeight="1" x14ac:dyDescent="0.25">
      <c r="A1943" t="s">
        <v>23506</v>
      </c>
      <c r="B1943" t="s">
        <v>113</v>
      </c>
      <c r="C1943" s="1">
        <v>45122.916168750002</v>
      </c>
      <c r="D1943" s="1">
        <v>45229</v>
      </c>
      <c r="E1943" t="s">
        <v>114</v>
      </c>
      <c r="F1943" t="s">
        <v>23507</v>
      </c>
      <c r="G1943" t="str">
        <f>"47-2042.00"</f>
        <v>47-2042.00</v>
      </c>
      <c r="H1943" t="s">
        <v>19349</v>
      </c>
      <c r="I1943">
        <v>2</v>
      </c>
      <c r="K1943" s="1">
        <v>45201</v>
      </c>
      <c r="L1943" s="1">
        <v>45392</v>
      </c>
      <c r="O1943" t="s">
        <v>238</v>
      </c>
      <c r="P1943" t="s">
        <v>23508</v>
      </c>
      <c r="R1943" t="s">
        <v>23509</v>
      </c>
      <c r="T1943" t="s">
        <v>194</v>
      </c>
      <c r="U1943" t="s">
        <v>188</v>
      </c>
      <c r="V1943" s="8" t="str">
        <f>"80207"</f>
        <v>80207</v>
      </c>
      <c r="W1943" t="s">
        <v>118</v>
      </c>
      <c r="Y1943" s="10">
        <v>19073512201</v>
      </c>
      <c r="AA1943">
        <v>238330</v>
      </c>
      <c r="AB1943" t="s">
        <v>23510</v>
      </c>
      <c r="AC1943" t="s">
        <v>9503</v>
      </c>
      <c r="AE1943" t="s">
        <v>23511</v>
      </c>
      <c r="AF1943" t="s">
        <v>23512</v>
      </c>
      <c r="AG1943" t="s">
        <v>23513</v>
      </c>
      <c r="AH1943" t="s">
        <v>194</v>
      </c>
      <c r="AI1943" t="s">
        <v>188</v>
      </c>
      <c r="AJ1943" s="8" t="str">
        <f>"80207"</f>
        <v>80207</v>
      </c>
      <c r="AK1943" t="s">
        <v>118</v>
      </c>
      <c r="AM1943" s="10">
        <v>19073512201</v>
      </c>
      <c r="AO1943" t="s">
        <v>23514</v>
      </c>
      <c r="AX1943" s="8" t="str">
        <f>""</f>
        <v/>
      </c>
      <c r="BG1943" t="s">
        <v>188</v>
      </c>
      <c r="BH1943" s="1">
        <v>45121.833333333336</v>
      </c>
      <c r="BI1943">
        <v>40</v>
      </c>
      <c r="BJ1943">
        <v>0</v>
      </c>
      <c r="BK1943">
        <v>8</v>
      </c>
      <c r="BL1943">
        <v>8</v>
      </c>
      <c r="BM1943">
        <v>8</v>
      </c>
      <c r="BN1943">
        <v>8</v>
      </c>
      <c r="BO1943">
        <v>8</v>
      </c>
      <c r="BP1943">
        <v>0</v>
      </c>
      <c r="BQ1943" t="str">
        <f>"9:00 AM"</f>
        <v>9:00 AM</v>
      </c>
      <c r="BR1943" t="str">
        <f>"5:00 PM"</f>
        <v>5:00 PM</v>
      </c>
      <c r="BS1943" t="s">
        <v>131</v>
      </c>
      <c r="BT1943">
        <v>0</v>
      </c>
      <c r="BU1943">
        <v>6</v>
      </c>
      <c r="BV1943" t="s">
        <v>114</v>
      </c>
      <c r="BX1943" s="2" t="s">
        <v>23515</v>
      </c>
      <c r="BY1943" t="s">
        <v>23512</v>
      </c>
      <c r="BZ1943" t="s">
        <v>23513</v>
      </c>
      <c r="CA1943" t="s">
        <v>194</v>
      </c>
      <c r="CB1943" t="s">
        <v>188</v>
      </c>
      <c r="CC1943" s="8" t="str">
        <f>"80207"</f>
        <v>80207</v>
      </c>
      <c r="CD1943" t="s">
        <v>194</v>
      </c>
      <c r="CE1943" t="s">
        <v>195</v>
      </c>
      <c r="CF1943" s="12">
        <v>23.91</v>
      </c>
      <c r="CG1943" s="12">
        <v>26</v>
      </c>
      <c r="CH1943" s="12">
        <v>35.869999999999997</v>
      </c>
      <c r="CI1943" s="12">
        <v>35.880000000000003</v>
      </c>
      <c r="CJ1943" t="s">
        <v>135</v>
      </c>
      <c r="CK1943" t="s">
        <v>132</v>
      </c>
      <c r="CL1943" t="s">
        <v>23516</v>
      </c>
      <c r="CO1943" t="s">
        <v>132</v>
      </c>
      <c r="CP1943" t="s">
        <v>114</v>
      </c>
      <c r="CQ1943" t="s">
        <v>114</v>
      </c>
      <c r="CR1943" t="s">
        <v>114</v>
      </c>
      <c r="CS1943" t="s">
        <v>114</v>
      </c>
      <c r="CT1943" t="s">
        <v>114</v>
      </c>
      <c r="CU1943" t="s">
        <v>114</v>
      </c>
      <c r="CV1943" s="2" t="s">
        <v>21557</v>
      </c>
      <c r="CW1943" s="10" t="str">
        <f>"+19073512201"</f>
        <v>+19073512201</v>
      </c>
      <c r="CX1943" t="s">
        <v>23514</v>
      </c>
      <c r="CY1943" t="s">
        <v>132</v>
      </c>
      <c r="CZ1943" t="s">
        <v>137</v>
      </c>
      <c r="DA1943" t="s">
        <v>114</v>
      </c>
      <c r="DB1943" t="s">
        <v>114</v>
      </c>
      <c r="DC1943" t="s">
        <v>136</v>
      </c>
      <c r="DD1943" t="s">
        <v>114</v>
      </c>
    </row>
    <row r="1944" spans="1:113" ht="15" customHeight="1" x14ac:dyDescent="0.25">
      <c r="A1944" t="s">
        <v>1420</v>
      </c>
      <c r="B1944" t="s">
        <v>113</v>
      </c>
      <c r="C1944" s="1">
        <v>45120.922884027779</v>
      </c>
      <c r="D1944" s="1">
        <v>45229</v>
      </c>
      <c r="E1944" t="s">
        <v>114</v>
      </c>
      <c r="F1944" t="s">
        <v>1421</v>
      </c>
      <c r="G1944" t="str">
        <f>"17-3026.00"</f>
        <v>17-3026.00</v>
      </c>
      <c r="H1944" t="s">
        <v>1422</v>
      </c>
      <c r="I1944">
        <v>5</v>
      </c>
      <c r="K1944" s="1">
        <v>45208</v>
      </c>
      <c r="L1944" s="1">
        <v>45898</v>
      </c>
      <c r="O1944" t="s">
        <v>184</v>
      </c>
      <c r="P1944" t="s">
        <v>1423</v>
      </c>
      <c r="R1944" t="s">
        <v>1424</v>
      </c>
      <c r="S1944" t="s">
        <v>1425</v>
      </c>
      <c r="T1944" t="s">
        <v>1426</v>
      </c>
      <c r="U1944" t="s">
        <v>1427</v>
      </c>
      <c r="V1944" s="8" t="str">
        <f>"19904"</f>
        <v>19904</v>
      </c>
      <c r="W1944" t="s">
        <v>118</v>
      </c>
      <c r="Y1944" s="10">
        <v>18885343018</v>
      </c>
      <c r="AA1944">
        <v>33324</v>
      </c>
      <c r="AB1944" t="s">
        <v>1428</v>
      </c>
      <c r="AC1944" t="s">
        <v>1429</v>
      </c>
      <c r="AE1944" t="s">
        <v>1430</v>
      </c>
      <c r="AF1944" t="s">
        <v>1424</v>
      </c>
      <c r="AG1944" t="s">
        <v>1425</v>
      </c>
      <c r="AH1944" t="s">
        <v>1426</v>
      </c>
      <c r="AI1944" t="s">
        <v>1427</v>
      </c>
      <c r="AJ1944" s="8" t="str">
        <f>"19904"</f>
        <v>19904</v>
      </c>
      <c r="AK1944" t="s">
        <v>118</v>
      </c>
      <c r="AM1944" s="10">
        <v>18885343018</v>
      </c>
      <c r="AO1944" t="s">
        <v>1431</v>
      </c>
      <c r="AP1944" t="s">
        <v>121</v>
      </c>
      <c r="AQ1944" t="s">
        <v>1215</v>
      </c>
      <c r="AR1944" t="s">
        <v>1216</v>
      </c>
      <c r="AS1944" t="s">
        <v>1432</v>
      </c>
      <c r="AT1944" t="s">
        <v>1433</v>
      </c>
      <c r="AU1944" t="s">
        <v>1219</v>
      </c>
      <c r="AV1944" t="s">
        <v>1220</v>
      </c>
      <c r="AW1944" t="s">
        <v>358</v>
      </c>
      <c r="AX1944" s="8" t="str">
        <f>"10036"</f>
        <v>10036</v>
      </c>
      <c r="AY1944" t="s">
        <v>118</v>
      </c>
      <c r="BA1944" s="10">
        <v>12123247280</v>
      </c>
      <c r="BC1944" t="s">
        <v>1221</v>
      </c>
      <c r="BD1944" t="s">
        <v>1222</v>
      </c>
      <c r="BE1944" t="s">
        <v>375</v>
      </c>
      <c r="BF1944" t="s">
        <v>1223</v>
      </c>
      <c r="BG1944" t="s">
        <v>1434</v>
      </c>
      <c r="BH1944" s="1">
        <v>45119.833333333336</v>
      </c>
      <c r="BI1944">
        <v>40</v>
      </c>
      <c r="BJ1944">
        <v>0</v>
      </c>
      <c r="BK1944">
        <v>8</v>
      </c>
      <c r="BL1944">
        <v>8</v>
      </c>
      <c r="BM1944">
        <v>8</v>
      </c>
      <c r="BN1944">
        <v>8</v>
      </c>
      <c r="BO1944">
        <v>8</v>
      </c>
      <c r="BP1944">
        <v>0</v>
      </c>
      <c r="BQ1944" t="str">
        <f>"9:00 AM"</f>
        <v>9:00 AM</v>
      </c>
      <c r="BR1944" t="str">
        <f>"6:00 PM"</f>
        <v>6:00 PM</v>
      </c>
      <c r="BS1944" t="s">
        <v>147</v>
      </c>
      <c r="BT1944">
        <v>0</v>
      </c>
      <c r="BU1944">
        <v>12</v>
      </c>
      <c r="BV1944" t="s">
        <v>114</v>
      </c>
      <c r="BX1944" s="2" t="s">
        <v>1435</v>
      </c>
      <c r="BY1944" t="s">
        <v>1436</v>
      </c>
      <c r="CA1944" t="s">
        <v>1437</v>
      </c>
      <c r="CB1944" t="s">
        <v>1434</v>
      </c>
      <c r="CC1944" s="8" t="str">
        <f>"42740"</f>
        <v>42740</v>
      </c>
      <c r="CD1944" t="s">
        <v>1438</v>
      </c>
      <c r="CE1944" t="s">
        <v>1439</v>
      </c>
      <c r="CF1944" s="12">
        <v>27.1</v>
      </c>
      <c r="CI1944" s="12">
        <v>40.65</v>
      </c>
      <c r="CJ1944" t="s">
        <v>135</v>
      </c>
      <c r="CK1944" t="s">
        <v>1440</v>
      </c>
      <c r="CL1944" t="s">
        <v>1441</v>
      </c>
      <c r="CO1944" t="s">
        <v>132</v>
      </c>
      <c r="CP1944" t="s">
        <v>114</v>
      </c>
      <c r="CQ1944" t="s">
        <v>114</v>
      </c>
      <c r="CR1944" t="s">
        <v>136</v>
      </c>
      <c r="CS1944" t="s">
        <v>136</v>
      </c>
      <c r="CT1944" t="s">
        <v>136</v>
      </c>
      <c r="CU1944" t="s">
        <v>114</v>
      </c>
      <c r="CV1944" t="s">
        <v>1442</v>
      </c>
      <c r="CW1944" s="10" t="str">
        <f>"+18885343018"</f>
        <v>+18885343018</v>
      </c>
      <c r="CX1944" t="s">
        <v>1431</v>
      </c>
      <c r="CY1944" t="s">
        <v>132</v>
      </c>
      <c r="CZ1944" t="s">
        <v>137</v>
      </c>
      <c r="DA1944" t="s">
        <v>114</v>
      </c>
      <c r="DB1944" t="s">
        <v>114</v>
      </c>
      <c r="DC1944" t="s">
        <v>136</v>
      </c>
      <c r="DD1944" t="s">
        <v>114</v>
      </c>
    </row>
    <row r="1945" spans="1:113" ht="15" customHeight="1" x14ac:dyDescent="0.25">
      <c r="A1945" t="s">
        <v>16037</v>
      </c>
      <c r="B1945" t="s">
        <v>113</v>
      </c>
      <c r="C1945" s="1">
        <v>45117.534841550929</v>
      </c>
      <c r="D1945" s="1">
        <v>45229</v>
      </c>
      <c r="E1945" t="s">
        <v>136</v>
      </c>
      <c r="F1945" t="s">
        <v>4543</v>
      </c>
      <c r="G1945" t="str">
        <f>"51-2092.00"</f>
        <v>51-2092.00</v>
      </c>
      <c r="H1945" t="s">
        <v>4544</v>
      </c>
      <c r="I1945">
        <v>10</v>
      </c>
      <c r="K1945" s="1">
        <v>45200</v>
      </c>
      <c r="L1945" s="1">
        <v>45565</v>
      </c>
      <c r="O1945" t="s">
        <v>184</v>
      </c>
      <c r="P1945" t="s">
        <v>816</v>
      </c>
      <c r="R1945" t="s">
        <v>817</v>
      </c>
      <c r="T1945" t="s">
        <v>818</v>
      </c>
      <c r="U1945" t="s">
        <v>819</v>
      </c>
      <c r="V1945" s="8" t="str">
        <f>"46514"</f>
        <v>46514</v>
      </c>
      <c r="W1945" t="s">
        <v>118</v>
      </c>
      <c r="Y1945" s="10">
        <v>15743127094</v>
      </c>
      <c r="AA1945">
        <v>3363</v>
      </c>
      <c r="AB1945" t="s">
        <v>820</v>
      </c>
      <c r="AC1945" t="s">
        <v>821</v>
      </c>
      <c r="AE1945" t="s">
        <v>822</v>
      </c>
      <c r="AF1945" t="s">
        <v>817</v>
      </c>
      <c r="AH1945" t="s">
        <v>818</v>
      </c>
      <c r="AI1945" t="s">
        <v>819</v>
      </c>
      <c r="AJ1945" s="8" t="str">
        <f>"46514"</f>
        <v>46514</v>
      </c>
      <c r="AK1945" t="s">
        <v>118</v>
      </c>
      <c r="AM1945" s="10">
        <v>15743127433</v>
      </c>
      <c r="AO1945" t="s">
        <v>823</v>
      </c>
      <c r="AP1945" t="s">
        <v>121</v>
      </c>
      <c r="AQ1945" t="s">
        <v>824</v>
      </c>
      <c r="AR1945" t="s">
        <v>825</v>
      </c>
      <c r="AS1945" t="s">
        <v>826</v>
      </c>
      <c r="AT1945" t="s">
        <v>827</v>
      </c>
      <c r="AU1945" t="s">
        <v>828</v>
      </c>
      <c r="AV1945" t="s">
        <v>187</v>
      </c>
      <c r="AW1945" t="s">
        <v>188</v>
      </c>
      <c r="AX1945" s="8" t="str">
        <f>"80202"</f>
        <v>80202</v>
      </c>
      <c r="AY1945" t="s">
        <v>118</v>
      </c>
      <c r="BA1945" s="10">
        <v>13036073637</v>
      </c>
      <c r="BC1945" t="s">
        <v>829</v>
      </c>
      <c r="BD1945" t="s">
        <v>830</v>
      </c>
      <c r="BE1945" t="s">
        <v>188</v>
      </c>
      <c r="BF1945" t="s">
        <v>831</v>
      </c>
      <c r="BG1945" t="s">
        <v>854</v>
      </c>
      <c r="BH1945" s="1">
        <v>45109.833333333336</v>
      </c>
      <c r="BI1945">
        <v>35</v>
      </c>
      <c r="BJ1945">
        <v>0</v>
      </c>
      <c r="BK1945">
        <v>7</v>
      </c>
      <c r="BL1945">
        <v>7</v>
      </c>
      <c r="BM1945">
        <v>7</v>
      </c>
      <c r="BN1945">
        <v>7</v>
      </c>
      <c r="BO1945">
        <v>7</v>
      </c>
      <c r="BP1945">
        <v>0</v>
      </c>
      <c r="BQ1945" t="str">
        <f>"5:00 AM"</f>
        <v>5:00 AM</v>
      </c>
      <c r="BR1945" t="str">
        <f>"3:00 PM"</f>
        <v>3:00 PM</v>
      </c>
      <c r="BS1945" t="s">
        <v>131</v>
      </c>
      <c r="BT1945">
        <v>0</v>
      </c>
      <c r="BU1945">
        <v>0</v>
      </c>
      <c r="BV1945" t="s">
        <v>114</v>
      </c>
      <c r="BX1945" s="2" t="s">
        <v>4545</v>
      </c>
      <c r="BY1945" t="s">
        <v>1447</v>
      </c>
      <c r="CA1945" t="s">
        <v>1448</v>
      </c>
      <c r="CB1945" t="s">
        <v>854</v>
      </c>
      <c r="CC1945" s="8" t="str">
        <f>"83687"</f>
        <v>83687</v>
      </c>
      <c r="CD1945" t="s">
        <v>1449</v>
      </c>
      <c r="CE1945" t="s">
        <v>1450</v>
      </c>
      <c r="CF1945" s="12">
        <v>16.21</v>
      </c>
      <c r="CG1945" s="12">
        <v>16.21</v>
      </c>
      <c r="CH1945" s="12">
        <v>24.32</v>
      </c>
      <c r="CI1945" s="12">
        <v>24.32</v>
      </c>
      <c r="CJ1945" t="s">
        <v>135</v>
      </c>
      <c r="CK1945" t="s">
        <v>131</v>
      </c>
      <c r="CL1945" t="s">
        <v>16038</v>
      </c>
      <c r="CO1945" t="s">
        <v>132</v>
      </c>
      <c r="CP1945" t="s">
        <v>114</v>
      </c>
      <c r="CQ1945" t="s">
        <v>114</v>
      </c>
      <c r="CR1945" t="s">
        <v>136</v>
      </c>
      <c r="CS1945" t="s">
        <v>136</v>
      </c>
      <c r="CT1945" t="s">
        <v>136</v>
      </c>
      <c r="CU1945" t="s">
        <v>114</v>
      </c>
      <c r="CV1945" t="s">
        <v>131</v>
      </c>
      <c r="CW1945" s="10" t="str">
        <f>"+15743127391"</f>
        <v>+15743127391</v>
      </c>
      <c r="CX1945" t="s">
        <v>838</v>
      </c>
      <c r="CY1945" t="s">
        <v>839</v>
      </c>
      <c r="CZ1945" t="s">
        <v>137</v>
      </c>
      <c r="DA1945" t="s">
        <v>114</v>
      </c>
      <c r="DB1945" t="s">
        <v>114</v>
      </c>
      <c r="DC1945" t="s">
        <v>136</v>
      </c>
      <c r="DD1945" t="s">
        <v>114</v>
      </c>
    </row>
    <row r="1946" spans="1:113" ht="15" customHeight="1" x14ac:dyDescent="0.25">
      <c r="A1946" t="s">
        <v>13368</v>
      </c>
      <c r="B1946" t="s">
        <v>113</v>
      </c>
      <c r="C1946" s="1">
        <v>45113.434370023147</v>
      </c>
      <c r="D1946" s="1">
        <v>45229</v>
      </c>
      <c r="E1946" t="s">
        <v>114</v>
      </c>
      <c r="F1946" t="s">
        <v>13369</v>
      </c>
      <c r="G1946" t="str">
        <f>"47-2051.00"</f>
        <v>47-2051.00</v>
      </c>
      <c r="H1946" t="s">
        <v>1291</v>
      </c>
      <c r="I1946">
        <v>4</v>
      </c>
      <c r="K1946" s="1">
        <v>45201</v>
      </c>
      <c r="L1946" s="1">
        <v>45488</v>
      </c>
      <c r="O1946" t="s">
        <v>116</v>
      </c>
      <c r="P1946" t="s">
        <v>13370</v>
      </c>
      <c r="Q1946" t="s">
        <v>13371</v>
      </c>
      <c r="R1946" t="s">
        <v>13372</v>
      </c>
      <c r="S1946" t="s">
        <v>13373</v>
      </c>
      <c r="T1946" t="s">
        <v>13374</v>
      </c>
      <c r="U1946" t="s">
        <v>1734</v>
      </c>
      <c r="V1946" s="8" t="str">
        <f>"67880"</f>
        <v>67880</v>
      </c>
      <c r="W1946" t="s">
        <v>118</v>
      </c>
      <c r="Y1946" s="10">
        <v>16205756473</v>
      </c>
      <c r="AA1946">
        <v>238110</v>
      </c>
      <c r="AB1946" t="s">
        <v>13375</v>
      </c>
      <c r="AC1946" t="s">
        <v>7380</v>
      </c>
      <c r="AD1946" t="s">
        <v>796</v>
      </c>
      <c r="AE1946" t="s">
        <v>13376</v>
      </c>
      <c r="AF1946" t="s">
        <v>13372</v>
      </c>
      <c r="AH1946" t="s">
        <v>13374</v>
      </c>
      <c r="AI1946" t="s">
        <v>1734</v>
      </c>
      <c r="AJ1946" s="8" t="str">
        <f>"67880"</f>
        <v>67880</v>
      </c>
      <c r="AK1946" t="s">
        <v>118</v>
      </c>
      <c r="AM1946" s="10">
        <v>16205756473</v>
      </c>
      <c r="AO1946" t="s">
        <v>13377</v>
      </c>
      <c r="AP1946" t="s">
        <v>121</v>
      </c>
      <c r="AQ1946" t="s">
        <v>10513</v>
      </c>
      <c r="AR1946" t="s">
        <v>10514</v>
      </c>
      <c r="AT1946" t="s">
        <v>10515</v>
      </c>
      <c r="AV1946" t="s">
        <v>4874</v>
      </c>
      <c r="AW1946" t="s">
        <v>1734</v>
      </c>
      <c r="AX1946" s="8" t="str">
        <f>"67278"</f>
        <v>67278</v>
      </c>
      <c r="AY1946" t="s">
        <v>118</v>
      </c>
      <c r="BA1946" s="10">
        <v>13162521232</v>
      </c>
      <c r="BC1946" t="s">
        <v>10516</v>
      </c>
      <c r="BD1946" t="s">
        <v>10517</v>
      </c>
      <c r="BE1946" t="s">
        <v>1734</v>
      </c>
      <c r="BF1946" t="s">
        <v>10518</v>
      </c>
      <c r="BG1946" t="s">
        <v>1734</v>
      </c>
      <c r="BH1946" s="1">
        <v>45112.833333333336</v>
      </c>
      <c r="BI1946">
        <v>40</v>
      </c>
      <c r="BJ1946">
        <v>0</v>
      </c>
      <c r="BK1946">
        <v>8</v>
      </c>
      <c r="BL1946">
        <v>8</v>
      </c>
      <c r="BM1946">
        <v>8</v>
      </c>
      <c r="BN1946">
        <v>8</v>
      </c>
      <c r="BO1946">
        <v>8</v>
      </c>
      <c r="BP1946">
        <v>0</v>
      </c>
      <c r="BQ1946" t="str">
        <f>"8:00 AM"</f>
        <v>8:00 AM</v>
      </c>
      <c r="BR1946" t="str">
        <f>"5:00 PM"</f>
        <v>5:00 PM</v>
      </c>
      <c r="BS1946" t="s">
        <v>131</v>
      </c>
      <c r="BT1946">
        <v>0</v>
      </c>
      <c r="BU1946">
        <v>0</v>
      </c>
      <c r="BV1946" t="s">
        <v>114</v>
      </c>
      <c r="BX1946" t="s">
        <v>1570</v>
      </c>
      <c r="BY1946" t="s">
        <v>13372</v>
      </c>
      <c r="CA1946" t="s">
        <v>13374</v>
      </c>
      <c r="CB1946" t="s">
        <v>1734</v>
      </c>
      <c r="CC1946" s="8" t="str">
        <f>"67880"</f>
        <v>67880</v>
      </c>
      <c r="CD1946" t="s">
        <v>5385</v>
      </c>
      <c r="CE1946" t="s">
        <v>5123</v>
      </c>
      <c r="CF1946" s="12">
        <v>22.5</v>
      </c>
      <c r="CG1946" s="12">
        <v>22.5</v>
      </c>
      <c r="CH1946" s="12">
        <v>33.75</v>
      </c>
      <c r="CI1946" s="12">
        <v>33.75</v>
      </c>
      <c r="CJ1946" t="s">
        <v>135</v>
      </c>
      <c r="CK1946" t="s">
        <v>6598</v>
      </c>
      <c r="CL1946" t="s">
        <v>13378</v>
      </c>
      <c r="CO1946" t="s">
        <v>132</v>
      </c>
      <c r="CP1946" t="s">
        <v>114</v>
      </c>
      <c r="CQ1946" t="s">
        <v>136</v>
      </c>
      <c r="CR1946" t="s">
        <v>136</v>
      </c>
      <c r="CS1946" t="s">
        <v>136</v>
      </c>
      <c r="CT1946" t="s">
        <v>136</v>
      </c>
      <c r="CU1946" t="s">
        <v>114</v>
      </c>
      <c r="CV1946" t="s">
        <v>10659</v>
      </c>
      <c r="CW1946" s="10" t="str">
        <f>"+16205756473"</f>
        <v>+16205756473</v>
      </c>
      <c r="CX1946" t="s">
        <v>13377</v>
      </c>
      <c r="CY1946" t="s">
        <v>796</v>
      </c>
      <c r="CZ1946" t="s">
        <v>137</v>
      </c>
      <c r="DA1946" t="s">
        <v>114</v>
      </c>
      <c r="DB1946" t="s">
        <v>114</v>
      </c>
      <c r="DC1946" t="s">
        <v>136</v>
      </c>
      <c r="DD1946" t="s">
        <v>114</v>
      </c>
      <c r="DE1946" t="s">
        <v>10513</v>
      </c>
      <c r="DF1946" t="s">
        <v>10514</v>
      </c>
      <c r="DG1946" t="s">
        <v>796</v>
      </c>
      <c r="DH1946" t="s">
        <v>10517</v>
      </c>
      <c r="DI1946" t="s">
        <v>10516</v>
      </c>
    </row>
    <row r="1947" spans="1:113" ht="15" customHeight="1" x14ac:dyDescent="0.25">
      <c r="A1947" t="s">
        <v>22506</v>
      </c>
      <c r="B1947" t="s">
        <v>113</v>
      </c>
      <c r="C1947" s="1">
        <v>45168.900489699074</v>
      </c>
      <c r="D1947" s="1">
        <v>45226</v>
      </c>
      <c r="E1947" t="s">
        <v>114</v>
      </c>
      <c r="F1947" t="s">
        <v>22507</v>
      </c>
      <c r="G1947" t="str">
        <f>"49-9098.00"</f>
        <v>49-9098.00</v>
      </c>
      <c r="H1947" t="s">
        <v>945</v>
      </c>
      <c r="I1947">
        <v>7</v>
      </c>
      <c r="K1947" s="1">
        <v>45245</v>
      </c>
      <c r="L1947" s="1">
        <v>45473</v>
      </c>
      <c r="O1947" t="s">
        <v>116</v>
      </c>
      <c r="P1947" t="s">
        <v>22508</v>
      </c>
      <c r="R1947" t="s">
        <v>22509</v>
      </c>
      <c r="T1947" t="s">
        <v>22510</v>
      </c>
      <c r="U1947" t="s">
        <v>1598</v>
      </c>
      <c r="V1947" s="8" t="str">
        <f>"35565"</f>
        <v>35565</v>
      </c>
      <c r="W1947" t="s">
        <v>118</v>
      </c>
      <c r="Y1947" s="10">
        <v>12054868667</v>
      </c>
      <c r="AA1947">
        <v>33699</v>
      </c>
      <c r="AB1947" t="s">
        <v>16417</v>
      </c>
      <c r="AC1947" t="s">
        <v>218</v>
      </c>
      <c r="AE1947" t="s">
        <v>629</v>
      </c>
      <c r="AF1947" t="s">
        <v>22509</v>
      </c>
      <c r="AH1947" t="s">
        <v>22510</v>
      </c>
      <c r="AI1947" t="s">
        <v>1598</v>
      </c>
      <c r="AJ1947" s="8" t="str">
        <f>"35565"</f>
        <v>35565</v>
      </c>
      <c r="AK1947" t="s">
        <v>118</v>
      </c>
      <c r="AM1947" s="10">
        <v>12058738212</v>
      </c>
      <c r="AO1947" t="s">
        <v>22511</v>
      </c>
      <c r="AP1947" t="s">
        <v>121</v>
      </c>
      <c r="AQ1947" t="s">
        <v>1215</v>
      </c>
      <c r="AR1947" t="s">
        <v>1216</v>
      </c>
      <c r="AS1947" t="s">
        <v>1432</v>
      </c>
      <c r="AT1947" t="s">
        <v>1433</v>
      </c>
      <c r="AU1947" t="s">
        <v>1219</v>
      </c>
      <c r="AV1947" t="s">
        <v>1220</v>
      </c>
      <c r="AW1947" t="s">
        <v>358</v>
      </c>
      <c r="AX1947" s="8" t="str">
        <f>"10036"</f>
        <v>10036</v>
      </c>
      <c r="AY1947" t="s">
        <v>118</v>
      </c>
      <c r="BA1947" s="10">
        <v>12123247280</v>
      </c>
      <c r="BC1947" t="s">
        <v>1221</v>
      </c>
      <c r="BD1947" t="s">
        <v>1222</v>
      </c>
      <c r="BE1947" t="s">
        <v>375</v>
      </c>
      <c r="BF1947" t="s">
        <v>1223</v>
      </c>
      <c r="BG1947" t="s">
        <v>1598</v>
      </c>
      <c r="BH1947" s="1">
        <v>45167.833333333336</v>
      </c>
      <c r="BI1947">
        <v>40</v>
      </c>
      <c r="BJ1947">
        <v>0</v>
      </c>
      <c r="BK1947">
        <v>8</v>
      </c>
      <c r="BL1947">
        <v>8</v>
      </c>
      <c r="BM1947">
        <v>8</v>
      </c>
      <c r="BN1947">
        <v>8</v>
      </c>
      <c r="BO1947">
        <v>8</v>
      </c>
      <c r="BP1947">
        <v>0</v>
      </c>
      <c r="BQ1947" t="str">
        <f>"8:00 AM"</f>
        <v>8:00 AM</v>
      </c>
      <c r="BR1947" t="str">
        <f>"5:00 PM"</f>
        <v>5:00 PM</v>
      </c>
      <c r="BS1947" t="s">
        <v>131</v>
      </c>
      <c r="BT1947">
        <v>0</v>
      </c>
      <c r="BU1947">
        <v>0</v>
      </c>
      <c r="BV1947" t="s">
        <v>114</v>
      </c>
      <c r="BX1947" s="2" t="s">
        <v>22512</v>
      </c>
      <c r="BY1947" t="s">
        <v>22509</v>
      </c>
      <c r="CA1947" t="s">
        <v>22510</v>
      </c>
      <c r="CB1947" t="s">
        <v>1598</v>
      </c>
      <c r="CC1947" s="8" t="str">
        <f>"35565"</f>
        <v>35565</v>
      </c>
      <c r="CD1947" t="s">
        <v>4864</v>
      </c>
      <c r="CE1947" t="s">
        <v>12134</v>
      </c>
      <c r="CF1947" s="12">
        <v>12.79</v>
      </c>
      <c r="CH1947" s="12">
        <v>19.190000000000001</v>
      </c>
      <c r="CJ1947" t="s">
        <v>135</v>
      </c>
      <c r="CK1947" t="s">
        <v>22513</v>
      </c>
      <c r="CL1947" t="s">
        <v>22514</v>
      </c>
      <c r="CO1947" t="s">
        <v>132</v>
      </c>
      <c r="CP1947" t="s">
        <v>114</v>
      </c>
      <c r="CQ1947" t="s">
        <v>114</v>
      </c>
      <c r="CR1947" t="s">
        <v>136</v>
      </c>
      <c r="CS1947" t="s">
        <v>136</v>
      </c>
      <c r="CT1947" t="s">
        <v>136</v>
      </c>
      <c r="CU1947" t="s">
        <v>136</v>
      </c>
      <c r="CV1947" t="s">
        <v>22515</v>
      </c>
      <c r="CW1947" s="10" t="str">
        <f>"+12054868667"</f>
        <v>+12054868667</v>
      </c>
      <c r="CX1947" t="s">
        <v>22511</v>
      </c>
      <c r="CY1947" t="s">
        <v>132</v>
      </c>
      <c r="CZ1947" t="s">
        <v>137</v>
      </c>
      <c r="DA1947" t="s">
        <v>114</v>
      </c>
      <c r="DB1947" t="s">
        <v>114</v>
      </c>
      <c r="DC1947" t="s">
        <v>136</v>
      </c>
      <c r="DD1947" t="s">
        <v>114</v>
      </c>
    </row>
    <row r="1948" spans="1:113" ht="15" customHeight="1" x14ac:dyDescent="0.25">
      <c r="A1948" t="s">
        <v>17373</v>
      </c>
      <c r="B1948" t="s">
        <v>113</v>
      </c>
      <c r="C1948" s="1">
        <v>45121.598369675929</v>
      </c>
      <c r="D1948" s="1">
        <v>45226</v>
      </c>
      <c r="E1948" t="s">
        <v>114</v>
      </c>
      <c r="F1948" t="s">
        <v>3746</v>
      </c>
      <c r="G1948" t="str">
        <f>"35-2014.00"</f>
        <v>35-2014.00</v>
      </c>
      <c r="H1948" t="s">
        <v>154</v>
      </c>
      <c r="I1948">
        <v>4</v>
      </c>
      <c r="K1948" s="1">
        <v>45210</v>
      </c>
      <c r="L1948" s="1">
        <v>45502</v>
      </c>
      <c r="O1948" t="s">
        <v>3248</v>
      </c>
      <c r="P1948" t="s">
        <v>17374</v>
      </c>
      <c r="R1948" t="s">
        <v>17375</v>
      </c>
      <c r="T1948" t="s">
        <v>5902</v>
      </c>
      <c r="U1948" t="s">
        <v>358</v>
      </c>
      <c r="V1948" s="8" t="str">
        <f>"14141"</f>
        <v>14141</v>
      </c>
      <c r="W1948" t="s">
        <v>118</v>
      </c>
      <c r="Y1948" s="10">
        <v>17165922033</v>
      </c>
      <c r="AA1948">
        <v>722511</v>
      </c>
      <c r="AB1948" t="s">
        <v>12604</v>
      </c>
      <c r="AC1948" t="s">
        <v>119</v>
      </c>
      <c r="AE1948" t="s">
        <v>3746</v>
      </c>
      <c r="AF1948" t="s">
        <v>17375</v>
      </c>
      <c r="AH1948" t="s">
        <v>5902</v>
      </c>
      <c r="AI1948" t="s">
        <v>358</v>
      </c>
      <c r="AJ1948" s="8" t="str">
        <f>"14141"</f>
        <v>14141</v>
      </c>
      <c r="AK1948" t="s">
        <v>118</v>
      </c>
      <c r="AM1948" s="10">
        <v>17165922033</v>
      </c>
      <c r="AO1948" t="s">
        <v>17376</v>
      </c>
      <c r="AP1948" t="s">
        <v>248</v>
      </c>
      <c r="AQ1948" t="s">
        <v>10173</v>
      </c>
      <c r="AR1948" t="s">
        <v>119</v>
      </c>
      <c r="AS1948" t="s">
        <v>1432</v>
      </c>
      <c r="AT1948" t="s">
        <v>17377</v>
      </c>
      <c r="AV1948" t="s">
        <v>2087</v>
      </c>
      <c r="AW1948" t="s">
        <v>1691</v>
      </c>
      <c r="AX1948" s="8" t="str">
        <f>"29607"</f>
        <v>29607</v>
      </c>
      <c r="AY1948" t="s">
        <v>118</v>
      </c>
      <c r="BA1948" s="10">
        <v>18644128040</v>
      </c>
      <c r="BC1948" t="s">
        <v>10176</v>
      </c>
      <c r="BD1948" t="s">
        <v>10177</v>
      </c>
      <c r="BG1948" t="s">
        <v>358</v>
      </c>
      <c r="BH1948" s="1">
        <v>45082.833333333336</v>
      </c>
      <c r="BI1948">
        <v>40</v>
      </c>
      <c r="BJ1948">
        <v>8</v>
      </c>
      <c r="BK1948">
        <v>8</v>
      </c>
      <c r="BL1948">
        <v>0</v>
      </c>
      <c r="BM1948">
        <v>0</v>
      </c>
      <c r="BN1948">
        <v>8</v>
      </c>
      <c r="BO1948">
        <v>8</v>
      </c>
      <c r="BP1948">
        <v>8</v>
      </c>
      <c r="BQ1948" t="str">
        <f>"11:00 AM"</f>
        <v>11:00 AM</v>
      </c>
      <c r="BR1948" t="str">
        <f>"8:00 PM"</f>
        <v>8:00 PM</v>
      </c>
      <c r="BS1948" t="s">
        <v>131</v>
      </c>
      <c r="BT1948">
        <v>0</v>
      </c>
      <c r="BU1948">
        <v>12</v>
      </c>
      <c r="BV1948" t="s">
        <v>114</v>
      </c>
      <c r="BX1948" s="2" t="s">
        <v>17378</v>
      </c>
      <c r="BY1948" t="s">
        <v>17375</v>
      </c>
      <c r="CA1948" t="s">
        <v>5902</v>
      </c>
      <c r="CB1948" t="s">
        <v>358</v>
      </c>
      <c r="CC1948" s="8" t="str">
        <f>"14141"</f>
        <v>14141</v>
      </c>
      <c r="CD1948" t="s">
        <v>4845</v>
      </c>
      <c r="CE1948" t="s">
        <v>7417</v>
      </c>
      <c r="CF1948" s="12">
        <v>17.05</v>
      </c>
      <c r="CG1948" s="12">
        <v>17.05</v>
      </c>
      <c r="CJ1948" t="s">
        <v>135</v>
      </c>
      <c r="CK1948" t="s">
        <v>17379</v>
      </c>
      <c r="CL1948" t="s">
        <v>17380</v>
      </c>
      <c r="CO1948" t="s">
        <v>132</v>
      </c>
      <c r="CP1948" t="s">
        <v>114</v>
      </c>
      <c r="CQ1948" t="s">
        <v>136</v>
      </c>
      <c r="CR1948" t="s">
        <v>114</v>
      </c>
      <c r="CS1948" t="s">
        <v>114</v>
      </c>
      <c r="CT1948" t="s">
        <v>136</v>
      </c>
      <c r="CU1948" t="s">
        <v>136</v>
      </c>
      <c r="CV1948" s="2" t="s">
        <v>17381</v>
      </c>
      <c r="CW1948" s="10" t="str">
        <f>"+17165922033"</f>
        <v>+17165922033</v>
      </c>
      <c r="CX1948" t="s">
        <v>17376</v>
      </c>
      <c r="CY1948" t="s">
        <v>132</v>
      </c>
      <c r="CZ1948" t="s">
        <v>137</v>
      </c>
      <c r="DA1948" t="s">
        <v>114</v>
      </c>
      <c r="DB1948" t="s">
        <v>136</v>
      </c>
      <c r="DC1948" t="s">
        <v>136</v>
      </c>
      <c r="DD1948" t="s">
        <v>114</v>
      </c>
    </row>
    <row r="1949" spans="1:113" ht="15" customHeight="1" x14ac:dyDescent="0.25">
      <c r="A1949" t="s">
        <v>4344</v>
      </c>
      <c r="B1949" t="s">
        <v>113</v>
      </c>
      <c r="C1949" s="1">
        <v>45120.894760995368</v>
      </c>
      <c r="D1949" s="1">
        <v>45226</v>
      </c>
      <c r="E1949" t="s">
        <v>114</v>
      </c>
      <c r="F1949" t="s">
        <v>1421</v>
      </c>
      <c r="G1949" t="str">
        <f>"17-3026.00"</f>
        <v>17-3026.00</v>
      </c>
      <c r="H1949" t="s">
        <v>1422</v>
      </c>
      <c r="I1949">
        <v>5</v>
      </c>
      <c r="K1949" s="1">
        <v>45208</v>
      </c>
      <c r="L1949" s="1">
        <v>45898</v>
      </c>
      <c r="O1949" t="s">
        <v>184</v>
      </c>
      <c r="P1949" t="s">
        <v>1423</v>
      </c>
      <c r="R1949" t="s">
        <v>1424</v>
      </c>
      <c r="S1949" t="s">
        <v>1425</v>
      </c>
      <c r="T1949" t="s">
        <v>1426</v>
      </c>
      <c r="U1949" t="s">
        <v>1427</v>
      </c>
      <c r="V1949" s="8" t="str">
        <f>"19904"</f>
        <v>19904</v>
      </c>
      <c r="W1949" t="s">
        <v>118</v>
      </c>
      <c r="Y1949" s="10">
        <v>18885343018</v>
      </c>
      <c r="AA1949">
        <v>33324</v>
      </c>
      <c r="AB1949" t="s">
        <v>1428</v>
      </c>
      <c r="AC1949" t="s">
        <v>1429</v>
      </c>
      <c r="AE1949" t="s">
        <v>1430</v>
      </c>
      <c r="AF1949" t="s">
        <v>1424</v>
      </c>
      <c r="AG1949" t="s">
        <v>1425</v>
      </c>
      <c r="AH1949" t="s">
        <v>1426</v>
      </c>
      <c r="AI1949" t="s">
        <v>1427</v>
      </c>
      <c r="AJ1949" s="8" t="str">
        <f>"19904"</f>
        <v>19904</v>
      </c>
      <c r="AK1949" t="s">
        <v>118</v>
      </c>
      <c r="AM1949" s="10">
        <v>18885343018</v>
      </c>
      <c r="AO1949" t="s">
        <v>1431</v>
      </c>
      <c r="AP1949" t="s">
        <v>121</v>
      </c>
      <c r="AQ1949" t="s">
        <v>1215</v>
      </c>
      <c r="AR1949" t="s">
        <v>1216</v>
      </c>
      <c r="AS1949" t="s">
        <v>1432</v>
      </c>
      <c r="AT1949" t="s">
        <v>1433</v>
      </c>
      <c r="AU1949" t="s">
        <v>1219</v>
      </c>
      <c r="AV1949" t="s">
        <v>1220</v>
      </c>
      <c r="AW1949" t="s">
        <v>358</v>
      </c>
      <c r="AX1949" s="8" t="str">
        <f>"10036"</f>
        <v>10036</v>
      </c>
      <c r="AY1949" t="s">
        <v>118</v>
      </c>
      <c r="BA1949" s="10">
        <v>12123247280</v>
      </c>
      <c r="BC1949" t="s">
        <v>1221</v>
      </c>
      <c r="BD1949" t="s">
        <v>1222</v>
      </c>
      <c r="BE1949" t="s">
        <v>375</v>
      </c>
      <c r="BF1949" t="s">
        <v>1223</v>
      </c>
      <c r="BG1949" t="s">
        <v>386</v>
      </c>
      <c r="BH1949" s="1">
        <v>45119.833333333336</v>
      </c>
      <c r="BI1949">
        <v>40</v>
      </c>
      <c r="BJ1949">
        <v>0</v>
      </c>
      <c r="BK1949">
        <v>8</v>
      </c>
      <c r="BL1949">
        <v>8</v>
      </c>
      <c r="BM1949">
        <v>8</v>
      </c>
      <c r="BN1949">
        <v>8</v>
      </c>
      <c r="BO1949">
        <v>8</v>
      </c>
      <c r="BP1949">
        <v>0</v>
      </c>
      <c r="BQ1949" t="str">
        <f>"9:00 AM"</f>
        <v>9:00 AM</v>
      </c>
      <c r="BR1949" t="str">
        <f>"6:00 PM"</f>
        <v>6:00 PM</v>
      </c>
      <c r="BS1949" t="s">
        <v>147</v>
      </c>
      <c r="BT1949">
        <v>0</v>
      </c>
      <c r="BU1949">
        <v>12</v>
      </c>
      <c r="BV1949" t="s">
        <v>114</v>
      </c>
      <c r="BX1949" s="2" t="s">
        <v>1435</v>
      </c>
      <c r="BY1949" t="s">
        <v>4345</v>
      </c>
      <c r="CA1949" t="s">
        <v>4346</v>
      </c>
      <c r="CB1949" t="s">
        <v>386</v>
      </c>
      <c r="CC1949" s="8" t="str">
        <f>"38069"</f>
        <v>38069</v>
      </c>
      <c r="CD1949" t="s">
        <v>2134</v>
      </c>
      <c r="CE1949" t="s">
        <v>4347</v>
      </c>
      <c r="CF1949" s="12">
        <v>22.69</v>
      </c>
      <c r="CI1949" s="12">
        <v>34.04</v>
      </c>
      <c r="CJ1949" t="s">
        <v>135</v>
      </c>
      <c r="CK1949" t="s">
        <v>4348</v>
      </c>
      <c r="CL1949" t="s">
        <v>1441</v>
      </c>
      <c r="CO1949" t="s">
        <v>132</v>
      </c>
      <c r="CP1949" t="s">
        <v>114</v>
      </c>
      <c r="CQ1949" t="s">
        <v>114</v>
      </c>
      <c r="CR1949" t="s">
        <v>136</v>
      </c>
      <c r="CS1949" t="s">
        <v>136</v>
      </c>
      <c r="CT1949" t="s">
        <v>136</v>
      </c>
      <c r="CU1949" t="s">
        <v>114</v>
      </c>
      <c r="CV1949" t="s">
        <v>1442</v>
      </c>
      <c r="CW1949" s="10" t="str">
        <f>"+17143486697"</f>
        <v>+17143486697</v>
      </c>
      <c r="CX1949" t="s">
        <v>1431</v>
      </c>
      <c r="CY1949" t="s">
        <v>132</v>
      </c>
      <c r="CZ1949" t="s">
        <v>137</v>
      </c>
      <c r="DA1949" t="s">
        <v>114</v>
      </c>
      <c r="DB1949" t="s">
        <v>114</v>
      </c>
      <c r="DC1949" t="s">
        <v>136</v>
      </c>
      <c r="DD1949" t="s">
        <v>114</v>
      </c>
    </row>
    <row r="1950" spans="1:113" ht="15" customHeight="1" x14ac:dyDescent="0.25">
      <c r="A1950" t="s">
        <v>22588</v>
      </c>
      <c r="B1950" t="s">
        <v>113</v>
      </c>
      <c r="C1950" s="1">
        <v>45118.374614814813</v>
      </c>
      <c r="D1950" s="1">
        <v>45226</v>
      </c>
      <c r="E1950" t="s">
        <v>114</v>
      </c>
      <c r="F1950" t="s">
        <v>9504</v>
      </c>
      <c r="G1950" t="str">
        <f>"37-3011.00"</f>
        <v>37-3011.00</v>
      </c>
      <c r="H1950" t="s">
        <v>429</v>
      </c>
      <c r="I1950">
        <v>1</v>
      </c>
      <c r="K1950" s="1">
        <v>45200</v>
      </c>
      <c r="L1950" s="1">
        <v>45444</v>
      </c>
      <c r="O1950" t="s">
        <v>116</v>
      </c>
      <c r="P1950" t="s">
        <v>22589</v>
      </c>
      <c r="Q1950" t="s">
        <v>22590</v>
      </c>
      <c r="R1950" t="s">
        <v>22591</v>
      </c>
      <c r="T1950" t="s">
        <v>4812</v>
      </c>
      <c r="U1950" t="s">
        <v>740</v>
      </c>
      <c r="V1950" s="8" t="str">
        <f>"52245"</f>
        <v>52245</v>
      </c>
      <c r="W1950" t="s">
        <v>118</v>
      </c>
      <c r="Y1950" s="10">
        <v>16412369250</v>
      </c>
      <c r="AA1950">
        <v>721110</v>
      </c>
      <c r="AB1950" t="s">
        <v>22592</v>
      </c>
      <c r="AC1950" t="s">
        <v>1193</v>
      </c>
      <c r="AE1950" t="s">
        <v>120</v>
      </c>
      <c r="AF1950" t="s">
        <v>22593</v>
      </c>
      <c r="AH1950" t="s">
        <v>22594</v>
      </c>
      <c r="AI1950" t="s">
        <v>740</v>
      </c>
      <c r="AJ1950" s="8" t="str">
        <f>"50112"</f>
        <v>50112</v>
      </c>
      <c r="AK1950" t="s">
        <v>118</v>
      </c>
      <c r="AM1950" s="10">
        <v>16412369250</v>
      </c>
      <c r="AO1950" t="s">
        <v>22595</v>
      </c>
      <c r="AP1950" t="s">
        <v>121</v>
      </c>
      <c r="AQ1950" t="s">
        <v>22596</v>
      </c>
      <c r="AR1950" t="s">
        <v>9534</v>
      </c>
      <c r="AS1950" t="s">
        <v>5512</v>
      </c>
      <c r="AT1950" t="s">
        <v>22597</v>
      </c>
      <c r="AU1950" t="s">
        <v>6041</v>
      </c>
      <c r="AV1950" t="s">
        <v>3013</v>
      </c>
      <c r="AW1950" t="s">
        <v>740</v>
      </c>
      <c r="AX1950" s="8" t="str">
        <f>"50309"</f>
        <v>50309</v>
      </c>
      <c r="AY1950" t="s">
        <v>118</v>
      </c>
      <c r="BA1950" s="10">
        <v>15152833100</v>
      </c>
      <c r="BC1950" t="s">
        <v>22598</v>
      </c>
      <c r="BD1950" t="s">
        <v>22599</v>
      </c>
      <c r="BE1950" t="s">
        <v>740</v>
      </c>
      <c r="BF1950" t="s">
        <v>172</v>
      </c>
      <c r="BG1950" t="s">
        <v>740</v>
      </c>
      <c r="BH1950" s="1">
        <v>45117.833333333336</v>
      </c>
      <c r="BI1950">
        <v>40</v>
      </c>
      <c r="BJ1950">
        <v>8</v>
      </c>
      <c r="BK1950">
        <v>5</v>
      </c>
      <c r="BL1950">
        <v>4</v>
      </c>
      <c r="BM1950">
        <v>4</v>
      </c>
      <c r="BN1950">
        <v>4</v>
      </c>
      <c r="BO1950">
        <v>7</v>
      </c>
      <c r="BP1950">
        <v>8</v>
      </c>
      <c r="BQ1950" t="str">
        <f>"7:00 AM"</f>
        <v>7:00 AM</v>
      </c>
      <c r="BR1950" t="str">
        <f>"3:30 PM"</f>
        <v>3:30 PM</v>
      </c>
      <c r="BS1950" t="s">
        <v>131</v>
      </c>
      <c r="BT1950">
        <v>0</v>
      </c>
      <c r="BU1950">
        <v>0</v>
      </c>
      <c r="BV1950" t="s">
        <v>114</v>
      </c>
      <c r="BX1950" s="2" t="s">
        <v>22600</v>
      </c>
      <c r="BY1950" t="s">
        <v>22593</v>
      </c>
      <c r="CA1950" t="s">
        <v>22601</v>
      </c>
      <c r="CB1950" t="s">
        <v>740</v>
      </c>
      <c r="CC1950" s="8" t="str">
        <f>"50112"</f>
        <v>50112</v>
      </c>
      <c r="CD1950" t="s">
        <v>16341</v>
      </c>
      <c r="CE1950" t="s">
        <v>1301</v>
      </c>
      <c r="CF1950" s="12">
        <v>14.59</v>
      </c>
      <c r="CG1950" s="12">
        <v>16.309999999999999</v>
      </c>
      <c r="CH1950" s="12">
        <v>21.89</v>
      </c>
      <c r="CI1950" s="12">
        <v>25.37</v>
      </c>
      <c r="CJ1950" t="s">
        <v>135</v>
      </c>
      <c r="CL1950" t="s">
        <v>22602</v>
      </c>
      <c r="CO1950" t="s">
        <v>132</v>
      </c>
      <c r="CP1950" t="s">
        <v>136</v>
      </c>
      <c r="CQ1950" t="s">
        <v>136</v>
      </c>
      <c r="CR1950" t="s">
        <v>136</v>
      </c>
      <c r="CS1950" t="s">
        <v>136</v>
      </c>
      <c r="CT1950" t="s">
        <v>136</v>
      </c>
      <c r="CU1950" t="s">
        <v>136</v>
      </c>
      <c r="CV1950" t="s">
        <v>131</v>
      </c>
      <c r="CW1950" s="10" t="str">
        <f>"+16412359250"</f>
        <v>+16412359250</v>
      </c>
      <c r="CX1950" t="s">
        <v>22603</v>
      </c>
      <c r="CY1950" t="s">
        <v>132</v>
      </c>
      <c r="CZ1950" t="s">
        <v>137</v>
      </c>
      <c r="DA1950" t="s">
        <v>114</v>
      </c>
      <c r="DB1950" t="s">
        <v>114</v>
      </c>
      <c r="DC1950" t="s">
        <v>136</v>
      </c>
      <c r="DD1950" t="s">
        <v>114</v>
      </c>
      <c r="DE1950" t="s">
        <v>22596</v>
      </c>
      <c r="DF1950" t="s">
        <v>9534</v>
      </c>
      <c r="DG1950" t="s">
        <v>3318</v>
      </c>
      <c r="DH1950" t="s">
        <v>22599</v>
      </c>
      <c r="DI1950" t="s">
        <v>22598</v>
      </c>
    </row>
    <row r="1951" spans="1:113" ht="15" customHeight="1" x14ac:dyDescent="0.25">
      <c r="A1951" t="s">
        <v>10507</v>
      </c>
      <c r="B1951" t="s">
        <v>113</v>
      </c>
      <c r="C1951" s="1">
        <v>45115.71814513889</v>
      </c>
      <c r="D1951" s="1">
        <v>45226</v>
      </c>
      <c r="E1951" t="s">
        <v>114</v>
      </c>
      <c r="F1951" t="s">
        <v>10508</v>
      </c>
      <c r="G1951" t="str">
        <f>"47-2061.00"</f>
        <v>47-2061.00</v>
      </c>
      <c r="H1951" t="s">
        <v>570</v>
      </c>
      <c r="I1951">
        <v>4</v>
      </c>
      <c r="K1951" s="1">
        <v>45200</v>
      </c>
      <c r="L1951" s="1">
        <v>45473</v>
      </c>
      <c r="O1951" t="s">
        <v>116</v>
      </c>
      <c r="P1951" t="s">
        <v>9341</v>
      </c>
      <c r="R1951" t="s">
        <v>10509</v>
      </c>
      <c r="T1951" t="s">
        <v>3597</v>
      </c>
      <c r="U1951" t="s">
        <v>1734</v>
      </c>
      <c r="V1951" s="8" t="str">
        <f>"67002"</f>
        <v>67002</v>
      </c>
      <c r="W1951" t="s">
        <v>118</v>
      </c>
      <c r="Y1951" s="10">
        <v>13166823997</v>
      </c>
      <c r="AA1951">
        <v>238990</v>
      </c>
      <c r="AB1951" t="s">
        <v>10510</v>
      </c>
      <c r="AC1951" t="s">
        <v>10511</v>
      </c>
      <c r="AD1951" t="s">
        <v>796</v>
      </c>
      <c r="AE1951" t="s">
        <v>10512</v>
      </c>
      <c r="AF1951" t="s">
        <v>10509</v>
      </c>
      <c r="AH1951" t="s">
        <v>3597</v>
      </c>
      <c r="AI1951" t="s">
        <v>127</v>
      </c>
      <c r="AJ1951" s="8" t="str">
        <f>"67002"</f>
        <v>67002</v>
      </c>
      <c r="AK1951" t="s">
        <v>118</v>
      </c>
      <c r="AM1951" s="10">
        <v>13166823997</v>
      </c>
      <c r="AO1951" t="s">
        <v>9343</v>
      </c>
      <c r="AP1951" t="s">
        <v>121</v>
      </c>
      <c r="AQ1951" t="s">
        <v>10513</v>
      </c>
      <c r="AR1951" t="s">
        <v>10514</v>
      </c>
      <c r="AT1951" t="s">
        <v>10515</v>
      </c>
      <c r="AV1951" t="s">
        <v>4874</v>
      </c>
      <c r="AW1951" t="s">
        <v>1734</v>
      </c>
      <c r="AX1951" s="8" t="str">
        <f>"67278"</f>
        <v>67278</v>
      </c>
      <c r="AY1951" t="s">
        <v>118</v>
      </c>
      <c r="BA1951" s="10">
        <v>13162521232</v>
      </c>
      <c r="BC1951" t="s">
        <v>10516</v>
      </c>
      <c r="BD1951" t="s">
        <v>10517</v>
      </c>
      <c r="BE1951" t="s">
        <v>1734</v>
      </c>
      <c r="BF1951" t="s">
        <v>10518</v>
      </c>
      <c r="BG1951" t="s">
        <v>1734</v>
      </c>
      <c r="BH1951" s="1">
        <v>45114.833333333336</v>
      </c>
      <c r="BI1951">
        <v>40</v>
      </c>
      <c r="BJ1951">
        <v>0</v>
      </c>
      <c r="BK1951">
        <v>8</v>
      </c>
      <c r="BL1951">
        <v>8</v>
      </c>
      <c r="BM1951">
        <v>8</v>
      </c>
      <c r="BN1951">
        <v>8</v>
      </c>
      <c r="BO1951">
        <v>8</v>
      </c>
      <c r="BP1951">
        <v>0</v>
      </c>
      <c r="BQ1951" t="str">
        <f>"8:00 AM"</f>
        <v>8:00 AM</v>
      </c>
      <c r="BR1951" t="str">
        <f>"5:00 PM"</f>
        <v>5:00 PM</v>
      </c>
      <c r="BS1951" t="s">
        <v>131</v>
      </c>
      <c r="BT1951">
        <v>0</v>
      </c>
      <c r="BU1951">
        <v>0</v>
      </c>
      <c r="BV1951" t="s">
        <v>114</v>
      </c>
      <c r="BX1951" t="s">
        <v>1570</v>
      </c>
      <c r="BY1951" t="s">
        <v>10509</v>
      </c>
      <c r="CA1951" t="s">
        <v>3597</v>
      </c>
      <c r="CB1951" t="s">
        <v>1734</v>
      </c>
      <c r="CC1951" s="8" t="str">
        <f>"67002"</f>
        <v>67002</v>
      </c>
      <c r="CD1951" t="s">
        <v>4888</v>
      </c>
      <c r="CE1951" t="s">
        <v>4876</v>
      </c>
      <c r="CF1951" s="12">
        <v>18.13</v>
      </c>
      <c r="CG1951" s="12">
        <v>18.13</v>
      </c>
      <c r="CH1951" s="12">
        <v>27.2</v>
      </c>
      <c r="CI1951" s="12">
        <v>27.2</v>
      </c>
      <c r="CJ1951" t="s">
        <v>135</v>
      </c>
      <c r="CK1951" t="s">
        <v>1570</v>
      </c>
      <c r="CL1951" t="s">
        <v>10519</v>
      </c>
      <c r="CO1951" t="s">
        <v>132</v>
      </c>
      <c r="CP1951" t="s">
        <v>114</v>
      </c>
      <c r="CQ1951" t="s">
        <v>136</v>
      </c>
      <c r="CR1951" t="s">
        <v>136</v>
      </c>
      <c r="CS1951" t="s">
        <v>114</v>
      </c>
      <c r="CT1951" t="s">
        <v>136</v>
      </c>
      <c r="CU1951" t="s">
        <v>114</v>
      </c>
      <c r="CV1951" t="s">
        <v>10520</v>
      </c>
      <c r="CW1951" s="10" t="str">
        <f>"+13166823997"</f>
        <v>+13166823997</v>
      </c>
      <c r="CX1951" t="s">
        <v>9343</v>
      </c>
      <c r="CY1951" t="s">
        <v>132</v>
      </c>
      <c r="CZ1951" t="s">
        <v>137</v>
      </c>
      <c r="DA1951" t="s">
        <v>114</v>
      </c>
      <c r="DB1951" t="s">
        <v>114</v>
      </c>
      <c r="DC1951" t="s">
        <v>136</v>
      </c>
      <c r="DD1951" t="s">
        <v>114</v>
      </c>
      <c r="DE1951" t="s">
        <v>10513</v>
      </c>
      <c r="DF1951" t="s">
        <v>10514</v>
      </c>
      <c r="DH1951" t="s">
        <v>10517</v>
      </c>
      <c r="DI1951" t="s">
        <v>10516</v>
      </c>
    </row>
    <row r="1952" spans="1:113" ht="15" customHeight="1" x14ac:dyDescent="0.25">
      <c r="A1952" t="s">
        <v>12832</v>
      </c>
      <c r="B1952" t="s">
        <v>113</v>
      </c>
      <c r="C1952" s="1">
        <v>45142.705301041664</v>
      </c>
      <c r="D1952" s="1">
        <v>45225</v>
      </c>
      <c r="E1952" t="s">
        <v>114</v>
      </c>
      <c r="F1952" t="s">
        <v>12833</v>
      </c>
      <c r="G1952" t="str">
        <f>"37-2012.00"</f>
        <v>37-2012.00</v>
      </c>
      <c r="H1952" t="s">
        <v>205</v>
      </c>
      <c r="I1952">
        <v>5</v>
      </c>
      <c r="K1952" s="1">
        <v>45217</v>
      </c>
      <c r="L1952" s="1">
        <v>45382</v>
      </c>
      <c r="O1952" t="s">
        <v>238</v>
      </c>
      <c r="P1952" t="s">
        <v>8794</v>
      </c>
      <c r="Q1952" t="s">
        <v>12834</v>
      </c>
      <c r="R1952" t="s">
        <v>7181</v>
      </c>
      <c r="T1952" t="s">
        <v>7182</v>
      </c>
      <c r="U1952" t="s">
        <v>993</v>
      </c>
      <c r="V1952" s="8" t="str">
        <f>"53965"</f>
        <v>53965</v>
      </c>
      <c r="W1952" t="s">
        <v>118</v>
      </c>
      <c r="Y1952" s="10">
        <v>16082538446</v>
      </c>
      <c r="AA1952">
        <v>713110</v>
      </c>
      <c r="AB1952" t="s">
        <v>7183</v>
      </c>
      <c r="AC1952" t="s">
        <v>930</v>
      </c>
      <c r="AE1952" t="s">
        <v>1104</v>
      </c>
      <c r="AF1952" t="s">
        <v>7181</v>
      </c>
      <c r="AH1952" t="s">
        <v>7182</v>
      </c>
      <c r="AI1952" t="s">
        <v>993</v>
      </c>
      <c r="AJ1952" s="8" t="str">
        <f>"53965"</f>
        <v>53965</v>
      </c>
      <c r="AK1952" t="s">
        <v>118</v>
      </c>
      <c r="AM1952" s="10">
        <v>16082538446</v>
      </c>
      <c r="AO1952" t="s">
        <v>7184</v>
      </c>
      <c r="AP1952" t="s">
        <v>121</v>
      </c>
      <c r="AQ1952" t="s">
        <v>7185</v>
      </c>
      <c r="AR1952" t="s">
        <v>7186</v>
      </c>
      <c r="AT1952" t="s">
        <v>7187</v>
      </c>
      <c r="AV1952" t="s">
        <v>6387</v>
      </c>
      <c r="AW1952" t="s">
        <v>140</v>
      </c>
      <c r="AX1952" s="8" t="str">
        <f>"33334"</f>
        <v>33334</v>
      </c>
      <c r="AY1952" t="s">
        <v>118</v>
      </c>
      <c r="BA1952" s="10">
        <v>15616559377</v>
      </c>
      <c r="BC1952" t="s">
        <v>7188</v>
      </c>
      <c r="BD1952" t="s">
        <v>7189</v>
      </c>
      <c r="BE1952" t="s">
        <v>358</v>
      </c>
      <c r="BF1952" t="s">
        <v>7190</v>
      </c>
      <c r="BG1952" t="s">
        <v>993</v>
      </c>
      <c r="BH1952" s="1">
        <v>45132.833333333336</v>
      </c>
      <c r="BI1952">
        <v>42</v>
      </c>
      <c r="BJ1952">
        <v>0</v>
      </c>
      <c r="BK1952">
        <v>7</v>
      </c>
      <c r="BL1952">
        <v>7</v>
      </c>
      <c r="BM1952">
        <v>7</v>
      </c>
      <c r="BN1952">
        <v>7</v>
      </c>
      <c r="BO1952">
        <v>7</v>
      </c>
      <c r="BP1952">
        <v>7</v>
      </c>
      <c r="BQ1952" t="str">
        <f>"9:30 AM"</f>
        <v>9:30 AM</v>
      </c>
      <c r="BR1952" t="str">
        <f>"4:30 PM"</f>
        <v>4:30 PM</v>
      </c>
      <c r="BS1952" t="s">
        <v>131</v>
      </c>
      <c r="BT1952">
        <v>0</v>
      </c>
      <c r="BU1952">
        <v>6</v>
      </c>
      <c r="BV1952" t="s">
        <v>114</v>
      </c>
      <c r="BX1952" t="s">
        <v>12835</v>
      </c>
      <c r="BY1952" t="s">
        <v>7181</v>
      </c>
      <c r="CA1952" t="s">
        <v>7182</v>
      </c>
      <c r="CB1952" t="s">
        <v>993</v>
      </c>
      <c r="CC1952" s="8" t="str">
        <f>"53965"</f>
        <v>53965</v>
      </c>
      <c r="CD1952" t="s">
        <v>3826</v>
      </c>
      <c r="CE1952" t="s">
        <v>3827</v>
      </c>
      <c r="CF1952" s="12">
        <v>13.96</v>
      </c>
      <c r="CG1952" s="12">
        <v>14</v>
      </c>
      <c r="CJ1952" t="s">
        <v>135</v>
      </c>
      <c r="CL1952" t="s">
        <v>12836</v>
      </c>
      <c r="CO1952" t="s">
        <v>132</v>
      </c>
      <c r="CP1952" t="s">
        <v>114</v>
      </c>
      <c r="CQ1952" t="s">
        <v>114</v>
      </c>
      <c r="CR1952" t="s">
        <v>114</v>
      </c>
      <c r="CS1952" t="s">
        <v>114</v>
      </c>
      <c r="CT1952" t="s">
        <v>136</v>
      </c>
      <c r="CU1952" t="s">
        <v>114</v>
      </c>
      <c r="CV1952" t="s">
        <v>8797</v>
      </c>
      <c r="CW1952" s="10" t="str">
        <f>"N/A"</f>
        <v>N/A</v>
      </c>
      <c r="CX1952" t="s">
        <v>7194</v>
      </c>
      <c r="CY1952" t="s">
        <v>8798</v>
      </c>
      <c r="CZ1952" t="s">
        <v>137</v>
      </c>
      <c r="DA1952" t="s">
        <v>114</v>
      </c>
      <c r="DB1952" t="s">
        <v>114</v>
      </c>
      <c r="DC1952" t="s">
        <v>136</v>
      </c>
      <c r="DD1952" t="s">
        <v>114</v>
      </c>
    </row>
    <row r="1953" spans="1:113" ht="15" customHeight="1" x14ac:dyDescent="0.25">
      <c r="A1953" t="s">
        <v>11481</v>
      </c>
      <c r="B1953" t="s">
        <v>113</v>
      </c>
      <c r="C1953" s="1">
        <v>45142.702646990743</v>
      </c>
      <c r="D1953" s="1">
        <v>45225</v>
      </c>
      <c r="E1953" t="s">
        <v>114</v>
      </c>
      <c r="F1953" t="s">
        <v>7793</v>
      </c>
      <c r="G1953" t="str">
        <f>"33-9092.00"</f>
        <v>33-9092.00</v>
      </c>
      <c r="H1953" t="s">
        <v>5975</v>
      </c>
      <c r="I1953">
        <v>12</v>
      </c>
      <c r="K1953" s="1">
        <v>45217</v>
      </c>
      <c r="L1953" s="1">
        <v>45382</v>
      </c>
      <c r="O1953" t="s">
        <v>238</v>
      </c>
      <c r="P1953" t="s">
        <v>8794</v>
      </c>
      <c r="Q1953" t="s">
        <v>7180</v>
      </c>
      <c r="R1953" t="s">
        <v>7181</v>
      </c>
      <c r="T1953" t="s">
        <v>7182</v>
      </c>
      <c r="U1953" t="s">
        <v>993</v>
      </c>
      <c r="V1953" s="8" t="str">
        <f>"53965"</f>
        <v>53965</v>
      </c>
      <c r="W1953" t="s">
        <v>118</v>
      </c>
      <c r="Y1953" s="10">
        <v>16082538446</v>
      </c>
      <c r="AA1953">
        <v>721110</v>
      </c>
      <c r="AB1953" t="s">
        <v>7183</v>
      </c>
      <c r="AC1953" t="s">
        <v>930</v>
      </c>
      <c r="AE1953" t="s">
        <v>1104</v>
      </c>
      <c r="AF1953" t="s">
        <v>7181</v>
      </c>
      <c r="AH1953" t="s">
        <v>7182</v>
      </c>
      <c r="AI1953" t="s">
        <v>993</v>
      </c>
      <c r="AJ1953" s="8" t="str">
        <f>"53965"</f>
        <v>53965</v>
      </c>
      <c r="AK1953" t="s">
        <v>118</v>
      </c>
      <c r="AM1953" s="10">
        <v>16082538446</v>
      </c>
      <c r="AO1953" t="s">
        <v>7184</v>
      </c>
      <c r="AP1953" t="s">
        <v>121</v>
      </c>
      <c r="AQ1953" t="s">
        <v>7185</v>
      </c>
      <c r="AR1953" t="s">
        <v>7186</v>
      </c>
      <c r="AT1953" t="s">
        <v>7187</v>
      </c>
      <c r="AV1953" t="s">
        <v>6387</v>
      </c>
      <c r="AW1953" t="s">
        <v>140</v>
      </c>
      <c r="AX1953" s="8" t="str">
        <f>"33334"</f>
        <v>33334</v>
      </c>
      <c r="AY1953" t="s">
        <v>118</v>
      </c>
      <c r="BA1953" s="10">
        <v>15616559377</v>
      </c>
      <c r="BC1953" t="s">
        <v>7188</v>
      </c>
      <c r="BD1953" t="s">
        <v>7189</v>
      </c>
      <c r="BE1953" t="s">
        <v>358</v>
      </c>
      <c r="BF1953" t="s">
        <v>7190</v>
      </c>
      <c r="BG1953" t="s">
        <v>993</v>
      </c>
      <c r="BH1953" s="1">
        <v>45103.833333333336</v>
      </c>
      <c r="BI1953">
        <v>54</v>
      </c>
      <c r="BJ1953">
        <v>0</v>
      </c>
      <c r="BK1953">
        <v>9</v>
      </c>
      <c r="BL1953">
        <v>9</v>
      </c>
      <c r="BM1953">
        <v>9</v>
      </c>
      <c r="BN1953">
        <v>9</v>
      </c>
      <c r="BO1953">
        <v>9</v>
      </c>
      <c r="BP1953">
        <v>9</v>
      </c>
      <c r="BQ1953" t="str">
        <f>"9:30 AM"</f>
        <v>9:30 AM</v>
      </c>
      <c r="BR1953" t="str">
        <f>"6:30 PM"</f>
        <v>6:30 PM</v>
      </c>
      <c r="BS1953" t="s">
        <v>131</v>
      </c>
      <c r="BT1953">
        <v>0</v>
      </c>
      <c r="BU1953">
        <v>6</v>
      </c>
      <c r="BV1953" t="s">
        <v>114</v>
      </c>
      <c r="BX1953" t="s">
        <v>11482</v>
      </c>
      <c r="BY1953" t="s">
        <v>7181</v>
      </c>
      <c r="CA1953" t="s">
        <v>7182</v>
      </c>
      <c r="CB1953" t="s">
        <v>993</v>
      </c>
      <c r="CC1953" s="8" t="str">
        <f>"53965"</f>
        <v>53965</v>
      </c>
      <c r="CD1953" t="s">
        <v>3826</v>
      </c>
      <c r="CE1953" t="s">
        <v>3827</v>
      </c>
      <c r="CF1953" s="12">
        <v>14.7</v>
      </c>
      <c r="CJ1953" t="s">
        <v>135</v>
      </c>
      <c r="CL1953" t="s">
        <v>11483</v>
      </c>
      <c r="CO1953" t="s">
        <v>132</v>
      </c>
      <c r="CP1953" t="s">
        <v>114</v>
      </c>
      <c r="CQ1953" t="s">
        <v>114</v>
      </c>
      <c r="CR1953" t="s">
        <v>114</v>
      </c>
      <c r="CS1953" t="s">
        <v>114</v>
      </c>
      <c r="CT1953" t="s">
        <v>136</v>
      </c>
      <c r="CU1953" t="s">
        <v>114</v>
      </c>
      <c r="CV1953" t="s">
        <v>7193</v>
      </c>
      <c r="CW1953" s="10" t="str">
        <f>"N/A"</f>
        <v>N/A</v>
      </c>
      <c r="CX1953" t="s">
        <v>7194</v>
      </c>
      <c r="CY1953" t="s">
        <v>8798</v>
      </c>
      <c r="CZ1953" t="s">
        <v>137</v>
      </c>
      <c r="DA1953" t="s">
        <v>114</v>
      </c>
      <c r="DB1953" t="s">
        <v>114</v>
      </c>
      <c r="DC1953" t="s">
        <v>136</v>
      </c>
      <c r="DD1953" t="s">
        <v>114</v>
      </c>
    </row>
    <row r="1954" spans="1:113" ht="15" customHeight="1" x14ac:dyDescent="0.25">
      <c r="A1954" t="s">
        <v>22711</v>
      </c>
      <c r="B1954" t="s">
        <v>113</v>
      </c>
      <c r="C1954" s="1">
        <v>45163.670630208333</v>
      </c>
      <c r="D1954" s="1">
        <v>45224</v>
      </c>
      <c r="E1954" t="s">
        <v>114</v>
      </c>
      <c r="F1954" t="s">
        <v>22712</v>
      </c>
      <c r="G1954" t="str">
        <f>"37-2011.00"</f>
        <v>37-2011.00</v>
      </c>
      <c r="H1954" t="s">
        <v>1089</v>
      </c>
      <c r="I1954">
        <v>5</v>
      </c>
      <c r="K1954" s="1">
        <v>45245</v>
      </c>
      <c r="L1954" s="1">
        <v>45397</v>
      </c>
      <c r="O1954" t="s">
        <v>116</v>
      </c>
      <c r="P1954" t="s">
        <v>22713</v>
      </c>
      <c r="R1954" t="s">
        <v>22714</v>
      </c>
      <c r="T1954" t="s">
        <v>210</v>
      </c>
      <c r="U1954" t="s">
        <v>211</v>
      </c>
      <c r="V1954" s="8" t="str">
        <f>"84098"</f>
        <v>84098</v>
      </c>
      <c r="W1954" t="s">
        <v>118</v>
      </c>
      <c r="Y1954" s="10">
        <v>14355132190</v>
      </c>
      <c r="AA1954">
        <v>8139</v>
      </c>
      <c r="AB1954" t="s">
        <v>22715</v>
      </c>
      <c r="AC1954" t="s">
        <v>22716</v>
      </c>
      <c r="AE1954" t="s">
        <v>561</v>
      </c>
      <c r="AF1954" t="s">
        <v>22714</v>
      </c>
      <c r="AH1954" t="s">
        <v>210</v>
      </c>
      <c r="AI1954" t="s">
        <v>211</v>
      </c>
      <c r="AJ1954" s="8" t="str">
        <f>"84098"</f>
        <v>84098</v>
      </c>
      <c r="AK1954" t="s">
        <v>118</v>
      </c>
      <c r="AM1954" s="10">
        <v>14355132190</v>
      </c>
      <c r="AO1954" t="s">
        <v>22717</v>
      </c>
      <c r="AP1954" t="s">
        <v>121</v>
      </c>
      <c r="AQ1954" t="s">
        <v>19068</v>
      </c>
      <c r="AR1954" t="s">
        <v>160</v>
      </c>
      <c r="AT1954" t="s">
        <v>22718</v>
      </c>
      <c r="AU1954" t="s">
        <v>8927</v>
      </c>
      <c r="AV1954" t="s">
        <v>1563</v>
      </c>
      <c r="AW1954" t="s">
        <v>211</v>
      </c>
      <c r="AX1954" s="8" t="str">
        <f>"84111"</f>
        <v>84111</v>
      </c>
      <c r="AY1954" t="s">
        <v>118</v>
      </c>
      <c r="BA1954" s="10">
        <v>14356550500</v>
      </c>
      <c r="BC1954" t="s">
        <v>22719</v>
      </c>
      <c r="BD1954" t="s">
        <v>22720</v>
      </c>
      <c r="BE1954" t="s">
        <v>211</v>
      </c>
      <c r="BF1954" t="s">
        <v>1566</v>
      </c>
      <c r="BG1954" t="s">
        <v>211</v>
      </c>
      <c r="BH1954" s="1">
        <v>45161.833333333336</v>
      </c>
      <c r="BI1954">
        <v>48</v>
      </c>
      <c r="BJ1954">
        <v>0</v>
      </c>
      <c r="BK1954">
        <v>8</v>
      </c>
      <c r="BL1954">
        <v>8</v>
      </c>
      <c r="BM1954">
        <v>8</v>
      </c>
      <c r="BN1954">
        <v>8</v>
      </c>
      <c r="BO1954">
        <v>8</v>
      </c>
      <c r="BP1954">
        <v>8</v>
      </c>
      <c r="BQ1954" t="str">
        <f>"7:00 AM"</f>
        <v>7:00 AM</v>
      </c>
      <c r="BR1954" t="str">
        <f>"3:00 PM"</f>
        <v>3:00 PM</v>
      </c>
      <c r="BS1954" t="s">
        <v>131</v>
      </c>
      <c r="BT1954">
        <v>0</v>
      </c>
      <c r="BU1954">
        <v>0</v>
      </c>
      <c r="BV1954" t="s">
        <v>114</v>
      </c>
      <c r="BX1954" t="s">
        <v>132</v>
      </c>
      <c r="BY1954" t="s">
        <v>22714</v>
      </c>
      <c r="CA1954" t="s">
        <v>210</v>
      </c>
      <c r="CB1954" t="s">
        <v>211</v>
      </c>
      <c r="CC1954" s="8" t="str">
        <f>"84098"</f>
        <v>84098</v>
      </c>
      <c r="CD1954" t="s">
        <v>228</v>
      </c>
      <c r="CE1954" t="s">
        <v>229</v>
      </c>
      <c r="CF1954" s="12">
        <v>15.17</v>
      </c>
      <c r="CG1954" s="12">
        <v>15.17</v>
      </c>
      <c r="CH1954" s="12">
        <v>22.75</v>
      </c>
      <c r="CI1954" s="12">
        <v>22.75</v>
      </c>
      <c r="CJ1954" t="s">
        <v>135</v>
      </c>
      <c r="CK1954" t="s">
        <v>132</v>
      </c>
      <c r="CL1954" t="s">
        <v>22721</v>
      </c>
      <c r="CO1954" t="s">
        <v>132</v>
      </c>
      <c r="CP1954" t="s">
        <v>136</v>
      </c>
      <c r="CQ1954" t="s">
        <v>136</v>
      </c>
      <c r="CR1954" t="s">
        <v>136</v>
      </c>
      <c r="CS1954" t="s">
        <v>136</v>
      </c>
      <c r="CT1954" t="s">
        <v>136</v>
      </c>
      <c r="CU1954" t="s">
        <v>136</v>
      </c>
      <c r="CV1954" t="s">
        <v>1480</v>
      </c>
      <c r="CW1954" s="10" t="str">
        <f>"+14355132190"</f>
        <v>+14355132190</v>
      </c>
      <c r="CX1954" t="s">
        <v>22717</v>
      </c>
      <c r="CY1954" t="s">
        <v>132</v>
      </c>
      <c r="CZ1954" t="s">
        <v>137</v>
      </c>
      <c r="DA1954" t="s">
        <v>114</v>
      </c>
      <c r="DB1954" t="s">
        <v>114</v>
      </c>
      <c r="DC1954" t="s">
        <v>136</v>
      </c>
      <c r="DD1954" t="s">
        <v>114</v>
      </c>
    </row>
    <row r="1955" spans="1:113" ht="15" customHeight="1" x14ac:dyDescent="0.25">
      <c r="A1955" t="s">
        <v>8898</v>
      </c>
      <c r="B1955" t="s">
        <v>113</v>
      </c>
      <c r="C1955" s="1">
        <v>45163.617256597223</v>
      </c>
      <c r="D1955" s="1">
        <v>45224</v>
      </c>
      <c r="E1955" t="s">
        <v>114</v>
      </c>
      <c r="F1955" t="s">
        <v>8899</v>
      </c>
      <c r="G1955" t="str">
        <f>"47-3012.00"</f>
        <v>47-3012.00</v>
      </c>
      <c r="H1955" t="s">
        <v>979</v>
      </c>
      <c r="I1955">
        <v>10</v>
      </c>
      <c r="K1955" s="1">
        <v>45166</v>
      </c>
      <c r="L1955" s="1">
        <v>45289</v>
      </c>
      <c r="O1955" t="s">
        <v>116</v>
      </c>
      <c r="P1955" t="s">
        <v>8900</v>
      </c>
      <c r="Q1955" t="s">
        <v>8900</v>
      </c>
      <c r="R1955" t="s">
        <v>8901</v>
      </c>
      <c r="T1955" t="s">
        <v>8902</v>
      </c>
      <c r="U1955" t="s">
        <v>402</v>
      </c>
      <c r="V1955" s="8" t="str">
        <f>"92243"</f>
        <v>92243</v>
      </c>
      <c r="W1955" t="s">
        <v>118</v>
      </c>
      <c r="Y1955" s="10">
        <v>14422318591</v>
      </c>
      <c r="AA1955">
        <v>238350</v>
      </c>
      <c r="AB1955" t="s">
        <v>8903</v>
      </c>
      <c r="AC1955" t="s">
        <v>8904</v>
      </c>
      <c r="AD1955" t="s">
        <v>1714</v>
      </c>
      <c r="AE1955" t="s">
        <v>8905</v>
      </c>
      <c r="AF1955" t="s">
        <v>8901</v>
      </c>
      <c r="AH1955" t="s">
        <v>8906</v>
      </c>
      <c r="AI1955" t="s">
        <v>402</v>
      </c>
      <c r="AJ1955" s="8" t="str">
        <f>"92243"</f>
        <v>92243</v>
      </c>
      <c r="AK1955" t="s">
        <v>118</v>
      </c>
      <c r="AM1955" s="10">
        <v>14422318591</v>
      </c>
      <c r="AO1955" t="s">
        <v>8907</v>
      </c>
      <c r="AX1955" s="8" t="str">
        <f>""</f>
        <v/>
      </c>
      <c r="BG1955" t="s">
        <v>402</v>
      </c>
      <c r="BH1955" s="1">
        <v>45162.833333333336</v>
      </c>
      <c r="BI1955">
        <v>40</v>
      </c>
      <c r="BJ1955">
        <v>0</v>
      </c>
      <c r="BK1955">
        <v>8</v>
      </c>
      <c r="BL1955">
        <v>8</v>
      </c>
      <c r="BM1955">
        <v>8</v>
      </c>
      <c r="BN1955">
        <v>8</v>
      </c>
      <c r="BO1955">
        <v>8</v>
      </c>
      <c r="BP1955">
        <v>0</v>
      </c>
      <c r="BQ1955" t="str">
        <f>"8:00 AM"</f>
        <v>8:00 AM</v>
      </c>
      <c r="BR1955" t="str">
        <f>"5:00 PM"</f>
        <v>5:00 PM</v>
      </c>
      <c r="BS1955" t="s">
        <v>131</v>
      </c>
      <c r="BT1955">
        <v>0</v>
      </c>
      <c r="BU1955">
        <v>0</v>
      </c>
      <c r="BV1955" t="s">
        <v>114</v>
      </c>
      <c r="BX1955" t="s">
        <v>131</v>
      </c>
      <c r="BY1955" t="s">
        <v>8901</v>
      </c>
      <c r="CA1955" t="s">
        <v>8902</v>
      </c>
      <c r="CB1955" t="s">
        <v>402</v>
      </c>
      <c r="CC1955" s="8" t="str">
        <f>"92243"</f>
        <v>92243</v>
      </c>
      <c r="CD1955" t="s">
        <v>8908</v>
      </c>
      <c r="CE1955" t="s">
        <v>8909</v>
      </c>
      <c r="CF1955" s="12">
        <v>15</v>
      </c>
      <c r="CG1955" s="12">
        <v>25</v>
      </c>
      <c r="CH1955" s="12">
        <v>25</v>
      </c>
      <c r="CI1955" s="12">
        <v>38</v>
      </c>
      <c r="CJ1955" t="s">
        <v>7623</v>
      </c>
      <c r="CL1955" t="s">
        <v>8910</v>
      </c>
      <c r="CO1955" t="s">
        <v>136</v>
      </c>
      <c r="CP1955" t="s">
        <v>136</v>
      </c>
      <c r="CQ1955" t="s">
        <v>136</v>
      </c>
      <c r="CR1955" t="s">
        <v>136</v>
      </c>
      <c r="CS1955" t="s">
        <v>136</v>
      </c>
      <c r="CT1955" t="s">
        <v>136</v>
      </c>
      <c r="CU1955" t="s">
        <v>136</v>
      </c>
      <c r="CV1955" t="s">
        <v>1789</v>
      </c>
      <c r="CW1955" s="10" t="str">
        <f>"+14422318591"</f>
        <v>+14422318591</v>
      </c>
      <c r="CX1955" t="s">
        <v>8907</v>
      </c>
      <c r="CY1955" t="s">
        <v>8911</v>
      </c>
      <c r="CZ1955" t="s">
        <v>137</v>
      </c>
      <c r="DA1955" t="s">
        <v>114</v>
      </c>
      <c r="DB1955" t="s">
        <v>114</v>
      </c>
      <c r="DC1955" t="s">
        <v>136</v>
      </c>
      <c r="DD1955" t="s">
        <v>114</v>
      </c>
      <c r="DE1955" t="s">
        <v>8903</v>
      </c>
      <c r="DF1955" t="s">
        <v>8904</v>
      </c>
      <c r="DH1955" t="s">
        <v>8912</v>
      </c>
      <c r="DI1955" t="s">
        <v>8913</v>
      </c>
    </row>
    <row r="1956" spans="1:113" ht="15" customHeight="1" x14ac:dyDescent="0.25">
      <c r="A1956" t="s">
        <v>8560</v>
      </c>
      <c r="B1956" t="s">
        <v>113</v>
      </c>
      <c r="C1956" s="1">
        <v>45155.449524305557</v>
      </c>
      <c r="D1956" s="1">
        <v>45224</v>
      </c>
      <c r="E1956" t="s">
        <v>114</v>
      </c>
      <c r="F1956" t="s">
        <v>8561</v>
      </c>
      <c r="G1956" t="str">
        <f>"47-1011.00"</f>
        <v>47-1011.00</v>
      </c>
      <c r="H1956" t="s">
        <v>8562</v>
      </c>
      <c r="I1956">
        <v>10</v>
      </c>
      <c r="K1956" s="1">
        <v>45230</v>
      </c>
      <c r="L1956" s="1">
        <v>45443</v>
      </c>
      <c r="O1956" t="s">
        <v>238</v>
      </c>
      <c r="P1956" t="s">
        <v>8563</v>
      </c>
      <c r="R1956" t="s">
        <v>8564</v>
      </c>
      <c r="T1956" t="s">
        <v>8565</v>
      </c>
      <c r="U1956" t="s">
        <v>375</v>
      </c>
      <c r="V1956" s="8" t="str">
        <f>"28120"</f>
        <v>28120</v>
      </c>
      <c r="W1956" t="s">
        <v>118</v>
      </c>
      <c r="Y1956" s="10">
        <v>17043942593</v>
      </c>
      <c r="AA1956">
        <v>238990</v>
      </c>
      <c r="AB1956" t="s">
        <v>8566</v>
      </c>
      <c r="AC1956" t="s">
        <v>8567</v>
      </c>
      <c r="AD1956" t="s">
        <v>362</v>
      </c>
      <c r="AE1956" t="s">
        <v>438</v>
      </c>
      <c r="AF1956" t="s">
        <v>8568</v>
      </c>
      <c r="AH1956" t="s">
        <v>8565</v>
      </c>
      <c r="AI1956" t="s">
        <v>375</v>
      </c>
      <c r="AJ1956" s="8" t="str">
        <f>"28120"</f>
        <v>28120</v>
      </c>
      <c r="AK1956" t="s">
        <v>118</v>
      </c>
      <c r="AM1956" s="10">
        <v>17049135334</v>
      </c>
      <c r="AO1956" t="s">
        <v>321</v>
      </c>
      <c r="AX1956" s="8" t="str">
        <f>""</f>
        <v/>
      </c>
      <c r="BG1956" t="s">
        <v>375</v>
      </c>
      <c r="BH1956" s="1">
        <v>45155.833333333336</v>
      </c>
      <c r="BI1956">
        <v>40</v>
      </c>
      <c r="BJ1956">
        <v>0</v>
      </c>
      <c r="BK1956">
        <v>8</v>
      </c>
      <c r="BL1956">
        <v>8</v>
      </c>
      <c r="BM1956">
        <v>8</v>
      </c>
      <c r="BN1956">
        <v>8</v>
      </c>
      <c r="BO1956">
        <v>8</v>
      </c>
      <c r="BP1956">
        <v>0</v>
      </c>
      <c r="BQ1956" t="str">
        <f>"7:00 AM"</f>
        <v>7:00 AM</v>
      </c>
      <c r="BR1956" t="str">
        <f>"5:00 PM"</f>
        <v>5:00 PM</v>
      </c>
      <c r="BS1956" t="s">
        <v>131</v>
      </c>
      <c r="BT1956">
        <v>0</v>
      </c>
      <c r="BU1956">
        <v>0</v>
      </c>
      <c r="BV1956" t="s">
        <v>136</v>
      </c>
      <c r="BW1956">
        <v>2</v>
      </c>
      <c r="BX1956" t="s">
        <v>1480</v>
      </c>
      <c r="BY1956" t="s">
        <v>8569</v>
      </c>
      <c r="CA1956" t="s">
        <v>3114</v>
      </c>
      <c r="CB1956" t="s">
        <v>375</v>
      </c>
      <c r="CC1956" s="8" t="str">
        <f>"28150"</f>
        <v>28150</v>
      </c>
      <c r="CD1956" t="s">
        <v>3275</v>
      </c>
      <c r="CE1956" t="s">
        <v>2940</v>
      </c>
      <c r="CF1956" s="12">
        <v>33.35</v>
      </c>
      <c r="CG1956" s="12">
        <v>36</v>
      </c>
      <c r="CH1956" s="12">
        <v>50.1</v>
      </c>
      <c r="CI1956" s="12">
        <v>55</v>
      </c>
      <c r="CJ1956" t="s">
        <v>135</v>
      </c>
      <c r="CL1956" t="s">
        <v>8570</v>
      </c>
      <c r="CO1956" t="s">
        <v>132</v>
      </c>
      <c r="CP1956" t="s">
        <v>114</v>
      </c>
      <c r="CQ1956" t="s">
        <v>136</v>
      </c>
      <c r="CR1956" t="s">
        <v>136</v>
      </c>
      <c r="CS1956" t="s">
        <v>114</v>
      </c>
      <c r="CT1956" t="s">
        <v>136</v>
      </c>
      <c r="CU1956" t="s">
        <v>114</v>
      </c>
      <c r="CV1956" t="s">
        <v>131</v>
      </c>
      <c r="CW1956" s="10" t="str">
        <f>"+14693974029"</f>
        <v>+14693974029</v>
      </c>
      <c r="CX1956" t="s">
        <v>8571</v>
      </c>
      <c r="CY1956" t="s">
        <v>132</v>
      </c>
      <c r="CZ1956" t="s">
        <v>137</v>
      </c>
      <c r="DA1956" t="s">
        <v>114</v>
      </c>
      <c r="DB1956" t="s">
        <v>114</v>
      </c>
      <c r="DC1956" t="s">
        <v>136</v>
      </c>
      <c r="DD1956" t="s">
        <v>114</v>
      </c>
    </row>
    <row r="1957" spans="1:113" ht="15" customHeight="1" x14ac:dyDescent="0.25">
      <c r="A1957" t="s">
        <v>1638</v>
      </c>
      <c r="B1957" t="s">
        <v>113</v>
      </c>
      <c r="C1957" s="1">
        <v>45142.884214004633</v>
      </c>
      <c r="D1957" s="1">
        <v>45224</v>
      </c>
      <c r="E1957" t="s">
        <v>114</v>
      </c>
      <c r="F1957" t="s">
        <v>293</v>
      </c>
      <c r="G1957" t="str">
        <f>"37-2012.00"</f>
        <v>37-2012.00</v>
      </c>
      <c r="H1957" t="s">
        <v>205</v>
      </c>
      <c r="I1957">
        <v>5</v>
      </c>
      <c r="K1957" s="1">
        <v>45231</v>
      </c>
      <c r="L1957" s="1">
        <v>45412</v>
      </c>
      <c r="O1957" t="s">
        <v>238</v>
      </c>
      <c r="P1957" t="s">
        <v>1639</v>
      </c>
      <c r="R1957" t="s">
        <v>1640</v>
      </c>
      <c r="T1957" t="s">
        <v>1641</v>
      </c>
      <c r="U1957" t="s">
        <v>1642</v>
      </c>
      <c r="V1957" s="8" t="str">
        <f>"26291"</f>
        <v>26291</v>
      </c>
      <c r="W1957" t="s">
        <v>118</v>
      </c>
      <c r="Y1957" s="10">
        <v>13046510852</v>
      </c>
      <c r="AA1957">
        <v>561720</v>
      </c>
      <c r="AB1957" t="s">
        <v>1643</v>
      </c>
      <c r="AC1957" t="s">
        <v>1362</v>
      </c>
      <c r="AD1957" t="s">
        <v>1410</v>
      </c>
      <c r="AE1957" t="s">
        <v>1644</v>
      </c>
      <c r="AF1957" t="s">
        <v>1640</v>
      </c>
      <c r="AH1957" t="s">
        <v>1641</v>
      </c>
      <c r="AI1957" t="s">
        <v>1642</v>
      </c>
      <c r="AJ1957" s="8" t="str">
        <f>"26291"</f>
        <v>26291</v>
      </c>
      <c r="AK1957" t="s">
        <v>118</v>
      </c>
      <c r="AM1957" s="10">
        <v>13046510852</v>
      </c>
      <c r="AO1957" t="s">
        <v>1645</v>
      </c>
      <c r="AX1957" s="8" t="str">
        <f>""</f>
        <v/>
      </c>
      <c r="BG1957" t="s">
        <v>1642</v>
      </c>
      <c r="BH1957" s="1">
        <v>45138.833333333336</v>
      </c>
      <c r="BI1957">
        <v>40</v>
      </c>
      <c r="BJ1957">
        <v>8</v>
      </c>
      <c r="BK1957">
        <v>8</v>
      </c>
      <c r="BL1957">
        <v>0</v>
      </c>
      <c r="BM1957">
        <v>0</v>
      </c>
      <c r="BN1957">
        <v>8</v>
      </c>
      <c r="BO1957">
        <v>8</v>
      </c>
      <c r="BP1957">
        <v>8</v>
      </c>
      <c r="BQ1957" t="str">
        <f>"9:00 AM"</f>
        <v>9:00 AM</v>
      </c>
      <c r="BR1957" t="str">
        <f>"5:00 PM"</f>
        <v>5:00 PM</v>
      </c>
      <c r="BS1957" t="s">
        <v>131</v>
      </c>
      <c r="BT1957">
        <v>0</v>
      </c>
      <c r="BU1957">
        <v>0</v>
      </c>
      <c r="BV1957" t="s">
        <v>114</v>
      </c>
      <c r="BX1957" t="s">
        <v>132</v>
      </c>
      <c r="BY1957" t="s">
        <v>1646</v>
      </c>
      <c r="BZ1957" t="s">
        <v>1647</v>
      </c>
      <c r="CA1957" t="s">
        <v>1648</v>
      </c>
      <c r="CB1957" t="s">
        <v>1642</v>
      </c>
      <c r="CC1957" s="8" t="str">
        <f>"26209"</f>
        <v>26209</v>
      </c>
      <c r="CD1957" t="s">
        <v>1649</v>
      </c>
      <c r="CE1957" t="s">
        <v>1650</v>
      </c>
      <c r="CF1957" s="12">
        <v>12</v>
      </c>
      <c r="CG1957" s="12">
        <v>17</v>
      </c>
      <c r="CH1957" s="12">
        <v>18</v>
      </c>
      <c r="CI1957" s="12">
        <v>25.5</v>
      </c>
      <c r="CJ1957" t="s">
        <v>135</v>
      </c>
      <c r="CL1957" t="s">
        <v>1651</v>
      </c>
      <c r="CO1957" t="s">
        <v>132</v>
      </c>
      <c r="CP1957" t="s">
        <v>136</v>
      </c>
      <c r="CQ1957" t="s">
        <v>136</v>
      </c>
      <c r="CR1957" t="s">
        <v>136</v>
      </c>
      <c r="CS1957" t="s">
        <v>136</v>
      </c>
      <c r="CT1957" t="s">
        <v>136</v>
      </c>
      <c r="CU1957" t="s">
        <v>136</v>
      </c>
      <c r="CV1957" t="s">
        <v>1652</v>
      </c>
      <c r="CW1957" s="10" t="str">
        <f>"+13046510852"</f>
        <v>+13046510852</v>
      </c>
      <c r="CX1957" t="s">
        <v>1645</v>
      </c>
      <c r="CY1957" t="s">
        <v>132</v>
      </c>
      <c r="CZ1957" t="s">
        <v>137</v>
      </c>
      <c r="DA1957" t="s">
        <v>114</v>
      </c>
      <c r="DB1957" t="s">
        <v>114</v>
      </c>
      <c r="DC1957" t="s">
        <v>136</v>
      </c>
      <c r="DD1957" t="s">
        <v>114</v>
      </c>
    </row>
    <row r="1958" spans="1:113" ht="15" customHeight="1" x14ac:dyDescent="0.25">
      <c r="A1958" t="s">
        <v>8792</v>
      </c>
      <c r="B1958" t="s">
        <v>113</v>
      </c>
      <c r="C1958" s="1">
        <v>45142.70434895833</v>
      </c>
      <c r="D1958" s="1">
        <v>45224</v>
      </c>
      <c r="E1958" t="s">
        <v>114</v>
      </c>
      <c r="F1958" t="s">
        <v>8793</v>
      </c>
      <c r="G1958" t="str">
        <f>"37-2012.00"</f>
        <v>37-2012.00</v>
      </c>
      <c r="H1958" t="s">
        <v>205</v>
      </c>
      <c r="I1958">
        <v>12</v>
      </c>
      <c r="K1958" s="1">
        <v>45217</v>
      </c>
      <c r="L1958" s="1">
        <v>45382</v>
      </c>
      <c r="O1958" t="s">
        <v>238</v>
      </c>
      <c r="P1958" t="s">
        <v>8794</v>
      </c>
      <c r="Q1958" t="s">
        <v>7180</v>
      </c>
      <c r="R1958" t="s">
        <v>7181</v>
      </c>
      <c r="T1958" t="s">
        <v>7182</v>
      </c>
      <c r="U1958" t="s">
        <v>993</v>
      </c>
      <c r="V1958" s="8" t="str">
        <f>"53965"</f>
        <v>53965</v>
      </c>
      <c r="W1958" t="s">
        <v>118</v>
      </c>
      <c r="Y1958" s="10">
        <v>16082538446</v>
      </c>
      <c r="AA1958">
        <v>721110</v>
      </c>
      <c r="AB1958" t="s">
        <v>7183</v>
      </c>
      <c r="AC1958" t="s">
        <v>930</v>
      </c>
      <c r="AE1958" t="s">
        <v>1104</v>
      </c>
      <c r="AF1958" t="s">
        <v>7181</v>
      </c>
      <c r="AH1958" t="s">
        <v>7182</v>
      </c>
      <c r="AI1958" t="s">
        <v>993</v>
      </c>
      <c r="AJ1958" s="8" t="str">
        <f>"53965"</f>
        <v>53965</v>
      </c>
      <c r="AK1958" t="s">
        <v>118</v>
      </c>
      <c r="AM1958" s="10">
        <v>16082538446</v>
      </c>
      <c r="AO1958" t="s">
        <v>7184</v>
      </c>
      <c r="AP1958" t="s">
        <v>121</v>
      </c>
      <c r="AQ1958" t="s">
        <v>7185</v>
      </c>
      <c r="AR1958" t="s">
        <v>7186</v>
      </c>
      <c r="AT1958" t="s">
        <v>7187</v>
      </c>
      <c r="AV1958" t="s">
        <v>6387</v>
      </c>
      <c r="AW1958" t="s">
        <v>140</v>
      </c>
      <c r="AX1958" s="8" t="str">
        <f>"33334"</f>
        <v>33334</v>
      </c>
      <c r="AY1958" t="s">
        <v>118</v>
      </c>
      <c r="BA1958" s="10">
        <v>15616559377</v>
      </c>
      <c r="BC1958" t="s">
        <v>7188</v>
      </c>
      <c r="BD1958" t="s">
        <v>7189</v>
      </c>
      <c r="BE1958" t="s">
        <v>358</v>
      </c>
      <c r="BF1958" t="s">
        <v>7190</v>
      </c>
      <c r="BG1958" t="s">
        <v>993</v>
      </c>
      <c r="BH1958" s="1">
        <v>45132.833333333336</v>
      </c>
      <c r="BI1958">
        <v>42</v>
      </c>
      <c r="BJ1958">
        <v>0</v>
      </c>
      <c r="BK1958">
        <v>7</v>
      </c>
      <c r="BL1958">
        <v>7</v>
      </c>
      <c r="BM1958">
        <v>7</v>
      </c>
      <c r="BN1958">
        <v>7</v>
      </c>
      <c r="BO1958">
        <v>7</v>
      </c>
      <c r="BP1958">
        <v>7</v>
      </c>
      <c r="BQ1958" t="str">
        <f>"9:30 AM"</f>
        <v>9:30 AM</v>
      </c>
      <c r="BR1958" t="str">
        <f>"4:30 PM"</f>
        <v>4:30 PM</v>
      </c>
      <c r="BS1958" t="s">
        <v>131</v>
      </c>
      <c r="BT1958">
        <v>0</v>
      </c>
      <c r="BU1958">
        <v>6</v>
      </c>
      <c r="BV1958" t="s">
        <v>114</v>
      </c>
      <c r="BX1958" t="s">
        <v>8795</v>
      </c>
      <c r="BY1958" t="s">
        <v>7181</v>
      </c>
      <c r="CA1958" t="s">
        <v>7182</v>
      </c>
      <c r="CB1958" t="s">
        <v>993</v>
      </c>
      <c r="CC1958" s="8" t="str">
        <f>"53965"</f>
        <v>53965</v>
      </c>
      <c r="CD1958" t="s">
        <v>3826</v>
      </c>
      <c r="CE1958" t="s">
        <v>3827</v>
      </c>
      <c r="CF1958" s="12">
        <v>13.96</v>
      </c>
      <c r="CG1958" s="12">
        <v>14</v>
      </c>
      <c r="CJ1958" t="s">
        <v>135</v>
      </c>
      <c r="CL1958" t="s">
        <v>8796</v>
      </c>
      <c r="CO1958" t="s">
        <v>132</v>
      </c>
      <c r="CP1958" t="s">
        <v>114</v>
      </c>
      <c r="CQ1958" t="s">
        <v>114</v>
      </c>
      <c r="CR1958" t="s">
        <v>114</v>
      </c>
      <c r="CS1958" t="s">
        <v>114</v>
      </c>
      <c r="CT1958" t="s">
        <v>136</v>
      </c>
      <c r="CU1958" t="s">
        <v>114</v>
      </c>
      <c r="CV1958" t="s">
        <v>8797</v>
      </c>
      <c r="CW1958" s="10" t="str">
        <f>"N/A"</f>
        <v>N/A</v>
      </c>
      <c r="CX1958" t="s">
        <v>7194</v>
      </c>
      <c r="CY1958" t="s">
        <v>8798</v>
      </c>
      <c r="CZ1958" t="s">
        <v>137</v>
      </c>
      <c r="DA1958" t="s">
        <v>114</v>
      </c>
      <c r="DB1958" t="s">
        <v>114</v>
      </c>
      <c r="DC1958" t="s">
        <v>136</v>
      </c>
      <c r="DD1958" t="s">
        <v>114</v>
      </c>
    </row>
    <row r="1959" spans="1:113" ht="15" customHeight="1" x14ac:dyDescent="0.25">
      <c r="A1959" t="s">
        <v>17189</v>
      </c>
      <c r="B1959" t="s">
        <v>113</v>
      </c>
      <c r="C1959" s="1">
        <v>45142.70353402778</v>
      </c>
      <c r="D1959" s="1">
        <v>45224</v>
      </c>
      <c r="E1959" t="s">
        <v>114</v>
      </c>
      <c r="F1959" t="s">
        <v>17190</v>
      </c>
      <c r="G1959" t="str">
        <f>"51-6011.00"</f>
        <v>51-6011.00</v>
      </c>
      <c r="H1959" t="s">
        <v>2015</v>
      </c>
      <c r="I1959">
        <v>5</v>
      </c>
      <c r="K1959" s="1">
        <v>45217</v>
      </c>
      <c r="L1959" s="1">
        <v>45382</v>
      </c>
      <c r="O1959" t="s">
        <v>238</v>
      </c>
      <c r="P1959" t="s">
        <v>8794</v>
      </c>
      <c r="Q1959" t="s">
        <v>7180</v>
      </c>
      <c r="R1959" t="s">
        <v>7181</v>
      </c>
      <c r="T1959" t="s">
        <v>7182</v>
      </c>
      <c r="U1959" t="s">
        <v>993</v>
      </c>
      <c r="V1959" s="8" t="str">
        <f>"53965"</f>
        <v>53965</v>
      </c>
      <c r="W1959" t="s">
        <v>118</v>
      </c>
      <c r="Y1959" s="10">
        <v>16082538446</v>
      </c>
      <c r="AA1959">
        <v>721110</v>
      </c>
      <c r="AB1959" t="s">
        <v>7183</v>
      </c>
      <c r="AC1959" t="s">
        <v>930</v>
      </c>
      <c r="AE1959" t="s">
        <v>1104</v>
      </c>
      <c r="AF1959" t="s">
        <v>7181</v>
      </c>
      <c r="AH1959" t="s">
        <v>7182</v>
      </c>
      <c r="AI1959" t="s">
        <v>993</v>
      </c>
      <c r="AJ1959" s="8" t="str">
        <f>"53965"</f>
        <v>53965</v>
      </c>
      <c r="AK1959" t="s">
        <v>118</v>
      </c>
      <c r="AM1959" s="10">
        <v>16082538446</v>
      </c>
      <c r="AO1959" t="s">
        <v>7184</v>
      </c>
      <c r="AP1959" t="s">
        <v>121</v>
      </c>
      <c r="AQ1959" t="s">
        <v>7185</v>
      </c>
      <c r="AR1959" t="s">
        <v>7186</v>
      </c>
      <c r="AT1959" t="s">
        <v>7187</v>
      </c>
      <c r="AV1959" t="s">
        <v>6387</v>
      </c>
      <c r="AW1959" t="s">
        <v>140</v>
      </c>
      <c r="AX1959" s="8" t="str">
        <f>"33334"</f>
        <v>33334</v>
      </c>
      <c r="AY1959" t="s">
        <v>118</v>
      </c>
      <c r="BA1959" s="10">
        <v>15616559377</v>
      </c>
      <c r="BC1959" t="s">
        <v>7188</v>
      </c>
      <c r="BD1959" t="s">
        <v>7189</v>
      </c>
      <c r="BE1959" t="s">
        <v>358</v>
      </c>
      <c r="BF1959" t="s">
        <v>7190</v>
      </c>
      <c r="BG1959" t="s">
        <v>993</v>
      </c>
      <c r="BH1959" s="1">
        <v>45103.833333333336</v>
      </c>
      <c r="BI1959">
        <v>48</v>
      </c>
      <c r="BJ1959">
        <v>0</v>
      </c>
      <c r="BK1959">
        <v>8</v>
      </c>
      <c r="BL1959">
        <v>8</v>
      </c>
      <c r="BM1959">
        <v>8</v>
      </c>
      <c r="BN1959">
        <v>8</v>
      </c>
      <c r="BO1959">
        <v>8</v>
      </c>
      <c r="BP1959">
        <v>8</v>
      </c>
      <c r="BQ1959" t="str">
        <f>"9:00 AM"</f>
        <v>9:00 AM</v>
      </c>
      <c r="BR1959" t="str">
        <f>"5:00 PM"</f>
        <v>5:00 PM</v>
      </c>
      <c r="BS1959" t="s">
        <v>131</v>
      </c>
      <c r="BT1959">
        <v>0</v>
      </c>
      <c r="BU1959">
        <v>6</v>
      </c>
      <c r="BV1959" t="s">
        <v>114</v>
      </c>
      <c r="BX1959" t="s">
        <v>17191</v>
      </c>
      <c r="BY1959" t="s">
        <v>7181</v>
      </c>
      <c r="CA1959" t="s">
        <v>7182</v>
      </c>
      <c r="CB1959" t="s">
        <v>993</v>
      </c>
      <c r="CC1959" s="8" t="str">
        <f>"53965"</f>
        <v>53965</v>
      </c>
      <c r="CD1959" t="s">
        <v>3826</v>
      </c>
      <c r="CE1959" t="s">
        <v>3827</v>
      </c>
      <c r="CF1959" s="12">
        <v>13.5</v>
      </c>
      <c r="CJ1959" t="s">
        <v>135</v>
      </c>
      <c r="CK1959" t="s">
        <v>132</v>
      </c>
      <c r="CL1959" t="s">
        <v>17192</v>
      </c>
      <c r="CO1959" t="s">
        <v>132</v>
      </c>
      <c r="CP1959" t="s">
        <v>114</v>
      </c>
      <c r="CQ1959" t="s">
        <v>114</v>
      </c>
      <c r="CR1959" t="s">
        <v>114</v>
      </c>
      <c r="CS1959" t="s">
        <v>114</v>
      </c>
      <c r="CT1959" t="s">
        <v>136</v>
      </c>
      <c r="CU1959" t="s">
        <v>114</v>
      </c>
      <c r="CV1959" t="s">
        <v>7193</v>
      </c>
      <c r="CW1959" s="10" t="str">
        <f>"N/A"</f>
        <v>N/A</v>
      </c>
      <c r="CX1959" t="s">
        <v>7194</v>
      </c>
      <c r="CY1959" t="s">
        <v>8798</v>
      </c>
      <c r="CZ1959" t="s">
        <v>137</v>
      </c>
      <c r="DA1959" t="s">
        <v>114</v>
      </c>
      <c r="DB1959" t="s">
        <v>114</v>
      </c>
      <c r="DC1959" t="s">
        <v>136</v>
      </c>
      <c r="DD1959" t="s">
        <v>114</v>
      </c>
    </row>
    <row r="1960" spans="1:113" ht="15" customHeight="1" x14ac:dyDescent="0.25">
      <c r="A1960" t="s">
        <v>7178</v>
      </c>
      <c r="B1960" t="s">
        <v>113</v>
      </c>
      <c r="C1960" s="1">
        <v>45142.701615393518</v>
      </c>
      <c r="D1960" s="1">
        <v>45224</v>
      </c>
      <c r="E1960" t="s">
        <v>114</v>
      </c>
      <c r="F1960" t="s">
        <v>5496</v>
      </c>
      <c r="G1960" t="str">
        <f>"43-4081.00"</f>
        <v>43-4081.00</v>
      </c>
      <c r="H1960" t="s">
        <v>952</v>
      </c>
      <c r="I1960">
        <v>5</v>
      </c>
      <c r="K1960" s="1">
        <v>45217</v>
      </c>
      <c r="L1960" s="1">
        <v>45381</v>
      </c>
      <c r="O1960" t="s">
        <v>238</v>
      </c>
      <c r="P1960" t="s">
        <v>7179</v>
      </c>
      <c r="Q1960" t="s">
        <v>7180</v>
      </c>
      <c r="R1960" t="s">
        <v>7181</v>
      </c>
      <c r="T1960" t="s">
        <v>7182</v>
      </c>
      <c r="U1960" t="s">
        <v>993</v>
      </c>
      <c r="V1960" s="8" t="str">
        <f>"53965"</f>
        <v>53965</v>
      </c>
      <c r="W1960" t="s">
        <v>118</v>
      </c>
      <c r="Y1960" s="10">
        <v>16082538446</v>
      </c>
      <c r="AA1960">
        <v>721110</v>
      </c>
      <c r="AB1960" t="s">
        <v>7183</v>
      </c>
      <c r="AC1960" t="s">
        <v>930</v>
      </c>
      <c r="AE1960" t="s">
        <v>1104</v>
      </c>
      <c r="AF1960" t="s">
        <v>7181</v>
      </c>
      <c r="AH1960" t="s">
        <v>7182</v>
      </c>
      <c r="AI1960" t="s">
        <v>993</v>
      </c>
      <c r="AJ1960" s="8" t="str">
        <f>"53965"</f>
        <v>53965</v>
      </c>
      <c r="AK1960" t="s">
        <v>118</v>
      </c>
      <c r="AM1960" s="10">
        <v>16082538446</v>
      </c>
      <c r="AO1960" t="s">
        <v>7184</v>
      </c>
      <c r="AP1960" t="s">
        <v>121</v>
      </c>
      <c r="AQ1960" t="s">
        <v>7185</v>
      </c>
      <c r="AR1960" t="s">
        <v>7186</v>
      </c>
      <c r="AT1960" t="s">
        <v>7187</v>
      </c>
      <c r="AV1960" t="s">
        <v>6387</v>
      </c>
      <c r="AW1960" t="s">
        <v>140</v>
      </c>
      <c r="AX1960" s="8" t="str">
        <f>"33334"</f>
        <v>33334</v>
      </c>
      <c r="AY1960" t="s">
        <v>118</v>
      </c>
      <c r="BA1960" s="10">
        <v>15616559377</v>
      </c>
      <c r="BC1960" t="s">
        <v>7188</v>
      </c>
      <c r="BD1960" t="s">
        <v>7189</v>
      </c>
      <c r="BE1960" t="s">
        <v>358</v>
      </c>
      <c r="BF1960" t="s">
        <v>7190</v>
      </c>
      <c r="BG1960" t="s">
        <v>993</v>
      </c>
      <c r="BH1960" s="1">
        <v>45117.833333333336</v>
      </c>
      <c r="BI1960">
        <v>48</v>
      </c>
      <c r="BJ1960">
        <v>0</v>
      </c>
      <c r="BK1960">
        <v>8</v>
      </c>
      <c r="BL1960">
        <v>8</v>
      </c>
      <c r="BM1960">
        <v>8</v>
      </c>
      <c r="BN1960">
        <v>8</v>
      </c>
      <c r="BO1960">
        <v>8</v>
      </c>
      <c r="BP1960">
        <v>8</v>
      </c>
      <c r="BQ1960" t="str">
        <f>"9:00 AM"</f>
        <v>9:00 AM</v>
      </c>
      <c r="BR1960" t="str">
        <f>"5:00 PM"</f>
        <v>5:00 PM</v>
      </c>
      <c r="BS1960" t="s">
        <v>131</v>
      </c>
      <c r="BT1960">
        <v>0</v>
      </c>
      <c r="BU1960">
        <v>12</v>
      </c>
      <c r="BV1960" t="s">
        <v>114</v>
      </c>
      <c r="BX1960" t="s">
        <v>7191</v>
      </c>
      <c r="BY1960" t="s">
        <v>7181</v>
      </c>
      <c r="CA1960" t="s">
        <v>7182</v>
      </c>
      <c r="CB1960" t="s">
        <v>993</v>
      </c>
      <c r="CC1960" s="8" t="str">
        <f>"53965"</f>
        <v>53965</v>
      </c>
      <c r="CD1960" t="s">
        <v>3826</v>
      </c>
      <c r="CE1960" t="s">
        <v>3827</v>
      </c>
      <c r="CF1960" s="12">
        <v>13.5</v>
      </c>
      <c r="CJ1960" t="s">
        <v>135</v>
      </c>
      <c r="CK1960" t="s">
        <v>132</v>
      </c>
      <c r="CL1960" t="s">
        <v>7192</v>
      </c>
      <c r="CO1960" t="s">
        <v>132</v>
      </c>
      <c r="CP1960" t="s">
        <v>114</v>
      </c>
      <c r="CQ1960" t="s">
        <v>114</v>
      </c>
      <c r="CR1960" t="s">
        <v>114</v>
      </c>
      <c r="CS1960" t="s">
        <v>114</v>
      </c>
      <c r="CT1960" t="s">
        <v>136</v>
      </c>
      <c r="CU1960" t="s">
        <v>114</v>
      </c>
      <c r="CV1960" t="s">
        <v>7193</v>
      </c>
      <c r="CW1960" s="10" t="str">
        <f>"+18008004997"</f>
        <v>+18008004997</v>
      </c>
      <c r="CX1960" t="s">
        <v>7194</v>
      </c>
      <c r="CY1960" t="s">
        <v>132</v>
      </c>
      <c r="CZ1960" t="s">
        <v>137</v>
      </c>
      <c r="DA1960" t="s">
        <v>114</v>
      </c>
      <c r="DB1960" t="s">
        <v>114</v>
      </c>
      <c r="DC1960" t="s">
        <v>136</v>
      </c>
      <c r="DD1960" t="s">
        <v>114</v>
      </c>
    </row>
    <row r="1961" spans="1:113" ht="15" customHeight="1" x14ac:dyDescent="0.25">
      <c r="A1961" t="s">
        <v>20869</v>
      </c>
      <c r="B1961" t="s">
        <v>113</v>
      </c>
      <c r="C1961" s="1">
        <v>45138.618004745367</v>
      </c>
      <c r="D1961" s="1">
        <v>45224</v>
      </c>
      <c r="E1961" t="s">
        <v>114</v>
      </c>
      <c r="F1961" t="s">
        <v>20870</v>
      </c>
      <c r="G1961" t="str">
        <f>"49-9021.00"</f>
        <v>49-9021.00</v>
      </c>
      <c r="H1961" t="s">
        <v>5959</v>
      </c>
      <c r="I1961">
        <v>500</v>
      </c>
      <c r="K1961" s="1">
        <v>45215</v>
      </c>
      <c r="L1961" s="1">
        <v>45487</v>
      </c>
      <c r="O1961" t="s">
        <v>116</v>
      </c>
      <c r="P1961" t="s">
        <v>20871</v>
      </c>
      <c r="R1961" t="s">
        <v>20872</v>
      </c>
      <c r="T1961" t="s">
        <v>6219</v>
      </c>
      <c r="U1961" t="s">
        <v>550</v>
      </c>
      <c r="V1961" s="8" t="str">
        <f>"30024"</f>
        <v>30024</v>
      </c>
      <c r="W1961" t="s">
        <v>118</v>
      </c>
      <c r="Y1961" s="10">
        <v>16786969922</v>
      </c>
      <c r="AA1961">
        <v>236220</v>
      </c>
      <c r="AB1961" t="s">
        <v>20873</v>
      </c>
      <c r="AC1961" t="s">
        <v>20874</v>
      </c>
      <c r="AE1961" t="s">
        <v>1836</v>
      </c>
      <c r="AF1961" t="s">
        <v>20872</v>
      </c>
      <c r="AH1961" t="s">
        <v>6219</v>
      </c>
      <c r="AI1961" t="s">
        <v>550</v>
      </c>
      <c r="AJ1961" s="8" t="str">
        <f>"30024"</f>
        <v>30024</v>
      </c>
      <c r="AK1961" t="s">
        <v>118</v>
      </c>
      <c r="AM1961" s="10">
        <v>16786969922</v>
      </c>
      <c r="AO1961" t="s">
        <v>20875</v>
      </c>
      <c r="AX1961" s="8" t="str">
        <f>""</f>
        <v/>
      </c>
      <c r="BG1961" t="s">
        <v>550</v>
      </c>
      <c r="BH1961" s="1">
        <v>45137.833333333336</v>
      </c>
      <c r="BI1961">
        <v>40</v>
      </c>
      <c r="BJ1961">
        <v>0</v>
      </c>
      <c r="BK1961">
        <v>9</v>
      </c>
      <c r="BL1961">
        <v>9</v>
      </c>
      <c r="BM1961">
        <v>9</v>
      </c>
      <c r="BN1961">
        <v>9</v>
      </c>
      <c r="BO1961">
        <v>9</v>
      </c>
      <c r="BP1961">
        <v>9</v>
      </c>
      <c r="BQ1961" t="str">
        <f>"7:00 AM"</f>
        <v>7:00 AM</v>
      </c>
      <c r="BR1961" t="str">
        <f>"5:00 PM"</f>
        <v>5:00 PM</v>
      </c>
      <c r="BS1961" t="s">
        <v>131</v>
      </c>
      <c r="BT1961">
        <v>0</v>
      </c>
      <c r="BU1961">
        <v>12</v>
      </c>
      <c r="BV1961" t="s">
        <v>114</v>
      </c>
      <c r="BX1961" s="2" t="s">
        <v>20876</v>
      </c>
      <c r="BY1961" t="s">
        <v>20877</v>
      </c>
      <c r="CA1961" t="s">
        <v>20878</v>
      </c>
      <c r="CB1961" t="s">
        <v>550</v>
      </c>
      <c r="CC1961" s="8" t="str">
        <f>"30529"</f>
        <v>30529</v>
      </c>
      <c r="CD1961" t="s">
        <v>551</v>
      </c>
      <c r="CE1961" t="s">
        <v>552</v>
      </c>
      <c r="CF1961" s="12">
        <v>27.13</v>
      </c>
      <c r="CG1961" s="12">
        <v>28</v>
      </c>
      <c r="CH1961" s="12">
        <v>40.700000000000003</v>
      </c>
      <c r="CI1961" s="12">
        <v>42</v>
      </c>
      <c r="CJ1961" t="s">
        <v>135</v>
      </c>
      <c r="CL1961" t="s">
        <v>20879</v>
      </c>
      <c r="CO1961" t="s">
        <v>132</v>
      </c>
      <c r="CP1961" t="s">
        <v>114</v>
      </c>
      <c r="CQ1961" t="s">
        <v>136</v>
      </c>
      <c r="CR1961" t="s">
        <v>136</v>
      </c>
      <c r="CS1961" t="s">
        <v>136</v>
      </c>
      <c r="CT1961" t="s">
        <v>136</v>
      </c>
      <c r="CU1961" t="s">
        <v>136</v>
      </c>
      <c r="CV1961" t="s">
        <v>20880</v>
      </c>
      <c r="CW1961" s="10" t="str">
        <f>"+16786969922"</f>
        <v>+16786969922</v>
      </c>
      <c r="CX1961" t="s">
        <v>20881</v>
      </c>
      <c r="CY1961" t="s">
        <v>20882</v>
      </c>
      <c r="CZ1961" t="s">
        <v>137</v>
      </c>
      <c r="DA1961" t="s">
        <v>114</v>
      </c>
      <c r="DB1961" t="s">
        <v>114</v>
      </c>
      <c r="DC1961" t="s">
        <v>136</v>
      </c>
      <c r="DD1961" t="s">
        <v>114</v>
      </c>
    </row>
    <row r="1962" spans="1:113" ht="15" customHeight="1" x14ac:dyDescent="0.25">
      <c r="A1962" t="s">
        <v>15847</v>
      </c>
      <c r="B1962" t="s">
        <v>113</v>
      </c>
      <c r="C1962" s="1">
        <v>45135.707545254627</v>
      </c>
      <c r="D1962" s="1">
        <v>45224</v>
      </c>
      <c r="E1962" t="s">
        <v>114</v>
      </c>
      <c r="F1962" t="s">
        <v>3098</v>
      </c>
      <c r="G1962" t="str">
        <f>"39-3091.00"</f>
        <v>39-3091.00</v>
      </c>
      <c r="H1962" t="s">
        <v>237</v>
      </c>
      <c r="I1962">
        <v>50</v>
      </c>
      <c r="K1962" s="1">
        <v>45208</v>
      </c>
      <c r="L1962" s="1">
        <v>45504</v>
      </c>
      <c r="O1962" t="s">
        <v>238</v>
      </c>
      <c r="P1962" t="s">
        <v>15848</v>
      </c>
      <c r="Q1962" t="s">
        <v>15849</v>
      </c>
      <c r="R1962" t="s">
        <v>15850</v>
      </c>
      <c r="T1962" t="s">
        <v>2564</v>
      </c>
      <c r="U1962" t="s">
        <v>127</v>
      </c>
      <c r="V1962" s="8" t="str">
        <f>"77016"</f>
        <v>77016</v>
      </c>
      <c r="W1962" t="s">
        <v>118</v>
      </c>
      <c r="Y1962" s="10">
        <v>19857689332</v>
      </c>
      <c r="Z1962" s="3" t="s">
        <v>256</v>
      </c>
      <c r="AA1962">
        <v>71119</v>
      </c>
      <c r="AB1962" t="s">
        <v>608</v>
      </c>
      <c r="AC1962" t="s">
        <v>1103</v>
      </c>
      <c r="AE1962" t="s">
        <v>561</v>
      </c>
      <c r="AF1962" t="s">
        <v>15850</v>
      </c>
      <c r="AH1962" t="s">
        <v>2564</v>
      </c>
      <c r="AI1962" t="s">
        <v>127</v>
      </c>
      <c r="AJ1962" s="8" t="str">
        <f>"77016"</f>
        <v>77016</v>
      </c>
      <c r="AK1962" t="s">
        <v>118</v>
      </c>
      <c r="AM1962" s="10">
        <v>19857689332</v>
      </c>
      <c r="AN1962" s="3" t="s">
        <v>256</v>
      </c>
      <c r="AO1962" t="s">
        <v>15851</v>
      </c>
      <c r="AP1962" t="s">
        <v>248</v>
      </c>
      <c r="AQ1962" t="s">
        <v>249</v>
      </c>
      <c r="AR1962" t="s">
        <v>250</v>
      </c>
      <c r="AS1962" t="s">
        <v>251</v>
      </c>
      <c r="AT1962" t="s">
        <v>252</v>
      </c>
      <c r="AU1962" t="s">
        <v>253</v>
      </c>
      <c r="AV1962" t="s">
        <v>254</v>
      </c>
      <c r="AW1962" t="s">
        <v>127</v>
      </c>
      <c r="AX1962" s="8" t="str">
        <f>"78550"</f>
        <v>78550</v>
      </c>
      <c r="AY1962" t="s">
        <v>118</v>
      </c>
      <c r="AZ1962" t="s">
        <v>255</v>
      </c>
      <c r="BA1962" s="10">
        <v>19564408720</v>
      </c>
      <c r="BB1962" s="3" t="s">
        <v>256</v>
      </c>
      <c r="BC1962" t="s">
        <v>338</v>
      </c>
      <c r="BD1962" t="s">
        <v>258</v>
      </c>
      <c r="BG1962" t="s">
        <v>127</v>
      </c>
      <c r="BH1962" s="1">
        <v>45132.833333333336</v>
      </c>
      <c r="BI1962">
        <v>40</v>
      </c>
      <c r="BJ1962">
        <v>8</v>
      </c>
      <c r="BK1962">
        <v>0</v>
      </c>
      <c r="BL1962">
        <v>0</v>
      </c>
      <c r="BM1962">
        <v>8</v>
      </c>
      <c r="BN1962">
        <v>8</v>
      </c>
      <c r="BO1962">
        <v>8</v>
      </c>
      <c r="BP1962">
        <v>8</v>
      </c>
      <c r="BQ1962" t="str">
        <f>"1:00 PM"</f>
        <v>1:00 PM</v>
      </c>
      <c r="BR1962" t="str">
        <f>"10:00 PM"</f>
        <v>10:00 PM</v>
      </c>
      <c r="BS1962" t="s">
        <v>131</v>
      </c>
      <c r="BT1962">
        <v>0</v>
      </c>
      <c r="BU1962">
        <v>0</v>
      </c>
      <c r="BV1962" t="s">
        <v>114</v>
      </c>
      <c r="BX1962" s="2" t="s">
        <v>2396</v>
      </c>
      <c r="BY1962" t="s">
        <v>15850</v>
      </c>
      <c r="CA1962" t="s">
        <v>2564</v>
      </c>
      <c r="CB1962" t="s">
        <v>127</v>
      </c>
      <c r="CC1962" s="8" t="str">
        <f>"77016"</f>
        <v>77016</v>
      </c>
      <c r="CD1962" t="s">
        <v>3327</v>
      </c>
      <c r="CE1962" t="s">
        <v>879</v>
      </c>
      <c r="CF1962" s="12">
        <v>9.42</v>
      </c>
      <c r="CG1962" s="12">
        <v>13.28</v>
      </c>
      <c r="CH1962" s="12">
        <v>9.42</v>
      </c>
      <c r="CI1962" s="12">
        <v>13.28</v>
      </c>
      <c r="CJ1962" t="s">
        <v>135</v>
      </c>
      <c r="CK1962" t="s">
        <v>15852</v>
      </c>
      <c r="CL1962" t="s">
        <v>15853</v>
      </c>
      <c r="CO1962" t="s">
        <v>136</v>
      </c>
      <c r="CP1962" t="s">
        <v>136</v>
      </c>
      <c r="CQ1962" t="s">
        <v>136</v>
      </c>
      <c r="CR1962" t="s">
        <v>114</v>
      </c>
      <c r="CS1962" t="s">
        <v>136</v>
      </c>
      <c r="CT1962" t="s">
        <v>136</v>
      </c>
      <c r="CU1962" t="s">
        <v>136</v>
      </c>
      <c r="CV1962" t="s">
        <v>15854</v>
      </c>
      <c r="CW1962" s="10" t="str">
        <f>"+19857689332"</f>
        <v>+19857689332</v>
      </c>
      <c r="CX1962" t="s">
        <v>15851</v>
      </c>
      <c r="CY1962" t="s">
        <v>132</v>
      </c>
      <c r="CZ1962" t="s">
        <v>137</v>
      </c>
      <c r="DA1962" t="s">
        <v>114</v>
      </c>
      <c r="DB1962" t="s">
        <v>136</v>
      </c>
      <c r="DC1962" t="s">
        <v>136</v>
      </c>
      <c r="DD1962" t="s">
        <v>114</v>
      </c>
    </row>
    <row r="1963" spans="1:113" ht="15" customHeight="1" x14ac:dyDescent="0.25">
      <c r="A1963" t="s">
        <v>8458</v>
      </c>
      <c r="B1963" t="s">
        <v>113</v>
      </c>
      <c r="C1963" s="1">
        <v>45133.544589351855</v>
      </c>
      <c r="D1963" s="1">
        <v>45224</v>
      </c>
      <c r="E1963" t="s">
        <v>114</v>
      </c>
      <c r="F1963" t="s">
        <v>1743</v>
      </c>
      <c r="G1963" t="str">
        <f>"37-3011.00"</f>
        <v>37-3011.00</v>
      </c>
      <c r="H1963" t="s">
        <v>429</v>
      </c>
      <c r="I1963">
        <v>7</v>
      </c>
      <c r="K1963" s="1">
        <v>45222</v>
      </c>
      <c r="L1963" s="1">
        <v>45496</v>
      </c>
      <c r="O1963" t="s">
        <v>116</v>
      </c>
      <c r="P1963" t="s">
        <v>8459</v>
      </c>
      <c r="Q1963" t="s">
        <v>8460</v>
      </c>
      <c r="R1963" t="s">
        <v>8461</v>
      </c>
      <c r="T1963" t="s">
        <v>4921</v>
      </c>
      <c r="U1963" t="s">
        <v>127</v>
      </c>
      <c r="V1963" s="8" t="str">
        <f>"75707"</f>
        <v>75707</v>
      </c>
      <c r="W1963" t="s">
        <v>118</v>
      </c>
      <c r="Y1963" s="10">
        <v>19035610321</v>
      </c>
      <c r="AA1963">
        <v>56173</v>
      </c>
      <c r="AB1963" t="s">
        <v>8462</v>
      </c>
      <c r="AC1963" t="s">
        <v>8463</v>
      </c>
      <c r="AE1963" t="s">
        <v>629</v>
      </c>
      <c r="AF1963" t="s">
        <v>8461</v>
      </c>
      <c r="AH1963" t="s">
        <v>4921</v>
      </c>
      <c r="AI1963" t="s">
        <v>127</v>
      </c>
      <c r="AJ1963" s="8" t="str">
        <f>"75707"</f>
        <v>75707</v>
      </c>
      <c r="AK1963" t="s">
        <v>118</v>
      </c>
      <c r="AM1963" s="10">
        <v>19035610321</v>
      </c>
      <c r="AO1963" t="s">
        <v>8464</v>
      </c>
      <c r="AP1963" t="s">
        <v>121</v>
      </c>
      <c r="AQ1963" t="s">
        <v>4169</v>
      </c>
      <c r="AR1963" t="s">
        <v>4170</v>
      </c>
      <c r="AS1963" t="s">
        <v>1738</v>
      </c>
      <c r="AT1963" t="s">
        <v>4171</v>
      </c>
      <c r="AU1963" t="s">
        <v>4172</v>
      </c>
      <c r="AV1963" t="s">
        <v>4173</v>
      </c>
      <c r="AW1963" t="s">
        <v>854</v>
      </c>
      <c r="AX1963" s="8" t="str">
        <f>"83670"</f>
        <v>83670</v>
      </c>
      <c r="AY1963" t="s">
        <v>118</v>
      </c>
      <c r="BA1963" s="10">
        <v>12083984969</v>
      </c>
      <c r="BC1963" t="s">
        <v>4174</v>
      </c>
      <c r="BD1963" t="s">
        <v>4175</v>
      </c>
      <c r="BE1963" t="s">
        <v>127</v>
      </c>
      <c r="BF1963" t="s">
        <v>750</v>
      </c>
      <c r="BG1963" t="s">
        <v>127</v>
      </c>
      <c r="BH1963" s="1">
        <v>45125.833333333336</v>
      </c>
      <c r="BI1963">
        <v>40</v>
      </c>
      <c r="BJ1963">
        <v>0</v>
      </c>
      <c r="BK1963">
        <v>8</v>
      </c>
      <c r="BL1963">
        <v>8</v>
      </c>
      <c r="BM1963">
        <v>8</v>
      </c>
      <c r="BN1963">
        <v>8</v>
      </c>
      <c r="BO1963">
        <v>8</v>
      </c>
      <c r="BP1963">
        <v>0</v>
      </c>
      <c r="BQ1963" t="str">
        <f>"7:00 AM"</f>
        <v>7:00 AM</v>
      </c>
      <c r="BR1963" t="str">
        <f>"4:30 PM"</f>
        <v>4:30 PM</v>
      </c>
      <c r="BS1963" t="s">
        <v>131</v>
      </c>
      <c r="BT1963">
        <v>0</v>
      </c>
      <c r="BU1963">
        <v>0</v>
      </c>
      <c r="BV1963" t="s">
        <v>114</v>
      </c>
      <c r="BX1963" s="2" t="s">
        <v>8465</v>
      </c>
      <c r="BY1963" t="s">
        <v>8461</v>
      </c>
      <c r="CA1963" t="s">
        <v>4921</v>
      </c>
      <c r="CB1963" t="s">
        <v>127</v>
      </c>
      <c r="CC1963" s="8" t="str">
        <f>"75707"</f>
        <v>75707</v>
      </c>
      <c r="CD1963" t="s">
        <v>2421</v>
      </c>
      <c r="CE1963" t="s">
        <v>5719</v>
      </c>
      <c r="CF1963" s="12">
        <v>15.3</v>
      </c>
      <c r="CG1963" s="12">
        <v>15.3</v>
      </c>
      <c r="CH1963" s="12">
        <v>22.95</v>
      </c>
      <c r="CI1963" s="12">
        <v>22.95</v>
      </c>
      <c r="CJ1963" t="s">
        <v>135</v>
      </c>
      <c r="CL1963" t="s">
        <v>8466</v>
      </c>
      <c r="CO1963" t="s">
        <v>132</v>
      </c>
      <c r="CP1963" t="s">
        <v>114</v>
      </c>
      <c r="CQ1963" t="s">
        <v>136</v>
      </c>
      <c r="CR1963" t="s">
        <v>136</v>
      </c>
      <c r="CS1963" t="s">
        <v>114</v>
      </c>
      <c r="CT1963" t="s">
        <v>136</v>
      </c>
      <c r="CU1963" t="s">
        <v>136</v>
      </c>
      <c r="CV1963" t="s">
        <v>8467</v>
      </c>
      <c r="CW1963" s="10" t="str">
        <f>"+19035610321"</f>
        <v>+19035610321</v>
      </c>
      <c r="CX1963" t="s">
        <v>8468</v>
      </c>
      <c r="CY1963" t="s">
        <v>132</v>
      </c>
      <c r="CZ1963" t="s">
        <v>137</v>
      </c>
      <c r="DA1963" t="s">
        <v>114</v>
      </c>
      <c r="DB1963" t="s">
        <v>114</v>
      </c>
      <c r="DC1963" t="s">
        <v>136</v>
      </c>
      <c r="DD1963" t="s">
        <v>114</v>
      </c>
    </row>
    <row r="1964" spans="1:113" ht="15" customHeight="1" x14ac:dyDescent="0.25">
      <c r="A1964" t="s">
        <v>21622</v>
      </c>
      <c r="B1964" t="s">
        <v>113</v>
      </c>
      <c r="C1964" s="1">
        <v>45113.633755555558</v>
      </c>
      <c r="D1964" s="1">
        <v>45224</v>
      </c>
      <c r="E1964" t="s">
        <v>114</v>
      </c>
      <c r="F1964" t="s">
        <v>21623</v>
      </c>
      <c r="G1964" t="str">
        <f>"53-7065.00"</f>
        <v>53-7065.00</v>
      </c>
      <c r="H1964" t="s">
        <v>2763</v>
      </c>
      <c r="I1964">
        <v>5</v>
      </c>
      <c r="K1964" s="1">
        <v>45200</v>
      </c>
      <c r="L1964" s="1">
        <v>45565</v>
      </c>
      <c r="O1964" t="s">
        <v>3248</v>
      </c>
      <c r="P1964" t="s">
        <v>21624</v>
      </c>
      <c r="R1964" t="s">
        <v>21625</v>
      </c>
      <c r="T1964" t="s">
        <v>142</v>
      </c>
      <c r="U1964" t="s">
        <v>140</v>
      </c>
      <c r="V1964" s="8" t="str">
        <f>"33186"</f>
        <v>33186</v>
      </c>
      <c r="W1964" t="s">
        <v>118</v>
      </c>
      <c r="Y1964" s="10">
        <v>13055256632</v>
      </c>
      <c r="AA1964">
        <v>488510</v>
      </c>
      <c r="AB1964" t="s">
        <v>21626</v>
      </c>
      <c r="AC1964" t="s">
        <v>21627</v>
      </c>
      <c r="AE1964" t="s">
        <v>629</v>
      </c>
      <c r="AF1964" t="s">
        <v>21625</v>
      </c>
      <c r="AH1964" t="s">
        <v>142</v>
      </c>
      <c r="AI1964" t="s">
        <v>140</v>
      </c>
      <c r="AJ1964" s="8" t="str">
        <f>"33186"</f>
        <v>33186</v>
      </c>
      <c r="AK1964" t="s">
        <v>118</v>
      </c>
      <c r="AM1964" s="10">
        <v>13055256632</v>
      </c>
      <c r="AO1964" t="s">
        <v>21628</v>
      </c>
      <c r="AX1964" s="8" t="str">
        <f>""</f>
        <v/>
      </c>
      <c r="BG1964" t="s">
        <v>140</v>
      </c>
      <c r="BH1964" s="1">
        <v>45112.833333333336</v>
      </c>
      <c r="BI1964">
        <v>44</v>
      </c>
      <c r="BJ1964">
        <v>0</v>
      </c>
      <c r="BK1964">
        <v>8</v>
      </c>
      <c r="BL1964">
        <v>8</v>
      </c>
      <c r="BM1964">
        <v>8</v>
      </c>
      <c r="BN1964">
        <v>8</v>
      </c>
      <c r="BO1964">
        <v>8</v>
      </c>
      <c r="BP1964">
        <v>4</v>
      </c>
      <c r="BQ1964" t="str">
        <f>"8:00 AM"</f>
        <v>8:00 AM</v>
      </c>
      <c r="BR1964" t="str">
        <f>"5:00 PM"</f>
        <v>5:00 PM</v>
      </c>
      <c r="BS1964" t="s">
        <v>131</v>
      </c>
      <c r="BT1964">
        <v>0</v>
      </c>
      <c r="BU1964">
        <v>3</v>
      </c>
      <c r="BV1964" t="s">
        <v>114</v>
      </c>
      <c r="BX1964" t="s">
        <v>21629</v>
      </c>
      <c r="BY1964" t="s">
        <v>21625</v>
      </c>
      <c r="CA1964" t="s">
        <v>142</v>
      </c>
      <c r="CB1964" t="s">
        <v>140</v>
      </c>
      <c r="CC1964" s="8" t="str">
        <f>"33186"</f>
        <v>33186</v>
      </c>
      <c r="CD1964" t="s">
        <v>148</v>
      </c>
      <c r="CE1964" t="s">
        <v>149</v>
      </c>
      <c r="CF1964" s="12">
        <v>15.1</v>
      </c>
      <c r="CG1964" s="12">
        <v>15.78</v>
      </c>
      <c r="CH1964" s="12">
        <v>22.65</v>
      </c>
      <c r="CI1964" s="12">
        <v>23.67</v>
      </c>
      <c r="CJ1964" t="s">
        <v>135</v>
      </c>
      <c r="CL1964" t="s">
        <v>21630</v>
      </c>
      <c r="CO1964" t="s">
        <v>132</v>
      </c>
      <c r="CP1964" t="s">
        <v>114</v>
      </c>
      <c r="CQ1964" t="s">
        <v>114</v>
      </c>
      <c r="CR1964" t="s">
        <v>136</v>
      </c>
      <c r="CS1964" t="s">
        <v>114</v>
      </c>
      <c r="CT1964" t="s">
        <v>136</v>
      </c>
      <c r="CU1964" t="s">
        <v>136</v>
      </c>
      <c r="CV1964" s="2" t="s">
        <v>21631</v>
      </c>
      <c r="CW1964" s="10" t="str">
        <f>"+13055256632"</f>
        <v>+13055256632</v>
      </c>
      <c r="CX1964" t="s">
        <v>21628</v>
      </c>
      <c r="CY1964" t="s">
        <v>21632</v>
      </c>
      <c r="CZ1964" t="s">
        <v>137</v>
      </c>
      <c r="DA1964" t="s">
        <v>114</v>
      </c>
      <c r="DB1964" t="s">
        <v>114</v>
      </c>
      <c r="DC1964" t="s">
        <v>136</v>
      </c>
      <c r="DD1964" t="s">
        <v>114</v>
      </c>
    </row>
    <row r="1965" spans="1:113" ht="15" customHeight="1" x14ac:dyDescent="0.25">
      <c r="A1965" t="s">
        <v>16022</v>
      </c>
      <c r="B1965" t="s">
        <v>113</v>
      </c>
      <c r="C1965" s="1">
        <v>45145.428275694445</v>
      </c>
      <c r="D1965" s="1">
        <v>45223</v>
      </c>
      <c r="E1965" t="s">
        <v>114</v>
      </c>
      <c r="F1965" t="s">
        <v>1743</v>
      </c>
      <c r="G1965" t="str">
        <f>"37-3011.00"</f>
        <v>37-3011.00</v>
      </c>
      <c r="H1965" t="s">
        <v>429</v>
      </c>
      <c r="I1965">
        <v>5</v>
      </c>
      <c r="K1965" s="1">
        <v>45222</v>
      </c>
      <c r="L1965" s="1">
        <v>45413</v>
      </c>
      <c r="O1965" t="s">
        <v>238</v>
      </c>
      <c r="P1965" t="s">
        <v>16023</v>
      </c>
      <c r="R1965" t="s">
        <v>16024</v>
      </c>
      <c r="T1965" t="s">
        <v>16025</v>
      </c>
      <c r="U1965" t="s">
        <v>117</v>
      </c>
      <c r="V1965" s="8" t="str">
        <f>"61201"</f>
        <v>61201</v>
      </c>
      <c r="W1965" t="s">
        <v>118</v>
      </c>
      <c r="Y1965" s="10">
        <v>13092350336</v>
      </c>
      <c r="AA1965">
        <v>56173</v>
      </c>
      <c r="AB1965" t="s">
        <v>16026</v>
      </c>
      <c r="AC1965" t="s">
        <v>10960</v>
      </c>
      <c r="AE1965" t="s">
        <v>1799</v>
      </c>
      <c r="AF1965" t="s">
        <v>16024</v>
      </c>
      <c r="AH1965" t="s">
        <v>16027</v>
      </c>
      <c r="AI1965" t="s">
        <v>117</v>
      </c>
      <c r="AJ1965" s="8" t="str">
        <f>"61201"</f>
        <v>61201</v>
      </c>
      <c r="AK1965" t="s">
        <v>118</v>
      </c>
      <c r="AM1965" s="10">
        <v>13092350336</v>
      </c>
      <c r="AO1965" t="s">
        <v>16028</v>
      </c>
      <c r="AP1965" t="s">
        <v>121</v>
      </c>
      <c r="AQ1965" t="s">
        <v>16029</v>
      </c>
      <c r="AR1965" t="s">
        <v>218</v>
      </c>
      <c r="AT1965" t="s">
        <v>9796</v>
      </c>
      <c r="AU1965" t="s">
        <v>9797</v>
      </c>
      <c r="AV1965" t="s">
        <v>9798</v>
      </c>
      <c r="AW1965" t="s">
        <v>117</v>
      </c>
      <c r="AX1965" s="8" t="str">
        <f>"60606"</f>
        <v>60606</v>
      </c>
      <c r="AY1965" t="s">
        <v>118</v>
      </c>
      <c r="BA1965" s="10">
        <v>13123322550</v>
      </c>
      <c r="BC1965" t="s">
        <v>9799</v>
      </c>
      <c r="BD1965" t="s">
        <v>9800</v>
      </c>
      <c r="BE1965" t="s">
        <v>117</v>
      </c>
      <c r="BF1965" t="s">
        <v>172</v>
      </c>
      <c r="BG1965" t="s">
        <v>117</v>
      </c>
      <c r="BH1965" s="1">
        <v>45144.833333333336</v>
      </c>
      <c r="BI1965">
        <v>40</v>
      </c>
      <c r="BJ1965">
        <v>0</v>
      </c>
      <c r="BK1965">
        <v>8</v>
      </c>
      <c r="BL1965">
        <v>8</v>
      </c>
      <c r="BM1965">
        <v>8</v>
      </c>
      <c r="BN1965">
        <v>8</v>
      </c>
      <c r="BO1965">
        <v>8</v>
      </c>
      <c r="BP1965">
        <v>0</v>
      </c>
      <c r="BQ1965" t="str">
        <f>"7:00 AM"</f>
        <v>7:00 AM</v>
      </c>
      <c r="BR1965" t="str">
        <f>"3:30 PM"</f>
        <v>3:30 PM</v>
      </c>
      <c r="BS1965" t="s">
        <v>131</v>
      </c>
      <c r="BT1965">
        <v>0</v>
      </c>
      <c r="BU1965">
        <v>0</v>
      </c>
      <c r="BV1965" t="s">
        <v>114</v>
      </c>
      <c r="BX1965" t="s">
        <v>132</v>
      </c>
      <c r="BY1965" t="s">
        <v>16024</v>
      </c>
      <c r="CA1965" t="s">
        <v>16027</v>
      </c>
      <c r="CB1965" t="s">
        <v>117</v>
      </c>
      <c r="CC1965" s="8" t="str">
        <f>"61201"</f>
        <v>61201</v>
      </c>
      <c r="CD1965" t="s">
        <v>16030</v>
      </c>
      <c r="CE1965" t="s">
        <v>5757</v>
      </c>
      <c r="CF1965" s="12">
        <v>16.43</v>
      </c>
      <c r="CJ1965" t="s">
        <v>135</v>
      </c>
      <c r="CL1965" t="s">
        <v>16031</v>
      </c>
      <c r="CO1965" t="s">
        <v>132</v>
      </c>
      <c r="CP1965" t="s">
        <v>114</v>
      </c>
      <c r="CQ1965" t="s">
        <v>114</v>
      </c>
      <c r="CR1965" t="s">
        <v>114</v>
      </c>
      <c r="CS1965" t="s">
        <v>114</v>
      </c>
      <c r="CT1965" t="s">
        <v>136</v>
      </c>
      <c r="CU1965" t="s">
        <v>114</v>
      </c>
      <c r="CV1965" t="s">
        <v>9801</v>
      </c>
      <c r="CW1965" s="10" t="str">
        <f>"+13097868234"</f>
        <v>+13097868234</v>
      </c>
      <c r="CX1965" t="s">
        <v>16028</v>
      </c>
      <c r="CY1965" t="s">
        <v>132</v>
      </c>
      <c r="CZ1965" t="s">
        <v>137</v>
      </c>
      <c r="DA1965" t="s">
        <v>114</v>
      </c>
      <c r="DB1965" t="s">
        <v>114</v>
      </c>
      <c r="DC1965" t="s">
        <v>136</v>
      </c>
      <c r="DD1965" t="s">
        <v>114</v>
      </c>
    </row>
    <row r="1966" spans="1:113" ht="15" customHeight="1" x14ac:dyDescent="0.25">
      <c r="A1966" t="s">
        <v>23482</v>
      </c>
      <c r="B1966" t="s">
        <v>113</v>
      </c>
      <c r="C1966" s="1">
        <v>45141.477401388889</v>
      </c>
      <c r="D1966" s="1">
        <v>45223</v>
      </c>
      <c r="E1966" t="s">
        <v>136</v>
      </c>
      <c r="F1966" t="s">
        <v>19002</v>
      </c>
      <c r="G1966" t="str">
        <f>"35-9011.00"</f>
        <v>35-9011.00</v>
      </c>
      <c r="H1966" t="s">
        <v>1512</v>
      </c>
      <c r="I1966">
        <v>10</v>
      </c>
      <c r="K1966" s="1">
        <v>45231</v>
      </c>
      <c r="L1966" s="1">
        <v>45412</v>
      </c>
      <c r="O1966" t="s">
        <v>116</v>
      </c>
      <c r="P1966" t="s">
        <v>23483</v>
      </c>
      <c r="Q1966" t="s">
        <v>20829</v>
      </c>
      <c r="R1966" t="s">
        <v>20830</v>
      </c>
      <c r="T1966" t="s">
        <v>17495</v>
      </c>
      <c r="U1966" t="s">
        <v>140</v>
      </c>
      <c r="V1966" s="8" t="str">
        <f>"32246"</f>
        <v>32246</v>
      </c>
      <c r="W1966" t="s">
        <v>118</v>
      </c>
      <c r="Y1966" s="10">
        <v>19048540426</v>
      </c>
      <c r="AA1966">
        <v>722410</v>
      </c>
      <c r="AB1966" t="s">
        <v>20831</v>
      </c>
      <c r="AC1966" t="s">
        <v>20832</v>
      </c>
      <c r="AE1966" t="s">
        <v>9789</v>
      </c>
      <c r="AF1966" t="s">
        <v>20830</v>
      </c>
      <c r="AH1966" t="s">
        <v>17495</v>
      </c>
      <c r="AI1966" t="s">
        <v>140</v>
      </c>
      <c r="AJ1966" s="8" t="str">
        <f>"32246"</f>
        <v>32246</v>
      </c>
      <c r="AK1966" t="s">
        <v>118</v>
      </c>
      <c r="AM1966" s="10">
        <v>19048540426</v>
      </c>
      <c r="AO1966" t="s">
        <v>20834</v>
      </c>
      <c r="AP1966" t="s">
        <v>248</v>
      </c>
      <c r="AQ1966" t="s">
        <v>5963</v>
      </c>
      <c r="AR1966" t="s">
        <v>2629</v>
      </c>
      <c r="AS1966" t="s">
        <v>2749</v>
      </c>
      <c r="AT1966" t="s">
        <v>5964</v>
      </c>
      <c r="AU1966" t="s">
        <v>5307</v>
      </c>
      <c r="AV1966" t="s">
        <v>23484</v>
      </c>
      <c r="AW1966" t="s">
        <v>222</v>
      </c>
      <c r="AX1966" s="8" t="str">
        <f>"02675"</f>
        <v>02675</v>
      </c>
      <c r="AY1966" t="s">
        <v>118</v>
      </c>
      <c r="BA1966" s="10">
        <v>15083759111</v>
      </c>
      <c r="BC1966" t="s">
        <v>20836</v>
      </c>
      <c r="BD1966" t="s">
        <v>5967</v>
      </c>
      <c r="BG1966" t="s">
        <v>140</v>
      </c>
      <c r="BH1966" s="1">
        <v>45140.833333333336</v>
      </c>
      <c r="BI1966">
        <v>40</v>
      </c>
      <c r="BJ1966">
        <v>8</v>
      </c>
      <c r="BK1966">
        <v>8</v>
      </c>
      <c r="BL1966">
        <v>0</v>
      </c>
      <c r="BM1966">
        <v>0</v>
      </c>
      <c r="BN1966">
        <v>8</v>
      </c>
      <c r="BO1966">
        <v>8</v>
      </c>
      <c r="BP1966">
        <v>8</v>
      </c>
      <c r="BQ1966" t="str">
        <f>"10:00 AM"</f>
        <v>10:00 AM</v>
      </c>
      <c r="BR1966" t="str">
        <f>"6:00 PM"</f>
        <v>6:00 PM</v>
      </c>
      <c r="BS1966" t="s">
        <v>131</v>
      </c>
      <c r="BT1966">
        <v>0</v>
      </c>
      <c r="BU1966">
        <v>0</v>
      </c>
      <c r="BV1966" t="s">
        <v>114</v>
      </c>
      <c r="BX1966" t="s">
        <v>1480</v>
      </c>
      <c r="BY1966" t="s">
        <v>23485</v>
      </c>
      <c r="CA1966" t="s">
        <v>17495</v>
      </c>
      <c r="CB1966" t="s">
        <v>140</v>
      </c>
      <c r="CC1966" s="8" t="str">
        <f>"32246"</f>
        <v>32246</v>
      </c>
      <c r="CD1966" t="s">
        <v>9283</v>
      </c>
      <c r="CE1966" t="s">
        <v>3596</v>
      </c>
      <c r="CF1966" s="12">
        <v>11.85</v>
      </c>
      <c r="CG1966" s="12">
        <v>11.85</v>
      </c>
      <c r="CH1966" s="12">
        <v>17.78</v>
      </c>
      <c r="CI1966" s="12">
        <v>17.78</v>
      </c>
      <c r="CJ1966" t="s">
        <v>135</v>
      </c>
      <c r="CL1966" t="s">
        <v>23486</v>
      </c>
      <c r="CO1966" t="s">
        <v>132</v>
      </c>
      <c r="CP1966" t="s">
        <v>114</v>
      </c>
      <c r="CQ1966" t="s">
        <v>114</v>
      </c>
      <c r="CR1966" t="s">
        <v>136</v>
      </c>
      <c r="CS1966" t="s">
        <v>136</v>
      </c>
      <c r="CT1966" t="s">
        <v>136</v>
      </c>
      <c r="CU1966" t="s">
        <v>136</v>
      </c>
      <c r="CV1966" t="s">
        <v>20838</v>
      </c>
      <c r="CW1966" s="10" t="str">
        <f>"+19048540426"</f>
        <v>+19048540426</v>
      </c>
      <c r="CX1966" t="s">
        <v>20834</v>
      </c>
      <c r="CY1966" t="s">
        <v>132</v>
      </c>
      <c r="CZ1966" t="s">
        <v>137</v>
      </c>
      <c r="DA1966" t="s">
        <v>114</v>
      </c>
      <c r="DB1966" t="s">
        <v>114</v>
      </c>
      <c r="DC1966" t="s">
        <v>136</v>
      </c>
      <c r="DD1966" t="s">
        <v>114</v>
      </c>
    </row>
    <row r="1967" spans="1:113" ht="15" customHeight="1" x14ac:dyDescent="0.25">
      <c r="A1967" t="s">
        <v>20826</v>
      </c>
      <c r="B1967" t="s">
        <v>113</v>
      </c>
      <c r="C1967" s="1">
        <v>45141.464643402775</v>
      </c>
      <c r="D1967" s="1">
        <v>45223</v>
      </c>
      <c r="E1967" t="s">
        <v>136</v>
      </c>
      <c r="F1967" t="s">
        <v>20827</v>
      </c>
      <c r="G1967" t="str">
        <f>"35-2014.00"</f>
        <v>35-2014.00</v>
      </c>
      <c r="H1967" t="s">
        <v>154</v>
      </c>
      <c r="I1967">
        <v>6</v>
      </c>
      <c r="K1967" s="1">
        <v>45231</v>
      </c>
      <c r="L1967" s="1">
        <v>45412</v>
      </c>
      <c r="O1967" t="s">
        <v>116</v>
      </c>
      <c r="P1967" t="s">
        <v>20828</v>
      </c>
      <c r="Q1967" t="s">
        <v>20829</v>
      </c>
      <c r="R1967" t="s">
        <v>20830</v>
      </c>
      <c r="T1967" t="s">
        <v>17495</v>
      </c>
      <c r="U1967" t="s">
        <v>140</v>
      </c>
      <c r="V1967" s="8" t="str">
        <f>"32246"</f>
        <v>32246</v>
      </c>
      <c r="W1967" t="s">
        <v>118</v>
      </c>
      <c r="Y1967" s="10">
        <v>19048540426</v>
      </c>
      <c r="AA1967">
        <v>722410</v>
      </c>
      <c r="AB1967" t="s">
        <v>20831</v>
      </c>
      <c r="AC1967" t="s">
        <v>20832</v>
      </c>
      <c r="AE1967" t="s">
        <v>20833</v>
      </c>
      <c r="AF1967" t="s">
        <v>20830</v>
      </c>
      <c r="AH1967" t="s">
        <v>17495</v>
      </c>
      <c r="AI1967" t="s">
        <v>140</v>
      </c>
      <c r="AJ1967" s="8" t="str">
        <f>"32246"</f>
        <v>32246</v>
      </c>
      <c r="AK1967" t="s">
        <v>118</v>
      </c>
      <c r="AM1967" s="10">
        <v>19048540426</v>
      </c>
      <c r="AO1967" t="s">
        <v>20834</v>
      </c>
      <c r="AP1967" t="s">
        <v>248</v>
      </c>
      <c r="AQ1967" t="s">
        <v>5963</v>
      </c>
      <c r="AR1967" t="s">
        <v>2629</v>
      </c>
      <c r="AS1967" t="s">
        <v>2749</v>
      </c>
      <c r="AT1967" t="s">
        <v>20835</v>
      </c>
      <c r="AU1967" t="s">
        <v>5307</v>
      </c>
      <c r="AV1967" t="s">
        <v>5965</v>
      </c>
      <c r="AW1967" t="s">
        <v>222</v>
      </c>
      <c r="AX1967" s="8" t="str">
        <f>"02675"</f>
        <v>02675</v>
      </c>
      <c r="AY1967" t="s">
        <v>118</v>
      </c>
      <c r="BA1967" s="10">
        <v>15083759111</v>
      </c>
      <c r="BC1967" t="s">
        <v>20836</v>
      </c>
      <c r="BD1967" t="s">
        <v>5967</v>
      </c>
      <c r="BG1967" t="s">
        <v>140</v>
      </c>
      <c r="BH1967" s="1">
        <v>45140.833333333336</v>
      </c>
      <c r="BI1967">
        <v>40</v>
      </c>
      <c r="BJ1967">
        <v>8</v>
      </c>
      <c r="BK1967">
        <v>0</v>
      </c>
      <c r="BL1967">
        <v>0</v>
      </c>
      <c r="BM1967">
        <v>8</v>
      </c>
      <c r="BN1967">
        <v>8</v>
      </c>
      <c r="BO1967">
        <v>8</v>
      </c>
      <c r="BP1967">
        <v>8</v>
      </c>
      <c r="BQ1967" t="str">
        <f>"10:00 AM"</f>
        <v>10:00 AM</v>
      </c>
      <c r="BR1967" t="str">
        <f>"6:00 PM"</f>
        <v>6:00 PM</v>
      </c>
      <c r="BS1967" t="s">
        <v>131</v>
      </c>
      <c r="BT1967">
        <v>0</v>
      </c>
      <c r="BU1967">
        <v>0</v>
      </c>
      <c r="BV1967" t="s">
        <v>114</v>
      </c>
      <c r="BX1967" t="s">
        <v>1480</v>
      </c>
      <c r="BY1967" t="s">
        <v>20830</v>
      </c>
      <c r="CA1967" t="s">
        <v>17495</v>
      </c>
      <c r="CB1967" t="s">
        <v>140</v>
      </c>
      <c r="CC1967" s="8" t="str">
        <f>"32246"</f>
        <v>32246</v>
      </c>
      <c r="CD1967" t="s">
        <v>9283</v>
      </c>
      <c r="CE1967" t="s">
        <v>3596</v>
      </c>
      <c r="CF1967" s="12">
        <v>14.58</v>
      </c>
      <c r="CG1967" s="12">
        <v>14.58</v>
      </c>
      <c r="CH1967" s="12">
        <v>21.87</v>
      </c>
      <c r="CI1967" s="12">
        <v>21.87</v>
      </c>
      <c r="CJ1967" t="s">
        <v>135</v>
      </c>
      <c r="CL1967" t="s">
        <v>20837</v>
      </c>
      <c r="CO1967" t="s">
        <v>132</v>
      </c>
      <c r="CP1967" t="s">
        <v>114</v>
      </c>
      <c r="CQ1967" t="s">
        <v>114</v>
      </c>
      <c r="CR1967" t="s">
        <v>136</v>
      </c>
      <c r="CS1967" t="s">
        <v>136</v>
      </c>
      <c r="CT1967" t="s">
        <v>136</v>
      </c>
      <c r="CU1967" t="s">
        <v>136</v>
      </c>
      <c r="CV1967" t="s">
        <v>20838</v>
      </c>
      <c r="CW1967" s="10" t="str">
        <f>"+19048540426"</f>
        <v>+19048540426</v>
      </c>
      <c r="CX1967" t="s">
        <v>20834</v>
      </c>
      <c r="CY1967" t="s">
        <v>132</v>
      </c>
      <c r="CZ1967" t="s">
        <v>137</v>
      </c>
      <c r="DA1967" t="s">
        <v>114</v>
      </c>
      <c r="DB1967" t="s">
        <v>114</v>
      </c>
      <c r="DC1967" t="s">
        <v>136</v>
      </c>
      <c r="DD1967" t="s">
        <v>114</v>
      </c>
    </row>
    <row r="1968" spans="1:113" ht="15" customHeight="1" x14ac:dyDescent="0.25">
      <c r="A1968" t="s">
        <v>4438</v>
      </c>
      <c r="B1968" t="s">
        <v>113</v>
      </c>
      <c r="C1968" s="1">
        <v>45135.521002546295</v>
      </c>
      <c r="D1968" s="1">
        <v>45223</v>
      </c>
      <c r="E1968" t="s">
        <v>114</v>
      </c>
      <c r="F1968" t="s">
        <v>4439</v>
      </c>
      <c r="G1968" t="str">
        <f>"53-7062.00"</f>
        <v>53-7062.00</v>
      </c>
      <c r="H1968" t="s">
        <v>2078</v>
      </c>
      <c r="I1968">
        <v>130</v>
      </c>
      <c r="K1968" s="1">
        <v>45210</v>
      </c>
      <c r="L1968" s="1">
        <v>45514</v>
      </c>
      <c r="O1968" t="s">
        <v>116</v>
      </c>
      <c r="P1968" t="s">
        <v>4440</v>
      </c>
      <c r="R1968" t="s">
        <v>4441</v>
      </c>
      <c r="T1968" t="s">
        <v>4442</v>
      </c>
      <c r="U1968" t="s">
        <v>967</v>
      </c>
      <c r="V1968" s="8" t="str">
        <f>"89134"</f>
        <v>89134</v>
      </c>
      <c r="W1968" t="s">
        <v>118</v>
      </c>
      <c r="Y1968" s="10">
        <v>17022490486</v>
      </c>
      <c r="AA1968">
        <v>561720</v>
      </c>
      <c r="AB1968" t="s">
        <v>4443</v>
      </c>
      <c r="AC1968" t="s">
        <v>4444</v>
      </c>
      <c r="AE1968" t="s">
        <v>438</v>
      </c>
      <c r="AF1968" t="s">
        <v>4445</v>
      </c>
      <c r="AH1968" t="s">
        <v>4442</v>
      </c>
      <c r="AI1968" t="s">
        <v>967</v>
      </c>
      <c r="AJ1968" s="8" t="str">
        <f>"89122"</f>
        <v>89122</v>
      </c>
      <c r="AK1968" t="s">
        <v>118</v>
      </c>
      <c r="AM1968" s="10">
        <v>17022490485</v>
      </c>
      <c r="AO1968" t="s">
        <v>4446</v>
      </c>
      <c r="AP1968" t="s">
        <v>248</v>
      </c>
      <c r="AQ1968" t="s">
        <v>4447</v>
      </c>
      <c r="AR1968" t="s">
        <v>4448</v>
      </c>
      <c r="AS1968" t="s">
        <v>4449</v>
      </c>
      <c r="AT1968" t="s">
        <v>4450</v>
      </c>
      <c r="AV1968" t="s">
        <v>4451</v>
      </c>
      <c r="AW1968" t="s">
        <v>402</v>
      </c>
      <c r="AX1968" s="8" t="str">
        <f>"92173"</f>
        <v>92173</v>
      </c>
      <c r="AY1968" t="s">
        <v>118</v>
      </c>
      <c r="BA1968" s="10">
        <v>16195176046</v>
      </c>
      <c r="BC1968" t="s">
        <v>4452</v>
      </c>
      <c r="BD1968" t="s">
        <v>4453</v>
      </c>
      <c r="BG1968" t="s">
        <v>967</v>
      </c>
      <c r="BH1968" s="1">
        <v>45133.833333333336</v>
      </c>
      <c r="BI1968">
        <v>40</v>
      </c>
      <c r="BJ1968">
        <v>0</v>
      </c>
      <c r="BK1968">
        <v>8</v>
      </c>
      <c r="BL1968">
        <v>8</v>
      </c>
      <c r="BM1968">
        <v>8</v>
      </c>
      <c r="BN1968">
        <v>8</v>
      </c>
      <c r="BO1968">
        <v>8</v>
      </c>
      <c r="BP1968">
        <v>0</v>
      </c>
      <c r="BQ1968" t="str">
        <f>"7:00 AM"</f>
        <v>7:00 AM</v>
      </c>
      <c r="BR1968" t="str">
        <f>"3:00 PM"</f>
        <v>3:00 PM</v>
      </c>
      <c r="BS1968" t="s">
        <v>131</v>
      </c>
      <c r="BT1968">
        <v>0</v>
      </c>
      <c r="BU1968">
        <v>0</v>
      </c>
      <c r="BV1968" t="s">
        <v>114</v>
      </c>
      <c r="BX1968" s="2" t="s">
        <v>4454</v>
      </c>
      <c r="BY1968" t="s">
        <v>4441</v>
      </c>
      <c r="CA1968" t="s">
        <v>4442</v>
      </c>
      <c r="CB1968" t="s">
        <v>967</v>
      </c>
      <c r="CC1968" s="8" t="str">
        <f>"89134"</f>
        <v>89134</v>
      </c>
      <c r="CD1968" t="s">
        <v>4455</v>
      </c>
      <c r="CE1968" t="s">
        <v>4456</v>
      </c>
      <c r="CF1968" s="12">
        <v>16.57</v>
      </c>
      <c r="CG1968" s="12">
        <v>17</v>
      </c>
      <c r="CJ1968" t="s">
        <v>135</v>
      </c>
      <c r="CK1968" t="s">
        <v>4457</v>
      </c>
      <c r="CL1968" t="s">
        <v>4458</v>
      </c>
      <c r="CO1968" t="s">
        <v>132</v>
      </c>
      <c r="CP1968" t="s">
        <v>136</v>
      </c>
      <c r="CQ1968" t="s">
        <v>114</v>
      </c>
      <c r="CR1968" t="s">
        <v>114</v>
      </c>
      <c r="CS1968" t="s">
        <v>136</v>
      </c>
      <c r="CT1968" t="s">
        <v>136</v>
      </c>
      <c r="CU1968" t="s">
        <v>114</v>
      </c>
      <c r="CV1968" t="s">
        <v>4459</v>
      </c>
      <c r="CW1968" s="10" t="str">
        <f>"+17022490485"</f>
        <v>+17022490485</v>
      </c>
      <c r="CX1968" t="s">
        <v>4460</v>
      </c>
      <c r="CY1968" t="s">
        <v>132</v>
      </c>
      <c r="CZ1968" t="s">
        <v>137</v>
      </c>
      <c r="DA1968" t="s">
        <v>114</v>
      </c>
      <c r="DB1968" t="s">
        <v>114</v>
      </c>
      <c r="DC1968" t="s">
        <v>136</v>
      </c>
      <c r="DD1968" t="s">
        <v>114</v>
      </c>
    </row>
    <row r="1969" spans="1:113" ht="15" customHeight="1" x14ac:dyDescent="0.25">
      <c r="A1969" t="s">
        <v>16054</v>
      </c>
      <c r="B1969" t="s">
        <v>113</v>
      </c>
      <c r="C1969" s="1">
        <v>45125.842050462961</v>
      </c>
      <c r="D1969" s="1">
        <v>45223</v>
      </c>
      <c r="E1969" t="s">
        <v>114</v>
      </c>
      <c r="F1969" t="s">
        <v>16055</v>
      </c>
      <c r="G1969" t="str">
        <f>"53-6031.00"</f>
        <v>53-6031.00</v>
      </c>
      <c r="H1969" t="s">
        <v>11982</v>
      </c>
      <c r="I1969">
        <v>1</v>
      </c>
      <c r="K1969" s="1">
        <v>45200</v>
      </c>
      <c r="L1969" s="1">
        <v>45503</v>
      </c>
      <c r="O1969" t="s">
        <v>116</v>
      </c>
      <c r="P1969" t="s">
        <v>16056</v>
      </c>
      <c r="Q1969" t="s">
        <v>16057</v>
      </c>
      <c r="R1969" t="s">
        <v>16058</v>
      </c>
      <c r="T1969" t="s">
        <v>9284</v>
      </c>
      <c r="U1969" t="s">
        <v>550</v>
      </c>
      <c r="V1969" s="8" t="str">
        <f>"30004"</f>
        <v>30004</v>
      </c>
      <c r="W1969" t="s">
        <v>118</v>
      </c>
      <c r="Y1969" s="10">
        <v>17703433411</v>
      </c>
      <c r="AA1969">
        <v>811111</v>
      </c>
      <c r="AB1969" t="s">
        <v>16059</v>
      </c>
      <c r="AC1969" t="s">
        <v>603</v>
      </c>
      <c r="AE1969" t="s">
        <v>561</v>
      </c>
      <c r="AF1969" t="s">
        <v>16060</v>
      </c>
      <c r="AH1969" t="s">
        <v>9284</v>
      </c>
      <c r="AI1969" t="s">
        <v>550</v>
      </c>
      <c r="AJ1969" s="8" t="str">
        <f>"30004"</f>
        <v>30004</v>
      </c>
      <c r="AK1969" t="s">
        <v>118</v>
      </c>
      <c r="AM1969" s="10">
        <v>17703433411</v>
      </c>
      <c r="AO1969" t="s">
        <v>16061</v>
      </c>
      <c r="AX1969" s="8" t="str">
        <f>""</f>
        <v/>
      </c>
      <c r="BG1969" t="s">
        <v>550</v>
      </c>
      <c r="BH1969" s="1">
        <v>45124.833333333336</v>
      </c>
      <c r="BI1969">
        <v>40</v>
      </c>
      <c r="BJ1969">
        <v>0</v>
      </c>
      <c r="BK1969">
        <v>8</v>
      </c>
      <c r="BL1969">
        <v>8</v>
      </c>
      <c r="BM1969">
        <v>8</v>
      </c>
      <c r="BN1969">
        <v>8</v>
      </c>
      <c r="BO1969">
        <v>8</v>
      </c>
      <c r="BP1969">
        <v>0</v>
      </c>
      <c r="BQ1969" t="str">
        <f>"8:00 AM"</f>
        <v>8:00 AM</v>
      </c>
      <c r="BR1969" t="str">
        <f>"6:00 PM"</f>
        <v>6:00 PM</v>
      </c>
      <c r="BS1969" t="s">
        <v>131</v>
      </c>
      <c r="BT1969">
        <v>0</v>
      </c>
      <c r="BU1969">
        <v>0</v>
      </c>
      <c r="BV1969" t="s">
        <v>114</v>
      </c>
      <c r="BX1969" t="s">
        <v>1789</v>
      </c>
      <c r="BY1969" t="s">
        <v>16058</v>
      </c>
      <c r="CA1969" t="s">
        <v>9284</v>
      </c>
      <c r="CB1969" t="s">
        <v>550</v>
      </c>
      <c r="CC1969" s="8" t="str">
        <f>"30004"</f>
        <v>30004</v>
      </c>
      <c r="CD1969" t="s">
        <v>6193</v>
      </c>
      <c r="CE1969" t="s">
        <v>552</v>
      </c>
      <c r="CF1969" s="12">
        <v>14</v>
      </c>
      <c r="CG1969" s="12">
        <v>17.5</v>
      </c>
      <c r="CH1969" s="12">
        <v>21</v>
      </c>
      <c r="CI1969" s="12">
        <v>26.25</v>
      </c>
      <c r="CJ1969" t="s">
        <v>135</v>
      </c>
      <c r="CK1969" t="s">
        <v>1789</v>
      </c>
      <c r="CL1969" t="s">
        <v>16062</v>
      </c>
      <c r="CO1969" t="s">
        <v>132</v>
      </c>
      <c r="CP1969" t="s">
        <v>114</v>
      </c>
      <c r="CQ1969" t="s">
        <v>136</v>
      </c>
      <c r="CR1969" t="s">
        <v>136</v>
      </c>
      <c r="CS1969" t="s">
        <v>136</v>
      </c>
      <c r="CT1969" t="s">
        <v>136</v>
      </c>
      <c r="CU1969" t="s">
        <v>136</v>
      </c>
      <c r="CV1969" t="s">
        <v>796</v>
      </c>
      <c r="CW1969" s="10" t="str">
        <f>"+17705257855"</f>
        <v>+17705257855</v>
      </c>
      <c r="CX1969" t="s">
        <v>16061</v>
      </c>
      <c r="CY1969" t="s">
        <v>132</v>
      </c>
      <c r="CZ1969" t="s">
        <v>137</v>
      </c>
      <c r="DA1969" t="s">
        <v>114</v>
      </c>
      <c r="DB1969" t="s">
        <v>114</v>
      </c>
      <c r="DC1969" t="s">
        <v>136</v>
      </c>
      <c r="DD1969" t="s">
        <v>114</v>
      </c>
      <c r="DE1969" t="s">
        <v>16063</v>
      </c>
      <c r="DF1969" t="s">
        <v>16064</v>
      </c>
      <c r="DH1969" t="s">
        <v>16065</v>
      </c>
      <c r="DI1969" t="s">
        <v>16066</v>
      </c>
    </row>
    <row r="1970" spans="1:113" ht="15" customHeight="1" x14ac:dyDescent="0.25">
      <c r="A1970" t="s">
        <v>23815</v>
      </c>
      <c r="B1970" t="s">
        <v>113</v>
      </c>
      <c r="C1970" s="1">
        <v>45121.840105208335</v>
      </c>
      <c r="D1970" s="1">
        <v>45223</v>
      </c>
      <c r="E1970" t="s">
        <v>136</v>
      </c>
      <c r="F1970" t="s">
        <v>21348</v>
      </c>
      <c r="G1970" t="str">
        <f>"51-2092.00"</f>
        <v>51-2092.00</v>
      </c>
      <c r="H1970" t="s">
        <v>4544</v>
      </c>
      <c r="I1970">
        <v>100</v>
      </c>
      <c r="K1970" s="1">
        <v>45200</v>
      </c>
      <c r="L1970" s="1">
        <v>45565</v>
      </c>
      <c r="O1970" t="s">
        <v>184</v>
      </c>
      <c r="P1970" t="s">
        <v>21349</v>
      </c>
      <c r="R1970" t="s">
        <v>21350</v>
      </c>
      <c r="T1970" t="s">
        <v>21351</v>
      </c>
      <c r="U1970" t="s">
        <v>550</v>
      </c>
      <c r="V1970" s="8" t="str">
        <f>"31322"</f>
        <v>31322</v>
      </c>
      <c r="W1970" t="s">
        <v>118</v>
      </c>
      <c r="Y1970" s="10">
        <v>19124472000</v>
      </c>
      <c r="AA1970">
        <v>33324</v>
      </c>
      <c r="AB1970" t="s">
        <v>3707</v>
      </c>
      <c r="AC1970" t="s">
        <v>21352</v>
      </c>
      <c r="AD1970" t="s">
        <v>3318</v>
      </c>
      <c r="AE1970" t="s">
        <v>21353</v>
      </c>
      <c r="AF1970" t="s">
        <v>21350</v>
      </c>
      <c r="AH1970" t="s">
        <v>21351</v>
      </c>
      <c r="AI1970" t="s">
        <v>550</v>
      </c>
      <c r="AJ1970" s="8" t="str">
        <f>"31322"</f>
        <v>31322</v>
      </c>
      <c r="AK1970" t="s">
        <v>118</v>
      </c>
      <c r="AM1970" s="10">
        <v>19124472000</v>
      </c>
      <c r="AO1970" t="s">
        <v>21354</v>
      </c>
      <c r="AP1970" t="s">
        <v>121</v>
      </c>
      <c r="AQ1970" t="s">
        <v>5961</v>
      </c>
      <c r="AR1970" t="s">
        <v>2404</v>
      </c>
      <c r="AT1970" t="s">
        <v>23816</v>
      </c>
      <c r="AU1970" t="s">
        <v>21355</v>
      </c>
      <c r="AV1970" t="s">
        <v>2960</v>
      </c>
      <c r="AW1970" t="s">
        <v>558</v>
      </c>
      <c r="AX1970" s="8" t="str">
        <f>"85004"</f>
        <v>85004</v>
      </c>
      <c r="AY1970" t="s">
        <v>118</v>
      </c>
      <c r="BA1970" s="10">
        <v>16022128515</v>
      </c>
      <c r="BC1970" t="s">
        <v>21356</v>
      </c>
      <c r="BD1970" t="s">
        <v>21357</v>
      </c>
      <c r="BE1970" t="s">
        <v>558</v>
      </c>
      <c r="BF1970" t="s">
        <v>17579</v>
      </c>
      <c r="BG1970" t="s">
        <v>550</v>
      </c>
      <c r="BH1970" s="1">
        <v>45120.833333333336</v>
      </c>
      <c r="BI1970">
        <v>48.75</v>
      </c>
      <c r="BJ1970">
        <v>0</v>
      </c>
      <c r="BK1970">
        <v>9.75</v>
      </c>
      <c r="BL1970">
        <v>9.75</v>
      </c>
      <c r="BM1970">
        <v>9.75</v>
      </c>
      <c r="BN1970">
        <v>9.75</v>
      </c>
      <c r="BO1970">
        <v>9.75</v>
      </c>
      <c r="BP1970">
        <v>0</v>
      </c>
      <c r="BQ1970" t="str">
        <f>"7:00 AM"</f>
        <v>7:00 AM</v>
      </c>
      <c r="BR1970" t="str">
        <f>"4:45 PM"</f>
        <v>4:45 PM</v>
      </c>
      <c r="BS1970" t="s">
        <v>131</v>
      </c>
      <c r="BT1970">
        <v>0</v>
      </c>
      <c r="BU1970">
        <v>3</v>
      </c>
      <c r="BV1970" t="s">
        <v>114</v>
      </c>
      <c r="BX1970" s="2" t="s">
        <v>23817</v>
      </c>
      <c r="BY1970" t="s">
        <v>21350</v>
      </c>
      <c r="CA1970" t="s">
        <v>21351</v>
      </c>
      <c r="CB1970" t="s">
        <v>550</v>
      </c>
      <c r="CC1970" s="8" t="str">
        <f>"31322"</f>
        <v>31322</v>
      </c>
      <c r="CD1970" t="s">
        <v>2385</v>
      </c>
      <c r="CE1970" t="s">
        <v>5175</v>
      </c>
      <c r="CF1970" s="12">
        <v>20</v>
      </c>
      <c r="CJ1970" t="s">
        <v>135</v>
      </c>
      <c r="CL1970" t="s">
        <v>23818</v>
      </c>
      <c r="CO1970" t="s">
        <v>132</v>
      </c>
      <c r="CP1970" t="s">
        <v>114</v>
      </c>
      <c r="CQ1970" t="s">
        <v>136</v>
      </c>
      <c r="CR1970" t="s">
        <v>136</v>
      </c>
      <c r="CS1970" t="s">
        <v>136</v>
      </c>
      <c r="CT1970" t="s">
        <v>136</v>
      </c>
      <c r="CU1970" t="s">
        <v>136</v>
      </c>
      <c r="CV1970" t="s">
        <v>23819</v>
      </c>
      <c r="CW1970" s="10" t="str">
        <f>"+19124472082"</f>
        <v>+19124472082</v>
      </c>
      <c r="CX1970" t="s">
        <v>21358</v>
      </c>
      <c r="CY1970" t="s">
        <v>132</v>
      </c>
      <c r="CZ1970" t="s">
        <v>137</v>
      </c>
      <c r="DA1970" t="s">
        <v>114</v>
      </c>
      <c r="DB1970" t="s">
        <v>136</v>
      </c>
      <c r="DC1970" t="s">
        <v>136</v>
      </c>
      <c r="DD1970" t="s">
        <v>114</v>
      </c>
    </row>
    <row r="1971" spans="1:113" ht="15" customHeight="1" x14ac:dyDescent="0.25">
      <c r="A1971" t="s">
        <v>20507</v>
      </c>
      <c r="B1971" t="s">
        <v>113</v>
      </c>
      <c r="C1971" s="1">
        <v>45117.582675810183</v>
      </c>
      <c r="D1971" s="1">
        <v>45223</v>
      </c>
      <c r="E1971" t="s">
        <v>136</v>
      </c>
      <c r="F1971" t="s">
        <v>4543</v>
      </c>
      <c r="G1971" t="str">
        <f>"51-2092.00"</f>
        <v>51-2092.00</v>
      </c>
      <c r="H1971" t="s">
        <v>4544</v>
      </c>
      <c r="I1971">
        <v>30</v>
      </c>
      <c r="K1971" s="1">
        <v>45200</v>
      </c>
      <c r="L1971" s="1">
        <v>45565</v>
      </c>
      <c r="O1971" t="s">
        <v>184</v>
      </c>
      <c r="P1971" t="s">
        <v>816</v>
      </c>
      <c r="R1971" t="s">
        <v>817</v>
      </c>
      <c r="T1971" t="s">
        <v>818</v>
      </c>
      <c r="U1971" t="s">
        <v>819</v>
      </c>
      <c r="V1971" s="8" t="str">
        <f>"46514"</f>
        <v>46514</v>
      </c>
      <c r="W1971" t="s">
        <v>118</v>
      </c>
      <c r="Y1971" s="10">
        <v>15743127094</v>
      </c>
      <c r="AA1971">
        <v>3363</v>
      </c>
      <c r="AB1971" t="s">
        <v>820</v>
      </c>
      <c r="AC1971" t="s">
        <v>821</v>
      </c>
      <c r="AE1971" t="s">
        <v>822</v>
      </c>
      <c r="AF1971" t="s">
        <v>817</v>
      </c>
      <c r="AH1971" t="s">
        <v>818</v>
      </c>
      <c r="AI1971" t="s">
        <v>819</v>
      </c>
      <c r="AJ1971" s="8" t="str">
        <f>"46514"</f>
        <v>46514</v>
      </c>
      <c r="AK1971" t="s">
        <v>118</v>
      </c>
      <c r="AM1971" s="10">
        <v>15743127433</v>
      </c>
      <c r="AO1971" t="s">
        <v>823</v>
      </c>
      <c r="AP1971" t="s">
        <v>121</v>
      </c>
      <c r="AQ1971" t="s">
        <v>824</v>
      </c>
      <c r="AR1971" t="s">
        <v>825</v>
      </c>
      <c r="AS1971" t="s">
        <v>826</v>
      </c>
      <c r="AT1971" t="s">
        <v>827</v>
      </c>
      <c r="AU1971" t="s">
        <v>828</v>
      </c>
      <c r="AV1971" t="s">
        <v>187</v>
      </c>
      <c r="AW1971" t="s">
        <v>188</v>
      </c>
      <c r="AX1971" s="8" t="str">
        <f>"80202"</f>
        <v>80202</v>
      </c>
      <c r="AY1971" t="s">
        <v>118</v>
      </c>
      <c r="BA1971" s="10">
        <v>13036073637</v>
      </c>
      <c r="BC1971" t="s">
        <v>829</v>
      </c>
      <c r="BD1971" t="s">
        <v>830</v>
      </c>
      <c r="BE1971" t="s">
        <v>188</v>
      </c>
      <c r="BF1971" t="s">
        <v>831</v>
      </c>
      <c r="BG1971" t="s">
        <v>819</v>
      </c>
      <c r="BH1971" s="1">
        <v>45109.833333333336</v>
      </c>
      <c r="BI1971">
        <v>35</v>
      </c>
      <c r="BJ1971">
        <v>0</v>
      </c>
      <c r="BK1971">
        <v>7</v>
      </c>
      <c r="BL1971">
        <v>7</v>
      </c>
      <c r="BM1971">
        <v>7</v>
      </c>
      <c r="BN1971">
        <v>7</v>
      </c>
      <c r="BO1971">
        <v>7</v>
      </c>
      <c r="BP1971">
        <v>0</v>
      </c>
      <c r="BQ1971" t="str">
        <f>"5:00 AM"</f>
        <v>5:00 AM</v>
      </c>
      <c r="BR1971" t="str">
        <f>"3:30 PM"</f>
        <v>3:30 PM</v>
      </c>
      <c r="BS1971" t="s">
        <v>131</v>
      </c>
      <c r="BT1971">
        <v>0</v>
      </c>
      <c r="BU1971">
        <v>0</v>
      </c>
      <c r="BV1971" t="s">
        <v>114</v>
      </c>
      <c r="BX1971" s="2" t="s">
        <v>4545</v>
      </c>
      <c r="BY1971" t="s">
        <v>20508</v>
      </c>
      <c r="CA1971" t="s">
        <v>834</v>
      </c>
      <c r="CB1971" t="s">
        <v>819</v>
      </c>
      <c r="CC1971" s="8" t="str">
        <f>"46526"</f>
        <v>46526</v>
      </c>
      <c r="CD1971" t="s">
        <v>835</v>
      </c>
      <c r="CE1971" t="s">
        <v>836</v>
      </c>
      <c r="CF1971" s="12">
        <v>22.87</v>
      </c>
      <c r="CG1971" s="12">
        <v>22.87</v>
      </c>
      <c r="CH1971" s="12">
        <v>34.31</v>
      </c>
      <c r="CI1971" s="12">
        <v>34.31</v>
      </c>
      <c r="CJ1971" t="s">
        <v>135</v>
      </c>
      <c r="CK1971" t="s">
        <v>131</v>
      </c>
      <c r="CL1971" t="s">
        <v>20509</v>
      </c>
      <c r="CO1971" t="s">
        <v>132</v>
      </c>
      <c r="CP1971" t="s">
        <v>136</v>
      </c>
      <c r="CQ1971" t="s">
        <v>114</v>
      </c>
      <c r="CR1971" t="s">
        <v>136</v>
      </c>
      <c r="CS1971" t="s">
        <v>136</v>
      </c>
      <c r="CT1971" t="s">
        <v>136</v>
      </c>
      <c r="CU1971" t="s">
        <v>114</v>
      </c>
      <c r="CV1971" t="s">
        <v>131</v>
      </c>
      <c r="CW1971" s="10" t="str">
        <f>"+15743127391"</f>
        <v>+15743127391</v>
      </c>
      <c r="CX1971" t="s">
        <v>838</v>
      </c>
      <c r="CY1971" t="s">
        <v>839</v>
      </c>
      <c r="CZ1971" t="s">
        <v>137</v>
      </c>
      <c r="DA1971" t="s">
        <v>114</v>
      </c>
      <c r="DB1971" t="s">
        <v>114</v>
      </c>
      <c r="DC1971" t="s">
        <v>136</v>
      </c>
      <c r="DD1971" t="s">
        <v>114</v>
      </c>
    </row>
    <row r="1972" spans="1:113" ht="15" customHeight="1" x14ac:dyDescent="0.25">
      <c r="A1972" t="s">
        <v>21403</v>
      </c>
      <c r="B1972" t="s">
        <v>113</v>
      </c>
      <c r="C1972" s="1">
        <v>45117.521802546296</v>
      </c>
      <c r="D1972" s="1">
        <v>45223</v>
      </c>
      <c r="E1972" t="s">
        <v>136</v>
      </c>
      <c r="F1972" t="s">
        <v>4543</v>
      </c>
      <c r="G1972" t="str">
        <f>"51-2092.00"</f>
        <v>51-2092.00</v>
      </c>
      <c r="H1972" t="s">
        <v>4544</v>
      </c>
      <c r="I1972">
        <v>15</v>
      </c>
      <c r="K1972" s="1">
        <v>45200</v>
      </c>
      <c r="L1972" s="1">
        <v>45565</v>
      </c>
      <c r="O1972" t="s">
        <v>184</v>
      </c>
      <c r="P1972" t="s">
        <v>816</v>
      </c>
      <c r="R1972" t="s">
        <v>817</v>
      </c>
      <c r="T1972" t="s">
        <v>818</v>
      </c>
      <c r="U1972" t="s">
        <v>819</v>
      </c>
      <c r="V1972" s="8" t="str">
        <f>"46514"</f>
        <v>46514</v>
      </c>
      <c r="W1972" t="s">
        <v>118</v>
      </c>
      <c r="Y1972" s="10">
        <v>15743127094</v>
      </c>
      <c r="AA1972">
        <v>3363</v>
      </c>
      <c r="AB1972" t="s">
        <v>820</v>
      </c>
      <c r="AC1972" t="s">
        <v>821</v>
      </c>
      <c r="AE1972" t="s">
        <v>822</v>
      </c>
      <c r="AF1972" t="s">
        <v>817</v>
      </c>
      <c r="AH1972" t="s">
        <v>818</v>
      </c>
      <c r="AI1972" t="s">
        <v>819</v>
      </c>
      <c r="AJ1972" s="8" t="str">
        <f>"46514"</f>
        <v>46514</v>
      </c>
      <c r="AK1972" t="s">
        <v>118</v>
      </c>
      <c r="AM1972" s="10">
        <v>15743127433</v>
      </c>
      <c r="AO1972" t="s">
        <v>823</v>
      </c>
      <c r="AP1972" t="s">
        <v>121</v>
      </c>
      <c r="AQ1972" t="s">
        <v>824</v>
      </c>
      <c r="AR1972" t="s">
        <v>825</v>
      </c>
      <c r="AS1972" t="s">
        <v>826</v>
      </c>
      <c r="AT1972" t="s">
        <v>827</v>
      </c>
      <c r="AU1972" t="s">
        <v>828</v>
      </c>
      <c r="AV1972" t="s">
        <v>187</v>
      </c>
      <c r="AW1972" t="s">
        <v>188</v>
      </c>
      <c r="AX1972" s="8" t="str">
        <f>"80202"</f>
        <v>80202</v>
      </c>
      <c r="AY1972" t="s">
        <v>118</v>
      </c>
      <c r="BA1972" s="10">
        <v>13036073637</v>
      </c>
      <c r="BC1972" t="s">
        <v>829</v>
      </c>
      <c r="BD1972" t="s">
        <v>830</v>
      </c>
      <c r="BE1972" t="s">
        <v>188</v>
      </c>
      <c r="BF1972" t="s">
        <v>831</v>
      </c>
      <c r="BG1972" t="s">
        <v>819</v>
      </c>
      <c r="BH1972" s="1">
        <v>45109.833333333336</v>
      </c>
      <c r="BI1972">
        <v>35</v>
      </c>
      <c r="BJ1972">
        <v>0</v>
      </c>
      <c r="BK1972">
        <v>7</v>
      </c>
      <c r="BL1972">
        <v>7</v>
      </c>
      <c r="BM1972">
        <v>7</v>
      </c>
      <c r="BN1972">
        <v>7</v>
      </c>
      <c r="BO1972">
        <v>7</v>
      </c>
      <c r="BP1972">
        <v>0</v>
      </c>
      <c r="BQ1972" t="str">
        <f>"6:00 AM"</f>
        <v>6:00 AM</v>
      </c>
      <c r="BR1972" t="str">
        <f>"2:00 PM"</f>
        <v>2:00 PM</v>
      </c>
      <c r="BS1972" t="s">
        <v>131</v>
      </c>
      <c r="BT1972">
        <v>0</v>
      </c>
      <c r="BU1972">
        <v>0</v>
      </c>
      <c r="BV1972" t="s">
        <v>114</v>
      </c>
      <c r="BX1972" s="2" t="s">
        <v>4545</v>
      </c>
      <c r="BY1972" t="s">
        <v>21404</v>
      </c>
      <c r="CA1972" t="s">
        <v>15264</v>
      </c>
      <c r="CB1972" t="s">
        <v>819</v>
      </c>
      <c r="CC1972" s="8" t="str">
        <f>"46798"</f>
        <v>46798</v>
      </c>
      <c r="CD1972" t="s">
        <v>7560</v>
      </c>
      <c r="CE1972" t="s">
        <v>7561</v>
      </c>
      <c r="CF1972" s="12">
        <v>22.91</v>
      </c>
      <c r="CG1972" s="12">
        <v>22.91</v>
      </c>
      <c r="CH1972" s="12">
        <v>34.369999999999997</v>
      </c>
      <c r="CI1972" s="12">
        <v>34.369999999999997</v>
      </c>
      <c r="CJ1972" t="s">
        <v>135</v>
      </c>
      <c r="CK1972" t="s">
        <v>131</v>
      </c>
      <c r="CL1972" t="s">
        <v>21405</v>
      </c>
      <c r="CO1972" t="s">
        <v>132</v>
      </c>
      <c r="CP1972" t="s">
        <v>114</v>
      </c>
      <c r="CQ1972" t="s">
        <v>114</v>
      </c>
      <c r="CR1972" t="s">
        <v>136</v>
      </c>
      <c r="CS1972" t="s">
        <v>136</v>
      </c>
      <c r="CT1972" t="s">
        <v>136</v>
      </c>
      <c r="CU1972" t="s">
        <v>114</v>
      </c>
      <c r="CV1972" t="s">
        <v>131</v>
      </c>
      <c r="CW1972" s="10" t="str">
        <f>"+15743127391"</f>
        <v>+15743127391</v>
      </c>
      <c r="CX1972" t="s">
        <v>838</v>
      </c>
      <c r="CY1972" t="s">
        <v>839</v>
      </c>
      <c r="CZ1972" t="s">
        <v>137</v>
      </c>
      <c r="DA1972" t="s">
        <v>114</v>
      </c>
      <c r="DB1972" t="s">
        <v>114</v>
      </c>
      <c r="DC1972" t="s">
        <v>136</v>
      </c>
      <c r="DD1972" t="s">
        <v>114</v>
      </c>
    </row>
    <row r="1973" spans="1:113" ht="15" customHeight="1" x14ac:dyDescent="0.25">
      <c r="A1973" t="s">
        <v>10644</v>
      </c>
      <c r="B1973" t="s">
        <v>113</v>
      </c>
      <c r="C1973" s="1">
        <v>45115.747892013889</v>
      </c>
      <c r="D1973" s="1">
        <v>45223</v>
      </c>
      <c r="E1973" t="s">
        <v>114</v>
      </c>
      <c r="F1973" t="s">
        <v>10645</v>
      </c>
      <c r="G1973" t="str">
        <f>"47-2141.00"</f>
        <v>47-2141.00</v>
      </c>
      <c r="H1973" t="s">
        <v>5569</v>
      </c>
      <c r="I1973">
        <v>4</v>
      </c>
      <c r="K1973" s="1">
        <v>45200</v>
      </c>
      <c r="L1973" s="1">
        <v>45473</v>
      </c>
      <c r="O1973" t="s">
        <v>116</v>
      </c>
      <c r="P1973" t="s">
        <v>10646</v>
      </c>
      <c r="R1973" t="s">
        <v>10647</v>
      </c>
      <c r="T1973" t="s">
        <v>10648</v>
      </c>
      <c r="U1973" t="s">
        <v>1734</v>
      </c>
      <c r="V1973" s="8" t="str">
        <f>"67208"</f>
        <v>67208</v>
      </c>
      <c r="W1973" t="s">
        <v>118</v>
      </c>
      <c r="Y1973" s="10">
        <v>13179839875</v>
      </c>
      <c r="AA1973">
        <v>238320</v>
      </c>
      <c r="AB1973" t="s">
        <v>10649</v>
      </c>
      <c r="AC1973" t="s">
        <v>10650</v>
      </c>
      <c r="AE1973" t="s">
        <v>5288</v>
      </c>
      <c r="AF1973" t="s">
        <v>10647</v>
      </c>
      <c r="AH1973" t="s">
        <v>10648</v>
      </c>
      <c r="AI1973" t="s">
        <v>1734</v>
      </c>
      <c r="AJ1973" s="8" t="str">
        <f>"67208"</f>
        <v>67208</v>
      </c>
      <c r="AK1973" t="s">
        <v>118</v>
      </c>
      <c r="AM1973" s="10">
        <v>13179839875</v>
      </c>
      <c r="AO1973" t="s">
        <v>10651</v>
      </c>
      <c r="AP1973" t="s">
        <v>121</v>
      </c>
      <c r="AQ1973" t="s">
        <v>10652</v>
      </c>
      <c r="AR1973" t="s">
        <v>10653</v>
      </c>
      <c r="AT1973" t="s">
        <v>10654</v>
      </c>
      <c r="AV1973" t="s">
        <v>10648</v>
      </c>
      <c r="AW1973" t="s">
        <v>1734</v>
      </c>
      <c r="AX1973" s="8" t="str">
        <f>"67278"</f>
        <v>67278</v>
      </c>
      <c r="AY1973" t="s">
        <v>118</v>
      </c>
      <c r="BA1973" s="10">
        <v>13162521232</v>
      </c>
      <c r="BC1973" t="s">
        <v>10655</v>
      </c>
      <c r="BD1973" t="s">
        <v>10656</v>
      </c>
      <c r="BE1973" t="s">
        <v>1734</v>
      </c>
      <c r="BF1973" t="s">
        <v>10518</v>
      </c>
      <c r="BG1973" t="s">
        <v>1734</v>
      </c>
      <c r="BH1973" s="1">
        <v>45114.833333333336</v>
      </c>
      <c r="BI1973">
        <v>40</v>
      </c>
      <c r="BJ1973">
        <v>0</v>
      </c>
      <c r="BK1973">
        <v>8</v>
      </c>
      <c r="BL1973">
        <v>8</v>
      </c>
      <c r="BM1973">
        <v>8</v>
      </c>
      <c r="BN1973">
        <v>8</v>
      </c>
      <c r="BO1973">
        <v>8</v>
      </c>
      <c r="BP1973">
        <v>0</v>
      </c>
      <c r="BQ1973" t="str">
        <f>"8:00 AM"</f>
        <v>8:00 AM</v>
      </c>
      <c r="BR1973" t="str">
        <f>"5:00 PM"</f>
        <v>5:00 PM</v>
      </c>
      <c r="BS1973" t="s">
        <v>131</v>
      </c>
      <c r="BT1973">
        <v>0</v>
      </c>
      <c r="BU1973">
        <v>0</v>
      </c>
      <c r="BV1973" t="s">
        <v>114</v>
      </c>
      <c r="BX1973" t="s">
        <v>6598</v>
      </c>
      <c r="BY1973" t="s">
        <v>10657</v>
      </c>
      <c r="CA1973" t="s">
        <v>4874</v>
      </c>
      <c r="CB1973" t="s">
        <v>1734</v>
      </c>
      <c r="CC1973" s="8" t="str">
        <f>"67208"</f>
        <v>67208</v>
      </c>
      <c r="CD1973" t="s">
        <v>4875</v>
      </c>
      <c r="CE1973" t="s">
        <v>4876</v>
      </c>
      <c r="CF1973" s="12">
        <v>20.05</v>
      </c>
      <c r="CG1973" s="12">
        <v>20.05</v>
      </c>
      <c r="CH1973" s="12">
        <v>28.65</v>
      </c>
      <c r="CI1973" s="12">
        <v>30.08</v>
      </c>
      <c r="CJ1973" t="s">
        <v>135</v>
      </c>
      <c r="CK1973" t="s">
        <v>131</v>
      </c>
      <c r="CL1973" t="s">
        <v>10658</v>
      </c>
      <c r="CO1973" t="s">
        <v>132</v>
      </c>
      <c r="CP1973" t="s">
        <v>114</v>
      </c>
      <c r="CQ1973" t="s">
        <v>136</v>
      </c>
      <c r="CR1973" t="s">
        <v>136</v>
      </c>
      <c r="CS1973" t="s">
        <v>114</v>
      </c>
      <c r="CT1973" t="s">
        <v>136</v>
      </c>
      <c r="CU1973" t="s">
        <v>114</v>
      </c>
      <c r="CV1973" t="s">
        <v>10659</v>
      </c>
      <c r="CW1973" s="10" t="str">
        <f>"+13179833875"</f>
        <v>+13179833875</v>
      </c>
      <c r="CX1973" t="s">
        <v>10660</v>
      </c>
      <c r="CY1973" t="s">
        <v>132</v>
      </c>
      <c r="CZ1973" t="s">
        <v>137</v>
      </c>
      <c r="DA1973" t="s">
        <v>114</v>
      </c>
      <c r="DB1973" t="s">
        <v>114</v>
      </c>
      <c r="DC1973" t="s">
        <v>136</v>
      </c>
      <c r="DD1973" t="s">
        <v>114</v>
      </c>
      <c r="DE1973" t="s">
        <v>10513</v>
      </c>
      <c r="DF1973" t="s">
        <v>10514</v>
      </c>
      <c r="DH1973" t="s">
        <v>10517</v>
      </c>
      <c r="DI1973" t="s">
        <v>10516</v>
      </c>
    </row>
    <row r="1974" spans="1:113" ht="15" customHeight="1" x14ac:dyDescent="0.25">
      <c r="A1974" t="s">
        <v>8854</v>
      </c>
      <c r="B1974" t="s">
        <v>113</v>
      </c>
      <c r="C1974" s="1">
        <v>45113.750676620373</v>
      </c>
      <c r="D1974" s="1">
        <v>45223</v>
      </c>
      <c r="E1974" t="s">
        <v>114</v>
      </c>
      <c r="F1974" t="s">
        <v>8855</v>
      </c>
      <c r="G1974" t="str">
        <f>"25-2011.00"</f>
        <v>25-2011.00</v>
      </c>
      <c r="H1974" t="s">
        <v>8856</v>
      </c>
      <c r="I1974">
        <v>1</v>
      </c>
      <c r="K1974" s="1">
        <v>45188</v>
      </c>
      <c r="L1974" s="1">
        <v>45554</v>
      </c>
      <c r="O1974" t="s">
        <v>116</v>
      </c>
      <c r="P1974" t="s">
        <v>8857</v>
      </c>
      <c r="Q1974" t="s">
        <v>8857</v>
      </c>
      <c r="R1974" t="s">
        <v>8858</v>
      </c>
      <c r="T1974" t="s">
        <v>703</v>
      </c>
      <c r="U1974" t="s">
        <v>127</v>
      </c>
      <c r="V1974" s="8" t="str">
        <f>"79938"</f>
        <v>79938</v>
      </c>
      <c r="W1974" t="s">
        <v>118</v>
      </c>
      <c r="Y1974" s="10">
        <v>19156005860</v>
      </c>
      <c r="AA1974">
        <v>624410</v>
      </c>
      <c r="AB1974" t="s">
        <v>8859</v>
      </c>
      <c r="AC1974" t="s">
        <v>8860</v>
      </c>
      <c r="AE1974" t="s">
        <v>6091</v>
      </c>
      <c r="AF1974" t="s">
        <v>8858</v>
      </c>
      <c r="AH1974" t="s">
        <v>8861</v>
      </c>
      <c r="AI1974" t="s">
        <v>127</v>
      </c>
      <c r="AJ1974" s="8" t="str">
        <f>"79938"</f>
        <v>79938</v>
      </c>
      <c r="AK1974" t="s">
        <v>118</v>
      </c>
      <c r="AM1974" s="10">
        <v>19152495581</v>
      </c>
      <c r="AO1974" t="s">
        <v>8862</v>
      </c>
      <c r="AX1974" s="8" t="str">
        <f>""</f>
        <v/>
      </c>
      <c r="BG1974" t="s">
        <v>127</v>
      </c>
      <c r="BH1974" s="1">
        <v>45109.833333333336</v>
      </c>
      <c r="BI1974">
        <v>41</v>
      </c>
      <c r="BJ1974">
        <v>0</v>
      </c>
      <c r="BK1974">
        <v>8</v>
      </c>
      <c r="BL1974">
        <v>8</v>
      </c>
      <c r="BM1974">
        <v>8</v>
      </c>
      <c r="BN1974">
        <v>8</v>
      </c>
      <c r="BO1974">
        <v>8</v>
      </c>
      <c r="BP1974">
        <v>1</v>
      </c>
      <c r="BQ1974" t="str">
        <f>"8:00 AM"</f>
        <v>8:00 AM</v>
      </c>
      <c r="BR1974" t="str">
        <f>"5:00 PM"</f>
        <v>5:00 PM</v>
      </c>
      <c r="BS1974" t="s">
        <v>147</v>
      </c>
      <c r="BT1974">
        <v>5</v>
      </c>
      <c r="BU1974">
        <v>6</v>
      </c>
      <c r="BV1974" t="s">
        <v>114</v>
      </c>
      <c r="BX1974" s="2" t="s">
        <v>8863</v>
      </c>
      <c r="BY1974" t="s">
        <v>8864</v>
      </c>
      <c r="CA1974" t="s">
        <v>8865</v>
      </c>
      <c r="CB1974" t="s">
        <v>127</v>
      </c>
      <c r="CC1974" s="8" t="str">
        <f>"79938"</f>
        <v>79938</v>
      </c>
      <c r="CD1974" t="s">
        <v>714</v>
      </c>
      <c r="CE1974" t="s">
        <v>715</v>
      </c>
      <c r="CF1974" s="12">
        <v>18.27</v>
      </c>
      <c r="CJ1974" t="s">
        <v>135</v>
      </c>
      <c r="CL1974" t="s">
        <v>8866</v>
      </c>
      <c r="CO1974" t="s">
        <v>132</v>
      </c>
      <c r="CP1974" t="s">
        <v>114</v>
      </c>
      <c r="CQ1974" t="s">
        <v>114</v>
      </c>
      <c r="CR1974" t="s">
        <v>114</v>
      </c>
      <c r="CS1974" t="s">
        <v>136</v>
      </c>
      <c r="CT1974" t="s">
        <v>136</v>
      </c>
      <c r="CU1974" t="s">
        <v>114</v>
      </c>
      <c r="CV1974" s="2" t="s">
        <v>8867</v>
      </c>
      <c r="CW1974" s="10" t="str">
        <f>"+19156005860"</f>
        <v>+19156005860</v>
      </c>
      <c r="CX1974" t="s">
        <v>8862</v>
      </c>
      <c r="CY1974" t="s">
        <v>132</v>
      </c>
      <c r="CZ1974" t="s">
        <v>137</v>
      </c>
      <c r="DA1974" t="s">
        <v>114</v>
      </c>
      <c r="DB1974" t="s">
        <v>114</v>
      </c>
      <c r="DC1974" t="s">
        <v>136</v>
      </c>
      <c r="DD1974" t="s">
        <v>114</v>
      </c>
    </row>
    <row r="1975" spans="1:113" ht="15" customHeight="1" x14ac:dyDescent="0.25">
      <c r="A1975" t="s">
        <v>6468</v>
      </c>
      <c r="B1975" t="s">
        <v>113</v>
      </c>
      <c r="C1975" s="1">
        <v>45153.615854166666</v>
      </c>
      <c r="D1975" s="1">
        <v>45222</v>
      </c>
      <c r="E1975" t="s">
        <v>114</v>
      </c>
      <c r="F1975" t="s">
        <v>1550</v>
      </c>
      <c r="G1975" t="str">
        <f>"51-4121.00"</f>
        <v>51-4121.00</v>
      </c>
      <c r="H1975" t="s">
        <v>815</v>
      </c>
      <c r="I1975">
        <v>15</v>
      </c>
      <c r="K1975" s="1">
        <v>45228</v>
      </c>
      <c r="L1975" s="1">
        <v>45473</v>
      </c>
      <c r="O1975" t="s">
        <v>116</v>
      </c>
      <c r="P1975" t="s">
        <v>6469</v>
      </c>
      <c r="R1975" t="s">
        <v>6470</v>
      </c>
      <c r="T1975" t="s">
        <v>6471</v>
      </c>
      <c r="U1975" t="s">
        <v>993</v>
      </c>
      <c r="V1975" s="8" t="str">
        <f>"53404"</f>
        <v>53404</v>
      </c>
      <c r="W1975" t="s">
        <v>118</v>
      </c>
      <c r="Y1975" s="10">
        <v>12626366011</v>
      </c>
      <c r="AA1975">
        <v>33311</v>
      </c>
      <c r="AB1975" t="s">
        <v>6472</v>
      </c>
      <c r="AC1975" t="s">
        <v>6473</v>
      </c>
      <c r="AE1975" t="s">
        <v>6474</v>
      </c>
      <c r="AF1975" t="s">
        <v>6475</v>
      </c>
      <c r="AH1975" t="s">
        <v>6476</v>
      </c>
      <c r="AI1975" t="s">
        <v>434</v>
      </c>
      <c r="AJ1975" s="8" t="str">
        <f>"17557"</f>
        <v>17557</v>
      </c>
      <c r="AK1975" t="s">
        <v>118</v>
      </c>
      <c r="AM1975" s="10">
        <v>17178476404</v>
      </c>
      <c r="AO1975" t="s">
        <v>6477</v>
      </c>
      <c r="AP1975" t="s">
        <v>121</v>
      </c>
      <c r="AQ1975" t="s">
        <v>6478</v>
      </c>
      <c r="AR1975" t="s">
        <v>119</v>
      </c>
      <c r="AT1975" t="s">
        <v>6479</v>
      </c>
      <c r="AU1975" t="s">
        <v>6480</v>
      </c>
      <c r="AV1975" t="s">
        <v>6481</v>
      </c>
      <c r="AW1975" t="s">
        <v>993</v>
      </c>
      <c r="AX1975" s="8" t="str">
        <f>"53202"</f>
        <v>53202</v>
      </c>
      <c r="AY1975" t="s">
        <v>118</v>
      </c>
      <c r="BA1975" s="10">
        <v>13127155009</v>
      </c>
      <c r="BC1975" t="s">
        <v>6482</v>
      </c>
      <c r="BD1975" t="s">
        <v>6483</v>
      </c>
      <c r="BE1975" t="s">
        <v>117</v>
      </c>
      <c r="BF1975" t="s">
        <v>172</v>
      </c>
      <c r="BG1975" t="s">
        <v>169</v>
      </c>
      <c r="BH1975" s="1">
        <v>45144.833333333336</v>
      </c>
      <c r="BI1975">
        <v>52.5</v>
      </c>
      <c r="BJ1975">
        <v>0</v>
      </c>
      <c r="BK1975">
        <v>10.5</v>
      </c>
      <c r="BL1975">
        <v>10.5</v>
      </c>
      <c r="BM1975">
        <v>10.5</v>
      </c>
      <c r="BN1975">
        <v>10.5</v>
      </c>
      <c r="BO1975">
        <v>10.5</v>
      </c>
      <c r="BP1975">
        <v>0</v>
      </c>
      <c r="BQ1975" t="str">
        <f>"4:30 PM"</f>
        <v>4:30 PM</v>
      </c>
      <c r="BR1975" t="str">
        <f>"3:00 AM"</f>
        <v>3:00 AM</v>
      </c>
      <c r="BS1975" t="s">
        <v>131</v>
      </c>
      <c r="BT1975">
        <v>0</v>
      </c>
      <c r="BU1975">
        <v>12</v>
      </c>
      <c r="BV1975" t="s">
        <v>114</v>
      </c>
      <c r="BX1975" s="2" t="s">
        <v>6484</v>
      </c>
      <c r="BY1975" t="s">
        <v>6485</v>
      </c>
      <c r="CA1975" t="s">
        <v>2948</v>
      </c>
      <c r="CB1975" t="s">
        <v>169</v>
      </c>
      <c r="CC1975" s="8" t="str">
        <f>"56215"</f>
        <v>56215</v>
      </c>
      <c r="CD1975" t="s">
        <v>6486</v>
      </c>
      <c r="CE1975" t="s">
        <v>6487</v>
      </c>
      <c r="CF1975" s="12">
        <v>29.39</v>
      </c>
      <c r="CH1975" s="12">
        <v>44.08</v>
      </c>
      <c r="CJ1975" t="s">
        <v>135</v>
      </c>
      <c r="CL1975" t="s">
        <v>6488</v>
      </c>
      <c r="CO1975" t="s">
        <v>136</v>
      </c>
      <c r="CP1975" t="s">
        <v>114</v>
      </c>
      <c r="CQ1975" t="s">
        <v>114</v>
      </c>
      <c r="CR1975" t="s">
        <v>136</v>
      </c>
      <c r="CS1975" t="s">
        <v>136</v>
      </c>
      <c r="CT1975" t="s">
        <v>136</v>
      </c>
      <c r="CU1975" t="s">
        <v>114</v>
      </c>
      <c r="CV1975" t="s">
        <v>6489</v>
      </c>
      <c r="CW1975" s="10" t="str">
        <f>"+17178476404"</f>
        <v>+17178476404</v>
      </c>
      <c r="CX1975" t="s">
        <v>6477</v>
      </c>
      <c r="CY1975" t="s">
        <v>132</v>
      </c>
      <c r="CZ1975" t="s">
        <v>137</v>
      </c>
      <c r="DA1975" t="s">
        <v>114</v>
      </c>
      <c r="DB1975" t="s">
        <v>114</v>
      </c>
      <c r="DC1975" t="s">
        <v>136</v>
      </c>
      <c r="DD1975" t="s">
        <v>114</v>
      </c>
      <c r="DE1975" t="s">
        <v>6478</v>
      </c>
      <c r="DF1975" t="s">
        <v>119</v>
      </c>
      <c r="DH1975" t="s">
        <v>6483</v>
      </c>
      <c r="DI1975" t="s">
        <v>6482</v>
      </c>
    </row>
    <row r="1976" spans="1:113" ht="15" customHeight="1" x14ac:dyDescent="0.25">
      <c r="A1976" t="s">
        <v>14606</v>
      </c>
      <c r="B1976" t="s">
        <v>113</v>
      </c>
      <c r="C1976" s="1">
        <v>45153.605338657406</v>
      </c>
      <c r="D1976" s="1">
        <v>45222</v>
      </c>
      <c r="E1976" t="s">
        <v>114</v>
      </c>
      <c r="F1976" t="s">
        <v>8031</v>
      </c>
      <c r="G1976" t="str">
        <f>"51-2092.00"</f>
        <v>51-2092.00</v>
      </c>
      <c r="H1976" t="s">
        <v>4544</v>
      </c>
      <c r="I1976">
        <v>35</v>
      </c>
      <c r="K1976" s="1">
        <v>45228</v>
      </c>
      <c r="L1976" s="1">
        <v>45473</v>
      </c>
      <c r="O1976" t="s">
        <v>116</v>
      </c>
      <c r="P1976" t="s">
        <v>6469</v>
      </c>
      <c r="R1976" t="s">
        <v>6470</v>
      </c>
      <c r="T1976" t="s">
        <v>6471</v>
      </c>
      <c r="U1976" t="s">
        <v>993</v>
      </c>
      <c r="V1976" s="8" t="str">
        <f>"53404"</f>
        <v>53404</v>
      </c>
      <c r="W1976" t="s">
        <v>118</v>
      </c>
      <c r="Y1976" s="10">
        <v>12626366011</v>
      </c>
      <c r="AA1976">
        <v>33311</v>
      </c>
      <c r="AB1976" t="s">
        <v>6472</v>
      </c>
      <c r="AC1976" t="s">
        <v>6473</v>
      </c>
      <c r="AE1976" t="s">
        <v>6474</v>
      </c>
      <c r="AF1976" t="s">
        <v>6475</v>
      </c>
      <c r="AH1976" t="s">
        <v>6476</v>
      </c>
      <c r="AI1976" t="s">
        <v>434</v>
      </c>
      <c r="AJ1976" s="8" t="str">
        <f>"17557"</f>
        <v>17557</v>
      </c>
      <c r="AK1976" t="s">
        <v>118</v>
      </c>
      <c r="AM1976" s="10">
        <v>17178476404</v>
      </c>
      <c r="AO1976" t="s">
        <v>6477</v>
      </c>
      <c r="AP1976" t="s">
        <v>121</v>
      </c>
      <c r="AQ1976" t="s">
        <v>6478</v>
      </c>
      <c r="AR1976" t="s">
        <v>119</v>
      </c>
      <c r="AT1976" t="s">
        <v>6479</v>
      </c>
      <c r="AU1976" t="s">
        <v>6480</v>
      </c>
      <c r="AV1976" t="s">
        <v>6481</v>
      </c>
      <c r="AW1976" t="s">
        <v>993</v>
      </c>
      <c r="AX1976" s="8" t="str">
        <f>"53202"</f>
        <v>53202</v>
      </c>
      <c r="AY1976" t="s">
        <v>118</v>
      </c>
      <c r="BA1976" s="10">
        <v>13127155009</v>
      </c>
      <c r="BC1976" t="s">
        <v>6482</v>
      </c>
      <c r="BD1976" t="s">
        <v>6483</v>
      </c>
      <c r="BE1976" t="s">
        <v>117</v>
      </c>
      <c r="BF1976" t="s">
        <v>172</v>
      </c>
      <c r="BG1976" t="s">
        <v>169</v>
      </c>
      <c r="BH1976" s="1">
        <v>45144.833333333336</v>
      </c>
      <c r="BI1976">
        <v>52.5</v>
      </c>
      <c r="BJ1976">
        <v>0</v>
      </c>
      <c r="BK1976">
        <v>10.5</v>
      </c>
      <c r="BL1976">
        <v>10.5</v>
      </c>
      <c r="BM1976">
        <v>10.5</v>
      </c>
      <c r="BN1976">
        <v>10.5</v>
      </c>
      <c r="BO1976">
        <v>10.5</v>
      </c>
      <c r="BP1976">
        <v>0</v>
      </c>
      <c r="BQ1976" t="str">
        <f>"6:00 AM"</f>
        <v>6:00 AM</v>
      </c>
      <c r="BR1976" t="str">
        <f>"4:30 PM"</f>
        <v>4:30 PM</v>
      </c>
      <c r="BS1976" t="s">
        <v>131</v>
      </c>
      <c r="BT1976">
        <v>0</v>
      </c>
      <c r="BU1976">
        <v>12</v>
      </c>
      <c r="BV1976" t="s">
        <v>114</v>
      </c>
      <c r="BX1976" s="2" t="s">
        <v>14607</v>
      </c>
      <c r="BY1976" t="s">
        <v>14608</v>
      </c>
      <c r="CA1976" t="s">
        <v>2948</v>
      </c>
      <c r="CB1976" t="s">
        <v>169</v>
      </c>
      <c r="CC1976" s="8" t="str">
        <f>"56215"</f>
        <v>56215</v>
      </c>
      <c r="CD1976" t="s">
        <v>6486</v>
      </c>
      <c r="CE1976" t="s">
        <v>6487</v>
      </c>
      <c r="CF1976" s="12">
        <v>26.07</v>
      </c>
      <c r="CH1976" s="12">
        <v>39.11</v>
      </c>
      <c r="CJ1976" t="s">
        <v>135</v>
      </c>
      <c r="CL1976" t="s">
        <v>14609</v>
      </c>
      <c r="CO1976" t="s">
        <v>136</v>
      </c>
      <c r="CP1976" t="s">
        <v>114</v>
      </c>
      <c r="CQ1976" t="s">
        <v>114</v>
      </c>
      <c r="CR1976" t="s">
        <v>136</v>
      </c>
      <c r="CS1976" t="s">
        <v>136</v>
      </c>
      <c r="CT1976" t="s">
        <v>136</v>
      </c>
      <c r="CU1976" t="s">
        <v>114</v>
      </c>
      <c r="CV1976" t="s">
        <v>14610</v>
      </c>
      <c r="CW1976" s="10" t="str">
        <f>"+17178476404"</f>
        <v>+17178476404</v>
      </c>
      <c r="CX1976" t="s">
        <v>6477</v>
      </c>
      <c r="CY1976" t="s">
        <v>132</v>
      </c>
      <c r="CZ1976" t="s">
        <v>137</v>
      </c>
      <c r="DA1976" t="s">
        <v>114</v>
      </c>
      <c r="DB1976" t="s">
        <v>114</v>
      </c>
      <c r="DC1976" t="s">
        <v>136</v>
      </c>
      <c r="DD1976" t="s">
        <v>114</v>
      </c>
      <c r="DE1976" t="s">
        <v>6478</v>
      </c>
      <c r="DF1976" t="s">
        <v>119</v>
      </c>
      <c r="DH1976" t="s">
        <v>6483</v>
      </c>
      <c r="DI1976" t="s">
        <v>6482</v>
      </c>
    </row>
    <row r="1977" spans="1:113" ht="15" customHeight="1" x14ac:dyDescent="0.25">
      <c r="A1977" t="s">
        <v>19649</v>
      </c>
      <c r="B1977" t="s">
        <v>113</v>
      </c>
      <c r="C1977" s="1">
        <v>45152.734522800929</v>
      </c>
      <c r="D1977" s="1">
        <v>45222</v>
      </c>
      <c r="E1977" t="s">
        <v>114</v>
      </c>
      <c r="F1977" t="s">
        <v>19650</v>
      </c>
      <c r="G1977" t="str">
        <f>"39-9011.01"</f>
        <v>39-9011.01</v>
      </c>
      <c r="H1977" t="s">
        <v>183</v>
      </c>
      <c r="I1977">
        <v>1</v>
      </c>
      <c r="K1977" s="1">
        <v>45242</v>
      </c>
      <c r="L1977" s="1">
        <v>45546</v>
      </c>
      <c r="O1977" t="s">
        <v>184</v>
      </c>
      <c r="P1977" t="s">
        <v>19651</v>
      </c>
      <c r="R1977" t="s">
        <v>19652</v>
      </c>
      <c r="T1977" t="s">
        <v>19653</v>
      </c>
      <c r="U1977" t="s">
        <v>169</v>
      </c>
      <c r="V1977" s="8" t="str">
        <f>"55129"</f>
        <v>55129</v>
      </c>
      <c r="W1977" t="s">
        <v>118</v>
      </c>
      <c r="Y1977" s="10">
        <v>16513293949</v>
      </c>
      <c r="AA1977">
        <v>814110</v>
      </c>
      <c r="AB1977" t="s">
        <v>19654</v>
      </c>
      <c r="AC1977" t="s">
        <v>19655</v>
      </c>
      <c r="AD1977" t="s">
        <v>19656</v>
      </c>
      <c r="AE1977" t="s">
        <v>19657</v>
      </c>
      <c r="AF1977" t="s">
        <v>19652</v>
      </c>
      <c r="AH1977" t="s">
        <v>19653</v>
      </c>
      <c r="AI1977" t="s">
        <v>169</v>
      </c>
      <c r="AJ1977" s="8" t="str">
        <f>"55129"</f>
        <v>55129</v>
      </c>
      <c r="AK1977" t="s">
        <v>118</v>
      </c>
      <c r="AM1977" s="10">
        <v>16513293949</v>
      </c>
      <c r="AO1977" t="s">
        <v>19658</v>
      </c>
      <c r="AX1977" s="8" t="str">
        <f>""</f>
        <v/>
      </c>
      <c r="BG1977" t="s">
        <v>169</v>
      </c>
      <c r="BH1977" s="1">
        <v>45118.833333333336</v>
      </c>
      <c r="BI1977">
        <v>35</v>
      </c>
      <c r="BJ1977">
        <v>0</v>
      </c>
      <c r="BK1977">
        <v>7</v>
      </c>
      <c r="BL1977">
        <v>7</v>
      </c>
      <c r="BM1977">
        <v>7</v>
      </c>
      <c r="BN1977">
        <v>7</v>
      </c>
      <c r="BO1977">
        <v>7</v>
      </c>
      <c r="BP1977">
        <v>0</v>
      </c>
      <c r="BQ1977" t="str">
        <f>"8:00 AM"</f>
        <v>8:00 AM</v>
      </c>
      <c r="BR1977" t="str">
        <f>"3:00 PM"</f>
        <v>3:00 PM</v>
      </c>
      <c r="BS1977" t="s">
        <v>131</v>
      </c>
      <c r="BT1977">
        <v>0</v>
      </c>
      <c r="BU1977">
        <v>12</v>
      </c>
      <c r="BV1977" t="s">
        <v>114</v>
      </c>
      <c r="BX1977" s="2" t="s">
        <v>19659</v>
      </c>
      <c r="BY1977" t="s">
        <v>19652</v>
      </c>
      <c r="CA1977" t="s">
        <v>19653</v>
      </c>
      <c r="CB1977" t="s">
        <v>169</v>
      </c>
      <c r="CC1977" s="8" t="str">
        <f>"55129"</f>
        <v>55129</v>
      </c>
      <c r="CD1977" t="s">
        <v>806</v>
      </c>
      <c r="CE1977" t="s">
        <v>1910</v>
      </c>
      <c r="CF1977" s="12">
        <v>16</v>
      </c>
      <c r="CG1977" s="12">
        <v>16</v>
      </c>
      <c r="CH1977" s="12">
        <v>24</v>
      </c>
      <c r="CI1977" s="12">
        <v>24</v>
      </c>
      <c r="CJ1977" t="s">
        <v>135</v>
      </c>
      <c r="CL1977" t="s">
        <v>19660</v>
      </c>
      <c r="CO1977" t="s">
        <v>132</v>
      </c>
      <c r="CP1977" t="s">
        <v>114</v>
      </c>
      <c r="CQ1977" t="s">
        <v>114</v>
      </c>
      <c r="CR1977" t="s">
        <v>136</v>
      </c>
      <c r="CS1977" t="s">
        <v>114</v>
      </c>
      <c r="CT1977" t="s">
        <v>136</v>
      </c>
      <c r="CU1977" t="s">
        <v>136</v>
      </c>
      <c r="CV1977" s="2" t="s">
        <v>19661</v>
      </c>
      <c r="CW1977" s="10" t="str">
        <f>"+16513293949"</f>
        <v>+16513293949</v>
      </c>
      <c r="CX1977" t="s">
        <v>19658</v>
      </c>
      <c r="CY1977" t="s">
        <v>132</v>
      </c>
      <c r="CZ1977" t="s">
        <v>137</v>
      </c>
      <c r="DA1977" t="s">
        <v>114</v>
      </c>
      <c r="DB1977" t="s">
        <v>114</v>
      </c>
      <c r="DC1977" t="s">
        <v>136</v>
      </c>
      <c r="DD1977" t="s">
        <v>114</v>
      </c>
    </row>
    <row r="1978" spans="1:113" ht="15" customHeight="1" x14ac:dyDescent="0.25">
      <c r="A1978" t="s">
        <v>8750</v>
      </c>
      <c r="B1978" t="s">
        <v>113</v>
      </c>
      <c r="C1978" s="1">
        <v>45133.409507175929</v>
      </c>
      <c r="D1978" s="1">
        <v>45222</v>
      </c>
      <c r="E1978" t="s">
        <v>114</v>
      </c>
      <c r="F1978" t="s">
        <v>8751</v>
      </c>
      <c r="G1978" t="str">
        <f>"47-2022.00"</f>
        <v>47-2022.00</v>
      </c>
      <c r="H1978" t="s">
        <v>311</v>
      </c>
      <c r="I1978">
        <v>12</v>
      </c>
      <c r="K1978" s="1">
        <v>45219</v>
      </c>
      <c r="L1978" s="1">
        <v>45499</v>
      </c>
      <c r="O1978" t="s">
        <v>3248</v>
      </c>
      <c r="P1978" t="s">
        <v>8752</v>
      </c>
      <c r="R1978" t="s">
        <v>8753</v>
      </c>
      <c r="T1978" t="s">
        <v>1920</v>
      </c>
      <c r="U1978" t="s">
        <v>140</v>
      </c>
      <c r="V1978" s="8" t="str">
        <f>"33801"</f>
        <v>33801</v>
      </c>
      <c r="W1978" t="s">
        <v>118</v>
      </c>
      <c r="Y1978" s="10">
        <v>18638389201</v>
      </c>
      <c r="AA1978">
        <v>238140</v>
      </c>
      <c r="AB1978" t="s">
        <v>8754</v>
      </c>
      <c r="AC1978" t="s">
        <v>8755</v>
      </c>
      <c r="AD1978" t="s">
        <v>8756</v>
      </c>
      <c r="AE1978" t="s">
        <v>1836</v>
      </c>
      <c r="AF1978" t="s">
        <v>8753</v>
      </c>
      <c r="AH1978" t="s">
        <v>1920</v>
      </c>
      <c r="AI1978" t="s">
        <v>140</v>
      </c>
      <c r="AJ1978" s="8" t="str">
        <f>"33801"</f>
        <v>33801</v>
      </c>
      <c r="AK1978" t="s">
        <v>118</v>
      </c>
      <c r="AM1978" s="10">
        <v>18155579451</v>
      </c>
      <c r="AO1978" t="s">
        <v>8757</v>
      </c>
      <c r="AX1978" s="8" t="str">
        <f>""</f>
        <v/>
      </c>
      <c r="BG1978" t="s">
        <v>140</v>
      </c>
      <c r="BH1978" s="1">
        <v>45085.833333333336</v>
      </c>
      <c r="BI1978">
        <v>40</v>
      </c>
      <c r="BJ1978">
        <v>0</v>
      </c>
      <c r="BK1978">
        <v>7</v>
      </c>
      <c r="BL1978">
        <v>7</v>
      </c>
      <c r="BM1978">
        <v>7</v>
      </c>
      <c r="BN1978">
        <v>7</v>
      </c>
      <c r="BO1978">
        <v>7</v>
      </c>
      <c r="BP1978">
        <v>5</v>
      </c>
      <c r="BQ1978" t="str">
        <f>"8:00 AM"</f>
        <v>8:00 AM</v>
      </c>
      <c r="BR1978" t="str">
        <f>"3:30 PM"</f>
        <v>3:30 PM</v>
      </c>
      <c r="BS1978" t="s">
        <v>131</v>
      </c>
      <c r="BT1978">
        <v>1</v>
      </c>
      <c r="BU1978">
        <v>0</v>
      </c>
      <c r="BV1978" t="s">
        <v>114</v>
      </c>
      <c r="BX1978" t="s">
        <v>8758</v>
      </c>
      <c r="BY1978" t="s">
        <v>8759</v>
      </c>
      <c r="CA1978" t="s">
        <v>773</v>
      </c>
      <c r="CB1978" t="s">
        <v>140</v>
      </c>
      <c r="CC1978" s="8" t="str">
        <f>"33614"</f>
        <v>33614</v>
      </c>
      <c r="CD1978" t="s">
        <v>781</v>
      </c>
      <c r="CE1978" t="s">
        <v>467</v>
      </c>
      <c r="CF1978" s="12">
        <v>2.9</v>
      </c>
      <c r="CG1978" s="12">
        <v>3</v>
      </c>
      <c r="CJ1978" t="s">
        <v>305</v>
      </c>
      <c r="CK1978" t="s">
        <v>8760</v>
      </c>
      <c r="CL1978" t="s">
        <v>8761</v>
      </c>
      <c r="CO1978" t="s">
        <v>132</v>
      </c>
      <c r="CP1978" t="s">
        <v>114</v>
      </c>
      <c r="CQ1978" t="s">
        <v>136</v>
      </c>
      <c r="CR1978" t="s">
        <v>114</v>
      </c>
      <c r="CS1978" t="s">
        <v>136</v>
      </c>
      <c r="CT1978" t="s">
        <v>136</v>
      </c>
      <c r="CU1978" t="s">
        <v>136</v>
      </c>
      <c r="CV1978" t="s">
        <v>1789</v>
      </c>
      <c r="CW1978" s="10" t="str">
        <f>"+18638389201"</f>
        <v>+18638389201</v>
      </c>
      <c r="CX1978" t="s">
        <v>8757</v>
      </c>
      <c r="CY1978" t="s">
        <v>132</v>
      </c>
      <c r="CZ1978" t="s">
        <v>137</v>
      </c>
      <c r="DA1978" t="s">
        <v>114</v>
      </c>
      <c r="DB1978" t="s">
        <v>114</v>
      </c>
      <c r="DC1978" t="s">
        <v>136</v>
      </c>
      <c r="DD1978" t="s">
        <v>114</v>
      </c>
      <c r="DE1978" t="s">
        <v>1820</v>
      </c>
      <c r="DF1978" t="s">
        <v>8755</v>
      </c>
      <c r="DG1978" t="s">
        <v>1738</v>
      </c>
      <c r="DH1978" t="s">
        <v>8752</v>
      </c>
      <c r="DI1978" t="s">
        <v>8757</v>
      </c>
    </row>
    <row r="1979" spans="1:113" ht="15" customHeight="1" x14ac:dyDescent="0.25">
      <c r="A1979" t="s">
        <v>18329</v>
      </c>
      <c r="B1979" t="s">
        <v>113</v>
      </c>
      <c r="C1979" s="1">
        <v>45125.655299768521</v>
      </c>
      <c r="D1979" s="1">
        <v>45222</v>
      </c>
      <c r="E1979" t="s">
        <v>114</v>
      </c>
      <c r="F1979" t="s">
        <v>153</v>
      </c>
      <c r="G1979" t="str">
        <f>"35-2015.00"</f>
        <v>35-2015.00</v>
      </c>
      <c r="H1979" t="s">
        <v>2075</v>
      </c>
      <c r="I1979">
        <v>18</v>
      </c>
      <c r="K1979" s="1">
        <v>45200</v>
      </c>
      <c r="L1979" s="1">
        <v>45443</v>
      </c>
      <c r="O1979" t="s">
        <v>238</v>
      </c>
      <c r="P1979" t="s">
        <v>18330</v>
      </c>
      <c r="R1979" t="s">
        <v>18331</v>
      </c>
      <c r="S1979" t="s">
        <v>5311</v>
      </c>
      <c r="T1979" t="s">
        <v>1658</v>
      </c>
      <c r="U1979" t="s">
        <v>558</v>
      </c>
      <c r="V1979" s="8" t="str">
        <f>"85258"</f>
        <v>85258</v>
      </c>
      <c r="W1979" t="s">
        <v>118</v>
      </c>
      <c r="Y1979" s="10">
        <v>16029804904</v>
      </c>
      <c r="AA1979">
        <v>722511</v>
      </c>
      <c r="AB1979" t="s">
        <v>18332</v>
      </c>
      <c r="AC1979" t="s">
        <v>18333</v>
      </c>
      <c r="AE1979" t="s">
        <v>18334</v>
      </c>
      <c r="AF1979" t="s">
        <v>18335</v>
      </c>
      <c r="AG1979" t="s">
        <v>5311</v>
      </c>
      <c r="AH1979" t="s">
        <v>1658</v>
      </c>
      <c r="AI1979" t="s">
        <v>558</v>
      </c>
      <c r="AJ1979" s="8" t="str">
        <f>"85258"</f>
        <v>85258</v>
      </c>
      <c r="AK1979" t="s">
        <v>118</v>
      </c>
      <c r="AM1979" s="10">
        <v>16029804904</v>
      </c>
      <c r="AO1979" t="s">
        <v>18336</v>
      </c>
      <c r="AP1979" t="s">
        <v>121</v>
      </c>
      <c r="AQ1979" t="s">
        <v>18337</v>
      </c>
      <c r="AR1979" t="s">
        <v>18338</v>
      </c>
      <c r="AS1979" t="s">
        <v>18339</v>
      </c>
      <c r="AT1979" t="s">
        <v>18340</v>
      </c>
      <c r="AU1979" t="s">
        <v>18341</v>
      </c>
      <c r="AV1979" t="s">
        <v>2960</v>
      </c>
      <c r="AW1979" t="s">
        <v>558</v>
      </c>
      <c r="AX1979" s="8" t="str">
        <f>"85383"</f>
        <v>85383</v>
      </c>
      <c r="AY1979" t="s">
        <v>118</v>
      </c>
      <c r="BA1979" s="10">
        <v>13109232830</v>
      </c>
      <c r="BC1979" t="s">
        <v>18342</v>
      </c>
      <c r="BD1979" t="s">
        <v>18343</v>
      </c>
      <c r="BE1979" t="s">
        <v>402</v>
      </c>
      <c r="BF1979" t="s">
        <v>4644</v>
      </c>
      <c r="BG1979" t="s">
        <v>558</v>
      </c>
      <c r="BH1979" s="1">
        <v>45119.833333333336</v>
      </c>
      <c r="BI1979">
        <v>40</v>
      </c>
      <c r="BJ1979">
        <v>8</v>
      </c>
      <c r="BK1979">
        <v>0</v>
      </c>
      <c r="BL1979">
        <v>8</v>
      </c>
      <c r="BM1979">
        <v>0</v>
      </c>
      <c r="BN1979">
        <v>8</v>
      </c>
      <c r="BO1979">
        <v>8</v>
      </c>
      <c r="BP1979">
        <v>8</v>
      </c>
      <c r="BQ1979" t="str">
        <f>"7:00 AM"</f>
        <v>7:00 AM</v>
      </c>
      <c r="BR1979" t="str">
        <f>"3:00 PM"</f>
        <v>3:00 PM</v>
      </c>
      <c r="BS1979" t="s">
        <v>147</v>
      </c>
      <c r="BT1979">
        <v>0</v>
      </c>
      <c r="BU1979">
        <v>12</v>
      </c>
      <c r="BV1979" t="s">
        <v>114</v>
      </c>
      <c r="BX1979" t="s">
        <v>132</v>
      </c>
      <c r="BY1979" t="s">
        <v>18331</v>
      </c>
      <c r="BZ1979" t="s">
        <v>5311</v>
      </c>
      <c r="CA1979" t="s">
        <v>1658</v>
      </c>
      <c r="CB1979" t="s">
        <v>558</v>
      </c>
      <c r="CC1979" s="8" t="str">
        <f>"85258"</f>
        <v>85258</v>
      </c>
      <c r="CD1979" t="s">
        <v>1391</v>
      </c>
      <c r="CE1979" t="s">
        <v>565</v>
      </c>
      <c r="CF1979" s="12">
        <v>17</v>
      </c>
      <c r="CG1979" s="12">
        <v>20</v>
      </c>
      <c r="CH1979" s="12">
        <v>25.5</v>
      </c>
      <c r="CI1979" s="12">
        <v>30</v>
      </c>
      <c r="CJ1979" t="s">
        <v>135</v>
      </c>
      <c r="CK1979" t="s">
        <v>18344</v>
      </c>
      <c r="CL1979" t="s">
        <v>18345</v>
      </c>
      <c r="CO1979" t="s">
        <v>132</v>
      </c>
      <c r="CP1979" t="s">
        <v>136</v>
      </c>
      <c r="CQ1979" t="s">
        <v>114</v>
      </c>
      <c r="CR1979" t="s">
        <v>136</v>
      </c>
      <c r="CS1979" t="s">
        <v>136</v>
      </c>
      <c r="CT1979" t="s">
        <v>136</v>
      </c>
      <c r="CU1979" t="s">
        <v>114</v>
      </c>
      <c r="CV1979" t="s">
        <v>18346</v>
      </c>
      <c r="CW1979" s="10" t="str">
        <f>"+16025601600"</f>
        <v>+16025601600</v>
      </c>
      <c r="CX1979" t="s">
        <v>18347</v>
      </c>
      <c r="CY1979" t="s">
        <v>18348</v>
      </c>
      <c r="CZ1979" t="s">
        <v>137</v>
      </c>
      <c r="DA1979" t="s">
        <v>114</v>
      </c>
      <c r="DB1979" t="s">
        <v>114</v>
      </c>
      <c r="DC1979" t="s">
        <v>136</v>
      </c>
      <c r="DD1979" t="s">
        <v>114</v>
      </c>
      <c r="DE1979" t="s">
        <v>18337</v>
      </c>
      <c r="DF1979" t="s">
        <v>18338</v>
      </c>
      <c r="DH1979" t="s">
        <v>18343</v>
      </c>
      <c r="DI1979" t="s">
        <v>18342</v>
      </c>
    </row>
    <row r="1980" spans="1:113" ht="15" customHeight="1" x14ac:dyDescent="0.25">
      <c r="A1980" t="s">
        <v>7108</v>
      </c>
      <c r="B1980" t="s">
        <v>113</v>
      </c>
      <c r="C1980" s="1">
        <v>45124.654334143517</v>
      </c>
      <c r="D1980" s="1">
        <v>45222</v>
      </c>
      <c r="E1980" t="s">
        <v>114</v>
      </c>
      <c r="F1980" t="s">
        <v>7109</v>
      </c>
      <c r="G1980" t="str">
        <f>"49-2021.00"</f>
        <v>49-2021.00</v>
      </c>
      <c r="H1980" t="s">
        <v>7110</v>
      </c>
      <c r="I1980">
        <v>4</v>
      </c>
      <c r="K1980" s="1">
        <v>45200</v>
      </c>
      <c r="L1980" s="1">
        <v>45473</v>
      </c>
      <c r="O1980" t="s">
        <v>3248</v>
      </c>
      <c r="P1980" t="s">
        <v>7111</v>
      </c>
      <c r="R1980" t="s">
        <v>7112</v>
      </c>
      <c r="T1980" t="s">
        <v>7113</v>
      </c>
      <c r="U1980" t="s">
        <v>2262</v>
      </c>
      <c r="V1980" s="8" t="str">
        <f>"06786"</f>
        <v>06786</v>
      </c>
      <c r="W1980" t="s">
        <v>118</v>
      </c>
      <c r="Y1980" s="10">
        <v>12038938808</v>
      </c>
      <c r="AA1980">
        <v>237130</v>
      </c>
      <c r="AB1980" t="s">
        <v>7114</v>
      </c>
      <c r="AC1980" t="s">
        <v>2350</v>
      </c>
      <c r="AE1980" t="s">
        <v>5288</v>
      </c>
      <c r="AF1980" t="s">
        <v>7112</v>
      </c>
      <c r="AH1980" t="s">
        <v>7113</v>
      </c>
      <c r="AI1980" t="s">
        <v>2262</v>
      </c>
      <c r="AJ1980" s="8" t="str">
        <f>"06786"</f>
        <v>06786</v>
      </c>
      <c r="AK1980" t="s">
        <v>118</v>
      </c>
      <c r="AM1980" s="10">
        <v>12038938808</v>
      </c>
      <c r="AO1980" t="s">
        <v>7115</v>
      </c>
      <c r="AP1980" t="s">
        <v>121</v>
      </c>
      <c r="AQ1980" t="s">
        <v>7116</v>
      </c>
      <c r="AR1980" t="s">
        <v>7117</v>
      </c>
      <c r="AT1980" t="s">
        <v>7118</v>
      </c>
      <c r="AU1980" t="s">
        <v>7119</v>
      </c>
      <c r="AV1980" t="s">
        <v>1497</v>
      </c>
      <c r="AW1980" t="s">
        <v>358</v>
      </c>
      <c r="AX1980" s="8" t="str">
        <f>"10010"</f>
        <v>10010</v>
      </c>
      <c r="AY1980" t="s">
        <v>118</v>
      </c>
      <c r="BA1980" s="10">
        <v>12124733703</v>
      </c>
      <c r="BC1980" t="s">
        <v>7120</v>
      </c>
      <c r="BD1980" t="s">
        <v>7121</v>
      </c>
      <c r="BE1980" t="s">
        <v>358</v>
      </c>
      <c r="BF1980" t="s">
        <v>2118</v>
      </c>
      <c r="BG1980" t="s">
        <v>2262</v>
      </c>
      <c r="BH1980" s="1">
        <v>45123.833333333336</v>
      </c>
      <c r="BI1980">
        <v>35</v>
      </c>
      <c r="BJ1980">
        <v>0</v>
      </c>
      <c r="BK1980">
        <v>7</v>
      </c>
      <c r="BL1980">
        <v>7</v>
      </c>
      <c r="BM1980">
        <v>7</v>
      </c>
      <c r="BN1980">
        <v>7</v>
      </c>
      <c r="BO1980">
        <v>7</v>
      </c>
      <c r="BP1980">
        <v>0</v>
      </c>
      <c r="BQ1980" t="str">
        <f>"8:00 AM"</f>
        <v>8:00 AM</v>
      </c>
      <c r="BR1980" t="str">
        <f>"5:00 PM"</f>
        <v>5:00 PM</v>
      </c>
      <c r="BS1980" t="s">
        <v>1506</v>
      </c>
      <c r="BT1980">
        <v>0</v>
      </c>
      <c r="BU1980">
        <v>0</v>
      </c>
      <c r="BV1980" t="s">
        <v>114</v>
      </c>
      <c r="BX1980" t="s">
        <v>131</v>
      </c>
      <c r="BY1980" t="s">
        <v>7112</v>
      </c>
      <c r="CA1980" t="s">
        <v>7113</v>
      </c>
      <c r="CB1980" t="s">
        <v>2262</v>
      </c>
      <c r="CC1980" s="8" t="str">
        <f>"06786"</f>
        <v>06786</v>
      </c>
      <c r="CD1980" t="s">
        <v>7122</v>
      </c>
      <c r="CE1980" t="s">
        <v>7123</v>
      </c>
      <c r="CF1980" s="12">
        <v>38</v>
      </c>
      <c r="CH1980" s="12">
        <v>57</v>
      </c>
      <c r="CJ1980" t="s">
        <v>135</v>
      </c>
      <c r="CL1980" t="s">
        <v>7124</v>
      </c>
      <c r="CO1980" t="s">
        <v>132</v>
      </c>
      <c r="CP1980" t="s">
        <v>136</v>
      </c>
      <c r="CQ1980" t="s">
        <v>136</v>
      </c>
      <c r="CR1980" t="s">
        <v>136</v>
      </c>
      <c r="CS1980" t="s">
        <v>136</v>
      </c>
      <c r="CT1980" t="s">
        <v>136</v>
      </c>
      <c r="CU1980" t="s">
        <v>114</v>
      </c>
      <c r="CV1980" t="s">
        <v>131</v>
      </c>
      <c r="CW1980" s="10" t="str">
        <f>"+12038938808"</f>
        <v>+12038938808</v>
      </c>
      <c r="CX1980" t="s">
        <v>7115</v>
      </c>
      <c r="CY1980" t="s">
        <v>132</v>
      </c>
      <c r="CZ1980" t="s">
        <v>137</v>
      </c>
      <c r="DA1980" t="s">
        <v>114</v>
      </c>
      <c r="DB1980" t="s">
        <v>114</v>
      </c>
      <c r="DC1980" t="s">
        <v>136</v>
      </c>
      <c r="DD1980" t="s">
        <v>114</v>
      </c>
    </row>
    <row r="1981" spans="1:113" ht="15" customHeight="1" x14ac:dyDescent="0.25">
      <c r="A1981" t="s">
        <v>4326</v>
      </c>
      <c r="B1981" t="s">
        <v>113</v>
      </c>
      <c r="C1981" s="1">
        <v>45120.015126736114</v>
      </c>
      <c r="D1981" s="1">
        <v>45222</v>
      </c>
      <c r="E1981" t="s">
        <v>114</v>
      </c>
      <c r="F1981" t="s">
        <v>4327</v>
      </c>
      <c r="G1981" t="str">
        <f>"45-2092.00"</f>
        <v>45-2092.00</v>
      </c>
      <c r="H1981" t="s">
        <v>2007</v>
      </c>
      <c r="I1981">
        <v>29</v>
      </c>
      <c r="K1981" s="1">
        <v>45200</v>
      </c>
      <c r="L1981" s="1">
        <v>45427</v>
      </c>
      <c r="O1981" t="s">
        <v>238</v>
      </c>
      <c r="P1981" t="s">
        <v>4328</v>
      </c>
      <c r="R1981" t="s">
        <v>4329</v>
      </c>
      <c r="T1981" t="s">
        <v>4330</v>
      </c>
      <c r="U1981" t="s">
        <v>1154</v>
      </c>
      <c r="V1981" s="8" t="str">
        <f>"38834"</f>
        <v>38834</v>
      </c>
      <c r="W1981" t="s">
        <v>118</v>
      </c>
      <c r="Y1981" s="10">
        <v>16626434216</v>
      </c>
      <c r="AA1981">
        <v>11321</v>
      </c>
      <c r="AB1981" t="s">
        <v>4331</v>
      </c>
      <c r="AC1981" t="s">
        <v>4332</v>
      </c>
      <c r="AD1981" t="s">
        <v>132</v>
      </c>
      <c r="AE1981" t="s">
        <v>1836</v>
      </c>
      <c r="AF1981" t="s">
        <v>4333</v>
      </c>
      <c r="AH1981" t="s">
        <v>4330</v>
      </c>
      <c r="AI1981" t="s">
        <v>1154</v>
      </c>
      <c r="AJ1981" s="8" t="str">
        <f>"38834"</f>
        <v>38834</v>
      </c>
      <c r="AK1981" t="s">
        <v>118</v>
      </c>
      <c r="AM1981" s="10">
        <v>16626434216</v>
      </c>
      <c r="AO1981" t="s">
        <v>4334</v>
      </c>
      <c r="AP1981" t="s">
        <v>248</v>
      </c>
      <c r="AQ1981" t="s">
        <v>4335</v>
      </c>
      <c r="AR1981" t="s">
        <v>4336</v>
      </c>
      <c r="AS1981" t="s">
        <v>1798</v>
      </c>
      <c r="AT1981" t="s">
        <v>3080</v>
      </c>
      <c r="AU1981" t="s">
        <v>3081</v>
      </c>
      <c r="AV1981" t="s">
        <v>3082</v>
      </c>
      <c r="AW1981" t="s">
        <v>854</v>
      </c>
      <c r="AX1981" s="8" t="str">
        <f>"83814"</f>
        <v>83814</v>
      </c>
      <c r="AY1981" t="s">
        <v>118</v>
      </c>
      <c r="BA1981" s="10">
        <v>12087772654</v>
      </c>
      <c r="BC1981" t="s">
        <v>2154</v>
      </c>
      <c r="BD1981" t="s">
        <v>856</v>
      </c>
      <c r="BG1981" t="s">
        <v>1825</v>
      </c>
      <c r="BH1981" s="1">
        <v>45118.833333333336</v>
      </c>
      <c r="BI1981">
        <v>35</v>
      </c>
      <c r="BJ1981">
        <v>0</v>
      </c>
      <c r="BK1981">
        <v>7</v>
      </c>
      <c r="BL1981">
        <v>7</v>
      </c>
      <c r="BM1981">
        <v>7</v>
      </c>
      <c r="BN1981">
        <v>7</v>
      </c>
      <c r="BO1981">
        <v>7</v>
      </c>
      <c r="BP1981">
        <v>0</v>
      </c>
      <c r="BQ1981" t="str">
        <f>"8:00 AM"</f>
        <v>8:00 AM</v>
      </c>
      <c r="BR1981" t="str">
        <f>"4:00 PM"</f>
        <v>4:00 PM</v>
      </c>
      <c r="BS1981" t="s">
        <v>131</v>
      </c>
      <c r="BT1981">
        <v>0</v>
      </c>
      <c r="BU1981">
        <v>0</v>
      </c>
      <c r="BV1981" t="s">
        <v>114</v>
      </c>
      <c r="BX1981" t="s">
        <v>4337</v>
      </c>
      <c r="BY1981" t="s">
        <v>4338</v>
      </c>
      <c r="CA1981" t="s">
        <v>4339</v>
      </c>
      <c r="CB1981" t="s">
        <v>1825</v>
      </c>
      <c r="CC1981" s="8" t="str">
        <f>"71722"</f>
        <v>71722</v>
      </c>
      <c r="CD1981" t="s">
        <v>4340</v>
      </c>
      <c r="CE1981" t="s">
        <v>3741</v>
      </c>
      <c r="CF1981" s="12">
        <v>12.75</v>
      </c>
      <c r="CH1981" s="12">
        <v>19.13</v>
      </c>
      <c r="CJ1981" t="s">
        <v>135</v>
      </c>
      <c r="CK1981" t="s">
        <v>4341</v>
      </c>
      <c r="CL1981" t="s">
        <v>4342</v>
      </c>
      <c r="CO1981" t="s">
        <v>132</v>
      </c>
      <c r="CP1981" t="s">
        <v>114</v>
      </c>
      <c r="CQ1981" t="s">
        <v>114</v>
      </c>
      <c r="CR1981" t="s">
        <v>136</v>
      </c>
      <c r="CS1981" t="s">
        <v>136</v>
      </c>
      <c r="CT1981" t="s">
        <v>136</v>
      </c>
      <c r="CU1981" t="s">
        <v>114</v>
      </c>
      <c r="CV1981" t="s">
        <v>1040</v>
      </c>
      <c r="CW1981" s="10" t="str">
        <f>"+16626434216"</f>
        <v>+16626434216</v>
      </c>
      <c r="CX1981" t="s">
        <v>4343</v>
      </c>
      <c r="CY1981" t="s">
        <v>132</v>
      </c>
      <c r="CZ1981" t="s">
        <v>137</v>
      </c>
      <c r="DA1981" t="s">
        <v>114</v>
      </c>
      <c r="DB1981" t="s">
        <v>136</v>
      </c>
      <c r="DC1981" t="s">
        <v>136</v>
      </c>
      <c r="DD1981" t="s">
        <v>114</v>
      </c>
    </row>
    <row r="1982" spans="1:113" ht="15" customHeight="1" x14ac:dyDescent="0.25">
      <c r="A1982" t="s">
        <v>813</v>
      </c>
      <c r="B1982" t="s">
        <v>113</v>
      </c>
      <c r="C1982" s="1">
        <v>45117.57538923611</v>
      </c>
      <c r="D1982" s="1">
        <v>45222</v>
      </c>
      <c r="E1982" t="s">
        <v>136</v>
      </c>
      <c r="F1982" t="s">
        <v>814</v>
      </c>
      <c r="G1982" t="str">
        <f>"51-4121.00"</f>
        <v>51-4121.00</v>
      </c>
      <c r="H1982" t="s">
        <v>815</v>
      </c>
      <c r="I1982">
        <v>30</v>
      </c>
      <c r="K1982" s="1">
        <v>45200</v>
      </c>
      <c r="L1982" s="1">
        <v>45565</v>
      </c>
      <c r="O1982" t="s">
        <v>184</v>
      </c>
      <c r="P1982" t="s">
        <v>816</v>
      </c>
      <c r="R1982" t="s">
        <v>817</v>
      </c>
      <c r="T1982" t="s">
        <v>818</v>
      </c>
      <c r="U1982" t="s">
        <v>819</v>
      </c>
      <c r="V1982" s="8" t="str">
        <f>"46514"</f>
        <v>46514</v>
      </c>
      <c r="W1982" t="s">
        <v>118</v>
      </c>
      <c r="Y1982" s="10">
        <v>15743127094</v>
      </c>
      <c r="AA1982">
        <v>3363</v>
      </c>
      <c r="AB1982" t="s">
        <v>820</v>
      </c>
      <c r="AC1982" t="s">
        <v>821</v>
      </c>
      <c r="AE1982" t="s">
        <v>822</v>
      </c>
      <c r="AF1982" t="s">
        <v>817</v>
      </c>
      <c r="AH1982" t="s">
        <v>818</v>
      </c>
      <c r="AI1982" t="s">
        <v>819</v>
      </c>
      <c r="AJ1982" s="8" t="str">
        <f>"46514"</f>
        <v>46514</v>
      </c>
      <c r="AK1982" t="s">
        <v>118</v>
      </c>
      <c r="AM1982" s="10">
        <v>15743127433</v>
      </c>
      <c r="AO1982" t="s">
        <v>823</v>
      </c>
      <c r="AP1982" t="s">
        <v>121</v>
      </c>
      <c r="AQ1982" t="s">
        <v>824</v>
      </c>
      <c r="AR1982" t="s">
        <v>825</v>
      </c>
      <c r="AS1982" t="s">
        <v>826</v>
      </c>
      <c r="AT1982" t="s">
        <v>827</v>
      </c>
      <c r="AU1982" t="s">
        <v>828</v>
      </c>
      <c r="AV1982" t="s">
        <v>187</v>
      </c>
      <c r="AW1982" t="s">
        <v>188</v>
      </c>
      <c r="AX1982" s="8" t="str">
        <f>"80202"</f>
        <v>80202</v>
      </c>
      <c r="AY1982" t="s">
        <v>118</v>
      </c>
      <c r="BA1982" s="10">
        <v>13036073637</v>
      </c>
      <c r="BC1982" t="s">
        <v>829</v>
      </c>
      <c r="BD1982" t="s">
        <v>830</v>
      </c>
      <c r="BE1982" t="s">
        <v>188</v>
      </c>
      <c r="BF1982" t="s">
        <v>831</v>
      </c>
      <c r="BG1982" t="s">
        <v>819</v>
      </c>
      <c r="BH1982" s="1">
        <v>45109.833333333336</v>
      </c>
      <c r="BI1982">
        <v>35</v>
      </c>
      <c r="BJ1982">
        <v>0</v>
      </c>
      <c r="BK1982">
        <v>7</v>
      </c>
      <c r="BL1982">
        <v>7</v>
      </c>
      <c r="BM1982">
        <v>7</v>
      </c>
      <c r="BN1982">
        <v>7</v>
      </c>
      <c r="BO1982">
        <v>7</v>
      </c>
      <c r="BP1982">
        <v>0</v>
      </c>
      <c r="BQ1982" t="str">
        <f>"6:00 AM"</f>
        <v>6:00 AM</v>
      </c>
      <c r="BR1982" t="str">
        <f>"3:30 PM"</f>
        <v>3:30 PM</v>
      </c>
      <c r="BS1982" t="s">
        <v>131</v>
      </c>
      <c r="BT1982">
        <v>0</v>
      </c>
      <c r="BU1982">
        <v>0</v>
      </c>
      <c r="BV1982" t="s">
        <v>114</v>
      </c>
      <c r="BX1982" s="2" t="s">
        <v>832</v>
      </c>
      <c r="BY1982" t="s">
        <v>833</v>
      </c>
      <c r="CA1982" t="s">
        <v>834</v>
      </c>
      <c r="CB1982" t="s">
        <v>819</v>
      </c>
      <c r="CC1982" s="8" t="str">
        <f>"46526"</f>
        <v>46526</v>
      </c>
      <c r="CD1982" t="s">
        <v>835</v>
      </c>
      <c r="CE1982" t="s">
        <v>836</v>
      </c>
      <c r="CF1982" s="12">
        <v>21.83</v>
      </c>
      <c r="CG1982" s="12">
        <v>21.83</v>
      </c>
      <c r="CH1982" s="12">
        <v>32.75</v>
      </c>
      <c r="CI1982" s="12">
        <v>32.75</v>
      </c>
      <c r="CJ1982" t="s">
        <v>135</v>
      </c>
      <c r="CK1982" t="s">
        <v>131</v>
      </c>
      <c r="CL1982" t="s">
        <v>837</v>
      </c>
      <c r="CO1982" t="s">
        <v>132</v>
      </c>
      <c r="CP1982" t="s">
        <v>136</v>
      </c>
      <c r="CQ1982" t="s">
        <v>114</v>
      </c>
      <c r="CR1982" t="s">
        <v>136</v>
      </c>
      <c r="CS1982" t="s">
        <v>136</v>
      </c>
      <c r="CT1982" t="s">
        <v>136</v>
      </c>
      <c r="CU1982" t="s">
        <v>114</v>
      </c>
      <c r="CV1982" t="s">
        <v>131</v>
      </c>
      <c r="CW1982" s="10" t="str">
        <f>"+15743127391"</f>
        <v>+15743127391</v>
      </c>
      <c r="CX1982" t="s">
        <v>838</v>
      </c>
      <c r="CY1982" t="s">
        <v>839</v>
      </c>
      <c r="CZ1982" t="s">
        <v>137</v>
      </c>
      <c r="DA1982" t="s">
        <v>114</v>
      </c>
      <c r="DB1982" t="s">
        <v>114</v>
      </c>
      <c r="DC1982" t="s">
        <v>136</v>
      </c>
      <c r="DD1982" t="s">
        <v>114</v>
      </c>
    </row>
    <row r="1983" spans="1:113" ht="15" customHeight="1" x14ac:dyDescent="0.25">
      <c r="A1983" t="s">
        <v>4542</v>
      </c>
      <c r="B1983" t="s">
        <v>113</v>
      </c>
      <c r="C1983" s="1">
        <v>45117.564174421299</v>
      </c>
      <c r="D1983" s="1">
        <v>45222</v>
      </c>
      <c r="E1983" t="s">
        <v>136</v>
      </c>
      <c r="F1983" t="s">
        <v>4543</v>
      </c>
      <c r="G1983" t="str">
        <f>"51-2092.00"</f>
        <v>51-2092.00</v>
      </c>
      <c r="H1983" t="s">
        <v>4544</v>
      </c>
      <c r="I1983">
        <v>7</v>
      </c>
      <c r="K1983" s="1">
        <v>45200</v>
      </c>
      <c r="L1983" s="1">
        <v>45565</v>
      </c>
      <c r="O1983" t="s">
        <v>184</v>
      </c>
      <c r="P1983" t="s">
        <v>816</v>
      </c>
      <c r="R1983" t="s">
        <v>817</v>
      </c>
      <c r="T1983" t="s">
        <v>818</v>
      </c>
      <c r="U1983" t="s">
        <v>819</v>
      </c>
      <c r="V1983" s="8" t="str">
        <f>"46514"</f>
        <v>46514</v>
      </c>
      <c r="W1983" t="s">
        <v>118</v>
      </c>
      <c r="Y1983" s="10">
        <v>15743127094</v>
      </c>
      <c r="AA1983">
        <v>3363</v>
      </c>
      <c r="AB1983" t="s">
        <v>820</v>
      </c>
      <c r="AC1983" t="s">
        <v>821</v>
      </c>
      <c r="AE1983" t="s">
        <v>822</v>
      </c>
      <c r="AF1983" t="s">
        <v>817</v>
      </c>
      <c r="AH1983" t="s">
        <v>818</v>
      </c>
      <c r="AI1983" t="s">
        <v>819</v>
      </c>
      <c r="AJ1983" s="8" t="str">
        <f>"46514"</f>
        <v>46514</v>
      </c>
      <c r="AK1983" t="s">
        <v>118</v>
      </c>
      <c r="AM1983" s="10">
        <v>15743127433</v>
      </c>
      <c r="AO1983" t="s">
        <v>823</v>
      </c>
      <c r="AP1983" t="s">
        <v>121</v>
      </c>
      <c r="AQ1983" t="s">
        <v>824</v>
      </c>
      <c r="AR1983" t="s">
        <v>825</v>
      </c>
      <c r="AS1983" t="s">
        <v>826</v>
      </c>
      <c r="AT1983" t="s">
        <v>827</v>
      </c>
      <c r="AU1983" t="s">
        <v>828</v>
      </c>
      <c r="AV1983" t="s">
        <v>187</v>
      </c>
      <c r="AW1983" t="s">
        <v>188</v>
      </c>
      <c r="AX1983" s="8" t="str">
        <f>"80202"</f>
        <v>80202</v>
      </c>
      <c r="AY1983" t="s">
        <v>118</v>
      </c>
      <c r="BA1983" s="10">
        <v>13036073637</v>
      </c>
      <c r="BC1983" t="s">
        <v>829</v>
      </c>
      <c r="BD1983" t="s">
        <v>830</v>
      </c>
      <c r="BE1983" t="s">
        <v>188</v>
      </c>
      <c r="BF1983" t="s">
        <v>831</v>
      </c>
      <c r="BG1983" t="s">
        <v>402</v>
      </c>
      <c r="BH1983" s="1">
        <v>45109.833333333336</v>
      </c>
      <c r="BI1983">
        <v>35</v>
      </c>
      <c r="BJ1983">
        <v>0</v>
      </c>
      <c r="BK1983">
        <v>7</v>
      </c>
      <c r="BL1983">
        <v>7</v>
      </c>
      <c r="BM1983">
        <v>7</v>
      </c>
      <c r="BN1983">
        <v>7</v>
      </c>
      <c r="BO1983">
        <v>7</v>
      </c>
      <c r="BP1983">
        <v>0</v>
      </c>
      <c r="BQ1983" t="str">
        <f>"6:00 AM"</f>
        <v>6:00 AM</v>
      </c>
      <c r="BR1983" t="str">
        <f>"3:30 PM"</f>
        <v>3:30 PM</v>
      </c>
      <c r="BS1983" t="s">
        <v>131</v>
      </c>
      <c r="BT1983">
        <v>0</v>
      </c>
      <c r="BU1983">
        <v>0</v>
      </c>
      <c r="BV1983" t="s">
        <v>114</v>
      </c>
      <c r="BX1983" s="2" t="s">
        <v>4545</v>
      </c>
      <c r="BY1983" t="s">
        <v>4546</v>
      </c>
      <c r="CA1983" t="s">
        <v>4547</v>
      </c>
      <c r="CB1983" t="s">
        <v>402</v>
      </c>
      <c r="CC1983" s="8" t="str">
        <f>"92376"</f>
        <v>92376</v>
      </c>
      <c r="CD1983" t="s">
        <v>4483</v>
      </c>
      <c r="CE1983" t="s">
        <v>4484</v>
      </c>
      <c r="CF1983" s="12">
        <v>17.14</v>
      </c>
      <c r="CG1983" s="12">
        <v>17.14</v>
      </c>
      <c r="CH1983" s="12">
        <v>25.71</v>
      </c>
      <c r="CI1983" s="12">
        <v>25.71</v>
      </c>
      <c r="CJ1983" t="s">
        <v>135</v>
      </c>
      <c r="CK1983" t="s">
        <v>131</v>
      </c>
      <c r="CL1983" t="s">
        <v>4548</v>
      </c>
      <c r="CO1983" t="s">
        <v>132</v>
      </c>
      <c r="CP1983" t="s">
        <v>114</v>
      </c>
      <c r="CQ1983" t="s">
        <v>114</v>
      </c>
      <c r="CR1983" t="s">
        <v>136</v>
      </c>
      <c r="CS1983" t="s">
        <v>136</v>
      </c>
      <c r="CT1983" t="s">
        <v>136</v>
      </c>
      <c r="CU1983" t="s">
        <v>114</v>
      </c>
      <c r="CV1983" t="s">
        <v>131</v>
      </c>
      <c r="CW1983" s="10" t="str">
        <f>"+15743127391"</f>
        <v>+15743127391</v>
      </c>
      <c r="CX1983" t="s">
        <v>838</v>
      </c>
      <c r="CY1983" t="s">
        <v>839</v>
      </c>
      <c r="CZ1983" t="s">
        <v>137</v>
      </c>
      <c r="DA1983" t="s">
        <v>114</v>
      </c>
      <c r="DB1983" t="s">
        <v>114</v>
      </c>
      <c r="DC1983" t="s">
        <v>136</v>
      </c>
      <c r="DD1983" t="s">
        <v>114</v>
      </c>
    </row>
    <row r="1984" spans="1:113" ht="15" customHeight="1" x14ac:dyDescent="0.25">
      <c r="A1984" t="s">
        <v>1443</v>
      </c>
      <c r="B1984" t="s">
        <v>113</v>
      </c>
      <c r="C1984" s="1">
        <v>45117.544228240738</v>
      </c>
      <c r="D1984" s="1">
        <v>45222</v>
      </c>
      <c r="E1984" t="s">
        <v>136</v>
      </c>
      <c r="F1984" t="s">
        <v>1444</v>
      </c>
      <c r="G1984" t="str">
        <f>"51-6031.00"</f>
        <v>51-6031.00</v>
      </c>
      <c r="H1984" t="s">
        <v>1445</v>
      </c>
      <c r="I1984">
        <v>15</v>
      </c>
      <c r="K1984" s="1">
        <v>45200</v>
      </c>
      <c r="L1984" s="1">
        <v>45565</v>
      </c>
      <c r="O1984" t="s">
        <v>184</v>
      </c>
      <c r="P1984" t="s">
        <v>816</v>
      </c>
      <c r="R1984" t="s">
        <v>817</v>
      </c>
      <c r="T1984" t="s">
        <v>818</v>
      </c>
      <c r="U1984" t="s">
        <v>819</v>
      </c>
      <c r="V1984" s="8" t="str">
        <f>"46514"</f>
        <v>46514</v>
      </c>
      <c r="W1984" t="s">
        <v>118</v>
      </c>
      <c r="Y1984" s="10">
        <v>15743127094</v>
      </c>
      <c r="AA1984">
        <v>3363</v>
      </c>
      <c r="AB1984" t="s">
        <v>820</v>
      </c>
      <c r="AC1984" t="s">
        <v>821</v>
      </c>
      <c r="AE1984" t="s">
        <v>822</v>
      </c>
      <c r="AF1984" t="s">
        <v>817</v>
      </c>
      <c r="AH1984" t="s">
        <v>818</v>
      </c>
      <c r="AI1984" t="s">
        <v>819</v>
      </c>
      <c r="AJ1984" s="8" t="str">
        <f>"46514"</f>
        <v>46514</v>
      </c>
      <c r="AK1984" t="s">
        <v>118</v>
      </c>
      <c r="AM1984" s="10">
        <v>15743127433</v>
      </c>
      <c r="AO1984" t="s">
        <v>823</v>
      </c>
      <c r="AP1984" t="s">
        <v>121</v>
      </c>
      <c r="AQ1984" t="s">
        <v>824</v>
      </c>
      <c r="AR1984" t="s">
        <v>825</v>
      </c>
      <c r="AS1984" t="s">
        <v>826</v>
      </c>
      <c r="AT1984" t="s">
        <v>827</v>
      </c>
      <c r="AU1984" t="s">
        <v>828</v>
      </c>
      <c r="AV1984" t="s">
        <v>187</v>
      </c>
      <c r="AW1984" t="s">
        <v>188</v>
      </c>
      <c r="AX1984" s="8" t="str">
        <f>"80202"</f>
        <v>80202</v>
      </c>
      <c r="AY1984" t="s">
        <v>118</v>
      </c>
      <c r="BA1984" s="10">
        <v>13036073637</v>
      </c>
      <c r="BC1984" t="s">
        <v>829</v>
      </c>
      <c r="BD1984" t="s">
        <v>830</v>
      </c>
      <c r="BE1984" t="s">
        <v>188</v>
      </c>
      <c r="BF1984" t="s">
        <v>831</v>
      </c>
      <c r="BG1984" t="s">
        <v>854</v>
      </c>
      <c r="BH1984" s="1">
        <v>45109.833333333336</v>
      </c>
      <c r="BI1984">
        <v>35</v>
      </c>
      <c r="BJ1984">
        <v>0</v>
      </c>
      <c r="BK1984">
        <v>7</v>
      </c>
      <c r="BL1984">
        <v>7</v>
      </c>
      <c r="BM1984">
        <v>7</v>
      </c>
      <c r="BN1984">
        <v>7</v>
      </c>
      <c r="BO1984">
        <v>7</v>
      </c>
      <c r="BP1984">
        <v>0</v>
      </c>
      <c r="BQ1984" t="str">
        <f>"5:00 AM"</f>
        <v>5:00 AM</v>
      </c>
      <c r="BR1984" t="str">
        <f>"3:00 PM"</f>
        <v>3:00 PM</v>
      </c>
      <c r="BS1984" t="s">
        <v>131</v>
      </c>
      <c r="BT1984">
        <v>0</v>
      </c>
      <c r="BU1984">
        <v>0</v>
      </c>
      <c r="BV1984" t="s">
        <v>114</v>
      </c>
      <c r="BX1984" s="2" t="s">
        <v>1446</v>
      </c>
      <c r="BY1984" t="s">
        <v>1447</v>
      </c>
      <c r="CA1984" t="s">
        <v>1448</v>
      </c>
      <c r="CB1984" t="s">
        <v>854</v>
      </c>
      <c r="CC1984" s="8" t="str">
        <f>"83687"</f>
        <v>83687</v>
      </c>
      <c r="CD1984" t="s">
        <v>1449</v>
      </c>
      <c r="CE1984" t="s">
        <v>1450</v>
      </c>
      <c r="CF1984" s="12">
        <v>13.53</v>
      </c>
      <c r="CG1984" s="12">
        <v>13.53</v>
      </c>
      <c r="CH1984" s="12">
        <v>20.3</v>
      </c>
      <c r="CI1984" s="12">
        <v>20.3</v>
      </c>
      <c r="CJ1984" t="s">
        <v>135</v>
      </c>
      <c r="CK1984" t="s">
        <v>131</v>
      </c>
      <c r="CL1984" t="s">
        <v>1451</v>
      </c>
      <c r="CO1984" t="s">
        <v>132</v>
      </c>
      <c r="CP1984" t="s">
        <v>114</v>
      </c>
      <c r="CQ1984" t="s">
        <v>114</v>
      </c>
      <c r="CR1984" t="s">
        <v>136</v>
      </c>
      <c r="CS1984" t="s">
        <v>136</v>
      </c>
      <c r="CT1984" t="s">
        <v>136</v>
      </c>
      <c r="CU1984" t="s">
        <v>114</v>
      </c>
      <c r="CV1984" t="s">
        <v>131</v>
      </c>
      <c r="CW1984" s="10" t="str">
        <f>"+15743127391"</f>
        <v>+15743127391</v>
      </c>
      <c r="CX1984" t="s">
        <v>838</v>
      </c>
      <c r="CY1984" t="s">
        <v>839</v>
      </c>
      <c r="CZ1984" t="s">
        <v>137</v>
      </c>
      <c r="DA1984" t="s">
        <v>114</v>
      </c>
      <c r="DB1984" t="s">
        <v>114</v>
      </c>
      <c r="DC1984" t="s">
        <v>136</v>
      </c>
      <c r="DD1984" t="s">
        <v>114</v>
      </c>
    </row>
    <row r="1985" spans="1:113" ht="15" customHeight="1" x14ac:dyDescent="0.25">
      <c r="A1985" t="s">
        <v>3916</v>
      </c>
      <c r="B1985" t="s">
        <v>113</v>
      </c>
      <c r="C1985" s="1">
        <v>45168.614215856483</v>
      </c>
      <c r="D1985" s="1">
        <v>45219</v>
      </c>
      <c r="E1985" t="s">
        <v>114</v>
      </c>
      <c r="F1985" t="s">
        <v>293</v>
      </c>
      <c r="G1985" t="str">
        <f>"37-2012.00"</f>
        <v>37-2012.00</v>
      </c>
      <c r="H1985" t="s">
        <v>205</v>
      </c>
      <c r="I1985">
        <v>1</v>
      </c>
      <c r="K1985" s="1">
        <v>45243</v>
      </c>
      <c r="L1985" s="1">
        <v>45334</v>
      </c>
      <c r="O1985" t="s">
        <v>238</v>
      </c>
      <c r="P1985" t="s">
        <v>3917</v>
      </c>
      <c r="Q1985" t="s">
        <v>3918</v>
      </c>
      <c r="R1985" t="s">
        <v>3919</v>
      </c>
      <c r="T1985" t="s">
        <v>3170</v>
      </c>
      <c r="U1985" t="s">
        <v>2194</v>
      </c>
      <c r="V1985" s="8" t="str">
        <f>"03251"</f>
        <v>03251</v>
      </c>
      <c r="W1985" t="s">
        <v>118</v>
      </c>
      <c r="Y1985" s="10">
        <v>16037459900</v>
      </c>
      <c r="AA1985">
        <v>721110</v>
      </c>
      <c r="AB1985" t="s">
        <v>3920</v>
      </c>
      <c r="AC1985" t="s">
        <v>3921</v>
      </c>
      <c r="AD1985" t="s">
        <v>1772</v>
      </c>
      <c r="AE1985" t="s">
        <v>3922</v>
      </c>
      <c r="AF1985" t="s">
        <v>3919</v>
      </c>
      <c r="AH1985" t="s">
        <v>3170</v>
      </c>
      <c r="AI1985" t="s">
        <v>2194</v>
      </c>
      <c r="AJ1985" s="8" t="str">
        <f>"03251"</f>
        <v>03251</v>
      </c>
      <c r="AK1985" t="s">
        <v>118</v>
      </c>
      <c r="AM1985" s="10">
        <v>15089571880</v>
      </c>
      <c r="AO1985" t="s">
        <v>3923</v>
      </c>
      <c r="AX1985" s="8" t="str">
        <f>""</f>
        <v/>
      </c>
      <c r="BG1985" t="s">
        <v>2194</v>
      </c>
      <c r="BH1985" s="1">
        <v>45167.833333333336</v>
      </c>
      <c r="BI1985">
        <v>38.5</v>
      </c>
      <c r="BJ1985">
        <v>8</v>
      </c>
      <c r="BK1985">
        <v>0</v>
      </c>
      <c r="BL1985">
        <v>7.5</v>
      </c>
      <c r="BM1985">
        <v>7.5</v>
      </c>
      <c r="BN1985">
        <v>0</v>
      </c>
      <c r="BO1985">
        <v>7.5</v>
      </c>
      <c r="BP1985">
        <v>8</v>
      </c>
      <c r="BQ1985" t="str">
        <f>"8:00 AM"</f>
        <v>8:00 AM</v>
      </c>
      <c r="BR1985" t="str">
        <f>"4:30 PM"</f>
        <v>4:30 PM</v>
      </c>
      <c r="BS1985" t="s">
        <v>131</v>
      </c>
      <c r="BT1985">
        <v>0</v>
      </c>
      <c r="BU1985">
        <v>0</v>
      </c>
      <c r="BV1985" t="s">
        <v>114</v>
      </c>
      <c r="BX1985" t="s">
        <v>796</v>
      </c>
      <c r="BY1985" t="s">
        <v>3919</v>
      </c>
      <c r="CA1985" t="s">
        <v>3170</v>
      </c>
      <c r="CB1985" t="s">
        <v>2194</v>
      </c>
      <c r="CC1985" s="8" t="str">
        <f>"03251"</f>
        <v>03251</v>
      </c>
      <c r="CD1985" t="s">
        <v>3924</v>
      </c>
      <c r="CE1985" t="s">
        <v>2365</v>
      </c>
      <c r="CF1985" s="12">
        <v>14.58</v>
      </c>
      <c r="CJ1985" t="s">
        <v>135</v>
      </c>
      <c r="CL1985" t="s">
        <v>3925</v>
      </c>
      <c r="CO1985" t="s">
        <v>132</v>
      </c>
      <c r="CP1985" t="s">
        <v>114</v>
      </c>
      <c r="CQ1985" t="s">
        <v>114</v>
      </c>
      <c r="CR1985" t="s">
        <v>114</v>
      </c>
      <c r="CS1985" t="s">
        <v>136</v>
      </c>
      <c r="CT1985" t="s">
        <v>136</v>
      </c>
      <c r="CU1985" t="s">
        <v>136</v>
      </c>
      <c r="CV1985" t="s">
        <v>3926</v>
      </c>
      <c r="CW1985" s="10" t="str">
        <f>"N/A"</f>
        <v>N/A</v>
      </c>
      <c r="CX1985" t="s">
        <v>3923</v>
      </c>
      <c r="CY1985" t="s">
        <v>3927</v>
      </c>
      <c r="CZ1985" t="s">
        <v>137</v>
      </c>
      <c r="DA1985" t="s">
        <v>114</v>
      </c>
      <c r="DB1985" t="s">
        <v>114</v>
      </c>
      <c r="DC1985" t="s">
        <v>136</v>
      </c>
      <c r="DD1985" t="s">
        <v>114</v>
      </c>
    </row>
    <row r="1986" spans="1:113" ht="15" customHeight="1" x14ac:dyDescent="0.25">
      <c r="A1986" t="s">
        <v>19120</v>
      </c>
      <c r="B1986" t="s">
        <v>113</v>
      </c>
      <c r="C1986" s="1">
        <v>45168.603306249999</v>
      </c>
      <c r="D1986" s="1">
        <v>45219</v>
      </c>
      <c r="E1986" t="s">
        <v>114</v>
      </c>
      <c r="F1986" t="s">
        <v>4971</v>
      </c>
      <c r="G1986" t="str">
        <f>"43-4081.00"</f>
        <v>43-4081.00</v>
      </c>
      <c r="H1986" t="s">
        <v>952</v>
      </c>
      <c r="I1986">
        <v>1</v>
      </c>
      <c r="K1986" s="1">
        <v>45243</v>
      </c>
      <c r="L1986" s="1">
        <v>45334</v>
      </c>
      <c r="O1986" t="s">
        <v>238</v>
      </c>
      <c r="P1986" t="s">
        <v>3917</v>
      </c>
      <c r="Q1986" t="s">
        <v>19121</v>
      </c>
      <c r="R1986" t="s">
        <v>3919</v>
      </c>
      <c r="T1986" t="s">
        <v>3170</v>
      </c>
      <c r="U1986" t="s">
        <v>2194</v>
      </c>
      <c r="V1986" s="8" t="str">
        <f>"03251"</f>
        <v>03251</v>
      </c>
      <c r="W1986" t="s">
        <v>118</v>
      </c>
      <c r="Y1986" s="10">
        <v>16037459900</v>
      </c>
      <c r="AA1986">
        <v>721110</v>
      </c>
      <c r="AB1986" t="s">
        <v>3920</v>
      </c>
      <c r="AC1986" t="s">
        <v>3921</v>
      </c>
      <c r="AD1986" t="s">
        <v>1772</v>
      </c>
      <c r="AE1986" t="s">
        <v>3922</v>
      </c>
      <c r="AF1986" t="s">
        <v>3919</v>
      </c>
      <c r="AH1986" t="s">
        <v>3170</v>
      </c>
      <c r="AI1986" t="s">
        <v>2194</v>
      </c>
      <c r="AJ1986" s="8" t="str">
        <f>"03251"</f>
        <v>03251</v>
      </c>
      <c r="AK1986" t="s">
        <v>118</v>
      </c>
      <c r="AM1986" s="10">
        <v>15089571880</v>
      </c>
      <c r="AO1986" t="s">
        <v>3923</v>
      </c>
      <c r="AX1986" s="8" t="str">
        <f>""</f>
        <v/>
      </c>
      <c r="BG1986" t="s">
        <v>2194</v>
      </c>
      <c r="BH1986" s="1">
        <v>45167.833333333336</v>
      </c>
      <c r="BI1986">
        <v>35</v>
      </c>
      <c r="BJ1986">
        <v>7</v>
      </c>
      <c r="BK1986">
        <v>0</v>
      </c>
      <c r="BL1986">
        <v>7</v>
      </c>
      <c r="BM1986">
        <v>0</v>
      </c>
      <c r="BN1986">
        <v>7</v>
      </c>
      <c r="BO1986">
        <v>7</v>
      </c>
      <c r="BP1986">
        <v>7</v>
      </c>
      <c r="BQ1986" t="str">
        <f>"7:00 AM"</f>
        <v>7:00 AM</v>
      </c>
      <c r="BR1986" t="str">
        <f>"2:30 PM"</f>
        <v>2:30 PM</v>
      </c>
      <c r="BS1986" t="s">
        <v>131</v>
      </c>
      <c r="BT1986">
        <v>0</v>
      </c>
      <c r="BU1986">
        <v>0</v>
      </c>
      <c r="BV1986" t="s">
        <v>114</v>
      </c>
      <c r="BX1986" t="s">
        <v>132</v>
      </c>
      <c r="BY1986" t="s">
        <v>3919</v>
      </c>
      <c r="CA1986" t="s">
        <v>3170</v>
      </c>
      <c r="CB1986" t="s">
        <v>2194</v>
      </c>
      <c r="CC1986" s="8" t="str">
        <f>"03251"</f>
        <v>03251</v>
      </c>
      <c r="CD1986" t="s">
        <v>3924</v>
      </c>
      <c r="CE1986" t="s">
        <v>2365</v>
      </c>
      <c r="CF1986" s="12">
        <v>14.76</v>
      </c>
      <c r="CJ1986" t="s">
        <v>135</v>
      </c>
      <c r="CL1986" t="s">
        <v>19122</v>
      </c>
      <c r="CO1986" t="s">
        <v>132</v>
      </c>
      <c r="CP1986" t="s">
        <v>114</v>
      </c>
      <c r="CQ1986" t="s">
        <v>114</v>
      </c>
      <c r="CR1986" t="s">
        <v>114</v>
      </c>
      <c r="CS1986" t="s">
        <v>136</v>
      </c>
      <c r="CT1986" t="s">
        <v>136</v>
      </c>
      <c r="CU1986" t="s">
        <v>136</v>
      </c>
      <c r="CV1986" t="s">
        <v>19123</v>
      </c>
      <c r="CW1986" s="10" t="str">
        <f>"N/A"</f>
        <v>N/A</v>
      </c>
      <c r="CX1986" t="s">
        <v>3923</v>
      </c>
      <c r="CY1986" t="s">
        <v>3927</v>
      </c>
      <c r="CZ1986" t="s">
        <v>137</v>
      </c>
      <c r="DA1986" t="s">
        <v>114</v>
      </c>
      <c r="DB1986" t="s">
        <v>114</v>
      </c>
      <c r="DC1986" t="s">
        <v>136</v>
      </c>
      <c r="DD1986" t="s">
        <v>114</v>
      </c>
    </row>
    <row r="1987" spans="1:113" ht="15" customHeight="1" x14ac:dyDescent="0.25">
      <c r="A1987" t="s">
        <v>21399</v>
      </c>
      <c r="B1987" t="s">
        <v>113</v>
      </c>
      <c r="C1987" s="1">
        <v>45149.743076851853</v>
      </c>
      <c r="D1987" s="1">
        <v>45219</v>
      </c>
      <c r="E1987" t="s">
        <v>114</v>
      </c>
      <c r="F1987" t="s">
        <v>21400</v>
      </c>
      <c r="G1987" t="str">
        <f>"37-2011.00"</f>
        <v>37-2011.00</v>
      </c>
      <c r="H1987" t="s">
        <v>1089</v>
      </c>
      <c r="I1987">
        <v>10</v>
      </c>
      <c r="K1987" s="1">
        <v>45236</v>
      </c>
      <c r="L1987" s="1">
        <v>45473</v>
      </c>
      <c r="O1987" t="s">
        <v>238</v>
      </c>
      <c r="P1987" t="s">
        <v>19095</v>
      </c>
      <c r="R1987" t="s">
        <v>19096</v>
      </c>
      <c r="T1987" t="s">
        <v>8687</v>
      </c>
      <c r="U1987" t="s">
        <v>358</v>
      </c>
      <c r="V1987" s="8" t="str">
        <f>"12887"</f>
        <v>12887</v>
      </c>
      <c r="W1987" t="s">
        <v>118</v>
      </c>
      <c r="Y1987" s="10">
        <v>15184991895</v>
      </c>
      <c r="AA1987">
        <v>424470</v>
      </c>
      <c r="AB1987" t="s">
        <v>19097</v>
      </c>
      <c r="AC1987" t="s">
        <v>2865</v>
      </c>
      <c r="AD1987" t="s">
        <v>5940</v>
      </c>
      <c r="AE1987" t="s">
        <v>561</v>
      </c>
      <c r="AF1987" t="s">
        <v>19096</v>
      </c>
      <c r="AH1987" t="s">
        <v>8687</v>
      </c>
      <c r="AI1987" t="s">
        <v>358</v>
      </c>
      <c r="AJ1987" s="8" t="str">
        <f>"12887"</f>
        <v>12887</v>
      </c>
      <c r="AK1987" t="s">
        <v>118</v>
      </c>
      <c r="AM1987" s="10">
        <v>15184991895</v>
      </c>
      <c r="AO1987" t="s">
        <v>19098</v>
      </c>
      <c r="AP1987" t="s">
        <v>248</v>
      </c>
      <c r="AQ1987" t="s">
        <v>8689</v>
      </c>
      <c r="AR1987" t="s">
        <v>8690</v>
      </c>
      <c r="AS1987" t="s">
        <v>2291</v>
      </c>
      <c r="AT1987" t="s">
        <v>8691</v>
      </c>
      <c r="AV1987" t="s">
        <v>8687</v>
      </c>
      <c r="AW1987" t="s">
        <v>358</v>
      </c>
      <c r="AX1987" s="8" t="str">
        <f>"12887"</f>
        <v>12887</v>
      </c>
      <c r="AY1987" t="s">
        <v>118</v>
      </c>
      <c r="BA1987" s="10">
        <v>15183619567</v>
      </c>
      <c r="BC1987" t="s">
        <v>8692</v>
      </c>
      <c r="BD1987" t="s">
        <v>8693</v>
      </c>
      <c r="BG1987" t="s">
        <v>358</v>
      </c>
      <c r="BH1987" s="1">
        <v>45148.833333333336</v>
      </c>
      <c r="BI1987">
        <v>40</v>
      </c>
      <c r="BJ1987">
        <v>0</v>
      </c>
      <c r="BK1987">
        <v>8</v>
      </c>
      <c r="BL1987">
        <v>8</v>
      </c>
      <c r="BM1987">
        <v>8</v>
      </c>
      <c r="BN1987">
        <v>8</v>
      </c>
      <c r="BO1987">
        <v>8</v>
      </c>
      <c r="BP1987">
        <v>0</v>
      </c>
      <c r="BQ1987" t="str">
        <f>"7:30 AM"</f>
        <v>7:30 AM</v>
      </c>
      <c r="BR1987" t="str">
        <f>"4:00 PM"</f>
        <v>4:00 PM</v>
      </c>
      <c r="BS1987" t="s">
        <v>131</v>
      </c>
      <c r="BT1987">
        <v>0</v>
      </c>
      <c r="BU1987">
        <v>0</v>
      </c>
      <c r="BV1987" t="s">
        <v>114</v>
      </c>
      <c r="BX1987" t="s">
        <v>21401</v>
      </c>
      <c r="BY1987" t="s">
        <v>19096</v>
      </c>
      <c r="CA1987" t="s">
        <v>8687</v>
      </c>
      <c r="CB1987" t="s">
        <v>358</v>
      </c>
      <c r="CC1987" s="8" t="str">
        <f>"12887"</f>
        <v>12887</v>
      </c>
      <c r="CD1987" t="s">
        <v>806</v>
      </c>
      <c r="CE1987" t="s">
        <v>3626</v>
      </c>
      <c r="CF1987" s="12">
        <v>17.72</v>
      </c>
      <c r="CG1987" s="12">
        <v>17.72</v>
      </c>
      <c r="CH1987" s="12">
        <v>26.58</v>
      </c>
      <c r="CI1987" s="12">
        <v>26.58</v>
      </c>
      <c r="CJ1987" t="s">
        <v>135</v>
      </c>
      <c r="CL1987" t="s">
        <v>21402</v>
      </c>
      <c r="CO1987" t="s">
        <v>132</v>
      </c>
      <c r="CP1987" t="s">
        <v>136</v>
      </c>
      <c r="CQ1987" t="s">
        <v>136</v>
      </c>
      <c r="CR1987" t="s">
        <v>136</v>
      </c>
      <c r="CS1987" t="s">
        <v>114</v>
      </c>
      <c r="CT1987" t="s">
        <v>136</v>
      </c>
      <c r="CU1987" t="s">
        <v>114</v>
      </c>
      <c r="CV1987" t="s">
        <v>19099</v>
      </c>
      <c r="CW1987" s="10" t="str">
        <f>"+15184991895"</f>
        <v>+15184991895</v>
      </c>
      <c r="CX1987" t="s">
        <v>19098</v>
      </c>
      <c r="CY1987" t="s">
        <v>132</v>
      </c>
      <c r="CZ1987" t="s">
        <v>137</v>
      </c>
      <c r="DA1987" t="s">
        <v>114</v>
      </c>
      <c r="DB1987" t="s">
        <v>136</v>
      </c>
      <c r="DC1987" t="s">
        <v>136</v>
      </c>
      <c r="DD1987" t="s">
        <v>114</v>
      </c>
    </row>
    <row r="1988" spans="1:113" ht="15" customHeight="1" x14ac:dyDescent="0.25">
      <c r="A1988" t="s">
        <v>10604</v>
      </c>
      <c r="B1988" t="s">
        <v>113</v>
      </c>
      <c r="C1988" s="1">
        <v>45128.600158564812</v>
      </c>
      <c r="D1988" s="1">
        <v>45219</v>
      </c>
      <c r="E1988" t="s">
        <v>114</v>
      </c>
      <c r="F1988" t="s">
        <v>293</v>
      </c>
      <c r="G1988" t="str">
        <f>"37-2012.00"</f>
        <v>37-2012.00</v>
      </c>
      <c r="H1988" t="s">
        <v>205</v>
      </c>
      <c r="I1988">
        <v>2</v>
      </c>
      <c r="K1988" s="1">
        <v>45218</v>
      </c>
      <c r="L1988" s="1">
        <v>45473</v>
      </c>
      <c r="O1988" t="s">
        <v>238</v>
      </c>
      <c r="P1988" t="s">
        <v>10605</v>
      </c>
      <c r="R1988" t="s">
        <v>10606</v>
      </c>
      <c r="T1988" t="s">
        <v>10607</v>
      </c>
      <c r="U1988" t="s">
        <v>117</v>
      </c>
      <c r="V1988" s="8" t="str">
        <f>"62062"</f>
        <v>62062</v>
      </c>
      <c r="W1988" t="s">
        <v>118</v>
      </c>
      <c r="Y1988" s="10">
        <v>16184015413</v>
      </c>
      <c r="AA1988">
        <v>561720</v>
      </c>
      <c r="AB1988" t="s">
        <v>3079</v>
      </c>
      <c r="AC1988" t="s">
        <v>10608</v>
      </c>
      <c r="AE1988" t="s">
        <v>561</v>
      </c>
      <c r="AF1988" t="s">
        <v>10606</v>
      </c>
      <c r="AH1988" t="s">
        <v>10607</v>
      </c>
      <c r="AI1988" t="s">
        <v>117</v>
      </c>
      <c r="AJ1988" s="8" t="str">
        <f>"62062"</f>
        <v>62062</v>
      </c>
      <c r="AK1988" t="s">
        <v>118</v>
      </c>
      <c r="AM1988" s="10">
        <v>16184015413</v>
      </c>
      <c r="AO1988" t="s">
        <v>10609</v>
      </c>
      <c r="AP1988" t="s">
        <v>121</v>
      </c>
      <c r="AQ1988" t="s">
        <v>3935</v>
      </c>
      <c r="AR1988" t="s">
        <v>3936</v>
      </c>
      <c r="AS1988" t="s">
        <v>3937</v>
      </c>
      <c r="AT1988" t="s">
        <v>3938</v>
      </c>
      <c r="AU1988" t="s">
        <v>3939</v>
      </c>
      <c r="AV1988" t="s">
        <v>3940</v>
      </c>
      <c r="AW1988" t="s">
        <v>2262</v>
      </c>
      <c r="AX1988" s="8" t="str">
        <f>"06510"</f>
        <v>06510</v>
      </c>
      <c r="AY1988" t="s">
        <v>118</v>
      </c>
      <c r="BA1988" s="10">
        <v>19198270660</v>
      </c>
      <c r="BC1988" t="s">
        <v>3941</v>
      </c>
      <c r="BD1988" t="s">
        <v>3942</v>
      </c>
      <c r="BE1988" t="s">
        <v>375</v>
      </c>
      <c r="BF1988" t="s">
        <v>3943</v>
      </c>
      <c r="BG1988" t="s">
        <v>117</v>
      </c>
      <c r="BH1988" s="1">
        <v>45127.833333333336</v>
      </c>
      <c r="BI1988">
        <v>40</v>
      </c>
      <c r="BJ1988">
        <v>0</v>
      </c>
      <c r="BK1988">
        <v>8</v>
      </c>
      <c r="BL1988">
        <v>8</v>
      </c>
      <c r="BM1988">
        <v>8</v>
      </c>
      <c r="BN1988">
        <v>8</v>
      </c>
      <c r="BO1988">
        <v>8</v>
      </c>
      <c r="BP1988">
        <v>4</v>
      </c>
      <c r="BQ1988" t="str">
        <f>"9:00 AM"</f>
        <v>9:00 AM</v>
      </c>
      <c r="BR1988" t="str">
        <f>"5:00 PM"</f>
        <v>5:00 PM</v>
      </c>
      <c r="BS1988" t="s">
        <v>131</v>
      </c>
      <c r="BT1988">
        <v>0</v>
      </c>
      <c r="BU1988">
        <v>0</v>
      </c>
      <c r="BV1988" t="s">
        <v>114</v>
      </c>
      <c r="BX1988" t="s">
        <v>131</v>
      </c>
      <c r="BY1988" t="s">
        <v>10610</v>
      </c>
      <c r="CA1988" t="s">
        <v>10607</v>
      </c>
      <c r="CB1988" t="s">
        <v>117</v>
      </c>
      <c r="CC1988" s="8" t="str">
        <f>"62062"</f>
        <v>62062</v>
      </c>
      <c r="CD1988" t="s">
        <v>908</v>
      </c>
      <c r="CE1988" t="s">
        <v>1856</v>
      </c>
      <c r="CF1988" s="12">
        <v>13.61</v>
      </c>
      <c r="CG1988" s="12">
        <v>13.61</v>
      </c>
      <c r="CH1988" s="12">
        <v>24.92</v>
      </c>
      <c r="CI1988" s="12">
        <v>24.92</v>
      </c>
      <c r="CJ1988" t="s">
        <v>135</v>
      </c>
      <c r="CL1988" t="s">
        <v>10611</v>
      </c>
      <c r="CO1988" t="s">
        <v>132</v>
      </c>
      <c r="CP1988" t="s">
        <v>114</v>
      </c>
      <c r="CQ1988" t="s">
        <v>114</v>
      </c>
      <c r="CR1988" t="s">
        <v>136</v>
      </c>
      <c r="CS1988" t="s">
        <v>136</v>
      </c>
      <c r="CT1988" t="s">
        <v>136</v>
      </c>
      <c r="CU1988" t="s">
        <v>136</v>
      </c>
      <c r="CV1988" t="s">
        <v>10612</v>
      </c>
      <c r="CW1988" s="10" t="str">
        <f>"+16184015413"</f>
        <v>+16184015413</v>
      </c>
      <c r="CX1988" t="s">
        <v>10609</v>
      </c>
      <c r="CY1988" t="s">
        <v>132</v>
      </c>
      <c r="CZ1988" t="s">
        <v>137</v>
      </c>
      <c r="DA1988" t="s">
        <v>114</v>
      </c>
      <c r="DB1988" t="s">
        <v>114</v>
      </c>
      <c r="DC1988" t="s">
        <v>136</v>
      </c>
      <c r="DD1988" t="s">
        <v>114</v>
      </c>
    </row>
    <row r="1989" spans="1:113" ht="15" customHeight="1" x14ac:dyDescent="0.25">
      <c r="A1989" t="s">
        <v>18413</v>
      </c>
      <c r="B1989" t="s">
        <v>113</v>
      </c>
      <c r="C1989" s="1">
        <v>45126.374873263892</v>
      </c>
      <c r="D1989" s="1">
        <v>45219</v>
      </c>
      <c r="E1989" t="s">
        <v>114</v>
      </c>
      <c r="F1989" t="s">
        <v>4709</v>
      </c>
      <c r="G1989" t="str">
        <f>"37-3011.00"</f>
        <v>37-3011.00</v>
      </c>
      <c r="H1989" t="s">
        <v>429</v>
      </c>
      <c r="I1989">
        <v>10</v>
      </c>
      <c r="K1989" s="1">
        <v>45216</v>
      </c>
      <c r="L1989" s="1">
        <v>45381</v>
      </c>
      <c r="O1989" t="s">
        <v>238</v>
      </c>
      <c r="P1989" t="s">
        <v>18414</v>
      </c>
      <c r="R1989" t="s">
        <v>18415</v>
      </c>
      <c r="T1989" t="s">
        <v>7569</v>
      </c>
      <c r="U1989" t="s">
        <v>211</v>
      </c>
      <c r="V1989" s="8" t="str">
        <f>"84065"</f>
        <v>84065</v>
      </c>
      <c r="W1989" t="s">
        <v>118</v>
      </c>
      <c r="Y1989" s="10">
        <v>18016716257</v>
      </c>
      <c r="AA1989">
        <v>56173</v>
      </c>
      <c r="AB1989" t="s">
        <v>18416</v>
      </c>
      <c r="AC1989" t="s">
        <v>2604</v>
      </c>
      <c r="AE1989" t="s">
        <v>561</v>
      </c>
      <c r="AF1989" t="s">
        <v>18417</v>
      </c>
      <c r="AH1989" t="s">
        <v>7569</v>
      </c>
      <c r="AI1989" t="s">
        <v>211</v>
      </c>
      <c r="AJ1989" s="8" t="str">
        <f>"84065"</f>
        <v>84065</v>
      </c>
      <c r="AK1989" t="s">
        <v>118</v>
      </c>
      <c r="AM1989" s="10">
        <v>18016716257</v>
      </c>
      <c r="AO1989" t="s">
        <v>18418</v>
      </c>
      <c r="AP1989" t="s">
        <v>121</v>
      </c>
      <c r="AQ1989" t="s">
        <v>1172</v>
      </c>
      <c r="AR1989" t="s">
        <v>1173</v>
      </c>
      <c r="AS1989" t="s">
        <v>708</v>
      </c>
      <c r="AT1989" t="s">
        <v>4295</v>
      </c>
      <c r="AV1989" t="s">
        <v>603</v>
      </c>
      <c r="AW1989" t="s">
        <v>127</v>
      </c>
      <c r="AX1989" s="8" t="str">
        <f>"78705"</f>
        <v>78705</v>
      </c>
      <c r="AY1989" t="s">
        <v>118</v>
      </c>
      <c r="BA1989" s="10">
        <v>15123470007</v>
      </c>
      <c r="BC1989" t="s">
        <v>18419</v>
      </c>
      <c r="BD1989" t="s">
        <v>18420</v>
      </c>
      <c r="BE1989" t="s">
        <v>127</v>
      </c>
      <c r="BF1989" t="s">
        <v>4298</v>
      </c>
      <c r="BG1989" t="s">
        <v>211</v>
      </c>
      <c r="BH1989" s="1">
        <v>45124.833333333336</v>
      </c>
      <c r="BI1989">
        <v>40</v>
      </c>
      <c r="BJ1989">
        <v>0</v>
      </c>
      <c r="BK1989">
        <v>8</v>
      </c>
      <c r="BL1989">
        <v>8</v>
      </c>
      <c r="BM1989">
        <v>8</v>
      </c>
      <c r="BN1989">
        <v>8</v>
      </c>
      <c r="BO1989">
        <v>8</v>
      </c>
      <c r="BP1989">
        <v>0</v>
      </c>
      <c r="BQ1989" t="str">
        <f>"8:00 AM"</f>
        <v>8:00 AM</v>
      </c>
      <c r="BR1989" t="str">
        <f>"5:00 PM"</f>
        <v>5:00 PM</v>
      </c>
      <c r="BS1989" t="s">
        <v>131</v>
      </c>
      <c r="BT1989">
        <v>0</v>
      </c>
      <c r="BU1989">
        <v>0</v>
      </c>
      <c r="BV1989" t="s">
        <v>114</v>
      </c>
      <c r="BX1989" t="s">
        <v>4299</v>
      </c>
      <c r="BY1989" t="s">
        <v>18421</v>
      </c>
      <c r="CA1989" t="s">
        <v>7569</v>
      </c>
      <c r="CB1989" t="s">
        <v>211</v>
      </c>
      <c r="CC1989" s="8" t="str">
        <f>"84065"</f>
        <v>84065</v>
      </c>
      <c r="CD1989" t="s">
        <v>1567</v>
      </c>
      <c r="CE1989" t="s">
        <v>1568</v>
      </c>
      <c r="CF1989" s="12">
        <v>17.21</v>
      </c>
      <c r="CH1989" s="12">
        <v>25.82</v>
      </c>
      <c r="CJ1989" t="s">
        <v>135</v>
      </c>
      <c r="CL1989" t="s">
        <v>18422</v>
      </c>
      <c r="CO1989" t="s">
        <v>132</v>
      </c>
      <c r="CP1989" t="s">
        <v>136</v>
      </c>
      <c r="CQ1989" t="s">
        <v>136</v>
      </c>
      <c r="CR1989" t="s">
        <v>136</v>
      </c>
      <c r="CS1989" t="s">
        <v>136</v>
      </c>
      <c r="CT1989" t="s">
        <v>136</v>
      </c>
      <c r="CU1989" t="s">
        <v>136</v>
      </c>
      <c r="CV1989" s="2" t="s">
        <v>18423</v>
      </c>
      <c r="CW1989" s="10" t="str">
        <f>"+18016716257"</f>
        <v>+18016716257</v>
      </c>
      <c r="CX1989" t="s">
        <v>18424</v>
      </c>
      <c r="CY1989" t="s">
        <v>132</v>
      </c>
      <c r="CZ1989" t="s">
        <v>137</v>
      </c>
      <c r="DA1989" t="s">
        <v>114</v>
      </c>
      <c r="DB1989" t="s">
        <v>114</v>
      </c>
      <c r="DC1989" t="s">
        <v>136</v>
      </c>
      <c r="DD1989" t="s">
        <v>114</v>
      </c>
    </row>
    <row r="1990" spans="1:113" ht="15" customHeight="1" x14ac:dyDescent="0.25">
      <c r="A1990" t="s">
        <v>10482</v>
      </c>
      <c r="B1990" t="s">
        <v>113</v>
      </c>
      <c r="C1990" s="1">
        <v>45121.469301157405</v>
      </c>
      <c r="D1990" s="1">
        <v>45219</v>
      </c>
      <c r="E1990" t="s">
        <v>114</v>
      </c>
      <c r="F1990" t="s">
        <v>10483</v>
      </c>
      <c r="G1990" t="str">
        <f>"27-1013.00"</f>
        <v>27-1013.00</v>
      </c>
      <c r="H1990" t="s">
        <v>10484</v>
      </c>
      <c r="I1990">
        <v>1</v>
      </c>
      <c r="K1990" s="1">
        <v>45199</v>
      </c>
      <c r="L1990" s="1">
        <v>45473</v>
      </c>
      <c r="O1990" t="s">
        <v>184</v>
      </c>
      <c r="P1990" t="s">
        <v>10485</v>
      </c>
      <c r="R1990" t="s">
        <v>10486</v>
      </c>
      <c r="T1990" t="s">
        <v>10487</v>
      </c>
      <c r="U1990" t="s">
        <v>386</v>
      </c>
      <c r="V1990" s="8" t="str">
        <f>"38116"</f>
        <v>38116</v>
      </c>
      <c r="W1990" t="s">
        <v>118</v>
      </c>
      <c r="Y1990" s="10">
        <v>19016547470</v>
      </c>
      <c r="AA1990">
        <v>813110</v>
      </c>
      <c r="AB1990" t="s">
        <v>10488</v>
      </c>
      <c r="AC1990" t="s">
        <v>10489</v>
      </c>
      <c r="AD1990" t="s">
        <v>10490</v>
      </c>
      <c r="AE1990" t="s">
        <v>629</v>
      </c>
      <c r="AF1990" t="s">
        <v>10486</v>
      </c>
      <c r="AH1990" t="s">
        <v>1046</v>
      </c>
      <c r="AI1990" t="s">
        <v>386</v>
      </c>
      <c r="AJ1990" s="8" t="str">
        <f>"38116"</f>
        <v>38116</v>
      </c>
      <c r="AK1990" t="s">
        <v>118</v>
      </c>
      <c r="AM1990" s="10">
        <v>19016547470</v>
      </c>
      <c r="AO1990" t="s">
        <v>10491</v>
      </c>
      <c r="AP1990" t="s">
        <v>121</v>
      </c>
      <c r="AQ1990" t="s">
        <v>10492</v>
      </c>
      <c r="AR1990" t="s">
        <v>10493</v>
      </c>
      <c r="AS1990" t="s">
        <v>10494</v>
      </c>
      <c r="AT1990" t="s">
        <v>10495</v>
      </c>
      <c r="AU1990" t="s">
        <v>7215</v>
      </c>
      <c r="AV1990" t="s">
        <v>10496</v>
      </c>
      <c r="AW1990" t="s">
        <v>358</v>
      </c>
      <c r="AX1990" s="8" t="str">
        <f>"10956"</f>
        <v>10956</v>
      </c>
      <c r="AY1990" t="s">
        <v>118</v>
      </c>
      <c r="BA1990" s="10">
        <v>12125423940</v>
      </c>
      <c r="BC1990" t="s">
        <v>10497</v>
      </c>
      <c r="BD1990" t="s">
        <v>10498</v>
      </c>
      <c r="BE1990" t="s">
        <v>358</v>
      </c>
      <c r="BF1990" t="s">
        <v>10499</v>
      </c>
      <c r="BG1990" t="s">
        <v>386</v>
      </c>
      <c r="BH1990" s="1">
        <v>45117.833333333336</v>
      </c>
      <c r="BI1990">
        <v>35</v>
      </c>
      <c r="BJ1990">
        <v>0</v>
      </c>
      <c r="BK1990">
        <v>7</v>
      </c>
      <c r="BL1990">
        <v>7</v>
      </c>
      <c r="BM1990">
        <v>7</v>
      </c>
      <c r="BN1990">
        <v>7</v>
      </c>
      <c r="BO1990">
        <v>7</v>
      </c>
      <c r="BP1990">
        <v>0</v>
      </c>
      <c r="BQ1990" t="str">
        <f>"9:00 AM"</f>
        <v>9:00 AM</v>
      </c>
      <c r="BR1990" t="str">
        <f>"5:00 PM"</f>
        <v>5:00 PM</v>
      </c>
      <c r="BS1990" t="s">
        <v>131</v>
      </c>
      <c r="BT1990">
        <v>0</v>
      </c>
      <c r="BU1990">
        <v>24</v>
      </c>
      <c r="BV1990" t="s">
        <v>114</v>
      </c>
      <c r="BX1990" t="s">
        <v>131</v>
      </c>
      <c r="BY1990" t="s">
        <v>10486</v>
      </c>
      <c r="CA1990" t="s">
        <v>10487</v>
      </c>
      <c r="CB1990" t="s">
        <v>386</v>
      </c>
      <c r="CC1990" s="8" t="str">
        <f>"38116"</f>
        <v>38116</v>
      </c>
      <c r="CD1990" t="s">
        <v>1054</v>
      </c>
      <c r="CE1990" t="s">
        <v>1055</v>
      </c>
      <c r="CF1990" s="12">
        <v>18.7</v>
      </c>
      <c r="CG1990" s="12">
        <v>18.7</v>
      </c>
      <c r="CJ1990" t="s">
        <v>135</v>
      </c>
      <c r="CL1990" t="s">
        <v>10500</v>
      </c>
      <c r="CO1990" t="s">
        <v>132</v>
      </c>
      <c r="CP1990" t="s">
        <v>114</v>
      </c>
      <c r="CQ1990" t="s">
        <v>136</v>
      </c>
      <c r="CR1990" t="s">
        <v>114</v>
      </c>
      <c r="CS1990" t="s">
        <v>114</v>
      </c>
      <c r="CT1990" t="s">
        <v>136</v>
      </c>
      <c r="CU1990" t="s">
        <v>136</v>
      </c>
      <c r="CV1990" t="s">
        <v>10501</v>
      </c>
      <c r="CW1990" s="10" t="str">
        <f>"+19016547470"</f>
        <v>+19016547470</v>
      </c>
      <c r="CX1990" t="s">
        <v>10491</v>
      </c>
      <c r="CY1990" t="s">
        <v>132</v>
      </c>
      <c r="CZ1990" t="s">
        <v>137</v>
      </c>
      <c r="DA1990" t="s">
        <v>114</v>
      </c>
      <c r="DB1990" t="s">
        <v>114</v>
      </c>
      <c r="DC1990" t="s">
        <v>136</v>
      </c>
      <c r="DD1990" t="s">
        <v>114</v>
      </c>
      <c r="DE1990" t="s">
        <v>10492</v>
      </c>
      <c r="DF1990" t="s">
        <v>10493</v>
      </c>
      <c r="DG1990" t="s">
        <v>2998</v>
      </c>
      <c r="DH1990" t="s">
        <v>10502</v>
      </c>
      <c r="DI1990" t="s">
        <v>10497</v>
      </c>
    </row>
    <row r="1991" spans="1:113" ht="15" customHeight="1" x14ac:dyDescent="0.25">
      <c r="A1991" t="s">
        <v>8839</v>
      </c>
      <c r="B1991" t="s">
        <v>113</v>
      </c>
      <c r="C1991" s="1">
        <v>45120.834169444446</v>
      </c>
      <c r="D1991" s="1">
        <v>45219</v>
      </c>
      <c r="E1991" t="s">
        <v>114</v>
      </c>
      <c r="F1991" t="s">
        <v>569</v>
      </c>
      <c r="G1991" t="str">
        <f>"47-2061.00"</f>
        <v>47-2061.00</v>
      </c>
      <c r="H1991" t="s">
        <v>570</v>
      </c>
      <c r="I1991">
        <v>10</v>
      </c>
      <c r="K1991" s="1">
        <v>45200</v>
      </c>
      <c r="L1991" s="1">
        <v>45291</v>
      </c>
      <c r="O1991" t="s">
        <v>116</v>
      </c>
      <c r="P1991" t="s">
        <v>3065</v>
      </c>
      <c r="R1991" t="s">
        <v>3066</v>
      </c>
      <c r="T1991" t="s">
        <v>3067</v>
      </c>
      <c r="U1991" t="s">
        <v>740</v>
      </c>
      <c r="V1991" s="8" t="str">
        <f>"50601"</f>
        <v>50601</v>
      </c>
      <c r="W1991" t="s">
        <v>118</v>
      </c>
      <c r="Y1991" s="10">
        <v>16416401803</v>
      </c>
      <c r="AA1991">
        <v>115115</v>
      </c>
      <c r="AB1991" t="s">
        <v>3068</v>
      </c>
      <c r="AC1991" t="s">
        <v>3069</v>
      </c>
      <c r="AE1991" t="s">
        <v>629</v>
      </c>
      <c r="AF1991" t="s">
        <v>3066</v>
      </c>
      <c r="AH1991" t="s">
        <v>3067</v>
      </c>
      <c r="AI1991" t="s">
        <v>740</v>
      </c>
      <c r="AJ1991" s="8" t="str">
        <f>"50601"</f>
        <v>50601</v>
      </c>
      <c r="AK1991" t="s">
        <v>118</v>
      </c>
      <c r="AM1991" s="10">
        <v>16416401803</v>
      </c>
      <c r="AO1991" t="s">
        <v>8840</v>
      </c>
      <c r="AP1991" t="s">
        <v>121</v>
      </c>
      <c r="AQ1991" t="s">
        <v>929</v>
      </c>
      <c r="AR1991" t="s">
        <v>930</v>
      </c>
      <c r="AS1991" t="s">
        <v>931</v>
      </c>
      <c r="AT1991" t="s">
        <v>932</v>
      </c>
      <c r="AU1991" t="s">
        <v>132</v>
      </c>
      <c r="AV1991" t="s">
        <v>933</v>
      </c>
      <c r="AW1991" t="s">
        <v>740</v>
      </c>
      <c r="AX1991" s="8" t="str">
        <f>"50010"</f>
        <v>50010</v>
      </c>
      <c r="AY1991" t="s">
        <v>118</v>
      </c>
      <c r="BA1991" s="10">
        <v>15152324444</v>
      </c>
      <c r="BB1991">
        <v>0</v>
      </c>
      <c r="BC1991" t="s">
        <v>934</v>
      </c>
      <c r="BD1991" t="s">
        <v>935</v>
      </c>
      <c r="BE1991" t="s">
        <v>740</v>
      </c>
      <c r="BF1991" t="s">
        <v>172</v>
      </c>
      <c r="BG1991" t="s">
        <v>740</v>
      </c>
      <c r="BH1991" s="1">
        <v>45113.833333333336</v>
      </c>
      <c r="BI1991">
        <v>40</v>
      </c>
      <c r="BJ1991">
        <v>0</v>
      </c>
      <c r="BK1991">
        <v>8</v>
      </c>
      <c r="BL1991">
        <v>8</v>
      </c>
      <c r="BM1991">
        <v>8</v>
      </c>
      <c r="BN1991">
        <v>8</v>
      </c>
      <c r="BO1991">
        <v>8</v>
      </c>
      <c r="BP1991">
        <v>0</v>
      </c>
      <c r="BQ1991" t="str">
        <f>"7:00 AM"</f>
        <v>7:00 AM</v>
      </c>
      <c r="BR1991" t="str">
        <f>"4:00 PM"</f>
        <v>4:00 PM</v>
      </c>
      <c r="BS1991" t="s">
        <v>131</v>
      </c>
      <c r="BT1991">
        <v>0</v>
      </c>
      <c r="BU1991">
        <v>3</v>
      </c>
      <c r="BV1991" t="s">
        <v>114</v>
      </c>
      <c r="BX1991" s="2" t="s">
        <v>3070</v>
      </c>
      <c r="BY1991" t="s">
        <v>3066</v>
      </c>
      <c r="CA1991" t="s">
        <v>3067</v>
      </c>
      <c r="CB1991" t="s">
        <v>740</v>
      </c>
      <c r="CC1991" s="8" t="str">
        <f>"50601"</f>
        <v>50601</v>
      </c>
      <c r="CD1991" t="s">
        <v>535</v>
      </c>
      <c r="CE1991" t="s">
        <v>3071</v>
      </c>
      <c r="CF1991" s="12">
        <v>21.01</v>
      </c>
      <c r="CH1991" s="12">
        <v>31.52</v>
      </c>
      <c r="CJ1991" t="s">
        <v>135</v>
      </c>
      <c r="CK1991" t="s">
        <v>2038</v>
      </c>
      <c r="CL1991" t="s">
        <v>8841</v>
      </c>
      <c r="CO1991" t="s">
        <v>132</v>
      </c>
      <c r="CP1991" t="s">
        <v>114</v>
      </c>
      <c r="CQ1991" t="s">
        <v>136</v>
      </c>
      <c r="CR1991" t="s">
        <v>136</v>
      </c>
      <c r="CS1991" t="s">
        <v>136</v>
      </c>
      <c r="CT1991" t="s">
        <v>136</v>
      </c>
      <c r="CU1991" t="s">
        <v>136</v>
      </c>
      <c r="CV1991" t="s">
        <v>8842</v>
      </c>
      <c r="CW1991" s="10" t="str">
        <f>"+16416401803"</f>
        <v>+16416401803</v>
      </c>
      <c r="CX1991" t="s">
        <v>8840</v>
      </c>
      <c r="CY1991" t="s">
        <v>132</v>
      </c>
      <c r="CZ1991" t="s">
        <v>137</v>
      </c>
      <c r="DA1991" t="s">
        <v>114</v>
      </c>
      <c r="DB1991" t="s">
        <v>136</v>
      </c>
      <c r="DC1991" t="s">
        <v>136</v>
      </c>
      <c r="DD1991" t="s">
        <v>114</v>
      </c>
    </row>
    <row r="1992" spans="1:113" ht="15" customHeight="1" x14ac:dyDescent="0.25">
      <c r="A1992" t="s">
        <v>21498</v>
      </c>
      <c r="B1992" t="s">
        <v>113</v>
      </c>
      <c r="C1992" s="1">
        <v>45118.579418518515</v>
      </c>
      <c r="D1992" s="1">
        <v>45219</v>
      </c>
      <c r="E1992" t="s">
        <v>114</v>
      </c>
      <c r="F1992" t="s">
        <v>700</v>
      </c>
      <c r="G1992" t="str">
        <f>"37-3011.00"</f>
        <v>37-3011.00</v>
      </c>
      <c r="H1992" t="s">
        <v>429</v>
      </c>
      <c r="I1992">
        <v>40</v>
      </c>
      <c r="K1992" s="1">
        <v>45200</v>
      </c>
      <c r="L1992" s="1">
        <v>45382</v>
      </c>
      <c r="O1992" t="s">
        <v>238</v>
      </c>
      <c r="P1992" t="s">
        <v>4079</v>
      </c>
      <c r="R1992" t="s">
        <v>21499</v>
      </c>
      <c r="T1992" t="s">
        <v>4081</v>
      </c>
      <c r="U1992" t="s">
        <v>211</v>
      </c>
      <c r="V1992" s="8" t="str">
        <f>"84014"</f>
        <v>84014</v>
      </c>
      <c r="W1992" t="s">
        <v>118</v>
      </c>
      <c r="Y1992" s="10">
        <v>18013653333</v>
      </c>
      <c r="AA1992">
        <v>5617</v>
      </c>
      <c r="AB1992" t="s">
        <v>6758</v>
      </c>
      <c r="AC1992" t="s">
        <v>4921</v>
      </c>
      <c r="AE1992" t="s">
        <v>561</v>
      </c>
      <c r="AF1992" t="s">
        <v>21500</v>
      </c>
      <c r="AH1992" t="s">
        <v>221</v>
      </c>
      <c r="AI1992" t="s">
        <v>211</v>
      </c>
      <c r="AJ1992" s="8" t="str">
        <f>"84011"</f>
        <v>84011</v>
      </c>
      <c r="AK1992" t="s">
        <v>118</v>
      </c>
      <c r="AM1992" s="10">
        <v>18013653333</v>
      </c>
      <c r="AO1992" t="s">
        <v>132</v>
      </c>
      <c r="AP1992" t="s">
        <v>121</v>
      </c>
      <c r="AQ1992" t="s">
        <v>1172</v>
      </c>
      <c r="AR1992" t="s">
        <v>1173</v>
      </c>
      <c r="AS1992" t="s">
        <v>708</v>
      </c>
      <c r="AT1992" t="s">
        <v>6759</v>
      </c>
      <c r="AV1992" t="s">
        <v>603</v>
      </c>
      <c r="AW1992" t="s">
        <v>127</v>
      </c>
      <c r="AX1992" s="8" t="str">
        <f>"78758"</f>
        <v>78758</v>
      </c>
      <c r="AY1992" t="s">
        <v>118</v>
      </c>
      <c r="BA1992" s="10">
        <v>15128722894</v>
      </c>
      <c r="BC1992" t="s">
        <v>1175</v>
      </c>
      <c r="BD1992" t="s">
        <v>4086</v>
      </c>
      <c r="BE1992" t="s">
        <v>127</v>
      </c>
      <c r="BF1992" t="s">
        <v>750</v>
      </c>
      <c r="BG1992" t="s">
        <v>211</v>
      </c>
      <c r="BH1992" s="1">
        <v>45117.833333333336</v>
      </c>
      <c r="BI1992">
        <v>40</v>
      </c>
      <c r="BJ1992">
        <v>0</v>
      </c>
      <c r="BK1992">
        <v>8</v>
      </c>
      <c r="BL1992">
        <v>8</v>
      </c>
      <c r="BM1992">
        <v>8</v>
      </c>
      <c r="BN1992">
        <v>8</v>
      </c>
      <c r="BO1992">
        <v>8</v>
      </c>
      <c r="BP1992">
        <v>0</v>
      </c>
      <c r="BQ1992" t="str">
        <f>"8:00 AM"</f>
        <v>8:00 AM</v>
      </c>
      <c r="BR1992" t="str">
        <f>"5:00 PM"</f>
        <v>5:00 PM</v>
      </c>
      <c r="BS1992" t="s">
        <v>131</v>
      </c>
      <c r="BT1992">
        <v>0</v>
      </c>
      <c r="BU1992">
        <v>0</v>
      </c>
      <c r="BV1992" t="s">
        <v>114</v>
      </c>
      <c r="BX1992" t="s">
        <v>21501</v>
      </c>
      <c r="BY1992" t="s">
        <v>21502</v>
      </c>
      <c r="CA1992" t="s">
        <v>4089</v>
      </c>
      <c r="CB1992" t="s">
        <v>211</v>
      </c>
      <c r="CC1992" s="8" t="str">
        <f>"84321"</f>
        <v>84321</v>
      </c>
      <c r="CD1992" t="s">
        <v>4090</v>
      </c>
      <c r="CE1992" t="s">
        <v>4091</v>
      </c>
      <c r="CF1992" s="12">
        <v>18.920000000000002</v>
      </c>
      <c r="CG1992" s="12">
        <v>18.920000000000002</v>
      </c>
      <c r="CH1992" s="12">
        <v>28.38</v>
      </c>
      <c r="CI1992" s="12">
        <v>28.38</v>
      </c>
      <c r="CJ1992" t="s">
        <v>135</v>
      </c>
      <c r="CL1992" t="s">
        <v>6763</v>
      </c>
      <c r="CO1992" t="s">
        <v>132</v>
      </c>
      <c r="CP1992" t="s">
        <v>136</v>
      </c>
      <c r="CQ1992" t="s">
        <v>136</v>
      </c>
      <c r="CR1992" t="s">
        <v>136</v>
      </c>
      <c r="CS1992" t="s">
        <v>114</v>
      </c>
      <c r="CT1992" t="s">
        <v>136</v>
      </c>
      <c r="CU1992" t="s">
        <v>136</v>
      </c>
      <c r="CV1992" t="s">
        <v>4715</v>
      </c>
      <c r="CW1992" s="10" t="str">
        <f>"+13852282684"</f>
        <v>+13852282684</v>
      </c>
      <c r="CX1992" t="s">
        <v>6765</v>
      </c>
      <c r="CY1992" t="s">
        <v>132</v>
      </c>
      <c r="CZ1992" t="s">
        <v>137</v>
      </c>
      <c r="DA1992" t="s">
        <v>114</v>
      </c>
      <c r="DB1992" t="s">
        <v>114</v>
      </c>
      <c r="DC1992" t="s">
        <v>136</v>
      </c>
      <c r="DD1992" t="s">
        <v>114</v>
      </c>
    </row>
    <row r="1993" spans="1:113" ht="15" customHeight="1" x14ac:dyDescent="0.25">
      <c r="A1993" t="s">
        <v>7125</v>
      </c>
      <c r="B1993" t="s">
        <v>113</v>
      </c>
      <c r="C1993" s="1">
        <v>45116.960959027776</v>
      </c>
      <c r="D1993" s="1">
        <v>45219</v>
      </c>
      <c r="E1993" t="s">
        <v>114</v>
      </c>
      <c r="F1993" t="s">
        <v>7126</v>
      </c>
      <c r="G1993" t="str">
        <f>"39-9011.00"</f>
        <v>39-9011.00</v>
      </c>
      <c r="H1993" t="s">
        <v>183</v>
      </c>
      <c r="I1993">
        <v>1</v>
      </c>
      <c r="K1993" s="1">
        <v>45193</v>
      </c>
      <c r="L1993" s="1">
        <v>45436</v>
      </c>
      <c r="O1993" t="s">
        <v>3248</v>
      </c>
      <c r="P1993" t="s">
        <v>7127</v>
      </c>
      <c r="Q1993" t="s">
        <v>7128</v>
      </c>
      <c r="R1993" t="s">
        <v>7129</v>
      </c>
      <c r="T1993" t="s">
        <v>7130</v>
      </c>
      <c r="U1993" t="s">
        <v>1776</v>
      </c>
      <c r="V1993" s="8" t="str">
        <f>"08083"</f>
        <v>08083</v>
      </c>
      <c r="W1993" t="s">
        <v>118</v>
      </c>
      <c r="Y1993" s="10">
        <v>16096639007</v>
      </c>
      <c r="AA1993">
        <v>812112</v>
      </c>
      <c r="AB1993" t="s">
        <v>7131</v>
      </c>
      <c r="AC1993" t="s">
        <v>7132</v>
      </c>
      <c r="AE1993" t="s">
        <v>120</v>
      </c>
      <c r="AF1993" t="s">
        <v>7133</v>
      </c>
      <c r="AH1993" t="s">
        <v>7130</v>
      </c>
      <c r="AI1993" t="s">
        <v>1776</v>
      </c>
      <c r="AJ1993" s="8" t="str">
        <f>"08083"</f>
        <v>08083</v>
      </c>
      <c r="AK1993" t="s">
        <v>118</v>
      </c>
      <c r="AM1993" s="10">
        <v>16096639007</v>
      </c>
      <c r="AO1993" t="s">
        <v>7134</v>
      </c>
      <c r="AX1993" s="8" t="str">
        <f>""</f>
        <v/>
      </c>
      <c r="BG1993" t="s">
        <v>1776</v>
      </c>
      <c r="BH1993" s="1">
        <v>44980.791666666664</v>
      </c>
      <c r="BI1993">
        <v>37</v>
      </c>
      <c r="BJ1993">
        <v>0</v>
      </c>
      <c r="BK1993">
        <v>0</v>
      </c>
      <c r="BL1993">
        <v>5</v>
      </c>
      <c r="BM1993">
        <v>8</v>
      </c>
      <c r="BN1993">
        <v>8</v>
      </c>
      <c r="BO1993">
        <v>8</v>
      </c>
      <c r="BP1993">
        <v>8</v>
      </c>
      <c r="BQ1993" t="str">
        <f>"9:00 AM"</f>
        <v>9:00 AM</v>
      </c>
      <c r="BR1993" t="str">
        <f>"5:00 PM"</f>
        <v>5:00 PM</v>
      </c>
      <c r="BS1993" t="s">
        <v>131</v>
      </c>
      <c r="BT1993">
        <v>0</v>
      </c>
      <c r="BU1993">
        <v>12</v>
      </c>
      <c r="BV1993" t="s">
        <v>114</v>
      </c>
      <c r="BX1993" t="s">
        <v>7135</v>
      </c>
      <c r="BY1993" t="s">
        <v>7133</v>
      </c>
      <c r="CA1993" t="s">
        <v>7130</v>
      </c>
      <c r="CB1993" t="s">
        <v>1776</v>
      </c>
      <c r="CC1993" s="8" t="str">
        <f>"08083"</f>
        <v>08083</v>
      </c>
      <c r="CD1993" t="s">
        <v>7136</v>
      </c>
      <c r="CE1993" t="s">
        <v>443</v>
      </c>
      <c r="CF1993" s="12">
        <v>14.5</v>
      </c>
      <c r="CG1993" s="12">
        <v>14.5</v>
      </c>
      <c r="CH1993" s="12">
        <v>21.75</v>
      </c>
      <c r="CI1993" s="12">
        <v>21.75</v>
      </c>
      <c r="CJ1993" t="s">
        <v>135</v>
      </c>
      <c r="CL1993" t="s">
        <v>7137</v>
      </c>
      <c r="CO1993" t="s">
        <v>132</v>
      </c>
      <c r="CP1993" t="s">
        <v>114</v>
      </c>
      <c r="CQ1993" t="s">
        <v>114</v>
      </c>
      <c r="CR1993" t="s">
        <v>136</v>
      </c>
      <c r="CS1993" t="s">
        <v>136</v>
      </c>
      <c r="CT1993" t="s">
        <v>136</v>
      </c>
      <c r="CU1993" t="s">
        <v>136</v>
      </c>
      <c r="CV1993" t="s">
        <v>7138</v>
      </c>
      <c r="CW1993" s="10" t="str">
        <f>"+16096140740"</f>
        <v>+16096140740</v>
      </c>
      <c r="CX1993" t="s">
        <v>7139</v>
      </c>
      <c r="CY1993" t="s">
        <v>7140</v>
      </c>
      <c r="CZ1993" t="s">
        <v>137</v>
      </c>
      <c r="DA1993" t="s">
        <v>114</v>
      </c>
      <c r="DB1993" t="s">
        <v>114</v>
      </c>
      <c r="DC1993" t="s">
        <v>136</v>
      </c>
      <c r="DD1993" t="s">
        <v>114</v>
      </c>
    </row>
    <row r="1994" spans="1:113" ht="15" customHeight="1" x14ac:dyDescent="0.25">
      <c r="A1994" t="s">
        <v>13391</v>
      </c>
      <c r="B1994" t="s">
        <v>113</v>
      </c>
      <c r="C1994" s="1">
        <v>45113.692227314816</v>
      </c>
      <c r="D1994" s="1">
        <v>45219</v>
      </c>
      <c r="E1994" t="s">
        <v>114</v>
      </c>
      <c r="F1994" t="s">
        <v>5413</v>
      </c>
      <c r="G1994" t="str">
        <f>"53-3033.00"</f>
        <v>53-3033.00</v>
      </c>
      <c r="H1994" t="s">
        <v>13392</v>
      </c>
      <c r="I1994">
        <v>12</v>
      </c>
      <c r="K1994" s="1">
        <v>45200</v>
      </c>
      <c r="L1994" s="1">
        <v>45383</v>
      </c>
      <c r="O1994" t="s">
        <v>116</v>
      </c>
      <c r="P1994" t="s">
        <v>13393</v>
      </c>
      <c r="R1994" t="s">
        <v>13394</v>
      </c>
      <c r="T1994" t="s">
        <v>8344</v>
      </c>
      <c r="U1994" t="s">
        <v>127</v>
      </c>
      <c r="V1994" s="8" t="str">
        <f>"77008"</f>
        <v>77008</v>
      </c>
      <c r="W1994" t="s">
        <v>118</v>
      </c>
      <c r="Y1994" s="10" t="s">
        <v>13395</v>
      </c>
      <c r="AA1994">
        <v>488490</v>
      </c>
      <c r="AB1994" t="s">
        <v>9627</v>
      </c>
      <c r="AC1994" t="s">
        <v>8817</v>
      </c>
      <c r="AE1994" t="s">
        <v>1836</v>
      </c>
      <c r="AF1994" t="s">
        <v>13394</v>
      </c>
      <c r="AH1994" t="s">
        <v>8344</v>
      </c>
      <c r="AI1994" t="s">
        <v>127</v>
      </c>
      <c r="AJ1994" s="8" t="str">
        <f>"77008"</f>
        <v>77008</v>
      </c>
      <c r="AK1994" t="s">
        <v>118</v>
      </c>
      <c r="AM1994" s="10" t="s">
        <v>13396</v>
      </c>
      <c r="AO1994" t="s">
        <v>13397</v>
      </c>
      <c r="AP1994" t="s">
        <v>121</v>
      </c>
      <c r="AQ1994" t="s">
        <v>13333</v>
      </c>
      <c r="AR1994" t="s">
        <v>13334</v>
      </c>
      <c r="AS1994" t="s">
        <v>145</v>
      </c>
      <c r="AT1994" t="s">
        <v>13335</v>
      </c>
      <c r="AV1994" t="s">
        <v>2564</v>
      </c>
      <c r="AW1994" t="s">
        <v>127</v>
      </c>
      <c r="AX1994" s="8" t="str">
        <f>"77094"</f>
        <v>77094</v>
      </c>
      <c r="AY1994" t="s">
        <v>118</v>
      </c>
      <c r="BA1994" s="10">
        <v>2815031455</v>
      </c>
      <c r="BC1994" t="s">
        <v>13337</v>
      </c>
      <c r="BD1994" t="s">
        <v>13338</v>
      </c>
      <c r="BE1994" t="s">
        <v>358</v>
      </c>
      <c r="BF1994" t="s">
        <v>13339</v>
      </c>
      <c r="BG1994" t="s">
        <v>127</v>
      </c>
      <c r="BH1994" s="1">
        <v>45109.833333333336</v>
      </c>
      <c r="BI1994">
        <v>40</v>
      </c>
      <c r="BK1994">
        <v>8</v>
      </c>
      <c r="BL1994">
        <v>8</v>
      </c>
      <c r="BM1994">
        <v>8</v>
      </c>
      <c r="BO1994">
        <v>8</v>
      </c>
      <c r="BQ1994" t="str">
        <f>"8:00 AM"</f>
        <v>8:00 AM</v>
      </c>
      <c r="BR1994" t="str">
        <f>"5:00 PM"</f>
        <v>5:00 PM</v>
      </c>
      <c r="BS1994" t="s">
        <v>131</v>
      </c>
      <c r="BV1994" t="s">
        <v>136</v>
      </c>
      <c r="BX1994" s="2" t="s">
        <v>13398</v>
      </c>
      <c r="BY1994" t="s">
        <v>13394</v>
      </c>
      <c r="CA1994" t="s">
        <v>8344</v>
      </c>
      <c r="CB1994" t="s">
        <v>127</v>
      </c>
      <c r="CC1994" s="8" t="str">
        <f>"77008"</f>
        <v>77008</v>
      </c>
      <c r="CD1994" t="s">
        <v>3327</v>
      </c>
      <c r="CE1994" t="s">
        <v>879</v>
      </c>
      <c r="CF1994" s="12">
        <v>23.73</v>
      </c>
      <c r="CJ1994" t="s">
        <v>135</v>
      </c>
      <c r="CL1994" t="s">
        <v>13399</v>
      </c>
      <c r="CO1994" t="s">
        <v>132</v>
      </c>
      <c r="CP1994" t="s">
        <v>114</v>
      </c>
      <c r="CQ1994" t="s">
        <v>114</v>
      </c>
      <c r="CR1994" t="s">
        <v>114</v>
      </c>
      <c r="CS1994" t="s">
        <v>114</v>
      </c>
      <c r="CT1994" t="s">
        <v>114</v>
      </c>
      <c r="CU1994" t="s">
        <v>114</v>
      </c>
      <c r="CV1994" t="s">
        <v>1480</v>
      </c>
      <c r="CW1994" s="10" t="str">
        <f>"(754) 273-8374"</f>
        <v>(754) 273-8374</v>
      </c>
      <c r="CX1994" t="s">
        <v>13397</v>
      </c>
      <c r="CY1994" t="s">
        <v>132</v>
      </c>
      <c r="CZ1994" t="s">
        <v>137</v>
      </c>
      <c r="DA1994" t="s">
        <v>114</v>
      </c>
      <c r="DB1994" t="s">
        <v>114</v>
      </c>
      <c r="DC1994" t="s">
        <v>136</v>
      </c>
      <c r="DD1994" t="s">
        <v>136</v>
      </c>
      <c r="DE1994" t="s">
        <v>13333</v>
      </c>
      <c r="DF1994" t="s">
        <v>13334</v>
      </c>
      <c r="DG1994" t="s">
        <v>150</v>
      </c>
      <c r="DH1994" t="s">
        <v>13343</v>
      </c>
      <c r="DI1994" t="s">
        <v>13337</v>
      </c>
    </row>
    <row r="1995" spans="1:113" ht="15" customHeight="1" x14ac:dyDescent="0.25">
      <c r="A1995" t="s">
        <v>13327</v>
      </c>
      <c r="B1995" t="s">
        <v>113</v>
      </c>
      <c r="C1995" s="1">
        <v>45113.670254861114</v>
      </c>
      <c r="D1995" s="1">
        <v>45219</v>
      </c>
      <c r="E1995" t="s">
        <v>136</v>
      </c>
      <c r="F1995" t="s">
        <v>5413</v>
      </c>
      <c r="G1995" t="str">
        <f>"53-3033.00"</f>
        <v>53-3033.00</v>
      </c>
      <c r="H1995" t="s">
        <v>2973</v>
      </c>
      <c r="I1995">
        <v>3</v>
      </c>
      <c r="K1995" s="1">
        <v>45200</v>
      </c>
      <c r="L1995" s="1">
        <v>45383</v>
      </c>
      <c r="O1995" t="s">
        <v>116</v>
      </c>
      <c r="P1995" t="s">
        <v>13328</v>
      </c>
      <c r="R1995" t="s">
        <v>13329</v>
      </c>
      <c r="T1995" t="s">
        <v>139</v>
      </c>
      <c r="U1995" t="s">
        <v>140</v>
      </c>
      <c r="V1995" s="8" t="str">
        <f>"33166"</f>
        <v>33166</v>
      </c>
      <c r="W1995" t="s">
        <v>118</v>
      </c>
      <c r="Y1995" s="10" t="s">
        <v>13330</v>
      </c>
      <c r="AA1995">
        <v>488490</v>
      </c>
      <c r="AB1995" t="s">
        <v>10846</v>
      </c>
      <c r="AC1995" t="s">
        <v>2501</v>
      </c>
      <c r="AE1995" t="s">
        <v>438</v>
      </c>
      <c r="AF1995" t="s">
        <v>13329</v>
      </c>
      <c r="AH1995" t="s">
        <v>142</v>
      </c>
      <c r="AI1995" t="s">
        <v>140</v>
      </c>
      <c r="AJ1995" s="8" t="str">
        <f>"33166"</f>
        <v>33166</v>
      </c>
      <c r="AK1995" t="s">
        <v>118</v>
      </c>
      <c r="AM1995" s="10" t="s">
        <v>13331</v>
      </c>
      <c r="AO1995" t="s">
        <v>13332</v>
      </c>
      <c r="AP1995" t="s">
        <v>121</v>
      </c>
      <c r="AQ1995" t="s">
        <v>13333</v>
      </c>
      <c r="AR1995" t="s">
        <v>13334</v>
      </c>
      <c r="AS1995" t="s">
        <v>145</v>
      </c>
      <c r="AT1995" t="s">
        <v>13335</v>
      </c>
      <c r="AV1995" t="s">
        <v>2564</v>
      </c>
      <c r="AW1995" t="s">
        <v>127</v>
      </c>
      <c r="AX1995" s="8" t="str">
        <f>"77094"</f>
        <v>77094</v>
      </c>
      <c r="AY1995" t="s">
        <v>118</v>
      </c>
      <c r="BA1995" s="10" t="s">
        <v>13336</v>
      </c>
      <c r="BC1995" t="s">
        <v>13337</v>
      </c>
      <c r="BD1995" t="s">
        <v>13338</v>
      </c>
      <c r="BE1995" t="s">
        <v>358</v>
      </c>
      <c r="BF1995" t="s">
        <v>13339</v>
      </c>
      <c r="BG1995" t="s">
        <v>140</v>
      </c>
      <c r="BH1995" s="1">
        <v>45109.833333333336</v>
      </c>
      <c r="BI1995">
        <v>40</v>
      </c>
      <c r="BJ1995">
        <v>0</v>
      </c>
      <c r="BK1995">
        <v>8</v>
      </c>
      <c r="BL1995">
        <v>8</v>
      </c>
      <c r="BM1995">
        <v>8</v>
      </c>
      <c r="BN1995">
        <v>8</v>
      </c>
      <c r="BO1995">
        <v>8</v>
      </c>
      <c r="BP1995">
        <v>0</v>
      </c>
      <c r="BQ1995" t="str">
        <f>"8:00 AM"</f>
        <v>8:00 AM</v>
      </c>
      <c r="BR1995" t="str">
        <f>"5:00 PM"</f>
        <v>5:00 PM</v>
      </c>
      <c r="BS1995" t="s">
        <v>131</v>
      </c>
      <c r="BT1995">
        <v>0</v>
      </c>
      <c r="BU1995">
        <v>0</v>
      </c>
      <c r="BV1995" t="s">
        <v>114</v>
      </c>
      <c r="BX1995" t="s">
        <v>13340</v>
      </c>
      <c r="BY1995" t="s">
        <v>13329</v>
      </c>
      <c r="CA1995" t="s">
        <v>142</v>
      </c>
      <c r="CB1995" t="s">
        <v>140</v>
      </c>
      <c r="CC1995" s="8" t="str">
        <f>"33166"</f>
        <v>33166</v>
      </c>
      <c r="CD1995" t="s">
        <v>148</v>
      </c>
      <c r="CE1995" t="s">
        <v>13341</v>
      </c>
      <c r="CF1995" s="12">
        <v>22.13</v>
      </c>
      <c r="CJ1995" t="s">
        <v>135</v>
      </c>
      <c r="CL1995" t="s">
        <v>13342</v>
      </c>
      <c r="CO1995" t="s">
        <v>132</v>
      </c>
      <c r="CP1995" t="s">
        <v>136</v>
      </c>
      <c r="CQ1995" t="s">
        <v>114</v>
      </c>
      <c r="CR1995" t="s">
        <v>114</v>
      </c>
      <c r="CS1995" t="s">
        <v>114</v>
      </c>
      <c r="CT1995" t="s">
        <v>114</v>
      </c>
      <c r="CU1995" t="s">
        <v>114</v>
      </c>
      <c r="CV1995" t="s">
        <v>131</v>
      </c>
      <c r="CW1995" s="10" t="str">
        <f>"7548782921"</f>
        <v>7548782921</v>
      </c>
      <c r="CX1995" t="s">
        <v>13332</v>
      </c>
      <c r="CY1995" t="s">
        <v>132</v>
      </c>
      <c r="CZ1995" t="s">
        <v>137</v>
      </c>
      <c r="DA1995" t="s">
        <v>114</v>
      </c>
      <c r="DB1995" t="s">
        <v>114</v>
      </c>
      <c r="DC1995" t="s">
        <v>136</v>
      </c>
      <c r="DD1995" t="s">
        <v>136</v>
      </c>
      <c r="DE1995" t="s">
        <v>13333</v>
      </c>
      <c r="DF1995" t="s">
        <v>13334</v>
      </c>
      <c r="DG1995" t="s">
        <v>150</v>
      </c>
      <c r="DH1995" t="s">
        <v>13343</v>
      </c>
      <c r="DI1995" t="s">
        <v>13337</v>
      </c>
    </row>
    <row r="1996" spans="1:113" ht="15" customHeight="1" x14ac:dyDescent="0.25">
      <c r="A1996" t="s">
        <v>21884</v>
      </c>
      <c r="B1996" t="s">
        <v>113</v>
      </c>
      <c r="C1996" s="1">
        <v>45110.57824884259</v>
      </c>
      <c r="D1996" s="1">
        <v>45219</v>
      </c>
      <c r="E1996" t="s">
        <v>114</v>
      </c>
      <c r="F1996" t="s">
        <v>21885</v>
      </c>
      <c r="G1996" t="str">
        <f>"37-2012.00"</f>
        <v>37-2012.00</v>
      </c>
      <c r="H1996" t="s">
        <v>205</v>
      </c>
      <c r="I1996">
        <v>2</v>
      </c>
      <c r="K1996" s="1">
        <v>45200</v>
      </c>
      <c r="L1996" s="1">
        <v>45473</v>
      </c>
      <c r="O1996" t="s">
        <v>116</v>
      </c>
      <c r="P1996" t="s">
        <v>5099</v>
      </c>
      <c r="Q1996" t="s">
        <v>5100</v>
      </c>
      <c r="R1996" t="s">
        <v>5101</v>
      </c>
      <c r="T1996" t="s">
        <v>5102</v>
      </c>
      <c r="U1996" t="s">
        <v>333</v>
      </c>
      <c r="V1996" s="8" t="str">
        <f>"70130"</f>
        <v>70130</v>
      </c>
      <c r="W1996" t="s">
        <v>118</v>
      </c>
      <c r="Y1996" s="10">
        <v>15045256000</v>
      </c>
      <c r="AA1996">
        <v>721110</v>
      </c>
      <c r="AB1996" t="s">
        <v>2823</v>
      </c>
      <c r="AC1996" t="s">
        <v>5103</v>
      </c>
      <c r="AE1996" t="s">
        <v>161</v>
      </c>
      <c r="AF1996" t="s">
        <v>5101</v>
      </c>
      <c r="AH1996" t="s">
        <v>5102</v>
      </c>
      <c r="AI1996" t="s">
        <v>333</v>
      </c>
      <c r="AJ1996" s="8" t="str">
        <f>"70130"</f>
        <v>70130</v>
      </c>
      <c r="AK1996" t="s">
        <v>118</v>
      </c>
      <c r="AM1996" s="10">
        <v>15047171201</v>
      </c>
      <c r="AO1996" t="s">
        <v>5104</v>
      </c>
      <c r="AP1996" t="s">
        <v>121</v>
      </c>
      <c r="AQ1996" t="s">
        <v>4300</v>
      </c>
      <c r="AR1996" t="s">
        <v>5105</v>
      </c>
      <c r="AS1996" t="s">
        <v>5106</v>
      </c>
      <c r="AT1996" t="s">
        <v>5107</v>
      </c>
      <c r="AU1996" t="s">
        <v>5108</v>
      </c>
      <c r="AV1996" t="s">
        <v>5109</v>
      </c>
      <c r="AW1996" t="s">
        <v>333</v>
      </c>
      <c r="AX1996" s="8" t="str">
        <f>"70130"</f>
        <v>70130</v>
      </c>
      <c r="AY1996" t="s">
        <v>118</v>
      </c>
      <c r="AZ1996" t="s">
        <v>5110</v>
      </c>
      <c r="BA1996" s="10">
        <v>15045849312</v>
      </c>
      <c r="BC1996" t="s">
        <v>5111</v>
      </c>
      <c r="BD1996" t="s">
        <v>5112</v>
      </c>
      <c r="BE1996" t="s">
        <v>333</v>
      </c>
      <c r="BF1996" t="s">
        <v>10364</v>
      </c>
      <c r="BG1996" t="s">
        <v>333</v>
      </c>
      <c r="BH1996" s="1">
        <v>45109.833333333336</v>
      </c>
      <c r="BI1996">
        <v>40</v>
      </c>
      <c r="BJ1996">
        <v>0</v>
      </c>
      <c r="BK1996">
        <v>8</v>
      </c>
      <c r="BL1996">
        <v>8</v>
      </c>
      <c r="BM1996">
        <v>8</v>
      </c>
      <c r="BN1996">
        <v>8</v>
      </c>
      <c r="BO1996">
        <v>8</v>
      </c>
      <c r="BP1996">
        <v>0</v>
      </c>
      <c r="BQ1996" t="str">
        <f>"9:00 AM"</f>
        <v>9:00 AM</v>
      </c>
      <c r="BR1996" t="str">
        <f>"5:00 PM"</f>
        <v>5:00 PM</v>
      </c>
      <c r="BS1996" t="s">
        <v>131</v>
      </c>
      <c r="BT1996">
        <v>0</v>
      </c>
      <c r="BU1996">
        <v>0</v>
      </c>
      <c r="BV1996" t="s">
        <v>114</v>
      </c>
      <c r="BX1996" t="s">
        <v>131</v>
      </c>
      <c r="BY1996" t="s">
        <v>5101</v>
      </c>
      <c r="CA1996" t="s">
        <v>5102</v>
      </c>
      <c r="CB1996" t="s">
        <v>333</v>
      </c>
      <c r="CC1996" s="8" t="str">
        <f>"70130"</f>
        <v>70130</v>
      </c>
      <c r="CD1996" t="s">
        <v>679</v>
      </c>
      <c r="CE1996" t="s">
        <v>341</v>
      </c>
      <c r="CF1996" s="12">
        <v>14</v>
      </c>
      <c r="CH1996" s="12">
        <v>21</v>
      </c>
      <c r="CJ1996" t="s">
        <v>135</v>
      </c>
      <c r="CL1996" t="s">
        <v>21886</v>
      </c>
      <c r="CO1996" t="s">
        <v>132</v>
      </c>
      <c r="CP1996" t="s">
        <v>114</v>
      </c>
      <c r="CQ1996" t="s">
        <v>114</v>
      </c>
      <c r="CR1996" t="s">
        <v>136</v>
      </c>
      <c r="CS1996" t="s">
        <v>136</v>
      </c>
      <c r="CT1996" t="s">
        <v>136</v>
      </c>
      <c r="CU1996" t="s">
        <v>136</v>
      </c>
      <c r="CV1996" t="s">
        <v>21887</v>
      </c>
      <c r="CW1996" s="10" t="str">
        <f>"+15045964761"</f>
        <v>+15045964761</v>
      </c>
      <c r="CX1996" t="s">
        <v>5115</v>
      </c>
      <c r="CY1996" t="s">
        <v>132</v>
      </c>
      <c r="CZ1996" t="s">
        <v>137</v>
      </c>
      <c r="DA1996" t="s">
        <v>114</v>
      </c>
      <c r="DB1996" t="s">
        <v>136</v>
      </c>
      <c r="DC1996" t="s">
        <v>136</v>
      </c>
      <c r="DD1996" t="s">
        <v>114</v>
      </c>
    </row>
    <row r="1997" spans="1:113" ht="15" customHeight="1" x14ac:dyDescent="0.25">
      <c r="A1997" t="s">
        <v>23768</v>
      </c>
      <c r="B1997" t="s">
        <v>113</v>
      </c>
      <c r="C1997" s="1">
        <v>45153.017747106482</v>
      </c>
      <c r="D1997" s="1">
        <v>45218</v>
      </c>
      <c r="E1997" t="s">
        <v>114</v>
      </c>
      <c r="F1997" t="s">
        <v>293</v>
      </c>
      <c r="G1997" t="str">
        <f>"37-2012.00"</f>
        <v>37-2012.00</v>
      </c>
      <c r="H1997" t="s">
        <v>205</v>
      </c>
      <c r="I1997">
        <v>140</v>
      </c>
      <c r="K1997" s="1">
        <v>45229</v>
      </c>
      <c r="L1997" s="1">
        <v>45390</v>
      </c>
      <c r="O1997" t="s">
        <v>238</v>
      </c>
      <c r="P1997" t="s">
        <v>23769</v>
      </c>
      <c r="R1997" t="s">
        <v>23770</v>
      </c>
      <c r="T1997" t="s">
        <v>8020</v>
      </c>
      <c r="U1997" t="s">
        <v>140</v>
      </c>
      <c r="V1997" s="8" t="str">
        <f>"32547"</f>
        <v>32547</v>
      </c>
      <c r="W1997" t="s">
        <v>118</v>
      </c>
      <c r="Y1997" s="10">
        <v>16469828810</v>
      </c>
      <c r="AA1997">
        <v>56172</v>
      </c>
      <c r="AB1997" t="s">
        <v>7260</v>
      </c>
      <c r="AC1997" t="s">
        <v>3730</v>
      </c>
      <c r="AE1997" t="s">
        <v>794</v>
      </c>
      <c r="AF1997" t="s">
        <v>23770</v>
      </c>
      <c r="AH1997" t="s">
        <v>8020</v>
      </c>
      <c r="AI1997" t="s">
        <v>1691</v>
      </c>
      <c r="AJ1997" s="8" t="str">
        <f>"32547"</f>
        <v>32547</v>
      </c>
      <c r="AK1997" t="s">
        <v>118</v>
      </c>
      <c r="AM1997" s="10">
        <v>16469828810</v>
      </c>
      <c r="AO1997" t="s">
        <v>7262</v>
      </c>
      <c r="AP1997" t="s">
        <v>248</v>
      </c>
      <c r="AQ1997" t="s">
        <v>2000</v>
      </c>
      <c r="AR1997" t="s">
        <v>2293</v>
      </c>
      <c r="AT1997" t="s">
        <v>23771</v>
      </c>
      <c r="AU1997" t="s">
        <v>7943</v>
      </c>
      <c r="AV1997" t="s">
        <v>9330</v>
      </c>
      <c r="AW1997" t="s">
        <v>375</v>
      </c>
      <c r="AX1997" s="8" t="str">
        <f>"27560"</f>
        <v>27560</v>
      </c>
      <c r="AY1997" t="s">
        <v>118</v>
      </c>
      <c r="BA1997" s="10">
        <v>18622830808</v>
      </c>
      <c r="BC1997" t="s">
        <v>13789</v>
      </c>
      <c r="BD1997" t="s">
        <v>13790</v>
      </c>
      <c r="BG1997" t="s">
        <v>140</v>
      </c>
      <c r="BH1997" s="1">
        <v>45125.833333333336</v>
      </c>
      <c r="BI1997">
        <v>40</v>
      </c>
      <c r="BJ1997">
        <v>0</v>
      </c>
      <c r="BK1997">
        <v>8</v>
      </c>
      <c r="BL1997">
        <v>8</v>
      </c>
      <c r="BM1997">
        <v>8</v>
      </c>
      <c r="BN1997">
        <v>8</v>
      </c>
      <c r="BO1997">
        <v>8</v>
      </c>
      <c r="BP1997">
        <v>0</v>
      </c>
      <c r="BQ1997" t="str">
        <f>"8:00 AM"</f>
        <v>8:00 AM</v>
      </c>
      <c r="BR1997" t="str">
        <f>"4:00 PM"</f>
        <v>4:00 PM</v>
      </c>
      <c r="BS1997" t="s">
        <v>131</v>
      </c>
      <c r="BT1997">
        <v>0</v>
      </c>
      <c r="BU1997">
        <v>0</v>
      </c>
      <c r="BV1997" t="s">
        <v>114</v>
      </c>
      <c r="BX1997" t="s">
        <v>23772</v>
      </c>
      <c r="BY1997" t="s">
        <v>23773</v>
      </c>
      <c r="CA1997" t="s">
        <v>23774</v>
      </c>
      <c r="CB1997" t="s">
        <v>140</v>
      </c>
      <c r="CC1997" s="8" t="str">
        <f>"34242"</f>
        <v>34242</v>
      </c>
      <c r="CD1997" t="s">
        <v>6059</v>
      </c>
      <c r="CE1997" t="s">
        <v>1730</v>
      </c>
      <c r="CF1997" s="12">
        <v>15</v>
      </c>
      <c r="CG1997" s="12">
        <v>15</v>
      </c>
      <c r="CH1997" s="12">
        <v>22.5</v>
      </c>
      <c r="CJ1997" t="s">
        <v>135</v>
      </c>
      <c r="CL1997" t="s">
        <v>23775</v>
      </c>
      <c r="CO1997" t="s">
        <v>132</v>
      </c>
      <c r="CP1997" t="s">
        <v>136</v>
      </c>
      <c r="CQ1997" t="s">
        <v>114</v>
      </c>
      <c r="CR1997" t="s">
        <v>136</v>
      </c>
      <c r="CS1997" t="s">
        <v>136</v>
      </c>
      <c r="CT1997" t="s">
        <v>136</v>
      </c>
      <c r="CU1997" t="s">
        <v>136</v>
      </c>
      <c r="CV1997" t="s">
        <v>23776</v>
      </c>
      <c r="CW1997" s="10" t="str">
        <f>"+18622830808"</f>
        <v>+18622830808</v>
      </c>
      <c r="CX1997" t="s">
        <v>13789</v>
      </c>
      <c r="CY1997" t="s">
        <v>132</v>
      </c>
      <c r="CZ1997" t="s">
        <v>137</v>
      </c>
      <c r="DA1997" t="s">
        <v>114</v>
      </c>
      <c r="DB1997" t="s">
        <v>136</v>
      </c>
      <c r="DC1997" t="s">
        <v>136</v>
      </c>
      <c r="DD1997" t="s">
        <v>114</v>
      </c>
    </row>
    <row r="1998" spans="1:113" ht="15" customHeight="1" x14ac:dyDescent="0.25">
      <c r="A1998" t="s">
        <v>11863</v>
      </c>
      <c r="B1998" t="s">
        <v>113</v>
      </c>
      <c r="C1998" s="1">
        <v>45151.601148611109</v>
      </c>
      <c r="D1998" s="1">
        <v>45218</v>
      </c>
      <c r="E1998" t="s">
        <v>114</v>
      </c>
      <c r="F1998" t="s">
        <v>7083</v>
      </c>
      <c r="G1998" t="str">
        <f>"35-2014.00"</f>
        <v>35-2014.00</v>
      </c>
      <c r="H1998" t="s">
        <v>154</v>
      </c>
      <c r="I1998">
        <v>3</v>
      </c>
      <c r="K1998" s="1">
        <v>45226</v>
      </c>
      <c r="L1998" s="1">
        <v>45530</v>
      </c>
      <c r="O1998" t="s">
        <v>238</v>
      </c>
      <c r="P1998" t="s">
        <v>11864</v>
      </c>
      <c r="Q1998" t="s">
        <v>11865</v>
      </c>
      <c r="R1998" t="s">
        <v>11866</v>
      </c>
      <c r="T1998" t="s">
        <v>11867</v>
      </c>
      <c r="U1998" t="s">
        <v>158</v>
      </c>
      <c r="V1998" s="8" t="str">
        <f>"49090"</f>
        <v>49090</v>
      </c>
      <c r="W1998" t="s">
        <v>118</v>
      </c>
      <c r="Y1998" s="10">
        <v>12696374837</v>
      </c>
      <c r="AA1998">
        <v>722511</v>
      </c>
      <c r="AB1998" t="s">
        <v>5724</v>
      </c>
      <c r="AC1998" t="s">
        <v>1826</v>
      </c>
      <c r="AD1998" t="s">
        <v>160</v>
      </c>
      <c r="AE1998" t="s">
        <v>1349</v>
      </c>
      <c r="AF1998" t="s">
        <v>11868</v>
      </c>
      <c r="AH1998" t="s">
        <v>11867</v>
      </c>
      <c r="AI1998" t="s">
        <v>158</v>
      </c>
      <c r="AJ1998" s="8" t="str">
        <f>"49090"</f>
        <v>49090</v>
      </c>
      <c r="AK1998" t="s">
        <v>118</v>
      </c>
      <c r="AM1998" s="10">
        <v>16308540877</v>
      </c>
      <c r="AO1998" t="s">
        <v>11869</v>
      </c>
      <c r="AX1998" s="8" t="str">
        <f>""</f>
        <v/>
      </c>
      <c r="BG1998" t="s">
        <v>158</v>
      </c>
      <c r="BH1998" s="1">
        <v>45091.833333333336</v>
      </c>
      <c r="BI1998">
        <v>36</v>
      </c>
      <c r="BJ1998">
        <v>0</v>
      </c>
      <c r="BK1998">
        <v>6</v>
      </c>
      <c r="BL1998">
        <v>6</v>
      </c>
      <c r="BM1998">
        <v>6</v>
      </c>
      <c r="BN1998">
        <v>6</v>
      </c>
      <c r="BO1998">
        <v>6</v>
      </c>
      <c r="BP1998">
        <v>6</v>
      </c>
      <c r="BQ1998" t="str">
        <f>"10:00 AM"</f>
        <v>10:00 AM</v>
      </c>
      <c r="BR1998" t="str">
        <f>"4:00 PM"</f>
        <v>4:00 PM</v>
      </c>
      <c r="BS1998" t="s">
        <v>131</v>
      </c>
      <c r="BT1998">
        <v>1</v>
      </c>
      <c r="BU1998">
        <v>1</v>
      </c>
      <c r="BV1998" t="s">
        <v>114</v>
      </c>
      <c r="BX1998" t="s">
        <v>11870</v>
      </c>
      <c r="BY1998" t="s">
        <v>11868</v>
      </c>
      <c r="CA1998" t="s">
        <v>11867</v>
      </c>
      <c r="CB1998" t="s">
        <v>158</v>
      </c>
      <c r="CC1998" s="8" t="str">
        <f>"49090"</f>
        <v>49090</v>
      </c>
      <c r="CD1998" t="s">
        <v>11871</v>
      </c>
      <c r="CE1998" t="s">
        <v>8114</v>
      </c>
      <c r="CF1998" s="12">
        <v>14.5</v>
      </c>
      <c r="CG1998" s="12">
        <v>20</v>
      </c>
      <c r="CH1998" s="12">
        <v>21.75</v>
      </c>
      <c r="CI1998" s="12">
        <v>30</v>
      </c>
      <c r="CJ1998" t="s">
        <v>135</v>
      </c>
      <c r="CK1998" t="s">
        <v>11872</v>
      </c>
      <c r="CL1998" t="s">
        <v>11873</v>
      </c>
      <c r="CO1998" t="s">
        <v>132</v>
      </c>
      <c r="CP1998" t="s">
        <v>136</v>
      </c>
      <c r="CQ1998" t="s">
        <v>114</v>
      </c>
      <c r="CR1998" t="s">
        <v>136</v>
      </c>
      <c r="CS1998" t="s">
        <v>136</v>
      </c>
      <c r="CT1998" t="s">
        <v>136</v>
      </c>
      <c r="CU1998" t="s">
        <v>136</v>
      </c>
      <c r="CV1998" t="s">
        <v>131</v>
      </c>
      <c r="CW1998" s="10" t="str">
        <f>"+16308540877"</f>
        <v>+16308540877</v>
      </c>
      <c r="CX1998" t="s">
        <v>11874</v>
      </c>
      <c r="CY1998" t="s">
        <v>132</v>
      </c>
      <c r="CZ1998" t="s">
        <v>137</v>
      </c>
      <c r="DA1998" t="s">
        <v>114</v>
      </c>
      <c r="DB1998" t="s">
        <v>114</v>
      </c>
      <c r="DC1998" t="s">
        <v>136</v>
      </c>
      <c r="DD1998" t="s">
        <v>114</v>
      </c>
    </row>
    <row r="1999" spans="1:113" ht="15" customHeight="1" x14ac:dyDescent="0.25">
      <c r="A1999" t="s">
        <v>15985</v>
      </c>
      <c r="B1999" t="s">
        <v>113</v>
      </c>
      <c r="C1999" s="1">
        <v>45139.659700810182</v>
      </c>
      <c r="D1999" s="1">
        <v>45218</v>
      </c>
      <c r="E1999" t="s">
        <v>136</v>
      </c>
      <c r="F1999" t="s">
        <v>2512</v>
      </c>
      <c r="G1999" t="str">
        <f>"35-3031"</f>
        <v>35-3031</v>
      </c>
      <c r="H1999" t="s">
        <v>15986</v>
      </c>
      <c r="I1999">
        <v>1</v>
      </c>
      <c r="K1999" s="1">
        <v>45127</v>
      </c>
      <c r="L1999" s="1">
        <v>45402</v>
      </c>
      <c r="O1999" t="s">
        <v>238</v>
      </c>
      <c r="P1999" t="s">
        <v>15987</v>
      </c>
      <c r="Q1999" t="s">
        <v>15988</v>
      </c>
      <c r="R1999" t="s">
        <v>15989</v>
      </c>
      <c r="T1999" t="s">
        <v>5011</v>
      </c>
      <c r="U1999" t="s">
        <v>333</v>
      </c>
      <c r="V1999" s="8" t="str">
        <f>"70062"</f>
        <v>70062</v>
      </c>
      <c r="W1999" t="s">
        <v>118</v>
      </c>
      <c r="Y1999" s="10" t="s">
        <v>15990</v>
      </c>
      <c r="AA1999">
        <v>722511</v>
      </c>
      <c r="AB1999" t="s">
        <v>7355</v>
      </c>
      <c r="AC1999" t="s">
        <v>3097</v>
      </c>
      <c r="AD1999" t="s">
        <v>150</v>
      </c>
      <c r="AE1999" t="s">
        <v>15991</v>
      </c>
      <c r="AF1999" t="s">
        <v>15989</v>
      </c>
      <c r="AH1999" t="s">
        <v>5011</v>
      </c>
      <c r="AI1999" t="s">
        <v>333</v>
      </c>
      <c r="AJ1999" s="8" t="str">
        <f>"70062"</f>
        <v>70062</v>
      </c>
      <c r="AK1999" t="s">
        <v>118</v>
      </c>
      <c r="AM1999" s="10" t="s">
        <v>15992</v>
      </c>
      <c r="AO1999" t="s">
        <v>15993</v>
      </c>
      <c r="AX1999" s="8" t="str">
        <f>""</f>
        <v/>
      </c>
      <c r="BG1999" t="s">
        <v>333</v>
      </c>
      <c r="BH1999" s="1">
        <v>45098.833333333336</v>
      </c>
      <c r="BI1999">
        <v>36</v>
      </c>
      <c r="BJ1999">
        <v>0</v>
      </c>
      <c r="BK1999">
        <v>7</v>
      </c>
      <c r="BL1999">
        <v>7</v>
      </c>
      <c r="BM1999">
        <v>7</v>
      </c>
      <c r="BN1999">
        <v>7</v>
      </c>
      <c r="BO1999">
        <v>8</v>
      </c>
      <c r="BP1999">
        <v>0</v>
      </c>
      <c r="BQ1999" t="str">
        <f>"10:30 AM"</f>
        <v>10:30 AM</v>
      </c>
      <c r="BR1999" t="str">
        <f>"5:00 PM"</f>
        <v>5:00 PM</v>
      </c>
      <c r="BS1999" t="s">
        <v>131</v>
      </c>
      <c r="BT1999">
        <v>0</v>
      </c>
      <c r="BU1999">
        <v>3</v>
      </c>
      <c r="BV1999" t="s">
        <v>114</v>
      </c>
      <c r="BX1999" t="s">
        <v>15994</v>
      </c>
      <c r="BY1999" t="s">
        <v>15995</v>
      </c>
      <c r="CA1999" t="s">
        <v>5011</v>
      </c>
      <c r="CB1999" t="s">
        <v>333</v>
      </c>
      <c r="CC1999" s="8" t="str">
        <f>"70062"</f>
        <v>70062</v>
      </c>
      <c r="CD1999" t="s">
        <v>1767</v>
      </c>
      <c r="CE1999" t="s">
        <v>15996</v>
      </c>
      <c r="CF1999" s="12">
        <v>2.13</v>
      </c>
      <c r="CG1999" s="12">
        <v>2.13</v>
      </c>
      <c r="CJ1999" t="s">
        <v>135</v>
      </c>
      <c r="CK1999" s="2" t="s">
        <v>15997</v>
      </c>
      <c r="CL1999" t="s">
        <v>15998</v>
      </c>
      <c r="CO1999" t="s">
        <v>132</v>
      </c>
      <c r="CP1999" t="s">
        <v>114</v>
      </c>
      <c r="CQ1999" t="s">
        <v>114</v>
      </c>
      <c r="CR1999" t="s">
        <v>114</v>
      </c>
      <c r="CS1999" t="s">
        <v>136</v>
      </c>
      <c r="CT1999" t="s">
        <v>114</v>
      </c>
      <c r="CU1999" t="s">
        <v>114</v>
      </c>
      <c r="CV1999" t="s">
        <v>15999</v>
      </c>
      <c r="CW1999" s="10" t="str">
        <f>"5044662097"</f>
        <v>5044662097</v>
      </c>
      <c r="CX1999" t="s">
        <v>15993</v>
      </c>
      <c r="CZ1999" t="s">
        <v>137</v>
      </c>
      <c r="DA1999" t="s">
        <v>114</v>
      </c>
      <c r="DB1999" t="s">
        <v>114</v>
      </c>
      <c r="DC1999" t="s">
        <v>136</v>
      </c>
      <c r="DD1999" t="s">
        <v>114</v>
      </c>
    </row>
    <row r="2000" spans="1:113" ht="15" customHeight="1" x14ac:dyDescent="0.25">
      <c r="A2000" t="s">
        <v>23226</v>
      </c>
      <c r="B2000" t="s">
        <v>113</v>
      </c>
      <c r="C2000" s="1">
        <v>45134.599443171297</v>
      </c>
      <c r="D2000" s="1">
        <v>45218</v>
      </c>
      <c r="E2000" t="s">
        <v>114</v>
      </c>
      <c r="F2000" t="s">
        <v>1059</v>
      </c>
      <c r="G2000" t="str">
        <f>"35-2014.00"</f>
        <v>35-2014.00</v>
      </c>
      <c r="H2000" t="s">
        <v>154</v>
      </c>
      <c r="I2000">
        <v>3</v>
      </c>
      <c r="K2000" s="1">
        <v>45224</v>
      </c>
      <c r="L2000" s="1">
        <v>45412</v>
      </c>
      <c r="O2000" t="s">
        <v>238</v>
      </c>
      <c r="P2000" t="s">
        <v>23227</v>
      </c>
      <c r="Q2000" t="s">
        <v>23228</v>
      </c>
      <c r="R2000" t="s">
        <v>23229</v>
      </c>
      <c r="S2000" t="s">
        <v>23230</v>
      </c>
      <c r="T2000" t="s">
        <v>12088</v>
      </c>
      <c r="U2000" t="s">
        <v>188</v>
      </c>
      <c r="V2000" s="8" t="str">
        <f>"80482"</f>
        <v>80482</v>
      </c>
      <c r="W2000" t="s">
        <v>118</v>
      </c>
      <c r="Y2000" s="10">
        <v>19702815533</v>
      </c>
      <c r="AA2000">
        <v>722511</v>
      </c>
      <c r="AB2000" t="s">
        <v>23231</v>
      </c>
      <c r="AC2000" t="s">
        <v>18489</v>
      </c>
      <c r="AE2000" t="s">
        <v>3156</v>
      </c>
      <c r="AF2000" t="s">
        <v>23229</v>
      </c>
      <c r="AG2000" t="s">
        <v>23230</v>
      </c>
      <c r="AH2000" t="s">
        <v>12088</v>
      </c>
      <c r="AI2000" t="s">
        <v>188</v>
      </c>
      <c r="AJ2000" s="8" t="str">
        <f>"80482"</f>
        <v>80482</v>
      </c>
      <c r="AK2000" t="s">
        <v>118</v>
      </c>
      <c r="AM2000" s="10">
        <v>19702815533</v>
      </c>
      <c r="AO2000" t="s">
        <v>23232</v>
      </c>
      <c r="AX2000" s="8" t="str">
        <f>""</f>
        <v/>
      </c>
      <c r="BG2000" t="s">
        <v>188</v>
      </c>
      <c r="BH2000" s="1">
        <v>45133.833333333336</v>
      </c>
      <c r="BI2000">
        <v>40</v>
      </c>
      <c r="BJ2000">
        <v>8</v>
      </c>
      <c r="BK2000">
        <v>8</v>
      </c>
      <c r="BL2000">
        <v>0</v>
      </c>
      <c r="BM2000">
        <v>0</v>
      </c>
      <c r="BN2000">
        <v>8</v>
      </c>
      <c r="BO2000">
        <v>8</v>
      </c>
      <c r="BP2000">
        <v>8</v>
      </c>
      <c r="BQ2000" t="str">
        <f>"11:00 AM"</f>
        <v>11:00 AM</v>
      </c>
      <c r="BR2000" t="str">
        <f>"8:00 PM"</f>
        <v>8:00 PM</v>
      </c>
      <c r="BS2000" t="s">
        <v>131</v>
      </c>
      <c r="BT2000">
        <v>0</v>
      </c>
      <c r="BU2000">
        <v>6</v>
      </c>
      <c r="BV2000" t="s">
        <v>114</v>
      </c>
      <c r="BX2000" t="s">
        <v>796</v>
      </c>
      <c r="BY2000" t="s">
        <v>23229</v>
      </c>
      <c r="BZ2000" t="s">
        <v>23230</v>
      </c>
      <c r="CA2000" t="s">
        <v>12088</v>
      </c>
      <c r="CB2000" t="s">
        <v>188</v>
      </c>
      <c r="CC2000" s="8" t="str">
        <f>"80482"</f>
        <v>80482</v>
      </c>
      <c r="CD2000" t="s">
        <v>5722</v>
      </c>
      <c r="CE2000" t="s">
        <v>1038</v>
      </c>
      <c r="CF2000" s="12">
        <v>17.510000000000002</v>
      </c>
      <c r="CH2000" s="12">
        <v>26.27</v>
      </c>
      <c r="CJ2000" t="s">
        <v>135</v>
      </c>
      <c r="CK2000" t="s">
        <v>23233</v>
      </c>
      <c r="CL2000" t="s">
        <v>23234</v>
      </c>
      <c r="CO2000" t="s">
        <v>132</v>
      </c>
      <c r="CP2000" t="s">
        <v>114</v>
      </c>
      <c r="CQ2000" t="s">
        <v>114</v>
      </c>
      <c r="CR2000" t="s">
        <v>136</v>
      </c>
      <c r="CS2000" t="s">
        <v>136</v>
      </c>
      <c r="CT2000" t="s">
        <v>136</v>
      </c>
      <c r="CU2000" t="s">
        <v>136</v>
      </c>
      <c r="CV2000" s="2" t="s">
        <v>23235</v>
      </c>
      <c r="CW2000" s="10" t="str">
        <f>"N/A"</f>
        <v>N/A</v>
      </c>
      <c r="CX2000" t="s">
        <v>23236</v>
      </c>
      <c r="CY2000" t="s">
        <v>23237</v>
      </c>
      <c r="CZ2000" t="s">
        <v>137</v>
      </c>
      <c r="DA2000" t="s">
        <v>114</v>
      </c>
      <c r="DB2000" t="s">
        <v>114</v>
      </c>
      <c r="DC2000" t="s">
        <v>136</v>
      </c>
      <c r="DD2000" t="s">
        <v>114</v>
      </c>
    </row>
    <row r="2001" spans="1:113" ht="15" customHeight="1" x14ac:dyDescent="0.25">
      <c r="A2001" t="s">
        <v>19216</v>
      </c>
      <c r="B2001" t="s">
        <v>113</v>
      </c>
      <c r="C2001" s="1">
        <v>45125.846102083335</v>
      </c>
      <c r="D2001" s="1">
        <v>45218</v>
      </c>
      <c r="E2001" t="s">
        <v>114</v>
      </c>
      <c r="F2001" t="s">
        <v>19217</v>
      </c>
      <c r="G2001" t="str">
        <f>"37-2011.00"</f>
        <v>37-2011.00</v>
      </c>
      <c r="H2001" t="s">
        <v>1089</v>
      </c>
      <c r="I2001">
        <v>5</v>
      </c>
      <c r="K2001" s="1">
        <v>45200</v>
      </c>
      <c r="L2001" s="1">
        <v>45474</v>
      </c>
      <c r="O2001" t="s">
        <v>116</v>
      </c>
      <c r="P2001" t="s">
        <v>19218</v>
      </c>
      <c r="R2001" t="s">
        <v>19219</v>
      </c>
      <c r="T2001" t="s">
        <v>3293</v>
      </c>
      <c r="U2001" t="s">
        <v>984</v>
      </c>
      <c r="V2001" s="8" t="str">
        <f>"65018"</f>
        <v>65018</v>
      </c>
      <c r="W2001" t="s">
        <v>118</v>
      </c>
      <c r="Y2001" s="10">
        <v>15736443182</v>
      </c>
      <c r="AA2001">
        <v>561720</v>
      </c>
      <c r="AB2001" t="s">
        <v>5817</v>
      </c>
      <c r="AC2001" t="s">
        <v>19220</v>
      </c>
      <c r="AE2001" t="s">
        <v>561</v>
      </c>
      <c r="AF2001" t="s">
        <v>19219</v>
      </c>
      <c r="AH2001" t="s">
        <v>3293</v>
      </c>
      <c r="AI2001" t="s">
        <v>984</v>
      </c>
      <c r="AJ2001" s="8" t="str">
        <f>"65018"</f>
        <v>65018</v>
      </c>
      <c r="AK2001" t="s">
        <v>118</v>
      </c>
      <c r="AM2001" s="10">
        <v>15736443182</v>
      </c>
      <c r="AO2001" t="s">
        <v>19221</v>
      </c>
      <c r="AP2001" t="s">
        <v>121</v>
      </c>
      <c r="AQ2001" t="s">
        <v>19222</v>
      </c>
      <c r="AR2001" t="s">
        <v>19223</v>
      </c>
      <c r="AS2001" t="s">
        <v>19224</v>
      </c>
      <c r="AT2001" t="s">
        <v>19225</v>
      </c>
      <c r="AV2001" t="s">
        <v>2435</v>
      </c>
      <c r="AW2001" t="s">
        <v>402</v>
      </c>
      <c r="AX2001" s="8" t="str">
        <f>"92191"</f>
        <v>92191</v>
      </c>
      <c r="AY2001" t="s">
        <v>118</v>
      </c>
      <c r="BA2001" s="10">
        <v>18587931600</v>
      </c>
      <c r="BC2001" t="s">
        <v>19226</v>
      </c>
      <c r="BD2001" t="s">
        <v>19227</v>
      </c>
      <c r="BE2001" t="s">
        <v>402</v>
      </c>
      <c r="BF2001" t="s">
        <v>172</v>
      </c>
      <c r="BG2001" t="s">
        <v>984</v>
      </c>
      <c r="BH2001" s="1">
        <v>45124.833333333336</v>
      </c>
      <c r="BI2001">
        <v>40</v>
      </c>
      <c r="BJ2001">
        <v>10</v>
      </c>
      <c r="BK2001">
        <v>0</v>
      </c>
      <c r="BL2001">
        <v>4</v>
      </c>
      <c r="BM2001">
        <v>4</v>
      </c>
      <c r="BN2001">
        <v>6</v>
      </c>
      <c r="BO2001">
        <v>6</v>
      </c>
      <c r="BP2001">
        <v>10</v>
      </c>
      <c r="BQ2001" t="str">
        <f>"8:00 AM"</f>
        <v>8:00 AM</v>
      </c>
      <c r="BR2001" t="str">
        <f>"6:30 PM"</f>
        <v>6:30 PM</v>
      </c>
      <c r="BS2001" t="s">
        <v>147</v>
      </c>
      <c r="BT2001">
        <v>0</v>
      </c>
      <c r="BU2001">
        <v>0</v>
      </c>
      <c r="BV2001" t="s">
        <v>114</v>
      </c>
      <c r="BX2001" t="s">
        <v>19228</v>
      </c>
      <c r="BY2001" t="s">
        <v>19219</v>
      </c>
      <c r="CA2001" t="s">
        <v>3293</v>
      </c>
      <c r="CB2001" t="s">
        <v>984</v>
      </c>
      <c r="CC2001" s="8" t="str">
        <f>"65018"</f>
        <v>65018</v>
      </c>
      <c r="CD2001" t="s">
        <v>19229</v>
      </c>
      <c r="CE2001" t="s">
        <v>5281</v>
      </c>
      <c r="CF2001" s="12">
        <v>14.58</v>
      </c>
      <c r="CG2001" s="12">
        <v>15</v>
      </c>
      <c r="CJ2001" t="s">
        <v>135</v>
      </c>
      <c r="CK2001" t="s">
        <v>132</v>
      </c>
      <c r="CL2001" t="s">
        <v>19230</v>
      </c>
      <c r="CO2001" t="s">
        <v>132</v>
      </c>
      <c r="CP2001" t="s">
        <v>136</v>
      </c>
      <c r="CQ2001" t="s">
        <v>136</v>
      </c>
      <c r="CR2001" t="s">
        <v>114</v>
      </c>
      <c r="CS2001" t="s">
        <v>136</v>
      </c>
      <c r="CT2001" t="s">
        <v>136</v>
      </c>
      <c r="CU2001" t="s">
        <v>136</v>
      </c>
      <c r="CV2001" t="s">
        <v>19231</v>
      </c>
      <c r="CW2001" s="10" t="str">
        <f>"+15736443182"</f>
        <v>+15736443182</v>
      </c>
      <c r="CX2001" t="s">
        <v>19221</v>
      </c>
      <c r="CY2001" t="s">
        <v>132</v>
      </c>
      <c r="CZ2001" t="s">
        <v>137</v>
      </c>
      <c r="DA2001" t="s">
        <v>114</v>
      </c>
      <c r="DB2001" t="s">
        <v>114</v>
      </c>
      <c r="DC2001" t="s">
        <v>136</v>
      </c>
      <c r="DD2001" t="s">
        <v>114</v>
      </c>
      <c r="DE2001" t="s">
        <v>19222</v>
      </c>
      <c r="DF2001" t="s">
        <v>19223</v>
      </c>
      <c r="DG2001" t="s">
        <v>16072</v>
      </c>
      <c r="DH2001" t="s">
        <v>19227</v>
      </c>
      <c r="DI2001" t="s">
        <v>19226</v>
      </c>
    </row>
    <row r="2002" spans="1:113" ht="15" customHeight="1" x14ac:dyDescent="0.25">
      <c r="A2002" t="s">
        <v>1229</v>
      </c>
      <c r="B2002" t="s">
        <v>113</v>
      </c>
      <c r="C2002" s="1">
        <v>45125.772821759259</v>
      </c>
      <c r="D2002" s="1">
        <v>45218</v>
      </c>
      <c r="E2002" t="s">
        <v>114</v>
      </c>
      <c r="F2002" t="s">
        <v>1230</v>
      </c>
      <c r="G2002" t="str">
        <f>"47-3016.00"</f>
        <v>47-3016.00</v>
      </c>
      <c r="H2002" t="s">
        <v>370</v>
      </c>
      <c r="I2002">
        <v>35</v>
      </c>
      <c r="K2002" s="1">
        <v>45200</v>
      </c>
      <c r="L2002" s="1">
        <v>45559</v>
      </c>
      <c r="O2002" t="s">
        <v>184</v>
      </c>
      <c r="P2002" t="s">
        <v>1231</v>
      </c>
      <c r="R2002" t="s">
        <v>1232</v>
      </c>
      <c r="T2002" t="s">
        <v>1233</v>
      </c>
      <c r="U2002" t="s">
        <v>140</v>
      </c>
      <c r="V2002" s="8" t="str">
        <f>"32404"</f>
        <v>32404</v>
      </c>
      <c r="W2002" t="s">
        <v>118</v>
      </c>
      <c r="Y2002" s="10">
        <v>14235670906</v>
      </c>
      <c r="AA2002">
        <v>23816</v>
      </c>
      <c r="AB2002" t="s">
        <v>1234</v>
      </c>
      <c r="AC2002" t="s">
        <v>1235</v>
      </c>
      <c r="AE2002" t="s">
        <v>629</v>
      </c>
      <c r="AF2002" t="s">
        <v>1232</v>
      </c>
      <c r="AH2002" t="s">
        <v>1233</v>
      </c>
      <c r="AI2002" t="s">
        <v>140</v>
      </c>
      <c r="AJ2002" s="8" t="str">
        <f>"32404"</f>
        <v>32404</v>
      </c>
      <c r="AK2002" t="s">
        <v>118</v>
      </c>
      <c r="AM2002" s="10">
        <v>14235670906</v>
      </c>
      <c r="AO2002" t="s">
        <v>1236</v>
      </c>
      <c r="AP2002" t="s">
        <v>248</v>
      </c>
      <c r="AQ2002" t="s">
        <v>1237</v>
      </c>
      <c r="AR2002" t="s">
        <v>763</v>
      </c>
      <c r="AT2002" t="s">
        <v>1032</v>
      </c>
      <c r="AU2002" t="s">
        <v>852</v>
      </c>
      <c r="AV2002" t="s">
        <v>1033</v>
      </c>
      <c r="AW2002" t="s">
        <v>854</v>
      </c>
      <c r="AX2002" s="8" t="str">
        <f>"83814"</f>
        <v>83814</v>
      </c>
      <c r="AY2002" t="s">
        <v>118</v>
      </c>
      <c r="BA2002" s="10">
        <v>12087772654</v>
      </c>
      <c r="BC2002" t="s">
        <v>1238</v>
      </c>
      <c r="BD2002" t="s">
        <v>856</v>
      </c>
      <c r="BG2002" t="s">
        <v>550</v>
      </c>
      <c r="BH2002" s="1">
        <v>45124.833333333336</v>
      </c>
      <c r="BI2002">
        <v>40</v>
      </c>
      <c r="BJ2002">
        <v>0</v>
      </c>
      <c r="BK2002">
        <v>8</v>
      </c>
      <c r="BL2002">
        <v>8</v>
      </c>
      <c r="BM2002">
        <v>8</v>
      </c>
      <c r="BN2002">
        <v>8</v>
      </c>
      <c r="BO2002">
        <v>8</v>
      </c>
      <c r="BP2002">
        <v>0</v>
      </c>
      <c r="BQ2002" t="str">
        <f>"8:00 AM"</f>
        <v>8:00 AM</v>
      </c>
      <c r="BR2002" t="str">
        <f>"5:00 PM"</f>
        <v>5:00 PM</v>
      </c>
      <c r="BS2002" t="s">
        <v>131</v>
      </c>
      <c r="BT2002">
        <v>0</v>
      </c>
      <c r="BU2002">
        <v>0</v>
      </c>
      <c r="BV2002" t="s">
        <v>114</v>
      </c>
      <c r="BX2002" s="2" t="s">
        <v>1239</v>
      </c>
      <c r="BY2002" t="s">
        <v>1240</v>
      </c>
      <c r="CA2002" t="s">
        <v>1241</v>
      </c>
      <c r="CB2002" t="s">
        <v>550</v>
      </c>
      <c r="CC2002" s="8" t="str">
        <f>"31905"</f>
        <v>31905</v>
      </c>
      <c r="CD2002" t="s">
        <v>1242</v>
      </c>
      <c r="CE2002" t="s">
        <v>1243</v>
      </c>
      <c r="CF2002" s="12">
        <v>18.010000000000002</v>
      </c>
      <c r="CG2002" s="12">
        <v>21</v>
      </c>
      <c r="CH2002" s="12">
        <v>27.02</v>
      </c>
      <c r="CI2002" s="12">
        <v>31.5</v>
      </c>
      <c r="CJ2002" t="s">
        <v>135</v>
      </c>
      <c r="CK2002" t="s">
        <v>1244</v>
      </c>
      <c r="CL2002" t="s">
        <v>1245</v>
      </c>
      <c r="CO2002" t="s">
        <v>132</v>
      </c>
      <c r="CP2002" t="s">
        <v>136</v>
      </c>
      <c r="CQ2002" t="s">
        <v>136</v>
      </c>
      <c r="CR2002" t="s">
        <v>136</v>
      </c>
      <c r="CS2002" t="s">
        <v>136</v>
      </c>
      <c r="CT2002" t="s">
        <v>136</v>
      </c>
      <c r="CU2002" t="s">
        <v>114</v>
      </c>
      <c r="CV2002" t="s">
        <v>1040</v>
      </c>
      <c r="CW2002" s="10" t="str">
        <f>"+14235670906"</f>
        <v>+14235670906</v>
      </c>
      <c r="CX2002" t="s">
        <v>1236</v>
      </c>
      <c r="CY2002" t="s">
        <v>132</v>
      </c>
      <c r="CZ2002" t="s">
        <v>137</v>
      </c>
      <c r="DA2002" t="s">
        <v>114</v>
      </c>
      <c r="DB2002" t="s">
        <v>114</v>
      </c>
      <c r="DC2002" t="s">
        <v>136</v>
      </c>
      <c r="DD2002" t="s">
        <v>114</v>
      </c>
    </row>
    <row r="2003" spans="1:113" ht="15" customHeight="1" x14ac:dyDescent="0.25">
      <c r="A2003" t="s">
        <v>3963</v>
      </c>
      <c r="B2003" t="s">
        <v>113</v>
      </c>
      <c r="C2003" s="1">
        <v>45125.761039004632</v>
      </c>
      <c r="D2003" s="1">
        <v>45218</v>
      </c>
      <c r="E2003" t="s">
        <v>114</v>
      </c>
      <c r="F2003" t="s">
        <v>3964</v>
      </c>
      <c r="G2003" t="str">
        <f>"51-6093.00"</f>
        <v>51-6093.00</v>
      </c>
      <c r="H2003" t="s">
        <v>3965</v>
      </c>
      <c r="I2003">
        <v>48</v>
      </c>
      <c r="K2003" s="1">
        <v>45200</v>
      </c>
      <c r="L2003" s="1">
        <v>45382</v>
      </c>
      <c r="O2003" t="s">
        <v>184</v>
      </c>
      <c r="P2003" t="s">
        <v>3966</v>
      </c>
      <c r="R2003" t="s">
        <v>3967</v>
      </c>
      <c r="T2003" t="s">
        <v>3968</v>
      </c>
      <c r="U2003" t="s">
        <v>375</v>
      </c>
      <c r="V2003" s="8" t="str">
        <f>"27006"</f>
        <v>27006</v>
      </c>
      <c r="W2003" t="s">
        <v>118</v>
      </c>
      <c r="Y2003" s="10">
        <v>13472857213</v>
      </c>
      <c r="AA2003">
        <v>337121</v>
      </c>
      <c r="AB2003" t="s">
        <v>3969</v>
      </c>
      <c r="AC2003" t="s">
        <v>2238</v>
      </c>
      <c r="AE2003" t="s">
        <v>3970</v>
      </c>
      <c r="AF2003" t="s">
        <v>3971</v>
      </c>
      <c r="AH2003" t="s">
        <v>3972</v>
      </c>
      <c r="AI2003" t="s">
        <v>127</v>
      </c>
      <c r="AJ2003" s="8" t="str">
        <f>"75181"</f>
        <v>75181</v>
      </c>
      <c r="AK2003" t="s">
        <v>118</v>
      </c>
      <c r="AM2003" s="10">
        <v>13472857213</v>
      </c>
      <c r="AO2003" t="s">
        <v>3973</v>
      </c>
      <c r="AP2003" t="s">
        <v>121</v>
      </c>
      <c r="AQ2003" t="s">
        <v>3974</v>
      </c>
      <c r="AR2003" t="s">
        <v>3975</v>
      </c>
      <c r="AS2003" t="s">
        <v>3976</v>
      </c>
      <c r="AT2003" t="s">
        <v>3977</v>
      </c>
      <c r="AU2003" t="s">
        <v>3978</v>
      </c>
      <c r="AV2003" t="s">
        <v>187</v>
      </c>
      <c r="AW2003" t="s">
        <v>188</v>
      </c>
      <c r="AX2003" s="8" t="str">
        <f>"80222"</f>
        <v>80222</v>
      </c>
      <c r="AY2003" t="s">
        <v>118</v>
      </c>
      <c r="BA2003" s="10">
        <v>18132217267</v>
      </c>
      <c r="BC2003" t="s">
        <v>3979</v>
      </c>
      <c r="BD2003" t="s">
        <v>3980</v>
      </c>
      <c r="BE2003" t="s">
        <v>140</v>
      </c>
      <c r="BF2003" t="s">
        <v>3229</v>
      </c>
      <c r="BG2003" t="s">
        <v>127</v>
      </c>
      <c r="BH2003" s="1">
        <v>45121.833333333336</v>
      </c>
      <c r="BI2003">
        <v>40</v>
      </c>
      <c r="BJ2003">
        <v>0</v>
      </c>
      <c r="BK2003">
        <v>10</v>
      </c>
      <c r="BL2003">
        <v>10</v>
      </c>
      <c r="BM2003">
        <v>10</v>
      </c>
      <c r="BN2003">
        <v>10</v>
      </c>
      <c r="BO2003">
        <v>0</v>
      </c>
      <c r="BP2003">
        <v>0</v>
      </c>
      <c r="BQ2003" t="str">
        <f>"5:00 PM"</f>
        <v>5:00 PM</v>
      </c>
      <c r="BR2003" t="str">
        <f>"3:00 AM"</f>
        <v>3:00 AM</v>
      </c>
      <c r="BS2003" t="s">
        <v>131</v>
      </c>
      <c r="BT2003">
        <v>0</v>
      </c>
      <c r="BU2003">
        <v>0</v>
      </c>
      <c r="BV2003" t="s">
        <v>114</v>
      </c>
      <c r="BX2003" s="2" t="s">
        <v>3981</v>
      </c>
      <c r="BY2003" t="s">
        <v>3982</v>
      </c>
      <c r="CA2003" t="s">
        <v>3972</v>
      </c>
      <c r="CB2003" t="s">
        <v>127</v>
      </c>
      <c r="CC2003" s="8" t="str">
        <f>"75182"</f>
        <v>75182</v>
      </c>
      <c r="CD2003" t="s">
        <v>2301</v>
      </c>
      <c r="CE2003" t="s">
        <v>263</v>
      </c>
      <c r="CF2003" s="12">
        <v>17.649999999999999</v>
      </c>
      <c r="CG2003" s="12">
        <v>22</v>
      </c>
      <c r="CH2003" s="12">
        <v>26.48</v>
      </c>
      <c r="CI2003" s="12">
        <v>33</v>
      </c>
      <c r="CJ2003" t="s">
        <v>135</v>
      </c>
      <c r="CK2003" t="s">
        <v>3983</v>
      </c>
      <c r="CL2003" t="s">
        <v>3984</v>
      </c>
      <c r="CO2003" t="s">
        <v>132</v>
      </c>
      <c r="CP2003" t="s">
        <v>114</v>
      </c>
      <c r="CQ2003" t="s">
        <v>136</v>
      </c>
      <c r="CR2003" t="s">
        <v>136</v>
      </c>
      <c r="CS2003" t="s">
        <v>136</v>
      </c>
      <c r="CT2003" t="s">
        <v>136</v>
      </c>
      <c r="CU2003" t="s">
        <v>136</v>
      </c>
      <c r="CV2003" t="s">
        <v>3985</v>
      </c>
      <c r="CW2003" s="10" t="str">
        <f>"N/A"</f>
        <v>N/A</v>
      </c>
      <c r="CX2003" t="s">
        <v>3986</v>
      </c>
      <c r="CY2003" t="s">
        <v>3987</v>
      </c>
      <c r="CZ2003" t="s">
        <v>137</v>
      </c>
      <c r="DA2003" t="s">
        <v>114</v>
      </c>
      <c r="DB2003" t="s">
        <v>136</v>
      </c>
      <c r="DC2003" t="s">
        <v>136</v>
      </c>
      <c r="DD2003" t="s">
        <v>114</v>
      </c>
      <c r="DE2003" t="s">
        <v>3988</v>
      </c>
      <c r="DF2003" t="s">
        <v>3989</v>
      </c>
      <c r="DH2003" t="s">
        <v>3980</v>
      </c>
      <c r="DI2003" t="s">
        <v>3990</v>
      </c>
    </row>
    <row r="2004" spans="1:113" ht="15" customHeight="1" x14ac:dyDescent="0.25">
      <c r="A2004" t="s">
        <v>23598</v>
      </c>
      <c r="B2004" t="s">
        <v>113</v>
      </c>
      <c r="C2004" s="1">
        <v>45125.754435416668</v>
      </c>
      <c r="D2004" s="1">
        <v>45218</v>
      </c>
      <c r="E2004" t="s">
        <v>114</v>
      </c>
      <c r="F2004" t="s">
        <v>3964</v>
      </c>
      <c r="G2004" t="str">
        <f>"51-6093.00"</f>
        <v>51-6093.00</v>
      </c>
      <c r="H2004" t="s">
        <v>3965</v>
      </c>
      <c r="I2004">
        <v>42</v>
      </c>
      <c r="K2004" s="1">
        <v>45200</v>
      </c>
      <c r="L2004" s="1">
        <v>45382</v>
      </c>
      <c r="O2004" t="s">
        <v>184</v>
      </c>
      <c r="P2004" t="s">
        <v>3966</v>
      </c>
      <c r="R2004" t="s">
        <v>3967</v>
      </c>
      <c r="T2004" t="s">
        <v>3968</v>
      </c>
      <c r="U2004" t="s">
        <v>375</v>
      </c>
      <c r="V2004" s="8" t="str">
        <f>"27006"</f>
        <v>27006</v>
      </c>
      <c r="W2004" t="s">
        <v>118</v>
      </c>
      <c r="Y2004" s="10">
        <v>13472857213</v>
      </c>
      <c r="AA2004">
        <v>337121</v>
      </c>
      <c r="AB2004" t="s">
        <v>3969</v>
      </c>
      <c r="AC2004" t="s">
        <v>2238</v>
      </c>
      <c r="AE2004" t="s">
        <v>3970</v>
      </c>
      <c r="AF2004" t="s">
        <v>3971</v>
      </c>
      <c r="AH2004" t="s">
        <v>3972</v>
      </c>
      <c r="AI2004" t="s">
        <v>127</v>
      </c>
      <c r="AJ2004" s="8" t="str">
        <f>"75181"</f>
        <v>75181</v>
      </c>
      <c r="AK2004" t="s">
        <v>118</v>
      </c>
      <c r="AM2004" s="10">
        <v>13472857213</v>
      </c>
      <c r="AO2004" t="s">
        <v>3973</v>
      </c>
      <c r="AP2004" t="s">
        <v>121</v>
      </c>
      <c r="AQ2004" t="s">
        <v>3974</v>
      </c>
      <c r="AR2004" t="s">
        <v>3975</v>
      </c>
      <c r="AS2004" t="s">
        <v>3976</v>
      </c>
      <c r="AT2004" t="s">
        <v>3977</v>
      </c>
      <c r="AU2004" t="s">
        <v>3978</v>
      </c>
      <c r="AV2004" t="s">
        <v>187</v>
      </c>
      <c r="AW2004" t="s">
        <v>188</v>
      </c>
      <c r="AX2004" s="8" t="str">
        <f>"80222"</f>
        <v>80222</v>
      </c>
      <c r="AY2004" t="s">
        <v>118</v>
      </c>
      <c r="BA2004" s="10">
        <v>18132217267</v>
      </c>
      <c r="BC2004" t="s">
        <v>3979</v>
      </c>
      <c r="BD2004" t="s">
        <v>3980</v>
      </c>
      <c r="BE2004" t="s">
        <v>140</v>
      </c>
      <c r="BF2004" t="s">
        <v>3229</v>
      </c>
      <c r="BG2004" t="s">
        <v>434</v>
      </c>
      <c r="BH2004" s="1">
        <v>45120.833333333336</v>
      </c>
      <c r="BI2004">
        <v>40</v>
      </c>
      <c r="BJ2004">
        <v>0</v>
      </c>
      <c r="BK2004">
        <v>10</v>
      </c>
      <c r="BL2004">
        <v>10</v>
      </c>
      <c r="BM2004">
        <v>10</v>
      </c>
      <c r="BN2004">
        <v>10</v>
      </c>
      <c r="BO2004">
        <v>0</v>
      </c>
      <c r="BP2004">
        <v>0</v>
      </c>
      <c r="BQ2004" t="str">
        <f>"5:00 PM"</f>
        <v>5:00 PM</v>
      </c>
      <c r="BR2004" t="str">
        <f>"3:00 AM"</f>
        <v>3:00 AM</v>
      </c>
      <c r="BS2004" t="s">
        <v>131</v>
      </c>
      <c r="BT2004">
        <v>0</v>
      </c>
      <c r="BU2004">
        <v>0</v>
      </c>
      <c r="BV2004" t="s">
        <v>114</v>
      </c>
      <c r="BX2004" s="2" t="s">
        <v>3981</v>
      </c>
      <c r="BY2004" t="s">
        <v>23599</v>
      </c>
      <c r="CA2004" t="s">
        <v>23600</v>
      </c>
      <c r="CB2004" t="s">
        <v>434</v>
      </c>
      <c r="CC2004" s="8" t="str">
        <f>"19533"</f>
        <v>19533</v>
      </c>
      <c r="CD2004" t="s">
        <v>5730</v>
      </c>
      <c r="CE2004" t="s">
        <v>5731</v>
      </c>
      <c r="CF2004" s="12">
        <v>19.940000000000001</v>
      </c>
      <c r="CG2004" s="12">
        <v>22</v>
      </c>
      <c r="CH2004" s="12">
        <v>29.91</v>
      </c>
      <c r="CI2004" s="12">
        <v>33</v>
      </c>
      <c r="CJ2004" t="s">
        <v>135</v>
      </c>
      <c r="CK2004" t="s">
        <v>3983</v>
      </c>
      <c r="CL2004" t="s">
        <v>23601</v>
      </c>
      <c r="CO2004" t="s">
        <v>132</v>
      </c>
      <c r="CP2004" t="s">
        <v>114</v>
      </c>
      <c r="CQ2004" t="s">
        <v>136</v>
      </c>
      <c r="CR2004" t="s">
        <v>136</v>
      </c>
      <c r="CS2004" t="s">
        <v>136</v>
      </c>
      <c r="CT2004" t="s">
        <v>136</v>
      </c>
      <c r="CU2004" t="s">
        <v>136</v>
      </c>
      <c r="CV2004" t="s">
        <v>3985</v>
      </c>
      <c r="CW2004" s="10" t="str">
        <f>"N/A"</f>
        <v>N/A</v>
      </c>
      <c r="CX2004" t="s">
        <v>3986</v>
      </c>
      <c r="CY2004" t="s">
        <v>3987</v>
      </c>
      <c r="CZ2004" t="s">
        <v>137</v>
      </c>
      <c r="DA2004" t="s">
        <v>114</v>
      </c>
      <c r="DB2004" t="s">
        <v>136</v>
      </c>
      <c r="DC2004" t="s">
        <v>136</v>
      </c>
      <c r="DD2004" t="s">
        <v>114</v>
      </c>
      <c r="DE2004" t="s">
        <v>3988</v>
      </c>
      <c r="DF2004" t="s">
        <v>3989</v>
      </c>
      <c r="DH2004" t="s">
        <v>3980</v>
      </c>
      <c r="DI2004" t="s">
        <v>3990</v>
      </c>
    </row>
    <row r="2005" spans="1:113" ht="15" customHeight="1" x14ac:dyDescent="0.25">
      <c r="A2005" t="s">
        <v>21647</v>
      </c>
      <c r="B2005" t="s">
        <v>113</v>
      </c>
      <c r="C2005" s="1">
        <v>45125.747205671294</v>
      </c>
      <c r="D2005" s="1">
        <v>45218</v>
      </c>
      <c r="E2005" t="s">
        <v>114</v>
      </c>
      <c r="F2005" t="s">
        <v>3964</v>
      </c>
      <c r="G2005" t="str">
        <f>"51-6093.00"</f>
        <v>51-6093.00</v>
      </c>
      <c r="H2005" t="s">
        <v>3965</v>
      </c>
      <c r="I2005">
        <v>54</v>
      </c>
      <c r="K2005" s="1">
        <v>45200</v>
      </c>
      <c r="L2005" s="1">
        <v>45382</v>
      </c>
      <c r="O2005" t="s">
        <v>184</v>
      </c>
      <c r="P2005" t="s">
        <v>3966</v>
      </c>
      <c r="R2005" t="s">
        <v>3967</v>
      </c>
      <c r="T2005" t="s">
        <v>3968</v>
      </c>
      <c r="U2005" t="s">
        <v>375</v>
      </c>
      <c r="V2005" s="8" t="str">
        <f>"27006"</f>
        <v>27006</v>
      </c>
      <c r="W2005" t="s">
        <v>118</v>
      </c>
      <c r="Y2005" s="10">
        <v>13472857213</v>
      </c>
      <c r="AA2005">
        <v>337121</v>
      </c>
      <c r="AB2005" t="s">
        <v>3969</v>
      </c>
      <c r="AC2005" t="s">
        <v>2238</v>
      </c>
      <c r="AE2005" t="s">
        <v>3970</v>
      </c>
      <c r="AF2005" t="s">
        <v>3971</v>
      </c>
      <c r="AH2005" t="s">
        <v>3972</v>
      </c>
      <c r="AI2005" t="s">
        <v>127</v>
      </c>
      <c r="AJ2005" s="8" t="str">
        <f>"75181"</f>
        <v>75181</v>
      </c>
      <c r="AK2005" t="s">
        <v>118</v>
      </c>
      <c r="AM2005" s="10">
        <v>13472857213</v>
      </c>
      <c r="AO2005" t="s">
        <v>3973</v>
      </c>
      <c r="AP2005" t="s">
        <v>121</v>
      </c>
      <c r="AQ2005" t="s">
        <v>3974</v>
      </c>
      <c r="AR2005" t="s">
        <v>3975</v>
      </c>
      <c r="AS2005" t="s">
        <v>3976</v>
      </c>
      <c r="AT2005" t="s">
        <v>3977</v>
      </c>
      <c r="AU2005" t="s">
        <v>3978</v>
      </c>
      <c r="AV2005" t="s">
        <v>187</v>
      </c>
      <c r="AW2005" t="s">
        <v>188</v>
      </c>
      <c r="AX2005" s="8" t="str">
        <f>"80222"</f>
        <v>80222</v>
      </c>
      <c r="AY2005" t="s">
        <v>118</v>
      </c>
      <c r="BA2005" s="10">
        <v>18132217267</v>
      </c>
      <c r="BC2005" t="s">
        <v>3979</v>
      </c>
      <c r="BD2005" t="s">
        <v>3980</v>
      </c>
      <c r="BE2005" t="s">
        <v>140</v>
      </c>
      <c r="BF2005" t="s">
        <v>3229</v>
      </c>
      <c r="BG2005" t="s">
        <v>993</v>
      </c>
      <c r="BH2005" s="1">
        <v>45120.833333333336</v>
      </c>
      <c r="BI2005">
        <v>40</v>
      </c>
      <c r="BJ2005">
        <v>0</v>
      </c>
      <c r="BK2005">
        <v>10</v>
      </c>
      <c r="BL2005">
        <v>10</v>
      </c>
      <c r="BM2005">
        <v>10</v>
      </c>
      <c r="BN2005">
        <v>10</v>
      </c>
      <c r="BO2005">
        <v>0</v>
      </c>
      <c r="BP2005">
        <v>0</v>
      </c>
      <c r="BQ2005" t="str">
        <f>"5:00 PM"</f>
        <v>5:00 PM</v>
      </c>
      <c r="BR2005" t="str">
        <f>"3:00 AM"</f>
        <v>3:00 AM</v>
      </c>
      <c r="BS2005" t="s">
        <v>131</v>
      </c>
      <c r="BT2005">
        <v>0</v>
      </c>
      <c r="BU2005">
        <v>0</v>
      </c>
      <c r="BV2005" t="s">
        <v>114</v>
      </c>
      <c r="BX2005" s="2" t="s">
        <v>3981</v>
      </c>
      <c r="BY2005" t="s">
        <v>6358</v>
      </c>
      <c r="CA2005" t="s">
        <v>6359</v>
      </c>
      <c r="CB2005" t="s">
        <v>993</v>
      </c>
      <c r="CC2005" s="8" t="str">
        <f>"54729"</f>
        <v>54729</v>
      </c>
      <c r="CD2005" t="s">
        <v>6360</v>
      </c>
      <c r="CE2005" t="s">
        <v>4121</v>
      </c>
      <c r="CF2005" s="12">
        <v>17.309999999999999</v>
      </c>
      <c r="CG2005" s="12">
        <v>22</v>
      </c>
      <c r="CH2005" s="12">
        <v>25.97</v>
      </c>
      <c r="CI2005" s="12">
        <v>33</v>
      </c>
      <c r="CJ2005" t="s">
        <v>135</v>
      </c>
      <c r="CK2005" t="s">
        <v>3983</v>
      </c>
      <c r="CL2005" t="s">
        <v>21648</v>
      </c>
      <c r="CO2005" t="s">
        <v>132</v>
      </c>
      <c r="CP2005" t="s">
        <v>114</v>
      </c>
      <c r="CQ2005" t="s">
        <v>136</v>
      </c>
      <c r="CR2005" t="s">
        <v>136</v>
      </c>
      <c r="CS2005" t="s">
        <v>136</v>
      </c>
      <c r="CT2005" t="s">
        <v>136</v>
      </c>
      <c r="CU2005" t="s">
        <v>136</v>
      </c>
      <c r="CV2005" t="s">
        <v>3985</v>
      </c>
      <c r="CW2005" s="10" t="str">
        <f>"N/A"</f>
        <v>N/A</v>
      </c>
      <c r="CX2005" t="s">
        <v>3986</v>
      </c>
      <c r="CY2005" t="s">
        <v>3987</v>
      </c>
      <c r="CZ2005" t="s">
        <v>137</v>
      </c>
      <c r="DA2005" t="s">
        <v>114</v>
      </c>
      <c r="DB2005" t="s">
        <v>136</v>
      </c>
      <c r="DC2005" t="s">
        <v>136</v>
      </c>
      <c r="DD2005" t="s">
        <v>114</v>
      </c>
      <c r="DE2005" t="s">
        <v>3988</v>
      </c>
      <c r="DF2005" t="s">
        <v>3989</v>
      </c>
      <c r="DH2005" t="s">
        <v>3980</v>
      </c>
      <c r="DI2005" t="s">
        <v>3990</v>
      </c>
    </row>
    <row r="2006" spans="1:113" ht="15" customHeight="1" x14ac:dyDescent="0.25">
      <c r="A2006" t="s">
        <v>16032</v>
      </c>
      <c r="B2006" t="s">
        <v>113</v>
      </c>
      <c r="C2006" s="1">
        <v>45125.734569560183</v>
      </c>
      <c r="D2006" s="1">
        <v>45218</v>
      </c>
      <c r="E2006" t="s">
        <v>114</v>
      </c>
      <c r="F2006" t="s">
        <v>3964</v>
      </c>
      <c r="G2006" t="str">
        <f>"51-6093.00"</f>
        <v>51-6093.00</v>
      </c>
      <c r="H2006" t="s">
        <v>3965</v>
      </c>
      <c r="I2006">
        <v>50</v>
      </c>
      <c r="K2006" s="1">
        <v>45200</v>
      </c>
      <c r="L2006" s="1">
        <v>45382</v>
      </c>
      <c r="O2006" t="s">
        <v>184</v>
      </c>
      <c r="P2006" t="s">
        <v>3966</v>
      </c>
      <c r="R2006" t="s">
        <v>3967</v>
      </c>
      <c r="T2006" t="s">
        <v>3968</v>
      </c>
      <c r="U2006" t="s">
        <v>375</v>
      </c>
      <c r="V2006" s="8" t="str">
        <f>"27006"</f>
        <v>27006</v>
      </c>
      <c r="W2006" t="s">
        <v>118</v>
      </c>
      <c r="Y2006" s="10">
        <v>13472857213</v>
      </c>
      <c r="AA2006">
        <v>337121</v>
      </c>
      <c r="AB2006" t="s">
        <v>3969</v>
      </c>
      <c r="AC2006" t="s">
        <v>2238</v>
      </c>
      <c r="AE2006" t="s">
        <v>3970</v>
      </c>
      <c r="AF2006" t="s">
        <v>3971</v>
      </c>
      <c r="AH2006" t="s">
        <v>3972</v>
      </c>
      <c r="AI2006" t="s">
        <v>127</v>
      </c>
      <c r="AJ2006" s="8" t="str">
        <f>"75181"</f>
        <v>75181</v>
      </c>
      <c r="AK2006" t="s">
        <v>118</v>
      </c>
      <c r="AM2006" s="10">
        <v>13472857213</v>
      </c>
      <c r="AO2006" t="s">
        <v>3973</v>
      </c>
      <c r="AP2006" t="s">
        <v>121</v>
      </c>
      <c r="AQ2006" t="s">
        <v>3974</v>
      </c>
      <c r="AR2006" t="s">
        <v>3975</v>
      </c>
      <c r="AS2006" t="s">
        <v>3976</v>
      </c>
      <c r="AT2006" t="s">
        <v>3977</v>
      </c>
      <c r="AU2006" t="s">
        <v>3978</v>
      </c>
      <c r="AV2006" t="s">
        <v>187</v>
      </c>
      <c r="AW2006" t="s">
        <v>188</v>
      </c>
      <c r="AX2006" s="8" t="str">
        <f>"80222"</f>
        <v>80222</v>
      </c>
      <c r="AY2006" t="s">
        <v>118</v>
      </c>
      <c r="BA2006" s="10">
        <v>18132217267</v>
      </c>
      <c r="BC2006" t="s">
        <v>3979</v>
      </c>
      <c r="BD2006" t="s">
        <v>3980</v>
      </c>
      <c r="BE2006" t="s">
        <v>140</v>
      </c>
      <c r="BF2006" t="s">
        <v>3229</v>
      </c>
      <c r="BG2006" t="s">
        <v>993</v>
      </c>
      <c r="BH2006" s="1">
        <v>45120.833333333336</v>
      </c>
      <c r="BI2006">
        <v>40</v>
      </c>
      <c r="BJ2006">
        <v>0</v>
      </c>
      <c r="BK2006">
        <v>10</v>
      </c>
      <c r="BL2006">
        <v>10</v>
      </c>
      <c r="BM2006">
        <v>10</v>
      </c>
      <c r="BN2006">
        <v>10</v>
      </c>
      <c r="BO2006">
        <v>0</v>
      </c>
      <c r="BP2006">
        <v>0</v>
      </c>
      <c r="BQ2006" t="str">
        <f>"5:00 PM"</f>
        <v>5:00 PM</v>
      </c>
      <c r="BR2006" t="str">
        <f>"3:00 AM"</f>
        <v>3:00 AM</v>
      </c>
      <c r="BS2006" t="s">
        <v>131</v>
      </c>
      <c r="BT2006">
        <v>0</v>
      </c>
      <c r="BU2006">
        <v>0</v>
      </c>
      <c r="BV2006" t="s">
        <v>114</v>
      </c>
      <c r="BX2006" s="2" t="s">
        <v>3981</v>
      </c>
      <c r="BY2006" t="s">
        <v>16033</v>
      </c>
      <c r="CA2006" t="s">
        <v>16034</v>
      </c>
      <c r="CB2006" t="s">
        <v>993</v>
      </c>
      <c r="CC2006" s="8" t="str">
        <f>"54612"</f>
        <v>54612</v>
      </c>
      <c r="CD2006" t="s">
        <v>16035</v>
      </c>
      <c r="CE2006" t="s">
        <v>9829</v>
      </c>
      <c r="CF2006" s="12">
        <v>21.67</v>
      </c>
      <c r="CG2006" s="12">
        <v>22</v>
      </c>
      <c r="CH2006" s="12">
        <v>32.51</v>
      </c>
      <c r="CI2006" s="12">
        <v>33</v>
      </c>
      <c r="CJ2006" t="s">
        <v>135</v>
      </c>
      <c r="CK2006" t="s">
        <v>3983</v>
      </c>
      <c r="CL2006" t="s">
        <v>16036</v>
      </c>
      <c r="CO2006" t="s">
        <v>132</v>
      </c>
      <c r="CP2006" t="s">
        <v>114</v>
      </c>
      <c r="CQ2006" t="s">
        <v>136</v>
      </c>
      <c r="CR2006" t="s">
        <v>136</v>
      </c>
      <c r="CS2006" t="s">
        <v>136</v>
      </c>
      <c r="CT2006" t="s">
        <v>136</v>
      </c>
      <c r="CU2006" t="s">
        <v>136</v>
      </c>
      <c r="CV2006" t="s">
        <v>3985</v>
      </c>
      <c r="CW2006" s="10" t="str">
        <f>"N/A"</f>
        <v>N/A</v>
      </c>
      <c r="CX2006" t="s">
        <v>3986</v>
      </c>
      <c r="CY2006" t="s">
        <v>3987</v>
      </c>
      <c r="CZ2006" t="s">
        <v>137</v>
      </c>
      <c r="DA2006" t="s">
        <v>114</v>
      </c>
      <c r="DB2006" t="s">
        <v>136</v>
      </c>
      <c r="DC2006" t="s">
        <v>136</v>
      </c>
      <c r="DD2006" t="s">
        <v>114</v>
      </c>
      <c r="DE2006" t="s">
        <v>3988</v>
      </c>
      <c r="DF2006" t="s">
        <v>3989</v>
      </c>
      <c r="DH2006" t="s">
        <v>3980</v>
      </c>
      <c r="DI2006" t="s">
        <v>3990</v>
      </c>
    </row>
    <row r="2007" spans="1:113" ht="15" customHeight="1" x14ac:dyDescent="0.25">
      <c r="A2007" t="s">
        <v>18571</v>
      </c>
      <c r="B2007" t="s">
        <v>113</v>
      </c>
      <c r="C2007" s="1">
        <v>45125.725220949076</v>
      </c>
      <c r="D2007" s="1">
        <v>45218</v>
      </c>
      <c r="E2007" t="s">
        <v>114</v>
      </c>
      <c r="F2007" t="s">
        <v>3964</v>
      </c>
      <c r="G2007" t="str">
        <f>"51-6093.00"</f>
        <v>51-6093.00</v>
      </c>
      <c r="H2007" t="s">
        <v>3965</v>
      </c>
      <c r="I2007">
        <v>104</v>
      </c>
      <c r="K2007" s="1">
        <v>45200</v>
      </c>
      <c r="L2007" s="1">
        <v>45382</v>
      </c>
      <c r="O2007" t="s">
        <v>184</v>
      </c>
      <c r="P2007" t="s">
        <v>3966</v>
      </c>
      <c r="R2007" t="s">
        <v>3967</v>
      </c>
      <c r="T2007" t="s">
        <v>3968</v>
      </c>
      <c r="U2007" t="s">
        <v>375</v>
      </c>
      <c r="V2007" s="8" t="str">
        <f>"27006"</f>
        <v>27006</v>
      </c>
      <c r="W2007" t="s">
        <v>118</v>
      </c>
      <c r="Y2007" s="10">
        <v>13472857213</v>
      </c>
      <c r="AA2007">
        <v>337121</v>
      </c>
      <c r="AB2007" t="s">
        <v>3969</v>
      </c>
      <c r="AC2007" t="s">
        <v>2238</v>
      </c>
      <c r="AE2007" t="s">
        <v>3970</v>
      </c>
      <c r="AF2007" t="s">
        <v>3971</v>
      </c>
      <c r="AH2007" t="s">
        <v>3972</v>
      </c>
      <c r="AI2007" t="s">
        <v>127</v>
      </c>
      <c r="AJ2007" s="8" t="str">
        <f>"75181"</f>
        <v>75181</v>
      </c>
      <c r="AK2007" t="s">
        <v>118</v>
      </c>
      <c r="AM2007" s="10">
        <v>13472857213</v>
      </c>
      <c r="AO2007" t="s">
        <v>3973</v>
      </c>
      <c r="AP2007" t="s">
        <v>121</v>
      </c>
      <c r="AQ2007" t="s">
        <v>3974</v>
      </c>
      <c r="AR2007" t="s">
        <v>3975</v>
      </c>
      <c r="AS2007" t="s">
        <v>3976</v>
      </c>
      <c r="AT2007" t="s">
        <v>3977</v>
      </c>
      <c r="AU2007" t="s">
        <v>3978</v>
      </c>
      <c r="AV2007" t="s">
        <v>187</v>
      </c>
      <c r="AW2007" t="s">
        <v>188</v>
      </c>
      <c r="AX2007" s="8" t="str">
        <f>"80222"</f>
        <v>80222</v>
      </c>
      <c r="AY2007" t="s">
        <v>118</v>
      </c>
      <c r="BA2007" s="10">
        <v>18132217267</v>
      </c>
      <c r="BC2007" t="s">
        <v>3979</v>
      </c>
      <c r="BD2007" t="s">
        <v>3980</v>
      </c>
      <c r="BE2007" t="s">
        <v>140</v>
      </c>
      <c r="BF2007" t="s">
        <v>3229</v>
      </c>
      <c r="BG2007" t="s">
        <v>375</v>
      </c>
      <c r="BH2007" s="1">
        <v>45124.833333333336</v>
      </c>
      <c r="BI2007">
        <v>40</v>
      </c>
      <c r="BJ2007">
        <v>0</v>
      </c>
      <c r="BK2007">
        <v>10</v>
      </c>
      <c r="BL2007">
        <v>10</v>
      </c>
      <c r="BM2007">
        <v>10</v>
      </c>
      <c r="BN2007">
        <v>10</v>
      </c>
      <c r="BO2007">
        <v>0</v>
      </c>
      <c r="BP2007">
        <v>0</v>
      </c>
      <c r="BQ2007" t="str">
        <f>"5:00 PM"</f>
        <v>5:00 PM</v>
      </c>
      <c r="BR2007" t="str">
        <f>"3:00 AM"</f>
        <v>3:00 AM</v>
      </c>
      <c r="BS2007" t="s">
        <v>131</v>
      </c>
      <c r="BT2007">
        <v>0</v>
      </c>
      <c r="BU2007">
        <v>0</v>
      </c>
      <c r="BV2007" t="s">
        <v>114</v>
      </c>
      <c r="BX2007" s="2" t="s">
        <v>3981</v>
      </c>
      <c r="BY2007" t="s">
        <v>3967</v>
      </c>
      <c r="CA2007" t="s">
        <v>3968</v>
      </c>
      <c r="CB2007" t="s">
        <v>375</v>
      </c>
      <c r="CC2007" s="8" t="str">
        <f>"27006"</f>
        <v>27006</v>
      </c>
      <c r="CD2007" t="s">
        <v>18572</v>
      </c>
      <c r="CE2007" t="s">
        <v>6194</v>
      </c>
      <c r="CF2007" s="12">
        <v>17.84</v>
      </c>
      <c r="CG2007" s="12">
        <v>22</v>
      </c>
      <c r="CH2007" s="12">
        <v>26.76</v>
      </c>
      <c r="CI2007" s="12">
        <v>33</v>
      </c>
      <c r="CJ2007" t="s">
        <v>135</v>
      </c>
      <c r="CK2007" t="s">
        <v>3983</v>
      </c>
      <c r="CL2007" t="s">
        <v>18573</v>
      </c>
      <c r="CO2007" t="s">
        <v>132</v>
      </c>
      <c r="CP2007" t="s">
        <v>114</v>
      </c>
      <c r="CQ2007" t="s">
        <v>136</v>
      </c>
      <c r="CR2007" t="s">
        <v>136</v>
      </c>
      <c r="CS2007" t="s">
        <v>136</v>
      </c>
      <c r="CT2007" t="s">
        <v>136</v>
      </c>
      <c r="CU2007" t="s">
        <v>136</v>
      </c>
      <c r="CV2007" t="s">
        <v>3985</v>
      </c>
      <c r="CW2007" s="10" t="str">
        <f>"N/A"</f>
        <v>N/A</v>
      </c>
      <c r="CX2007" t="s">
        <v>3986</v>
      </c>
      <c r="CY2007" t="s">
        <v>3987</v>
      </c>
      <c r="CZ2007" t="s">
        <v>137</v>
      </c>
      <c r="DA2007" t="s">
        <v>114</v>
      </c>
      <c r="DB2007" t="s">
        <v>136</v>
      </c>
      <c r="DC2007" t="s">
        <v>136</v>
      </c>
      <c r="DD2007" t="s">
        <v>114</v>
      </c>
      <c r="DE2007" t="s">
        <v>3988</v>
      </c>
      <c r="DF2007" t="s">
        <v>3989</v>
      </c>
      <c r="DH2007" t="s">
        <v>3980</v>
      </c>
      <c r="DI2007" t="s">
        <v>3990</v>
      </c>
    </row>
    <row r="2008" spans="1:113" ht="15" customHeight="1" x14ac:dyDescent="0.25">
      <c r="A2008" t="s">
        <v>23304</v>
      </c>
      <c r="B2008" t="s">
        <v>113</v>
      </c>
      <c r="C2008" s="1">
        <v>45125.678280439817</v>
      </c>
      <c r="D2008" s="1">
        <v>45218</v>
      </c>
      <c r="E2008" t="s">
        <v>114</v>
      </c>
      <c r="F2008" t="s">
        <v>6356</v>
      </c>
      <c r="G2008" t="str">
        <f>"51-2092.00"</f>
        <v>51-2092.00</v>
      </c>
      <c r="H2008" t="s">
        <v>4544</v>
      </c>
      <c r="I2008">
        <v>10</v>
      </c>
      <c r="K2008" s="1">
        <v>45200</v>
      </c>
      <c r="L2008" s="1">
        <v>45382</v>
      </c>
      <c r="O2008" t="s">
        <v>184</v>
      </c>
      <c r="P2008" t="s">
        <v>3966</v>
      </c>
      <c r="R2008" t="s">
        <v>3967</v>
      </c>
      <c r="T2008" t="s">
        <v>3968</v>
      </c>
      <c r="U2008" t="s">
        <v>375</v>
      </c>
      <c r="V2008" s="8" t="str">
        <f>"27006"</f>
        <v>27006</v>
      </c>
      <c r="W2008" t="s">
        <v>118</v>
      </c>
      <c r="Y2008" s="10">
        <v>13472857213</v>
      </c>
      <c r="AA2008">
        <v>337121</v>
      </c>
      <c r="AB2008" t="s">
        <v>3969</v>
      </c>
      <c r="AC2008" t="s">
        <v>2238</v>
      </c>
      <c r="AE2008" t="s">
        <v>3970</v>
      </c>
      <c r="AF2008" t="s">
        <v>3971</v>
      </c>
      <c r="AH2008" t="s">
        <v>3972</v>
      </c>
      <c r="AI2008" t="s">
        <v>127</v>
      </c>
      <c r="AJ2008" s="8" t="str">
        <f>"75181"</f>
        <v>75181</v>
      </c>
      <c r="AK2008" t="s">
        <v>118</v>
      </c>
      <c r="AM2008" s="10">
        <v>13472857213</v>
      </c>
      <c r="AO2008" t="s">
        <v>3973</v>
      </c>
      <c r="AP2008" t="s">
        <v>121</v>
      </c>
      <c r="AQ2008" t="s">
        <v>3974</v>
      </c>
      <c r="AR2008" t="s">
        <v>3975</v>
      </c>
      <c r="AS2008" t="s">
        <v>1829</v>
      </c>
      <c r="AT2008" t="s">
        <v>3977</v>
      </c>
      <c r="AU2008" t="s">
        <v>3978</v>
      </c>
      <c r="AV2008" t="s">
        <v>187</v>
      </c>
      <c r="AW2008" t="s">
        <v>188</v>
      </c>
      <c r="AX2008" s="8" t="str">
        <f>"80222"</f>
        <v>80222</v>
      </c>
      <c r="AY2008" t="s">
        <v>118</v>
      </c>
      <c r="BA2008" s="10">
        <v>18132217267</v>
      </c>
      <c r="BC2008" t="s">
        <v>3979</v>
      </c>
      <c r="BD2008" t="s">
        <v>3980</v>
      </c>
      <c r="BE2008" t="s">
        <v>140</v>
      </c>
      <c r="BF2008" t="s">
        <v>3229</v>
      </c>
      <c r="BG2008" t="s">
        <v>993</v>
      </c>
      <c r="BH2008" s="1">
        <v>45123.833333333336</v>
      </c>
      <c r="BI2008">
        <v>40</v>
      </c>
      <c r="BJ2008">
        <v>0</v>
      </c>
      <c r="BK2008">
        <v>10</v>
      </c>
      <c r="BL2008">
        <v>10</v>
      </c>
      <c r="BM2008">
        <v>10</v>
      </c>
      <c r="BN2008">
        <v>10</v>
      </c>
      <c r="BO2008">
        <v>0</v>
      </c>
      <c r="BP2008">
        <v>0</v>
      </c>
      <c r="BQ2008" t="str">
        <f>"5:00 PM"</f>
        <v>5:00 PM</v>
      </c>
      <c r="BR2008" t="str">
        <f>"3:00 AM"</f>
        <v>3:00 AM</v>
      </c>
      <c r="BS2008" t="s">
        <v>131</v>
      </c>
      <c r="BT2008">
        <v>0</v>
      </c>
      <c r="BU2008">
        <v>0</v>
      </c>
      <c r="BV2008" t="s">
        <v>114</v>
      </c>
      <c r="BX2008" t="s">
        <v>6357</v>
      </c>
      <c r="BY2008" t="s">
        <v>16033</v>
      </c>
      <c r="CA2008" t="s">
        <v>16034</v>
      </c>
      <c r="CB2008" t="s">
        <v>993</v>
      </c>
      <c r="CC2008" s="8" t="str">
        <f>"54612"</f>
        <v>54612</v>
      </c>
      <c r="CD2008" t="s">
        <v>16035</v>
      </c>
      <c r="CE2008" t="s">
        <v>9829</v>
      </c>
      <c r="CF2008" s="12">
        <v>17.72</v>
      </c>
      <c r="CG2008" s="12">
        <v>22</v>
      </c>
      <c r="CH2008" s="12">
        <v>26.58</v>
      </c>
      <c r="CI2008" s="12">
        <v>33</v>
      </c>
      <c r="CJ2008" t="s">
        <v>135</v>
      </c>
      <c r="CK2008" t="s">
        <v>3983</v>
      </c>
      <c r="CL2008" t="s">
        <v>23305</v>
      </c>
      <c r="CO2008" t="s">
        <v>132</v>
      </c>
      <c r="CP2008" t="s">
        <v>114</v>
      </c>
      <c r="CQ2008" t="s">
        <v>136</v>
      </c>
      <c r="CR2008" t="s">
        <v>136</v>
      </c>
      <c r="CS2008" t="s">
        <v>136</v>
      </c>
      <c r="CT2008" t="s">
        <v>136</v>
      </c>
      <c r="CU2008" t="s">
        <v>136</v>
      </c>
      <c r="CV2008" t="s">
        <v>3985</v>
      </c>
      <c r="CW2008" s="10" t="str">
        <f>"N/A"</f>
        <v>N/A</v>
      </c>
      <c r="CX2008" t="s">
        <v>3986</v>
      </c>
      <c r="CY2008" t="s">
        <v>3987</v>
      </c>
      <c r="CZ2008" t="s">
        <v>137</v>
      </c>
      <c r="DA2008" t="s">
        <v>114</v>
      </c>
      <c r="DB2008" t="s">
        <v>136</v>
      </c>
      <c r="DC2008" t="s">
        <v>136</v>
      </c>
      <c r="DD2008" t="s">
        <v>114</v>
      </c>
      <c r="DE2008" t="s">
        <v>6362</v>
      </c>
      <c r="DF2008" t="s">
        <v>6363</v>
      </c>
      <c r="DH2008" t="s">
        <v>3980</v>
      </c>
      <c r="DI2008" t="s">
        <v>6364</v>
      </c>
    </row>
    <row r="2009" spans="1:113" ht="15" customHeight="1" x14ac:dyDescent="0.25">
      <c r="A2009" t="s">
        <v>6355</v>
      </c>
      <c r="B2009" t="s">
        <v>113</v>
      </c>
      <c r="C2009" s="1">
        <v>45125.676148379629</v>
      </c>
      <c r="D2009" s="1">
        <v>45218</v>
      </c>
      <c r="E2009" t="s">
        <v>114</v>
      </c>
      <c r="F2009" t="s">
        <v>6356</v>
      </c>
      <c r="G2009" t="str">
        <f>"51-2092.00"</f>
        <v>51-2092.00</v>
      </c>
      <c r="H2009" t="s">
        <v>4544</v>
      </c>
      <c r="I2009">
        <v>6</v>
      </c>
      <c r="K2009" s="1">
        <v>45200</v>
      </c>
      <c r="L2009" s="1">
        <v>45382</v>
      </c>
      <c r="O2009" t="s">
        <v>184</v>
      </c>
      <c r="P2009" t="s">
        <v>3966</v>
      </c>
      <c r="R2009" t="s">
        <v>3967</v>
      </c>
      <c r="T2009" t="s">
        <v>3968</v>
      </c>
      <c r="U2009" t="s">
        <v>375</v>
      </c>
      <c r="V2009" s="8" t="str">
        <f>"27006"</f>
        <v>27006</v>
      </c>
      <c r="W2009" t="s">
        <v>118</v>
      </c>
      <c r="Y2009" s="10">
        <v>13472857213</v>
      </c>
      <c r="AA2009">
        <v>337121</v>
      </c>
      <c r="AB2009" t="s">
        <v>3969</v>
      </c>
      <c r="AC2009" t="s">
        <v>2238</v>
      </c>
      <c r="AE2009" t="s">
        <v>3970</v>
      </c>
      <c r="AF2009" t="s">
        <v>3971</v>
      </c>
      <c r="AH2009" t="s">
        <v>3972</v>
      </c>
      <c r="AI2009" t="s">
        <v>127</v>
      </c>
      <c r="AJ2009" s="8" t="str">
        <f>"75181"</f>
        <v>75181</v>
      </c>
      <c r="AK2009" t="s">
        <v>118</v>
      </c>
      <c r="AM2009" s="10">
        <v>13472857213</v>
      </c>
      <c r="AO2009" t="s">
        <v>3973</v>
      </c>
      <c r="AP2009" t="s">
        <v>121</v>
      </c>
      <c r="AQ2009" t="s">
        <v>3974</v>
      </c>
      <c r="AR2009" t="s">
        <v>3975</v>
      </c>
      <c r="AS2009" t="s">
        <v>1829</v>
      </c>
      <c r="AT2009" t="s">
        <v>3977</v>
      </c>
      <c r="AU2009" t="s">
        <v>3978</v>
      </c>
      <c r="AV2009" t="s">
        <v>187</v>
      </c>
      <c r="AW2009" t="s">
        <v>188</v>
      </c>
      <c r="AX2009" s="8" t="str">
        <f>"80222"</f>
        <v>80222</v>
      </c>
      <c r="AY2009" t="s">
        <v>118</v>
      </c>
      <c r="BA2009" s="10">
        <v>18132217267</v>
      </c>
      <c r="BC2009" t="s">
        <v>3979</v>
      </c>
      <c r="BD2009" t="s">
        <v>3980</v>
      </c>
      <c r="BE2009" t="s">
        <v>140</v>
      </c>
      <c r="BF2009" t="s">
        <v>3229</v>
      </c>
      <c r="BG2009" t="s">
        <v>993</v>
      </c>
      <c r="BH2009" s="1">
        <v>45123.833333333336</v>
      </c>
      <c r="BI2009">
        <v>40</v>
      </c>
      <c r="BJ2009">
        <v>0</v>
      </c>
      <c r="BK2009">
        <v>10</v>
      </c>
      <c r="BL2009">
        <v>10</v>
      </c>
      <c r="BM2009">
        <v>10</v>
      </c>
      <c r="BN2009">
        <v>10</v>
      </c>
      <c r="BO2009">
        <v>0</v>
      </c>
      <c r="BP2009">
        <v>0</v>
      </c>
      <c r="BQ2009" t="str">
        <f>"5:00 PM"</f>
        <v>5:00 PM</v>
      </c>
      <c r="BR2009" t="str">
        <f>"3:00 AM"</f>
        <v>3:00 AM</v>
      </c>
      <c r="BS2009" t="s">
        <v>131</v>
      </c>
      <c r="BT2009">
        <v>0</v>
      </c>
      <c r="BU2009">
        <v>0</v>
      </c>
      <c r="BV2009" t="s">
        <v>114</v>
      </c>
      <c r="BX2009" t="s">
        <v>6357</v>
      </c>
      <c r="BY2009" t="s">
        <v>6358</v>
      </c>
      <c r="CA2009" t="s">
        <v>6359</v>
      </c>
      <c r="CB2009" t="s">
        <v>993</v>
      </c>
      <c r="CC2009" s="8" t="str">
        <f>"54729"</f>
        <v>54729</v>
      </c>
      <c r="CD2009" t="s">
        <v>6360</v>
      </c>
      <c r="CE2009" t="s">
        <v>4121</v>
      </c>
      <c r="CF2009" s="12">
        <v>17.25</v>
      </c>
      <c r="CG2009" s="12">
        <v>22</v>
      </c>
      <c r="CH2009" s="12">
        <v>25.88</v>
      </c>
      <c r="CI2009" s="12">
        <v>33</v>
      </c>
      <c r="CJ2009" t="s">
        <v>135</v>
      </c>
      <c r="CK2009" t="s">
        <v>3983</v>
      </c>
      <c r="CL2009" t="s">
        <v>6361</v>
      </c>
      <c r="CO2009" t="s">
        <v>132</v>
      </c>
      <c r="CP2009" t="s">
        <v>114</v>
      </c>
      <c r="CQ2009" t="s">
        <v>136</v>
      </c>
      <c r="CR2009" t="s">
        <v>136</v>
      </c>
      <c r="CS2009" t="s">
        <v>136</v>
      </c>
      <c r="CT2009" t="s">
        <v>136</v>
      </c>
      <c r="CU2009" t="s">
        <v>136</v>
      </c>
      <c r="CV2009" t="s">
        <v>3985</v>
      </c>
      <c r="CW2009" s="10" t="str">
        <f>"N/A"</f>
        <v>N/A</v>
      </c>
      <c r="CX2009" t="s">
        <v>3986</v>
      </c>
      <c r="CY2009" t="s">
        <v>3987</v>
      </c>
      <c r="CZ2009" t="s">
        <v>137</v>
      </c>
      <c r="DA2009" t="s">
        <v>114</v>
      </c>
      <c r="DB2009" t="s">
        <v>136</v>
      </c>
      <c r="DC2009" t="s">
        <v>136</v>
      </c>
      <c r="DD2009" t="s">
        <v>114</v>
      </c>
      <c r="DE2009" t="s">
        <v>6362</v>
      </c>
      <c r="DF2009" t="s">
        <v>6363</v>
      </c>
      <c r="DH2009" t="s">
        <v>3980</v>
      </c>
      <c r="DI2009" t="s">
        <v>6364</v>
      </c>
    </row>
    <row r="2010" spans="1:113" ht="15" customHeight="1" x14ac:dyDescent="0.25">
      <c r="A2010" t="s">
        <v>23321</v>
      </c>
      <c r="B2010" t="s">
        <v>113</v>
      </c>
      <c r="C2010" s="1">
        <v>45125.555094328702</v>
      </c>
      <c r="D2010" s="1">
        <v>45218</v>
      </c>
      <c r="E2010" t="s">
        <v>114</v>
      </c>
      <c r="F2010" t="s">
        <v>6356</v>
      </c>
      <c r="G2010" t="str">
        <f>"51-2092.00"</f>
        <v>51-2092.00</v>
      </c>
      <c r="H2010" t="s">
        <v>4544</v>
      </c>
      <c r="I2010">
        <v>6</v>
      </c>
      <c r="K2010" s="1">
        <v>45200</v>
      </c>
      <c r="L2010" s="1">
        <v>45382</v>
      </c>
      <c r="O2010" t="s">
        <v>184</v>
      </c>
      <c r="P2010" t="s">
        <v>3966</v>
      </c>
      <c r="R2010" t="s">
        <v>3967</v>
      </c>
      <c r="T2010" t="s">
        <v>3968</v>
      </c>
      <c r="U2010" t="s">
        <v>375</v>
      </c>
      <c r="V2010" s="8" t="str">
        <f>"27006"</f>
        <v>27006</v>
      </c>
      <c r="W2010" t="s">
        <v>118</v>
      </c>
      <c r="Y2010" s="10">
        <v>13472857213</v>
      </c>
      <c r="AA2010">
        <v>337121</v>
      </c>
      <c r="AB2010" t="s">
        <v>3969</v>
      </c>
      <c r="AC2010" t="s">
        <v>2238</v>
      </c>
      <c r="AE2010" t="s">
        <v>3970</v>
      </c>
      <c r="AF2010" t="s">
        <v>3971</v>
      </c>
      <c r="AH2010" t="s">
        <v>3972</v>
      </c>
      <c r="AI2010" t="s">
        <v>127</v>
      </c>
      <c r="AJ2010" s="8" t="str">
        <f>"75181"</f>
        <v>75181</v>
      </c>
      <c r="AK2010" t="s">
        <v>118</v>
      </c>
      <c r="AM2010" s="10">
        <v>13472857213</v>
      </c>
      <c r="AO2010" t="s">
        <v>3973</v>
      </c>
      <c r="AP2010" t="s">
        <v>121</v>
      </c>
      <c r="AQ2010" t="s">
        <v>3974</v>
      </c>
      <c r="AR2010" t="s">
        <v>3975</v>
      </c>
      <c r="AS2010" t="s">
        <v>1829</v>
      </c>
      <c r="AT2010" t="s">
        <v>3977</v>
      </c>
      <c r="AU2010" t="s">
        <v>3978</v>
      </c>
      <c r="AV2010" t="s">
        <v>187</v>
      </c>
      <c r="AW2010" t="s">
        <v>188</v>
      </c>
      <c r="AX2010" s="8" t="str">
        <f>"80222"</f>
        <v>80222</v>
      </c>
      <c r="AY2010" t="s">
        <v>118</v>
      </c>
      <c r="BA2010" s="10">
        <v>18132217267</v>
      </c>
      <c r="BC2010" t="s">
        <v>3979</v>
      </c>
      <c r="BD2010" t="s">
        <v>3980</v>
      </c>
      <c r="BE2010" t="s">
        <v>140</v>
      </c>
      <c r="BF2010" t="s">
        <v>3229</v>
      </c>
      <c r="BG2010" t="s">
        <v>375</v>
      </c>
      <c r="BH2010" s="1">
        <v>45124.833333333336</v>
      </c>
      <c r="BI2010">
        <v>40</v>
      </c>
      <c r="BJ2010">
        <v>0</v>
      </c>
      <c r="BK2010">
        <v>10</v>
      </c>
      <c r="BL2010">
        <v>10</v>
      </c>
      <c r="BM2010">
        <v>10</v>
      </c>
      <c r="BN2010">
        <v>10</v>
      </c>
      <c r="BO2010">
        <v>0</v>
      </c>
      <c r="BP2010">
        <v>0</v>
      </c>
      <c r="BQ2010" t="str">
        <f>"5:00 PM"</f>
        <v>5:00 PM</v>
      </c>
      <c r="BR2010" t="str">
        <f>"3:00 AM"</f>
        <v>3:00 AM</v>
      </c>
      <c r="BS2010" t="s">
        <v>131</v>
      </c>
      <c r="BT2010">
        <v>0</v>
      </c>
      <c r="BU2010">
        <v>0</v>
      </c>
      <c r="BV2010" t="s">
        <v>114</v>
      </c>
      <c r="BX2010" t="s">
        <v>6357</v>
      </c>
      <c r="BY2010" t="s">
        <v>3967</v>
      </c>
      <c r="CA2010" t="s">
        <v>3968</v>
      </c>
      <c r="CB2010" t="s">
        <v>375</v>
      </c>
      <c r="CC2010" s="8" t="str">
        <f>"27006"</f>
        <v>27006</v>
      </c>
      <c r="CD2010" t="s">
        <v>18572</v>
      </c>
      <c r="CE2010" t="s">
        <v>6194</v>
      </c>
      <c r="CF2010" s="12">
        <v>18.12</v>
      </c>
      <c r="CG2010" s="12">
        <v>22</v>
      </c>
      <c r="CH2010" s="12">
        <v>27.18</v>
      </c>
      <c r="CI2010" s="12">
        <v>33</v>
      </c>
      <c r="CJ2010" t="s">
        <v>135</v>
      </c>
      <c r="CK2010" t="s">
        <v>3983</v>
      </c>
      <c r="CL2010" t="s">
        <v>23322</v>
      </c>
      <c r="CO2010" t="s">
        <v>132</v>
      </c>
      <c r="CP2010" t="s">
        <v>114</v>
      </c>
      <c r="CQ2010" t="s">
        <v>136</v>
      </c>
      <c r="CR2010" t="s">
        <v>136</v>
      </c>
      <c r="CS2010" t="s">
        <v>136</v>
      </c>
      <c r="CT2010" t="s">
        <v>136</v>
      </c>
      <c r="CU2010" t="s">
        <v>136</v>
      </c>
      <c r="CV2010" t="s">
        <v>23323</v>
      </c>
      <c r="CW2010" s="10" t="str">
        <f>"N/A"</f>
        <v>N/A</v>
      </c>
      <c r="CX2010" t="s">
        <v>23324</v>
      </c>
      <c r="CY2010" t="s">
        <v>3987</v>
      </c>
      <c r="CZ2010" t="s">
        <v>137</v>
      </c>
      <c r="DA2010" t="s">
        <v>114</v>
      </c>
      <c r="DB2010" t="s">
        <v>136</v>
      </c>
      <c r="DC2010" t="s">
        <v>136</v>
      </c>
      <c r="DD2010" t="s">
        <v>114</v>
      </c>
      <c r="DE2010" t="s">
        <v>6362</v>
      </c>
      <c r="DF2010" t="s">
        <v>6363</v>
      </c>
      <c r="DH2010" t="s">
        <v>3980</v>
      </c>
      <c r="DI2010" t="s">
        <v>6364</v>
      </c>
    </row>
    <row r="2011" spans="1:113" ht="15" customHeight="1" x14ac:dyDescent="0.25">
      <c r="A2011" t="s">
        <v>11555</v>
      </c>
      <c r="B2011" t="s">
        <v>113</v>
      </c>
      <c r="C2011" s="1">
        <v>45121.157757407411</v>
      </c>
      <c r="D2011" s="1">
        <v>45218</v>
      </c>
      <c r="E2011" t="s">
        <v>114</v>
      </c>
      <c r="F2011" t="s">
        <v>3282</v>
      </c>
      <c r="G2011" t="str">
        <f>"47-2021.00"</f>
        <v>47-2021.00</v>
      </c>
      <c r="H2011" t="s">
        <v>2300</v>
      </c>
      <c r="I2011">
        <v>4</v>
      </c>
      <c r="K2011" s="1">
        <v>45200</v>
      </c>
      <c r="L2011" s="1">
        <v>45473</v>
      </c>
      <c r="O2011" t="s">
        <v>238</v>
      </c>
      <c r="P2011" t="s">
        <v>11556</v>
      </c>
      <c r="R2011" t="s">
        <v>11557</v>
      </c>
      <c r="T2011" t="s">
        <v>7966</v>
      </c>
      <c r="U2011" t="s">
        <v>386</v>
      </c>
      <c r="V2011" s="8" t="str">
        <f>"37090"</f>
        <v>37090</v>
      </c>
      <c r="W2011" t="s">
        <v>118</v>
      </c>
      <c r="Y2011" s="10">
        <v>16155842140</v>
      </c>
      <c r="AA2011">
        <v>561730</v>
      </c>
      <c r="AB2011" t="s">
        <v>11558</v>
      </c>
      <c r="AC2011" t="s">
        <v>119</v>
      </c>
      <c r="AD2011" t="s">
        <v>11559</v>
      </c>
      <c r="AE2011" t="s">
        <v>1349</v>
      </c>
      <c r="AF2011" t="s">
        <v>11560</v>
      </c>
      <c r="AH2011" t="s">
        <v>7972</v>
      </c>
      <c r="AI2011" t="s">
        <v>386</v>
      </c>
      <c r="AJ2011" s="8" t="str">
        <f>"37090"</f>
        <v>37090</v>
      </c>
      <c r="AK2011" t="s">
        <v>118</v>
      </c>
      <c r="AM2011" s="10">
        <v>16155842140</v>
      </c>
      <c r="AO2011" t="s">
        <v>11561</v>
      </c>
      <c r="AP2011" t="s">
        <v>248</v>
      </c>
      <c r="AQ2011" t="s">
        <v>11562</v>
      </c>
      <c r="AR2011" t="s">
        <v>11563</v>
      </c>
      <c r="AS2011" t="s">
        <v>11564</v>
      </c>
      <c r="AT2011" t="s">
        <v>11565</v>
      </c>
      <c r="AV2011" t="s">
        <v>11566</v>
      </c>
      <c r="AW2011" t="s">
        <v>402</v>
      </c>
      <c r="AX2011" s="8" t="str">
        <f>"95148"</f>
        <v>95148</v>
      </c>
      <c r="AY2011" t="s">
        <v>118</v>
      </c>
      <c r="BA2011" s="10">
        <v>14082183572</v>
      </c>
      <c r="BC2011" t="s">
        <v>11567</v>
      </c>
      <c r="BD2011" t="s">
        <v>11568</v>
      </c>
      <c r="BG2011" t="s">
        <v>386</v>
      </c>
      <c r="BH2011" s="1">
        <v>45120.833333333336</v>
      </c>
      <c r="BI2011">
        <v>35</v>
      </c>
      <c r="BJ2011">
        <v>0</v>
      </c>
      <c r="BK2011">
        <v>0</v>
      </c>
      <c r="BL2011">
        <v>7</v>
      </c>
      <c r="BM2011">
        <v>7</v>
      </c>
      <c r="BN2011">
        <v>7</v>
      </c>
      <c r="BO2011">
        <v>7</v>
      </c>
      <c r="BP2011">
        <v>7</v>
      </c>
      <c r="BQ2011" t="str">
        <f>"8:30 AM"</f>
        <v>8:30 AM</v>
      </c>
      <c r="BR2011" t="str">
        <f>"4:30 PM"</f>
        <v>4:30 PM</v>
      </c>
      <c r="BS2011" t="s">
        <v>131</v>
      </c>
      <c r="BT2011">
        <v>0</v>
      </c>
      <c r="BU2011">
        <v>0</v>
      </c>
      <c r="BV2011" t="s">
        <v>114</v>
      </c>
      <c r="BX2011" t="s">
        <v>11569</v>
      </c>
      <c r="BY2011" t="s">
        <v>11570</v>
      </c>
      <c r="CA2011" t="s">
        <v>11571</v>
      </c>
      <c r="CB2011" t="s">
        <v>386</v>
      </c>
      <c r="CC2011" s="8" t="str">
        <f>"37090"</f>
        <v>37090</v>
      </c>
      <c r="CD2011" t="s">
        <v>10926</v>
      </c>
      <c r="CE2011" t="s">
        <v>3752</v>
      </c>
      <c r="CF2011" s="12">
        <v>25.62</v>
      </c>
      <c r="CG2011" s="12">
        <v>25.62</v>
      </c>
      <c r="CJ2011" t="s">
        <v>135</v>
      </c>
      <c r="CK2011" t="s">
        <v>132</v>
      </c>
      <c r="CL2011" t="s">
        <v>11572</v>
      </c>
      <c r="CO2011" t="s">
        <v>132</v>
      </c>
      <c r="CP2011" t="s">
        <v>136</v>
      </c>
      <c r="CQ2011" t="s">
        <v>136</v>
      </c>
      <c r="CR2011" t="s">
        <v>114</v>
      </c>
      <c r="CS2011" t="s">
        <v>136</v>
      </c>
      <c r="CT2011" t="s">
        <v>136</v>
      </c>
      <c r="CU2011" t="s">
        <v>114</v>
      </c>
      <c r="CV2011" t="s">
        <v>11573</v>
      </c>
      <c r="CW2011" s="10" t="str">
        <f>"+16155842140"</f>
        <v>+16155842140</v>
      </c>
      <c r="CX2011" t="s">
        <v>11561</v>
      </c>
      <c r="CY2011" t="s">
        <v>132</v>
      </c>
      <c r="CZ2011" t="s">
        <v>137</v>
      </c>
      <c r="DA2011" t="s">
        <v>114</v>
      </c>
      <c r="DB2011" t="s">
        <v>114</v>
      </c>
      <c r="DC2011" t="s">
        <v>136</v>
      </c>
      <c r="DD2011" t="s">
        <v>114</v>
      </c>
    </row>
    <row r="2012" spans="1:113" ht="15" customHeight="1" x14ac:dyDescent="0.25">
      <c r="A2012" t="s">
        <v>19256</v>
      </c>
      <c r="B2012" t="s">
        <v>113</v>
      </c>
      <c r="C2012" s="1">
        <v>45119.860555902778</v>
      </c>
      <c r="D2012" s="1">
        <v>45218</v>
      </c>
      <c r="E2012" t="s">
        <v>114</v>
      </c>
      <c r="F2012" t="s">
        <v>19257</v>
      </c>
      <c r="G2012" t="str">
        <f>"47-2171.00"</f>
        <v>47-2171.00</v>
      </c>
      <c r="H2012" t="s">
        <v>13824</v>
      </c>
      <c r="I2012">
        <v>3</v>
      </c>
      <c r="K2012" s="1">
        <v>45200</v>
      </c>
      <c r="L2012" s="1">
        <v>45473</v>
      </c>
      <c r="O2012" t="s">
        <v>238</v>
      </c>
      <c r="P2012" t="s">
        <v>11556</v>
      </c>
      <c r="R2012" t="s">
        <v>11557</v>
      </c>
      <c r="T2012" t="s">
        <v>7966</v>
      </c>
      <c r="U2012" t="s">
        <v>386</v>
      </c>
      <c r="V2012" s="8" t="str">
        <f>"37090"</f>
        <v>37090</v>
      </c>
      <c r="W2012" t="s">
        <v>118</v>
      </c>
      <c r="Y2012" s="10">
        <v>16155842140</v>
      </c>
      <c r="AA2012">
        <v>561730</v>
      </c>
      <c r="AB2012" t="s">
        <v>11558</v>
      </c>
      <c r="AC2012" t="s">
        <v>119</v>
      </c>
      <c r="AD2012" t="s">
        <v>11559</v>
      </c>
      <c r="AE2012" t="s">
        <v>1349</v>
      </c>
      <c r="AF2012" t="s">
        <v>11560</v>
      </c>
      <c r="AH2012" t="s">
        <v>7972</v>
      </c>
      <c r="AI2012" t="s">
        <v>386</v>
      </c>
      <c r="AJ2012" s="8" t="str">
        <f>"37090"</f>
        <v>37090</v>
      </c>
      <c r="AK2012" t="s">
        <v>118</v>
      </c>
      <c r="AM2012" s="10">
        <v>16155842140</v>
      </c>
      <c r="AO2012" t="s">
        <v>11561</v>
      </c>
      <c r="AP2012" t="s">
        <v>248</v>
      </c>
      <c r="AQ2012" t="s">
        <v>11562</v>
      </c>
      <c r="AR2012" t="s">
        <v>11563</v>
      </c>
      <c r="AS2012" t="s">
        <v>11564</v>
      </c>
      <c r="AT2012" t="s">
        <v>11565</v>
      </c>
      <c r="AV2012" t="s">
        <v>11566</v>
      </c>
      <c r="AW2012" t="s">
        <v>402</v>
      </c>
      <c r="AX2012" s="8" t="str">
        <f>"95148"</f>
        <v>95148</v>
      </c>
      <c r="AY2012" t="s">
        <v>118</v>
      </c>
      <c r="BA2012" s="10">
        <v>14082183572</v>
      </c>
      <c r="BC2012" t="s">
        <v>11567</v>
      </c>
      <c r="BD2012" t="s">
        <v>11568</v>
      </c>
      <c r="BG2012" t="s">
        <v>386</v>
      </c>
      <c r="BH2012" s="1">
        <v>45118.833333333336</v>
      </c>
      <c r="BI2012">
        <v>35</v>
      </c>
      <c r="BJ2012">
        <v>0</v>
      </c>
      <c r="BK2012">
        <v>0</v>
      </c>
      <c r="BL2012">
        <v>7</v>
      </c>
      <c r="BM2012">
        <v>7</v>
      </c>
      <c r="BN2012">
        <v>7</v>
      </c>
      <c r="BO2012">
        <v>7</v>
      </c>
      <c r="BP2012">
        <v>7</v>
      </c>
      <c r="BQ2012" t="str">
        <f>"8:30 AM"</f>
        <v>8:30 AM</v>
      </c>
      <c r="BR2012" t="str">
        <f>"4:30 PM"</f>
        <v>4:30 PM</v>
      </c>
      <c r="BS2012" t="s">
        <v>131</v>
      </c>
      <c r="BT2012">
        <v>0</v>
      </c>
      <c r="BU2012">
        <v>1</v>
      </c>
      <c r="BV2012" t="s">
        <v>114</v>
      </c>
      <c r="BX2012" s="2" t="s">
        <v>19258</v>
      </c>
      <c r="BY2012" t="s">
        <v>11570</v>
      </c>
      <c r="CA2012" t="s">
        <v>11571</v>
      </c>
      <c r="CB2012" t="s">
        <v>386</v>
      </c>
      <c r="CC2012" s="8" t="str">
        <f>"37090"</f>
        <v>37090</v>
      </c>
      <c r="CD2012" t="s">
        <v>10926</v>
      </c>
      <c r="CE2012" t="s">
        <v>3752</v>
      </c>
      <c r="CF2012" s="12">
        <v>22.48</v>
      </c>
      <c r="CG2012" s="12">
        <v>22.48</v>
      </c>
      <c r="CJ2012" t="s">
        <v>135</v>
      </c>
      <c r="CK2012" t="s">
        <v>132</v>
      </c>
      <c r="CL2012" t="s">
        <v>19259</v>
      </c>
      <c r="CO2012" t="s">
        <v>132</v>
      </c>
      <c r="CP2012" t="s">
        <v>136</v>
      </c>
      <c r="CQ2012" t="s">
        <v>136</v>
      </c>
      <c r="CR2012" t="s">
        <v>114</v>
      </c>
      <c r="CS2012" t="s">
        <v>136</v>
      </c>
      <c r="CT2012" t="s">
        <v>136</v>
      </c>
      <c r="CU2012" t="s">
        <v>136</v>
      </c>
      <c r="CV2012" t="s">
        <v>11573</v>
      </c>
      <c r="CW2012" s="10" t="str">
        <f>"+16155842140"</f>
        <v>+16155842140</v>
      </c>
      <c r="CX2012" t="s">
        <v>11561</v>
      </c>
      <c r="CY2012" t="s">
        <v>132</v>
      </c>
      <c r="CZ2012" t="s">
        <v>137</v>
      </c>
      <c r="DA2012" t="s">
        <v>114</v>
      </c>
      <c r="DB2012" t="s">
        <v>114</v>
      </c>
      <c r="DC2012" t="s">
        <v>136</v>
      </c>
      <c r="DD2012" t="s">
        <v>114</v>
      </c>
    </row>
    <row r="2013" spans="1:113" ht="15" customHeight="1" x14ac:dyDescent="0.25">
      <c r="A2013" t="s">
        <v>21588</v>
      </c>
      <c r="B2013" t="s">
        <v>113</v>
      </c>
      <c r="C2013" s="1">
        <v>45113.874525462961</v>
      </c>
      <c r="D2013" s="1">
        <v>45218</v>
      </c>
      <c r="E2013" t="s">
        <v>114</v>
      </c>
      <c r="F2013" t="s">
        <v>21589</v>
      </c>
      <c r="G2013" t="str">
        <f>"35-2014.00"</f>
        <v>35-2014.00</v>
      </c>
      <c r="H2013" t="s">
        <v>154</v>
      </c>
      <c r="I2013">
        <v>20</v>
      </c>
      <c r="K2013" s="1">
        <v>45200</v>
      </c>
      <c r="L2013" s="1">
        <v>45382</v>
      </c>
      <c r="O2013" t="s">
        <v>116</v>
      </c>
      <c r="P2013" t="s">
        <v>21590</v>
      </c>
      <c r="R2013" t="s">
        <v>21591</v>
      </c>
      <c r="S2013" t="s">
        <v>21592</v>
      </c>
      <c r="T2013" t="s">
        <v>2773</v>
      </c>
      <c r="U2013" t="s">
        <v>140</v>
      </c>
      <c r="V2013" s="8" t="str">
        <f>"32413"</f>
        <v>32413</v>
      </c>
      <c r="W2013" t="s">
        <v>118</v>
      </c>
      <c r="Y2013" s="10">
        <v>18507759329</v>
      </c>
      <c r="AA2013">
        <v>5613</v>
      </c>
      <c r="AB2013" t="s">
        <v>21593</v>
      </c>
      <c r="AC2013" t="s">
        <v>21594</v>
      </c>
      <c r="AE2013" t="s">
        <v>1836</v>
      </c>
      <c r="AF2013" t="s">
        <v>21595</v>
      </c>
      <c r="AG2013" t="s">
        <v>21592</v>
      </c>
      <c r="AH2013" t="s">
        <v>2773</v>
      </c>
      <c r="AI2013" t="s">
        <v>140</v>
      </c>
      <c r="AJ2013" s="8" t="str">
        <f>"32413"</f>
        <v>32413</v>
      </c>
      <c r="AK2013" t="s">
        <v>118</v>
      </c>
      <c r="AM2013" s="10">
        <v>18507759329</v>
      </c>
      <c r="AO2013" t="s">
        <v>21596</v>
      </c>
      <c r="AP2013" t="s">
        <v>121</v>
      </c>
      <c r="AQ2013" t="s">
        <v>7212</v>
      </c>
      <c r="AR2013" t="s">
        <v>7213</v>
      </c>
      <c r="AT2013" t="s">
        <v>7214</v>
      </c>
      <c r="AU2013" t="s">
        <v>7215</v>
      </c>
      <c r="AV2013" t="s">
        <v>7216</v>
      </c>
      <c r="AW2013" t="s">
        <v>222</v>
      </c>
      <c r="AX2013" s="8" t="str">
        <f>"02116"</f>
        <v>02116</v>
      </c>
      <c r="AY2013" t="s">
        <v>118</v>
      </c>
      <c r="BA2013" s="10">
        <v>18323567667</v>
      </c>
      <c r="BC2013" t="s">
        <v>7217</v>
      </c>
      <c r="BD2013" t="s">
        <v>7218</v>
      </c>
      <c r="BE2013" t="s">
        <v>127</v>
      </c>
      <c r="BF2013" t="s">
        <v>750</v>
      </c>
      <c r="BG2013" t="s">
        <v>140</v>
      </c>
      <c r="BH2013" s="1">
        <v>45112.833333333336</v>
      </c>
      <c r="BI2013">
        <v>40</v>
      </c>
      <c r="BJ2013">
        <v>0</v>
      </c>
      <c r="BK2013">
        <v>8</v>
      </c>
      <c r="BL2013">
        <v>8</v>
      </c>
      <c r="BM2013">
        <v>8</v>
      </c>
      <c r="BN2013">
        <v>8</v>
      </c>
      <c r="BO2013">
        <v>8</v>
      </c>
      <c r="BP2013">
        <v>0</v>
      </c>
      <c r="BQ2013" t="str">
        <f>"8:00 AM"</f>
        <v>8:00 AM</v>
      </c>
      <c r="BR2013" t="str">
        <f>"4:30 PM"</f>
        <v>4:30 PM</v>
      </c>
      <c r="BS2013" t="s">
        <v>131</v>
      </c>
      <c r="BT2013">
        <v>0</v>
      </c>
      <c r="BU2013">
        <v>3</v>
      </c>
      <c r="BV2013" t="s">
        <v>114</v>
      </c>
      <c r="BX2013" s="2" t="s">
        <v>21597</v>
      </c>
      <c r="BY2013" t="s">
        <v>21598</v>
      </c>
      <c r="BZ2013" t="s">
        <v>21599</v>
      </c>
      <c r="CA2013" t="s">
        <v>21600</v>
      </c>
      <c r="CB2013" t="s">
        <v>140</v>
      </c>
      <c r="CC2013" s="8" t="str">
        <f>"32413"</f>
        <v>32413</v>
      </c>
      <c r="CD2013" t="s">
        <v>2727</v>
      </c>
      <c r="CE2013" t="s">
        <v>2728</v>
      </c>
      <c r="CF2013" s="12">
        <v>15.56</v>
      </c>
      <c r="CH2013" s="12">
        <v>23.34</v>
      </c>
      <c r="CJ2013" t="s">
        <v>135</v>
      </c>
      <c r="CL2013" t="s">
        <v>21601</v>
      </c>
      <c r="CO2013" t="s">
        <v>132</v>
      </c>
      <c r="CP2013" t="s">
        <v>136</v>
      </c>
      <c r="CQ2013" t="s">
        <v>114</v>
      </c>
      <c r="CR2013" t="s">
        <v>136</v>
      </c>
      <c r="CS2013" t="s">
        <v>136</v>
      </c>
      <c r="CT2013" t="s">
        <v>136</v>
      </c>
      <c r="CU2013" t="s">
        <v>136</v>
      </c>
      <c r="CV2013" t="s">
        <v>21602</v>
      </c>
      <c r="CW2013" s="10" t="str">
        <f>"+18507759329"</f>
        <v>+18507759329</v>
      </c>
      <c r="CX2013" t="s">
        <v>21596</v>
      </c>
      <c r="CY2013" t="s">
        <v>132</v>
      </c>
      <c r="CZ2013" t="s">
        <v>10033</v>
      </c>
      <c r="DA2013" t="s">
        <v>136</v>
      </c>
      <c r="DB2013" t="s">
        <v>136</v>
      </c>
      <c r="DC2013" t="s">
        <v>136</v>
      </c>
      <c r="DD2013" t="s">
        <v>136</v>
      </c>
    </row>
    <row r="2014" spans="1:113" ht="15" customHeight="1" x14ac:dyDescent="0.25">
      <c r="A2014" t="s">
        <v>181</v>
      </c>
      <c r="B2014" t="s">
        <v>113</v>
      </c>
      <c r="C2014" s="1">
        <v>45152.444995601851</v>
      </c>
      <c r="D2014" s="1">
        <v>45217</v>
      </c>
      <c r="E2014" t="s">
        <v>114</v>
      </c>
      <c r="F2014" t="s">
        <v>182</v>
      </c>
      <c r="G2014" t="str">
        <f>"39-9011.01"</f>
        <v>39-9011.01</v>
      </c>
      <c r="H2014" t="s">
        <v>183</v>
      </c>
      <c r="I2014">
        <v>1</v>
      </c>
      <c r="K2014" s="1">
        <v>45227</v>
      </c>
      <c r="L2014" s="1">
        <v>45227</v>
      </c>
      <c r="O2014" t="s">
        <v>184</v>
      </c>
      <c r="P2014" t="s">
        <v>185</v>
      </c>
      <c r="R2014" t="s">
        <v>186</v>
      </c>
      <c r="T2014" t="s">
        <v>187</v>
      </c>
      <c r="U2014" t="s">
        <v>188</v>
      </c>
      <c r="V2014" s="8" t="str">
        <f>"80209"</f>
        <v>80209</v>
      </c>
      <c r="W2014" t="s">
        <v>118</v>
      </c>
      <c r="Y2014" s="10">
        <v>17046166647</v>
      </c>
      <c r="AA2014">
        <v>814110</v>
      </c>
      <c r="AB2014" t="s">
        <v>189</v>
      </c>
      <c r="AC2014" t="s">
        <v>190</v>
      </c>
      <c r="AD2014" t="s">
        <v>144</v>
      </c>
      <c r="AE2014" t="s">
        <v>191</v>
      </c>
      <c r="AF2014" t="s">
        <v>186</v>
      </c>
      <c r="AH2014" t="s">
        <v>187</v>
      </c>
      <c r="AI2014" t="s">
        <v>188</v>
      </c>
      <c r="AJ2014" s="8" t="str">
        <f>"80209"</f>
        <v>80209</v>
      </c>
      <c r="AK2014" t="s">
        <v>118</v>
      </c>
      <c r="AM2014" s="10">
        <v>17047630129</v>
      </c>
      <c r="AO2014" t="s">
        <v>192</v>
      </c>
      <c r="AX2014" s="8" t="str">
        <f>""</f>
        <v/>
      </c>
      <c r="BG2014" t="s">
        <v>188</v>
      </c>
      <c r="BH2014" s="1">
        <v>45151.833333333336</v>
      </c>
      <c r="BI2014">
        <v>42</v>
      </c>
      <c r="BJ2014">
        <v>0</v>
      </c>
      <c r="BK2014">
        <v>9</v>
      </c>
      <c r="BL2014">
        <v>9</v>
      </c>
      <c r="BM2014">
        <v>9</v>
      </c>
      <c r="BN2014">
        <v>9</v>
      </c>
      <c r="BO2014">
        <v>6</v>
      </c>
      <c r="BP2014">
        <v>0</v>
      </c>
      <c r="BQ2014" t="str">
        <f>"7:45 AM"</f>
        <v>7:45 AM</v>
      </c>
      <c r="BR2014" t="str">
        <f>"4:45 PM"</f>
        <v>4:45 PM</v>
      </c>
      <c r="BS2014" t="s">
        <v>131</v>
      </c>
      <c r="BT2014">
        <v>1</v>
      </c>
      <c r="BU2014">
        <v>24</v>
      </c>
      <c r="BV2014" t="s">
        <v>114</v>
      </c>
      <c r="BX2014" s="2" t="s">
        <v>193</v>
      </c>
      <c r="BY2014" t="s">
        <v>186</v>
      </c>
      <c r="CA2014" t="s">
        <v>187</v>
      </c>
      <c r="CB2014" t="s">
        <v>188</v>
      </c>
      <c r="CC2014" s="8" t="str">
        <f>"80209"</f>
        <v>80209</v>
      </c>
      <c r="CD2014" t="s">
        <v>194</v>
      </c>
      <c r="CE2014" t="s">
        <v>195</v>
      </c>
      <c r="CF2014" s="12">
        <v>17.07</v>
      </c>
      <c r="CG2014" s="12">
        <v>18</v>
      </c>
      <c r="CJ2014" t="s">
        <v>135</v>
      </c>
      <c r="CL2014" t="s">
        <v>196</v>
      </c>
      <c r="CO2014" t="s">
        <v>132</v>
      </c>
      <c r="CP2014" t="s">
        <v>114</v>
      </c>
      <c r="CQ2014" t="s">
        <v>114</v>
      </c>
      <c r="CR2014" t="s">
        <v>114</v>
      </c>
      <c r="CS2014" t="s">
        <v>136</v>
      </c>
      <c r="CT2014" t="s">
        <v>136</v>
      </c>
      <c r="CU2014" t="s">
        <v>136</v>
      </c>
      <c r="CV2014" s="2" t="s">
        <v>197</v>
      </c>
      <c r="CW2014" s="10" t="str">
        <f>"+17046166647"</f>
        <v>+17046166647</v>
      </c>
      <c r="CX2014" t="s">
        <v>192</v>
      </c>
      <c r="CY2014" t="s">
        <v>198</v>
      </c>
      <c r="CZ2014" t="s">
        <v>137</v>
      </c>
      <c r="DA2014" t="s">
        <v>114</v>
      </c>
      <c r="DB2014" t="s">
        <v>114</v>
      </c>
      <c r="DC2014" t="s">
        <v>136</v>
      </c>
      <c r="DD2014" t="s">
        <v>114</v>
      </c>
      <c r="DE2014" t="s">
        <v>199</v>
      </c>
      <c r="DF2014" t="s">
        <v>200</v>
      </c>
      <c r="DH2014" t="s">
        <v>201</v>
      </c>
      <c r="DI2014" t="s">
        <v>202</v>
      </c>
    </row>
    <row r="2015" spans="1:113" ht="15" customHeight="1" x14ac:dyDescent="0.25">
      <c r="A2015" t="s">
        <v>8811</v>
      </c>
      <c r="B2015" t="s">
        <v>113</v>
      </c>
      <c r="C2015" s="1">
        <v>45134.159534027778</v>
      </c>
      <c r="D2015" s="1">
        <v>45217</v>
      </c>
      <c r="E2015" t="s">
        <v>136</v>
      </c>
      <c r="F2015" t="s">
        <v>8812</v>
      </c>
      <c r="G2015" t="str">
        <f>"47-4091.00"</f>
        <v>47-4091.00</v>
      </c>
      <c r="H2015" t="s">
        <v>2315</v>
      </c>
      <c r="I2015">
        <v>3</v>
      </c>
      <c r="K2015" s="1">
        <v>45198</v>
      </c>
      <c r="L2015" s="1">
        <v>45473</v>
      </c>
      <c r="O2015" t="s">
        <v>238</v>
      </c>
      <c r="P2015" t="s">
        <v>8813</v>
      </c>
      <c r="Q2015" t="s">
        <v>8813</v>
      </c>
      <c r="R2015" t="s">
        <v>8814</v>
      </c>
      <c r="T2015" t="s">
        <v>8815</v>
      </c>
      <c r="U2015" t="s">
        <v>479</v>
      </c>
      <c r="V2015" s="8" t="str">
        <f>"97123"</f>
        <v>97123</v>
      </c>
      <c r="W2015" t="s">
        <v>118</v>
      </c>
      <c r="Y2015" s="10">
        <v>15035740194</v>
      </c>
      <c r="AA2015">
        <v>56173</v>
      </c>
      <c r="AB2015" t="s">
        <v>8816</v>
      </c>
      <c r="AC2015" t="s">
        <v>8817</v>
      </c>
      <c r="AE2015" t="s">
        <v>654</v>
      </c>
      <c r="AF2015" t="s">
        <v>8818</v>
      </c>
      <c r="AH2015" t="s">
        <v>8815</v>
      </c>
      <c r="AI2015" t="s">
        <v>479</v>
      </c>
      <c r="AJ2015" s="8" t="str">
        <f>"97123"</f>
        <v>97123</v>
      </c>
      <c r="AK2015" t="s">
        <v>118</v>
      </c>
      <c r="AM2015" s="10">
        <v>15035740194</v>
      </c>
      <c r="AO2015" t="s">
        <v>8819</v>
      </c>
      <c r="AX2015" s="8" t="str">
        <f>""</f>
        <v/>
      </c>
      <c r="BG2015" t="s">
        <v>479</v>
      </c>
      <c r="BH2015" s="1">
        <v>45133.833333333336</v>
      </c>
      <c r="BI2015">
        <v>40</v>
      </c>
      <c r="BJ2015">
        <v>0</v>
      </c>
      <c r="BK2015">
        <v>8</v>
      </c>
      <c r="BL2015">
        <v>8</v>
      </c>
      <c r="BM2015">
        <v>8</v>
      </c>
      <c r="BN2015">
        <v>8</v>
      </c>
      <c r="BO2015">
        <v>8</v>
      </c>
      <c r="BP2015">
        <v>0</v>
      </c>
      <c r="BQ2015" t="str">
        <f>"7:00 AM"</f>
        <v>7:00 AM</v>
      </c>
      <c r="BR2015" t="str">
        <f>"3:30 PM"</f>
        <v>3:30 PM</v>
      </c>
      <c r="BS2015" t="s">
        <v>131</v>
      </c>
      <c r="BT2015">
        <v>1</v>
      </c>
      <c r="BU2015">
        <v>0</v>
      </c>
      <c r="BV2015" t="s">
        <v>136</v>
      </c>
      <c r="BW2015">
        <v>3</v>
      </c>
      <c r="BX2015" t="s">
        <v>1480</v>
      </c>
      <c r="BY2015" t="s">
        <v>8818</v>
      </c>
      <c r="CA2015" t="s">
        <v>8815</v>
      </c>
      <c r="CB2015" t="s">
        <v>479</v>
      </c>
      <c r="CC2015" s="8" t="str">
        <f>"97123"</f>
        <v>97123</v>
      </c>
      <c r="CD2015" t="s">
        <v>806</v>
      </c>
      <c r="CE2015" t="s">
        <v>807</v>
      </c>
      <c r="CF2015" s="12">
        <v>25.01</v>
      </c>
      <c r="CG2015" s="12">
        <v>25.01</v>
      </c>
      <c r="CJ2015" t="s">
        <v>135</v>
      </c>
      <c r="CL2015" t="s">
        <v>8820</v>
      </c>
      <c r="CO2015" t="s">
        <v>136</v>
      </c>
      <c r="CP2015" t="s">
        <v>114</v>
      </c>
      <c r="CQ2015" t="s">
        <v>136</v>
      </c>
      <c r="CR2015" t="s">
        <v>114</v>
      </c>
      <c r="CS2015" t="s">
        <v>136</v>
      </c>
      <c r="CT2015" t="s">
        <v>136</v>
      </c>
      <c r="CU2015" t="s">
        <v>136</v>
      </c>
      <c r="CV2015" t="s">
        <v>132</v>
      </c>
      <c r="CW2015" s="10" t="str">
        <f>"+15035740194"</f>
        <v>+15035740194</v>
      </c>
      <c r="CX2015" t="s">
        <v>8819</v>
      </c>
      <c r="CY2015" t="s">
        <v>132</v>
      </c>
      <c r="CZ2015" t="s">
        <v>137</v>
      </c>
      <c r="DA2015" t="s">
        <v>114</v>
      </c>
      <c r="DB2015" t="s">
        <v>114</v>
      </c>
      <c r="DC2015" t="s">
        <v>136</v>
      </c>
      <c r="DD2015" t="s">
        <v>114</v>
      </c>
      <c r="DE2015" t="s">
        <v>796</v>
      </c>
      <c r="DF2015" t="s">
        <v>796</v>
      </c>
      <c r="DH2015" t="s">
        <v>8821</v>
      </c>
      <c r="DI2015" t="s">
        <v>8819</v>
      </c>
    </row>
    <row r="2016" spans="1:113" ht="15" customHeight="1" x14ac:dyDescent="0.25">
      <c r="A2016" t="s">
        <v>17065</v>
      </c>
      <c r="B2016" t="s">
        <v>113</v>
      </c>
      <c r="C2016" s="1">
        <v>45133.87249050926</v>
      </c>
      <c r="D2016" s="1">
        <v>45217</v>
      </c>
      <c r="E2016" t="s">
        <v>114</v>
      </c>
      <c r="F2016" t="s">
        <v>17066</v>
      </c>
      <c r="G2016" t="str">
        <f>"31-1122.00"</f>
        <v>31-1122.00</v>
      </c>
      <c r="H2016" t="s">
        <v>8076</v>
      </c>
      <c r="I2016">
        <v>1</v>
      </c>
      <c r="K2016" s="1">
        <v>45223</v>
      </c>
      <c r="L2016" s="1">
        <v>45588</v>
      </c>
      <c r="O2016" t="s">
        <v>184</v>
      </c>
      <c r="P2016" t="s">
        <v>17067</v>
      </c>
      <c r="R2016" t="s">
        <v>17068</v>
      </c>
      <c r="T2016" t="s">
        <v>7445</v>
      </c>
      <c r="U2016" t="s">
        <v>558</v>
      </c>
      <c r="V2016" s="8" t="str">
        <f>"85234"</f>
        <v>85234</v>
      </c>
      <c r="W2016" t="s">
        <v>118</v>
      </c>
      <c r="Y2016" s="10">
        <v>14807969827</v>
      </c>
      <c r="AA2016">
        <v>62331</v>
      </c>
      <c r="AB2016" t="s">
        <v>17069</v>
      </c>
      <c r="AC2016" t="s">
        <v>2709</v>
      </c>
      <c r="AE2016" t="s">
        <v>120</v>
      </c>
      <c r="AF2016" t="s">
        <v>17068</v>
      </c>
      <c r="AH2016" t="s">
        <v>7445</v>
      </c>
      <c r="AI2016" t="s">
        <v>558</v>
      </c>
      <c r="AJ2016" s="8" t="str">
        <f>"85234"</f>
        <v>85234</v>
      </c>
      <c r="AK2016" t="s">
        <v>118</v>
      </c>
      <c r="AM2016" s="10">
        <v>17144659827</v>
      </c>
      <c r="AO2016" t="s">
        <v>17070</v>
      </c>
      <c r="AP2016" t="s">
        <v>121</v>
      </c>
      <c r="AQ2016" t="s">
        <v>14106</v>
      </c>
      <c r="AR2016" t="s">
        <v>14107</v>
      </c>
      <c r="AT2016" t="s">
        <v>17071</v>
      </c>
      <c r="AV2016" t="s">
        <v>2960</v>
      </c>
      <c r="AW2016" t="s">
        <v>558</v>
      </c>
      <c r="AX2016" s="8" t="str">
        <f>"85012"</f>
        <v>85012</v>
      </c>
      <c r="AY2016" t="s">
        <v>118</v>
      </c>
      <c r="BA2016" s="10">
        <v>16028604400</v>
      </c>
      <c r="BC2016" t="s">
        <v>14110</v>
      </c>
      <c r="BD2016" t="s">
        <v>17072</v>
      </c>
      <c r="BE2016" t="s">
        <v>169</v>
      </c>
      <c r="BF2016" t="s">
        <v>8138</v>
      </c>
      <c r="BG2016" t="s">
        <v>558</v>
      </c>
      <c r="BH2016" s="1">
        <v>45132.833333333336</v>
      </c>
      <c r="BI2016">
        <v>40</v>
      </c>
      <c r="BJ2016">
        <v>0</v>
      </c>
      <c r="BK2016">
        <v>8</v>
      </c>
      <c r="BL2016">
        <v>8</v>
      </c>
      <c r="BM2016">
        <v>8</v>
      </c>
      <c r="BN2016">
        <v>8</v>
      </c>
      <c r="BO2016">
        <v>8</v>
      </c>
      <c r="BP2016">
        <v>0</v>
      </c>
      <c r="BQ2016" t="str">
        <f>"9:00 AM"</f>
        <v>9:00 AM</v>
      </c>
      <c r="BR2016" t="str">
        <f>"5:00 PM"</f>
        <v>5:00 PM</v>
      </c>
      <c r="BS2016" t="s">
        <v>131</v>
      </c>
      <c r="BT2016">
        <v>0</v>
      </c>
      <c r="BU2016">
        <v>12</v>
      </c>
      <c r="BV2016" t="s">
        <v>114</v>
      </c>
      <c r="BX2016" s="2" t="s">
        <v>17073</v>
      </c>
      <c r="BY2016" t="s">
        <v>17074</v>
      </c>
      <c r="CA2016" t="s">
        <v>7445</v>
      </c>
      <c r="CB2016" t="s">
        <v>558</v>
      </c>
      <c r="CC2016" s="8" t="str">
        <f>"85234"</f>
        <v>85234</v>
      </c>
      <c r="CD2016" t="s">
        <v>1391</v>
      </c>
      <c r="CE2016" t="s">
        <v>565</v>
      </c>
      <c r="CF2016" s="12">
        <v>14.23</v>
      </c>
      <c r="CG2016" s="12">
        <v>14.23</v>
      </c>
      <c r="CJ2016" t="s">
        <v>135</v>
      </c>
      <c r="CL2016" t="s">
        <v>17075</v>
      </c>
      <c r="CO2016" t="s">
        <v>132</v>
      </c>
      <c r="CP2016" t="s">
        <v>114</v>
      </c>
      <c r="CQ2016" t="s">
        <v>114</v>
      </c>
      <c r="CR2016" t="s">
        <v>114</v>
      </c>
      <c r="CS2016" t="s">
        <v>114</v>
      </c>
      <c r="CT2016" t="s">
        <v>136</v>
      </c>
      <c r="CU2016" t="s">
        <v>114</v>
      </c>
      <c r="CV2016" t="s">
        <v>131</v>
      </c>
      <c r="CW2016" s="10" t="str">
        <f>"+14807969827"</f>
        <v>+14807969827</v>
      </c>
      <c r="CX2016" t="s">
        <v>17070</v>
      </c>
      <c r="CY2016" t="s">
        <v>17076</v>
      </c>
      <c r="CZ2016" t="s">
        <v>137</v>
      </c>
      <c r="DA2016" t="s">
        <v>114</v>
      </c>
      <c r="DB2016" t="s">
        <v>114</v>
      </c>
      <c r="DC2016" t="s">
        <v>136</v>
      </c>
      <c r="DD2016" t="s">
        <v>114</v>
      </c>
      <c r="DE2016" t="s">
        <v>14106</v>
      </c>
      <c r="DF2016" t="s">
        <v>14107</v>
      </c>
      <c r="DH2016" t="s">
        <v>17077</v>
      </c>
      <c r="DI2016" t="s">
        <v>14110</v>
      </c>
    </row>
    <row r="2017" spans="1:113" ht="15" customHeight="1" x14ac:dyDescent="0.25">
      <c r="A2017" t="s">
        <v>8443</v>
      </c>
      <c r="B2017" t="s">
        <v>113</v>
      </c>
      <c r="C2017" s="1">
        <v>45131.948897569448</v>
      </c>
      <c r="D2017" s="1">
        <v>45217</v>
      </c>
      <c r="E2017" t="s">
        <v>114</v>
      </c>
      <c r="F2017" t="s">
        <v>182</v>
      </c>
      <c r="G2017" t="str">
        <f>"39-9011.01"</f>
        <v>39-9011.01</v>
      </c>
      <c r="H2017" t="s">
        <v>183</v>
      </c>
      <c r="I2017">
        <v>1</v>
      </c>
      <c r="K2017" s="1">
        <v>45206</v>
      </c>
      <c r="L2017" s="1">
        <v>45572</v>
      </c>
      <c r="O2017" t="s">
        <v>184</v>
      </c>
      <c r="P2017" t="s">
        <v>8444</v>
      </c>
      <c r="R2017" t="s">
        <v>8445</v>
      </c>
      <c r="T2017" t="s">
        <v>8446</v>
      </c>
      <c r="U2017" t="s">
        <v>386</v>
      </c>
      <c r="V2017" s="8" t="str">
        <f>"37174"</f>
        <v>37174</v>
      </c>
      <c r="W2017" t="s">
        <v>118</v>
      </c>
      <c r="Y2017" s="10">
        <v>16155570086</v>
      </c>
      <c r="AA2017">
        <v>814110</v>
      </c>
      <c r="AB2017" t="s">
        <v>8447</v>
      </c>
      <c r="AC2017" t="s">
        <v>123</v>
      </c>
      <c r="AD2017" t="s">
        <v>5185</v>
      </c>
      <c r="AE2017" t="s">
        <v>5983</v>
      </c>
      <c r="AF2017" t="s">
        <v>8445</v>
      </c>
      <c r="AH2017" t="s">
        <v>8446</v>
      </c>
      <c r="AI2017" t="s">
        <v>386</v>
      </c>
      <c r="AJ2017" s="8" t="str">
        <f>"37174"</f>
        <v>37174</v>
      </c>
      <c r="AK2017" t="s">
        <v>118</v>
      </c>
      <c r="AM2017" s="10">
        <v>16155570086</v>
      </c>
      <c r="AO2017" t="s">
        <v>8448</v>
      </c>
      <c r="AX2017" s="8" t="str">
        <f>""</f>
        <v/>
      </c>
      <c r="BG2017" t="s">
        <v>386</v>
      </c>
      <c r="BH2017" s="1">
        <v>45117.833333333336</v>
      </c>
      <c r="BI2017">
        <v>35</v>
      </c>
      <c r="BJ2017">
        <v>0</v>
      </c>
      <c r="BK2017">
        <v>6</v>
      </c>
      <c r="BL2017">
        <v>6</v>
      </c>
      <c r="BM2017">
        <v>6</v>
      </c>
      <c r="BN2017">
        <v>6</v>
      </c>
      <c r="BO2017">
        <v>6</v>
      </c>
      <c r="BP2017">
        <v>5</v>
      </c>
      <c r="BQ2017" t="str">
        <f>"10:00 AM"</f>
        <v>10:00 AM</v>
      </c>
      <c r="BR2017" t="str">
        <f>"5:00 PM"</f>
        <v>5:00 PM</v>
      </c>
      <c r="BS2017" t="s">
        <v>147</v>
      </c>
      <c r="BT2017">
        <v>0</v>
      </c>
      <c r="BU2017">
        <v>12</v>
      </c>
      <c r="BV2017" t="s">
        <v>114</v>
      </c>
      <c r="BX2017" t="s">
        <v>1789</v>
      </c>
      <c r="BY2017" t="s">
        <v>8449</v>
      </c>
      <c r="CA2017" t="s">
        <v>8450</v>
      </c>
      <c r="CB2017" t="s">
        <v>386</v>
      </c>
      <c r="CC2017" s="8" t="str">
        <f>"37091"</f>
        <v>37091</v>
      </c>
      <c r="CD2017" t="s">
        <v>3121</v>
      </c>
      <c r="CE2017" t="s">
        <v>2922</v>
      </c>
      <c r="CF2017" s="12">
        <v>12.05</v>
      </c>
      <c r="CJ2017" t="s">
        <v>135</v>
      </c>
      <c r="CK2017" t="s">
        <v>796</v>
      </c>
      <c r="CL2017" t="s">
        <v>8451</v>
      </c>
      <c r="CO2017" t="s">
        <v>132</v>
      </c>
      <c r="CP2017" t="s">
        <v>114</v>
      </c>
      <c r="CQ2017" t="s">
        <v>136</v>
      </c>
      <c r="CR2017" t="s">
        <v>114</v>
      </c>
      <c r="CS2017" t="s">
        <v>136</v>
      </c>
      <c r="CT2017" t="s">
        <v>136</v>
      </c>
      <c r="CU2017" t="s">
        <v>136</v>
      </c>
      <c r="CV2017" s="2" t="s">
        <v>8452</v>
      </c>
      <c r="CW2017" s="10" t="str">
        <f>"+16155570086"</f>
        <v>+16155570086</v>
      </c>
      <c r="CX2017" t="s">
        <v>8453</v>
      </c>
      <c r="CY2017" t="s">
        <v>132</v>
      </c>
      <c r="CZ2017" t="s">
        <v>137</v>
      </c>
      <c r="DA2017" t="s">
        <v>114</v>
      </c>
      <c r="DB2017" t="s">
        <v>114</v>
      </c>
      <c r="DC2017" t="s">
        <v>136</v>
      </c>
      <c r="DD2017" t="s">
        <v>114</v>
      </c>
    </row>
    <row r="2018" spans="1:113" ht="15" customHeight="1" x14ac:dyDescent="0.25">
      <c r="A2018" t="s">
        <v>21705</v>
      </c>
      <c r="B2018" t="s">
        <v>113</v>
      </c>
      <c r="C2018" s="1">
        <v>45131.783807060187</v>
      </c>
      <c r="D2018" s="1">
        <v>45217</v>
      </c>
      <c r="E2018" t="s">
        <v>136</v>
      </c>
      <c r="F2018" t="s">
        <v>5179</v>
      </c>
      <c r="G2018" t="str">
        <f>"31-1122.00"</f>
        <v>31-1122.00</v>
      </c>
      <c r="H2018" t="s">
        <v>8076</v>
      </c>
      <c r="I2018">
        <v>30</v>
      </c>
      <c r="K2018" s="1">
        <v>45208</v>
      </c>
      <c r="L2018" s="1">
        <v>45412</v>
      </c>
      <c r="O2018" t="s">
        <v>116</v>
      </c>
      <c r="P2018" t="s">
        <v>21706</v>
      </c>
      <c r="Q2018" t="s">
        <v>21706</v>
      </c>
      <c r="R2018" t="s">
        <v>21707</v>
      </c>
      <c r="T2018" t="s">
        <v>21708</v>
      </c>
      <c r="U2018" t="s">
        <v>558</v>
      </c>
      <c r="V2018" s="8" t="str">
        <f>"85233"</f>
        <v>85233</v>
      </c>
      <c r="W2018" t="s">
        <v>118</v>
      </c>
      <c r="Y2018" s="10">
        <v>14802332099</v>
      </c>
      <c r="AA2018">
        <v>621610</v>
      </c>
      <c r="AB2018" t="s">
        <v>21709</v>
      </c>
      <c r="AC2018" t="s">
        <v>21710</v>
      </c>
      <c r="AD2018" t="s">
        <v>21711</v>
      </c>
      <c r="AE2018" t="s">
        <v>1836</v>
      </c>
      <c r="AF2018" t="s">
        <v>21707</v>
      </c>
      <c r="AH2018" t="s">
        <v>21708</v>
      </c>
      <c r="AI2018" t="s">
        <v>558</v>
      </c>
      <c r="AJ2018" s="8" t="str">
        <f>"85233"</f>
        <v>85233</v>
      </c>
      <c r="AK2018" t="s">
        <v>118</v>
      </c>
      <c r="AL2018" t="s">
        <v>21712</v>
      </c>
      <c r="AM2018" s="10">
        <v>14802332099</v>
      </c>
      <c r="AO2018" t="s">
        <v>21713</v>
      </c>
      <c r="AX2018" s="8" t="str">
        <f>""</f>
        <v/>
      </c>
      <c r="BG2018" t="s">
        <v>558</v>
      </c>
      <c r="BH2018" s="1">
        <v>44727.833333333336</v>
      </c>
      <c r="BI2018">
        <v>48</v>
      </c>
      <c r="BJ2018">
        <v>4</v>
      </c>
      <c r="BK2018">
        <v>8</v>
      </c>
      <c r="BL2018">
        <v>8</v>
      </c>
      <c r="BM2018">
        <v>8</v>
      </c>
      <c r="BN2018">
        <v>8</v>
      </c>
      <c r="BO2018">
        <v>8</v>
      </c>
      <c r="BP2018">
        <v>4</v>
      </c>
      <c r="BQ2018" t="str">
        <f>"8:30 PM"</f>
        <v>8:30 PM</v>
      </c>
      <c r="BR2018" t="str">
        <f>"5:00 PM"</f>
        <v>5:00 PM</v>
      </c>
      <c r="BS2018" t="s">
        <v>147</v>
      </c>
      <c r="BT2018">
        <v>1</v>
      </c>
      <c r="BU2018">
        <v>12</v>
      </c>
      <c r="BV2018" t="s">
        <v>114</v>
      </c>
      <c r="BX2018" s="2" t="s">
        <v>21714</v>
      </c>
      <c r="BY2018" t="s">
        <v>21715</v>
      </c>
      <c r="BZ2018" t="s">
        <v>21716</v>
      </c>
      <c r="CA2018" t="s">
        <v>7445</v>
      </c>
      <c r="CB2018" t="s">
        <v>558</v>
      </c>
      <c r="CC2018" s="8" t="str">
        <f>"85234"</f>
        <v>85234</v>
      </c>
      <c r="CD2018" t="s">
        <v>1391</v>
      </c>
      <c r="CE2018" t="s">
        <v>565</v>
      </c>
      <c r="CF2018" s="12">
        <v>15.17</v>
      </c>
      <c r="CG2018" s="12">
        <v>16.75</v>
      </c>
      <c r="CH2018" s="12">
        <v>22.5</v>
      </c>
      <c r="CI2018" s="12">
        <v>22.7</v>
      </c>
      <c r="CJ2018" t="s">
        <v>135</v>
      </c>
      <c r="CL2018" t="s">
        <v>21717</v>
      </c>
      <c r="CO2018" t="s">
        <v>132</v>
      </c>
      <c r="CP2018" t="s">
        <v>136</v>
      </c>
      <c r="CQ2018" t="s">
        <v>136</v>
      </c>
      <c r="CR2018" t="s">
        <v>136</v>
      </c>
      <c r="CS2018" t="s">
        <v>136</v>
      </c>
      <c r="CT2018" t="s">
        <v>136</v>
      </c>
      <c r="CU2018" t="s">
        <v>136</v>
      </c>
      <c r="CV2018" s="2" t="s">
        <v>21718</v>
      </c>
      <c r="CW2018" s="10" t="str">
        <f>"+14753079627"</f>
        <v>+14753079627</v>
      </c>
      <c r="CX2018" t="s">
        <v>21719</v>
      </c>
      <c r="CY2018" t="s">
        <v>21720</v>
      </c>
      <c r="CZ2018" t="s">
        <v>137</v>
      </c>
      <c r="DA2018" t="s">
        <v>114</v>
      </c>
      <c r="DB2018" t="s">
        <v>114</v>
      </c>
      <c r="DC2018" t="s">
        <v>136</v>
      </c>
      <c r="DD2018" t="s">
        <v>114</v>
      </c>
      <c r="DE2018" t="s">
        <v>21709</v>
      </c>
      <c r="DF2018" t="s">
        <v>21710</v>
      </c>
      <c r="DH2018" t="s">
        <v>21706</v>
      </c>
      <c r="DI2018" t="s">
        <v>132</v>
      </c>
    </row>
    <row r="2019" spans="1:113" ht="15" customHeight="1" x14ac:dyDescent="0.25">
      <c r="A2019" t="s">
        <v>10095</v>
      </c>
      <c r="B2019" t="s">
        <v>113</v>
      </c>
      <c r="C2019" s="1">
        <v>45128.539668171295</v>
      </c>
      <c r="D2019" s="1">
        <v>45217</v>
      </c>
      <c r="E2019" t="s">
        <v>114</v>
      </c>
      <c r="F2019" t="s">
        <v>10096</v>
      </c>
      <c r="G2019" t="str">
        <f>"31-1122.00"</f>
        <v>31-1122.00</v>
      </c>
      <c r="H2019" t="s">
        <v>8076</v>
      </c>
      <c r="I2019">
        <v>3</v>
      </c>
      <c r="K2019" s="1">
        <v>45203</v>
      </c>
      <c r="L2019" s="1">
        <v>46298</v>
      </c>
      <c r="O2019" t="s">
        <v>184</v>
      </c>
      <c r="P2019" t="s">
        <v>10097</v>
      </c>
      <c r="R2019" t="s">
        <v>10098</v>
      </c>
      <c r="T2019" t="s">
        <v>10099</v>
      </c>
      <c r="U2019" t="s">
        <v>117</v>
      </c>
      <c r="V2019" s="8" t="str">
        <f>"60465"</f>
        <v>60465</v>
      </c>
      <c r="W2019" t="s">
        <v>118</v>
      </c>
      <c r="Y2019" s="10">
        <v>18135858470</v>
      </c>
      <c r="AA2019">
        <v>621610</v>
      </c>
      <c r="AB2019" t="s">
        <v>10100</v>
      </c>
      <c r="AC2019" t="s">
        <v>5824</v>
      </c>
      <c r="AD2019" t="s">
        <v>10101</v>
      </c>
      <c r="AE2019" t="s">
        <v>871</v>
      </c>
      <c r="AF2019" t="s">
        <v>10102</v>
      </c>
      <c r="AH2019" t="s">
        <v>10103</v>
      </c>
      <c r="AI2019" t="s">
        <v>140</v>
      </c>
      <c r="AJ2019" s="8" t="str">
        <f>"34638"</f>
        <v>34638</v>
      </c>
      <c r="AK2019" t="s">
        <v>118</v>
      </c>
      <c r="AM2019" s="10">
        <v>18135858470</v>
      </c>
      <c r="AO2019" t="s">
        <v>10104</v>
      </c>
      <c r="AX2019" s="8" t="str">
        <f>""</f>
        <v/>
      </c>
      <c r="BG2019" t="s">
        <v>117</v>
      </c>
      <c r="BH2019" s="1">
        <v>45126.833333333336</v>
      </c>
      <c r="BI2019">
        <v>56</v>
      </c>
      <c r="BJ2019">
        <v>8</v>
      </c>
      <c r="BK2019">
        <v>8</v>
      </c>
      <c r="BL2019">
        <v>8</v>
      </c>
      <c r="BM2019">
        <v>8</v>
      </c>
      <c r="BN2019">
        <v>8</v>
      </c>
      <c r="BO2019">
        <v>8</v>
      </c>
      <c r="BP2019">
        <v>8</v>
      </c>
      <c r="BQ2019" t="str">
        <f>"7:30 AM"</f>
        <v>7:30 AM</v>
      </c>
      <c r="BR2019" t="str">
        <f>"4:30 PM"</f>
        <v>4:30 PM</v>
      </c>
      <c r="BS2019" t="s">
        <v>147</v>
      </c>
      <c r="BT2019">
        <v>0</v>
      </c>
      <c r="BU2019">
        <v>0</v>
      </c>
      <c r="BV2019" t="s">
        <v>114</v>
      </c>
      <c r="BX2019" t="s">
        <v>10105</v>
      </c>
      <c r="BY2019" t="s">
        <v>10106</v>
      </c>
      <c r="BZ2019" t="s">
        <v>10107</v>
      </c>
      <c r="CA2019" t="s">
        <v>10108</v>
      </c>
      <c r="CB2019" t="s">
        <v>117</v>
      </c>
      <c r="CC2019" s="8" t="str">
        <f>"60465"</f>
        <v>60465</v>
      </c>
      <c r="CD2019" t="s">
        <v>5756</v>
      </c>
      <c r="CE2019" t="s">
        <v>134</v>
      </c>
      <c r="CF2019" s="12">
        <v>14.37</v>
      </c>
      <c r="CG2019" s="12">
        <v>15</v>
      </c>
      <c r="CH2019" s="12">
        <v>21.56</v>
      </c>
      <c r="CI2019" s="12">
        <v>22.5</v>
      </c>
      <c r="CJ2019" t="s">
        <v>135</v>
      </c>
      <c r="CL2019" t="s">
        <v>10109</v>
      </c>
      <c r="CO2019" t="s">
        <v>132</v>
      </c>
      <c r="CP2019" t="s">
        <v>114</v>
      </c>
      <c r="CQ2019" t="s">
        <v>114</v>
      </c>
      <c r="CR2019" t="s">
        <v>136</v>
      </c>
      <c r="CS2019" t="s">
        <v>136</v>
      </c>
      <c r="CT2019" t="s">
        <v>136</v>
      </c>
      <c r="CU2019" t="s">
        <v>114</v>
      </c>
      <c r="CV2019" t="s">
        <v>131</v>
      </c>
      <c r="CW2019" s="10" t="str">
        <f>"+18135858470"</f>
        <v>+18135858470</v>
      </c>
      <c r="CX2019" t="s">
        <v>10104</v>
      </c>
      <c r="CY2019" t="s">
        <v>132</v>
      </c>
      <c r="CZ2019" t="s">
        <v>137</v>
      </c>
      <c r="DA2019" t="s">
        <v>114</v>
      </c>
      <c r="DB2019" t="s">
        <v>114</v>
      </c>
      <c r="DC2019" t="s">
        <v>136</v>
      </c>
      <c r="DD2019" t="s">
        <v>114</v>
      </c>
    </row>
    <row r="2020" spans="1:113" ht="15" customHeight="1" x14ac:dyDescent="0.25">
      <c r="A2020" t="s">
        <v>20710</v>
      </c>
      <c r="B2020" t="s">
        <v>113</v>
      </c>
      <c r="C2020" s="1">
        <v>45125.424183101852</v>
      </c>
      <c r="D2020" s="1">
        <v>45217</v>
      </c>
      <c r="E2020" t="s">
        <v>114</v>
      </c>
      <c r="F2020" t="s">
        <v>944</v>
      </c>
      <c r="G2020" t="str">
        <f>"49-9098.00"</f>
        <v>49-9098.00</v>
      </c>
      <c r="H2020" t="s">
        <v>945</v>
      </c>
      <c r="I2020">
        <v>15</v>
      </c>
      <c r="K2020" s="1">
        <v>45200</v>
      </c>
      <c r="L2020" s="1">
        <v>45383</v>
      </c>
      <c r="O2020" t="s">
        <v>238</v>
      </c>
      <c r="P2020" t="s">
        <v>10621</v>
      </c>
      <c r="Q2020" t="s">
        <v>10622</v>
      </c>
      <c r="R2020" t="s">
        <v>10623</v>
      </c>
      <c r="T2020" t="s">
        <v>10625</v>
      </c>
      <c r="U2020" t="s">
        <v>558</v>
      </c>
      <c r="V2020" s="8" t="str">
        <f>"85268"</f>
        <v>85268</v>
      </c>
      <c r="W2020" t="s">
        <v>118</v>
      </c>
      <c r="Y2020" s="10">
        <v>14802310251</v>
      </c>
      <c r="Z2020" s="3" t="s">
        <v>256</v>
      </c>
      <c r="AA2020">
        <v>71119</v>
      </c>
      <c r="AB2020" t="s">
        <v>10626</v>
      </c>
      <c r="AC2020" t="s">
        <v>2238</v>
      </c>
      <c r="AE2020" t="s">
        <v>20711</v>
      </c>
      <c r="AF2020" t="s">
        <v>10623</v>
      </c>
      <c r="AH2020" t="s">
        <v>10625</v>
      </c>
      <c r="AI2020" t="s">
        <v>558</v>
      </c>
      <c r="AJ2020" s="8" t="str">
        <f>"85268"</f>
        <v>85268</v>
      </c>
      <c r="AK2020" t="s">
        <v>118</v>
      </c>
      <c r="AM2020" s="10">
        <v>14802310251</v>
      </c>
      <c r="AN2020" s="3" t="s">
        <v>256</v>
      </c>
      <c r="AO2020" t="s">
        <v>10628</v>
      </c>
      <c r="AP2020" t="s">
        <v>248</v>
      </c>
      <c r="AQ2020" t="s">
        <v>249</v>
      </c>
      <c r="AR2020" t="s">
        <v>250</v>
      </c>
      <c r="AS2020" t="s">
        <v>251</v>
      </c>
      <c r="AT2020" t="s">
        <v>252</v>
      </c>
      <c r="AU2020" t="s">
        <v>253</v>
      </c>
      <c r="AV2020" t="s">
        <v>254</v>
      </c>
      <c r="AW2020" t="s">
        <v>127</v>
      </c>
      <c r="AX2020" s="8" t="str">
        <f>"78550"</f>
        <v>78550</v>
      </c>
      <c r="AY2020" t="s">
        <v>118</v>
      </c>
      <c r="AZ2020" t="s">
        <v>255</v>
      </c>
      <c r="BA2020" s="10">
        <v>19564408720</v>
      </c>
      <c r="BB2020" s="3" t="s">
        <v>256</v>
      </c>
      <c r="BC2020" t="s">
        <v>338</v>
      </c>
      <c r="BD2020" t="s">
        <v>258</v>
      </c>
      <c r="BG2020" t="s">
        <v>558</v>
      </c>
      <c r="BH2020" s="1">
        <v>45124.833333333336</v>
      </c>
      <c r="BI2020">
        <v>40</v>
      </c>
      <c r="BJ2020">
        <v>0</v>
      </c>
      <c r="BK2020">
        <v>8</v>
      </c>
      <c r="BL2020">
        <v>8</v>
      </c>
      <c r="BM2020">
        <v>8</v>
      </c>
      <c r="BN2020">
        <v>8</v>
      </c>
      <c r="BO2020">
        <v>8</v>
      </c>
      <c r="BP2020">
        <v>0</v>
      </c>
      <c r="BQ2020" t="str">
        <f>"8:00 AM"</f>
        <v>8:00 AM</v>
      </c>
      <c r="BR2020" t="str">
        <f>"5:00 PM"</f>
        <v>5:00 PM</v>
      </c>
      <c r="BS2020" t="s">
        <v>131</v>
      </c>
      <c r="BT2020">
        <v>0</v>
      </c>
      <c r="BU2020">
        <v>0</v>
      </c>
      <c r="BV2020" t="s">
        <v>114</v>
      </c>
      <c r="BX2020" s="2" t="s">
        <v>2396</v>
      </c>
      <c r="BY2020" t="s">
        <v>20712</v>
      </c>
      <c r="CA2020" t="s">
        <v>557</v>
      </c>
      <c r="CB2020" t="s">
        <v>558</v>
      </c>
      <c r="CC2020" s="8" t="str">
        <f>"85122"</f>
        <v>85122</v>
      </c>
      <c r="CD2020" t="s">
        <v>564</v>
      </c>
      <c r="CE2020" t="s">
        <v>565</v>
      </c>
      <c r="CF2020" s="12">
        <v>16.97</v>
      </c>
      <c r="CG2020" s="12">
        <v>16.97</v>
      </c>
      <c r="CH2020" s="12">
        <v>0</v>
      </c>
      <c r="CI2020" s="12">
        <v>0</v>
      </c>
      <c r="CJ2020" t="s">
        <v>135</v>
      </c>
      <c r="CK2020" t="s">
        <v>342</v>
      </c>
      <c r="CL2020" t="s">
        <v>20713</v>
      </c>
      <c r="CO2020" t="s">
        <v>132</v>
      </c>
      <c r="CP2020" t="s">
        <v>114</v>
      </c>
      <c r="CQ2020" t="s">
        <v>136</v>
      </c>
      <c r="CR2020" t="s">
        <v>114</v>
      </c>
      <c r="CS2020" t="s">
        <v>136</v>
      </c>
      <c r="CT2020" t="s">
        <v>136</v>
      </c>
      <c r="CU2020" t="s">
        <v>136</v>
      </c>
      <c r="CV2020" t="s">
        <v>4970</v>
      </c>
      <c r="CW2020" s="10" t="str">
        <f>"+14802310251"</f>
        <v>+14802310251</v>
      </c>
      <c r="CX2020" t="s">
        <v>11046</v>
      </c>
      <c r="CY2020" t="s">
        <v>20714</v>
      </c>
      <c r="CZ2020" t="s">
        <v>137</v>
      </c>
      <c r="DA2020" t="s">
        <v>114</v>
      </c>
      <c r="DB2020" t="s">
        <v>136</v>
      </c>
      <c r="DC2020" t="s">
        <v>136</v>
      </c>
      <c r="DD2020" t="s">
        <v>114</v>
      </c>
    </row>
    <row r="2021" spans="1:113" ht="15" customHeight="1" x14ac:dyDescent="0.25">
      <c r="A2021" t="s">
        <v>22464</v>
      </c>
      <c r="B2021" t="s">
        <v>113</v>
      </c>
      <c r="C2021" s="1">
        <v>45118.68922847222</v>
      </c>
      <c r="D2021" s="1">
        <v>45217</v>
      </c>
      <c r="E2021" t="s">
        <v>114</v>
      </c>
      <c r="F2021" t="s">
        <v>700</v>
      </c>
      <c r="G2021" t="str">
        <f>"37-3011.00"</f>
        <v>37-3011.00</v>
      </c>
      <c r="H2021" t="s">
        <v>429</v>
      </c>
      <c r="I2021">
        <v>40</v>
      </c>
      <c r="K2021" s="1">
        <v>45200</v>
      </c>
      <c r="L2021" s="1">
        <v>45382</v>
      </c>
      <c r="O2021" t="s">
        <v>238</v>
      </c>
      <c r="P2021" t="s">
        <v>4079</v>
      </c>
      <c r="R2021" t="s">
        <v>21499</v>
      </c>
      <c r="T2021" t="s">
        <v>4081</v>
      </c>
      <c r="U2021" t="s">
        <v>211</v>
      </c>
      <c r="V2021" s="8" t="str">
        <f>"84014"</f>
        <v>84014</v>
      </c>
      <c r="W2021" t="s">
        <v>118</v>
      </c>
      <c r="Y2021" s="10">
        <v>18013653333</v>
      </c>
      <c r="AA2021">
        <v>5617</v>
      </c>
      <c r="AB2021" t="s">
        <v>6758</v>
      </c>
      <c r="AC2021" t="s">
        <v>4921</v>
      </c>
      <c r="AE2021" t="s">
        <v>561</v>
      </c>
      <c r="AF2021" t="s">
        <v>4080</v>
      </c>
      <c r="AH2021" t="s">
        <v>4081</v>
      </c>
      <c r="AI2021" t="s">
        <v>211</v>
      </c>
      <c r="AJ2021" s="8" t="str">
        <f>"84011"</f>
        <v>84011</v>
      </c>
      <c r="AK2021" t="s">
        <v>118</v>
      </c>
      <c r="AM2021" s="10">
        <v>18013653333</v>
      </c>
      <c r="AO2021" t="s">
        <v>132</v>
      </c>
      <c r="AP2021" t="s">
        <v>121</v>
      </c>
      <c r="AQ2021" t="s">
        <v>1172</v>
      </c>
      <c r="AR2021" t="s">
        <v>1173</v>
      </c>
      <c r="AS2021" t="s">
        <v>708</v>
      </c>
      <c r="AT2021" t="s">
        <v>6759</v>
      </c>
      <c r="AV2021" t="s">
        <v>603</v>
      </c>
      <c r="AW2021" t="s">
        <v>127</v>
      </c>
      <c r="AX2021" s="8" t="str">
        <f>"78758"</f>
        <v>78758</v>
      </c>
      <c r="AY2021" t="s">
        <v>118</v>
      </c>
      <c r="BA2021" s="10">
        <v>15128722894</v>
      </c>
      <c r="BC2021" t="s">
        <v>1175</v>
      </c>
      <c r="BD2021" t="s">
        <v>4086</v>
      </c>
      <c r="BE2021" t="s">
        <v>127</v>
      </c>
      <c r="BF2021" t="s">
        <v>750</v>
      </c>
      <c r="BG2021" t="s">
        <v>211</v>
      </c>
      <c r="BH2021" s="1">
        <v>45117.833333333336</v>
      </c>
      <c r="BI2021">
        <v>40</v>
      </c>
      <c r="BJ2021">
        <v>0</v>
      </c>
      <c r="BK2021">
        <v>8</v>
      </c>
      <c r="BL2021">
        <v>8</v>
      </c>
      <c r="BM2021">
        <v>8</v>
      </c>
      <c r="BN2021">
        <v>8</v>
      </c>
      <c r="BO2021">
        <v>8</v>
      </c>
      <c r="BP2021">
        <v>0</v>
      </c>
      <c r="BQ2021" t="str">
        <f>"8:00 AM"</f>
        <v>8:00 AM</v>
      </c>
      <c r="BR2021" t="str">
        <f>"5:00 PM"</f>
        <v>5:00 PM</v>
      </c>
      <c r="BS2021" t="s">
        <v>131</v>
      </c>
      <c r="BT2021">
        <v>0</v>
      </c>
      <c r="BU2021">
        <v>0</v>
      </c>
      <c r="BV2021" t="s">
        <v>114</v>
      </c>
      <c r="BX2021" t="s">
        <v>6760</v>
      </c>
      <c r="BY2021" t="s">
        <v>22465</v>
      </c>
      <c r="CA2021" t="s">
        <v>22466</v>
      </c>
      <c r="CB2021" t="s">
        <v>211</v>
      </c>
      <c r="CC2021" s="8" t="str">
        <f>"84013"</f>
        <v>84013</v>
      </c>
      <c r="CD2021" t="s">
        <v>1481</v>
      </c>
      <c r="CE2021" t="s">
        <v>1482</v>
      </c>
      <c r="CF2021" s="12">
        <v>18.920000000000002</v>
      </c>
      <c r="CG2021" s="12">
        <v>18.920000000000002</v>
      </c>
      <c r="CH2021" s="12">
        <v>28.38</v>
      </c>
      <c r="CI2021" s="12">
        <v>28.38</v>
      </c>
      <c r="CJ2021" t="s">
        <v>135</v>
      </c>
      <c r="CL2021" t="s">
        <v>6763</v>
      </c>
      <c r="CO2021" t="s">
        <v>132</v>
      </c>
      <c r="CP2021" t="s">
        <v>136</v>
      </c>
      <c r="CQ2021" t="s">
        <v>136</v>
      </c>
      <c r="CR2021" t="s">
        <v>136</v>
      </c>
      <c r="CS2021" t="s">
        <v>114</v>
      </c>
      <c r="CT2021" t="s">
        <v>136</v>
      </c>
      <c r="CU2021" t="s">
        <v>136</v>
      </c>
      <c r="CV2021" t="s">
        <v>22467</v>
      </c>
      <c r="CW2021" s="10" t="str">
        <f>"+13852282684"</f>
        <v>+13852282684</v>
      </c>
      <c r="CX2021" t="s">
        <v>6765</v>
      </c>
      <c r="CY2021" t="s">
        <v>132</v>
      </c>
      <c r="CZ2021" t="s">
        <v>137</v>
      </c>
      <c r="DA2021" t="s">
        <v>114</v>
      </c>
      <c r="DB2021" t="s">
        <v>114</v>
      </c>
      <c r="DC2021" t="s">
        <v>136</v>
      </c>
      <c r="DD2021" t="s">
        <v>114</v>
      </c>
    </row>
    <row r="2022" spans="1:113" ht="15" customHeight="1" x14ac:dyDescent="0.25">
      <c r="A2022" t="s">
        <v>18221</v>
      </c>
      <c r="B2022" t="s">
        <v>113</v>
      </c>
      <c r="C2022" s="1">
        <v>45116.84201226852</v>
      </c>
      <c r="D2022" s="1">
        <v>45217</v>
      </c>
      <c r="E2022" t="s">
        <v>114</v>
      </c>
      <c r="F2022" t="s">
        <v>944</v>
      </c>
      <c r="G2022" t="str">
        <f>"49-9098.00"</f>
        <v>49-9098.00</v>
      </c>
      <c r="H2022" t="s">
        <v>945</v>
      </c>
      <c r="I2022">
        <v>7</v>
      </c>
      <c r="K2022" s="1">
        <v>45206</v>
      </c>
      <c r="L2022" s="1">
        <v>45392</v>
      </c>
      <c r="O2022" t="s">
        <v>238</v>
      </c>
      <c r="P2022" t="s">
        <v>18222</v>
      </c>
      <c r="Q2022" t="s">
        <v>132</v>
      </c>
      <c r="R2022" t="s">
        <v>18223</v>
      </c>
      <c r="S2022" t="s">
        <v>18224</v>
      </c>
      <c r="T2022" t="s">
        <v>18225</v>
      </c>
      <c r="U2022" t="s">
        <v>140</v>
      </c>
      <c r="V2022" s="8" t="str">
        <f>"33572"</f>
        <v>33572</v>
      </c>
      <c r="W2022" t="s">
        <v>118</v>
      </c>
      <c r="X2022" t="s">
        <v>132</v>
      </c>
      <c r="Y2022" s="10">
        <v>15188574022</v>
      </c>
      <c r="Z2022" s="3" t="s">
        <v>256</v>
      </c>
      <c r="AA2022">
        <v>7139</v>
      </c>
      <c r="AB2022" t="s">
        <v>18226</v>
      </c>
      <c r="AC2022" t="s">
        <v>18227</v>
      </c>
      <c r="AD2022" t="s">
        <v>132</v>
      </c>
      <c r="AE2022" t="s">
        <v>561</v>
      </c>
      <c r="AF2022" t="s">
        <v>18223</v>
      </c>
      <c r="AG2022" t="s">
        <v>18228</v>
      </c>
      <c r="AH2022" t="s">
        <v>18225</v>
      </c>
      <c r="AI2022" t="s">
        <v>140</v>
      </c>
      <c r="AJ2022" s="8" t="str">
        <f>"33572"</f>
        <v>33572</v>
      </c>
      <c r="AK2022" t="s">
        <v>118</v>
      </c>
      <c r="AM2022" s="10">
        <v>15188574022</v>
      </c>
      <c r="AN2022" s="3" t="s">
        <v>256</v>
      </c>
      <c r="AO2022" t="s">
        <v>18229</v>
      </c>
      <c r="AP2022" t="s">
        <v>248</v>
      </c>
      <c r="AQ2022" t="s">
        <v>249</v>
      </c>
      <c r="AR2022" t="s">
        <v>250</v>
      </c>
      <c r="AS2022" t="s">
        <v>251</v>
      </c>
      <c r="AT2022" t="s">
        <v>252</v>
      </c>
      <c r="AU2022" t="s">
        <v>253</v>
      </c>
      <c r="AV2022" t="s">
        <v>254</v>
      </c>
      <c r="AW2022" t="s">
        <v>127</v>
      </c>
      <c r="AX2022" s="8" t="str">
        <f>"78550"</f>
        <v>78550</v>
      </c>
      <c r="AY2022" t="s">
        <v>118</v>
      </c>
      <c r="BA2022" s="10">
        <v>19564408720</v>
      </c>
      <c r="BB2022" s="3" t="s">
        <v>256</v>
      </c>
      <c r="BC2022" t="s">
        <v>257</v>
      </c>
      <c r="BD2022" t="s">
        <v>258</v>
      </c>
      <c r="BG2022" t="s">
        <v>358</v>
      </c>
      <c r="BH2022" s="1">
        <v>45115.833333333336</v>
      </c>
      <c r="BI2022">
        <v>35</v>
      </c>
      <c r="BJ2022">
        <v>0</v>
      </c>
      <c r="BK2022">
        <v>7</v>
      </c>
      <c r="BL2022">
        <v>7</v>
      </c>
      <c r="BM2022">
        <v>7</v>
      </c>
      <c r="BN2022">
        <v>7</v>
      </c>
      <c r="BO2022">
        <v>7</v>
      </c>
      <c r="BP2022">
        <v>0</v>
      </c>
      <c r="BQ2022" t="str">
        <f>"9:00 AM"</f>
        <v>9:00 AM</v>
      </c>
      <c r="BR2022" t="str">
        <f>"4:00 PM"</f>
        <v>4:00 PM</v>
      </c>
      <c r="BS2022" t="s">
        <v>131</v>
      </c>
      <c r="BT2022">
        <v>0</v>
      </c>
      <c r="BU2022">
        <v>0</v>
      </c>
      <c r="BV2022" t="s">
        <v>114</v>
      </c>
      <c r="BX2022" s="2" t="s">
        <v>259</v>
      </c>
      <c r="BY2022" t="s">
        <v>18230</v>
      </c>
      <c r="CA2022" t="s">
        <v>18014</v>
      </c>
      <c r="CB2022" t="s">
        <v>358</v>
      </c>
      <c r="CC2022" s="8" t="str">
        <f>"12056"</f>
        <v>12056</v>
      </c>
      <c r="CD2022" t="s">
        <v>2317</v>
      </c>
      <c r="CE2022" t="s">
        <v>2318</v>
      </c>
      <c r="CF2022" s="12">
        <v>18.38</v>
      </c>
      <c r="CG2022" s="12">
        <v>18.38</v>
      </c>
      <c r="CJ2022" t="s">
        <v>135</v>
      </c>
      <c r="CK2022" t="s">
        <v>342</v>
      </c>
      <c r="CL2022" t="s">
        <v>18231</v>
      </c>
      <c r="CO2022" t="s">
        <v>132</v>
      </c>
      <c r="CP2022" t="s">
        <v>114</v>
      </c>
      <c r="CQ2022" t="s">
        <v>136</v>
      </c>
      <c r="CR2022" t="s">
        <v>114</v>
      </c>
      <c r="CS2022" t="s">
        <v>136</v>
      </c>
      <c r="CT2022" t="s">
        <v>136</v>
      </c>
      <c r="CU2022" t="s">
        <v>136</v>
      </c>
      <c r="CV2022" t="s">
        <v>18232</v>
      </c>
      <c r="CW2022" s="10" t="str">
        <f>"+15188577090"</f>
        <v>+15188577090</v>
      </c>
      <c r="CX2022" t="s">
        <v>18229</v>
      </c>
      <c r="CY2022" t="s">
        <v>132</v>
      </c>
      <c r="CZ2022" t="s">
        <v>137</v>
      </c>
      <c r="DA2022" t="s">
        <v>114</v>
      </c>
      <c r="DB2022" t="s">
        <v>136</v>
      </c>
      <c r="DC2022" t="s">
        <v>136</v>
      </c>
      <c r="DD2022" t="s">
        <v>114</v>
      </c>
    </row>
    <row r="2023" spans="1:113" ht="15" customHeight="1" x14ac:dyDescent="0.25">
      <c r="A2023" t="s">
        <v>15400</v>
      </c>
      <c r="B2023" t="s">
        <v>113</v>
      </c>
      <c r="C2023" s="1">
        <v>45110.802484490741</v>
      </c>
      <c r="D2023" s="1">
        <v>45217</v>
      </c>
      <c r="E2023" t="s">
        <v>114</v>
      </c>
      <c r="F2023" t="s">
        <v>3896</v>
      </c>
      <c r="G2023" t="str">
        <f>"51-3022.00"</f>
        <v>51-3022.00</v>
      </c>
      <c r="H2023" t="s">
        <v>1004</v>
      </c>
      <c r="I2023">
        <v>22</v>
      </c>
      <c r="K2023" s="1">
        <v>45200</v>
      </c>
      <c r="L2023" s="1">
        <v>45504</v>
      </c>
      <c r="O2023" t="s">
        <v>116</v>
      </c>
      <c r="P2023" t="s">
        <v>1005</v>
      </c>
      <c r="R2023" t="s">
        <v>1006</v>
      </c>
      <c r="T2023" t="s">
        <v>1007</v>
      </c>
      <c r="U2023" t="s">
        <v>581</v>
      </c>
      <c r="V2023" s="8" t="str">
        <f>"23430"</f>
        <v>23430</v>
      </c>
      <c r="W2023" t="s">
        <v>118</v>
      </c>
      <c r="Y2023" s="10">
        <v>17573754572</v>
      </c>
      <c r="AA2023">
        <v>311612</v>
      </c>
      <c r="AB2023" t="s">
        <v>1008</v>
      </c>
      <c r="AC2023" t="s">
        <v>1009</v>
      </c>
      <c r="AE2023" t="s">
        <v>1010</v>
      </c>
      <c r="AF2023" t="s">
        <v>1006</v>
      </c>
      <c r="AH2023" t="s">
        <v>1007</v>
      </c>
      <c r="AI2023" t="s">
        <v>581</v>
      </c>
      <c r="AJ2023" s="8" t="str">
        <f>"23430"</f>
        <v>23430</v>
      </c>
      <c r="AK2023" t="s">
        <v>118</v>
      </c>
      <c r="AM2023" s="10">
        <v>17573754572</v>
      </c>
      <c r="AO2023" t="s">
        <v>1011</v>
      </c>
      <c r="AP2023" t="s">
        <v>121</v>
      </c>
      <c r="AQ2023" t="s">
        <v>380</v>
      </c>
      <c r="AR2023" t="s">
        <v>381</v>
      </c>
      <c r="AT2023" t="s">
        <v>383</v>
      </c>
      <c r="AV2023" t="s">
        <v>385</v>
      </c>
      <c r="AW2023" t="s">
        <v>386</v>
      </c>
      <c r="AX2023" s="8" t="str">
        <f>"37122"</f>
        <v>37122</v>
      </c>
      <c r="AY2023" t="s">
        <v>118</v>
      </c>
      <c r="BA2023" s="10">
        <v>16154227130</v>
      </c>
      <c r="BC2023" t="s">
        <v>1012</v>
      </c>
      <c r="BD2023" t="s">
        <v>1013</v>
      </c>
      <c r="BE2023" t="s">
        <v>386</v>
      </c>
      <c r="BF2023" t="s">
        <v>389</v>
      </c>
      <c r="BG2023" t="s">
        <v>375</v>
      </c>
      <c r="BH2023" s="1">
        <v>45109.833333333336</v>
      </c>
      <c r="BI2023">
        <v>40</v>
      </c>
      <c r="BJ2023">
        <v>0</v>
      </c>
      <c r="BK2023">
        <v>8</v>
      </c>
      <c r="BL2023">
        <v>8</v>
      </c>
      <c r="BM2023">
        <v>8</v>
      </c>
      <c r="BN2023">
        <v>8</v>
      </c>
      <c r="BO2023">
        <v>8</v>
      </c>
      <c r="BP2023">
        <v>0</v>
      </c>
      <c r="BQ2023" t="str">
        <f>"3:00 AM"</f>
        <v>3:00 AM</v>
      </c>
      <c r="BR2023" t="str">
        <f>"2:59 AM"</f>
        <v>2:59 AM</v>
      </c>
      <c r="BS2023" t="s">
        <v>131</v>
      </c>
      <c r="BT2023">
        <v>1</v>
      </c>
      <c r="BU2023">
        <v>0</v>
      </c>
      <c r="BV2023" t="s">
        <v>114</v>
      </c>
      <c r="BX2023" s="2" t="s">
        <v>15401</v>
      </c>
      <c r="BY2023" t="s">
        <v>15402</v>
      </c>
      <c r="CA2023" t="s">
        <v>634</v>
      </c>
      <c r="CB2023" t="s">
        <v>375</v>
      </c>
      <c r="CC2023" s="8" t="str">
        <f>"28328"</f>
        <v>28328</v>
      </c>
      <c r="CD2023" t="s">
        <v>15403</v>
      </c>
      <c r="CE2023" t="s">
        <v>8851</v>
      </c>
      <c r="CF2023" s="12">
        <v>16.12</v>
      </c>
      <c r="CG2023" s="12">
        <v>27.82</v>
      </c>
      <c r="CH2023" s="12">
        <v>24.18</v>
      </c>
      <c r="CI2023" s="12">
        <v>41.73</v>
      </c>
      <c r="CJ2023" t="s">
        <v>135</v>
      </c>
      <c r="CK2023" t="s">
        <v>15404</v>
      </c>
      <c r="CL2023" t="s">
        <v>15405</v>
      </c>
      <c r="CO2023" t="s">
        <v>132</v>
      </c>
      <c r="CP2023" t="s">
        <v>114</v>
      </c>
      <c r="CQ2023" t="s">
        <v>114</v>
      </c>
      <c r="CR2023" t="s">
        <v>136</v>
      </c>
      <c r="CS2023" t="s">
        <v>114</v>
      </c>
      <c r="CT2023" t="s">
        <v>136</v>
      </c>
      <c r="CU2023" t="s">
        <v>136</v>
      </c>
      <c r="CV2023" s="2" t="s">
        <v>1021</v>
      </c>
      <c r="CW2023" s="10" t="str">
        <f>"+17576353808"</f>
        <v>+17576353808</v>
      </c>
      <c r="CX2023" t="s">
        <v>1022</v>
      </c>
      <c r="CY2023" t="s">
        <v>132</v>
      </c>
      <c r="CZ2023" t="s">
        <v>137</v>
      </c>
      <c r="DA2023" t="s">
        <v>114</v>
      </c>
      <c r="DB2023" t="s">
        <v>114</v>
      </c>
      <c r="DC2023" t="s">
        <v>136</v>
      </c>
      <c r="DD2023" t="s">
        <v>114</v>
      </c>
    </row>
    <row r="2024" spans="1:113" ht="15" customHeight="1" x14ac:dyDescent="0.25">
      <c r="A2024" t="s">
        <v>12991</v>
      </c>
      <c r="B2024" t="s">
        <v>113</v>
      </c>
      <c r="C2024" s="1">
        <v>45135.605813078706</v>
      </c>
      <c r="D2024" s="1">
        <v>45216</v>
      </c>
      <c r="E2024" t="s">
        <v>114</v>
      </c>
      <c r="F2024" t="s">
        <v>12992</v>
      </c>
      <c r="G2024" t="str">
        <f>"27-1024.00"</f>
        <v>27-1024.00</v>
      </c>
      <c r="H2024" t="s">
        <v>12993</v>
      </c>
      <c r="I2024">
        <v>1</v>
      </c>
      <c r="K2024" s="1">
        <v>45222</v>
      </c>
      <c r="L2024" s="1">
        <v>45412</v>
      </c>
      <c r="O2024" t="s">
        <v>3248</v>
      </c>
      <c r="P2024" t="s">
        <v>12994</v>
      </c>
      <c r="Q2024" t="s">
        <v>796</v>
      </c>
      <c r="R2024" t="s">
        <v>12995</v>
      </c>
      <c r="T2024" t="s">
        <v>5490</v>
      </c>
      <c r="U2024" t="s">
        <v>415</v>
      </c>
      <c r="V2024" s="8" t="str">
        <f>"00751"</f>
        <v>00751</v>
      </c>
      <c r="W2024" t="s">
        <v>118</v>
      </c>
      <c r="Y2024" s="10">
        <v>17873256737</v>
      </c>
      <c r="AA2024">
        <v>541430</v>
      </c>
      <c r="AB2024" t="s">
        <v>3600</v>
      </c>
      <c r="AC2024" t="s">
        <v>12996</v>
      </c>
      <c r="AD2024" t="s">
        <v>5325</v>
      </c>
      <c r="AE2024" t="s">
        <v>1836</v>
      </c>
      <c r="AF2024" t="s">
        <v>12995</v>
      </c>
      <c r="AH2024" t="s">
        <v>5490</v>
      </c>
      <c r="AI2024" t="s">
        <v>415</v>
      </c>
      <c r="AJ2024" s="8" t="str">
        <f>"00751"</f>
        <v>00751</v>
      </c>
      <c r="AK2024" t="s">
        <v>118</v>
      </c>
      <c r="AL2024" t="s">
        <v>12997</v>
      </c>
      <c r="AM2024" s="10">
        <v>17873256737</v>
      </c>
      <c r="AO2024" t="s">
        <v>12998</v>
      </c>
      <c r="AX2024" s="8" t="str">
        <f>""</f>
        <v/>
      </c>
      <c r="BG2024" t="s">
        <v>415</v>
      </c>
      <c r="BH2024" s="1">
        <v>45098.833333333336</v>
      </c>
      <c r="BI2024">
        <v>40</v>
      </c>
      <c r="BJ2024">
        <v>0</v>
      </c>
      <c r="BK2024">
        <v>8</v>
      </c>
      <c r="BL2024">
        <v>8</v>
      </c>
      <c r="BM2024">
        <v>8</v>
      </c>
      <c r="BN2024">
        <v>8</v>
      </c>
      <c r="BO2024">
        <v>8</v>
      </c>
      <c r="BP2024">
        <v>0</v>
      </c>
      <c r="BQ2024" t="str">
        <f>"9:00 AM"</f>
        <v>9:00 AM</v>
      </c>
      <c r="BR2024" t="str">
        <f>"6:00 PM"</f>
        <v>6:00 PM</v>
      </c>
      <c r="BS2024" t="s">
        <v>147</v>
      </c>
      <c r="BT2024">
        <v>0</v>
      </c>
      <c r="BU2024">
        <v>24</v>
      </c>
      <c r="BV2024" t="s">
        <v>114</v>
      </c>
      <c r="BX2024" s="2" t="s">
        <v>12999</v>
      </c>
      <c r="BY2024" t="s">
        <v>13000</v>
      </c>
      <c r="CA2024" t="s">
        <v>5490</v>
      </c>
      <c r="CB2024" t="s">
        <v>415</v>
      </c>
      <c r="CC2024" s="8" t="str">
        <f>"00751"</f>
        <v>00751</v>
      </c>
      <c r="CD2024" t="s">
        <v>13001</v>
      </c>
      <c r="CE2024" t="s">
        <v>13002</v>
      </c>
      <c r="CF2024" s="12">
        <v>16.91</v>
      </c>
      <c r="CG2024" s="12">
        <v>25</v>
      </c>
      <c r="CJ2024" t="s">
        <v>135</v>
      </c>
      <c r="CL2024" t="s">
        <v>13003</v>
      </c>
      <c r="CO2024" t="s">
        <v>132</v>
      </c>
      <c r="CP2024" t="s">
        <v>114</v>
      </c>
      <c r="CQ2024" t="s">
        <v>136</v>
      </c>
      <c r="CR2024" t="s">
        <v>114</v>
      </c>
      <c r="CS2024" t="s">
        <v>114</v>
      </c>
      <c r="CT2024" t="s">
        <v>136</v>
      </c>
      <c r="CU2024" t="s">
        <v>136</v>
      </c>
      <c r="CV2024" s="2" t="s">
        <v>13004</v>
      </c>
      <c r="CW2024" s="10" t="str">
        <f>"+17873256737"</f>
        <v>+17873256737</v>
      </c>
      <c r="CX2024" t="s">
        <v>13005</v>
      </c>
      <c r="CY2024" t="s">
        <v>132</v>
      </c>
      <c r="CZ2024" t="s">
        <v>137</v>
      </c>
      <c r="DA2024" t="s">
        <v>114</v>
      </c>
      <c r="DB2024" t="s">
        <v>114</v>
      </c>
      <c r="DC2024" t="s">
        <v>136</v>
      </c>
      <c r="DD2024" t="s">
        <v>114</v>
      </c>
    </row>
    <row r="2025" spans="1:113" ht="15" customHeight="1" x14ac:dyDescent="0.25">
      <c r="A2025" t="s">
        <v>13154</v>
      </c>
      <c r="B2025" t="s">
        <v>113</v>
      </c>
      <c r="C2025" s="1">
        <v>45134.698562152778</v>
      </c>
      <c r="D2025" s="1">
        <v>45216</v>
      </c>
      <c r="E2025" t="s">
        <v>114</v>
      </c>
      <c r="F2025" t="s">
        <v>13155</v>
      </c>
      <c r="G2025" t="str">
        <f>"47-2082.00"</f>
        <v>47-2082.00</v>
      </c>
      <c r="H2025" t="s">
        <v>13156</v>
      </c>
      <c r="I2025">
        <v>50</v>
      </c>
      <c r="K2025" s="1">
        <v>45209</v>
      </c>
      <c r="L2025" s="1">
        <v>45444</v>
      </c>
      <c r="O2025" t="s">
        <v>116</v>
      </c>
      <c r="P2025" t="s">
        <v>13157</v>
      </c>
      <c r="R2025" t="s">
        <v>13158</v>
      </c>
      <c r="T2025" t="s">
        <v>13159</v>
      </c>
      <c r="U2025" t="s">
        <v>333</v>
      </c>
      <c r="V2025" s="8" t="str">
        <f>"70395"</f>
        <v>70395</v>
      </c>
      <c r="W2025" t="s">
        <v>118</v>
      </c>
      <c r="Y2025" s="10">
        <v>19852281793</v>
      </c>
      <c r="AA2025">
        <v>236116</v>
      </c>
      <c r="AB2025" t="s">
        <v>6541</v>
      </c>
      <c r="AC2025" t="s">
        <v>13160</v>
      </c>
      <c r="AE2025" t="s">
        <v>3922</v>
      </c>
      <c r="AF2025" t="s">
        <v>13161</v>
      </c>
      <c r="AH2025" t="s">
        <v>13162</v>
      </c>
      <c r="AI2025" t="s">
        <v>333</v>
      </c>
      <c r="AJ2025" s="8" t="str">
        <f>"70395"</f>
        <v>70395</v>
      </c>
      <c r="AK2025" t="s">
        <v>118</v>
      </c>
      <c r="AM2025" s="10">
        <v>19852281793</v>
      </c>
      <c r="AO2025" t="s">
        <v>13163</v>
      </c>
      <c r="AX2025" s="8" t="str">
        <f>""</f>
        <v/>
      </c>
      <c r="BG2025" t="s">
        <v>333</v>
      </c>
      <c r="BH2025" s="1">
        <v>45077.833333333336</v>
      </c>
      <c r="BI2025">
        <v>40</v>
      </c>
      <c r="BJ2025">
        <v>0</v>
      </c>
      <c r="BK2025">
        <v>7</v>
      </c>
      <c r="BL2025">
        <v>7</v>
      </c>
      <c r="BM2025">
        <v>7</v>
      </c>
      <c r="BN2025">
        <v>7</v>
      </c>
      <c r="BO2025">
        <v>7</v>
      </c>
      <c r="BP2025">
        <v>5</v>
      </c>
      <c r="BQ2025" t="str">
        <f>"10:00 AM"</f>
        <v>10:00 AM</v>
      </c>
      <c r="BR2025" t="str">
        <f>"5:00 PM"</f>
        <v>5:00 PM</v>
      </c>
      <c r="BS2025" t="s">
        <v>131</v>
      </c>
      <c r="BT2025">
        <v>0</v>
      </c>
      <c r="BU2025">
        <v>3</v>
      </c>
      <c r="BV2025" t="s">
        <v>114</v>
      </c>
      <c r="BX2025" t="s">
        <v>13164</v>
      </c>
      <c r="BY2025" t="s">
        <v>13165</v>
      </c>
      <c r="CA2025" t="s">
        <v>13166</v>
      </c>
      <c r="CB2025" t="s">
        <v>333</v>
      </c>
      <c r="CC2025" s="8" t="str">
        <f>"70374"</f>
        <v>70374</v>
      </c>
      <c r="CD2025" t="s">
        <v>13167</v>
      </c>
      <c r="CE2025" t="s">
        <v>6547</v>
      </c>
      <c r="CF2025" s="12">
        <v>31.32</v>
      </c>
      <c r="CG2025" s="12">
        <v>31.32</v>
      </c>
      <c r="CJ2025" t="s">
        <v>135</v>
      </c>
      <c r="CL2025" t="s">
        <v>13168</v>
      </c>
      <c r="CO2025" t="s">
        <v>132</v>
      </c>
      <c r="CP2025" t="s">
        <v>136</v>
      </c>
      <c r="CQ2025" t="s">
        <v>136</v>
      </c>
      <c r="CR2025" t="s">
        <v>114</v>
      </c>
      <c r="CS2025" t="s">
        <v>114</v>
      </c>
      <c r="CT2025" t="s">
        <v>136</v>
      </c>
      <c r="CU2025" t="s">
        <v>136</v>
      </c>
      <c r="CV2025" s="2" t="s">
        <v>13169</v>
      </c>
      <c r="CW2025" s="10" t="str">
        <f>"+19852281793"</f>
        <v>+19852281793</v>
      </c>
      <c r="CX2025" t="s">
        <v>13163</v>
      </c>
      <c r="CY2025" t="s">
        <v>132</v>
      </c>
      <c r="CZ2025" t="s">
        <v>137</v>
      </c>
      <c r="DA2025" t="s">
        <v>114</v>
      </c>
      <c r="DB2025" t="s">
        <v>114</v>
      </c>
      <c r="DC2025" t="s">
        <v>136</v>
      </c>
      <c r="DD2025" t="s">
        <v>114</v>
      </c>
    </row>
    <row r="2026" spans="1:113" ht="15" customHeight="1" x14ac:dyDescent="0.25">
      <c r="A2026" t="s">
        <v>20200</v>
      </c>
      <c r="B2026" t="s">
        <v>113</v>
      </c>
      <c r="C2026" s="1">
        <v>45112.616902430556</v>
      </c>
      <c r="D2026" s="1">
        <v>45216</v>
      </c>
      <c r="E2026" t="s">
        <v>114</v>
      </c>
      <c r="F2026" t="s">
        <v>20201</v>
      </c>
      <c r="G2026" t="str">
        <f>"51-3022.00"</f>
        <v>51-3022.00</v>
      </c>
      <c r="H2026" t="s">
        <v>1004</v>
      </c>
      <c r="I2026">
        <v>2</v>
      </c>
      <c r="K2026" s="1">
        <v>45200</v>
      </c>
      <c r="L2026" s="1">
        <v>45504</v>
      </c>
      <c r="O2026" t="s">
        <v>116</v>
      </c>
      <c r="P2026" t="s">
        <v>1005</v>
      </c>
      <c r="R2026" t="s">
        <v>8845</v>
      </c>
      <c r="T2026" t="s">
        <v>1007</v>
      </c>
      <c r="U2026" t="s">
        <v>581</v>
      </c>
      <c r="V2026" s="8" t="str">
        <f>"23430"</f>
        <v>23430</v>
      </c>
      <c r="W2026" t="s">
        <v>118</v>
      </c>
      <c r="Y2026" s="10">
        <v>17573653000</v>
      </c>
      <c r="AA2026">
        <v>311612</v>
      </c>
      <c r="AB2026" t="s">
        <v>1008</v>
      </c>
      <c r="AC2026" t="s">
        <v>1009</v>
      </c>
      <c r="AE2026" t="s">
        <v>1010</v>
      </c>
      <c r="AF2026" t="s">
        <v>1006</v>
      </c>
      <c r="AH2026" t="s">
        <v>1007</v>
      </c>
      <c r="AI2026" t="s">
        <v>581</v>
      </c>
      <c r="AJ2026" s="8" t="str">
        <f>"23430"</f>
        <v>23430</v>
      </c>
      <c r="AK2026" t="s">
        <v>118</v>
      </c>
      <c r="AM2026" s="10">
        <v>17573754572</v>
      </c>
      <c r="AO2026" t="s">
        <v>8846</v>
      </c>
      <c r="AP2026" t="s">
        <v>121</v>
      </c>
      <c r="AQ2026" t="s">
        <v>380</v>
      </c>
      <c r="AR2026" t="s">
        <v>381</v>
      </c>
      <c r="AT2026" t="s">
        <v>383</v>
      </c>
      <c r="AU2026" t="s">
        <v>384</v>
      </c>
      <c r="AV2026" t="s">
        <v>385</v>
      </c>
      <c r="AW2026" t="s">
        <v>386</v>
      </c>
      <c r="AX2026" s="8" t="str">
        <f>"37122"</f>
        <v>37122</v>
      </c>
      <c r="AY2026" t="s">
        <v>118</v>
      </c>
      <c r="BA2026" s="10">
        <v>16154227130</v>
      </c>
      <c r="BC2026" t="s">
        <v>1012</v>
      </c>
      <c r="BD2026" t="s">
        <v>1013</v>
      </c>
      <c r="BE2026" t="s">
        <v>386</v>
      </c>
      <c r="BF2026" t="s">
        <v>389</v>
      </c>
      <c r="BG2026" t="s">
        <v>375</v>
      </c>
      <c r="BH2026" s="1">
        <v>45111.833333333336</v>
      </c>
      <c r="BI2026">
        <v>40</v>
      </c>
      <c r="BJ2026">
        <v>0</v>
      </c>
      <c r="BK2026">
        <v>8</v>
      </c>
      <c r="BL2026">
        <v>8</v>
      </c>
      <c r="BM2026">
        <v>8</v>
      </c>
      <c r="BN2026">
        <v>8</v>
      </c>
      <c r="BO2026">
        <v>8</v>
      </c>
      <c r="BP2026">
        <v>0</v>
      </c>
      <c r="BQ2026" t="str">
        <f>"6:00 AM"</f>
        <v>6:00 AM</v>
      </c>
      <c r="BR2026" t="str">
        <f>"3:15 PM"</f>
        <v>3:15 PM</v>
      </c>
      <c r="BS2026" t="s">
        <v>131</v>
      </c>
      <c r="BT2026">
        <v>1</v>
      </c>
      <c r="BU2026">
        <v>0</v>
      </c>
      <c r="BV2026" t="s">
        <v>114</v>
      </c>
      <c r="BX2026" s="2" t="s">
        <v>20202</v>
      </c>
      <c r="BY2026" t="s">
        <v>8848</v>
      </c>
      <c r="CA2026" t="s">
        <v>8849</v>
      </c>
      <c r="CB2026" t="s">
        <v>375</v>
      </c>
      <c r="CC2026" s="8" t="str">
        <f>"28392"</f>
        <v>28392</v>
      </c>
      <c r="CD2026" t="s">
        <v>8850</v>
      </c>
      <c r="CE2026" t="s">
        <v>8851</v>
      </c>
      <c r="CF2026" s="12">
        <v>16.12</v>
      </c>
      <c r="CG2026" s="12">
        <v>21.05</v>
      </c>
      <c r="CH2026" s="12">
        <v>24.18</v>
      </c>
      <c r="CI2026" s="12">
        <v>31.58</v>
      </c>
      <c r="CJ2026" t="s">
        <v>135</v>
      </c>
      <c r="CK2026" t="s">
        <v>8852</v>
      </c>
      <c r="CL2026" t="s">
        <v>20203</v>
      </c>
      <c r="CO2026" t="s">
        <v>132</v>
      </c>
      <c r="CP2026" t="s">
        <v>114</v>
      </c>
      <c r="CQ2026" t="s">
        <v>114</v>
      </c>
      <c r="CR2026" t="s">
        <v>136</v>
      </c>
      <c r="CS2026" t="s">
        <v>136</v>
      </c>
      <c r="CT2026" t="s">
        <v>136</v>
      </c>
      <c r="CU2026" t="s">
        <v>136</v>
      </c>
      <c r="CV2026" s="2" t="s">
        <v>1021</v>
      </c>
      <c r="CW2026" s="10" t="str">
        <f>"+17576353808"</f>
        <v>+17576353808</v>
      </c>
      <c r="CX2026" t="s">
        <v>1022</v>
      </c>
      <c r="CY2026" t="s">
        <v>132</v>
      </c>
      <c r="CZ2026" t="s">
        <v>137</v>
      </c>
      <c r="DA2026" t="s">
        <v>114</v>
      </c>
      <c r="DB2026" t="s">
        <v>114</v>
      </c>
      <c r="DC2026" t="s">
        <v>136</v>
      </c>
      <c r="DD2026" t="s">
        <v>114</v>
      </c>
    </row>
    <row r="2027" spans="1:113" ht="15" customHeight="1" x14ac:dyDescent="0.25">
      <c r="A2027" t="s">
        <v>17365</v>
      </c>
      <c r="B2027" t="s">
        <v>113</v>
      </c>
      <c r="C2027" s="1">
        <v>45112.600076504626</v>
      </c>
      <c r="D2027" s="1">
        <v>45216</v>
      </c>
      <c r="E2027" t="s">
        <v>114</v>
      </c>
      <c r="F2027" t="s">
        <v>17366</v>
      </c>
      <c r="G2027" t="str">
        <f>"51-3022.00"</f>
        <v>51-3022.00</v>
      </c>
      <c r="H2027" t="s">
        <v>1004</v>
      </c>
      <c r="I2027">
        <v>20</v>
      </c>
      <c r="K2027" s="1">
        <v>45200</v>
      </c>
      <c r="L2027" s="1">
        <v>45504</v>
      </c>
      <c r="O2027" t="s">
        <v>116</v>
      </c>
      <c r="P2027" t="s">
        <v>1005</v>
      </c>
      <c r="R2027" t="s">
        <v>8845</v>
      </c>
      <c r="T2027" t="s">
        <v>1007</v>
      </c>
      <c r="U2027" t="s">
        <v>581</v>
      </c>
      <c r="V2027" s="8" t="str">
        <f>"23430"</f>
        <v>23430</v>
      </c>
      <c r="W2027" t="s">
        <v>118</v>
      </c>
      <c r="Y2027" s="10">
        <v>17573653000</v>
      </c>
      <c r="AA2027">
        <v>311612</v>
      </c>
      <c r="AB2027" t="s">
        <v>1008</v>
      </c>
      <c r="AC2027" t="s">
        <v>1009</v>
      </c>
      <c r="AE2027" t="s">
        <v>1010</v>
      </c>
      <c r="AF2027" t="s">
        <v>1006</v>
      </c>
      <c r="AH2027" t="s">
        <v>1007</v>
      </c>
      <c r="AI2027" t="s">
        <v>581</v>
      </c>
      <c r="AJ2027" s="8" t="str">
        <f>"23430"</f>
        <v>23430</v>
      </c>
      <c r="AK2027" t="s">
        <v>118</v>
      </c>
      <c r="AM2027" s="10">
        <v>17573754572</v>
      </c>
      <c r="AO2027" t="s">
        <v>8846</v>
      </c>
      <c r="AP2027" t="s">
        <v>121</v>
      </c>
      <c r="AQ2027" t="s">
        <v>380</v>
      </c>
      <c r="AR2027" t="s">
        <v>381</v>
      </c>
      <c r="AT2027" t="s">
        <v>383</v>
      </c>
      <c r="AU2027" t="s">
        <v>384</v>
      </c>
      <c r="AV2027" t="s">
        <v>385</v>
      </c>
      <c r="AW2027" t="s">
        <v>386</v>
      </c>
      <c r="AX2027" s="8" t="str">
        <f>"37122"</f>
        <v>37122</v>
      </c>
      <c r="AY2027" t="s">
        <v>118</v>
      </c>
      <c r="BA2027" s="10">
        <v>16154227130</v>
      </c>
      <c r="BC2027" t="s">
        <v>1012</v>
      </c>
      <c r="BD2027" t="s">
        <v>1013</v>
      </c>
      <c r="BE2027" t="s">
        <v>375</v>
      </c>
      <c r="BF2027" t="s">
        <v>389</v>
      </c>
      <c r="BG2027" t="s">
        <v>375</v>
      </c>
      <c r="BH2027" s="1">
        <v>45111.833333333336</v>
      </c>
      <c r="BI2027">
        <v>40</v>
      </c>
      <c r="BJ2027">
        <v>0</v>
      </c>
      <c r="BK2027">
        <v>8</v>
      </c>
      <c r="BL2027">
        <v>8</v>
      </c>
      <c r="BM2027">
        <v>8</v>
      </c>
      <c r="BN2027">
        <v>8</v>
      </c>
      <c r="BO2027">
        <v>8</v>
      </c>
      <c r="BP2027">
        <v>0</v>
      </c>
      <c r="BQ2027" t="str">
        <f>"6:15 AM"</f>
        <v>6:15 AM</v>
      </c>
      <c r="BR2027" t="str">
        <f>"12:45 AM"</f>
        <v>12:45 AM</v>
      </c>
      <c r="BS2027" t="s">
        <v>131</v>
      </c>
      <c r="BT2027">
        <v>1</v>
      </c>
      <c r="BU2027">
        <v>0</v>
      </c>
      <c r="BV2027" t="s">
        <v>114</v>
      </c>
      <c r="BX2027" s="2" t="s">
        <v>17367</v>
      </c>
      <c r="BY2027" t="s">
        <v>8848</v>
      </c>
      <c r="CA2027" t="s">
        <v>8849</v>
      </c>
      <c r="CB2027" t="s">
        <v>375</v>
      </c>
      <c r="CC2027" s="8" t="str">
        <f>"28392"</f>
        <v>28392</v>
      </c>
      <c r="CD2027" t="s">
        <v>8850</v>
      </c>
      <c r="CE2027" t="s">
        <v>8851</v>
      </c>
      <c r="CF2027" s="12">
        <v>16.12</v>
      </c>
      <c r="CG2027" s="12">
        <v>21.05</v>
      </c>
      <c r="CH2027" s="12">
        <v>24.18</v>
      </c>
      <c r="CI2027" s="12">
        <v>31.58</v>
      </c>
      <c r="CJ2027" t="s">
        <v>135</v>
      </c>
      <c r="CK2027" t="s">
        <v>8852</v>
      </c>
      <c r="CL2027" t="s">
        <v>17368</v>
      </c>
      <c r="CO2027" t="s">
        <v>132</v>
      </c>
      <c r="CP2027" t="s">
        <v>114</v>
      </c>
      <c r="CQ2027" t="s">
        <v>114</v>
      </c>
      <c r="CR2027" t="s">
        <v>136</v>
      </c>
      <c r="CS2027" t="s">
        <v>136</v>
      </c>
      <c r="CT2027" t="s">
        <v>136</v>
      </c>
      <c r="CU2027" t="s">
        <v>136</v>
      </c>
      <c r="CV2027" s="2" t="s">
        <v>1021</v>
      </c>
      <c r="CW2027" s="10" t="str">
        <f>"+17576353808"</f>
        <v>+17576353808</v>
      </c>
      <c r="CX2027" t="s">
        <v>1022</v>
      </c>
      <c r="CY2027" t="s">
        <v>132</v>
      </c>
      <c r="CZ2027" t="s">
        <v>137</v>
      </c>
      <c r="DA2027" t="s">
        <v>114</v>
      </c>
      <c r="DB2027" t="s">
        <v>114</v>
      </c>
      <c r="DC2027" t="s">
        <v>136</v>
      </c>
      <c r="DD2027" t="s">
        <v>114</v>
      </c>
    </row>
    <row r="2028" spans="1:113" ht="15" customHeight="1" x14ac:dyDescent="0.25">
      <c r="A2028" t="s">
        <v>8843</v>
      </c>
      <c r="B2028" t="s">
        <v>113</v>
      </c>
      <c r="C2028" s="1">
        <v>45112.594828125002</v>
      </c>
      <c r="D2028" s="1">
        <v>45216</v>
      </c>
      <c r="E2028" t="s">
        <v>114</v>
      </c>
      <c r="F2028" t="s">
        <v>8844</v>
      </c>
      <c r="G2028" t="str">
        <f>"51-3022.00"</f>
        <v>51-3022.00</v>
      </c>
      <c r="H2028" t="s">
        <v>1004</v>
      </c>
      <c r="I2028">
        <v>40</v>
      </c>
      <c r="K2028" s="1">
        <v>45200</v>
      </c>
      <c r="L2028" s="1">
        <v>45504</v>
      </c>
      <c r="O2028" t="s">
        <v>116</v>
      </c>
      <c r="P2028" t="s">
        <v>1005</v>
      </c>
      <c r="R2028" t="s">
        <v>8845</v>
      </c>
      <c r="T2028" t="s">
        <v>1007</v>
      </c>
      <c r="U2028" t="s">
        <v>581</v>
      </c>
      <c r="V2028" s="8" t="str">
        <f>"23430"</f>
        <v>23430</v>
      </c>
      <c r="W2028" t="s">
        <v>118</v>
      </c>
      <c r="Y2028" s="10">
        <v>17573653000</v>
      </c>
      <c r="AA2028">
        <v>311612</v>
      </c>
      <c r="AB2028" t="s">
        <v>1008</v>
      </c>
      <c r="AC2028" t="s">
        <v>1009</v>
      </c>
      <c r="AE2028" t="s">
        <v>1010</v>
      </c>
      <c r="AF2028" t="s">
        <v>1006</v>
      </c>
      <c r="AH2028" t="s">
        <v>1007</v>
      </c>
      <c r="AI2028" t="s">
        <v>581</v>
      </c>
      <c r="AJ2028" s="8" t="str">
        <f>"23430"</f>
        <v>23430</v>
      </c>
      <c r="AK2028" t="s">
        <v>118</v>
      </c>
      <c r="AM2028" s="10">
        <v>17573754572</v>
      </c>
      <c r="AO2028" t="s">
        <v>8846</v>
      </c>
      <c r="AP2028" t="s">
        <v>121</v>
      </c>
      <c r="AQ2028" t="s">
        <v>380</v>
      </c>
      <c r="AR2028" t="s">
        <v>381</v>
      </c>
      <c r="AT2028" t="s">
        <v>383</v>
      </c>
      <c r="AU2028" t="s">
        <v>384</v>
      </c>
      <c r="AV2028" t="s">
        <v>385</v>
      </c>
      <c r="AW2028" t="s">
        <v>386</v>
      </c>
      <c r="AX2028" s="8" t="str">
        <f>"37122"</f>
        <v>37122</v>
      </c>
      <c r="AY2028" t="s">
        <v>118</v>
      </c>
      <c r="BA2028" s="10">
        <v>16154227130</v>
      </c>
      <c r="BC2028" t="s">
        <v>1012</v>
      </c>
      <c r="BD2028" t="s">
        <v>1013</v>
      </c>
      <c r="BE2028" t="s">
        <v>386</v>
      </c>
      <c r="BF2028" t="s">
        <v>389</v>
      </c>
      <c r="BG2028" t="s">
        <v>375</v>
      </c>
      <c r="BH2028" s="1">
        <v>45111.833333333336</v>
      </c>
      <c r="BI2028">
        <v>40</v>
      </c>
      <c r="BJ2028">
        <v>0</v>
      </c>
      <c r="BK2028">
        <v>8</v>
      </c>
      <c r="BL2028">
        <v>8</v>
      </c>
      <c r="BM2028">
        <v>8</v>
      </c>
      <c r="BN2028">
        <v>8</v>
      </c>
      <c r="BO2028">
        <v>8</v>
      </c>
      <c r="BP2028">
        <v>0</v>
      </c>
      <c r="BQ2028" t="str">
        <f>"6:00 AM"</f>
        <v>6:00 AM</v>
      </c>
      <c r="BR2028" t="str">
        <f>"3:15 PM"</f>
        <v>3:15 PM</v>
      </c>
      <c r="BS2028" t="s">
        <v>131</v>
      </c>
      <c r="BT2028">
        <v>1</v>
      </c>
      <c r="BU2028">
        <v>0</v>
      </c>
      <c r="BV2028" t="s">
        <v>114</v>
      </c>
      <c r="BX2028" s="2" t="s">
        <v>8847</v>
      </c>
      <c r="BY2028" t="s">
        <v>8848</v>
      </c>
      <c r="CA2028" t="s">
        <v>8849</v>
      </c>
      <c r="CB2028" t="s">
        <v>375</v>
      </c>
      <c r="CC2028" s="8" t="str">
        <f>"28392"</f>
        <v>28392</v>
      </c>
      <c r="CD2028" t="s">
        <v>8850</v>
      </c>
      <c r="CE2028" t="s">
        <v>8851</v>
      </c>
      <c r="CF2028" s="12">
        <v>16.12</v>
      </c>
      <c r="CG2028" s="12">
        <v>20.55</v>
      </c>
      <c r="CH2028" s="12">
        <v>24.18</v>
      </c>
      <c r="CI2028" s="12">
        <v>30.83</v>
      </c>
      <c r="CJ2028" t="s">
        <v>135</v>
      </c>
      <c r="CK2028" t="s">
        <v>8852</v>
      </c>
      <c r="CL2028" t="s">
        <v>8853</v>
      </c>
      <c r="CO2028" t="s">
        <v>132</v>
      </c>
      <c r="CP2028" t="s">
        <v>114</v>
      </c>
      <c r="CQ2028" t="s">
        <v>114</v>
      </c>
      <c r="CR2028" t="s">
        <v>136</v>
      </c>
      <c r="CS2028" t="s">
        <v>136</v>
      </c>
      <c r="CT2028" t="s">
        <v>136</v>
      </c>
      <c r="CU2028" t="s">
        <v>136</v>
      </c>
      <c r="CV2028" s="2" t="s">
        <v>1021</v>
      </c>
      <c r="CW2028" s="10" t="str">
        <f>"+17576353808"</f>
        <v>+17576353808</v>
      </c>
      <c r="CX2028" t="s">
        <v>1022</v>
      </c>
      <c r="CY2028" t="s">
        <v>132</v>
      </c>
      <c r="CZ2028" t="s">
        <v>137</v>
      </c>
      <c r="DA2028" t="s">
        <v>114</v>
      </c>
      <c r="DB2028" t="s">
        <v>114</v>
      </c>
      <c r="DC2028" t="s">
        <v>136</v>
      </c>
      <c r="DD2028" t="s">
        <v>114</v>
      </c>
    </row>
    <row r="2029" spans="1:113" ht="15" customHeight="1" x14ac:dyDescent="0.25">
      <c r="A2029" t="s">
        <v>11965</v>
      </c>
      <c r="B2029" t="s">
        <v>113</v>
      </c>
      <c r="C2029" s="1">
        <v>45111.726070833334</v>
      </c>
      <c r="D2029" s="1">
        <v>45216</v>
      </c>
      <c r="E2029" t="s">
        <v>114</v>
      </c>
      <c r="F2029" t="s">
        <v>11966</v>
      </c>
      <c r="G2029" t="str">
        <f>"51-3022.00"</f>
        <v>51-3022.00</v>
      </c>
      <c r="H2029" t="s">
        <v>1004</v>
      </c>
      <c r="I2029">
        <v>5</v>
      </c>
      <c r="K2029" s="1">
        <v>45200</v>
      </c>
      <c r="L2029" s="1">
        <v>45504</v>
      </c>
      <c r="O2029" t="s">
        <v>116</v>
      </c>
      <c r="P2029" t="s">
        <v>1005</v>
      </c>
      <c r="R2029" t="s">
        <v>1006</v>
      </c>
      <c r="T2029" t="s">
        <v>1007</v>
      </c>
      <c r="U2029" t="s">
        <v>581</v>
      </c>
      <c r="V2029" s="8" t="str">
        <f>"23430"</f>
        <v>23430</v>
      </c>
      <c r="W2029" t="s">
        <v>118</v>
      </c>
      <c r="Y2029" s="10">
        <v>17573754572</v>
      </c>
      <c r="AA2029">
        <v>311612</v>
      </c>
      <c r="AB2029" t="s">
        <v>1008</v>
      </c>
      <c r="AC2029" t="s">
        <v>1009</v>
      </c>
      <c r="AE2029" t="s">
        <v>1010</v>
      </c>
      <c r="AF2029" t="s">
        <v>1006</v>
      </c>
      <c r="AH2029" t="s">
        <v>1007</v>
      </c>
      <c r="AI2029" t="s">
        <v>581</v>
      </c>
      <c r="AJ2029" s="8" t="str">
        <f>"23430"</f>
        <v>23430</v>
      </c>
      <c r="AK2029" t="s">
        <v>118</v>
      </c>
      <c r="AM2029" s="10">
        <v>17573754572</v>
      </c>
      <c r="AO2029" t="s">
        <v>1011</v>
      </c>
      <c r="AP2029" t="s">
        <v>121</v>
      </c>
      <c r="AQ2029" t="s">
        <v>380</v>
      </c>
      <c r="AR2029" t="s">
        <v>381</v>
      </c>
      <c r="AT2029" t="s">
        <v>383</v>
      </c>
      <c r="AV2029" t="s">
        <v>385</v>
      </c>
      <c r="AW2029" t="s">
        <v>386</v>
      </c>
      <c r="AX2029" s="8" t="str">
        <f>"37122"</f>
        <v>37122</v>
      </c>
      <c r="AY2029" t="s">
        <v>118</v>
      </c>
      <c r="BA2029" s="10">
        <v>16154227130</v>
      </c>
      <c r="BC2029" t="s">
        <v>1012</v>
      </c>
      <c r="BD2029" t="s">
        <v>1013</v>
      </c>
      <c r="BE2029" t="s">
        <v>386</v>
      </c>
      <c r="BF2029" t="s">
        <v>389</v>
      </c>
      <c r="BG2029" t="s">
        <v>2090</v>
      </c>
      <c r="BH2029" s="1">
        <v>45110.833333333336</v>
      </c>
      <c r="BI2029">
        <v>40</v>
      </c>
      <c r="BJ2029">
        <v>0</v>
      </c>
      <c r="BK2029">
        <v>8</v>
      </c>
      <c r="BL2029">
        <v>8</v>
      </c>
      <c r="BM2029">
        <v>8</v>
      </c>
      <c r="BN2029">
        <v>8</v>
      </c>
      <c r="BO2029">
        <v>8</v>
      </c>
      <c r="BP2029">
        <v>0</v>
      </c>
      <c r="BQ2029" t="str">
        <f>"6:30 AM"</f>
        <v>6:30 AM</v>
      </c>
      <c r="BR2029" t="str">
        <f>"3:00 PM"</f>
        <v>3:00 PM</v>
      </c>
      <c r="BS2029" t="s">
        <v>131</v>
      </c>
      <c r="BT2029">
        <v>1</v>
      </c>
      <c r="BU2029">
        <v>0</v>
      </c>
      <c r="BV2029" t="s">
        <v>114</v>
      </c>
      <c r="BX2029" s="2" t="s">
        <v>11967</v>
      </c>
      <c r="BY2029" t="s">
        <v>8728</v>
      </c>
      <c r="CA2029" t="s">
        <v>8729</v>
      </c>
      <c r="CB2029" t="s">
        <v>2090</v>
      </c>
      <c r="CC2029" s="8" t="str">
        <f>"68333"</f>
        <v>68333</v>
      </c>
      <c r="CD2029" t="s">
        <v>8730</v>
      </c>
      <c r="CE2029" t="s">
        <v>2275</v>
      </c>
      <c r="CF2029" s="12">
        <v>18.3</v>
      </c>
      <c r="CG2029" s="12">
        <v>20.65</v>
      </c>
      <c r="CH2029" s="12">
        <v>27.45</v>
      </c>
      <c r="CI2029" s="12">
        <v>30.98</v>
      </c>
      <c r="CJ2029" t="s">
        <v>135</v>
      </c>
      <c r="CK2029" t="s">
        <v>11968</v>
      </c>
      <c r="CL2029" t="s">
        <v>11969</v>
      </c>
      <c r="CO2029" t="s">
        <v>132</v>
      </c>
      <c r="CP2029" t="s">
        <v>114</v>
      </c>
      <c r="CQ2029" t="s">
        <v>114</v>
      </c>
      <c r="CR2029" t="s">
        <v>136</v>
      </c>
      <c r="CS2029" t="s">
        <v>136</v>
      </c>
      <c r="CT2029" t="s">
        <v>136</v>
      </c>
      <c r="CU2029" t="s">
        <v>136</v>
      </c>
      <c r="CV2029" s="2" t="s">
        <v>1021</v>
      </c>
      <c r="CW2029" s="10" t="str">
        <f>"+17576353808"</f>
        <v>+17576353808</v>
      </c>
      <c r="CX2029" t="s">
        <v>1022</v>
      </c>
      <c r="CY2029" t="s">
        <v>132</v>
      </c>
      <c r="CZ2029" t="s">
        <v>137</v>
      </c>
      <c r="DA2029" t="s">
        <v>114</v>
      </c>
      <c r="DB2029" t="s">
        <v>114</v>
      </c>
      <c r="DC2029" t="s">
        <v>136</v>
      </c>
      <c r="DD2029" t="s">
        <v>114</v>
      </c>
    </row>
    <row r="2030" spans="1:113" ht="15" customHeight="1" x14ac:dyDescent="0.25">
      <c r="A2030" t="s">
        <v>21667</v>
      </c>
      <c r="B2030" t="s">
        <v>113</v>
      </c>
      <c r="C2030" s="1">
        <v>45111.716473842593</v>
      </c>
      <c r="D2030" s="1">
        <v>45216</v>
      </c>
      <c r="E2030" t="s">
        <v>114</v>
      </c>
      <c r="F2030" t="s">
        <v>21668</v>
      </c>
      <c r="G2030" t="str">
        <f>"51-3022.00"</f>
        <v>51-3022.00</v>
      </c>
      <c r="H2030" t="s">
        <v>1004</v>
      </c>
      <c r="I2030">
        <v>5</v>
      </c>
      <c r="K2030" s="1">
        <v>45200</v>
      </c>
      <c r="L2030" s="1">
        <v>45504</v>
      </c>
      <c r="O2030" t="s">
        <v>116</v>
      </c>
      <c r="P2030" t="s">
        <v>1005</v>
      </c>
      <c r="R2030" t="s">
        <v>1006</v>
      </c>
      <c r="T2030" t="s">
        <v>1007</v>
      </c>
      <c r="U2030" t="s">
        <v>581</v>
      </c>
      <c r="V2030" s="8" t="str">
        <f>"23430"</f>
        <v>23430</v>
      </c>
      <c r="W2030" t="s">
        <v>118</v>
      </c>
      <c r="Y2030" s="10">
        <v>17573754572</v>
      </c>
      <c r="AA2030">
        <v>311612</v>
      </c>
      <c r="AB2030" t="s">
        <v>1008</v>
      </c>
      <c r="AC2030" t="s">
        <v>1009</v>
      </c>
      <c r="AE2030" t="s">
        <v>1010</v>
      </c>
      <c r="AF2030" t="s">
        <v>1006</v>
      </c>
      <c r="AH2030" t="s">
        <v>1007</v>
      </c>
      <c r="AI2030" t="s">
        <v>581</v>
      </c>
      <c r="AJ2030" s="8" t="str">
        <f>"23430"</f>
        <v>23430</v>
      </c>
      <c r="AK2030" t="s">
        <v>118</v>
      </c>
      <c r="AM2030" s="10">
        <v>17573754572</v>
      </c>
      <c r="AO2030" t="s">
        <v>1011</v>
      </c>
      <c r="AP2030" t="s">
        <v>121</v>
      </c>
      <c r="AQ2030" t="s">
        <v>380</v>
      </c>
      <c r="AR2030" t="s">
        <v>381</v>
      </c>
      <c r="AT2030" t="s">
        <v>383</v>
      </c>
      <c r="AV2030" t="s">
        <v>385</v>
      </c>
      <c r="AW2030" t="s">
        <v>386</v>
      </c>
      <c r="AX2030" s="8" t="str">
        <f>"37122"</f>
        <v>37122</v>
      </c>
      <c r="AY2030" t="s">
        <v>118</v>
      </c>
      <c r="BA2030" s="10">
        <v>16154227130</v>
      </c>
      <c r="BC2030" t="s">
        <v>1012</v>
      </c>
      <c r="BD2030" t="s">
        <v>1013</v>
      </c>
      <c r="BE2030" t="s">
        <v>386</v>
      </c>
      <c r="BF2030" t="s">
        <v>389</v>
      </c>
      <c r="BG2030" t="s">
        <v>2090</v>
      </c>
      <c r="BH2030" s="1">
        <v>45110.833333333336</v>
      </c>
      <c r="BI2030">
        <v>40</v>
      </c>
      <c r="BJ2030">
        <v>0</v>
      </c>
      <c r="BK2030">
        <v>8</v>
      </c>
      <c r="BL2030">
        <v>8</v>
      </c>
      <c r="BM2030">
        <v>8</v>
      </c>
      <c r="BN2030">
        <v>8</v>
      </c>
      <c r="BO2030">
        <v>8</v>
      </c>
      <c r="BP2030">
        <v>0</v>
      </c>
      <c r="BQ2030" t="str">
        <f>"6:30 AM"</f>
        <v>6:30 AM</v>
      </c>
      <c r="BR2030" t="str">
        <f>"3:00 PM"</f>
        <v>3:00 PM</v>
      </c>
      <c r="BS2030" t="s">
        <v>131</v>
      </c>
      <c r="BT2030">
        <v>1</v>
      </c>
      <c r="BU2030">
        <v>0</v>
      </c>
      <c r="BV2030" t="s">
        <v>114</v>
      </c>
      <c r="BX2030" s="2" t="s">
        <v>21669</v>
      </c>
      <c r="BY2030" t="s">
        <v>8728</v>
      </c>
      <c r="CA2030" t="s">
        <v>8729</v>
      </c>
      <c r="CB2030" t="s">
        <v>2090</v>
      </c>
      <c r="CC2030" s="8" t="str">
        <f>"68333"</f>
        <v>68333</v>
      </c>
      <c r="CD2030" t="s">
        <v>8730</v>
      </c>
      <c r="CE2030" t="s">
        <v>2275</v>
      </c>
      <c r="CF2030" s="12">
        <v>18.3</v>
      </c>
      <c r="CG2030" s="12">
        <v>21.55</v>
      </c>
      <c r="CH2030" s="12">
        <v>27.45</v>
      </c>
      <c r="CI2030" s="12">
        <v>32.33</v>
      </c>
      <c r="CJ2030" t="s">
        <v>135</v>
      </c>
      <c r="CK2030" t="s">
        <v>21670</v>
      </c>
      <c r="CL2030" t="s">
        <v>21671</v>
      </c>
      <c r="CO2030" t="s">
        <v>132</v>
      </c>
      <c r="CP2030" t="s">
        <v>114</v>
      </c>
      <c r="CQ2030" t="s">
        <v>114</v>
      </c>
      <c r="CR2030" t="s">
        <v>136</v>
      </c>
      <c r="CS2030" t="s">
        <v>136</v>
      </c>
      <c r="CT2030" t="s">
        <v>136</v>
      </c>
      <c r="CU2030" t="s">
        <v>136</v>
      </c>
      <c r="CV2030" s="2" t="s">
        <v>1021</v>
      </c>
      <c r="CW2030" s="10" t="str">
        <f>"+17576353808"</f>
        <v>+17576353808</v>
      </c>
      <c r="CX2030" t="s">
        <v>1022</v>
      </c>
      <c r="CY2030" t="s">
        <v>132</v>
      </c>
      <c r="CZ2030" t="s">
        <v>137</v>
      </c>
      <c r="DA2030" t="s">
        <v>114</v>
      </c>
      <c r="DB2030" t="s">
        <v>114</v>
      </c>
      <c r="DC2030" t="s">
        <v>136</v>
      </c>
      <c r="DD2030" t="s">
        <v>114</v>
      </c>
    </row>
    <row r="2031" spans="1:113" ht="15" customHeight="1" x14ac:dyDescent="0.25">
      <c r="A2031" t="s">
        <v>21649</v>
      </c>
      <c r="B2031" t="s">
        <v>113</v>
      </c>
      <c r="C2031" s="1">
        <v>45111.70762361111</v>
      </c>
      <c r="D2031" s="1">
        <v>45216</v>
      </c>
      <c r="E2031" t="s">
        <v>114</v>
      </c>
      <c r="F2031" t="s">
        <v>21650</v>
      </c>
      <c r="G2031" t="str">
        <f>"51-3022.00"</f>
        <v>51-3022.00</v>
      </c>
      <c r="H2031" t="s">
        <v>1004</v>
      </c>
      <c r="I2031">
        <v>5</v>
      </c>
      <c r="K2031" s="1">
        <v>45200</v>
      </c>
      <c r="L2031" s="1">
        <v>45504</v>
      </c>
      <c r="O2031" t="s">
        <v>116</v>
      </c>
      <c r="P2031" t="s">
        <v>1005</v>
      </c>
      <c r="R2031" t="s">
        <v>1006</v>
      </c>
      <c r="T2031" t="s">
        <v>1007</v>
      </c>
      <c r="U2031" t="s">
        <v>581</v>
      </c>
      <c r="V2031" s="8" t="str">
        <f>"23430"</f>
        <v>23430</v>
      </c>
      <c r="W2031" t="s">
        <v>118</v>
      </c>
      <c r="Y2031" s="10">
        <v>17573754572</v>
      </c>
      <c r="AA2031">
        <v>311612</v>
      </c>
      <c r="AB2031" t="s">
        <v>1008</v>
      </c>
      <c r="AC2031" t="s">
        <v>1009</v>
      </c>
      <c r="AE2031" t="s">
        <v>1010</v>
      </c>
      <c r="AF2031" t="s">
        <v>1006</v>
      </c>
      <c r="AH2031" t="s">
        <v>1007</v>
      </c>
      <c r="AI2031" t="s">
        <v>581</v>
      </c>
      <c r="AJ2031" s="8" t="str">
        <f>"23430"</f>
        <v>23430</v>
      </c>
      <c r="AK2031" t="s">
        <v>118</v>
      </c>
      <c r="AM2031" s="10">
        <v>17573754572</v>
      </c>
      <c r="AO2031" t="s">
        <v>1011</v>
      </c>
      <c r="AP2031" t="s">
        <v>121</v>
      </c>
      <c r="AQ2031" t="s">
        <v>380</v>
      </c>
      <c r="AR2031" t="s">
        <v>381</v>
      </c>
      <c r="AT2031" t="s">
        <v>383</v>
      </c>
      <c r="AV2031" t="s">
        <v>385</v>
      </c>
      <c r="AW2031" t="s">
        <v>386</v>
      </c>
      <c r="AX2031" s="8" t="str">
        <f>"37122"</f>
        <v>37122</v>
      </c>
      <c r="AY2031" t="s">
        <v>118</v>
      </c>
      <c r="BA2031" s="10">
        <v>16154227130</v>
      </c>
      <c r="BC2031" t="s">
        <v>1012</v>
      </c>
      <c r="BD2031" t="s">
        <v>1013</v>
      </c>
      <c r="BE2031" t="s">
        <v>386</v>
      </c>
      <c r="BF2031" t="s">
        <v>389</v>
      </c>
      <c r="BG2031" t="s">
        <v>2090</v>
      </c>
      <c r="BH2031" s="1">
        <v>45110.833333333336</v>
      </c>
      <c r="BI2031">
        <v>40</v>
      </c>
      <c r="BJ2031">
        <v>0</v>
      </c>
      <c r="BK2031">
        <v>8</v>
      </c>
      <c r="BL2031">
        <v>8</v>
      </c>
      <c r="BM2031">
        <v>8</v>
      </c>
      <c r="BN2031">
        <v>8</v>
      </c>
      <c r="BO2031">
        <v>8</v>
      </c>
      <c r="BP2031">
        <v>0</v>
      </c>
      <c r="BQ2031" t="str">
        <f>"6:30 AM"</f>
        <v>6:30 AM</v>
      </c>
      <c r="BR2031" t="str">
        <f>"3:00 PM"</f>
        <v>3:00 PM</v>
      </c>
      <c r="BS2031" t="s">
        <v>131</v>
      </c>
      <c r="BT2031">
        <v>1</v>
      </c>
      <c r="BU2031">
        <v>0</v>
      </c>
      <c r="BV2031" t="s">
        <v>114</v>
      </c>
      <c r="BX2031" s="2" t="s">
        <v>21651</v>
      </c>
      <c r="BY2031" t="s">
        <v>8728</v>
      </c>
      <c r="CA2031" t="s">
        <v>8729</v>
      </c>
      <c r="CB2031" t="s">
        <v>2090</v>
      </c>
      <c r="CC2031" s="8" t="str">
        <f>"68333"</f>
        <v>68333</v>
      </c>
      <c r="CD2031" t="s">
        <v>8730</v>
      </c>
      <c r="CE2031" t="s">
        <v>2275</v>
      </c>
      <c r="CF2031" s="12">
        <v>18.3</v>
      </c>
      <c r="CG2031" s="12">
        <v>21.05</v>
      </c>
      <c r="CH2031" s="12">
        <v>27.45</v>
      </c>
      <c r="CI2031" s="12">
        <v>31.58</v>
      </c>
      <c r="CJ2031" t="s">
        <v>135</v>
      </c>
      <c r="CK2031" t="s">
        <v>21652</v>
      </c>
      <c r="CL2031" t="s">
        <v>21653</v>
      </c>
      <c r="CO2031" t="s">
        <v>132</v>
      </c>
      <c r="CP2031" t="s">
        <v>114</v>
      </c>
      <c r="CQ2031" t="s">
        <v>114</v>
      </c>
      <c r="CR2031" t="s">
        <v>136</v>
      </c>
      <c r="CS2031" t="s">
        <v>136</v>
      </c>
      <c r="CT2031" t="s">
        <v>136</v>
      </c>
      <c r="CU2031" t="s">
        <v>136</v>
      </c>
      <c r="CV2031" s="2" t="s">
        <v>1021</v>
      </c>
      <c r="CW2031" s="10" t="str">
        <f>"+17576353808"</f>
        <v>+17576353808</v>
      </c>
      <c r="CX2031" t="s">
        <v>1022</v>
      </c>
      <c r="CY2031" t="s">
        <v>132</v>
      </c>
      <c r="CZ2031" t="s">
        <v>137</v>
      </c>
      <c r="DA2031" t="s">
        <v>114</v>
      </c>
      <c r="DB2031" t="s">
        <v>114</v>
      </c>
      <c r="DC2031" t="s">
        <v>136</v>
      </c>
      <c r="DD2031" t="s">
        <v>114</v>
      </c>
    </row>
    <row r="2032" spans="1:113" ht="15" customHeight="1" x14ac:dyDescent="0.25">
      <c r="A2032" t="s">
        <v>8868</v>
      </c>
      <c r="B2032" t="s">
        <v>113</v>
      </c>
      <c r="C2032" s="1">
        <v>45111.578929513889</v>
      </c>
      <c r="D2032" s="1">
        <v>45216</v>
      </c>
      <c r="E2032" t="s">
        <v>114</v>
      </c>
      <c r="F2032" t="s">
        <v>8869</v>
      </c>
      <c r="G2032" t="str">
        <f>"51-3022.00"</f>
        <v>51-3022.00</v>
      </c>
      <c r="H2032" t="s">
        <v>1004</v>
      </c>
      <c r="I2032">
        <v>3</v>
      </c>
      <c r="K2032" s="1">
        <v>45200</v>
      </c>
      <c r="L2032" s="1">
        <v>45473</v>
      </c>
      <c r="O2032" t="s">
        <v>116</v>
      </c>
      <c r="P2032" t="s">
        <v>1005</v>
      </c>
      <c r="R2032" t="s">
        <v>1006</v>
      </c>
      <c r="T2032" t="s">
        <v>1007</v>
      </c>
      <c r="U2032" t="s">
        <v>581</v>
      </c>
      <c r="V2032" s="8" t="str">
        <f>"23430"</f>
        <v>23430</v>
      </c>
      <c r="W2032" t="s">
        <v>118</v>
      </c>
      <c r="Y2032" s="10">
        <v>17573754572</v>
      </c>
      <c r="AA2032">
        <v>311612</v>
      </c>
      <c r="AB2032" t="s">
        <v>1008</v>
      </c>
      <c r="AC2032" t="s">
        <v>1009</v>
      </c>
      <c r="AE2032" t="s">
        <v>1010</v>
      </c>
      <c r="AF2032" t="s">
        <v>1006</v>
      </c>
      <c r="AH2032" t="s">
        <v>1007</v>
      </c>
      <c r="AI2032" t="s">
        <v>581</v>
      </c>
      <c r="AJ2032" s="8" t="str">
        <f>"23430"</f>
        <v>23430</v>
      </c>
      <c r="AK2032" t="s">
        <v>118</v>
      </c>
      <c r="AM2032" s="10">
        <v>17573754572</v>
      </c>
      <c r="AO2032" t="s">
        <v>1011</v>
      </c>
      <c r="AP2032" t="s">
        <v>121</v>
      </c>
      <c r="AQ2032" t="s">
        <v>380</v>
      </c>
      <c r="AR2032" t="s">
        <v>381</v>
      </c>
      <c r="AT2032" t="s">
        <v>383</v>
      </c>
      <c r="AV2032" t="s">
        <v>385</v>
      </c>
      <c r="AW2032" t="s">
        <v>386</v>
      </c>
      <c r="AX2032" s="8" t="str">
        <f>"37122"</f>
        <v>37122</v>
      </c>
      <c r="AY2032" t="s">
        <v>118</v>
      </c>
      <c r="BA2032" s="10">
        <v>16154227130</v>
      </c>
      <c r="BC2032" t="s">
        <v>1012</v>
      </c>
      <c r="BD2032" t="s">
        <v>1013</v>
      </c>
      <c r="BE2032" t="s">
        <v>386</v>
      </c>
      <c r="BF2032" t="s">
        <v>389</v>
      </c>
      <c r="BG2032" t="s">
        <v>740</v>
      </c>
      <c r="BH2032" s="1">
        <v>45110.833333333336</v>
      </c>
      <c r="BI2032">
        <v>40</v>
      </c>
      <c r="BJ2032">
        <v>0</v>
      </c>
      <c r="BK2032">
        <v>8</v>
      </c>
      <c r="BL2032">
        <v>8</v>
      </c>
      <c r="BM2032">
        <v>8</v>
      </c>
      <c r="BN2032">
        <v>8</v>
      </c>
      <c r="BO2032">
        <v>8</v>
      </c>
      <c r="BP2032">
        <v>0</v>
      </c>
      <c r="BQ2032" t="str">
        <f>"6:00 AM"</f>
        <v>6:00 AM</v>
      </c>
      <c r="BR2032" t="str">
        <f>"2:30 PM"</f>
        <v>2:30 PM</v>
      </c>
      <c r="BS2032" t="s">
        <v>131</v>
      </c>
      <c r="BT2032">
        <v>1</v>
      </c>
      <c r="BU2032">
        <v>0</v>
      </c>
      <c r="BV2032" t="s">
        <v>114</v>
      </c>
      <c r="BX2032" s="2" t="s">
        <v>8870</v>
      </c>
      <c r="BY2032" t="s">
        <v>8871</v>
      </c>
      <c r="CA2032" t="s">
        <v>8872</v>
      </c>
      <c r="CB2032" t="s">
        <v>740</v>
      </c>
      <c r="CC2032" s="8" t="str">
        <f>"51442"</f>
        <v>51442</v>
      </c>
      <c r="CD2032" t="s">
        <v>8873</v>
      </c>
      <c r="CE2032" t="s">
        <v>8874</v>
      </c>
      <c r="CF2032" s="12">
        <v>18.600000000000001</v>
      </c>
      <c r="CG2032" s="12">
        <v>23.25</v>
      </c>
      <c r="CH2032" s="12">
        <v>27.9</v>
      </c>
      <c r="CI2032" s="12">
        <v>34.880000000000003</v>
      </c>
      <c r="CJ2032" t="s">
        <v>135</v>
      </c>
      <c r="CK2032" t="s">
        <v>8852</v>
      </c>
      <c r="CL2032" t="s">
        <v>8875</v>
      </c>
      <c r="CO2032" t="s">
        <v>132</v>
      </c>
      <c r="CP2032" t="s">
        <v>114</v>
      </c>
      <c r="CQ2032" t="s">
        <v>114</v>
      </c>
      <c r="CR2032" t="s">
        <v>136</v>
      </c>
      <c r="CS2032" t="s">
        <v>136</v>
      </c>
      <c r="CT2032" t="s">
        <v>136</v>
      </c>
      <c r="CU2032" t="s">
        <v>136</v>
      </c>
      <c r="CV2032" s="2" t="s">
        <v>1021</v>
      </c>
      <c r="CW2032" s="10" t="str">
        <f>"+17576353808"</f>
        <v>+17576353808</v>
      </c>
      <c r="CX2032" t="s">
        <v>1022</v>
      </c>
      <c r="CY2032" t="s">
        <v>132</v>
      </c>
      <c r="CZ2032" t="s">
        <v>137</v>
      </c>
      <c r="DA2032" t="s">
        <v>114</v>
      </c>
      <c r="DB2032" t="s">
        <v>114</v>
      </c>
      <c r="DC2032" t="s">
        <v>136</v>
      </c>
      <c r="DD2032" t="s">
        <v>114</v>
      </c>
    </row>
    <row r="2033" spans="1:113" ht="15" customHeight="1" x14ac:dyDescent="0.25">
      <c r="A2033" t="s">
        <v>15959</v>
      </c>
      <c r="B2033" t="s">
        <v>113</v>
      </c>
      <c r="C2033" s="1">
        <v>45111.556949189813</v>
      </c>
      <c r="D2033" s="1">
        <v>45216</v>
      </c>
      <c r="E2033" t="s">
        <v>114</v>
      </c>
      <c r="F2033" t="s">
        <v>15960</v>
      </c>
      <c r="G2033" t="str">
        <f>"51-3022.00"</f>
        <v>51-3022.00</v>
      </c>
      <c r="H2033" t="s">
        <v>1004</v>
      </c>
      <c r="I2033">
        <v>6</v>
      </c>
      <c r="K2033" s="1">
        <v>45200</v>
      </c>
      <c r="L2033" s="1">
        <v>45473</v>
      </c>
      <c r="O2033" t="s">
        <v>116</v>
      </c>
      <c r="P2033" t="s">
        <v>1005</v>
      </c>
      <c r="R2033" t="s">
        <v>1006</v>
      </c>
      <c r="T2033" t="s">
        <v>1007</v>
      </c>
      <c r="U2033" t="s">
        <v>581</v>
      </c>
      <c r="V2033" s="8" t="str">
        <f>"23430"</f>
        <v>23430</v>
      </c>
      <c r="W2033" t="s">
        <v>118</v>
      </c>
      <c r="Y2033" s="10">
        <v>17573754572</v>
      </c>
      <c r="AA2033">
        <v>311612</v>
      </c>
      <c r="AB2033" t="s">
        <v>1008</v>
      </c>
      <c r="AC2033" t="s">
        <v>1009</v>
      </c>
      <c r="AE2033" t="s">
        <v>1010</v>
      </c>
      <c r="AF2033" t="s">
        <v>1006</v>
      </c>
      <c r="AH2033" t="s">
        <v>1007</v>
      </c>
      <c r="AI2033" t="s">
        <v>581</v>
      </c>
      <c r="AJ2033" s="8" t="str">
        <f>"23430"</f>
        <v>23430</v>
      </c>
      <c r="AK2033" t="s">
        <v>118</v>
      </c>
      <c r="AM2033" s="10">
        <v>17573754572</v>
      </c>
      <c r="AO2033" t="s">
        <v>1011</v>
      </c>
      <c r="AP2033" t="s">
        <v>121</v>
      </c>
      <c r="AQ2033" t="s">
        <v>380</v>
      </c>
      <c r="AR2033" t="s">
        <v>381</v>
      </c>
      <c r="AT2033" t="s">
        <v>383</v>
      </c>
      <c r="AV2033" t="s">
        <v>385</v>
      </c>
      <c r="AW2033" t="s">
        <v>386</v>
      </c>
      <c r="AX2033" s="8" t="str">
        <f>"37122"</f>
        <v>37122</v>
      </c>
      <c r="AY2033" t="s">
        <v>118</v>
      </c>
      <c r="BA2033" s="10">
        <v>16154227130</v>
      </c>
      <c r="BC2033" t="s">
        <v>1012</v>
      </c>
      <c r="BD2033" t="s">
        <v>1013</v>
      </c>
      <c r="BE2033" t="s">
        <v>386</v>
      </c>
      <c r="BF2033" t="s">
        <v>389</v>
      </c>
      <c r="BG2033" t="s">
        <v>740</v>
      </c>
      <c r="BH2033" s="1">
        <v>45110.833333333336</v>
      </c>
      <c r="BI2033">
        <v>40</v>
      </c>
      <c r="BJ2033">
        <v>0</v>
      </c>
      <c r="BK2033">
        <v>8</v>
      </c>
      <c r="BL2033">
        <v>8</v>
      </c>
      <c r="BM2033">
        <v>8</v>
      </c>
      <c r="BN2033">
        <v>8</v>
      </c>
      <c r="BO2033">
        <v>8</v>
      </c>
      <c r="BP2033">
        <v>0</v>
      </c>
      <c r="BQ2033" t="str">
        <f>"6:00 AM"</f>
        <v>6:00 AM</v>
      </c>
      <c r="BR2033" t="str">
        <f>"2:30 PM"</f>
        <v>2:30 PM</v>
      </c>
      <c r="BS2033" t="s">
        <v>131</v>
      </c>
      <c r="BT2033">
        <v>1</v>
      </c>
      <c r="BU2033">
        <v>0</v>
      </c>
      <c r="BV2033" t="s">
        <v>114</v>
      </c>
      <c r="BX2033" s="2" t="s">
        <v>15961</v>
      </c>
      <c r="BY2033" t="s">
        <v>8871</v>
      </c>
      <c r="CA2033" t="s">
        <v>8872</v>
      </c>
      <c r="CB2033" t="s">
        <v>740</v>
      </c>
      <c r="CC2033" s="8" t="str">
        <f>"51442"</f>
        <v>51442</v>
      </c>
      <c r="CD2033" t="s">
        <v>8873</v>
      </c>
      <c r="CE2033" t="s">
        <v>8874</v>
      </c>
      <c r="CF2033" s="12">
        <v>18.600000000000001</v>
      </c>
      <c r="CG2033" s="12">
        <v>23.25</v>
      </c>
      <c r="CH2033" s="12">
        <v>27.9</v>
      </c>
      <c r="CI2033" s="12">
        <v>34.880000000000003</v>
      </c>
      <c r="CJ2033" t="s">
        <v>135</v>
      </c>
      <c r="CK2033" t="s">
        <v>15953</v>
      </c>
      <c r="CL2033" t="s">
        <v>15962</v>
      </c>
      <c r="CO2033" t="s">
        <v>132</v>
      </c>
      <c r="CP2033" t="s">
        <v>114</v>
      </c>
      <c r="CQ2033" t="s">
        <v>114</v>
      </c>
      <c r="CR2033" t="s">
        <v>136</v>
      </c>
      <c r="CS2033" t="s">
        <v>136</v>
      </c>
      <c r="CT2033" t="s">
        <v>136</v>
      </c>
      <c r="CU2033" t="s">
        <v>136</v>
      </c>
      <c r="CV2033" s="2" t="s">
        <v>1021</v>
      </c>
      <c r="CW2033" s="10" t="str">
        <f>"+17576353808"</f>
        <v>+17576353808</v>
      </c>
      <c r="CX2033" t="s">
        <v>1022</v>
      </c>
      <c r="CY2033" t="s">
        <v>132</v>
      </c>
      <c r="CZ2033" t="s">
        <v>137</v>
      </c>
      <c r="DA2033" t="s">
        <v>114</v>
      </c>
      <c r="DB2033" t="s">
        <v>114</v>
      </c>
      <c r="DC2033" t="s">
        <v>136</v>
      </c>
      <c r="DD2033" t="s">
        <v>114</v>
      </c>
    </row>
    <row r="2034" spans="1:113" ht="15" customHeight="1" x14ac:dyDescent="0.25">
      <c r="A2034" t="s">
        <v>15951</v>
      </c>
      <c r="B2034" t="s">
        <v>113</v>
      </c>
      <c r="C2034" s="1">
        <v>45111.544023726849</v>
      </c>
      <c r="D2034" s="1">
        <v>45216</v>
      </c>
      <c r="E2034" t="s">
        <v>114</v>
      </c>
      <c r="F2034" t="s">
        <v>3896</v>
      </c>
      <c r="G2034" t="str">
        <f>"51-3022.00"</f>
        <v>51-3022.00</v>
      </c>
      <c r="H2034" t="s">
        <v>1004</v>
      </c>
      <c r="I2034">
        <v>29</v>
      </c>
      <c r="K2034" s="1">
        <v>45200</v>
      </c>
      <c r="L2034" s="1">
        <v>45473</v>
      </c>
      <c r="O2034" t="s">
        <v>116</v>
      </c>
      <c r="P2034" t="s">
        <v>1005</v>
      </c>
      <c r="R2034" t="s">
        <v>1006</v>
      </c>
      <c r="T2034" t="s">
        <v>1007</v>
      </c>
      <c r="U2034" t="s">
        <v>581</v>
      </c>
      <c r="V2034" s="8" t="str">
        <f>"23430"</f>
        <v>23430</v>
      </c>
      <c r="W2034" t="s">
        <v>118</v>
      </c>
      <c r="Y2034" s="10">
        <v>17573754572</v>
      </c>
      <c r="AA2034">
        <v>311612</v>
      </c>
      <c r="AB2034" t="s">
        <v>1008</v>
      </c>
      <c r="AC2034" t="s">
        <v>1009</v>
      </c>
      <c r="AE2034" t="s">
        <v>1010</v>
      </c>
      <c r="AF2034" t="s">
        <v>1006</v>
      </c>
      <c r="AH2034" t="s">
        <v>1007</v>
      </c>
      <c r="AI2034" t="s">
        <v>581</v>
      </c>
      <c r="AJ2034" s="8" t="str">
        <f>"23430"</f>
        <v>23430</v>
      </c>
      <c r="AK2034" t="s">
        <v>118</v>
      </c>
      <c r="AM2034" s="10">
        <v>17573754572</v>
      </c>
      <c r="AO2034" t="s">
        <v>1011</v>
      </c>
      <c r="AP2034" t="s">
        <v>121</v>
      </c>
      <c r="AQ2034" t="s">
        <v>380</v>
      </c>
      <c r="AR2034" t="s">
        <v>381</v>
      </c>
      <c r="AT2034" t="s">
        <v>383</v>
      </c>
      <c r="AV2034" t="s">
        <v>385</v>
      </c>
      <c r="AW2034" t="s">
        <v>386</v>
      </c>
      <c r="AX2034" s="8" t="str">
        <f>"37122"</f>
        <v>37122</v>
      </c>
      <c r="AY2034" t="s">
        <v>118</v>
      </c>
      <c r="BA2034" s="10">
        <v>16154227130</v>
      </c>
      <c r="BC2034" t="s">
        <v>1012</v>
      </c>
      <c r="BD2034" t="s">
        <v>1013</v>
      </c>
      <c r="BE2034" t="s">
        <v>386</v>
      </c>
      <c r="BF2034" t="s">
        <v>389</v>
      </c>
      <c r="BG2034" t="s">
        <v>740</v>
      </c>
      <c r="BH2034" s="1">
        <v>45110.833333333336</v>
      </c>
      <c r="BI2034">
        <v>40</v>
      </c>
      <c r="BJ2034">
        <v>0</v>
      </c>
      <c r="BK2034">
        <v>8</v>
      </c>
      <c r="BL2034">
        <v>8</v>
      </c>
      <c r="BM2034">
        <v>8</v>
      </c>
      <c r="BN2034">
        <v>8</v>
      </c>
      <c r="BO2034">
        <v>8</v>
      </c>
      <c r="BP2034">
        <v>0</v>
      </c>
      <c r="BQ2034" t="str">
        <f>"6:00 AM"</f>
        <v>6:00 AM</v>
      </c>
      <c r="BR2034" t="str">
        <f>"5:15 PM"</f>
        <v>5:15 PM</v>
      </c>
      <c r="BS2034" t="s">
        <v>131</v>
      </c>
      <c r="BT2034">
        <v>1</v>
      </c>
      <c r="BU2034">
        <v>0</v>
      </c>
      <c r="BV2034" t="s">
        <v>114</v>
      </c>
      <c r="BX2034" s="2" t="s">
        <v>15952</v>
      </c>
      <c r="BY2034" t="s">
        <v>8871</v>
      </c>
      <c r="CA2034" t="s">
        <v>8872</v>
      </c>
      <c r="CB2034" t="s">
        <v>740</v>
      </c>
      <c r="CC2034" s="8" t="str">
        <f>"51442"</f>
        <v>51442</v>
      </c>
      <c r="CD2034" t="s">
        <v>8873</v>
      </c>
      <c r="CE2034" t="s">
        <v>8874</v>
      </c>
      <c r="CF2034" s="12">
        <v>18.600000000000001</v>
      </c>
      <c r="CG2034" s="12">
        <v>24.6</v>
      </c>
      <c r="CH2034" s="12">
        <v>27.9</v>
      </c>
      <c r="CI2034" s="12">
        <v>36.9</v>
      </c>
      <c r="CJ2034" t="s">
        <v>135</v>
      </c>
      <c r="CK2034" t="s">
        <v>15953</v>
      </c>
      <c r="CL2034" t="s">
        <v>15954</v>
      </c>
      <c r="CO2034" t="s">
        <v>132</v>
      </c>
      <c r="CP2034" t="s">
        <v>114</v>
      </c>
      <c r="CQ2034" t="s">
        <v>114</v>
      </c>
      <c r="CR2034" t="s">
        <v>136</v>
      </c>
      <c r="CS2034" t="s">
        <v>136</v>
      </c>
      <c r="CT2034" t="s">
        <v>136</v>
      </c>
      <c r="CU2034" t="s">
        <v>136</v>
      </c>
      <c r="CV2034" s="2" t="s">
        <v>1021</v>
      </c>
      <c r="CW2034" s="10" t="str">
        <f>"+17576353808"</f>
        <v>+17576353808</v>
      </c>
      <c r="CX2034" t="s">
        <v>1022</v>
      </c>
      <c r="CY2034" t="s">
        <v>132</v>
      </c>
      <c r="CZ2034" t="s">
        <v>137</v>
      </c>
      <c r="DA2034" t="s">
        <v>114</v>
      </c>
      <c r="DB2034" t="s">
        <v>114</v>
      </c>
      <c r="DC2034" t="s">
        <v>136</v>
      </c>
      <c r="DD2034" t="s">
        <v>114</v>
      </c>
    </row>
    <row r="2035" spans="1:113" ht="15" customHeight="1" x14ac:dyDescent="0.25">
      <c r="A2035" t="s">
        <v>22516</v>
      </c>
      <c r="B2035" t="s">
        <v>113</v>
      </c>
      <c r="C2035" s="1">
        <v>45110.704962384261</v>
      </c>
      <c r="D2035" s="1">
        <v>45216</v>
      </c>
      <c r="E2035" t="s">
        <v>114</v>
      </c>
      <c r="F2035" t="s">
        <v>22517</v>
      </c>
      <c r="G2035" t="str">
        <f>"51-3022.00"</f>
        <v>51-3022.00</v>
      </c>
      <c r="H2035" t="s">
        <v>1004</v>
      </c>
      <c r="I2035">
        <v>4</v>
      </c>
      <c r="K2035" s="1">
        <v>45200</v>
      </c>
      <c r="L2035" s="1">
        <v>45473</v>
      </c>
      <c r="O2035" t="s">
        <v>116</v>
      </c>
      <c r="P2035" t="s">
        <v>1005</v>
      </c>
      <c r="R2035" t="s">
        <v>1006</v>
      </c>
      <c r="T2035" t="s">
        <v>1007</v>
      </c>
      <c r="U2035" t="s">
        <v>581</v>
      </c>
      <c r="V2035" s="8" t="str">
        <f>"23430"</f>
        <v>23430</v>
      </c>
      <c r="W2035" t="s">
        <v>118</v>
      </c>
      <c r="Y2035" s="10">
        <v>17573754572</v>
      </c>
      <c r="AA2035">
        <v>311612</v>
      </c>
      <c r="AB2035" t="s">
        <v>1008</v>
      </c>
      <c r="AC2035" t="s">
        <v>1009</v>
      </c>
      <c r="AE2035" t="s">
        <v>1010</v>
      </c>
      <c r="AF2035" t="s">
        <v>1006</v>
      </c>
      <c r="AH2035" t="s">
        <v>1007</v>
      </c>
      <c r="AI2035" t="s">
        <v>581</v>
      </c>
      <c r="AJ2035" s="8" t="str">
        <f>"23430"</f>
        <v>23430</v>
      </c>
      <c r="AK2035" t="s">
        <v>118</v>
      </c>
      <c r="AM2035" s="10">
        <v>17573754572</v>
      </c>
      <c r="AO2035" t="s">
        <v>1011</v>
      </c>
      <c r="AP2035" t="s">
        <v>121</v>
      </c>
      <c r="AQ2035" t="s">
        <v>380</v>
      </c>
      <c r="AR2035" t="s">
        <v>381</v>
      </c>
      <c r="AT2035" t="s">
        <v>383</v>
      </c>
      <c r="AV2035" t="s">
        <v>385</v>
      </c>
      <c r="AW2035" t="s">
        <v>386</v>
      </c>
      <c r="AX2035" s="8" t="str">
        <f>"37122"</f>
        <v>37122</v>
      </c>
      <c r="AY2035" t="s">
        <v>118</v>
      </c>
      <c r="BA2035" s="10">
        <v>16154227130</v>
      </c>
      <c r="BC2035" t="s">
        <v>1012</v>
      </c>
      <c r="BD2035" t="s">
        <v>1013</v>
      </c>
      <c r="BE2035" t="s">
        <v>386</v>
      </c>
      <c r="BF2035" t="s">
        <v>389</v>
      </c>
      <c r="BG2035" t="s">
        <v>117</v>
      </c>
      <c r="BH2035" s="1">
        <v>45109.833333333336</v>
      </c>
      <c r="BI2035">
        <v>45</v>
      </c>
      <c r="BJ2035">
        <v>0</v>
      </c>
      <c r="BK2035">
        <v>9</v>
      </c>
      <c r="BL2035">
        <v>9</v>
      </c>
      <c r="BM2035">
        <v>9</v>
      </c>
      <c r="BN2035">
        <v>9</v>
      </c>
      <c r="BO2035">
        <v>9</v>
      </c>
      <c r="BP2035">
        <v>0</v>
      </c>
      <c r="BQ2035" t="str">
        <f>"6:15 AM"</f>
        <v>6:15 AM</v>
      </c>
      <c r="BR2035" t="str">
        <f>"11:30 PM"</f>
        <v>11:30 PM</v>
      </c>
      <c r="BS2035" t="s">
        <v>131</v>
      </c>
      <c r="BT2035">
        <v>1</v>
      </c>
      <c r="BU2035">
        <v>0</v>
      </c>
      <c r="BV2035" t="s">
        <v>114</v>
      </c>
      <c r="BX2035" s="2" t="s">
        <v>22518</v>
      </c>
      <c r="BY2035" t="s">
        <v>1015</v>
      </c>
      <c r="CA2035" t="s">
        <v>1016</v>
      </c>
      <c r="CB2035" t="s">
        <v>117</v>
      </c>
      <c r="CC2035" s="8" t="str">
        <f>"61462"</f>
        <v>61462</v>
      </c>
      <c r="CD2035" t="s">
        <v>1017</v>
      </c>
      <c r="CE2035" t="s">
        <v>1018</v>
      </c>
      <c r="CF2035" s="12">
        <v>16.41</v>
      </c>
      <c r="CG2035" s="12">
        <v>28.57</v>
      </c>
      <c r="CH2035" s="12">
        <v>24.62</v>
      </c>
      <c r="CI2035" s="12">
        <v>42.86</v>
      </c>
      <c r="CJ2035" t="s">
        <v>135</v>
      </c>
      <c r="CK2035" t="s">
        <v>22519</v>
      </c>
      <c r="CL2035" t="s">
        <v>22520</v>
      </c>
      <c r="CO2035" t="s">
        <v>132</v>
      </c>
      <c r="CP2035" t="s">
        <v>114</v>
      </c>
      <c r="CQ2035" t="s">
        <v>114</v>
      </c>
      <c r="CR2035" t="s">
        <v>136</v>
      </c>
      <c r="CS2035" t="s">
        <v>136</v>
      </c>
      <c r="CT2035" t="s">
        <v>136</v>
      </c>
      <c r="CU2035" t="s">
        <v>136</v>
      </c>
      <c r="CV2035" s="2" t="s">
        <v>1021</v>
      </c>
      <c r="CW2035" s="10" t="str">
        <f>"+17576353808"</f>
        <v>+17576353808</v>
      </c>
      <c r="CX2035" t="s">
        <v>20506</v>
      </c>
      <c r="CY2035" t="s">
        <v>132</v>
      </c>
      <c r="CZ2035" t="s">
        <v>137</v>
      </c>
      <c r="DA2035" t="s">
        <v>114</v>
      </c>
      <c r="DB2035" t="s">
        <v>114</v>
      </c>
      <c r="DC2035" t="s">
        <v>136</v>
      </c>
      <c r="DD2035" t="s">
        <v>114</v>
      </c>
    </row>
    <row r="2036" spans="1:113" ht="15" customHeight="1" x14ac:dyDescent="0.25">
      <c r="A2036" t="s">
        <v>23410</v>
      </c>
      <c r="B2036" t="s">
        <v>113</v>
      </c>
      <c r="C2036" s="1">
        <v>45110.691995486108</v>
      </c>
      <c r="D2036" s="1">
        <v>45216</v>
      </c>
      <c r="E2036" t="s">
        <v>114</v>
      </c>
      <c r="F2036" t="s">
        <v>23411</v>
      </c>
      <c r="G2036" t="str">
        <f>"51-3022.00"</f>
        <v>51-3022.00</v>
      </c>
      <c r="H2036" t="s">
        <v>1004</v>
      </c>
      <c r="I2036">
        <v>2</v>
      </c>
      <c r="K2036" s="1">
        <v>45200</v>
      </c>
      <c r="L2036" s="1">
        <v>45473</v>
      </c>
      <c r="O2036" t="s">
        <v>116</v>
      </c>
      <c r="P2036" t="s">
        <v>1005</v>
      </c>
      <c r="R2036" t="s">
        <v>1006</v>
      </c>
      <c r="T2036" t="s">
        <v>1007</v>
      </c>
      <c r="U2036" t="s">
        <v>581</v>
      </c>
      <c r="V2036" s="8" t="str">
        <f>"23430"</f>
        <v>23430</v>
      </c>
      <c r="W2036" t="s">
        <v>118</v>
      </c>
      <c r="Y2036" s="10">
        <v>17573754572</v>
      </c>
      <c r="AA2036">
        <v>311612</v>
      </c>
      <c r="AB2036" t="s">
        <v>1008</v>
      </c>
      <c r="AC2036" t="s">
        <v>1009</v>
      </c>
      <c r="AE2036" t="s">
        <v>1010</v>
      </c>
      <c r="AF2036" t="s">
        <v>1006</v>
      </c>
      <c r="AH2036" t="s">
        <v>1007</v>
      </c>
      <c r="AI2036" t="s">
        <v>581</v>
      </c>
      <c r="AJ2036" s="8" t="str">
        <f>"23430"</f>
        <v>23430</v>
      </c>
      <c r="AK2036" t="s">
        <v>118</v>
      </c>
      <c r="AM2036" s="10">
        <v>17573754572</v>
      </c>
      <c r="AO2036" t="s">
        <v>1011</v>
      </c>
      <c r="AP2036" t="s">
        <v>121</v>
      </c>
      <c r="AQ2036" t="s">
        <v>380</v>
      </c>
      <c r="AR2036" t="s">
        <v>381</v>
      </c>
      <c r="AT2036" t="s">
        <v>383</v>
      </c>
      <c r="AV2036" t="s">
        <v>385</v>
      </c>
      <c r="AW2036" t="s">
        <v>386</v>
      </c>
      <c r="AX2036" s="8" t="str">
        <f>"37122"</f>
        <v>37122</v>
      </c>
      <c r="AY2036" t="s">
        <v>118</v>
      </c>
      <c r="BA2036" s="10">
        <v>16154227130</v>
      </c>
      <c r="BC2036" t="s">
        <v>1012</v>
      </c>
      <c r="BD2036" t="s">
        <v>1013</v>
      </c>
      <c r="BE2036" t="s">
        <v>386</v>
      </c>
      <c r="BF2036" t="s">
        <v>389</v>
      </c>
      <c r="BG2036" t="s">
        <v>117</v>
      </c>
      <c r="BH2036" s="1">
        <v>45109.833333333336</v>
      </c>
      <c r="BI2036">
        <v>40</v>
      </c>
      <c r="BJ2036">
        <v>0</v>
      </c>
      <c r="BK2036">
        <v>8</v>
      </c>
      <c r="BL2036">
        <v>8</v>
      </c>
      <c r="BM2036">
        <v>8</v>
      </c>
      <c r="BN2036">
        <v>8</v>
      </c>
      <c r="BO2036">
        <v>8</v>
      </c>
      <c r="BP2036">
        <v>0</v>
      </c>
      <c r="BQ2036" t="str">
        <f>"6:15 AM"</f>
        <v>6:15 AM</v>
      </c>
      <c r="BR2036" t="str">
        <f>"11:30 PM"</f>
        <v>11:30 PM</v>
      </c>
      <c r="BS2036" t="s">
        <v>131</v>
      </c>
      <c r="BT2036">
        <v>1</v>
      </c>
      <c r="BU2036">
        <v>0</v>
      </c>
      <c r="BV2036" t="s">
        <v>114</v>
      </c>
      <c r="BX2036" s="2" t="s">
        <v>23412</v>
      </c>
      <c r="BY2036" t="s">
        <v>1015</v>
      </c>
      <c r="CA2036" t="s">
        <v>1016</v>
      </c>
      <c r="CB2036" t="s">
        <v>117</v>
      </c>
      <c r="CC2036" s="8" t="str">
        <f>"61462"</f>
        <v>61462</v>
      </c>
      <c r="CD2036" t="s">
        <v>1017</v>
      </c>
      <c r="CE2036" t="s">
        <v>1018</v>
      </c>
      <c r="CF2036" s="12">
        <v>16.41</v>
      </c>
      <c r="CG2036" s="12">
        <v>28.57</v>
      </c>
      <c r="CH2036" s="12">
        <v>24.62</v>
      </c>
      <c r="CI2036" s="12">
        <v>42.86</v>
      </c>
      <c r="CJ2036" t="s">
        <v>135</v>
      </c>
      <c r="CK2036" t="s">
        <v>23413</v>
      </c>
      <c r="CL2036" t="s">
        <v>23414</v>
      </c>
      <c r="CO2036" t="s">
        <v>132</v>
      </c>
      <c r="CP2036" t="s">
        <v>114</v>
      </c>
      <c r="CQ2036" t="s">
        <v>114</v>
      </c>
      <c r="CR2036" t="s">
        <v>136</v>
      </c>
      <c r="CS2036" t="s">
        <v>136</v>
      </c>
      <c r="CT2036" t="s">
        <v>136</v>
      </c>
      <c r="CU2036" t="s">
        <v>136</v>
      </c>
      <c r="CV2036" s="2" t="s">
        <v>1021</v>
      </c>
      <c r="CW2036" s="10" t="str">
        <f>"+17576353808"</f>
        <v>+17576353808</v>
      </c>
      <c r="CX2036" t="s">
        <v>1022</v>
      </c>
      <c r="CY2036" t="s">
        <v>132</v>
      </c>
      <c r="CZ2036" t="s">
        <v>137</v>
      </c>
      <c r="DA2036" t="s">
        <v>114</v>
      </c>
      <c r="DB2036" t="s">
        <v>114</v>
      </c>
      <c r="DC2036" t="s">
        <v>136</v>
      </c>
      <c r="DD2036" t="s">
        <v>114</v>
      </c>
    </row>
    <row r="2037" spans="1:113" ht="15" customHeight="1" x14ac:dyDescent="0.25">
      <c r="A2037" t="s">
        <v>19516</v>
      </c>
      <c r="B2037" t="s">
        <v>113</v>
      </c>
      <c r="C2037" s="1">
        <v>45110.680935300923</v>
      </c>
      <c r="D2037" s="1">
        <v>45216</v>
      </c>
      <c r="E2037" t="s">
        <v>114</v>
      </c>
      <c r="F2037" t="s">
        <v>19517</v>
      </c>
      <c r="G2037" t="str">
        <f>"51-3022.00"</f>
        <v>51-3022.00</v>
      </c>
      <c r="H2037" t="s">
        <v>1004</v>
      </c>
      <c r="I2037">
        <v>2</v>
      </c>
      <c r="K2037" s="1">
        <v>45200</v>
      </c>
      <c r="L2037" s="1">
        <v>45473</v>
      </c>
      <c r="O2037" t="s">
        <v>116</v>
      </c>
      <c r="P2037" t="s">
        <v>1005</v>
      </c>
      <c r="R2037" t="s">
        <v>1006</v>
      </c>
      <c r="T2037" t="s">
        <v>1007</v>
      </c>
      <c r="U2037" t="s">
        <v>581</v>
      </c>
      <c r="V2037" s="8" t="str">
        <f>"23430"</f>
        <v>23430</v>
      </c>
      <c r="W2037" t="s">
        <v>118</v>
      </c>
      <c r="Y2037" s="10">
        <v>17573754572</v>
      </c>
      <c r="AA2037">
        <v>311612</v>
      </c>
      <c r="AB2037" t="s">
        <v>1008</v>
      </c>
      <c r="AC2037" t="s">
        <v>1009</v>
      </c>
      <c r="AE2037" t="s">
        <v>1010</v>
      </c>
      <c r="AF2037" t="s">
        <v>1006</v>
      </c>
      <c r="AH2037" t="s">
        <v>1007</v>
      </c>
      <c r="AI2037" t="s">
        <v>581</v>
      </c>
      <c r="AJ2037" s="8" t="str">
        <f>"23430"</f>
        <v>23430</v>
      </c>
      <c r="AK2037" t="s">
        <v>118</v>
      </c>
      <c r="AM2037" s="10">
        <v>17573754572</v>
      </c>
      <c r="AO2037" t="s">
        <v>1011</v>
      </c>
      <c r="AP2037" t="s">
        <v>121</v>
      </c>
      <c r="AQ2037" t="s">
        <v>380</v>
      </c>
      <c r="AR2037" t="s">
        <v>381</v>
      </c>
      <c r="AT2037" t="s">
        <v>383</v>
      </c>
      <c r="AV2037" t="s">
        <v>385</v>
      </c>
      <c r="AW2037" t="s">
        <v>386</v>
      </c>
      <c r="AX2037" s="8" t="str">
        <f>"37122"</f>
        <v>37122</v>
      </c>
      <c r="AY2037" t="s">
        <v>118</v>
      </c>
      <c r="BA2037" s="10">
        <v>16154227130</v>
      </c>
      <c r="BC2037" t="s">
        <v>1012</v>
      </c>
      <c r="BD2037" t="s">
        <v>1013</v>
      </c>
      <c r="BE2037" t="s">
        <v>386</v>
      </c>
      <c r="BF2037" t="s">
        <v>389</v>
      </c>
      <c r="BG2037" t="s">
        <v>117</v>
      </c>
      <c r="BH2037" s="1">
        <v>45109.833333333336</v>
      </c>
      <c r="BI2037">
        <v>45</v>
      </c>
      <c r="BJ2037">
        <v>0</v>
      </c>
      <c r="BK2037">
        <v>9</v>
      </c>
      <c r="BL2037">
        <v>9</v>
      </c>
      <c r="BM2037">
        <v>9</v>
      </c>
      <c r="BN2037">
        <v>9</v>
      </c>
      <c r="BO2037">
        <v>9</v>
      </c>
      <c r="BP2037">
        <v>0</v>
      </c>
      <c r="BQ2037" t="str">
        <f>"6:15 AM"</f>
        <v>6:15 AM</v>
      </c>
      <c r="BR2037" t="str">
        <f>"11:30 PM"</f>
        <v>11:30 PM</v>
      </c>
      <c r="BS2037" t="s">
        <v>131</v>
      </c>
      <c r="BT2037">
        <v>1</v>
      </c>
      <c r="BU2037">
        <v>0</v>
      </c>
      <c r="BV2037" t="s">
        <v>114</v>
      </c>
      <c r="BX2037" s="2" t="s">
        <v>19518</v>
      </c>
      <c r="BY2037" t="s">
        <v>1015</v>
      </c>
      <c r="CA2037" t="s">
        <v>1016</v>
      </c>
      <c r="CB2037" t="s">
        <v>117</v>
      </c>
      <c r="CC2037" s="8" t="str">
        <f>"61462"</f>
        <v>61462</v>
      </c>
      <c r="CD2037" t="s">
        <v>1017</v>
      </c>
      <c r="CE2037" t="s">
        <v>1018</v>
      </c>
      <c r="CF2037" s="12">
        <v>16.41</v>
      </c>
      <c r="CG2037" s="12">
        <v>28.57</v>
      </c>
      <c r="CH2037" s="12">
        <v>24.62</v>
      </c>
      <c r="CI2037" s="12">
        <v>32.25</v>
      </c>
      <c r="CJ2037" t="s">
        <v>135</v>
      </c>
      <c r="CK2037" t="s">
        <v>19519</v>
      </c>
      <c r="CL2037" t="s">
        <v>19520</v>
      </c>
      <c r="CO2037" t="s">
        <v>132</v>
      </c>
      <c r="CP2037" t="s">
        <v>114</v>
      </c>
      <c r="CQ2037" t="s">
        <v>114</v>
      </c>
      <c r="CR2037" t="s">
        <v>136</v>
      </c>
      <c r="CS2037" t="s">
        <v>136</v>
      </c>
      <c r="CT2037" t="s">
        <v>136</v>
      </c>
      <c r="CU2037" t="s">
        <v>136</v>
      </c>
      <c r="CV2037" s="2" t="s">
        <v>1021</v>
      </c>
      <c r="CW2037" s="10" t="str">
        <f>"+17576353808"</f>
        <v>+17576353808</v>
      </c>
      <c r="CX2037" t="s">
        <v>1022</v>
      </c>
      <c r="CY2037" t="s">
        <v>132</v>
      </c>
      <c r="CZ2037" t="s">
        <v>137</v>
      </c>
      <c r="DA2037" t="s">
        <v>114</v>
      </c>
      <c r="DB2037" t="s">
        <v>114</v>
      </c>
      <c r="DC2037" t="s">
        <v>136</v>
      </c>
      <c r="DD2037" t="s">
        <v>114</v>
      </c>
    </row>
    <row r="2038" spans="1:113" ht="15" customHeight="1" x14ac:dyDescent="0.25">
      <c r="A2038" t="s">
        <v>20221</v>
      </c>
      <c r="B2038" t="s">
        <v>113</v>
      </c>
      <c r="C2038" s="1">
        <v>45110.66943159722</v>
      </c>
      <c r="D2038" s="1">
        <v>45216</v>
      </c>
      <c r="E2038" t="s">
        <v>114</v>
      </c>
      <c r="F2038" t="s">
        <v>20222</v>
      </c>
      <c r="G2038" t="str">
        <f>"51-3022.00"</f>
        <v>51-3022.00</v>
      </c>
      <c r="H2038" t="s">
        <v>1004</v>
      </c>
      <c r="I2038">
        <v>3</v>
      </c>
      <c r="K2038" s="1">
        <v>45200</v>
      </c>
      <c r="L2038" s="1">
        <v>45473</v>
      </c>
      <c r="O2038" t="s">
        <v>116</v>
      </c>
      <c r="P2038" t="s">
        <v>1005</v>
      </c>
      <c r="R2038" t="s">
        <v>1006</v>
      </c>
      <c r="T2038" t="s">
        <v>1007</v>
      </c>
      <c r="U2038" t="s">
        <v>581</v>
      </c>
      <c r="V2038" s="8" t="str">
        <f>"23430"</f>
        <v>23430</v>
      </c>
      <c r="W2038" t="s">
        <v>118</v>
      </c>
      <c r="Y2038" s="10">
        <v>17573754572</v>
      </c>
      <c r="AA2038">
        <v>311612</v>
      </c>
      <c r="AB2038" t="s">
        <v>1008</v>
      </c>
      <c r="AC2038" t="s">
        <v>1009</v>
      </c>
      <c r="AE2038" t="s">
        <v>1010</v>
      </c>
      <c r="AF2038" t="s">
        <v>1006</v>
      </c>
      <c r="AH2038" t="s">
        <v>1007</v>
      </c>
      <c r="AI2038" t="s">
        <v>581</v>
      </c>
      <c r="AJ2038" s="8" t="str">
        <f>"23430"</f>
        <v>23430</v>
      </c>
      <c r="AK2038" t="s">
        <v>118</v>
      </c>
      <c r="AM2038" s="10">
        <v>17573754572</v>
      </c>
      <c r="AO2038" t="s">
        <v>1011</v>
      </c>
      <c r="AP2038" t="s">
        <v>121</v>
      </c>
      <c r="AQ2038" t="s">
        <v>380</v>
      </c>
      <c r="AR2038" t="s">
        <v>381</v>
      </c>
      <c r="AT2038" t="s">
        <v>383</v>
      </c>
      <c r="AV2038" t="s">
        <v>385</v>
      </c>
      <c r="AW2038" t="s">
        <v>386</v>
      </c>
      <c r="AX2038" s="8" t="str">
        <f>"37122"</f>
        <v>37122</v>
      </c>
      <c r="AY2038" t="s">
        <v>118</v>
      </c>
      <c r="BA2038" s="10">
        <v>16154227130</v>
      </c>
      <c r="BC2038" t="s">
        <v>1012</v>
      </c>
      <c r="BD2038" t="s">
        <v>1013</v>
      </c>
      <c r="BE2038" t="s">
        <v>386</v>
      </c>
      <c r="BF2038" t="s">
        <v>389</v>
      </c>
      <c r="BG2038" t="s">
        <v>117</v>
      </c>
      <c r="BH2038" s="1">
        <v>45109.833333333336</v>
      </c>
      <c r="BI2038">
        <v>45</v>
      </c>
      <c r="BJ2038">
        <v>0</v>
      </c>
      <c r="BK2038">
        <v>9</v>
      </c>
      <c r="BL2038">
        <v>9</v>
      </c>
      <c r="BM2038">
        <v>9</v>
      </c>
      <c r="BN2038">
        <v>9</v>
      </c>
      <c r="BO2038">
        <v>9</v>
      </c>
      <c r="BP2038">
        <v>0</v>
      </c>
      <c r="BQ2038" t="str">
        <f>"6:15 AM"</f>
        <v>6:15 AM</v>
      </c>
      <c r="BR2038" t="str">
        <f>"11:30 PM"</f>
        <v>11:30 PM</v>
      </c>
      <c r="BS2038" t="s">
        <v>131</v>
      </c>
      <c r="BT2038">
        <v>1</v>
      </c>
      <c r="BU2038">
        <v>0</v>
      </c>
      <c r="BV2038" t="s">
        <v>114</v>
      </c>
      <c r="BX2038" s="2" t="s">
        <v>20223</v>
      </c>
      <c r="BY2038" t="s">
        <v>1015</v>
      </c>
      <c r="CA2038" t="s">
        <v>1016</v>
      </c>
      <c r="CB2038" t="s">
        <v>117</v>
      </c>
      <c r="CC2038" s="8" t="str">
        <f>"61462"</f>
        <v>61462</v>
      </c>
      <c r="CD2038" t="s">
        <v>1017</v>
      </c>
      <c r="CE2038" t="s">
        <v>1018</v>
      </c>
      <c r="CF2038" s="12">
        <v>16.41</v>
      </c>
      <c r="CG2038" s="12">
        <v>28.57</v>
      </c>
      <c r="CH2038" s="12">
        <v>24.62</v>
      </c>
      <c r="CI2038" s="12">
        <v>42.86</v>
      </c>
      <c r="CJ2038" t="s">
        <v>135</v>
      </c>
      <c r="CK2038" t="s">
        <v>20224</v>
      </c>
      <c r="CL2038" t="s">
        <v>20225</v>
      </c>
      <c r="CO2038" t="s">
        <v>132</v>
      </c>
      <c r="CP2038" t="s">
        <v>114</v>
      </c>
      <c r="CQ2038" t="s">
        <v>114</v>
      </c>
      <c r="CR2038" t="s">
        <v>136</v>
      </c>
      <c r="CS2038" t="s">
        <v>136</v>
      </c>
      <c r="CT2038" t="s">
        <v>136</v>
      </c>
      <c r="CU2038" t="s">
        <v>136</v>
      </c>
      <c r="CV2038" s="2" t="s">
        <v>1021</v>
      </c>
      <c r="CW2038" s="10" t="str">
        <f>"+17576353808"</f>
        <v>+17576353808</v>
      </c>
      <c r="CX2038" t="s">
        <v>1022</v>
      </c>
      <c r="CY2038" t="s">
        <v>132</v>
      </c>
      <c r="CZ2038" t="s">
        <v>137</v>
      </c>
      <c r="DA2038" t="s">
        <v>114</v>
      </c>
      <c r="DB2038" t="s">
        <v>114</v>
      </c>
      <c r="DC2038" t="s">
        <v>136</v>
      </c>
      <c r="DD2038" t="s">
        <v>114</v>
      </c>
    </row>
    <row r="2039" spans="1:113" ht="15" customHeight="1" x14ac:dyDescent="0.25">
      <c r="A2039" t="s">
        <v>3895</v>
      </c>
      <c r="B2039" t="s">
        <v>113</v>
      </c>
      <c r="C2039" s="1">
        <v>45110.643684259259</v>
      </c>
      <c r="D2039" s="1">
        <v>45216</v>
      </c>
      <c r="E2039" t="s">
        <v>114</v>
      </c>
      <c r="F2039" t="s">
        <v>3896</v>
      </c>
      <c r="G2039" t="str">
        <f>"51-3022.00"</f>
        <v>51-3022.00</v>
      </c>
      <c r="H2039" t="s">
        <v>1004</v>
      </c>
      <c r="I2039">
        <v>51</v>
      </c>
      <c r="K2039" s="1">
        <v>45200</v>
      </c>
      <c r="L2039" s="1">
        <v>45473</v>
      </c>
      <c r="O2039" t="s">
        <v>116</v>
      </c>
      <c r="P2039" t="s">
        <v>1005</v>
      </c>
      <c r="R2039" t="s">
        <v>1006</v>
      </c>
      <c r="T2039" t="s">
        <v>1007</v>
      </c>
      <c r="U2039" t="s">
        <v>581</v>
      </c>
      <c r="V2039" s="8" t="str">
        <f>"23430"</f>
        <v>23430</v>
      </c>
      <c r="W2039" t="s">
        <v>118</v>
      </c>
      <c r="Y2039" s="10">
        <v>17573754572</v>
      </c>
      <c r="AA2039">
        <v>311612</v>
      </c>
      <c r="AB2039" t="s">
        <v>1008</v>
      </c>
      <c r="AC2039" t="s">
        <v>1009</v>
      </c>
      <c r="AE2039" t="s">
        <v>1010</v>
      </c>
      <c r="AF2039" t="s">
        <v>1006</v>
      </c>
      <c r="AH2039" t="s">
        <v>1007</v>
      </c>
      <c r="AI2039" t="s">
        <v>581</v>
      </c>
      <c r="AJ2039" s="8" t="str">
        <f>"23430"</f>
        <v>23430</v>
      </c>
      <c r="AK2039" t="s">
        <v>118</v>
      </c>
      <c r="AM2039" s="10">
        <v>17573754572</v>
      </c>
      <c r="AO2039" t="s">
        <v>1011</v>
      </c>
      <c r="AP2039" t="s">
        <v>121</v>
      </c>
      <c r="AQ2039" t="s">
        <v>380</v>
      </c>
      <c r="AR2039" t="s">
        <v>381</v>
      </c>
      <c r="AT2039" t="s">
        <v>383</v>
      </c>
      <c r="AV2039" t="s">
        <v>385</v>
      </c>
      <c r="AW2039" t="s">
        <v>386</v>
      </c>
      <c r="AX2039" s="8" t="str">
        <f>"37122"</f>
        <v>37122</v>
      </c>
      <c r="AY2039" t="s">
        <v>118</v>
      </c>
      <c r="BA2039" s="10">
        <v>16154227130</v>
      </c>
      <c r="BC2039" t="s">
        <v>1012</v>
      </c>
      <c r="BD2039" t="s">
        <v>1013</v>
      </c>
      <c r="BE2039" t="s">
        <v>386</v>
      </c>
      <c r="BF2039" t="s">
        <v>389</v>
      </c>
      <c r="BG2039" t="s">
        <v>117</v>
      </c>
      <c r="BH2039" s="1">
        <v>45109.833333333336</v>
      </c>
      <c r="BI2039">
        <v>45</v>
      </c>
      <c r="BJ2039">
        <v>0</v>
      </c>
      <c r="BK2039">
        <v>9</v>
      </c>
      <c r="BL2039">
        <v>9</v>
      </c>
      <c r="BM2039">
        <v>9</v>
      </c>
      <c r="BN2039">
        <v>9</v>
      </c>
      <c r="BO2039">
        <v>9</v>
      </c>
      <c r="BP2039">
        <v>0</v>
      </c>
      <c r="BQ2039" t="str">
        <f>"6:15 AM"</f>
        <v>6:15 AM</v>
      </c>
      <c r="BR2039" t="str">
        <f>"11:30 PM"</f>
        <v>11:30 PM</v>
      </c>
      <c r="BS2039" t="s">
        <v>131</v>
      </c>
      <c r="BT2039">
        <v>1</v>
      </c>
      <c r="BU2039">
        <v>0</v>
      </c>
      <c r="BV2039" t="s">
        <v>114</v>
      </c>
      <c r="BX2039" s="2" t="s">
        <v>3897</v>
      </c>
      <c r="BY2039" t="s">
        <v>1015</v>
      </c>
      <c r="CA2039" t="s">
        <v>1016</v>
      </c>
      <c r="CB2039" t="s">
        <v>117</v>
      </c>
      <c r="CC2039" s="8" t="str">
        <f>"61462"</f>
        <v>61462</v>
      </c>
      <c r="CD2039" t="s">
        <v>1017</v>
      </c>
      <c r="CE2039" t="s">
        <v>1018</v>
      </c>
      <c r="CF2039" s="12">
        <v>16.41</v>
      </c>
      <c r="CG2039" s="12">
        <v>28.57</v>
      </c>
      <c r="CH2039" s="12">
        <v>24.62</v>
      </c>
      <c r="CI2039" s="12">
        <v>42.86</v>
      </c>
      <c r="CJ2039" t="s">
        <v>135</v>
      </c>
      <c r="CK2039" t="s">
        <v>3898</v>
      </c>
      <c r="CL2039" t="s">
        <v>3899</v>
      </c>
      <c r="CO2039" t="s">
        <v>132</v>
      </c>
      <c r="CP2039" t="s">
        <v>114</v>
      </c>
      <c r="CQ2039" t="s">
        <v>114</v>
      </c>
      <c r="CR2039" t="s">
        <v>136</v>
      </c>
      <c r="CS2039" t="s">
        <v>136</v>
      </c>
      <c r="CT2039" t="s">
        <v>136</v>
      </c>
      <c r="CU2039" t="s">
        <v>136</v>
      </c>
      <c r="CV2039" s="2" t="s">
        <v>1021</v>
      </c>
      <c r="CW2039" s="10" t="str">
        <f>"+17576353808"</f>
        <v>+17576353808</v>
      </c>
      <c r="CX2039" t="s">
        <v>1022</v>
      </c>
      <c r="CY2039" t="s">
        <v>132</v>
      </c>
      <c r="CZ2039" t="s">
        <v>137</v>
      </c>
      <c r="DA2039" t="s">
        <v>114</v>
      </c>
      <c r="DB2039" t="s">
        <v>114</v>
      </c>
      <c r="DC2039" t="s">
        <v>136</v>
      </c>
      <c r="DD2039" t="s">
        <v>114</v>
      </c>
    </row>
    <row r="2040" spans="1:113" ht="15" customHeight="1" x14ac:dyDescent="0.25">
      <c r="A2040" t="s">
        <v>8634</v>
      </c>
      <c r="B2040" t="s">
        <v>113</v>
      </c>
      <c r="C2040" s="1">
        <v>45110.538137037038</v>
      </c>
      <c r="D2040" s="1">
        <v>45216</v>
      </c>
      <c r="E2040" t="s">
        <v>114</v>
      </c>
      <c r="F2040" t="s">
        <v>8635</v>
      </c>
      <c r="G2040" t="str">
        <f>"51-3022.00"</f>
        <v>51-3022.00</v>
      </c>
      <c r="H2040" t="s">
        <v>1004</v>
      </c>
      <c r="I2040">
        <v>10</v>
      </c>
      <c r="K2040" s="1">
        <v>45200</v>
      </c>
      <c r="L2040" s="1">
        <v>45473</v>
      </c>
      <c r="O2040" t="s">
        <v>116</v>
      </c>
      <c r="P2040" t="s">
        <v>1005</v>
      </c>
      <c r="R2040" t="s">
        <v>1006</v>
      </c>
      <c r="T2040" t="s">
        <v>1007</v>
      </c>
      <c r="U2040" t="s">
        <v>581</v>
      </c>
      <c r="V2040" s="8" t="str">
        <f>"23430"</f>
        <v>23430</v>
      </c>
      <c r="W2040" t="s">
        <v>118</v>
      </c>
      <c r="Y2040" s="10">
        <v>17573754572</v>
      </c>
      <c r="AA2040">
        <v>311612</v>
      </c>
      <c r="AB2040" t="s">
        <v>1008</v>
      </c>
      <c r="AC2040" t="s">
        <v>1009</v>
      </c>
      <c r="AE2040" t="s">
        <v>1010</v>
      </c>
      <c r="AF2040" t="s">
        <v>1006</v>
      </c>
      <c r="AH2040" t="s">
        <v>1007</v>
      </c>
      <c r="AI2040" t="s">
        <v>581</v>
      </c>
      <c r="AJ2040" s="8" t="str">
        <f>"23430"</f>
        <v>23430</v>
      </c>
      <c r="AK2040" t="s">
        <v>118</v>
      </c>
      <c r="AM2040" s="10">
        <v>17573754572</v>
      </c>
      <c r="AO2040" t="s">
        <v>1011</v>
      </c>
      <c r="AP2040" t="s">
        <v>121</v>
      </c>
      <c r="AQ2040" t="s">
        <v>380</v>
      </c>
      <c r="AR2040" t="s">
        <v>381</v>
      </c>
      <c r="AT2040" t="s">
        <v>383</v>
      </c>
      <c r="AV2040" t="s">
        <v>385</v>
      </c>
      <c r="AW2040" t="s">
        <v>386</v>
      </c>
      <c r="AX2040" s="8" t="str">
        <f>"37122"</f>
        <v>37122</v>
      </c>
      <c r="AY2040" t="s">
        <v>118</v>
      </c>
      <c r="BA2040" s="10">
        <v>16154227130</v>
      </c>
      <c r="BC2040" t="s">
        <v>1012</v>
      </c>
      <c r="BD2040" t="s">
        <v>1013</v>
      </c>
      <c r="BE2040" t="s">
        <v>386</v>
      </c>
      <c r="BF2040" t="s">
        <v>389</v>
      </c>
      <c r="BG2040" t="s">
        <v>984</v>
      </c>
      <c r="BH2040" s="1">
        <v>45109.833333333336</v>
      </c>
      <c r="BI2040">
        <v>40</v>
      </c>
      <c r="BJ2040">
        <v>0</v>
      </c>
      <c r="BK2040">
        <v>8</v>
      </c>
      <c r="BL2040">
        <v>8</v>
      </c>
      <c r="BM2040">
        <v>8</v>
      </c>
      <c r="BN2040">
        <v>8</v>
      </c>
      <c r="BO2040">
        <v>8</v>
      </c>
      <c r="BP2040">
        <v>0</v>
      </c>
      <c r="BQ2040" t="str">
        <f>"6:15 AM"</f>
        <v>6:15 AM</v>
      </c>
      <c r="BR2040" t="str">
        <f>"2:30 PM"</f>
        <v>2:30 PM</v>
      </c>
      <c r="BS2040" t="s">
        <v>131</v>
      </c>
      <c r="BT2040">
        <v>1</v>
      </c>
      <c r="BU2040">
        <v>0</v>
      </c>
      <c r="BV2040" t="s">
        <v>114</v>
      </c>
      <c r="BX2040" t="s">
        <v>8636</v>
      </c>
      <c r="BY2040" t="s">
        <v>4590</v>
      </c>
      <c r="CA2040" t="s">
        <v>4591</v>
      </c>
      <c r="CB2040" t="s">
        <v>984</v>
      </c>
      <c r="CC2040" s="8" t="str">
        <f>"63556"</f>
        <v>63556</v>
      </c>
      <c r="CD2040" t="s">
        <v>4592</v>
      </c>
      <c r="CE2040" t="s">
        <v>4593</v>
      </c>
      <c r="CF2040" s="12">
        <v>17.18</v>
      </c>
      <c r="CG2040" s="12">
        <v>32.700000000000003</v>
      </c>
      <c r="CH2040" s="12">
        <v>25.77</v>
      </c>
      <c r="CI2040" s="12">
        <v>49.05</v>
      </c>
      <c r="CJ2040" t="s">
        <v>135</v>
      </c>
      <c r="CK2040" t="s">
        <v>8637</v>
      </c>
      <c r="CL2040" t="s">
        <v>8638</v>
      </c>
      <c r="CO2040" t="s">
        <v>132</v>
      </c>
      <c r="CP2040" t="s">
        <v>114</v>
      </c>
      <c r="CQ2040" t="s">
        <v>114</v>
      </c>
      <c r="CR2040" t="s">
        <v>136</v>
      </c>
      <c r="CS2040" t="s">
        <v>136</v>
      </c>
      <c r="CT2040" t="s">
        <v>136</v>
      </c>
      <c r="CU2040" t="s">
        <v>136</v>
      </c>
      <c r="CV2040" t="s">
        <v>8639</v>
      </c>
      <c r="CW2040" s="10" t="str">
        <f>"+17576353808"</f>
        <v>+17576353808</v>
      </c>
      <c r="CX2040" t="s">
        <v>1022</v>
      </c>
      <c r="CY2040" t="s">
        <v>132</v>
      </c>
      <c r="CZ2040" t="s">
        <v>137</v>
      </c>
      <c r="DA2040" t="s">
        <v>114</v>
      </c>
      <c r="DB2040" t="s">
        <v>114</v>
      </c>
      <c r="DC2040" t="s">
        <v>136</v>
      </c>
      <c r="DD2040" t="s">
        <v>114</v>
      </c>
    </row>
    <row r="2041" spans="1:113" ht="15" customHeight="1" x14ac:dyDescent="0.25">
      <c r="A2041" t="s">
        <v>21690</v>
      </c>
      <c r="B2041" t="s">
        <v>113</v>
      </c>
      <c r="C2041" s="1">
        <v>45110.019720254626</v>
      </c>
      <c r="D2041" s="1">
        <v>45216</v>
      </c>
      <c r="E2041" t="s">
        <v>114</v>
      </c>
      <c r="F2041" t="s">
        <v>15826</v>
      </c>
      <c r="G2041" t="str">
        <f>"51-3023.00"</f>
        <v>51-3023.00</v>
      </c>
      <c r="H2041" t="s">
        <v>2377</v>
      </c>
      <c r="I2041">
        <v>100</v>
      </c>
      <c r="K2041" s="1">
        <v>45200</v>
      </c>
      <c r="L2041" s="1">
        <v>45412</v>
      </c>
      <c r="O2041" t="s">
        <v>116</v>
      </c>
      <c r="P2041" t="s">
        <v>21691</v>
      </c>
      <c r="R2041" t="s">
        <v>21692</v>
      </c>
      <c r="T2041" t="s">
        <v>6103</v>
      </c>
      <c r="U2041" t="s">
        <v>740</v>
      </c>
      <c r="V2041" s="8" t="str">
        <f>"51111"</f>
        <v>51111</v>
      </c>
      <c r="W2041" t="s">
        <v>118</v>
      </c>
      <c r="Y2041" s="10">
        <v>17122267800</v>
      </c>
      <c r="AA2041">
        <v>311612</v>
      </c>
      <c r="AB2041" t="s">
        <v>21693</v>
      </c>
      <c r="AC2041" t="s">
        <v>21694</v>
      </c>
      <c r="AE2041" t="s">
        <v>1556</v>
      </c>
      <c r="AF2041" t="s">
        <v>21692</v>
      </c>
      <c r="AH2041" t="s">
        <v>6103</v>
      </c>
      <c r="AI2041" t="s">
        <v>740</v>
      </c>
      <c r="AJ2041" s="8" t="str">
        <f>"51111"</f>
        <v>51111</v>
      </c>
      <c r="AK2041" t="s">
        <v>118</v>
      </c>
      <c r="AM2041" s="10">
        <v>17122267800</v>
      </c>
      <c r="AO2041" t="s">
        <v>21695</v>
      </c>
      <c r="AP2041" t="s">
        <v>121</v>
      </c>
      <c r="AQ2041" t="s">
        <v>7869</v>
      </c>
      <c r="AR2041" t="s">
        <v>7870</v>
      </c>
      <c r="AT2041" t="s">
        <v>7871</v>
      </c>
      <c r="AU2041" t="s">
        <v>799</v>
      </c>
      <c r="AV2041" t="s">
        <v>2119</v>
      </c>
      <c r="AW2041" t="s">
        <v>1434</v>
      </c>
      <c r="AX2041" s="8" t="str">
        <f>"40243"</f>
        <v>40243</v>
      </c>
      <c r="AY2041" t="s">
        <v>118</v>
      </c>
      <c r="BA2041" s="10">
        <v>15024599191</v>
      </c>
      <c r="BC2041" t="s">
        <v>21696</v>
      </c>
      <c r="BD2041" t="s">
        <v>7872</v>
      </c>
      <c r="BE2041" t="s">
        <v>1434</v>
      </c>
      <c r="BF2041" t="s">
        <v>7873</v>
      </c>
      <c r="BG2041" t="s">
        <v>740</v>
      </c>
      <c r="BH2041" s="1">
        <v>45106.833333333336</v>
      </c>
      <c r="BI2041">
        <v>40</v>
      </c>
      <c r="BJ2041">
        <v>0</v>
      </c>
      <c r="BK2041">
        <v>8</v>
      </c>
      <c r="BL2041">
        <v>8</v>
      </c>
      <c r="BM2041">
        <v>8</v>
      </c>
      <c r="BN2041">
        <v>8</v>
      </c>
      <c r="BO2041">
        <v>8</v>
      </c>
      <c r="BP2041">
        <v>0</v>
      </c>
      <c r="BQ2041" t="str">
        <f>"6:00 AM"</f>
        <v>6:00 AM</v>
      </c>
      <c r="BR2041" t="str">
        <f>"2:00 PM"</f>
        <v>2:00 PM</v>
      </c>
      <c r="BS2041" t="s">
        <v>131</v>
      </c>
      <c r="BT2041">
        <v>0</v>
      </c>
      <c r="BU2041">
        <v>0</v>
      </c>
      <c r="BV2041" t="s">
        <v>114</v>
      </c>
      <c r="BX2041" s="2" t="s">
        <v>21697</v>
      </c>
      <c r="BY2041" t="s">
        <v>21692</v>
      </c>
      <c r="CA2041" t="s">
        <v>6103</v>
      </c>
      <c r="CB2041" t="s">
        <v>740</v>
      </c>
      <c r="CC2041" s="8" t="str">
        <f>"51111"</f>
        <v>51111</v>
      </c>
      <c r="CD2041" t="s">
        <v>6104</v>
      </c>
      <c r="CE2041" t="s">
        <v>6105</v>
      </c>
      <c r="CF2041" s="12">
        <v>20.399999999999999</v>
      </c>
      <c r="CH2041" s="12">
        <v>30.6</v>
      </c>
      <c r="CJ2041" t="s">
        <v>135</v>
      </c>
      <c r="CL2041" t="s">
        <v>21698</v>
      </c>
      <c r="CO2041" t="s">
        <v>132</v>
      </c>
      <c r="CP2041" t="s">
        <v>114</v>
      </c>
      <c r="CQ2041" t="s">
        <v>136</v>
      </c>
      <c r="CR2041" t="s">
        <v>136</v>
      </c>
      <c r="CS2041" t="s">
        <v>136</v>
      </c>
      <c r="CT2041" t="s">
        <v>136</v>
      </c>
      <c r="CU2041" t="s">
        <v>136</v>
      </c>
      <c r="CV2041" t="s">
        <v>21699</v>
      </c>
      <c r="CW2041" s="10" t="str">
        <f>"+17122267990"</f>
        <v>+17122267990</v>
      </c>
      <c r="CX2041" t="s">
        <v>21700</v>
      </c>
      <c r="CY2041" t="s">
        <v>21701</v>
      </c>
      <c r="CZ2041" t="s">
        <v>137</v>
      </c>
      <c r="DA2041" t="s">
        <v>114</v>
      </c>
      <c r="DB2041" t="s">
        <v>114</v>
      </c>
      <c r="DC2041" t="s">
        <v>136</v>
      </c>
      <c r="DD2041" t="s">
        <v>114</v>
      </c>
    </row>
    <row r="2042" spans="1:113" ht="15" customHeight="1" x14ac:dyDescent="0.25">
      <c r="A2042" t="s">
        <v>15747</v>
      </c>
      <c r="B2042" t="s">
        <v>113</v>
      </c>
      <c r="C2042" s="1">
        <v>45138.488310532404</v>
      </c>
      <c r="D2042" s="1">
        <v>45215</v>
      </c>
      <c r="E2042" t="s">
        <v>114</v>
      </c>
      <c r="F2042" t="s">
        <v>15748</v>
      </c>
      <c r="G2042" t="str">
        <f>"11-3021.00"</f>
        <v>11-3021.00</v>
      </c>
      <c r="H2042" t="s">
        <v>15749</v>
      </c>
      <c r="I2042">
        <v>1</v>
      </c>
      <c r="K2042" s="1">
        <v>45166</v>
      </c>
      <c r="L2042" s="1">
        <v>45209</v>
      </c>
      <c r="O2042" t="s">
        <v>116</v>
      </c>
      <c r="P2042" t="s">
        <v>15750</v>
      </c>
      <c r="Q2042" t="s">
        <v>15750</v>
      </c>
      <c r="R2042" t="s">
        <v>15751</v>
      </c>
      <c r="T2042" t="s">
        <v>2457</v>
      </c>
      <c r="U2042" t="s">
        <v>581</v>
      </c>
      <c r="V2042" s="8" t="str">
        <f>"22030"</f>
        <v>22030</v>
      </c>
      <c r="W2042" t="s">
        <v>118</v>
      </c>
      <c r="Y2042" s="10">
        <v>17034390208</v>
      </c>
      <c r="AA2042">
        <v>541513</v>
      </c>
      <c r="AB2042" t="s">
        <v>2904</v>
      </c>
      <c r="AC2042" t="s">
        <v>15752</v>
      </c>
      <c r="AE2042" t="s">
        <v>438</v>
      </c>
      <c r="AF2042" t="s">
        <v>15753</v>
      </c>
      <c r="AH2042" t="s">
        <v>15754</v>
      </c>
      <c r="AI2042" t="s">
        <v>581</v>
      </c>
      <c r="AJ2042" s="8" t="str">
        <f>"20152"</f>
        <v>20152</v>
      </c>
      <c r="AK2042" t="s">
        <v>118</v>
      </c>
      <c r="AM2042" s="10">
        <v>17033527036</v>
      </c>
      <c r="AO2042" t="s">
        <v>15755</v>
      </c>
      <c r="AX2042" s="8" t="str">
        <f>""</f>
        <v/>
      </c>
      <c r="BG2042" t="s">
        <v>581</v>
      </c>
      <c r="BH2042" s="1">
        <v>45133.833333333336</v>
      </c>
      <c r="BI2042">
        <v>40</v>
      </c>
      <c r="BJ2042">
        <v>0</v>
      </c>
      <c r="BK2042">
        <v>8</v>
      </c>
      <c r="BL2042">
        <v>8</v>
      </c>
      <c r="BM2042">
        <v>8</v>
      </c>
      <c r="BN2042">
        <v>8</v>
      </c>
      <c r="BO2042">
        <v>8</v>
      </c>
      <c r="BP2042">
        <v>0</v>
      </c>
      <c r="BQ2042" t="str">
        <f>"8:17 AM"</f>
        <v>8:17 AM</v>
      </c>
      <c r="BR2042" t="str">
        <f>"5:17 PM"</f>
        <v>5:17 PM</v>
      </c>
      <c r="BS2042" t="s">
        <v>5177</v>
      </c>
      <c r="BT2042">
        <v>1</v>
      </c>
      <c r="BU2042">
        <v>6</v>
      </c>
      <c r="BV2042" t="s">
        <v>114</v>
      </c>
      <c r="BX2042" s="2" t="s">
        <v>15756</v>
      </c>
      <c r="BY2042" t="s">
        <v>15751</v>
      </c>
      <c r="BZ2042" t="s">
        <v>15757</v>
      </c>
      <c r="CA2042" t="s">
        <v>2457</v>
      </c>
      <c r="CB2042" t="s">
        <v>581</v>
      </c>
      <c r="CC2042" s="8" t="str">
        <f>"22030"</f>
        <v>22030</v>
      </c>
      <c r="CD2042" t="s">
        <v>2457</v>
      </c>
      <c r="CE2042" t="s">
        <v>1794</v>
      </c>
      <c r="CF2042" s="12">
        <v>17.309999999999999</v>
      </c>
      <c r="CJ2042" t="s">
        <v>5501</v>
      </c>
      <c r="CK2042" s="4">
        <v>1384.9</v>
      </c>
      <c r="CL2042" t="s">
        <v>15758</v>
      </c>
      <c r="CO2042" t="s">
        <v>136</v>
      </c>
      <c r="CP2042" t="s">
        <v>114</v>
      </c>
      <c r="CQ2042" t="s">
        <v>114</v>
      </c>
      <c r="CR2042" t="s">
        <v>136</v>
      </c>
      <c r="CS2042" t="s">
        <v>136</v>
      </c>
      <c r="CT2042" t="s">
        <v>136</v>
      </c>
      <c r="CU2042" t="s">
        <v>114</v>
      </c>
      <c r="CV2042" t="s">
        <v>15759</v>
      </c>
      <c r="CW2042" s="10" t="str">
        <f>"+17034390208"</f>
        <v>+17034390208</v>
      </c>
      <c r="CX2042" t="s">
        <v>15760</v>
      </c>
      <c r="CY2042" t="s">
        <v>15761</v>
      </c>
      <c r="CZ2042" t="s">
        <v>137</v>
      </c>
      <c r="DA2042" t="s">
        <v>114</v>
      </c>
      <c r="DB2042" t="s">
        <v>114</v>
      </c>
      <c r="DC2042" t="s">
        <v>136</v>
      </c>
      <c r="DD2042" t="s">
        <v>114</v>
      </c>
      <c r="DE2042" t="s">
        <v>2904</v>
      </c>
      <c r="DF2042" t="s">
        <v>15752</v>
      </c>
      <c r="DH2042" t="s">
        <v>15750</v>
      </c>
      <c r="DI2042" t="s">
        <v>15760</v>
      </c>
    </row>
    <row r="2043" spans="1:113" ht="15" customHeight="1" x14ac:dyDescent="0.25">
      <c r="A2043" t="s">
        <v>16783</v>
      </c>
      <c r="B2043" t="s">
        <v>113</v>
      </c>
      <c r="C2043" s="1">
        <v>45138.455451388887</v>
      </c>
      <c r="D2043" s="1">
        <v>45215</v>
      </c>
      <c r="E2043" t="s">
        <v>136</v>
      </c>
      <c r="F2043" t="s">
        <v>16784</v>
      </c>
      <c r="G2043" t="str">
        <f>"53-7064.00"</f>
        <v>53-7064.00</v>
      </c>
      <c r="H2043" t="s">
        <v>3138</v>
      </c>
      <c r="I2043">
        <v>7</v>
      </c>
      <c r="K2043" s="1">
        <v>45166</v>
      </c>
      <c r="L2043" s="1">
        <v>45443</v>
      </c>
      <c r="O2043" t="s">
        <v>184</v>
      </c>
      <c r="P2043" t="s">
        <v>16785</v>
      </c>
      <c r="R2043" t="s">
        <v>16786</v>
      </c>
      <c r="S2043" t="s">
        <v>16787</v>
      </c>
      <c r="T2043" t="s">
        <v>16788</v>
      </c>
      <c r="U2043" t="s">
        <v>188</v>
      </c>
      <c r="V2043" s="8" t="str">
        <f>"80301"</f>
        <v>80301</v>
      </c>
      <c r="W2043" t="s">
        <v>118</v>
      </c>
      <c r="Y2043" s="10">
        <v>13035903110</v>
      </c>
      <c r="AA2043">
        <v>541430</v>
      </c>
      <c r="AB2043" t="s">
        <v>16789</v>
      </c>
      <c r="AC2043" t="s">
        <v>4968</v>
      </c>
      <c r="AE2043" t="s">
        <v>120</v>
      </c>
      <c r="AF2043" t="s">
        <v>16790</v>
      </c>
      <c r="AG2043" t="s">
        <v>16791</v>
      </c>
      <c r="AH2043" t="s">
        <v>16788</v>
      </c>
      <c r="AI2043" t="s">
        <v>188</v>
      </c>
      <c r="AJ2043" s="8" t="str">
        <f>"80302"</f>
        <v>80302</v>
      </c>
      <c r="AK2043" t="s">
        <v>118</v>
      </c>
      <c r="AM2043" s="10">
        <v>19702127026</v>
      </c>
      <c r="AO2043" t="s">
        <v>16792</v>
      </c>
      <c r="AX2043" s="8" t="str">
        <f>""</f>
        <v/>
      </c>
      <c r="BG2043" t="s">
        <v>188</v>
      </c>
      <c r="BH2043" s="1">
        <v>45137.833333333336</v>
      </c>
      <c r="BI2043">
        <v>40</v>
      </c>
      <c r="BJ2043">
        <v>0</v>
      </c>
      <c r="BK2043">
        <v>8</v>
      </c>
      <c r="BL2043">
        <v>8</v>
      </c>
      <c r="BM2043">
        <v>8</v>
      </c>
      <c r="BN2043">
        <v>8</v>
      </c>
      <c r="BO2043">
        <v>8</v>
      </c>
      <c r="BP2043">
        <v>0</v>
      </c>
      <c r="BQ2043" t="str">
        <f>"8:00 AM"</f>
        <v>8:00 AM</v>
      </c>
      <c r="BR2043" t="str">
        <f>"4:00 PM"</f>
        <v>4:00 PM</v>
      </c>
      <c r="BS2043" t="s">
        <v>147</v>
      </c>
      <c r="BT2043">
        <v>1</v>
      </c>
      <c r="BU2043">
        <v>0</v>
      </c>
      <c r="BV2043" t="s">
        <v>114</v>
      </c>
      <c r="BX2043" t="s">
        <v>16793</v>
      </c>
      <c r="BY2043" t="s">
        <v>16787</v>
      </c>
      <c r="CA2043" t="s">
        <v>16788</v>
      </c>
      <c r="CB2043" t="s">
        <v>188</v>
      </c>
      <c r="CC2043" s="8" t="str">
        <f>"80302"</f>
        <v>80302</v>
      </c>
      <c r="CD2043" t="s">
        <v>5388</v>
      </c>
      <c r="CE2043" t="s">
        <v>5389</v>
      </c>
      <c r="CF2043" s="12">
        <v>19</v>
      </c>
      <c r="CG2043" s="12">
        <v>20</v>
      </c>
      <c r="CJ2043" t="s">
        <v>135</v>
      </c>
      <c r="CL2043" t="s">
        <v>16794</v>
      </c>
      <c r="CO2043" t="s">
        <v>136</v>
      </c>
      <c r="CP2043" t="s">
        <v>114</v>
      </c>
      <c r="CQ2043" t="s">
        <v>114</v>
      </c>
      <c r="CR2043" t="s">
        <v>114</v>
      </c>
      <c r="CS2043" t="s">
        <v>136</v>
      </c>
      <c r="CT2043" t="s">
        <v>136</v>
      </c>
      <c r="CU2043" t="s">
        <v>114</v>
      </c>
      <c r="CV2043" t="s">
        <v>16795</v>
      </c>
      <c r="CW2043" s="10" t="str">
        <f>"+13035903110"</f>
        <v>+13035903110</v>
      </c>
      <c r="CX2043" t="s">
        <v>16792</v>
      </c>
      <c r="CY2043" t="s">
        <v>16796</v>
      </c>
      <c r="CZ2043" t="s">
        <v>137</v>
      </c>
      <c r="DA2043" t="s">
        <v>114</v>
      </c>
      <c r="DB2043" t="s">
        <v>114</v>
      </c>
      <c r="DC2043" t="s">
        <v>136</v>
      </c>
      <c r="DD2043" t="s">
        <v>114</v>
      </c>
    </row>
    <row r="2044" spans="1:113" ht="15" customHeight="1" x14ac:dyDescent="0.25">
      <c r="A2044" t="s">
        <v>19348</v>
      </c>
      <c r="B2044" t="s">
        <v>113</v>
      </c>
      <c r="C2044" s="1">
        <v>45128.629285532406</v>
      </c>
      <c r="D2044" s="1">
        <v>45215</v>
      </c>
      <c r="E2044" t="s">
        <v>114</v>
      </c>
      <c r="F2044" t="s">
        <v>9300</v>
      </c>
      <c r="G2044" t="str">
        <f>"47-2042.00"</f>
        <v>47-2042.00</v>
      </c>
      <c r="H2044" t="s">
        <v>19349</v>
      </c>
      <c r="I2044">
        <v>3</v>
      </c>
      <c r="K2044" s="1">
        <v>45218</v>
      </c>
      <c r="L2044" s="1">
        <v>45473</v>
      </c>
      <c r="O2044" t="s">
        <v>184</v>
      </c>
      <c r="P2044" t="s">
        <v>19350</v>
      </c>
      <c r="R2044" t="s">
        <v>19351</v>
      </c>
      <c r="T2044" t="s">
        <v>6973</v>
      </c>
      <c r="U2044" t="s">
        <v>854</v>
      </c>
      <c r="V2044" s="8" t="str">
        <f>"83616"</f>
        <v>83616</v>
      </c>
      <c r="W2044" t="s">
        <v>118</v>
      </c>
      <c r="Y2044" s="10">
        <v>12089170421</v>
      </c>
      <c r="AA2044">
        <v>23833</v>
      </c>
      <c r="AB2044" t="s">
        <v>19352</v>
      </c>
      <c r="AC2044" t="s">
        <v>708</v>
      </c>
      <c r="AE2044" t="s">
        <v>120</v>
      </c>
      <c r="AF2044" t="s">
        <v>19353</v>
      </c>
      <c r="AH2044" t="s">
        <v>6973</v>
      </c>
      <c r="AI2044" t="s">
        <v>854</v>
      </c>
      <c r="AJ2044" s="8" t="str">
        <f>"83616"</f>
        <v>83616</v>
      </c>
      <c r="AK2044" t="s">
        <v>118</v>
      </c>
      <c r="AM2044" s="10">
        <v>12089170421</v>
      </c>
      <c r="AO2044" t="s">
        <v>19354</v>
      </c>
      <c r="AP2044" t="s">
        <v>121</v>
      </c>
      <c r="AQ2044" t="s">
        <v>3935</v>
      </c>
      <c r="AR2044" t="s">
        <v>3936</v>
      </c>
      <c r="AS2044" t="s">
        <v>3937</v>
      </c>
      <c r="AT2044" t="s">
        <v>3938</v>
      </c>
      <c r="AU2044" t="s">
        <v>3939</v>
      </c>
      <c r="AV2044" t="s">
        <v>3940</v>
      </c>
      <c r="AW2044" t="s">
        <v>2262</v>
      </c>
      <c r="AX2044" s="8" t="str">
        <f>"06510"</f>
        <v>06510</v>
      </c>
      <c r="AY2044" t="s">
        <v>118</v>
      </c>
      <c r="BA2044" s="10">
        <v>19198270660</v>
      </c>
      <c r="BC2044" t="s">
        <v>3941</v>
      </c>
      <c r="BD2044" t="s">
        <v>3942</v>
      </c>
      <c r="BE2044" t="s">
        <v>375</v>
      </c>
      <c r="BF2044" t="s">
        <v>3943</v>
      </c>
      <c r="BG2044" t="s">
        <v>854</v>
      </c>
      <c r="BH2044" s="1">
        <v>45127.833333333336</v>
      </c>
      <c r="BI2044">
        <v>48</v>
      </c>
      <c r="BJ2044">
        <v>0</v>
      </c>
      <c r="BK2044">
        <v>8</v>
      </c>
      <c r="BL2044">
        <v>8</v>
      </c>
      <c r="BM2044">
        <v>8</v>
      </c>
      <c r="BN2044">
        <v>8</v>
      </c>
      <c r="BO2044">
        <v>8</v>
      </c>
      <c r="BP2044">
        <v>8</v>
      </c>
      <c r="BQ2044" t="str">
        <f>"9:00 AM"</f>
        <v>9:00 AM</v>
      </c>
      <c r="BR2044" t="str">
        <f>"5:00 PM"</f>
        <v>5:00 PM</v>
      </c>
      <c r="BS2044" t="s">
        <v>131</v>
      </c>
      <c r="BT2044">
        <v>0</v>
      </c>
      <c r="BU2044">
        <v>12</v>
      </c>
      <c r="BV2044" t="s">
        <v>114</v>
      </c>
      <c r="BX2044" t="s">
        <v>1570</v>
      </c>
      <c r="BY2044" t="s">
        <v>19353</v>
      </c>
      <c r="CA2044" t="s">
        <v>6973</v>
      </c>
      <c r="CB2044" t="s">
        <v>854</v>
      </c>
      <c r="CC2044" s="8" t="str">
        <f>"83616"</f>
        <v>83616</v>
      </c>
      <c r="CD2044" t="s">
        <v>8051</v>
      </c>
      <c r="CE2044" t="s">
        <v>1450</v>
      </c>
      <c r="CF2044" s="12">
        <v>20.260000000000002</v>
      </c>
      <c r="CG2044" s="12">
        <v>20.260000000000002</v>
      </c>
      <c r="CH2044" s="12">
        <v>30.39</v>
      </c>
      <c r="CI2044" s="12">
        <v>30.39</v>
      </c>
      <c r="CJ2044" t="s">
        <v>135</v>
      </c>
      <c r="CL2044" t="s">
        <v>19355</v>
      </c>
      <c r="CO2044" t="s">
        <v>132</v>
      </c>
      <c r="CP2044" t="s">
        <v>136</v>
      </c>
      <c r="CQ2044" t="s">
        <v>136</v>
      </c>
      <c r="CR2044" t="s">
        <v>136</v>
      </c>
      <c r="CS2044" t="s">
        <v>136</v>
      </c>
      <c r="CT2044" t="s">
        <v>136</v>
      </c>
      <c r="CU2044" t="s">
        <v>136</v>
      </c>
      <c r="CV2044" t="s">
        <v>19356</v>
      </c>
      <c r="CW2044" s="10" t="str">
        <f>"+12089170421"</f>
        <v>+12089170421</v>
      </c>
      <c r="CX2044" t="s">
        <v>19354</v>
      </c>
      <c r="CY2044" t="s">
        <v>132</v>
      </c>
      <c r="CZ2044" t="s">
        <v>137</v>
      </c>
      <c r="DA2044" t="s">
        <v>114</v>
      </c>
      <c r="DB2044" t="s">
        <v>114</v>
      </c>
      <c r="DC2044" t="s">
        <v>136</v>
      </c>
      <c r="DD2044" t="s">
        <v>114</v>
      </c>
    </row>
    <row r="2045" spans="1:113" ht="15" customHeight="1" x14ac:dyDescent="0.25">
      <c r="A2045" t="s">
        <v>20386</v>
      </c>
      <c r="B2045" t="s">
        <v>113</v>
      </c>
      <c r="C2045" s="1">
        <v>45125.000484490738</v>
      </c>
      <c r="D2045" s="1">
        <v>45215</v>
      </c>
      <c r="E2045" t="s">
        <v>114</v>
      </c>
      <c r="F2045" t="s">
        <v>16040</v>
      </c>
      <c r="G2045" t="str">
        <f>"51-7042.00"</f>
        <v>51-7042.00</v>
      </c>
      <c r="H2045" t="s">
        <v>13920</v>
      </c>
      <c r="I2045">
        <v>20</v>
      </c>
      <c r="K2045" s="1">
        <v>45200</v>
      </c>
      <c r="L2045" s="1">
        <v>45230</v>
      </c>
      <c r="O2045" t="s">
        <v>116</v>
      </c>
      <c r="P2045" t="s">
        <v>20387</v>
      </c>
      <c r="R2045" t="s">
        <v>20388</v>
      </c>
      <c r="S2045" t="s">
        <v>20389</v>
      </c>
      <c r="T2045" t="s">
        <v>4165</v>
      </c>
      <c r="U2045" t="s">
        <v>854</v>
      </c>
      <c r="V2045" s="8" t="str">
        <f>"83702"</f>
        <v>83702</v>
      </c>
      <c r="W2045" t="s">
        <v>118</v>
      </c>
      <c r="Y2045" s="10">
        <v>13373156040</v>
      </c>
      <c r="AA2045">
        <v>32191</v>
      </c>
      <c r="AB2045" t="s">
        <v>20390</v>
      </c>
      <c r="AC2045" t="s">
        <v>3265</v>
      </c>
      <c r="AE2045" t="s">
        <v>20391</v>
      </c>
      <c r="AF2045" t="s">
        <v>20388</v>
      </c>
      <c r="AG2045" t="s">
        <v>20389</v>
      </c>
      <c r="AH2045" t="s">
        <v>4165</v>
      </c>
      <c r="AI2045" t="s">
        <v>854</v>
      </c>
      <c r="AJ2045" s="8" t="str">
        <f>"83702"</f>
        <v>83702</v>
      </c>
      <c r="AK2045" t="s">
        <v>118</v>
      </c>
      <c r="AM2045" s="10">
        <v>13373156040</v>
      </c>
      <c r="AO2045" t="s">
        <v>20392</v>
      </c>
      <c r="AP2045" t="s">
        <v>121</v>
      </c>
      <c r="AQ2045" t="s">
        <v>745</v>
      </c>
      <c r="AR2045" t="s">
        <v>746</v>
      </c>
      <c r="AT2045" t="s">
        <v>747</v>
      </c>
      <c r="AV2045" t="s">
        <v>603</v>
      </c>
      <c r="AW2045" t="s">
        <v>127</v>
      </c>
      <c r="AX2045" s="8" t="str">
        <f>"78737"</f>
        <v>78737</v>
      </c>
      <c r="AY2045" t="s">
        <v>118</v>
      </c>
      <c r="BA2045" s="10">
        <v>15128942128</v>
      </c>
      <c r="BC2045" t="s">
        <v>748</v>
      </c>
      <c r="BD2045" t="s">
        <v>749</v>
      </c>
      <c r="BE2045" t="s">
        <v>127</v>
      </c>
      <c r="BF2045" t="s">
        <v>1298</v>
      </c>
      <c r="BG2045" t="s">
        <v>140</v>
      </c>
      <c r="BH2045" s="1">
        <v>45123.833333333336</v>
      </c>
      <c r="BI2045">
        <v>40</v>
      </c>
      <c r="BJ2045">
        <v>0</v>
      </c>
      <c r="BK2045">
        <v>8</v>
      </c>
      <c r="BL2045">
        <v>8</v>
      </c>
      <c r="BM2045">
        <v>8</v>
      </c>
      <c r="BN2045">
        <v>8</v>
      </c>
      <c r="BO2045">
        <v>8</v>
      </c>
      <c r="BP2045">
        <v>0</v>
      </c>
      <c r="BQ2045" t="str">
        <f>"6:00 AM"</f>
        <v>6:00 AM</v>
      </c>
      <c r="BR2045" t="str">
        <f>"5:59 AM"</f>
        <v>5:59 AM</v>
      </c>
      <c r="BS2045" t="s">
        <v>131</v>
      </c>
      <c r="BT2045">
        <v>0</v>
      </c>
      <c r="BU2045">
        <v>0</v>
      </c>
      <c r="BV2045" t="s">
        <v>114</v>
      </c>
      <c r="BX2045" s="2" t="s">
        <v>20393</v>
      </c>
      <c r="BY2045" t="s">
        <v>20394</v>
      </c>
      <c r="CA2045" t="s">
        <v>20395</v>
      </c>
      <c r="CB2045" t="s">
        <v>140</v>
      </c>
      <c r="CC2045" s="8" t="str">
        <f>"32333"</f>
        <v>32333</v>
      </c>
      <c r="CD2045" t="s">
        <v>20396</v>
      </c>
      <c r="CE2045" t="s">
        <v>5544</v>
      </c>
      <c r="CF2045" s="12">
        <v>18.54</v>
      </c>
      <c r="CG2045" s="12">
        <v>18.54</v>
      </c>
      <c r="CH2045" s="12">
        <v>27.81</v>
      </c>
      <c r="CI2045" s="12">
        <v>27.81</v>
      </c>
      <c r="CJ2045" t="s">
        <v>135</v>
      </c>
      <c r="CK2045" t="s">
        <v>20397</v>
      </c>
      <c r="CL2045" t="s">
        <v>20398</v>
      </c>
      <c r="CO2045" t="s">
        <v>132</v>
      </c>
      <c r="CP2045" t="s">
        <v>114</v>
      </c>
      <c r="CQ2045" t="s">
        <v>136</v>
      </c>
      <c r="CR2045" t="s">
        <v>136</v>
      </c>
      <c r="CS2045" t="s">
        <v>136</v>
      </c>
      <c r="CT2045" t="s">
        <v>136</v>
      </c>
      <c r="CU2045" t="s">
        <v>136</v>
      </c>
      <c r="CV2045" t="s">
        <v>20399</v>
      </c>
      <c r="CW2045" s="10" t="str">
        <f>"+13373156040"</f>
        <v>+13373156040</v>
      </c>
      <c r="CX2045" t="s">
        <v>20392</v>
      </c>
      <c r="CY2045" t="s">
        <v>132</v>
      </c>
      <c r="CZ2045" t="s">
        <v>137</v>
      </c>
      <c r="DA2045" t="s">
        <v>114</v>
      </c>
      <c r="DB2045" t="s">
        <v>114</v>
      </c>
      <c r="DC2045" t="s">
        <v>136</v>
      </c>
      <c r="DD2045" t="s">
        <v>114</v>
      </c>
    </row>
    <row r="2046" spans="1:113" ht="15" customHeight="1" x14ac:dyDescent="0.25">
      <c r="A2046" t="s">
        <v>19605</v>
      </c>
      <c r="B2046" t="s">
        <v>113</v>
      </c>
      <c r="C2046" s="1">
        <v>45117.554904976852</v>
      </c>
      <c r="D2046" s="1">
        <v>45215</v>
      </c>
      <c r="E2046" t="s">
        <v>136</v>
      </c>
      <c r="F2046" t="s">
        <v>814</v>
      </c>
      <c r="G2046" t="str">
        <f>"51-4121.00"</f>
        <v>51-4121.00</v>
      </c>
      <c r="H2046" t="s">
        <v>815</v>
      </c>
      <c r="I2046">
        <v>5</v>
      </c>
      <c r="K2046" s="1">
        <v>45200</v>
      </c>
      <c r="L2046" s="1">
        <v>45565</v>
      </c>
      <c r="O2046" t="s">
        <v>184</v>
      </c>
      <c r="P2046" t="s">
        <v>816</v>
      </c>
      <c r="R2046" t="s">
        <v>817</v>
      </c>
      <c r="T2046" t="s">
        <v>818</v>
      </c>
      <c r="U2046" t="s">
        <v>819</v>
      </c>
      <c r="V2046" s="8" t="str">
        <f>"46514"</f>
        <v>46514</v>
      </c>
      <c r="W2046" t="s">
        <v>118</v>
      </c>
      <c r="Y2046" s="10">
        <v>15743127094</v>
      </c>
      <c r="AA2046">
        <v>3363</v>
      </c>
      <c r="AB2046" t="s">
        <v>820</v>
      </c>
      <c r="AC2046" t="s">
        <v>821</v>
      </c>
      <c r="AE2046" t="s">
        <v>822</v>
      </c>
      <c r="AF2046" t="s">
        <v>817</v>
      </c>
      <c r="AH2046" t="s">
        <v>818</v>
      </c>
      <c r="AI2046" t="s">
        <v>819</v>
      </c>
      <c r="AJ2046" s="8" t="str">
        <f>"46514"</f>
        <v>46514</v>
      </c>
      <c r="AK2046" t="s">
        <v>118</v>
      </c>
      <c r="AM2046" s="10">
        <v>15743127433</v>
      </c>
      <c r="AO2046" t="s">
        <v>823</v>
      </c>
      <c r="AP2046" t="s">
        <v>121</v>
      </c>
      <c r="AQ2046" t="s">
        <v>824</v>
      </c>
      <c r="AR2046" t="s">
        <v>825</v>
      </c>
      <c r="AS2046" t="s">
        <v>826</v>
      </c>
      <c r="AT2046" t="s">
        <v>827</v>
      </c>
      <c r="AU2046" t="s">
        <v>828</v>
      </c>
      <c r="AV2046" t="s">
        <v>187</v>
      </c>
      <c r="AW2046" t="s">
        <v>188</v>
      </c>
      <c r="AX2046" s="8" t="str">
        <f>"80202"</f>
        <v>80202</v>
      </c>
      <c r="AY2046" t="s">
        <v>118</v>
      </c>
      <c r="BA2046" s="10">
        <v>13036073637</v>
      </c>
      <c r="BC2046" t="s">
        <v>829</v>
      </c>
      <c r="BD2046" t="s">
        <v>830</v>
      </c>
      <c r="BE2046" t="s">
        <v>188</v>
      </c>
      <c r="BF2046" t="s">
        <v>831</v>
      </c>
      <c r="BG2046" t="s">
        <v>402</v>
      </c>
      <c r="BH2046" s="1">
        <v>45109.833333333336</v>
      </c>
      <c r="BI2046">
        <v>35</v>
      </c>
      <c r="BJ2046">
        <v>0</v>
      </c>
      <c r="BK2046">
        <v>7</v>
      </c>
      <c r="BL2046">
        <v>7</v>
      </c>
      <c r="BM2046">
        <v>7</v>
      </c>
      <c r="BN2046">
        <v>7</v>
      </c>
      <c r="BO2046">
        <v>7</v>
      </c>
      <c r="BP2046">
        <v>0</v>
      </c>
      <c r="BQ2046" t="str">
        <f>"6:00 AM"</f>
        <v>6:00 AM</v>
      </c>
      <c r="BR2046" t="str">
        <f>"3:30 PM"</f>
        <v>3:30 PM</v>
      </c>
      <c r="BS2046" t="s">
        <v>131</v>
      </c>
      <c r="BT2046">
        <v>0</v>
      </c>
      <c r="BU2046">
        <v>0</v>
      </c>
      <c r="BV2046" t="s">
        <v>114</v>
      </c>
      <c r="BX2046" s="2" t="s">
        <v>832</v>
      </c>
      <c r="BY2046" t="s">
        <v>4546</v>
      </c>
      <c r="CA2046" t="s">
        <v>4547</v>
      </c>
      <c r="CB2046" t="s">
        <v>402</v>
      </c>
      <c r="CC2046" s="8" t="str">
        <f>"92376"</f>
        <v>92376</v>
      </c>
      <c r="CD2046" t="s">
        <v>4483</v>
      </c>
      <c r="CE2046" t="s">
        <v>4484</v>
      </c>
      <c r="CF2046" s="12">
        <v>23.09</v>
      </c>
      <c r="CG2046" s="12">
        <v>23.09</v>
      </c>
      <c r="CH2046" s="12">
        <v>34.64</v>
      </c>
      <c r="CI2046" s="12">
        <v>34.64</v>
      </c>
      <c r="CJ2046" t="s">
        <v>135</v>
      </c>
      <c r="CK2046" t="s">
        <v>131</v>
      </c>
      <c r="CL2046" t="s">
        <v>19606</v>
      </c>
      <c r="CO2046" t="s">
        <v>132</v>
      </c>
      <c r="CP2046" t="s">
        <v>114</v>
      </c>
      <c r="CQ2046" t="s">
        <v>114</v>
      </c>
      <c r="CR2046" t="s">
        <v>136</v>
      </c>
      <c r="CS2046" t="s">
        <v>136</v>
      </c>
      <c r="CT2046" t="s">
        <v>136</v>
      </c>
      <c r="CU2046" t="s">
        <v>114</v>
      </c>
      <c r="CV2046" t="s">
        <v>131</v>
      </c>
      <c r="CW2046" s="10" t="str">
        <f>"+15743127391"</f>
        <v>+15743127391</v>
      </c>
      <c r="CX2046" t="s">
        <v>838</v>
      </c>
      <c r="CY2046" t="s">
        <v>839</v>
      </c>
      <c r="CZ2046" t="s">
        <v>137</v>
      </c>
      <c r="DA2046" t="s">
        <v>114</v>
      </c>
      <c r="DB2046" t="s">
        <v>114</v>
      </c>
      <c r="DC2046" t="s">
        <v>136</v>
      </c>
      <c r="DD2046" t="s">
        <v>114</v>
      </c>
    </row>
    <row r="2047" spans="1:113" ht="15" customHeight="1" x14ac:dyDescent="0.25">
      <c r="A2047" t="s">
        <v>8196</v>
      </c>
      <c r="B2047" t="s">
        <v>113</v>
      </c>
      <c r="C2047" s="1">
        <v>45112.855020601855</v>
      </c>
      <c r="D2047" s="1">
        <v>45215</v>
      </c>
      <c r="E2047" t="s">
        <v>114</v>
      </c>
      <c r="F2047" t="s">
        <v>1879</v>
      </c>
      <c r="G2047" t="str">
        <f>"37-2012.00"</f>
        <v>37-2012.00</v>
      </c>
      <c r="H2047" t="s">
        <v>205</v>
      </c>
      <c r="I2047">
        <v>40</v>
      </c>
      <c r="K2047" s="1">
        <v>45200</v>
      </c>
      <c r="L2047" s="1">
        <v>45473</v>
      </c>
      <c r="O2047" t="s">
        <v>116</v>
      </c>
      <c r="P2047" t="s">
        <v>8197</v>
      </c>
      <c r="R2047" t="s">
        <v>8198</v>
      </c>
      <c r="T2047" t="s">
        <v>8199</v>
      </c>
      <c r="U2047" t="s">
        <v>140</v>
      </c>
      <c r="V2047" s="8" t="str">
        <f>"33351"</f>
        <v>33351</v>
      </c>
      <c r="W2047" t="s">
        <v>118</v>
      </c>
      <c r="Y2047" s="10">
        <v>13475674121</v>
      </c>
      <c r="AA2047">
        <v>561720</v>
      </c>
      <c r="AB2047" t="s">
        <v>250</v>
      </c>
      <c r="AC2047" t="s">
        <v>8200</v>
      </c>
      <c r="AD2047" t="s">
        <v>8201</v>
      </c>
      <c r="AE2047" t="s">
        <v>8202</v>
      </c>
      <c r="AF2047" t="s">
        <v>8198</v>
      </c>
      <c r="AH2047" t="s">
        <v>8199</v>
      </c>
      <c r="AI2047" t="s">
        <v>140</v>
      </c>
      <c r="AJ2047" s="8" t="str">
        <f>"33351"</f>
        <v>33351</v>
      </c>
      <c r="AK2047" t="s">
        <v>118</v>
      </c>
      <c r="AM2047" s="10">
        <v>13475674121</v>
      </c>
      <c r="AO2047" t="s">
        <v>8203</v>
      </c>
      <c r="AP2047" t="s">
        <v>121</v>
      </c>
      <c r="AQ2047" t="s">
        <v>480</v>
      </c>
      <c r="AR2047" t="s">
        <v>6177</v>
      </c>
      <c r="AT2047" t="s">
        <v>8204</v>
      </c>
      <c r="AU2047" t="s">
        <v>8205</v>
      </c>
      <c r="AV2047" t="s">
        <v>8206</v>
      </c>
      <c r="AW2047" t="s">
        <v>140</v>
      </c>
      <c r="AX2047" s="8" t="str">
        <f>"33578"</f>
        <v>33578</v>
      </c>
      <c r="AY2047" t="s">
        <v>118</v>
      </c>
      <c r="BA2047" s="10">
        <v>18134203901</v>
      </c>
      <c r="BC2047" t="s">
        <v>8207</v>
      </c>
      <c r="BD2047" t="s">
        <v>8208</v>
      </c>
      <c r="BE2047" t="s">
        <v>140</v>
      </c>
      <c r="BF2047" t="s">
        <v>8209</v>
      </c>
      <c r="BG2047" t="s">
        <v>140</v>
      </c>
      <c r="BH2047" s="1">
        <v>45111.833333333336</v>
      </c>
      <c r="BI2047">
        <v>35</v>
      </c>
      <c r="BJ2047">
        <v>0</v>
      </c>
      <c r="BK2047">
        <v>7</v>
      </c>
      <c r="BL2047">
        <v>7</v>
      </c>
      <c r="BM2047">
        <v>7</v>
      </c>
      <c r="BN2047">
        <v>7</v>
      </c>
      <c r="BO2047">
        <v>7</v>
      </c>
      <c r="BP2047">
        <v>0</v>
      </c>
      <c r="BQ2047" t="str">
        <f>"7:00 AM"</f>
        <v>7:00 AM</v>
      </c>
      <c r="BR2047" t="str">
        <f>"2:00 PM"</f>
        <v>2:00 PM</v>
      </c>
      <c r="BS2047" t="s">
        <v>131</v>
      </c>
      <c r="BT2047">
        <v>0</v>
      </c>
      <c r="BU2047">
        <v>0</v>
      </c>
      <c r="BV2047" t="s">
        <v>114</v>
      </c>
      <c r="BX2047" t="s">
        <v>1480</v>
      </c>
      <c r="BY2047" t="s">
        <v>8210</v>
      </c>
      <c r="BZ2047" t="s">
        <v>8211</v>
      </c>
      <c r="CA2047" t="s">
        <v>8212</v>
      </c>
      <c r="CB2047" t="s">
        <v>140</v>
      </c>
      <c r="CC2047" s="8" t="str">
        <f>"32926"</f>
        <v>32926</v>
      </c>
      <c r="CD2047" t="s">
        <v>5183</v>
      </c>
      <c r="CE2047" t="s">
        <v>5184</v>
      </c>
      <c r="CF2047" s="12">
        <v>13.06</v>
      </c>
      <c r="CG2047" s="12">
        <v>13.06</v>
      </c>
      <c r="CJ2047" t="s">
        <v>135</v>
      </c>
      <c r="CK2047" t="s">
        <v>132</v>
      </c>
      <c r="CL2047" t="s">
        <v>8213</v>
      </c>
      <c r="CO2047" t="s">
        <v>132</v>
      </c>
      <c r="CP2047" t="s">
        <v>136</v>
      </c>
      <c r="CQ2047" t="s">
        <v>136</v>
      </c>
      <c r="CR2047" t="s">
        <v>114</v>
      </c>
      <c r="CS2047" t="s">
        <v>136</v>
      </c>
      <c r="CT2047" t="s">
        <v>136</v>
      </c>
      <c r="CU2047" t="s">
        <v>136</v>
      </c>
      <c r="CV2047" s="2" t="s">
        <v>8214</v>
      </c>
      <c r="CW2047" s="10" t="str">
        <f>"+13475674121"</f>
        <v>+13475674121</v>
      </c>
      <c r="CX2047" t="s">
        <v>8215</v>
      </c>
      <c r="CY2047" t="s">
        <v>132</v>
      </c>
      <c r="CZ2047" t="s">
        <v>137</v>
      </c>
      <c r="DA2047" t="s">
        <v>114</v>
      </c>
      <c r="DB2047" t="s">
        <v>136</v>
      </c>
      <c r="DC2047" t="s">
        <v>136</v>
      </c>
      <c r="DD2047" t="s">
        <v>114</v>
      </c>
      <c r="DE2047" t="s">
        <v>480</v>
      </c>
      <c r="DF2047" t="s">
        <v>6177</v>
      </c>
      <c r="DG2047" t="s">
        <v>6180</v>
      </c>
      <c r="DH2047" t="s">
        <v>8208</v>
      </c>
      <c r="DI2047" t="s">
        <v>6178</v>
      </c>
    </row>
    <row r="2048" spans="1:113" ht="15" customHeight="1" x14ac:dyDescent="0.25">
      <c r="A2048" t="s">
        <v>16952</v>
      </c>
      <c r="B2048" t="s">
        <v>113</v>
      </c>
      <c r="C2048" s="1">
        <v>45112.609162152781</v>
      </c>
      <c r="D2048" s="1">
        <v>45215</v>
      </c>
      <c r="E2048" t="s">
        <v>114</v>
      </c>
      <c r="F2048" t="s">
        <v>16953</v>
      </c>
      <c r="G2048" t="str">
        <f>"51-3022.00"</f>
        <v>51-3022.00</v>
      </c>
      <c r="H2048" t="s">
        <v>1004</v>
      </c>
      <c r="I2048">
        <v>3</v>
      </c>
      <c r="K2048" s="1">
        <v>45200</v>
      </c>
      <c r="L2048" s="1">
        <v>45504</v>
      </c>
      <c r="O2048" t="s">
        <v>116</v>
      </c>
      <c r="P2048" t="s">
        <v>1005</v>
      </c>
      <c r="R2048" t="s">
        <v>8845</v>
      </c>
      <c r="T2048" t="s">
        <v>1007</v>
      </c>
      <c r="U2048" t="s">
        <v>581</v>
      </c>
      <c r="V2048" s="8" t="str">
        <f>"23430"</f>
        <v>23430</v>
      </c>
      <c r="W2048" t="s">
        <v>118</v>
      </c>
      <c r="Y2048" s="10">
        <v>17573653000</v>
      </c>
      <c r="AA2048">
        <v>311612</v>
      </c>
      <c r="AB2048" t="s">
        <v>1008</v>
      </c>
      <c r="AC2048" t="s">
        <v>1009</v>
      </c>
      <c r="AE2048" t="s">
        <v>1010</v>
      </c>
      <c r="AF2048" t="s">
        <v>1006</v>
      </c>
      <c r="AH2048" t="s">
        <v>1007</v>
      </c>
      <c r="AI2048" t="s">
        <v>581</v>
      </c>
      <c r="AJ2048" s="8" t="str">
        <f>"23430"</f>
        <v>23430</v>
      </c>
      <c r="AK2048" t="s">
        <v>118</v>
      </c>
      <c r="AM2048" s="10">
        <v>17573754572</v>
      </c>
      <c r="AO2048" t="s">
        <v>8846</v>
      </c>
      <c r="AP2048" t="s">
        <v>121</v>
      </c>
      <c r="AQ2048" t="s">
        <v>380</v>
      </c>
      <c r="AR2048" t="s">
        <v>381</v>
      </c>
      <c r="AT2048" t="s">
        <v>383</v>
      </c>
      <c r="AU2048" t="s">
        <v>384</v>
      </c>
      <c r="AV2048" t="s">
        <v>385</v>
      </c>
      <c r="AW2048" t="s">
        <v>386</v>
      </c>
      <c r="AX2048" s="8" t="str">
        <f>"37122"</f>
        <v>37122</v>
      </c>
      <c r="AY2048" t="s">
        <v>118</v>
      </c>
      <c r="BA2048" s="10">
        <v>16154227130</v>
      </c>
      <c r="BC2048" t="s">
        <v>1012</v>
      </c>
      <c r="BD2048" t="s">
        <v>1013</v>
      </c>
      <c r="BE2048" t="s">
        <v>386</v>
      </c>
      <c r="BF2048" t="s">
        <v>389</v>
      </c>
      <c r="BG2048" t="s">
        <v>375</v>
      </c>
      <c r="BH2048" s="1">
        <v>45111.833333333336</v>
      </c>
      <c r="BI2048">
        <v>40</v>
      </c>
      <c r="BJ2048">
        <v>0</v>
      </c>
      <c r="BK2048">
        <v>8</v>
      </c>
      <c r="BL2048">
        <v>8</v>
      </c>
      <c r="BM2048">
        <v>8</v>
      </c>
      <c r="BN2048">
        <v>8</v>
      </c>
      <c r="BO2048">
        <v>8</v>
      </c>
      <c r="BP2048">
        <v>0</v>
      </c>
      <c r="BQ2048" t="str">
        <f>"6:00 AM"</f>
        <v>6:00 AM</v>
      </c>
      <c r="BR2048" t="str">
        <f>"3:15 PM"</f>
        <v>3:15 PM</v>
      </c>
      <c r="BS2048" t="s">
        <v>131</v>
      </c>
      <c r="BT2048">
        <v>1</v>
      </c>
      <c r="BU2048">
        <v>0</v>
      </c>
      <c r="BV2048" t="s">
        <v>114</v>
      </c>
      <c r="BX2048" s="2" t="s">
        <v>16954</v>
      </c>
      <c r="BY2048" t="s">
        <v>8848</v>
      </c>
      <c r="CA2048" t="s">
        <v>8849</v>
      </c>
      <c r="CB2048" t="s">
        <v>375</v>
      </c>
      <c r="CC2048" s="8" t="str">
        <f>"28392"</f>
        <v>28392</v>
      </c>
      <c r="CD2048" t="s">
        <v>8850</v>
      </c>
      <c r="CE2048" t="s">
        <v>8851</v>
      </c>
      <c r="CF2048" s="12">
        <v>16.12</v>
      </c>
      <c r="CG2048" s="12">
        <v>22.1</v>
      </c>
      <c r="CH2048" s="12">
        <v>24.18</v>
      </c>
      <c r="CI2048" s="12">
        <v>33.15</v>
      </c>
      <c r="CJ2048" t="s">
        <v>135</v>
      </c>
      <c r="CK2048" t="s">
        <v>13140</v>
      </c>
      <c r="CL2048" t="s">
        <v>16955</v>
      </c>
      <c r="CO2048" t="s">
        <v>132</v>
      </c>
      <c r="CP2048" t="s">
        <v>114</v>
      </c>
      <c r="CQ2048" t="s">
        <v>114</v>
      </c>
      <c r="CR2048" t="s">
        <v>136</v>
      </c>
      <c r="CS2048" t="s">
        <v>136</v>
      </c>
      <c r="CT2048" t="s">
        <v>136</v>
      </c>
      <c r="CU2048" t="s">
        <v>136</v>
      </c>
      <c r="CV2048" s="2" t="s">
        <v>1021</v>
      </c>
      <c r="CW2048" s="10" t="str">
        <f>"+17576353808"</f>
        <v>+17576353808</v>
      </c>
      <c r="CX2048" t="s">
        <v>1022</v>
      </c>
      <c r="CY2048" t="s">
        <v>132</v>
      </c>
      <c r="CZ2048" t="s">
        <v>137</v>
      </c>
      <c r="DA2048" t="s">
        <v>114</v>
      </c>
      <c r="DB2048" t="s">
        <v>114</v>
      </c>
      <c r="DC2048" t="s">
        <v>136</v>
      </c>
      <c r="DD2048" t="s">
        <v>114</v>
      </c>
    </row>
    <row r="2049" spans="1:113" ht="15" customHeight="1" x14ac:dyDescent="0.25">
      <c r="A2049" t="s">
        <v>13137</v>
      </c>
      <c r="B2049" t="s">
        <v>113</v>
      </c>
      <c r="C2049" s="1">
        <v>45112.604366782405</v>
      </c>
      <c r="D2049" s="1">
        <v>45215</v>
      </c>
      <c r="E2049" t="s">
        <v>114</v>
      </c>
      <c r="F2049" t="s">
        <v>13138</v>
      </c>
      <c r="G2049" t="str">
        <f>"51-3022.00"</f>
        <v>51-3022.00</v>
      </c>
      <c r="H2049" t="s">
        <v>1004</v>
      </c>
      <c r="I2049">
        <v>3</v>
      </c>
      <c r="K2049" s="1">
        <v>45200</v>
      </c>
      <c r="L2049" s="1">
        <v>45504</v>
      </c>
      <c r="O2049" t="s">
        <v>116</v>
      </c>
      <c r="P2049" t="s">
        <v>1005</v>
      </c>
      <c r="R2049" t="s">
        <v>8845</v>
      </c>
      <c r="T2049" t="s">
        <v>1007</v>
      </c>
      <c r="U2049" t="s">
        <v>581</v>
      </c>
      <c r="V2049" s="8" t="str">
        <f>"23430"</f>
        <v>23430</v>
      </c>
      <c r="W2049" t="s">
        <v>118</v>
      </c>
      <c r="Y2049" s="10">
        <v>17573653000</v>
      </c>
      <c r="AA2049">
        <v>311612</v>
      </c>
      <c r="AB2049" t="s">
        <v>1008</v>
      </c>
      <c r="AC2049" t="s">
        <v>1009</v>
      </c>
      <c r="AE2049" t="s">
        <v>1010</v>
      </c>
      <c r="AF2049" t="s">
        <v>1006</v>
      </c>
      <c r="AH2049" t="s">
        <v>1007</v>
      </c>
      <c r="AI2049" t="s">
        <v>581</v>
      </c>
      <c r="AJ2049" s="8" t="str">
        <f>"23430"</f>
        <v>23430</v>
      </c>
      <c r="AK2049" t="s">
        <v>118</v>
      </c>
      <c r="AM2049" s="10">
        <v>17573754572</v>
      </c>
      <c r="AO2049" t="s">
        <v>8846</v>
      </c>
      <c r="AP2049" t="s">
        <v>121</v>
      </c>
      <c r="AQ2049" t="s">
        <v>380</v>
      </c>
      <c r="AR2049" t="s">
        <v>381</v>
      </c>
      <c r="AT2049" t="s">
        <v>383</v>
      </c>
      <c r="AU2049" t="s">
        <v>384</v>
      </c>
      <c r="AV2049" t="s">
        <v>385</v>
      </c>
      <c r="AW2049" t="s">
        <v>386</v>
      </c>
      <c r="AX2049" s="8" t="str">
        <f>"37122"</f>
        <v>37122</v>
      </c>
      <c r="AY2049" t="s">
        <v>118</v>
      </c>
      <c r="BA2049" s="10">
        <v>16154227130</v>
      </c>
      <c r="BC2049" t="s">
        <v>1012</v>
      </c>
      <c r="BD2049" t="s">
        <v>1013</v>
      </c>
      <c r="BE2049" t="s">
        <v>386</v>
      </c>
      <c r="BF2049" t="s">
        <v>389</v>
      </c>
      <c r="BG2049" t="s">
        <v>375</v>
      </c>
      <c r="BH2049" s="1">
        <v>45111.833333333336</v>
      </c>
      <c r="BI2049">
        <v>45</v>
      </c>
      <c r="BJ2049">
        <v>0</v>
      </c>
      <c r="BK2049">
        <v>9</v>
      </c>
      <c r="BL2049">
        <v>9</v>
      </c>
      <c r="BM2049">
        <v>9</v>
      </c>
      <c r="BN2049">
        <v>9</v>
      </c>
      <c r="BO2049">
        <v>9</v>
      </c>
      <c r="BP2049">
        <v>0</v>
      </c>
      <c r="BQ2049" t="str">
        <f>"7:00 PM"</f>
        <v>7:00 PM</v>
      </c>
      <c r="BR2049" t="str">
        <f>"2:00 AM"</f>
        <v>2:00 AM</v>
      </c>
      <c r="BS2049" t="s">
        <v>131</v>
      </c>
      <c r="BT2049">
        <v>1</v>
      </c>
      <c r="BU2049">
        <v>0</v>
      </c>
      <c r="BV2049" t="s">
        <v>114</v>
      </c>
      <c r="BX2049" s="2" t="s">
        <v>13139</v>
      </c>
      <c r="BY2049" t="s">
        <v>8848</v>
      </c>
      <c r="CA2049" t="s">
        <v>8849</v>
      </c>
      <c r="CB2049" t="s">
        <v>375</v>
      </c>
      <c r="CC2049" s="8" t="str">
        <f>"28392"</f>
        <v>28392</v>
      </c>
      <c r="CD2049" t="s">
        <v>8850</v>
      </c>
      <c r="CE2049" t="s">
        <v>8851</v>
      </c>
      <c r="CF2049" s="12">
        <v>16.12</v>
      </c>
      <c r="CG2049" s="12">
        <v>21.65</v>
      </c>
      <c r="CH2049" s="12">
        <v>24.18</v>
      </c>
      <c r="CI2049" s="12">
        <v>32.479999999999997</v>
      </c>
      <c r="CJ2049" t="s">
        <v>135</v>
      </c>
      <c r="CK2049" t="s">
        <v>13140</v>
      </c>
      <c r="CL2049" t="s">
        <v>13141</v>
      </c>
      <c r="CO2049" t="s">
        <v>132</v>
      </c>
      <c r="CP2049" t="s">
        <v>114</v>
      </c>
      <c r="CQ2049" t="s">
        <v>114</v>
      </c>
      <c r="CR2049" t="s">
        <v>136</v>
      </c>
      <c r="CS2049" t="s">
        <v>136</v>
      </c>
      <c r="CT2049" t="s">
        <v>136</v>
      </c>
      <c r="CU2049" t="s">
        <v>136</v>
      </c>
      <c r="CV2049" s="2" t="s">
        <v>1021</v>
      </c>
      <c r="CW2049" s="10" t="str">
        <f>"+17576353808"</f>
        <v>+17576353808</v>
      </c>
      <c r="CX2049" t="s">
        <v>1022</v>
      </c>
      <c r="CY2049" t="s">
        <v>132</v>
      </c>
      <c r="CZ2049" t="s">
        <v>137</v>
      </c>
      <c r="DA2049" t="s">
        <v>114</v>
      </c>
      <c r="DB2049" t="s">
        <v>114</v>
      </c>
      <c r="DC2049" t="s">
        <v>136</v>
      </c>
      <c r="DD2049" t="s">
        <v>114</v>
      </c>
    </row>
    <row r="2050" spans="1:113" ht="15" customHeight="1" x14ac:dyDescent="0.25">
      <c r="A2050" t="s">
        <v>15825</v>
      </c>
      <c r="B2050" t="s">
        <v>113</v>
      </c>
      <c r="C2050" s="1">
        <v>45112.58847534722</v>
      </c>
      <c r="D2050" s="1">
        <v>45215</v>
      </c>
      <c r="E2050" t="s">
        <v>114</v>
      </c>
      <c r="F2050" t="s">
        <v>15826</v>
      </c>
      <c r="G2050" t="str">
        <f>"51-3022.00"</f>
        <v>51-3022.00</v>
      </c>
      <c r="H2050" t="s">
        <v>1004</v>
      </c>
      <c r="I2050">
        <v>30</v>
      </c>
      <c r="K2050" s="1">
        <v>45200</v>
      </c>
      <c r="L2050" s="1">
        <v>45504</v>
      </c>
      <c r="O2050" t="s">
        <v>116</v>
      </c>
      <c r="P2050" t="s">
        <v>1005</v>
      </c>
      <c r="R2050" t="s">
        <v>8845</v>
      </c>
      <c r="T2050" t="s">
        <v>1007</v>
      </c>
      <c r="U2050" t="s">
        <v>581</v>
      </c>
      <c r="V2050" s="8" t="str">
        <f>"23430"</f>
        <v>23430</v>
      </c>
      <c r="W2050" t="s">
        <v>118</v>
      </c>
      <c r="Y2050" s="10">
        <v>17573653000</v>
      </c>
      <c r="AA2050">
        <v>311612</v>
      </c>
      <c r="AB2050" t="s">
        <v>1008</v>
      </c>
      <c r="AC2050" t="s">
        <v>1009</v>
      </c>
      <c r="AE2050" t="s">
        <v>1010</v>
      </c>
      <c r="AF2050" t="s">
        <v>1006</v>
      </c>
      <c r="AH2050" t="s">
        <v>1007</v>
      </c>
      <c r="AI2050" t="s">
        <v>581</v>
      </c>
      <c r="AJ2050" s="8" t="str">
        <f>"23430"</f>
        <v>23430</v>
      </c>
      <c r="AK2050" t="s">
        <v>118</v>
      </c>
      <c r="AM2050" s="10">
        <v>17573754572</v>
      </c>
      <c r="AO2050" t="s">
        <v>8846</v>
      </c>
      <c r="AP2050" t="s">
        <v>121</v>
      </c>
      <c r="AQ2050" t="s">
        <v>380</v>
      </c>
      <c r="AR2050" t="s">
        <v>381</v>
      </c>
      <c r="AT2050" t="s">
        <v>383</v>
      </c>
      <c r="AU2050" t="s">
        <v>384</v>
      </c>
      <c r="AV2050" t="s">
        <v>385</v>
      </c>
      <c r="AW2050" t="s">
        <v>386</v>
      </c>
      <c r="AX2050" s="8" t="str">
        <f>"37122"</f>
        <v>37122</v>
      </c>
      <c r="AY2050" t="s">
        <v>118</v>
      </c>
      <c r="BA2050" s="10">
        <v>16154227130</v>
      </c>
      <c r="BC2050" t="s">
        <v>1012</v>
      </c>
      <c r="BD2050" t="s">
        <v>1013</v>
      </c>
      <c r="BE2050" t="s">
        <v>386</v>
      </c>
      <c r="BF2050" t="s">
        <v>389</v>
      </c>
      <c r="BG2050" t="s">
        <v>375</v>
      </c>
      <c r="BH2050" s="1">
        <v>45111.833333333336</v>
      </c>
      <c r="BI2050">
        <v>40</v>
      </c>
      <c r="BJ2050">
        <v>0</v>
      </c>
      <c r="BK2050">
        <v>8</v>
      </c>
      <c r="BL2050">
        <v>8</v>
      </c>
      <c r="BM2050">
        <v>8</v>
      </c>
      <c r="BN2050">
        <v>8</v>
      </c>
      <c r="BO2050">
        <v>8</v>
      </c>
      <c r="BP2050">
        <v>0</v>
      </c>
      <c r="BQ2050" t="str">
        <f>"6:15 AM"</f>
        <v>6:15 AM</v>
      </c>
      <c r="BR2050" t="str">
        <f>"3:00 PM"</f>
        <v>3:00 PM</v>
      </c>
      <c r="BS2050" t="s">
        <v>131</v>
      </c>
      <c r="BT2050">
        <v>1</v>
      </c>
      <c r="BU2050">
        <v>0</v>
      </c>
      <c r="BV2050" t="s">
        <v>114</v>
      </c>
      <c r="BX2050" s="2" t="s">
        <v>15827</v>
      </c>
      <c r="BY2050" t="s">
        <v>8848</v>
      </c>
      <c r="CA2050" t="s">
        <v>8849</v>
      </c>
      <c r="CB2050" t="s">
        <v>375</v>
      </c>
      <c r="CC2050" s="8" t="str">
        <f>"28392"</f>
        <v>28392</v>
      </c>
      <c r="CD2050" t="s">
        <v>8850</v>
      </c>
      <c r="CE2050" t="s">
        <v>8851</v>
      </c>
      <c r="CF2050" s="12">
        <v>16.12</v>
      </c>
      <c r="CG2050" s="12">
        <v>21.65</v>
      </c>
      <c r="CH2050" s="12">
        <v>24.18</v>
      </c>
      <c r="CI2050" s="12">
        <v>32.479999999999997</v>
      </c>
      <c r="CJ2050" t="s">
        <v>135</v>
      </c>
      <c r="CK2050" t="s">
        <v>8852</v>
      </c>
      <c r="CL2050" t="s">
        <v>15828</v>
      </c>
      <c r="CO2050" t="s">
        <v>132</v>
      </c>
      <c r="CP2050" t="s">
        <v>114</v>
      </c>
      <c r="CQ2050" t="s">
        <v>114</v>
      </c>
      <c r="CR2050" t="s">
        <v>136</v>
      </c>
      <c r="CS2050" t="s">
        <v>136</v>
      </c>
      <c r="CT2050" t="s">
        <v>136</v>
      </c>
      <c r="CU2050" t="s">
        <v>136</v>
      </c>
      <c r="CV2050" s="2" t="s">
        <v>1021</v>
      </c>
      <c r="CW2050" s="10" t="str">
        <f>"+17576353808"</f>
        <v>+17576353808</v>
      </c>
      <c r="CX2050" t="s">
        <v>1022</v>
      </c>
      <c r="CY2050" t="s">
        <v>132</v>
      </c>
      <c r="CZ2050" t="s">
        <v>137</v>
      </c>
      <c r="DA2050" t="s">
        <v>114</v>
      </c>
      <c r="DB2050" t="s">
        <v>114</v>
      </c>
      <c r="DC2050" t="s">
        <v>136</v>
      </c>
      <c r="DD2050" t="s">
        <v>114</v>
      </c>
    </row>
    <row r="2051" spans="1:113" ht="15" customHeight="1" x14ac:dyDescent="0.25">
      <c r="A2051" t="s">
        <v>21860</v>
      </c>
      <c r="B2051" t="s">
        <v>113</v>
      </c>
      <c r="C2051" s="1">
        <v>45112.509265277775</v>
      </c>
      <c r="D2051" s="1">
        <v>45215</v>
      </c>
      <c r="E2051" t="s">
        <v>114</v>
      </c>
      <c r="F2051" t="s">
        <v>3896</v>
      </c>
      <c r="G2051" t="str">
        <f>"51-3022.00"</f>
        <v>51-3022.00</v>
      </c>
      <c r="H2051" t="s">
        <v>1004</v>
      </c>
      <c r="I2051">
        <v>65</v>
      </c>
      <c r="K2051" s="1">
        <v>45200</v>
      </c>
      <c r="L2051" s="1">
        <v>45473</v>
      </c>
      <c r="O2051" t="s">
        <v>116</v>
      </c>
      <c r="P2051" t="s">
        <v>19361</v>
      </c>
      <c r="Q2051" t="s">
        <v>1007</v>
      </c>
      <c r="R2051" t="s">
        <v>19362</v>
      </c>
      <c r="T2051" t="s">
        <v>2917</v>
      </c>
      <c r="U2051" t="s">
        <v>2030</v>
      </c>
      <c r="V2051" s="8" t="str">
        <f>"57103"</f>
        <v>57103</v>
      </c>
      <c r="W2051" t="s">
        <v>118</v>
      </c>
      <c r="Y2051" s="10">
        <v>17573754572</v>
      </c>
      <c r="AA2051">
        <v>311612</v>
      </c>
      <c r="AB2051" t="s">
        <v>1008</v>
      </c>
      <c r="AC2051" t="s">
        <v>1009</v>
      </c>
      <c r="AE2051" t="s">
        <v>1010</v>
      </c>
      <c r="AF2051" t="s">
        <v>1006</v>
      </c>
      <c r="AH2051" t="s">
        <v>1007</v>
      </c>
      <c r="AI2051" t="s">
        <v>581</v>
      </c>
      <c r="AJ2051" s="8" t="str">
        <f>"23430"</f>
        <v>23430</v>
      </c>
      <c r="AK2051" t="s">
        <v>118</v>
      </c>
      <c r="AM2051" s="10">
        <v>17573754572</v>
      </c>
      <c r="AO2051" t="s">
        <v>1011</v>
      </c>
      <c r="AP2051" t="s">
        <v>121</v>
      </c>
      <c r="AQ2051" t="s">
        <v>380</v>
      </c>
      <c r="AR2051" t="s">
        <v>381</v>
      </c>
      <c r="AT2051" t="s">
        <v>383</v>
      </c>
      <c r="AV2051" t="s">
        <v>385</v>
      </c>
      <c r="AW2051" t="s">
        <v>386</v>
      </c>
      <c r="AX2051" s="8" t="str">
        <f>"37122"</f>
        <v>37122</v>
      </c>
      <c r="AY2051" t="s">
        <v>118</v>
      </c>
      <c r="BA2051" s="10">
        <v>16154227130</v>
      </c>
      <c r="BC2051" t="s">
        <v>1012</v>
      </c>
      <c r="BD2051" t="s">
        <v>1013</v>
      </c>
      <c r="BE2051" t="s">
        <v>386</v>
      </c>
      <c r="BF2051" t="s">
        <v>389</v>
      </c>
      <c r="BG2051" t="s">
        <v>2030</v>
      </c>
      <c r="BH2051" s="1">
        <v>45111.833333333336</v>
      </c>
      <c r="BI2051">
        <v>45</v>
      </c>
      <c r="BJ2051">
        <v>0</v>
      </c>
      <c r="BK2051">
        <v>9</v>
      </c>
      <c r="BL2051">
        <v>9</v>
      </c>
      <c r="BM2051">
        <v>9</v>
      </c>
      <c r="BN2051">
        <v>9</v>
      </c>
      <c r="BO2051">
        <v>9</v>
      </c>
      <c r="BP2051">
        <v>0</v>
      </c>
      <c r="BQ2051" t="str">
        <f>"5:30 AM"</f>
        <v>5:30 AM</v>
      </c>
      <c r="BR2051" t="str">
        <f>"2:30 PM"</f>
        <v>2:30 PM</v>
      </c>
      <c r="BS2051" t="s">
        <v>131</v>
      </c>
      <c r="BT2051">
        <v>1</v>
      </c>
      <c r="BU2051">
        <v>0</v>
      </c>
      <c r="BV2051" t="s">
        <v>114</v>
      </c>
      <c r="BX2051" s="2" t="s">
        <v>21861</v>
      </c>
      <c r="BY2051" t="s">
        <v>19362</v>
      </c>
      <c r="CA2051" t="s">
        <v>2917</v>
      </c>
      <c r="CB2051" t="s">
        <v>2030</v>
      </c>
      <c r="CC2051" s="8" t="str">
        <f>"57103"</f>
        <v>57103</v>
      </c>
      <c r="CD2051" t="s">
        <v>3161</v>
      </c>
      <c r="CE2051" t="s">
        <v>2151</v>
      </c>
      <c r="CF2051" s="12">
        <v>18.850000000000001</v>
      </c>
      <c r="CG2051" s="12">
        <v>21.85</v>
      </c>
      <c r="CH2051" s="12">
        <v>28.28</v>
      </c>
      <c r="CI2051" s="12">
        <v>32.78</v>
      </c>
      <c r="CJ2051" t="s">
        <v>135</v>
      </c>
      <c r="CK2051" t="s">
        <v>8852</v>
      </c>
      <c r="CL2051" t="s">
        <v>21862</v>
      </c>
      <c r="CO2051" t="s">
        <v>132</v>
      </c>
      <c r="CP2051" t="s">
        <v>114</v>
      </c>
      <c r="CQ2051" t="s">
        <v>114</v>
      </c>
      <c r="CR2051" t="s">
        <v>136</v>
      </c>
      <c r="CS2051" t="s">
        <v>136</v>
      </c>
      <c r="CT2051" t="s">
        <v>136</v>
      </c>
      <c r="CU2051" t="s">
        <v>136</v>
      </c>
      <c r="CV2051" s="2" t="s">
        <v>1021</v>
      </c>
      <c r="CW2051" s="10" t="str">
        <f>"+17576353808"</f>
        <v>+17576353808</v>
      </c>
      <c r="CX2051" t="s">
        <v>1022</v>
      </c>
      <c r="CY2051" t="s">
        <v>132</v>
      </c>
      <c r="CZ2051" t="s">
        <v>137</v>
      </c>
      <c r="DA2051" t="s">
        <v>114</v>
      </c>
      <c r="DB2051" t="s">
        <v>114</v>
      </c>
      <c r="DC2051" t="s">
        <v>136</v>
      </c>
      <c r="DD2051" t="s">
        <v>114</v>
      </c>
    </row>
    <row r="2052" spans="1:113" ht="15" customHeight="1" x14ac:dyDescent="0.25">
      <c r="A2052" t="s">
        <v>19359</v>
      </c>
      <c r="B2052" t="s">
        <v>113</v>
      </c>
      <c r="C2052" s="1">
        <v>45112.490009953704</v>
      </c>
      <c r="D2052" s="1">
        <v>45215</v>
      </c>
      <c r="E2052" t="s">
        <v>114</v>
      </c>
      <c r="F2052" t="s">
        <v>19360</v>
      </c>
      <c r="G2052" t="str">
        <f>"53-7064.00"</f>
        <v>53-7064.00</v>
      </c>
      <c r="H2052" t="s">
        <v>3138</v>
      </c>
      <c r="I2052">
        <v>35</v>
      </c>
      <c r="K2052" s="1">
        <v>45200</v>
      </c>
      <c r="L2052" s="1">
        <v>45504</v>
      </c>
      <c r="O2052" t="s">
        <v>116</v>
      </c>
      <c r="P2052" t="s">
        <v>19361</v>
      </c>
      <c r="Q2052" t="s">
        <v>1007</v>
      </c>
      <c r="R2052" t="s">
        <v>19362</v>
      </c>
      <c r="T2052" t="s">
        <v>2917</v>
      </c>
      <c r="U2052" t="s">
        <v>2030</v>
      </c>
      <c r="V2052" s="8" t="str">
        <f>"57103"</f>
        <v>57103</v>
      </c>
      <c r="W2052" t="s">
        <v>118</v>
      </c>
      <c r="Y2052" s="10">
        <v>17573754572</v>
      </c>
      <c r="AA2052">
        <v>311612</v>
      </c>
      <c r="AB2052" t="s">
        <v>1008</v>
      </c>
      <c r="AC2052" t="s">
        <v>1009</v>
      </c>
      <c r="AE2052" t="s">
        <v>1010</v>
      </c>
      <c r="AF2052" t="s">
        <v>1006</v>
      </c>
      <c r="AH2052" t="s">
        <v>1007</v>
      </c>
      <c r="AI2052" t="s">
        <v>581</v>
      </c>
      <c r="AJ2052" s="8" t="str">
        <f>"23430"</f>
        <v>23430</v>
      </c>
      <c r="AK2052" t="s">
        <v>118</v>
      </c>
      <c r="AM2052" s="10">
        <v>17573754572</v>
      </c>
      <c r="AO2052" t="s">
        <v>1011</v>
      </c>
      <c r="AP2052" t="s">
        <v>121</v>
      </c>
      <c r="AQ2052" t="s">
        <v>380</v>
      </c>
      <c r="AR2052" t="s">
        <v>381</v>
      </c>
      <c r="AT2052" t="s">
        <v>383</v>
      </c>
      <c r="AV2052" t="s">
        <v>385</v>
      </c>
      <c r="AW2052" t="s">
        <v>386</v>
      </c>
      <c r="AX2052" s="8" t="str">
        <f>"37122"</f>
        <v>37122</v>
      </c>
      <c r="AY2052" t="s">
        <v>118</v>
      </c>
      <c r="BA2052" s="10">
        <v>16154227130</v>
      </c>
      <c r="BC2052" t="s">
        <v>1012</v>
      </c>
      <c r="BD2052" t="s">
        <v>1013</v>
      </c>
      <c r="BE2052" t="s">
        <v>386</v>
      </c>
      <c r="BF2052" t="s">
        <v>389</v>
      </c>
      <c r="BG2052" t="s">
        <v>2030</v>
      </c>
      <c r="BH2052" s="1">
        <v>45111.833333333336</v>
      </c>
      <c r="BI2052">
        <v>40</v>
      </c>
      <c r="BJ2052">
        <v>0</v>
      </c>
      <c r="BK2052">
        <v>8</v>
      </c>
      <c r="BL2052">
        <v>8</v>
      </c>
      <c r="BM2052">
        <v>8</v>
      </c>
      <c r="BN2052">
        <v>8</v>
      </c>
      <c r="BO2052">
        <v>8</v>
      </c>
      <c r="BP2052">
        <v>0</v>
      </c>
      <c r="BQ2052" t="str">
        <f>"5:30 AM"</f>
        <v>5:30 AM</v>
      </c>
      <c r="BR2052" t="str">
        <f>"2:30 PM"</f>
        <v>2:30 PM</v>
      </c>
      <c r="BS2052" t="s">
        <v>131</v>
      </c>
      <c r="BT2052">
        <v>1</v>
      </c>
      <c r="BU2052">
        <v>0</v>
      </c>
      <c r="BV2052" t="s">
        <v>114</v>
      </c>
      <c r="BX2052" s="2" t="s">
        <v>19363</v>
      </c>
      <c r="BY2052" t="s">
        <v>19362</v>
      </c>
      <c r="CA2052" t="s">
        <v>2917</v>
      </c>
      <c r="CB2052" t="s">
        <v>2030</v>
      </c>
      <c r="CC2052" s="8" t="str">
        <f>"57103"</f>
        <v>57103</v>
      </c>
      <c r="CD2052" t="s">
        <v>3161</v>
      </c>
      <c r="CE2052" t="s">
        <v>2151</v>
      </c>
      <c r="CF2052" s="12">
        <v>18.850000000000001</v>
      </c>
      <c r="CG2052" s="12">
        <v>21.85</v>
      </c>
      <c r="CH2052" s="12">
        <v>28.28</v>
      </c>
      <c r="CI2052" s="12">
        <v>32.78</v>
      </c>
      <c r="CJ2052" t="s">
        <v>135</v>
      </c>
      <c r="CK2052" t="s">
        <v>19364</v>
      </c>
      <c r="CL2052" t="s">
        <v>19365</v>
      </c>
      <c r="CO2052" t="s">
        <v>132</v>
      </c>
      <c r="CP2052" t="s">
        <v>114</v>
      </c>
      <c r="CQ2052" t="s">
        <v>114</v>
      </c>
      <c r="CR2052" t="s">
        <v>136</v>
      </c>
      <c r="CS2052" t="s">
        <v>136</v>
      </c>
      <c r="CT2052" t="s">
        <v>136</v>
      </c>
      <c r="CU2052" t="s">
        <v>136</v>
      </c>
      <c r="CV2052" s="2" t="s">
        <v>1021</v>
      </c>
      <c r="CW2052" s="10" t="str">
        <f>"+17576353808"</f>
        <v>+17576353808</v>
      </c>
      <c r="CX2052" t="s">
        <v>1022</v>
      </c>
      <c r="CY2052" t="s">
        <v>132</v>
      </c>
      <c r="CZ2052" t="s">
        <v>137</v>
      </c>
      <c r="DA2052" t="s">
        <v>114</v>
      </c>
      <c r="DB2052" t="s">
        <v>114</v>
      </c>
      <c r="DC2052" t="s">
        <v>136</v>
      </c>
      <c r="DD2052" t="s">
        <v>114</v>
      </c>
    </row>
    <row r="2053" spans="1:113" ht="15" customHeight="1" x14ac:dyDescent="0.25">
      <c r="A2053" t="s">
        <v>11705</v>
      </c>
      <c r="B2053" t="s">
        <v>113</v>
      </c>
      <c r="C2053" s="1">
        <v>45111.745167476853</v>
      </c>
      <c r="D2053" s="1">
        <v>45215</v>
      </c>
      <c r="E2053" t="s">
        <v>114</v>
      </c>
      <c r="F2053" t="s">
        <v>11706</v>
      </c>
      <c r="G2053" t="str">
        <f>"51-3022.00"</f>
        <v>51-3022.00</v>
      </c>
      <c r="H2053" t="s">
        <v>1004</v>
      </c>
      <c r="I2053">
        <v>4</v>
      </c>
      <c r="K2053" s="1">
        <v>45200</v>
      </c>
      <c r="L2053" s="1">
        <v>45504</v>
      </c>
      <c r="O2053" t="s">
        <v>116</v>
      </c>
      <c r="P2053" t="s">
        <v>1005</v>
      </c>
      <c r="R2053" t="s">
        <v>1006</v>
      </c>
      <c r="T2053" t="s">
        <v>1007</v>
      </c>
      <c r="U2053" t="s">
        <v>581</v>
      </c>
      <c r="V2053" s="8" t="str">
        <f>"23430"</f>
        <v>23430</v>
      </c>
      <c r="W2053" t="s">
        <v>118</v>
      </c>
      <c r="Y2053" s="10">
        <v>17573754572</v>
      </c>
      <c r="AA2053">
        <v>311612</v>
      </c>
      <c r="AB2053" t="s">
        <v>1008</v>
      </c>
      <c r="AC2053" t="s">
        <v>1009</v>
      </c>
      <c r="AE2053" t="s">
        <v>1010</v>
      </c>
      <c r="AF2053" t="s">
        <v>1006</v>
      </c>
      <c r="AH2053" t="s">
        <v>1007</v>
      </c>
      <c r="AI2053" t="s">
        <v>581</v>
      </c>
      <c r="AJ2053" s="8" t="str">
        <f>"23430"</f>
        <v>23430</v>
      </c>
      <c r="AK2053" t="s">
        <v>118</v>
      </c>
      <c r="AM2053" s="10">
        <v>17573754572</v>
      </c>
      <c r="AO2053" t="s">
        <v>1011</v>
      </c>
      <c r="AP2053" t="s">
        <v>121</v>
      </c>
      <c r="AQ2053" t="s">
        <v>380</v>
      </c>
      <c r="AR2053" t="s">
        <v>381</v>
      </c>
      <c r="AT2053" t="s">
        <v>383</v>
      </c>
      <c r="AV2053" t="s">
        <v>385</v>
      </c>
      <c r="AW2053" t="s">
        <v>386</v>
      </c>
      <c r="AX2053" s="8" t="str">
        <f>"37122"</f>
        <v>37122</v>
      </c>
      <c r="AY2053" t="s">
        <v>118</v>
      </c>
      <c r="BA2053" s="10">
        <v>16154227130</v>
      </c>
      <c r="BC2053" t="s">
        <v>1012</v>
      </c>
      <c r="BD2053" t="s">
        <v>1013</v>
      </c>
      <c r="BE2053" t="s">
        <v>386</v>
      </c>
      <c r="BF2053" t="s">
        <v>389</v>
      </c>
      <c r="BG2053" t="s">
        <v>2090</v>
      </c>
      <c r="BH2053" s="1">
        <v>45110.833333333336</v>
      </c>
      <c r="BI2053">
        <v>40</v>
      </c>
      <c r="BJ2053">
        <v>0</v>
      </c>
      <c r="BK2053">
        <v>8</v>
      </c>
      <c r="BL2053">
        <v>8</v>
      </c>
      <c r="BM2053">
        <v>8</v>
      </c>
      <c r="BN2053">
        <v>8</v>
      </c>
      <c r="BO2053">
        <v>8</v>
      </c>
      <c r="BP2053">
        <v>0</v>
      </c>
      <c r="BQ2053" t="str">
        <f>"6:30 AM"</f>
        <v>6:30 AM</v>
      </c>
      <c r="BR2053" t="str">
        <f>"3:00 PM"</f>
        <v>3:00 PM</v>
      </c>
      <c r="BS2053" t="s">
        <v>131</v>
      </c>
      <c r="BT2053">
        <v>1</v>
      </c>
      <c r="BU2053">
        <v>0</v>
      </c>
      <c r="BV2053" t="s">
        <v>114</v>
      </c>
      <c r="BX2053" s="2" t="s">
        <v>11707</v>
      </c>
      <c r="BY2053" t="s">
        <v>8728</v>
      </c>
      <c r="CA2053" t="s">
        <v>8729</v>
      </c>
      <c r="CB2053" t="s">
        <v>2090</v>
      </c>
      <c r="CC2053" s="8" t="str">
        <f>"68333"</f>
        <v>68333</v>
      </c>
      <c r="CD2053" t="s">
        <v>8730</v>
      </c>
      <c r="CE2053" t="s">
        <v>2275</v>
      </c>
      <c r="CF2053" s="12">
        <v>18.3</v>
      </c>
      <c r="CG2053" s="12">
        <v>21.05</v>
      </c>
      <c r="CH2053" s="12">
        <v>27.45</v>
      </c>
      <c r="CI2053" s="12">
        <v>31.58</v>
      </c>
      <c r="CJ2053" t="s">
        <v>135</v>
      </c>
      <c r="CK2053" t="s">
        <v>8852</v>
      </c>
      <c r="CL2053" t="s">
        <v>11708</v>
      </c>
      <c r="CO2053" t="s">
        <v>132</v>
      </c>
      <c r="CP2053" t="s">
        <v>114</v>
      </c>
      <c r="CQ2053" t="s">
        <v>114</v>
      </c>
      <c r="CR2053" t="s">
        <v>136</v>
      </c>
      <c r="CS2053" t="s">
        <v>136</v>
      </c>
      <c r="CT2053" t="s">
        <v>136</v>
      </c>
      <c r="CU2053" t="s">
        <v>136</v>
      </c>
      <c r="CV2053" s="2" t="s">
        <v>1021</v>
      </c>
      <c r="CW2053" s="10" t="str">
        <f>"+17576353808"</f>
        <v>+17576353808</v>
      </c>
      <c r="CX2053" t="s">
        <v>1022</v>
      </c>
      <c r="CY2053" t="s">
        <v>132</v>
      </c>
      <c r="CZ2053" t="s">
        <v>137</v>
      </c>
      <c r="DA2053" t="s">
        <v>114</v>
      </c>
      <c r="DB2053" t="s">
        <v>114</v>
      </c>
      <c r="DC2053" t="s">
        <v>136</v>
      </c>
      <c r="DD2053" t="s">
        <v>114</v>
      </c>
    </row>
    <row r="2054" spans="1:113" ht="15" customHeight="1" x14ac:dyDescent="0.25">
      <c r="A2054" t="s">
        <v>15722</v>
      </c>
      <c r="B2054" t="s">
        <v>113</v>
      </c>
      <c r="C2054" s="1">
        <v>45111.696600115742</v>
      </c>
      <c r="D2054" s="1">
        <v>45215</v>
      </c>
      <c r="E2054" t="s">
        <v>114</v>
      </c>
      <c r="F2054" t="s">
        <v>15723</v>
      </c>
      <c r="G2054" t="str">
        <f>"51-3022.00"</f>
        <v>51-3022.00</v>
      </c>
      <c r="H2054" t="s">
        <v>1004</v>
      </c>
      <c r="I2054">
        <v>12</v>
      </c>
      <c r="K2054" s="1">
        <v>45200</v>
      </c>
      <c r="L2054" s="1">
        <v>45504</v>
      </c>
      <c r="O2054" t="s">
        <v>116</v>
      </c>
      <c r="P2054" t="s">
        <v>1005</v>
      </c>
      <c r="R2054" t="s">
        <v>1006</v>
      </c>
      <c r="T2054" t="s">
        <v>1007</v>
      </c>
      <c r="U2054" t="s">
        <v>581</v>
      </c>
      <c r="V2054" s="8" t="str">
        <f>"23430"</f>
        <v>23430</v>
      </c>
      <c r="W2054" t="s">
        <v>118</v>
      </c>
      <c r="Y2054" s="10">
        <v>17573754572</v>
      </c>
      <c r="AA2054">
        <v>311612</v>
      </c>
      <c r="AB2054" t="s">
        <v>1008</v>
      </c>
      <c r="AC2054" t="s">
        <v>1009</v>
      </c>
      <c r="AE2054" t="s">
        <v>1010</v>
      </c>
      <c r="AF2054" t="s">
        <v>1006</v>
      </c>
      <c r="AH2054" t="s">
        <v>1007</v>
      </c>
      <c r="AI2054" t="s">
        <v>581</v>
      </c>
      <c r="AJ2054" s="8" t="str">
        <f>"23430"</f>
        <v>23430</v>
      </c>
      <c r="AK2054" t="s">
        <v>118</v>
      </c>
      <c r="AM2054" s="10">
        <v>17573754572</v>
      </c>
      <c r="AO2054" t="s">
        <v>1011</v>
      </c>
      <c r="AP2054" t="s">
        <v>121</v>
      </c>
      <c r="AQ2054" t="s">
        <v>380</v>
      </c>
      <c r="AR2054" t="s">
        <v>381</v>
      </c>
      <c r="AT2054" t="s">
        <v>383</v>
      </c>
      <c r="AV2054" t="s">
        <v>385</v>
      </c>
      <c r="AW2054" t="s">
        <v>386</v>
      </c>
      <c r="AX2054" s="8" t="str">
        <f>"37122"</f>
        <v>37122</v>
      </c>
      <c r="AY2054" t="s">
        <v>118</v>
      </c>
      <c r="BA2054" s="10">
        <v>16154227130</v>
      </c>
      <c r="BC2054" t="s">
        <v>1012</v>
      </c>
      <c r="BD2054" t="s">
        <v>1013</v>
      </c>
      <c r="BE2054" t="s">
        <v>386</v>
      </c>
      <c r="BF2054" t="s">
        <v>389</v>
      </c>
      <c r="BG2054" t="s">
        <v>2090</v>
      </c>
      <c r="BH2054" s="1">
        <v>45110.833333333336</v>
      </c>
      <c r="BI2054">
        <v>40</v>
      </c>
      <c r="BJ2054">
        <v>0</v>
      </c>
      <c r="BK2054">
        <v>8</v>
      </c>
      <c r="BL2054">
        <v>8</v>
      </c>
      <c r="BM2054">
        <v>8</v>
      </c>
      <c r="BN2054">
        <v>8</v>
      </c>
      <c r="BO2054">
        <v>8</v>
      </c>
      <c r="BP2054">
        <v>0</v>
      </c>
      <c r="BQ2054" t="str">
        <f>"6:30 AM"</f>
        <v>6:30 AM</v>
      </c>
      <c r="BR2054" t="str">
        <f>"3:00 PM"</f>
        <v>3:00 PM</v>
      </c>
      <c r="BS2054" t="s">
        <v>131</v>
      </c>
      <c r="BT2054">
        <v>1</v>
      </c>
      <c r="BU2054">
        <v>0</v>
      </c>
      <c r="BV2054" t="s">
        <v>114</v>
      </c>
      <c r="BX2054" s="2" t="s">
        <v>15724</v>
      </c>
      <c r="BY2054" t="s">
        <v>8728</v>
      </c>
      <c r="CA2054" t="s">
        <v>8729</v>
      </c>
      <c r="CB2054" t="s">
        <v>2090</v>
      </c>
      <c r="CC2054" s="8" t="str">
        <f>"68333"</f>
        <v>68333</v>
      </c>
      <c r="CD2054" t="s">
        <v>8730</v>
      </c>
      <c r="CE2054" t="s">
        <v>2275</v>
      </c>
      <c r="CF2054" s="12">
        <v>18.3</v>
      </c>
      <c r="CG2054" s="12">
        <v>21.05</v>
      </c>
      <c r="CH2054" s="12">
        <v>27.45</v>
      </c>
      <c r="CI2054" s="12">
        <v>31.58</v>
      </c>
      <c r="CJ2054" t="s">
        <v>135</v>
      </c>
      <c r="CK2054" t="s">
        <v>15725</v>
      </c>
      <c r="CL2054" t="s">
        <v>15726</v>
      </c>
      <c r="CO2054" t="s">
        <v>132</v>
      </c>
      <c r="CP2054" t="s">
        <v>114</v>
      </c>
      <c r="CQ2054" t="s">
        <v>114</v>
      </c>
      <c r="CR2054" t="s">
        <v>136</v>
      </c>
      <c r="CS2054" t="s">
        <v>136</v>
      </c>
      <c r="CT2054" t="s">
        <v>136</v>
      </c>
      <c r="CU2054" t="s">
        <v>136</v>
      </c>
      <c r="CV2054" s="2" t="s">
        <v>1021</v>
      </c>
      <c r="CW2054" s="10" t="str">
        <f>"+17576353808"</f>
        <v>+17576353808</v>
      </c>
      <c r="CX2054" t="s">
        <v>1022</v>
      </c>
      <c r="CY2054" t="s">
        <v>132</v>
      </c>
      <c r="CZ2054" t="s">
        <v>137</v>
      </c>
      <c r="DA2054" t="s">
        <v>114</v>
      </c>
      <c r="DB2054" t="s">
        <v>114</v>
      </c>
      <c r="DC2054" t="s">
        <v>136</v>
      </c>
      <c r="DD2054" t="s">
        <v>114</v>
      </c>
    </row>
    <row r="2055" spans="1:113" ht="15" customHeight="1" x14ac:dyDescent="0.25">
      <c r="A2055" t="s">
        <v>20501</v>
      </c>
      <c r="B2055" t="s">
        <v>113</v>
      </c>
      <c r="C2055" s="1">
        <v>45111.689108680555</v>
      </c>
      <c r="D2055" s="1">
        <v>45215</v>
      </c>
      <c r="E2055" t="s">
        <v>114</v>
      </c>
      <c r="F2055" t="s">
        <v>20502</v>
      </c>
      <c r="G2055" t="str">
        <f>"51-3022.00"</f>
        <v>51-3022.00</v>
      </c>
      <c r="H2055" t="s">
        <v>1004</v>
      </c>
      <c r="I2055">
        <v>6</v>
      </c>
      <c r="K2055" s="1">
        <v>45200</v>
      </c>
      <c r="L2055" s="1">
        <v>45504</v>
      </c>
      <c r="O2055" t="s">
        <v>116</v>
      </c>
      <c r="P2055" t="s">
        <v>1005</v>
      </c>
      <c r="R2055" t="s">
        <v>1006</v>
      </c>
      <c r="T2055" t="s">
        <v>1007</v>
      </c>
      <c r="U2055" t="s">
        <v>581</v>
      </c>
      <c r="V2055" s="8" t="str">
        <f>"23430"</f>
        <v>23430</v>
      </c>
      <c r="W2055" t="s">
        <v>118</v>
      </c>
      <c r="Y2055" s="10">
        <v>17573754572</v>
      </c>
      <c r="AA2055">
        <v>311612</v>
      </c>
      <c r="AB2055" t="s">
        <v>1008</v>
      </c>
      <c r="AC2055" t="s">
        <v>1009</v>
      </c>
      <c r="AE2055" t="s">
        <v>1010</v>
      </c>
      <c r="AF2055" t="s">
        <v>1006</v>
      </c>
      <c r="AH2055" t="s">
        <v>1007</v>
      </c>
      <c r="AI2055" t="s">
        <v>581</v>
      </c>
      <c r="AJ2055" s="8" t="str">
        <f>"23430"</f>
        <v>23430</v>
      </c>
      <c r="AK2055" t="s">
        <v>118</v>
      </c>
      <c r="AM2055" s="10">
        <v>17573754572</v>
      </c>
      <c r="AO2055" t="s">
        <v>1011</v>
      </c>
      <c r="AP2055" t="s">
        <v>121</v>
      </c>
      <c r="AQ2055" t="s">
        <v>380</v>
      </c>
      <c r="AR2055" t="s">
        <v>381</v>
      </c>
      <c r="AT2055" t="s">
        <v>383</v>
      </c>
      <c r="AV2055" t="s">
        <v>385</v>
      </c>
      <c r="AW2055" t="s">
        <v>386</v>
      </c>
      <c r="AX2055" s="8" t="str">
        <f>"37122"</f>
        <v>37122</v>
      </c>
      <c r="AY2055" t="s">
        <v>118</v>
      </c>
      <c r="BA2055" s="10">
        <v>16154227130</v>
      </c>
      <c r="BC2055" t="s">
        <v>1012</v>
      </c>
      <c r="BD2055" t="s">
        <v>1013</v>
      </c>
      <c r="BE2055" t="s">
        <v>386</v>
      </c>
      <c r="BF2055" t="s">
        <v>389</v>
      </c>
      <c r="BG2055" t="s">
        <v>2090</v>
      </c>
      <c r="BH2055" s="1">
        <v>45110.833333333336</v>
      </c>
      <c r="BI2055">
        <v>40</v>
      </c>
      <c r="BJ2055">
        <v>0</v>
      </c>
      <c r="BK2055">
        <v>8</v>
      </c>
      <c r="BL2055">
        <v>8</v>
      </c>
      <c r="BM2055">
        <v>8</v>
      </c>
      <c r="BN2055">
        <v>8</v>
      </c>
      <c r="BO2055">
        <v>8</v>
      </c>
      <c r="BP2055">
        <v>0</v>
      </c>
      <c r="BQ2055" t="str">
        <f>"6:30 AM"</f>
        <v>6:30 AM</v>
      </c>
      <c r="BR2055" t="str">
        <f>"3:00 PM"</f>
        <v>3:00 PM</v>
      </c>
      <c r="BS2055" t="s">
        <v>131</v>
      </c>
      <c r="BT2055">
        <v>1</v>
      </c>
      <c r="BU2055">
        <v>0</v>
      </c>
      <c r="BV2055" t="s">
        <v>114</v>
      </c>
      <c r="BX2055" s="2" t="s">
        <v>20503</v>
      </c>
      <c r="BY2055" t="s">
        <v>8728</v>
      </c>
      <c r="CA2055" t="s">
        <v>8729</v>
      </c>
      <c r="CB2055" t="s">
        <v>2090</v>
      </c>
      <c r="CC2055" s="8" t="str">
        <f>"68333"</f>
        <v>68333</v>
      </c>
      <c r="CD2055" t="s">
        <v>8730</v>
      </c>
      <c r="CE2055" t="s">
        <v>2275</v>
      </c>
      <c r="CF2055" s="12">
        <v>18.3</v>
      </c>
      <c r="CG2055" s="12">
        <v>21.05</v>
      </c>
      <c r="CH2055" s="12">
        <v>27.45</v>
      </c>
      <c r="CI2055" s="12">
        <v>31.58</v>
      </c>
      <c r="CJ2055" t="s">
        <v>135</v>
      </c>
      <c r="CK2055" t="s">
        <v>20504</v>
      </c>
      <c r="CL2055" t="s">
        <v>20505</v>
      </c>
      <c r="CO2055" t="s">
        <v>132</v>
      </c>
      <c r="CP2055" t="s">
        <v>114</v>
      </c>
      <c r="CQ2055" t="s">
        <v>114</v>
      </c>
      <c r="CR2055" t="s">
        <v>136</v>
      </c>
      <c r="CS2055" t="s">
        <v>136</v>
      </c>
      <c r="CT2055" t="s">
        <v>136</v>
      </c>
      <c r="CU2055" t="s">
        <v>136</v>
      </c>
      <c r="CV2055" s="2" t="s">
        <v>1021</v>
      </c>
      <c r="CW2055" s="10" t="str">
        <f>"+17576353808"</f>
        <v>+17576353808</v>
      </c>
      <c r="CX2055" t="s">
        <v>20506</v>
      </c>
      <c r="CY2055" t="s">
        <v>132</v>
      </c>
      <c r="CZ2055" t="s">
        <v>137</v>
      </c>
      <c r="DA2055" t="s">
        <v>114</v>
      </c>
      <c r="DB2055" t="s">
        <v>114</v>
      </c>
      <c r="DC2055" t="s">
        <v>136</v>
      </c>
      <c r="DD2055" t="s">
        <v>114</v>
      </c>
    </row>
    <row r="2056" spans="1:113" ht="15" customHeight="1" x14ac:dyDescent="0.25">
      <c r="A2056" t="s">
        <v>18042</v>
      </c>
      <c r="B2056" t="s">
        <v>113</v>
      </c>
      <c r="C2056" s="1">
        <v>45111.613013773145</v>
      </c>
      <c r="D2056" s="1">
        <v>45215</v>
      </c>
      <c r="E2056" t="s">
        <v>114</v>
      </c>
      <c r="F2056" t="s">
        <v>11948</v>
      </c>
      <c r="G2056" t="str">
        <f>"51-3022.00"</f>
        <v>51-3022.00</v>
      </c>
      <c r="H2056" t="s">
        <v>1004</v>
      </c>
      <c r="I2056">
        <v>3</v>
      </c>
      <c r="K2056" s="1">
        <v>45200</v>
      </c>
      <c r="L2056" s="1">
        <v>45473</v>
      </c>
      <c r="O2056" t="s">
        <v>116</v>
      </c>
      <c r="P2056" t="s">
        <v>1005</v>
      </c>
      <c r="R2056" t="s">
        <v>1006</v>
      </c>
      <c r="T2056" t="s">
        <v>1007</v>
      </c>
      <c r="U2056" t="s">
        <v>581</v>
      </c>
      <c r="V2056" s="8" t="str">
        <f>"23430"</f>
        <v>23430</v>
      </c>
      <c r="W2056" t="s">
        <v>118</v>
      </c>
      <c r="Y2056" s="10">
        <v>17573754572</v>
      </c>
      <c r="AA2056">
        <v>311612</v>
      </c>
      <c r="AB2056" t="s">
        <v>1008</v>
      </c>
      <c r="AC2056" t="s">
        <v>1009</v>
      </c>
      <c r="AE2056" t="s">
        <v>1010</v>
      </c>
      <c r="AF2056" t="s">
        <v>1006</v>
      </c>
      <c r="AH2056" t="s">
        <v>1007</v>
      </c>
      <c r="AI2056" t="s">
        <v>581</v>
      </c>
      <c r="AJ2056" s="8" t="str">
        <f>"23430"</f>
        <v>23430</v>
      </c>
      <c r="AK2056" t="s">
        <v>118</v>
      </c>
      <c r="AM2056" s="10">
        <v>17573754572</v>
      </c>
      <c r="AO2056" t="s">
        <v>1011</v>
      </c>
      <c r="AP2056" t="s">
        <v>121</v>
      </c>
      <c r="AQ2056" t="s">
        <v>380</v>
      </c>
      <c r="AR2056" t="s">
        <v>381</v>
      </c>
      <c r="AT2056" t="s">
        <v>383</v>
      </c>
      <c r="AV2056" t="s">
        <v>385</v>
      </c>
      <c r="AW2056" t="s">
        <v>386</v>
      </c>
      <c r="AX2056" s="8" t="str">
        <f>"37122"</f>
        <v>37122</v>
      </c>
      <c r="AY2056" t="s">
        <v>118</v>
      </c>
      <c r="BA2056" s="10">
        <v>16154227130</v>
      </c>
      <c r="BC2056" t="s">
        <v>1012</v>
      </c>
      <c r="BD2056" t="s">
        <v>1013</v>
      </c>
      <c r="BE2056" t="s">
        <v>386</v>
      </c>
      <c r="BF2056" t="s">
        <v>389</v>
      </c>
      <c r="BG2056" t="s">
        <v>740</v>
      </c>
      <c r="BH2056" s="1">
        <v>45110.833333333336</v>
      </c>
      <c r="BI2056">
        <v>50</v>
      </c>
      <c r="BJ2056">
        <v>0</v>
      </c>
      <c r="BK2056">
        <v>10</v>
      </c>
      <c r="BL2056">
        <v>10</v>
      </c>
      <c r="BM2056">
        <v>10</v>
      </c>
      <c r="BN2056">
        <v>10</v>
      </c>
      <c r="BO2056">
        <v>10</v>
      </c>
      <c r="BP2056">
        <v>0</v>
      </c>
      <c r="BQ2056" t="str">
        <f>"6:30 AM"</f>
        <v>6:30 AM</v>
      </c>
      <c r="BR2056" t="str">
        <f>"5:00 PM"</f>
        <v>5:00 PM</v>
      </c>
      <c r="BS2056" t="s">
        <v>131</v>
      </c>
      <c r="BT2056">
        <v>1</v>
      </c>
      <c r="BU2056">
        <v>0</v>
      </c>
      <c r="BV2056" t="s">
        <v>114</v>
      </c>
      <c r="BX2056" t="s">
        <v>10322</v>
      </c>
      <c r="BY2056" t="s">
        <v>8871</v>
      </c>
      <c r="CA2056" t="s">
        <v>8872</v>
      </c>
      <c r="CB2056" t="s">
        <v>740</v>
      </c>
      <c r="CC2056" s="8" t="str">
        <f>"51442"</f>
        <v>51442</v>
      </c>
      <c r="CD2056" t="s">
        <v>8873</v>
      </c>
      <c r="CE2056" t="s">
        <v>8874</v>
      </c>
      <c r="CF2056" s="12">
        <v>18.600000000000001</v>
      </c>
      <c r="CG2056" s="12">
        <v>24.6</v>
      </c>
      <c r="CH2056" s="12">
        <v>27.9</v>
      </c>
      <c r="CI2056" s="12">
        <v>36.9</v>
      </c>
      <c r="CJ2056" t="s">
        <v>135</v>
      </c>
      <c r="CK2056" t="s">
        <v>18043</v>
      </c>
      <c r="CL2056" t="s">
        <v>18044</v>
      </c>
      <c r="CO2056" t="s">
        <v>132</v>
      </c>
      <c r="CP2056" t="s">
        <v>114</v>
      </c>
      <c r="CQ2056" t="s">
        <v>114</v>
      </c>
      <c r="CR2056" t="s">
        <v>136</v>
      </c>
      <c r="CS2056" t="s">
        <v>136</v>
      </c>
      <c r="CT2056" t="s">
        <v>136</v>
      </c>
      <c r="CU2056" t="s">
        <v>136</v>
      </c>
      <c r="CV2056" s="2" t="s">
        <v>1021</v>
      </c>
      <c r="CW2056" s="10" t="str">
        <f>"+17576353808"</f>
        <v>+17576353808</v>
      </c>
      <c r="CX2056" t="s">
        <v>1022</v>
      </c>
      <c r="CY2056" t="s">
        <v>132</v>
      </c>
      <c r="CZ2056" t="s">
        <v>137</v>
      </c>
      <c r="DA2056" t="s">
        <v>114</v>
      </c>
      <c r="DB2056" t="s">
        <v>114</v>
      </c>
      <c r="DC2056" t="s">
        <v>136</v>
      </c>
      <c r="DD2056" t="s">
        <v>114</v>
      </c>
    </row>
    <row r="2057" spans="1:113" ht="15" customHeight="1" x14ac:dyDescent="0.25">
      <c r="A2057" t="s">
        <v>17370</v>
      </c>
      <c r="B2057" t="s">
        <v>113</v>
      </c>
      <c r="C2057" s="1">
        <v>45111.603360879628</v>
      </c>
      <c r="D2057" s="1">
        <v>45215</v>
      </c>
      <c r="E2057" t="s">
        <v>114</v>
      </c>
      <c r="F2057" t="s">
        <v>17371</v>
      </c>
      <c r="G2057" t="str">
        <f>"51-3022.00"</f>
        <v>51-3022.00</v>
      </c>
      <c r="H2057" t="s">
        <v>1004</v>
      </c>
      <c r="I2057">
        <v>3</v>
      </c>
      <c r="K2057" s="1">
        <v>45200</v>
      </c>
      <c r="L2057" s="1">
        <v>45473</v>
      </c>
      <c r="O2057" t="s">
        <v>116</v>
      </c>
      <c r="P2057" t="s">
        <v>1005</v>
      </c>
      <c r="R2057" t="s">
        <v>1006</v>
      </c>
      <c r="T2057" t="s">
        <v>1007</v>
      </c>
      <c r="U2057" t="s">
        <v>581</v>
      </c>
      <c r="V2057" s="8" t="str">
        <f>"23430"</f>
        <v>23430</v>
      </c>
      <c r="W2057" t="s">
        <v>118</v>
      </c>
      <c r="Y2057" s="10">
        <v>17573754572</v>
      </c>
      <c r="AA2057">
        <v>311612</v>
      </c>
      <c r="AB2057" t="s">
        <v>1008</v>
      </c>
      <c r="AC2057" t="s">
        <v>1009</v>
      </c>
      <c r="AE2057" t="s">
        <v>1010</v>
      </c>
      <c r="AF2057" t="s">
        <v>1006</v>
      </c>
      <c r="AH2057" t="s">
        <v>1007</v>
      </c>
      <c r="AI2057" t="s">
        <v>581</v>
      </c>
      <c r="AJ2057" s="8" t="str">
        <f>"23430"</f>
        <v>23430</v>
      </c>
      <c r="AK2057" t="s">
        <v>118</v>
      </c>
      <c r="AM2057" s="10">
        <v>17573754572</v>
      </c>
      <c r="AO2057" t="s">
        <v>1011</v>
      </c>
      <c r="AP2057" t="s">
        <v>121</v>
      </c>
      <c r="AQ2057" t="s">
        <v>380</v>
      </c>
      <c r="AR2057" t="s">
        <v>381</v>
      </c>
      <c r="AT2057" t="s">
        <v>383</v>
      </c>
      <c r="AV2057" t="s">
        <v>385</v>
      </c>
      <c r="AW2057" t="s">
        <v>386</v>
      </c>
      <c r="AX2057" s="8" t="str">
        <f>"37122"</f>
        <v>37122</v>
      </c>
      <c r="AY2057" t="s">
        <v>118</v>
      </c>
      <c r="BA2057" s="10">
        <v>16154227130</v>
      </c>
      <c r="BC2057" t="s">
        <v>1012</v>
      </c>
      <c r="BD2057" t="s">
        <v>1013</v>
      </c>
      <c r="BE2057" t="s">
        <v>386</v>
      </c>
      <c r="BF2057" t="s">
        <v>389</v>
      </c>
      <c r="BG2057" t="s">
        <v>740</v>
      </c>
      <c r="BH2057" s="1">
        <v>45110.833333333336</v>
      </c>
      <c r="BI2057">
        <v>45</v>
      </c>
      <c r="BJ2057">
        <v>0</v>
      </c>
      <c r="BK2057">
        <v>9</v>
      </c>
      <c r="BL2057">
        <v>9</v>
      </c>
      <c r="BM2057">
        <v>9</v>
      </c>
      <c r="BN2057">
        <v>9</v>
      </c>
      <c r="BO2057">
        <v>9</v>
      </c>
      <c r="BP2057">
        <v>0</v>
      </c>
      <c r="BQ2057" t="str">
        <f>"6:00 AM"</f>
        <v>6:00 AM</v>
      </c>
      <c r="BR2057" t="str">
        <f>"4:00 PM"</f>
        <v>4:00 PM</v>
      </c>
      <c r="BS2057" t="s">
        <v>131</v>
      </c>
      <c r="BT2057">
        <v>1</v>
      </c>
      <c r="BU2057">
        <v>0</v>
      </c>
      <c r="BV2057" t="s">
        <v>114</v>
      </c>
      <c r="BX2057" t="s">
        <v>10322</v>
      </c>
      <c r="BY2057" t="s">
        <v>8871</v>
      </c>
      <c r="CA2057" t="s">
        <v>8872</v>
      </c>
      <c r="CB2057" t="s">
        <v>740</v>
      </c>
      <c r="CC2057" s="8" t="str">
        <f>"51442"</f>
        <v>51442</v>
      </c>
      <c r="CD2057" t="s">
        <v>8873</v>
      </c>
      <c r="CE2057" t="s">
        <v>8874</v>
      </c>
      <c r="CF2057" s="12">
        <v>18.600000000000001</v>
      </c>
      <c r="CG2057" s="12">
        <v>23.25</v>
      </c>
      <c r="CH2057" s="12">
        <v>27.9</v>
      </c>
      <c r="CI2057" s="12">
        <v>34.880000000000003</v>
      </c>
      <c r="CJ2057" t="s">
        <v>135</v>
      </c>
      <c r="CK2057" t="s">
        <v>8852</v>
      </c>
      <c r="CL2057" t="s">
        <v>17372</v>
      </c>
      <c r="CO2057" t="s">
        <v>132</v>
      </c>
      <c r="CP2057" t="s">
        <v>114</v>
      </c>
      <c r="CQ2057" t="s">
        <v>114</v>
      </c>
      <c r="CR2057" t="s">
        <v>136</v>
      </c>
      <c r="CS2057" t="s">
        <v>136</v>
      </c>
      <c r="CT2057" t="s">
        <v>136</v>
      </c>
      <c r="CU2057" t="s">
        <v>136</v>
      </c>
      <c r="CV2057" s="2" t="s">
        <v>1021</v>
      </c>
      <c r="CW2057" s="10" t="str">
        <f>"+17576353808"</f>
        <v>+17576353808</v>
      </c>
      <c r="CX2057" t="s">
        <v>1022</v>
      </c>
      <c r="CY2057" t="s">
        <v>132</v>
      </c>
      <c r="CZ2057" t="s">
        <v>137</v>
      </c>
      <c r="DA2057" t="s">
        <v>114</v>
      </c>
      <c r="DB2057" t="s">
        <v>114</v>
      </c>
      <c r="DC2057" t="s">
        <v>136</v>
      </c>
      <c r="DD2057" t="s">
        <v>114</v>
      </c>
    </row>
    <row r="2058" spans="1:113" ht="15" customHeight="1" x14ac:dyDescent="0.25">
      <c r="A2058" t="s">
        <v>12948</v>
      </c>
      <c r="B2058" t="s">
        <v>113</v>
      </c>
      <c r="C2058" s="1">
        <v>45110.660991435187</v>
      </c>
      <c r="D2058" s="1">
        <v>45215</v>
      </c>
      <c r="E2058" t="s">
        <v>114</v>
      </c>
      <c r="F2058" t="s">
        <v>12949</v>
      </c>
      <c r="G2058" t="str">
        <f>"51-3022.00"</f>
        <v>51-3022.00</v>
      </c>
      <c r="H2058" t="s">
        <v>1004</v>
      </c>
      <c r="I2058">
        <v>10</v>
      </c>
      <c r="K2058" s="1">
        <v>45200</v>
      </c>
      <c r="L2058" s="1">
        <v>45473</v>
      </c>
      <c r="O2058" t="s">
        <v>116</v>
      </c>
      <c r="P2058" t="s">
        <v>1005</v>
      </c>
      <c r="R2058" t="s">
        <v>1006</v>
      </c>
      <c r="T2058" t="s">
        <v>1007</v>
      </c>
      <c r="U2058" t="s">
        <v>581</v>
      </c>
      <c r="V2058" s="8" t="str">
        <f>"23430"</f>
        <v>23430</v>
      </c>
      <c r="W2058" t="s">
        <v>118</v>
      </c>
      <c r="Y2058" s="10">
        <v>17573754572</v>
      </c>
      <c r="AA2058">
        <v>311612</v>
      </c>
      <c r="AB2058" t="s">
        <v>1008</v>
      </c>
      <c r="AC2058" t="s">
        <v>1009</v>
      </c>
      <c r="AE2058" t="s">
        <v>1010</v>
      </c>
      <c r="AF2058" t="s">
        <v>1006</v>
      </c>
      <c r="AH2058" t="s">
        <v>1007</v>
      </c>
      <c r="AI2058" t="s">
        <v>581</v>
      </c>
      <c r="AJ2058" s="8" t="str">
        <f>"23430"</f>
        <v>23430</v>
      </c>
      <c r="AK2058" t="s">
        <v>118</v>
      </c>
      <c r="AM2058" s="10">
        <v>17573754572</v>
      </c>
      <c r="AO2058" t="s">
        <v>1011</v>
      </c>
      <c r="AP2058" t="s">
        <v>121</v>
      </c>
      <c r="AQ2058" t="s">
        <v>380</v>
      </c>
      <c r="AR2058" t="s">
        <v>381</v>
      </c>
      <c r="AT2058" t="s">
        <v>383</v>
      </c>
      <c r="AV2058" t="s">
        <v>385</v>
      </c>
      <c r="AW2058" t="s">
        <v>386</v>
      </c>
      <c r="AX2058" s="8" t="str">
        <f>"37122"</f>
        <v>37122</v>
      </c>
      <c r="AY2058" t="s">
        <v>118</v>
      </c>
      <c r="BA2058" s="10">
        <v>16154227130</v>
      </c>
      <c r="BC2058" t="s">
        <v>1012</v>
      </c>
      <c r="BD2058" t="s">
        <v>1013</v>
      </c>
      <c r="BE2058" t="s">
        <v>386</v>
      </c>
      <c r="BF2058" t="s">
        <v>389</v>
      </c>
      <c r="BG2058" t="s">
        <v>117</v>
      </c>
      <c r="BH2058" s="1">
        <v>45109.833333333336</v>
      </c>
      <c r="BI2058">
        <v>45</v>
      </c>
      <c r="BJ2058">
        <v>0</v>
      </c>
      <c r="BK2058">
        <v>9</v>
      </c>
      <c r="BL2058">
        <v>9</v>
      </c>
      <c r="BM2058">
        <v>9</v>
      </c>
      <c r="BN2058">
        <v>9</v>
      </c>
      <c r="BO2058">
        <v>9</v>
      </c>
      <c r="BP2058">
        <v>0</v>
      </c>
      <c r="BQ2058" t="str">
        <f>"6:15 AM"</f>
        <v>6:15 AM</v>
      </c>
      <c r="BR2058" t="str">
        <f>"11:30 PM"</f>
        <v>11:30 PM</v>
      </c>
      <c r="BS2058" t="s">
        <v>131</v>
      </c>
      <c r="BT2058">
        <v>1</v>
      </c>
      <c r="BU2058">
        <v>0</v>
      </c>
      <c r="BV2058" t="s">
        <v>114</v>
      </c>
      <c r="BX2058" s="2" t="s">
        <v>12950</v>
      </c>
      <c r="BY2058" t="s">
        <v>1015</v>
      </c>
      <c r="CA2058" t="s">
        <v>1016</v>
      </c>
      <c r="CB2058" t="s">
        <v>117</v>
      </c>
      <c r="CC2058" s="8" t="str">
        <f>"61462"</f>
        <v>61462</v>
      </c>
      <c r="CD2058" t="s">
        <v>1017</v>
      </c>
      <c r="CE2058" t="s">
        <v>1018</v>
      </c>
      <c r="CF2058" s="12">
        <v>16.41</v>
      </c>
      <c r="CG2058" s="12">
        <v>28.57</v>
      </c>
      <c r="CH2058" s="12">
        <v>24.62</v>
      </c>
      <c r="CI2058" s="12">
        <v>42.86</v>
      </c>
      <c r="CJ2058" t="s">
        <v>135</v>
      </c>
      <c r="CK2058" t="s">
        <v>12951</v>
      </c>
      <c r="CL2058" t="s">
        <v>12952</v>
      </c>
      <c r="CO2058" t="s">
        <v>132</v>
      </c>
      <c r="CP2058" t="s">
        <v>114</v>
      </c>
      <c r="CQ2058" t="s">
        <v>114</v>
      </c>
      <c r="CR2058" t="s">
        <v>136</v>
      </c>
      <c r="CS2058" t="s">
        <v>136</v>
      </c>
      <c r="CT2058" t="s">
        <v>136</v>
      </c>
      <c r="CU2058" t="s">
        <v>136</v>
      </c>
      <c r="CV2058" s="2" t="s">
        <v>1021</v>
      </c>
      <c r="CW2058" s="10" t="str">
        <f>"+17576353808"</f>
        <v>+17576353808</v>
      </c>
      <c r="CX2058" t="s">
        <v>1022</v>
      </c>
      <c r="CY2058" t="s">
        <v>132</v>
      </c>
      <c r="CZ2058" t="s">
        <v>137</v>
      </c>
      <c r="DA2058" t="s">
        <v>114</v>
      </c>
      <c r="DB2058" t="s">
        <v>114</v>
      </c>
      <c r="DC2058" t="s">
        <v>136</v>
      </c>
      <c r="DD2058" t="s">
        <v>114</v>
      </c>
    </row>
    <row r="2059" spans="1:113" ht="15" customHeight="1" x14ac:dyDescent="0.25">
      <c r="A2059" t="s">
        <v>21462</v>
      </c>
      <c r="B2059" t="s">
        <v>113</v>
      </c>
      <c r="C2059" s="1">
        <v>45110.516856481481</v>
      </c>
      <c r="D2059" s="1">
        <v>45215</v>
      </c>
      <c r="E2059" t="s">
        <v>114</v>
      </c>
      <c r="F2059" t="s">
        <v>21463</v>
      </c>
      <c r="G2059" t="str">
        <f>"51-3022.00"</f>
        <v>51-3022.00</v>
      </c>
      <c r="H2059" t="s">
        <v>1004</v>
      </c>
      <c r="I2059">
        <v>4</v>
      </c>
      <c r="K2059" s="1">
        <v>45200</v>
      </c>
      <c r="L2059" s="1">
        <v>45473</v>
      </c>
      <c r="O2059" t="s">
        <v>116</v>
      </c>
      <c r="P2059" t="s">
        <v>1005</v>
      </c>
      <c r="R2059" t="s">
        <v>1006</v>
      </c>
      <c r="T2059" t="s">
        <v>1007</v>
      </c>
      <c r="U2059" t="s">
        <v>581</v>
      </c>
      <c r="V2059" s="8" t="str">
        <f>"23430"</f>
        <v>23430</v>
      </c>
      <c r="W2059" t="s">
        <v>118</v>
      </c>
      <c r="Y2059" s="10">
        <v>17573754572</v>
      </c>
      <c r="AA2059">
        <v>311612</v>
      </c>
      <c r="AB2059" t="s">
        <v>1008</v>
      </c>
      <c r="AC2059" t="s">
        <v>1009</v>
      </c>
      <c r="AE2059" t="s">
        <v>1010</v>
      </c>
      <c r="AF2059" t="s">
        <v>1006</v>
      </c>
      <c r="AH2059" t="s">
        <v>1007</v>
      </c>
      <c r="AI2059" t="s">
        <v>581</v>
      </c>
      <c r="AJ2059" s="8" t="str">
        <f>"23430"</f>
        <v>23430</v>
      </c>
      <c r="AK2059" t="s">
        <v>118</v>
      </c>
      <c r="AM2059" s="10">
        <v>17573754572</v>
      </c>
      <c r="AO2059" t="s">
        <v>1011</v>
      </c>
      <c r="AP2059" t="s">
        <v>121</v>
      </c>
      <c r="AQ2059" t="s">
        <v>380</v>
      </c>
      <c r="AR2059" t="s">
        <v>381</v>
      </c>
      <c r="AT2059" t="s">
        <v>383</v>
      </c>
      <c r="AV2059" t="s">
        <v>385</v>
      </c>
      <c r="AW2059" t="s">
        <v>386</v>
      </c>
      <c r="AX2059" s="8" t="str">
        <f>"37122"</f>
        <v>37122</v>
      </c>
      <c r="AY2059" t="s">
        <v>118</v>
      </c>
      <c r="BA2059" s="10">
        <v>16154227130</v>
      </c>
      <c r="BC2059" t="s">
        <v>1012</v>
      </c>
      <c r="BD2059" t="s">
        <v>1013</v>
      </c>
      <c r="BE2059" t="s">
        <v>386</v>
      </c>
      <c r="BF2059" t="s">
        <v>389</v>
      </c>
      <c r="BG2059" t="s">
        <v>984</v>
      </c>
      <c r="BH2059" s="1">
        <v>45109.833333333336</v>
      </c>
      <c r="BI2059">
        <v>40</v>
      </c>
      <c r="BJ2059">
        <v>0</v>
      </c>
      <c r="BK2059">
        <v>8</v>
      </c>
      <c r="BL2059">
        <v>8</v>
      </c>
      <c r="BM2059">
        <v>8</v>
      </c>
      <c r="BN2059">
        <v>8</v>
      </c>
      <c r="BO2059">
        <v>8</v>
      </c>
      <c r="BP2059">
        <v>0</v>
      </c>
      <c r="BQ2059" t="str">
        <f>"6:15 AM"</f>
        <v>6:15 AM</v>
      </c>
      <c r="BR2059" t="str">
        <f>"2:30 PM"</f>
        <v>2:30 PM</v>
      </c>
      <c r="BS2059" t="s">
        <v>131</v>
      </c>
      <c r="BT2059">
        <v>1</v>
      </c>
      <c r="BU2059">
        <v>0</v>
      </c>
      <c r="BV2059" t="s">
        <v>114</v>
      </c>
      <c r="BX2059" t="s">
        <v>4589</v>
      </c>
      <c r="BY2059" t="s">
        <v>4590</v>
      </c>
      <c r="CA2059" t="s">
        <v>4591</v>
      </c>
      <c r="CB2059" t="s">
        <v>984</v>
      </c>
      <c r="CC2059" s="8" t="str">
        <f>"63556"</f>
        <v>63556</v>
      </c>
      <c r="CD2059" t="s">
        <v>4592</v>
      </c>
      <c r="CE2059" t="s">
        <v>4593</v>
      </c>
      <c r="CF2059" s="12">
        <v>17.18</v>
      </c>
      <c r="CG2059" s="12">
        <v>32.700000000000003</v>
      </c>
      <c r="CH2059" s="12">
        <v>25.77</v>
      </c>
      <c r="CI2059" s="12">
        <v>49.05</v>
      </c>
      <c r="CJ2059" t="s">
        <v>135</v>
      </c>
      <c r="CK2059" t="s">
        <v>15587</v>
      </c>
      <c r="CL2059" t="s">
        <v>21464</v>
      </c>
      <c r="CO2059" t="s">
        <v>132</v>
      </c>
      <c r="CP2059" t="s">
        <v>114</v>
      </c>
      <c r="CQ2059" t="s">
        <v>114</v>
      </c>
      <c r="CR2059" t="s">
        <v>136</v>
      </c>
      <c r="CS2059" t="s">
        <v>136</v>
      </c>
      <c r="CT2059" t="s">
        <v>136</v>
      </c>
      <c r="CU2059" t="s">
        <v>136</v>
      </c>
      <c r="CV2059" s="2" t="s">
        <v>1021</v>
      </c>
      <c r="CW2059" s="10" t="str">
        <f>"+17576353808"</f>
        <v>+17576353808</v>
      </c>
      <c r="CX2059" t="s">
        <v>1022</v>
      </c>
      <c r="CY2059" t="s">
        <v>132</v>
      </c>
      <c r="CZ2059" t="s">
        <v>137</v>
      </c>
      <c r="DA2059" t="s">
        <v>114</v>
      </c>
      <c r="DB2059" t="s">
        <v>114</v>
      </c>
      <c r="DC2059" t="s">
        <v>136</v>
      </c>
      <c r="DD2059" t="s">
        <v>114</v>
      </c>
    </row>
    <row r="2060" spans="1:113" ht="15" customHeight="1" x14ac:dyDescent="0.25">
      <c r="A2060" t="s">
        <v>309</v>
      </c>
      <c r="B2060" t="s">
        <v>113</v>
      </c>
      <c r="C2060" s="1">
        <v>45139.558776388891</v>
      </c>
      <c r="D2060" s="1">
        <v>45212</v>
      </c>
      <c r="E2060" t="s">
        <v>114</v>
      </c>
      <c r="F2060" t="s">
        <v>310</v>
      </c>
      <c r="G2060" t="str">
        <f>"47-2022.00"</f>
        <v>47-2022.00</v>
      </c>
      <c r="H2060" t="s">
        <v>311</v>
      </c>
      <c r="I2060">
        <v>10</v>
      </c>
      <c r="K2060" s="1">
        <v>45215</v>
      </c>
      <c r="L2060" s="1">
        <v>45443</v>
      </c>
      <c r="O2060" t="s">
        <v>238</v>
      </c>
      <c r="P2060" t="s">
        <v>312</v>
      </c>
      <c r="R2060" t="s">
        <v>313</v>
      </c>
      <c r="T2060" t="s">
        <v>314</v>
      </c>
      <c r="U2060" t="s">
        <v>127</v>
      </c>
      <c r="V2060" s="8" t="str">
        <f>"78745"</f>
        <v>78745</v>
      </c>
      <c r="W2060" t="s">
        <v>118</v>
      </c>
      <c r="Y2060" s="10">
        <v>15127123825</v>
      </c>
      <c r="AA2060">
        <v>23814</v>
      </c>
      <c r="AB2060" t="s">
        <v>315</v>
      </c>
      <c r="AC2060" t="s">
        <v>316</v>
      </c>
      <c r="AE2060" t="s">
        <v>317</v>
      </c>
      <c r="AF2060" t="s">
        <v>318</v>
      </c>
      <c r="AG2060" t="s">
        <v>319</v>
      </c>
      <c r="AH2060" t="s">
        <v>320</v>
      </c>
      <c r="AI2060" t="s">
        <v>127</v>
      </c>
      <c r="AJ2060" s="8" t="str">
        <f>"78745"</f>
        <v>78745</v>
      </c>
      <c r="AK2060" t="s">
        <v>118</v>
      </c>
      <c r="AM2060" s="10">
        <v>15127123825</v>
      </c>
      <c r="AO2060" t="s">
        <v>321</v>
      </c>
      <c r="AX2060" s="8" t="str">
        <f>""</f>
        <v/>
      </c>
      <c r="BG2060" t="s">
        <v>127</v>
      </c>
      <c r="BH2060" s="1">
        <v>45138.833333333336</v>
      </c>
      <c r="BI2060">
        <v>40</v>
      </c>
      <c r="BJ2060">
        <v>0</v>
      </c>
      <c r="BK2060">
        <v>8</v>
      </c>
      <c r="BL2060">
        <v>8</v>
      </c>
      <c r="BM2060">
        <v>8</v>
      </c>
      <c r="BN2060">
        <v>8</v>
      </c>
      <c r="BO2060">
        <v>8</v>
      </c>
      <c r="BP2060">
        <v>0</v>
      </c>
      <c r="BQ2060" t="str">
        <f>"8:00 AM"</f>
        <v>8:00 AM</v>
      </c>
      <c r="BR2060" t="str">
        <f>"4:00 PM"</f>
        <v>4:00 PM</v>
      </c>
      <c r="BS2060" t="s">
        <v>131</v>
      </c>
      <c r="BT2060">
        <v>0</v>
      </c>
      <c r="BU2060">
        <v>0</v>
      </c>
      <c r="BV2060" t="s">
        <v>114</v>
      </c>
      <c r="BX2060" t="s">
        <v>322</v>
      </c>
      <c r="BY2060" t="s">
        <v>313</v>
      </c>
      <c r="CA2060" t="s">
        <v>314</v>
      </c>
      <c r="CB2060" t="s">
        <v>127</v>
      </c>
      <c r="CC2060" s="8" t="str">
        <f>"78660"</f>
        <v>78660</v>
      </c>
      <c r="CD2060" t="s">
        <v>323</v>
      </c>
      <c r="CE2060" t="s">
        <v>324</v>
      </c>
      <c r="CF2060" s="12">
        <v>19.399999999999999</v>
      </c>
      <c r="CG2060" s="12">
        <v>19.8</v>
      </c>
      <c r="CH2060" s="12">
        <v>30</v>
      </c>
      <c r="CI2060" s="12">
        <v>32</v>
      </c>
      <c r="CJ2060" t="s">
        <v>135</v>
      </c>
      <c r="CL2060" t="s">
        <v>325</v>
      </c>
      <c r="CO2060" t="s">
        <v>132</v>
      </c>
      <c r="CP2060" t="s">
        <v>114</v>
      </c>
      <c r="CQ2060" t="s">
        <v>114</v>
      </c>
      <c r="CR2060" t="s">
        <v>136</v>
      </c>
      <c r="CS2060" t="s">
        <v>136</v>
      </c>
      <c r="CT2060" t="s">
        <v>136</v>
      </c>
      <c r="CU2060" t="s">
        <v>114</v>
      </c>
      <c r="CV2060" t="s">
        <v>131</v>
      </c>
      <c r="CW2060" s="10" t="str">
        <f>"+14693974029"</f>
        <v>+14693974029</v>
      </c>
      <c r="CX2060" t="s">
        <v>326</v>
      </c>
      <c r="CY2060" t="s">
        <v>132</v>
      </c>
      <c r="CZ2060" t="s">
        <v>137</v>
      </c>
      <c r="DA2060" t="s">
        <v>114</v>
      </c>
      <c r="DB2060" t="s">
        <v>114</v>
      </c>
      <c r="DC2060" t="s">
        <v>136</v>
      </c>
      <c r="DD2060" t="s">
        <v>114</v>
      </c>
    </row>
    <row r="2061" spans="1:113" ht="15" customHeight="1" x14ac:dyDescent="0.25">
      <c r="A2061" t="s">
        <v>646</v>
      </c>
      <c r="B2061" t="s">
        <v>113</v>
      </c>
      <c r="C2061" s="1">
        <v>45136.498308680559</v>
      </c>
      <c r="D2061" s="1">
        <v>45212</v>
      </c>
      <c r="E2061" t="s">
        <v>114</v>
      </c>
      <c r="F2061" t="s">
        <v>647</v>
      </c>
      <c r="G2061" t="str">
        <f>"11-9021.00"</f>
        <v>11-9021.00</v>
      </c>
      <c r="H2061" t="s">
        <v>648</v>
      </c>
      <c r="I2061">
        <v>1</v>
      </c>
      <c r="K2061" s="1">
        <v>45212</v>
      </c>
      <c r="L2061" s="1">
        <v>45545</v>
      </c>
      <c r="O2061" t="s">
        <v>184</v>
      </c>
      <c r="P2061" t="s">
        <v>649</v>
      </c>
      <c r="R2061" t="s">
        <v>650</v>
      </c>
      <c r="T2061" t="s">
        <v>651</v>
      </c>
      <c r="U2061" t="s">
        <v>127</v>
      </c>
      <c r="V2061" s="8" t="str">
        <f>"78570"</f>
        <v>78570</v>
      </c>
      <c r="W2061" t="s">
        <v>118</v>
      </c>
      <c r="Y2061" s="10">
        <v>19565619587</v>
      </c>
      <c r="AA2061">
        <v>561110</v>
      </c>
      <c r="AB2061" t="s">
        <v>652</v>
      </c>
      <c r="AC2061" t="s">
        <v>653</v>
      </c>
      <c r="AE2061" t="s">
        <v>654</v>
      </c>
      <c r="AF2061" t="s">
        <v>655</v>
      </c>
      <c r="AH2061" t="s">
        <v>656</v>
      </c>
      <c r="AI2061" t="s">
        <v>127</v>
      </c>
      <c r="AJ2061" s="8" t="str">
        <f>"78570"</f>
        <v>78570</v>
      </c>
      <c r="AK2061" t="s">
        <v>118</v>
      </c>
      <c r="AM2061" s="10">
        <v>19565619587</v>
      </c>
      <c r="AO2061" t="s">
        <v>657</v>
      </c>
      <c r="AX2061" s="8" t="str">
        <f>""</f>
        <v/>
      </c>
      <c r="BG2061" t="s">
        <v>127</v>
      </c>
      <c r="BH2061" s="1">
        <v>45103.833333333336</v>
      </c>
      <c r="BI2061">
        <v>44</v>
      </c>
      <c r="BJ2061">
        <v>1</v>
      </c>
      <c r="BK2061">
        <v>8</v>
      </c>
      <c r="BL2061">
        <v>8</v>
      </c>
      <c r="BM2061">
        <v>8</v>
      </c>
      <c r="BN2061">
        <v>8</v>
      </c>
      <c r="BO2061">
        <v>8</v>
      </c>
      <c r="BP2061">
        <v>3</v>
      </c>
      <c r="BQ2061" t="str">
        <f>"8:00 AM"</f>
        <v>8:00 AM</v>
      </c>
      <c r="BR2061" t="str">
        <f>"5:00 PM"</f>
        <v>5:00 PM</v>
      </c>
      <c r="BS2061" t="s">
        <v>147</v>
      </c>
      <c r="BT2061">
        <v>12</v>
      </c>
      <c r="BU2061">
        <v>12</v>
      </c>
      <c r="BV2061" t="s">
        <v>114</v>
      </c>
      <c r="BX2061" s="2" t="s">
        <v>658</v>
      </c>
      <c r="BY2061" t="s">
        <v>650</v>
      </c>
      <c r="CA2061" t="s">
        <v>651</v>
      </c>
      <c r="CB2061" t="s">
        <v>127</v>
      </c>
      <c r="CC2061" s="8" t="str">
        <f>"78570"</f>
        <v>78570</v>
      </c>
      <c r="CD2061" t="s">
        <v>659</v>
      </c>
      <c r="CE2061" t="s">
        <v>660</v>
      </c>
      <c r="CF2061" s="12">
        <v>47</v>
      </c>
      <c r="CG2061" s="12">
        <v>47</v>
      </c>
      <c r="CJ2061" t="s">
        <v>135</v>
      </c>
      <c r="CL2061" t="s">
        <v>661</v>
      </c>
      <c r="CO2061" t="s">
        <v>132</v>
      </c>
      <c r="CP2061" t="s">
        <v>114</v>
      </c>
      <c r="CQ2061" t="s">
        <v>114</v>
      </c>
      <c r="CR2061" t="s">
        <v>136</v>
      </c>
      <c r="CS2061" t="s">
        <v>136</v>
      </c>
      <c r="CT2061" t="s">
        <v>136</v>
      </c>
      <c r="CU2061" t="s">
        <v>114</v>
      </c>
      <c r="CV2061" t="s">
        <v>662</v>
      </c>
      <c r="CW2061" s="10" t="str">
        <f>"+19565619587"</f>
        <v>+19565619587</v>
      </c>
      <c r="CX2061" t="s">
        <v>663</v>
      </c>
      <c r="CY2061" t="s">
        <v>132</v>
      </c>
      <c r="CZ2061" t="s">
        <v>137</v>
      </c>
      <c r="DA2061" t="s">
        <v>114</v>
      </c>
      <c r="DB2061" t="s">
        <v>114</v>
      </c>
      <c r="DC2061" t="s">
        <v>136</v>
      </c>
      <c r="DD2061" t="s">
        <v>114</v>
      </c>
    </row>
    <row r="2062" spans="1:113" ht="15" customHeight="1" x14ac:dyDescent="0.25">
      <c r="A2062" t="s">
        <v>18658</v>
      </c>
      <c r="B2062" t="s">
        <v>113</v>
      </c>
      <c r="C2062" s="1">
        <v>45134.897898726849</v>
      </c>
      <c r="D2062" s="1">
        <v>45212</v>
      </c>
      <c r="E2062" t="s">
        <v>114</v>
      </c>
      <c r="F2062" t="s">
        <v>5413</v>
      </c>
      <c r="G2062" t="str">
        <f>"53-3032.00"</f>
        <v>53-3032.00</v>
      </c>
      <c r="H2062" t="s">
        <v>736</v>
      </c>
      <c r="I2062">
        <v>13</v>
      </c>
      <c r="K2062" s="1">
        <v>45209</v>
      </c>
      <c r="L2062" s="1">
        <v>46275</v>
      </c>
      <c r="O2062" t="s">
        <v>184</v>
      </c>
      <c r="P2062" t="s">
        <v>18659</v>
      </c>
      <c r="R2062" t="s">
        <v>18660</v>
      </c>
      <c r="T2062" t="s">
        <v>2564</v>
      </c>
      <c r="U2062" t="s">
        <v>127</v>
      </c>
      <c r="V2062" s="8" t="str">
        <f>"77064"</f>
        <v>77064</v>
      </c>
      <c r="W2062" t="s">
        <v>118</v>
      </c>
      <c r="Y2062" s="10">
        <v>18322829485</v>
      </c>
      <c r="AA2062">
        <v>493110</v>
      </c>
      <c r="AB2062" t="s">
        <v>3068</v>
      </c>
      <c r="AC2062" t="s">
        <v>1745</v>
      </c>
      <c r="AE2062" t="s">
        <v>18661</v>
      </c>
      <c r="AF2062" t="s">
        <v>18660</v>
      </c>
      <c r="AH2062" t="s">
        <v>2564</v>
      </c>
      <c r="AI2062" t="s">
        <v>127</v>
      </c>
      <c r="AJ2062" s="8" t="str">
        <f>"77064"</f>
        <v>77064</v>
      </c>
      <c r="AK2062" t="s">
        <v>118</v>
      </c>
      <c r="AM2062" s="10">
        <v>18322829485</v>
      </c>
      <c r="AO2062" t="s">
        <v>18662</v>
      </c>
      <c r="AP2062" t="s">
        <v>121</v>
      </c>
      <c r="AQ2062" t="s">
        <v>13333</v>
      </c>
      <c r="AR2062" t="s">
        <v>13334</v>
      </c>
      <c r="AS2062" t="s">
        <v>145</v>
      </c>
      <c r="AT2062" t="s">
        <v>18663</v>
      </c>
      <c r="AV2062" t="s">
        <v>2564</v>
      </c>
      <c r="AW2062" t="s">
        <v>127</v>
      </c>
      <c r="AX2062" s="8" t="str">
        <f>"77094"</f>
        <v>77094</v>
      </c>
      <c r="AY2062" t="s">
        <v>118</v>
      </c>
      <c r="BA2062" s="10">
        <v>12815031455</v>
      </c>
      <c r="BC2062" t="s">
        <v>13337</v>
      </c>
      <c r="BD2062" t="s">
        <v>18664</v>
      </c>
      <c r="BE2062" t="s">
        <v>358</v>
      </c>
      <c r="BF2062" t="s">
        <v>18665</v>
      </c>
      <c r="BG2062" t="s">
        <v>127</v>
      </c>
      <c r="BH2062" s="1">
        <v>45133.833333333336</v>
      </c>
      <c r="BI2062">
        <v>40</v>
      </c>
      <c r="BJ2062">
        <v>0</v>
      </c>
      <c r="BK2062">
        <v>8</v>
      </c>
      <c r="BL2062">
        <v>8</v>
      </c>
      <c r="BM2062">
        <v>8</v>
      </c>
      <c r="BN2062">
        <v>8</v>
      </c>
      <c r="BO2062">
        <v>8</v>
      </c>
      <c r="BP2062">
        <v>0</v>
      </c>
      <c r="BQ2062" t="str">
        <f>"8:00 AM"</f>
        <v>8:00 AM</v>
      </c>
      <c r="BR2062" t="str">
        <f>"5:00 PM"</f>
        <v>5:00 PM</v>
      </c>
      <c r="BS2062" t="s">
        <v>131</v>
      </c>
      <c r="BT2062">
        <v>0</v>
      </c>
      <c r="BU2062">
        <v>0</v>
      </c>
      <c r="BV2062" t="s">
        <v>114</v>
      </c>
      <c r="BX2062" s="2" t="s">
        <v>18666</v>
      </c>
      <c r="BY2062" t="s">
        <v>18660</v>
      </c>
      <c r="CA2062" t="s">
        <v>2564</v>
      </c>
      <c r="CB2062" t="s">
        <v>127</v>
      </c>
      <c r="CC2062" s="8" t="str">
        <f>"77064"</f>
        <v>77064</v>
      </c>
      <c r="CD2062" t="s">
        <v>3327</v>
      </c>
      <c r="CE2062" t="s">
        <v>879</v>
      </c>
      <c r="CF2062" s="12">
        <v>23.73</v>
      </c>
      <c r="CG2062" s="12">
        <v>23.73</v>
      </c>
      <c r="CJ2062" t="s">
        <v>135</v>
      </c>
      <c r="CL2062" t="s">
        <v>18667</v>
      </c>
      <c r="CO2062" t="s">
        <v>132</v>
      </c>
      <c r="CP2062" t="s">
        <v>114</v>
      </c>
      <c r="CQ2062" t="s">
        <v>114</v>
      </c>
      <c r="CR2062" t="s">
        <v>114</v>
      </c>
      <c r="CS2062" t="s">
        <v>114</v>
      </c>
      <c r="CT2062" t="s">
        <v>136</v>
      </c>
      <c r="CU2062" t="s">
        <v>114</v>
      </c>
      <c r="CV2062" t="s">
        <v>131</v>
      </c>
      <c r="CW2062" s="10" t="str">
        <f>"+18322829485"</f>
        <v>+18322829485</v>
      </c>
      <c r="CX2062" t="s">
        <v>18662</v>
      </c>
      <c r="CY2062" t="s">
        <v>132</v>
      </c>
      <c r="CZ2062" t="s">
        <v>137</v>
      </c>
      <c r="DA2062" t="s">
        <v>114</v>
      </c>
      <c r="DB2062" t="s">
        <v>114</v>
      </c>
      <c r="DC2062" t="s">
        <v>136</v>
      </c>
      <c r="DD2062" t="s">
        <v>114</v>
      </c>
      <c r="DE2062" t="s">
        <v>13333</v>
      </c>
      <c r="DF2062" t="s">
        <v>18668</v>
      </c>
      <c r="DG2062" t="s">
        <v>18669</v>
      </c>
      <c r="DH2062" t="s">
        <v>13338</v>
      </c>
      <c r="DI2062" t="s">
        <v>13337</v>
      </c>
    </row>
    <row r="2063" spans="1:113" ht="15" customHeight="1" x14ac:dyDescent="0.25">
      <c r="A2063" t="s">
        <v>20637</v>
      </c>
      <c r="B2063" t="s">
        <v>113</v>
      </c>
      <c r="C2063" s="1">
        <v>45126.743727199071</v>
      </c>
      <c r="D2063" s="1">
        <v>45212</v>
      </c>
      <c r="E2063" t="s">
        <v>114</v>
      </c>
      <c r="F2063" t="s">
        <v>20638</v>
      </c>
      <c r="G2063" t="str">
        <f>"37-2011.00"</f>
        <v>37-2011.00</v>
      </c>
      <c r="H2063" t="s">
        <v>1089</v>
      </c>
      <c r="I2063">
        <v>2</v>
      </c>
      <c r="K2063" s="1">
        <v>45205</v>
      </c>
      <c r="L2063" s="1">
        <v>45325</v>
      </c>
      <c r="O2063" t="s">
        <v>238</v>
      </c>
      <c r="P2063" t="s">
        <v>20639</v>
      </c>
      <c r="R2063" t="s">
        <v>20640</v>
      </c>
      <c r="S2063" t="s">
        <v>20641</v>
      </c>
      <c r="T2063" t="s">
        <v>4100</v>
      </c>
      <c r="U2063" t="s">
        <v>222</v>
      </c>
      <c r="V2063" s="8" t="str">
        <f>"02601"</f>
        <v>02601</v>
      </c>
      <c r="W2063" t="s">
        <v>118</v>
      </c>
      <c r="Y2063" s="10">
        <v>15087710488</v>
      </c>
      <c r="AA2063">
        <v>561720</v>
      </c>
      <c r="AB2063" t="s">
        <v>9794</v>
      </c>
      <c r="AC2063" t="s">
        <v>1026</v>
      </c>
      <c r="AE2063" t="s">
        <v>629</v>
      </c>
      <c r="AF2063" t="s">
        <v>20640</v>
      </c>
      <c r="AG2063" t="s">
        <v>20641</v>
      </c>
      <c r="AH2063" t="s">
        <v>4100</v>
      </c>
      <c r="AI2063" t="s">
        <v>222</v>
      </c>
      <c r="AJ2063" s="8" t="str">
        <f>"02601"</f>
        <v>02601</v>
      </c>
      <c r="AK2063" t="s">
        <v>118</v>
      </c>
      <c r="AM2063" s="10">
        <v>15087710488</v>
      </c>
      <c r="AO2063" t="s">
        <v>20642</v>
      </c>
      <c r="AX2063" s="8" t="str">
        <f>""</f>
        <v/>
      </c>
      <c r="BG2063" t="s">
        <v>222</v>
      </c>
      <c r="BH2063" s="1">
        <v>44900.791666666664</v>
      </c>
      <c r="BI2063">
        <v>40</v>
      </c>
      <c r="BJ2063">
        <v>0</v>
      </c>
      <c r="BK2063">
        <v>8</v>
      </c>
      <c r="BL2063">
        <v>8</v>
      </c>
      <c r="BM2063">
        <v>8</v>
      </c>
      <c r="BN2063">
        <v>8</v>
      </c>
      <c r="BO2063">
        <v>8</v>
      </c>
      <c r="BP2063">
        <v>0</v>
      </c>
      <c r="BQ2063" t="str">
        <f>"8:00 AM"</f>
        <v>8:00 AM</v>
      </c>
      <c r="BR2063" t="str">
        <f>"6:00 PM"</f>
        <v>6:00 PM</v>
      </c>
      <c r="BS2063" t="s">
        <v>131</v>
      </c>
      <c r="BT2063">
        <v>1</v>
      </c>
      <c r="BU2063">
        <v>0</v>
      </c>
      <c r="BV2063" t="s">
        <v>114</v>
      </c>
      <c r="BX2063" t="s">
        <v>20643</v>
      </c>
      <c r="BY2063" t="s">
        <v>20644</v>
      </c>
      <c r="BZ2063" t="s">
        <v>20641</v>
      </c>
      <c r="CA2063" t="s">
        <v>4100</v>
      </c>
      <c r="CB2063" t="s">
        <v>222</v>
      </c>
      <c r="CC2063" s="8" t="str">
        <f>"02601"</f>
        <v>02601</v>
      </c>
      <c r="CD2063" t="s">
        <v>3119</v>
      </c>
      <c r="CE2063" t="s">
        <v>2322</v>
      </c>
      <c r="CF2063" s="12">
        <v>19.78</v>
      </c>
      <c r="CJ2063" t="s">
        <v>135</v>
      </c>
      <c r="CL2063" t="s">
        <v>20645</v>
      </c>
      <c r="CO2063" t="s">
        <v>132</v>
      </c>
      <c r="CP2063" t="s">
        <v>114</v>
      </c>
      <c r="CQ2063" t="s">
        <v>136</v>
      </c>
      <c r="CR2063" t="s">
        <v>114</v>
      </c>
      <c r="CS2063" t="s">
        <v>136</v>
      </c>
      <c r="CT2063" t="s">
        <v>136</v>
      </c>
      <c r="CU2063" t="s">
        <v>136</v>
      </c>
      <c r="CV2063" t="s">
        <v>131</v>
      </c>
      <c r="CW2063" s="10" t="str">
        <f>"+15082809313"</f>
        <v>+15082809313</v>
      </c>
      <c r="CX2063" t="s">
        <v>20646</v>
      </c>
      <c r="CY2063" t="s">
        <v>132</v>
      </c>
      <c r="CZ2063" t="s">
        <v>137</v>
      </c>
      <c r="DA2063" t="s">
        <v>114</v>
      </c>
      <c r="DB2063" t="s">
        <v>114</v>
      </c>
      <c r="DC2063" t="s">
        <v>136</v>
      </c>
      <c r="DD2063" t="s">
        <v>114</v>
      </c>
    </row>
    <row r="2064" spans="1:113" ht="15" customHeight="1" x14ac:dyDescent="0.25">
      <c r="A2064" t="s">
        <v>11779</v>
      </c>
      <c r="B2064" t="s">
        <v>113</v>
      </c>
      <c r="C2064" s="1">
        <v>45121.668765509261</v>
      </c>
      <c r="D2064" s="1">
        <v>45212</v>
      </c>
      <c r="E2064" t="s">
        <v>114</v>
      </c>
      <c r="F2064" t="s">
        <v>11780</v>
      </c>
      <c r="G2064" t="str">
        <f>"53-7062.00"</f>
        <v>53-7062.00</v>
      </c>
      <c r="H2064" t="s">
        <v>2078</v>
      </c>
      <c r="I2064">
        <v>6</v>
      </c>
      <c r="K2064" s="1">
        <v>45199</v>
      </c>
      <c r="L2064" s="1">
        <v>45412</v>
      </c>
      <c r="O2064" t="s">
        <v>238</v>
      </c>
      <c r="P2064" t="s">
        <v>11781</v>
      </c>
      <c r="R2064" t="s">
        <v>11782</v>
      </c>
      <c r="T2064" t="s">
        <v>11783</v>
      </c>
      <c r="U2064" t="s">
        <v>211</v>
      </c>
      <c r="V2064" s="8" t="str">
        <f>"84087"</f>
        <v>84087</v>
      </c>
      <c r="W2064" t="s">
        <v>118</v>
      </c>
      <c r="Y2064" s="10">
        <v>18018155926</v>
      </c>
      <c r="AA2064">
        <v>722320</v>
      </c>
      <c r="AB2064" t="s">
        <v>11784</v>
      </c>
      <c r="AC2064" t="s">
        <v>11785</v>
      </c>
      <c r="AE2064" t="s">
        <v>3519</v>
      </c>
      <c r="AF2064" t="s">
        <v>11786</v>
      </c>
      <c r="AH2064" t="s">
        <v>11783</v>
      </c>
      <c r="AI2064" t="s">
        <v>211</v>
      </c>
      <c r="AJ2064" s="8" t="str">
        <f>"84087"</f>
        <v>84087</v>
      </c>
      <c r="AK2064" t="s">
        <v>118</v>
      </c>
      <c r="AM2064" s="10">
        <v>18018155926</v>
      </c>
      <c r="AO2064" t="s">
        <v>11787</v>
      </c>
      <c r="AP2064" t="s">
        <v>248</v>
      </c>
      <c r="AQ2064" t="s">
        <v>11788</v>
      </c>
      <c r="AR2064" t="s">
        <v>11789</v>
      </c>
      <c r="AS2064" t="s">
        <v>11790</v>
      </c>
      <c r="AT2064" t="s">
        <v>11791</v>
      </c>
      <c r="AU2064" t="s">
        <v>11792</v>
      </c>
      <c r="AV2064" t="s">
        <v>11793</v>
      </c>
      <c r="AW2064" t="s">
        <v>211</v>
      </c>
      <c r="AX2064" s="8" t="str">
        <f>"84401"</f>
        <v>84401</v>
      </c>
      <c r="AY2064" t="s">
        <v>118</v>
      </c>
      <c r="BA2064" s="10">
        <v>18013932017</v>
      </c>
      <c r="BC2064" t="s">
        <v>1485</v>
      </c>
      <c r="BD2064" t="s">
        <v>11794</v>
      </c>
      <c r="BG2064" t="s">
        <v>211</v>
      </c>
      <c r="BH2064" s="1">
        <v>45120.833333333336</v>
      </c>
      <c r="BI2064">
        <v>42</v>
      </c>
      <c r="BJ2064">
        <v>0</v>
      </c>
      <c r="BK2064">
        <v>7</v>
      </c>
      <c r="BL2064">
        <v>7</v>
      </c>
      <c r="BM2064">
        <v>7</v>
      </c>
      <c r="BN2064">
        <v>7</v>
      </c>
      <c r="BO2064">
        <v>7</v>
      </c>
      <c r="BP2064">
        <v>7</v>
      </c>
      <c r="BQ2064" t="str">
        <f>"8:00 AM"</f>
        <v>8:00 AM</v>
      </c>
      <c r="BR2064" t="str">
        <f>"3:00 PM"</f>
        <v>3:00 PM</v>
      </c>
      <c r="BS2064" t="s">
        <v>131</v>
      </c>
      <c r="BT2064">
        <v>0</v>
      </c>
      <c r="BU2064">
        <v>0</v>
      </c>
      <c r="BV2064" t="s">
        <v>114</v>
      </c>
      <c r="BX2064" t="s">
        <v>1480</v>
      </c>
      <c r="BY2064" t="s">
        <v>11795</v>
      </c>
      <c r="CA2064" t="s">
        <v>11796</v>
      </c>
      <c r="CB2064" t="s">
        <v>211</v>
      </c>
      <c r="CC2064" s="8" t="str">
        <f>"84054"</f>
        <v>84054</v>
      </c>
      <c r="CD2064" t="s">
        <v>1567</v>
      </c>
      <c r="CE2064" t="s">
        <v>1568</v>
      </c>
      <c r="CF2064" s="12">
        <v>16.93</v>
      </c>
      <c r="CG2064" s="12">
        <v>18</v>
      </c>
      <c r="CH2064" s="12">
        <v>25.4</v>
      </c>
      <c r="CI2064" s="12">
        <v>27</v>
      </c>
      <c r="CJ2064" t="s">
        <v>135</v>
      </c>
      <c r="CL2064" t="s">
        <v>11797</v>
      </c>
      <c r="CO2064" t="s">
        <v>132</v>
      </c>
      <c r="CP2064" t="s">
        <v>136</v>
      </c>
      <c r="CQ2064" t="s">
        <v>136</v>
      </c>
      <c r="CR2064" t="s">
        <v>114</v>
      </c>
      <c r="CS2064" t="s">
        <v>136</v>
      </c>
      <c r="CT2064" t="s">
        <v>136</v>
      </c>
      <c r="CU2064" t="s">
        <v>136</v>
      </c>
      <c r="CV2064" t="s">
        <v>131</v>
      </c>
      <c r="CW2064" s="10" t="str">
        <f>"+18018155926"</f>
        <v>+18018155926</v>
      </c>
      <c r="CX2064" t="s">
        <v>11787</v>
      </c>
      <c r="CY2064" t="s">
        <v>132</v>
      </c>
      <c r="CZ2064" t="s">
        <v>137</v>
      </c>
      <c r="DA2064" t="s">
        <v>114</v>
      </c>
      <c r="DB2064" t="s">
        <v>136</v>
      </c>
      <c r="DC2064" t="s">
        <v>136</v>
      </c>
      <c r="DD2064" t="s">
        <v>114</v>
      </c>
      <c r="DE2064" t="s">
        <v>1473</v>
      </c>
      <c r="DF2064" t="s">
        <v>1474</v>
      </c>
      <c r="DG2064" t="s">
        <v>631</v>
      </c>
      <c r="DH2064" t="s">
        <v>1479</v>
      </c>
      <c r="DI2064" t="s">
        <v>1485</v>
      </c>
    </row>
    <row r="2065" spans="1:113" ht="15" customHeight="1" x14ac:dyDescent="0.25">
      <c r="A2065" t="s">
        <v>19504</v>
      </c>
      <c r="B2065" t="s">
        <v>113</v>
      </c>
      <c r="C2065" s="1">
        <v>45120.57797997685</v>
      </c>
      <c r="D2065" s="1">
        <v>45212</v>
      </c>
      <c r="E2065" t="s">
        <v>114</v>
      </c>
      <c r="F2065" t="s">
        <v>293</v>
      </c>
      <c r="G2065" t="str">
        <f>"37-2012.00"</f>
        <v>37-2012.00</v>
      </c>
      <c r="H2065" t="s">
        <v>205</v>
      </c>
      <c r="I2065">
        <v>1</v>
      </c>
      <c r="K2065" s="1">
        <v>45210</v>
      </c>
      <c r="L2065" s="1">
        <v>45514</v>
      </c>
      <c r="O2065" t="s">
        <v>238</v>
      </c>
      <c r="P2065" t="s">
        <v>19505</v>
      </c>
      <c r="Q2065" t="s">
        <v>19506</v>
      </c>
      <c r="R2065" t="s">
        <v>19507</v>
      </c>
      <c r="T2065" t="s">
        <v>19508</v>
      </c>
      <c r="U2065" t="s">
        <v>188</v>
      </c>
      <c r="V2065" s="8" t="str">
        <f>"81230"</f>
        <v>81230</v>
      </c>
      <c r="W2065" t="s">
        <v>118</v>
      </c>
      <c r="Y2065" s="10">
        <v>19704158464</v>
      </c>
      <c r="AA2065">
        <v>72111</v>
      </c>
      <c r="AB2065" t="s">
        <v>4020</v>
      </c>
      <c r="AC2065" t="s">
        <v>3594</v>
      </c>
      <c r="AE2065" t="s">
        <v>561</v>
      </c>
      <c r="AF2065" t="s">
        <v>19509</v>
      </c>
      <c r="AH2065" t="s">
        <v>19508</v>
      </c>
      <c r="AI2065" t="s">
        <v>188</v>
      </c>
      <c r="AJ2065" s="8" t="str">
        <f>"81230"</f>
        <v>81230</v>
      </c>
      <c r="AK2065" t="s">
        <v>118</v>
      </c>
      <c r="AM2065" s="10">
        <v>19704158464</v>
      </c>
      <c r="AO2065" t="s">
        <v>19510</v>
      </c>
      <c r="AX2065" s="8" t="str">
        <f>""</f>
        <v/>
      </c>
      <c r="BG2065" t="s">
        <v>188</v>
      </c>
      <c r="BH2065" s="1">
        <v>45039.833333333336</v>
      </c>
      <c r="BI2065">
        <v>40</v>
      </c>
      <c r="BJ2065">
        <v>8</v>
      </c>
      <c r="BK2065">
        <v>8</v>
      </c>
      <c r="BL2065">
        <v>0</v>
      </c>
      <c r="BM2065">
        <v>8</v>
      </c>
      <c r="BN2065">
        <v>8</v>
      </c>
      <c r="BO2065">
        <v>8</v>
      </c>
      <c r="BP2065">
        <v>8</v>
      </c>
      <c r="BQ2065" t="str">
        <f>"7:00 AM"</f>
        <v>7:00 AM</v>
      </c>
      <c r="BR2065" t="str">
        <f>"3:00 PM"</f>
        <v>3:00 PM</v>
      </c>
      <c r="BS2065" t="s">
        <v>147</v>
      </c>
      <c r="BT2065">
        <v>3</v>
      </c>
      <c r="BU2065">
        <v>3</v>
      </c>
      <c r="BV2065" t="s">
        <v>114</v>
      </c>
      <c r="BX2065" s="2" t="s">
        <v>19511</v>
      </c>
      <c r="BY2065" t="s">
        <v>19507</v>
      </c>
      <c r="CA2065" t="s">
        <v>19508</v>
      </c>
      <c r="CB2065" t="s">
        <v>188</v>
      </c>
      <c r="CC2065" s="8" t="str">
        <f>"81230"</f>
        <v>81230</v>
      </c>
      <c r="CD2065" t="s">
        <v>4723</v>
      </c>
      <c r="CE2065" t="s">
        <v>4724</v>
      </c>
      <c r="CF2065" s="12">
        <v>16.37</v>
      </c>
      <c r="CG2065" s="12">
        <v>16.37</v>
      </c>
      <c r="CH2065" s="12">
        <v>24.56</v>
      </c>
      <c r="CI2065" s="12">
        <v>24.56</v>
      </c>
      <c r="CJ2065" t="s">
        <v>135</v>
      </c>
      <c r="CK2065" t="s">
        <v>19512</v>
      </c>
      <c r="CL2065" t="s">
        <v>19513</v>
      </c>
      <c r="CO2065" t="s">
        <v>132</v>
      </c>
      <c r="CP2065" t="s">
        <v>114</v>
      </c>
      <c r="CQ2065" t="s">
        <v>114</v>
      </c>
      <c r="CR2065" t="s">
        <v>136</v>
      </c>
      <c r="CS2065" t="s">
        <v>136</v>
      </c>
      <c r="CT2065" t="s">
        <v>136</v>
      </c>
      <c r="CU2065" t="s">
        <v>136</v>
      </c>
      <c r="CV2065" t="s">
        <v>19514</v>
      </c>
      <c r="CW2065" s="10" t="str">
        <f>"+19704158464"</f>
        <v>+19704158464</v>
      </c>
      <c r="CX2065" t="s">
        <v>19510</v>
      </c>
      <c r="CY2065" t="s">
        <v>19515</v>
      </c>
      <c r="CZ2065" t="s">
        <v>137</v>
      </c>
      <c r="DA2065" t="s">
        <v>114</v>
      </c>
      <c r="DB2065" t="s">
        <v>114</v>
      </c>
      <c r="DC2065" t="s">
        <v>136</v>
      </c>
      <c r="DD2065" t="s">
        <v>114</v>
      </c>
    </row>
    <row r="2066" spans="1:113" ht="15" customHeight="1" x14ac:dyDescent="0.25">
      <c r="A2066" t="s">
        <v>17144</v>
      </c>
      <c r="B2066" t="s">
        <v>113</v>
      </c>
      <c r="C2066" s="1">
        <v>45120.452673958331</v>
      </c>
      <c r="D2066" s="1">
        <v>45212</v>
      </c>
      <c r="E2066" t="s">
        <v>114</v>
      </c>
      <c r="F2066" t="s">
        <v>17145</v>
      </c>
      <c r="G2066" t="str">
        <f>"37-3011.00"</f>
        <v>37-3011.00</v>
      </c>
      <c r="H2066" t="s">
        <v>429</v>
      </c>
      <c r="I2066">
        <v>6</v>
      </c>
      <c r="K2066" s="1">
        <v>45200</v>
      </c>
      <c r="L2066" s="1">
        <v>45486</v>
      </c>
      <c r="O2066" t="s">
        <v>238</v>
      </c>
      <c r="P2066" t="s">
        <v>17146</v>
      </c>
      <c r="R2066" t="s">
        <v>17147</v>
      </c>
      <c r="T2066" t="s">
        <v>17148</v>
      </c>
      <c r="U2066" t="s">
        <v>2262</v>
      </c>
      <c r="V2066" s="8" t="str">
        <f>"06492"</f>
        <v>06492</v>
      </c>
      <c r="W2066" t="s">
        <v>118</v>
      </c>
      <c r="Y2066" s="10">
        <v>12032389846</v>
      </c>
      <c r="Z2066">
        <v>318</v>
      </c>
      <c r="AA2066">
        <v>238910</v>
      </c>
      <c r="AB2066" t="s">
        <v>17149</v>
      </c>
      <c r="AC2066" t="s">
        <v>1826</v>
      </c>
      <c r="AD2066" t="s">
        <v>2022</v>
      </c>
      <c r="AE2066" t="s">
        <v>3922</v>
      </c>
      <c r="AF2066" t="s">
        <v>17147</v>
      </c>
      <c r="AH2066" t="s">
        <v>17148</v>
      </c>
      <c r="AI2066" t="s">
        <v>2262</v>
      </c>
      <c r="AJ2066" s="8" t="str">
        <f>"06492"</f>
        <v>06492</v>
      </c>
      <c r="AK2066" t="s">
        <v>118</v>
      </c>
      <c r="AL2066" t="s">
        <v>17150</v>
      </c>
      <c r="AM2066" s="10">
        <v>12032389846</v>
      </c>
      <c r="AN2066">
        <v>318</v>
      </c>
      <c r="AO2066" t="s">
        <v>17151</v>
      </c>
      <c r="AX2066" s="8" t="str">
        <f>""</f>
        <v/>
      </c>
      <c r="BG2066" t="s">
        <v>2262</v>
      </c>
      <c r="BH2066" s="1">
        <v>45077.833333333336</v>
      </c>
      <c r="BI2066">
        <v>40</v>
      </c>
      <c r="BJ2066">
        <v>0</v>
      </c>
      <c r="BK2066">
        <v>8</v>
      </c>
      <c r="BL2066">
        <v>8</v>
      </c>
      <c r="BM2066">
        <v>8</v>
      </c>
      <c r="BN2066">
        <v>8</v>
      </c>
      <c r="BO2066">
        <v>8</v>
      </c>
      <c r="BP2066">
        <v>0</v>
      </c>
      <c r="BQ2066" t="str">
        <f>"7:30 AM"</f>
        <v>7:30 AM</v>
      </c>
      <c r="BR2066" t="str">
        <f>"4:00 PM"</f>
        <v>4:00 PM</v>
      </c>
      <c r="BS2066" t="s">
        <v>131</v>
      </c>
      <c r="BT2066">
        <v>0</v>
      </c>
      <c r="BU2066">
        <v>0</v>
      </c>
      <c r="BV2066" t="s">
        <v>114</v>
      </c>
      <c r="BX2066" t="s">
        <v>17152</v>
      </c>
      <c r="BY2066" t="s">
        <v>17147</v>
      </c>
      <c r="CA2066" t="s">
        <v>17148</v>
      </c>
      <c r="CB2066" t="s">
        <v>2262</v>
      </c>
      <c r="CC2066" s="8" t="str">
        <f>"06492"</f>
        <v>06492</v>
      </c>
      <c r="CD2066" t="s">
        <v>17153</v>
      </c>
      <c r="CE2066" t="s">
        <v>8631</v>
      </c>
      <c r="CF2066" s="12">
        <v>20.86</v>
      </c>
      <c r="CG2066" s="12">
        <v>20.86</v>
      </c>
      <c r="CJ2066" t="s">
        <v>135</v>
      </c>
      <c r="CL2066" t="s">
        <v>17154</v>
      </c>
      <c r="CO2066" t="s">
        <v>132</v>
      </c>
      <c r="CP2066" t="s">
        <v>114</v>
      </c>
      <c r="CQ2066" t="s">
        <v>136</v>
      </c>
      <c r="CR2066" t="s">
        <v>114</v>
      </c>
      <c r="CS2066" t="s">
        <v>114</v>
      </c>
      <c r="CT2066" t="s">
        <v>136</v>
      </c>
      <c r="CU2066" t="s">
        <v>136</v>
      </c>
      <c r="CV2066" s="2" t="s">
        <v>17155</v>
      </c>
      <c r="CW2066" s="10" t="str">
        <f>"+12032389846"</f>
        <v>+12032389846</v>
      </c>
      <c r="CX2066" t="s">
        <v>17151</v>
      </c>
      <c r="CY2066" t="s">
        <v>132</v>
      </c>
      <c r="CZ2066" t="s">
        <v>137</v>
      </c>
      <c r="DA2066" t="s">
        <v>114</v>
      </c>
      <c r="DB2066" t="s">
        <v>114</v>
      </c>
      <c r="DC2066" t="s">
        <v>136</v>
      </c>
      <c r="DD2066" t="s">
        <v>114</v>
      </c>
    </row>
    <row r="2067" spans="1:113" ht="15" customHeight="1" x14ac:dyDescent="0.25">
      <c r="A2067" t="s">
        <v>22662</v>
      </c>
      <c r="B2067" t="s">
        <v>113</v>
      </c>
      <c r="C2067" s="1">
        <v>45118.533132175929</v>
      </c>
      <c r="D2067" s="1">
        <v>45212</v>
      </c>
      <c r="E2067" t="s">
        <v>114</v>
      </c>
      <c r="F2067" t="s">
        <v>700</v>
      </c>
      <c r="G2067" t="str">
        <f>"37-3011.00"</f>
        <v>37-3011.00</v>
      </c>
      <c r="H2067" t="s">
        <v>429</v>
      </c>
      <c r="I2067">
        <v>40</v>
      </c>
      <c r="K2067" s="1">
        <v>45200</v>
      </c>
      <c r="L2067" s="1">
        <v>45382</v>
      </c>
      <c r="O2067" t="s">
        <v>238</v>
      </c>
      <c r="P2067" t="s">
        <v>4079</v>
      </c>
      <c r="R2067" t="s">
        <v>22663</v>
      </c>
      <c r="T2067" t="s">
        <v>22664</v>
      </c>
      <c r="U2067" t="s">
        <v>211</v>
      </c>
      <c r="V2067" s="8" t="str">
        <f>"84011"</f>
        <v>84011</v>
      </c>
      <c r="W2067" t="s">
        <v>118</v>
      </c>
      <c r="Y2067" s="10">
        <v>18013653333</v>
      </c>
      <c r="AA2067">
        <v>5617</v>
      </c>
      <c r="AB2067" t="s">
        <v>6758</v>
      </c>
      <c r="AC2067" t="s">
        <v>4921</v>
      </c>
      <c r="AE2067" t="s">
        <v>561</v>
      </c>
      <c r="AF2067" t="s">
        <v>4080</v>
      </c>
      <c r="AH2067" t="s">
        <v>4081</v>
      </c>
      <c r="AI2067" t="s">
        <v>211</v>
      </c>
      <c r="AJ2067" s="8" t="str">
        <f>"84011"</f>
        <v>84011</v>
      </c>
      <c r="AK2067" t="s">
        <v>118</v>
      </c>
      <c r="AM2067" s="10">
        <v>18013653333</v>
      </c>
      <c r="AO2067" t="s">
        <v>132</v>
      </c>
      <c r="AP2067" t="s">
        <v>121</v>
      </c>
      <c r="AQ2067" t="s">
        <v>1172</v>
      </c>
      <c r="AR2067" t="s">
        <v>1173</v>
      </c>
      <c r="AS2067" t="s">
        <v>708</v>
      </c>
      <c r="AT2067" t="s">
        <v>6759</v>
      </c>
      <c r="AV2067" t="s">
        <v>603</v>
      </c>
      <c r="AW2067" t="s">
        <v>127</v>
      </c>
      <c r="AX2067" s="8" t="str">
        <f>"78758"</f>
        <v>78758</v>
      </c>
      <c r="AY2067" t="s">
        <v>118</v>
      </c>
      <c r="BA2067" s="10">
        <v>15128722894</v>
      </c>
      <c r="BC2067" t="s">
        <v>1175</v>
      </c>
      <c r="BD2067" t="s">
        <v>4086</v>
      </c>
      <c r="BE2067" t="s">
        <v>127</v>
      </c>
      <c r="BF2067" t="s">
        <v>750</v>
      </c>
      <c r="BG2067" t="s">
        <v>211</v>
      </c>
      <c r="BH2067" s="1">
        <v>45117.833333333336</v>
      </c>
      <c r="BI2067">
        <v>40</v>
      </c>
      <c r="BJ2067">
        <v>0</v>
      </c>
      <c r="BK2067">
        <v>8</v>
      </c>
      <c r="BL2067">
        <v>8</v>
      </c>
      <c r="BM2067">
        <v>8</v>
      </c>
      <c r="BN2067">
        <v>8</v>
      </c>
      <c r="BO2067">
        <v>8</v>
      </c>
      <c r="BP2067">
        <v>0</v>
      </c>
      <c r="BQ2067" t="str">
        <f>"8:00 AM"</f>
        <v>8:00 AM</v>
      </c>
      <c r="BR2067" t="str">
        <f>"5:00 PM"</f>
        <v>5:00 PM</v>
      </c>
      <c r="BS2067" t="s">
        <v>131</v>
      </c>
      <c r="BT2067">
        <v>0</v>
      </c>
      <c r="BU2067">
        <v>0</v>
      </c>
      <c r="BV2067" t="s">
        <v>114</v>
      </c>
      <c r="BX2067" t="s">
        <v>6760</v>
      </c>
      <c r="BY2067" t="s">
        <v>22665</v>
      </c>
      <c r="CA2067" t="s">
        <v>2114</v>
      </c>
      <c r="CB2067" t="s">
        <v>211</v>
      </c>
      <c r="CC2067" s="8" t="str">
        <f>"84606"</f>
        <v>84606</v>
      </c>
      <c r="CD2067" t="s">
        <v>2468</v>
      </c>
      <c r="CE2067" t="s">
        <v>2469</v>
      </c>
      <c r="CF2067" s="12">
        <v>18.920000000000002</v>
      </c>
      <c r="CG2067" s="12">
        <v>18.920000000000002</v>
      </c>
      <c r="CH2067" s="12">
        <v>28.38</v>
      </c>
      <c r="CI2067" s="12">
        <v>28.38</v>
      </c>
      <c r="CJ2067" t="s">
        <v>135</v>
      </c>
      <c r="CL2067" t="s">
        <v>6763</v>
      </c>
      <c r="CO2067" t="s">
        <v>132</v>
      </c>
      <c r="CP2067" t="s">
        <v>136</v>
      </c>
      <c r="CQ2067" t="s">
        <v>136</v>
      </c>
      <c r="CR2067" t="s">
        <v>136</v>
      </c>
      <c r="CS2067" t="s">
        <v>114</v>
      </c>
      <c r="CT2067" t="s">
        <v>136</v>
      </c>
      <c r="CU2067" t="s">
        <v>136</v>
      </c>
      <c r="CV2067" t="s">
        <v>4715</v>
      </c>
      <c r="CW2067" s="10" t="str">
        <f>"+13852282684"</f>
        <v>+13852282684</v>
      </c>
      <c r="CX2067" t="s">
        <v>6765</v>
      </c>
      <c r="CY2067" t="s">
        <v>132</v>
      </c>
      <c r="CZ2067" t="s">
        <v>137</v>
      </c>
      <c r="DA2067" t="s">
        <v>114</v>
      </c>
      <c r="DB2067" t="s">
        <v>114</v>
      </c>
      <c r="DC2067" t="s">
        <v>136</v>
      </c>
      <c r="DD2067" t="s">
        <v>114</v>
      </c>
    </row>
    <row r="2068" spans="1:113" ht="15" customHeight="1" x14ac:dyDescent="0.25">
      <c r="A2068" t="s">
        <v>15794</v>
      </c>
      <c r="B2068" t="s">
        <v>113</v>
      </c>
      <c r="C2068" s="1">
        <v>45114.765869212963</v>
      </c>
      <c r="D2068" s="1">
        <v>45212</v>
      </c>
      <c r="E2068" t="s">
        <v>114</v>
      </c>
      <c r="F2068" t="s">
        <v>15795</v>
      </c>
      <c r="G2068" t="str">
        <f>"47-2061.00"</f>
        <v>47-2061.00</v>
      </c>
      <c r="H2068" t="s">
        <v>570</v>
      </c>
      <c r="I2068">
        <v>14</v>
      </c>
      <c r="K2068" s="1">
        <v>45200</v>
      </c>
      <c r="L2068" s="1">
        <v>45565</v>
      </c>
      <c r="O2068" t="s">
        <v>184</v>
      </c>
      <c r="P2068" t="s">
        <v>15796</v>
      </c>
      <c r="R2068" t="s">
        <v>15797</v>
      </c>
      <c r="T2068" t="s">
        <v>15798</v>
      </c>
      <c r="U2068" t="s">
        <v>558</v>
      </c>
      <c r="V2068" s="8" t="str">
        <f>"85225"</f>
        <v>85225</v>
      </c>
      <c r="W2068" t="s">
        <v>118</v>
      </c>
      <c r="Y2068" s="10">
        <v>14805254685</v>
      </c>
      <c r="AA2068">
        <v>423320</v>
      </c>
      <c r="AB2068" t="s">
        <v>15799</v>
      </c>
      <c r="AC2068" t="s">
        <v>15800</v>
      </c>
      <c r="AE2068" t="s">
        <v>654</v>
      </c>
      <c r="AF2068" t="s">
        <v>15801</v>
      </c>
      <c r="AH2068" t="s">
        <v>15802</v>
      </c>
      <c r="AI2068" t="s">
        <v>558</v>
      </c>
      <c r="AJ2068" s="8" t="str">
        <f>"85297"</f>
        <v>85297</v>
      </c>
      <c r="AK2068" t="s">
        <v>118</v>
      </c>
      <c r="AM2068" s="10">
        <v>14805254685</v>
      </c>
      <c r="AO2068" t="s">
        <v>15803</v>
      </c>
      <c r="AP2068" t="s">
        <v>121</v>
      </c>
      <c r="AQ2068" t="s">
        <v>15804</v>
      </c>
      <c r="AR2068" t="s">
        <v>15805</v>
      </c>
      <c r="AS2068" t="s">
        <v>3610</v>
      </c>
      <c r="AT2068" t="s">
        <v>15806</v>
      </c>
      <c r="AU2068" t="s">
        <v>15807</v>
      </c>
      <c r="AV2068" t="s">
        <v>15808</v>
      </c>
      <c r="AW2068" t="s">
        <v>402</v>
      </c>
      <c r="AX2068" s="8" t="str">
        <f>"91367"</f>
        <v>91367</v>
      </c>
      <c r="AY2068" t="s">
        <v>118</v>
      </c>
      <c r="BA2068" s="10">
        <v>18188877839</v>
      </c>
      <c r="BC2068" t="s">
        <v>15809</v>
      </c>
      <c r="BD2068" t="s">
        <v>15810</v>
      </c>
      <c r="BE2068" t="s">
        <v>402</v>
      </c>
      <c r="BF2068" t="s">
        <v>15811</v>
      </c>
      <c r="BG2068" t="s">
        <v>558</v>
      </c>
      <c r="BH2068" s="1">
        <v>45082.833333333336</v>
      </c>
      <c r="BI2068">
        <v>40</v>
      </c>
      <c r="BJ2068">
        <v>0</v>
      </c>
      <c r="BK2068">
        <v>8</v>
      </c>
      <c r="BL2068">
        <v>8</v>
      </c>
      <c r="BM2068">
        <v>8</v>
      </c>
      <c r="BN2068">
        <v>8</v>
      </c>
      <c r="BO2068">
        <v>8</v>
      </c>
      <c r="BP2068">
        <v>0</v>
      </c>
      <c r="BQ2068" t="str">
        <f>"9:00 AM"</f>
        <v>9:00 AM</v>
      </c>
      <c r="BR2068" t="str">
        <f>"5:00 PM"</f>
        <v>5:00 PM</v>
      </c>
      <c r="BS2068" t="s">
        <v>131</v>
      </c>
      <c r="BT2068">
        <v>0</v>
      </c>
      <c r="BU2068">
        <v>0</v>
      </c>
      <c r="BV2068" t="s">
        <v>114</v>
      </c>
      <c r="BX2068" t="s">
        <v>132</v>
      </c>
      <c r="BY2068" t="s">
        <v>15797</v>
      </c>
      <c r="CA2068" t="s">
        <v>15798</v>
      </c>
      <c r="CB2068" t="s">
        <v>558</v>
      </c>
      <c r="CC2068" s="8" t="str">
        <f>"85225"</f>
        <v>85225</v>
      </c>
      <c r="CD2068" t="s">
        <v>1391</v>
      </c>
      <c r="CE2068" t="s">
        <v>565</v>
      </c>
      <c r="CF2068" s="12">
        <v>22</v>
      </c>
      <c r="CH2068" s="12">
        <v>33</v>
      </c>
      <c r="CJ2068" t="s">
        <v>135</v>
      </c>
      <c r="CL2068" t="s">
        <v>15812</v>
      </c>
      <c r="CO2068" t="s">
        <v>132</v>
      </c>
      <c r="CP2068" t="s">
        <v>136</v>
      </c>
      <c r="CQ2068" t="s">
        <v>136</v>
      </c>
      <c r="CR2068" t="s">
        <v>136</v>
      </c>
      <c r="CS2068" t="s">
        <v>136</v>
      </c>
      <c r="CT2068" t="s">
        <v>136</v>
      </c>
      <c r="CU2068" t="s">
        <v>114</v>
      </c>
      <c r="CV2068" t="s">
        <v>131</v>
      </c>
      <c r="CW2068" s="10" t="str">
        <f>"+14802783715"</f>
        <v>+14802783715</v>
      </c>
      <c r="CX2068" t="s">
        <v>15813</v>
      </c>
      <c r="CY2068" t="s">
        <v>132</v>
      </c>
      <c r="CZ2068" t="s">
        <v>137</v>
      </c>
      <c r="DA2068" t="s">
        <v>114</v>
      </c>
      <c r="DB2068" t="s">
        <v>114</v>
      </c>
      <c r="DC2068" t="s">
        <v>136</v>
      </c>
      <c r="DD2068" t="s">
        <v>114</v>
      </c>
    </row>
    <row r="2069" spans="1:113" ht="15" customHeight="1" x14ac:dyDescent="0.25">
      <c r="A2069" t="s">
        <v>22657</v>
      </c>
      <c r="B2069" t="s">
        <v>113</v>
      </c>
      <c r="C2069" s="1">
        <v>45114.637138541664</v>
      </c>
      <c r="D2069" s="1">
        <v>45212</v>
      </c>
      <c r="E2069" t="s">
        <v>114</v>
      </c>
      <c r="F2069" t="s">
        <v>944</v>
      </c>
      <c r="G2069" t="str">
        <f>"49-9098.00"</f>
        <v>49-9098.00</v>
      </c>
      <c r="H2069" t="s">
        <v>945</v>
      </c>
      <c r="I2069">
        <v>10</v>
      </c>
      <c r="K2069" s="1">
        <v>45200</v>
      </c>
      <c r="L2069" s="1">
        <v>45306</v>
      </c>
      <c r="O2069" t="s">
        <v>238</v>
      </c>
      <c r="P2069" t="s">
        <v>15254</v>
      </c>
      <c r="R2069" t="s">
        <v>22658</v>
      </c>
      <c r="T2069" t="s">
        <v>22659</v>
      </c>
      <c r="U2069" t="s">
        <v>127</v>
      </c>
      <c r="V2069" s="8" t="str">
        <f>"78520"</f>
        <v>78520</v>
      </c>
      <c r="W2069" t="s">
        <v>118</v>
      </c>
      <c r="Y2069" s="10">
        <v>19566059360</v>
      </c>
      <c r="Z2069" s="3" t="s">
        <v>256</v>
      </c>
      <c r="AA2069">
        <v>7139</v>
      </c>
      <c r="AB2069" t="s">
        <v>15258</v>
      </c>
      <c r="AC2069" t="s">
        <v>1555</v>
      </c>
      <c r="AE2069" t="s">
        <v>5347</v>
      </c>
      <c r="AF2069" t="s">
        <v>22658</v>
      </c>
      <c r="AH2069" t="s">
        <v>22659</v>
      </c>
      <c r="AI2069" t="s">
        <v>127</v>
      </c>
      <c r="AJ2069" s="8" t="str">
        <f>"78520"</f>
        <v>78520</v>
      </c>
      <c r="AK2069" t="s">
        <v>118</v>
      </c>
      <c r="AM2069" s="10">
        <v>19566059360</v>
      </c>
      <c r="AN2069" s="3" t="s">
        <v>256</v>
      </c>
      <c r="AO2069" t="s">
        <v>15259</v>
      </c>
      <c r="AP2069" t="s">
        <v>248</v>
      </c>
      <c r="AQ2069" t="s">
        <v>249</v>
      </c>
      <c r="AR2069" t="s">
        <v>250</v>
      </c>
      <c r="AS2069" t="s">
        <v>251</v>
      </c>
      <c r="AT2069" t="s">
        <v>252</v>
      </c>
      <c r="AU2069" t="s">
        <v>253</v>
      </c>
      <c r="AV2069" t="s">
        <v>254</v>
      </c>
      <c r="AW2069" t="s">
        <v>127</v>
      </c>
      <c r="AX2069" s="8" t="str">
        <f>"78550"</f>
        <v>78550</v>
      </c>
      <c r="AY2069" t="s">
        <v>118</v>
      </c>
      <c r="AZ2069" t="s">
        <v>255</v>
      </c>
      <c r="BA2069" s="10">
        <v>19564408720</v>
      </c>
      <c r="BB2069" s="3" t="s">
        <v>256</v>
      </c>
      <c r="BC2069" t="s">
        <v>338</v>
      </c>
      <c r="BD2069" t="s">
        <v>258</v>
      </c>
      <c r="BG2069" t="s">
        <v>127</v>
      </c>
      <c r="BH2069" s="1">
        <v>45113.833333333336</v>
      </c>
      <c r="BI2069">
        <v>40</v>
      </c>
      <c r="BJ2069">
        <v>0</v>
      </c>
      <c r="BK2069">
        <v>8</v>
      </c>
      <c r="BL2069">
        <v>8</v>
      </c>
      <c r="BM2069">
        <v>8</v>
      </c>
      <c r="BN2069">
        <v>8</v>
      </c>
      <c r="BO2069">
        <v>8</v>
      </c>
      <c r="BP2069">
        <v>0</v>
      </c>
      <c r="BQ2069" t="str">
        <f>"8:00 AM"</f>
        <v>8:00 AM</v>
      </c>
      <c r="BR2069" t="str">
        <f>"5:00 PM"</f>
        <v>5:00 PM</v>
      </c>
      <c r="BS2069" t="s">
        <v>131</v>
      </c>
      <c r="BT2069">
        <v>0</v>
      </c>
      <c r="BU2069">
        <v>0</v>
      </c>
      <c r="BV2069" t="s">
        <v>114</v>
      </c>
      <c r="BX2069" t="s">
        <v>946</v>
      </c>
      <c r="BY2069" t="s">
        <v>22660</v>
      </c>
      <c r="CA2069" t="s">
        <v>2568</v>
      </c>
      <c r="CB2069" t="s">
        <v>127</v>
      </c>
      <c r="CC2069" s="8" t="str">
        <f>"78520"</f>
        <v>78520</v>
      </c>
      <c r="CD2069" t="s">
        <v>3361</v>
      </c>
      <c r="CE2069" t="s">
        <v>3362</v>
      </c>
      <c r="CF2069" s="12">
        <v>13.2</v>
      </c>
      <c r="CG2069" s="12">
        <v>13.2</v>
      </c>
      <c r="CH2069" s="12">
        <v>0</v>
      </c>
      <c r="CI2069" s="12">
        <v>0</v>
      </c>
      <c r="CJ2069" t="s">
        <v>135</v>
      </c>
      <c r="CK2069" t="s">
        <v>342</v>
      </c>
      <c r="CL2069" t="s">
        <v>22661</v>
      </c>
      <c r="CO2069" t="s">
        <v>132</v>
      </c>
      <c r="CP2069" t="s">
        <v>114</v>
      </c>
      <c r="CQ2069" t="s">
        <v>136</v>
      </c>
      <c r="CR2069" t="s">
        <v>114</v>
      </c>
      <c r="CS2069" t="s">
        <v>136</v>
      </c>
      <c r="CT2069" t="s">
        <v>136</v>
      </c>
      <c r="CU2069" t="s">
        <v>136</v>
      </c>
      <c r="CV2069" t="s">
        <v>14205</v>
      </c>
      <c r="CW2069" s="10" t="str">
        <f>"+19566059360"</f>
        <v>+19566059360</v>
      </c>
      <c r="CX2069" t="s">
        <v>15259</v>
      </c>
      <c r="CY2069" t="s">
        <v>132</v>
      </c>
      <c r="CZ2069" t="s">
        <v>137</v>
      </c>
      <c r="DA2069" t="s">
        <v>114</v>
      </c>
      <c r="DB2069" t="s">
        <v>136</v>
      </c>
      <c r="DC2069" t="s">
        <v>136</v>
      </c>
      <c r="DD2069" t="s">
        <v>114</v>
      </c>
    </row>
    <row r="2070" spans="1:113" ht="15" customHeight="1" x14ac:dyDescent="0.25">
      <c r="A2070" t="s">
        <v>10555</v>
      </c>
      <c r="B2070" t="s">
        <v>113</v>
      </c>
      <c r="C2070" s="1">
        <v>45112.969253819443</v>
      </c>
      <c r="D2070" s="1">
        <v>45212</v>
      </c>
      <c r="E2070" t="s">
        <v>114</v>
      </c>
      <c r="F2070" t="s">
        <v>700</v>
      </c>
      <c r="G2070" t="str">
        <f>"53-7062.00"</f>
        <v>53-7062.00</v>
      </c>
      <c r="H2070" t="s">
        <v>2078</v>
      </c>
      <c r="I2070">
        <v>25</v>
      </c>
      <c r="K2070" s="1">
        <v>45200</v>
      </c>
      <c r="L2070" s="1">
        <v>45473</v>
      </c>
      <c r="O2070" t="s">
        <v>116</v>
      </c>
      <c r="P2070" t="s">
        <v>10556</v>
      </c>
      <c r="R2070" t="s">
        <v>10557</v>
      </c>
      <c r="T2070" t="s">
        <v>10558</v>
      </c>
      <c r="U2070" t="s">
        <v>140</v>
      </c>
      <c r="V2070" s="8" t="str">
        <f>"33351"</f>
        <v>33351</v>
      </c>
      <c r="W2070" t="s">
        <v>118</v>
      </c>
      <c r="Y2070" s="10">
        <v>18882177413</v>
      </c>
      <c r="AA2070">
        <v>561790</v>
      </c>
      <c r="AB2070" t="s">
        <v>7293</v>
      </c>
      <c r="AC2070" t="s">
        <v>10559</v>
      </c>
      <c r="AE2070" t="s">
        <v>3588</v>
      </c>
      <c r="AF2070" t="s">
        <v>10557</v>
      </c>
      <c r="AH2070" t="s">
        <v>10560</v>
      </c>
      <c r="AI2070" t="s">
        <v>140</v>
      </c>
      <c r="AJ2070" s="8" t="str">
        <f>"33351"</f>
        <v>33351</v>
      </c>
      <c r="AK2070" t="s">
        <v>118</v>
      </c>
      <c r="AM2070" s="10">
        <v>13326003490</v>
      </c>
      <c r="AO2070" t="s">
        <v>10561</v>
      </c>
      <c r="AP2070" t="s">
        <v>121</v>
      </c>
      <c r="AQ2070" t="s">
        <v>7293</v>
      </c>
      <c r="AR2070" t="s">
        <v>10562</v>
      </c>
      <c r="AT2070" t="s">
        <v>10563</v>
      </c>
      <c r="AU2070">
        <v>1987</v>
      </c>
      <c r="AV2070" t="s">
        <v>272</v>
      </c>
      <c r="AW2070" t="s">
        <v>140</v>
      </c>
      <c r="AX2070" s="8" t="str">
        <f>"33020"</f>
        <v>33020</v>
      </c>
      <c r="AY2070" t="s">
        <v>118</v>
      </c>
      <c r="BA2070" s="10">
        <v>17868783626</v>
      </c>
      <c r="BC2070" t="s">
        <v>10564</v>
      </c>
      <c r="BD2070" t="s">
        <v>10565</v>
      </c>
      <c r="BE2070" t="s">
        <v>140</v>
      </c>
      <c r="BF2070" t="s">
        <v>3229</v>
      </c>
      <c r="BG2070" t="s">
        <v>140</v>
      </c>
      <c r="BH2070" s="1">
        <v>45106.833333333336</v>
      </c>
      <c r="BI2070">
        <v>35</v>
      </c>
      <c r="BJ2070">
        <v>0</v>
      </c>
      <c r="BK2070">
        <v>7</v>
      </c>
      <c r="BL2070">
        <v>7</v>
      </c>
      <c r="BM2070">
        <v>7</v>
      </c>
      <c r="BN2070">
        <v>7</v>
      </c>
      <c r="BO2070">
        <v>7</v>
      </c>
      <c r="BP2070">
        <v>0</v>
      </c>
      <c r="BQ2070" t="str">
        <f>"7:00 AM"</f>
        <v>7:00 AM</v>
      </c>
      <c r="BR2070" t="str">
        <f>"2:00 PM"</f>
        <v>2:00 PM</v>
      </c>
      <c r="BS2070" t="s">
        <v>131</v>
      </c>
      <c r="BT2070">
        <v>0</v>
      </c>
      <c r="BU2070">
        <v>0</v>
      </c>
      <c r="BV2070" t="s">
        <v>114</v>
      </c>
      <c r="BX2070" t="s">
        <v>131</v>
      </c>
      <c r="BY2070" t="s">
        <v>10557</v>
      </c>
      <c r="CA2070" t="s">
        <v>10558</v>
      </c>
      <c r="CB2070" t="s">
        <v>140</v>
      </c>
      <c r="CC2070" s="8" t="str">
        <f>"33351"</f>
        <v>33351</v>
      </c>
      <c r="CD2070" t="s">
        <v>287</v>
      </c>
      <c r="CE2070" t="s">
        <v>149</v>
      </c>
      <c r="CF2070" s="12">
        <v>19.5</v>
      </c>
      <c r="CG2070" s="12">
        <v>19.5</v>
      </c>
      <c r="CJ2070" t="s">
        <v>135</v>
      </c>
      <c r="CK2070" t="s">
        <v>131</v>
      </c>
      <c r="CL2070" t="s">
        <v>10566</v>
      </c>
      <c r="CO2070" t="s">
        <v>132</v>
      </c>
      <c r="CP2070" t="s">
        <v>114</v>
      </c>
      <c r="CQ2070" t="s">
        <v>136</v>
      </c>
      <c r="CR2070" t="s">
        <v>114</v>
      </c>
      <c r="CS2070" t="s">
        <v>136</v>
      </c>
      <c r="CT2070" t="s">
        <v>136</v>
      </c>
      <c r="CU2070" t="s">
        <v>136</v>
      </c>
      <c r="CV2070" s="2" t="s">
        <v>10567</v>
      </c>
      <c r="CW2070" s="10" t="str">
        <f>"+18882177413"</f>
        <v>+18882177413</v>
      </c>
      <c r="CX2070" t="s">
        <v>10568</v>
      </c>
      <c r="CY2070" t="s">
        <v>132</v>
      </c>
      <c r="CZ2070" t="s">
        <v>137</v>
      </c>
      <c r="DA2070" t="s">
        <v>114</v>
      </c>
      <c r="DB2070" t="s">
        <v>136</v>
      </c>
      <c r="DC2070" t="s">
        <v>136</v>
      </c>
      <c r="DD2070" t="s">
        <v>114</v>
      </c>
      <c r="DE2070" t="s">
        <v>7293</v>
      </c>
      <c r="DF2070" t="s">
        <v>10562</v>
      </c>
      <c r="DH2070" t="s">
        <v>10569</v>
      </c>
      <c r="DI2070" t="s">
        <v>10570</v>
      </c>
    </row>
    <row r="2071" spans="1:113" ht="15" customHeight="1" x14ac:dyDescent="0.25">
      <c r="A2071" t="s">
        <v>19416</v>
      </c>
      <c r="B2071" t="s">
        <v>113</v>
      </c>
      <c r="C2071" s="1">
        <v>45112.669431018519</v>
      </c>
      <c r="D2071" s="1">
        <v>45212</v>
      </c>
      <c r="E2071" t="s">
        <v>114</v>
      </c>
      <c r="F2071" t="s">
        <v>19417</v>
      </c>
      <c r="G2071" t="str">
        <f>"41-2031.00"</f>
        <v>41-2031.00</v>
      </c>
      <c r="H2071" t="s">
        <v>2705</v>
      </c>
      <c r="I2071">
        <v>5</v>
      </c>
      <c r="K2071" s="1">
        <v>45200</v>
      </c>
      <c r="L2071" s="1">
        <v>45417</v>
      </c>
      <c r="O2071" t="s">
        <v>116</v>
      </c>
      <c r="P2071" t="s">
        <v>19418</v>
      </c>
      <c r="Q2071" t="s">
        <v>19419</v>
      </c>
      <c r="R2071" t="s">
        <v>19420</v>
      </c>
      <c r="S2071" t="s">
        <v>19421</v>
      </c>
      <c r="T2071" t="s">
        <v>1220</v>
      </c>
      <c r="U2071" t="s">
        <v>358</v>
      </c>
      <c r="V2071" s="8" t="str">
        <f>"10036"</f>
        <v>10036</v>
      </c>
      <c r="W2071" t="s">
        <v>118</v>
      </c>
      <c r="Y2071" s="10">
        <v>12127308889</v>
      </c>
      <c r="AA2071">
        <v>448310</v>
      </c>
      <c r="AB2071" t="s">
        <v>19422</v>
      </c>
      <c r="AC2071" t="s">
        <v>19423</v>
      </c>
      <c r="AE2071" t="s">
        <v>19424</v>
      </c>
      <c r="AF2071" t="s">
        <v>19420</v>
      </c>
      <c r="AG2071" t="s">
        <v>19421</v>
      </c>
      <c r="AH2071" t="s">
        <v>1220</v>
      </c>
      <c r="AI2071" t="s">
        <v>358</v>
      </c>
      <c r="AJ2071" s="8" t="str">
        <f>"10036"</f>
        <v>10036</v>
      </c>
      <c r="AK2071" t="s">
        <v>118</v>
      </c>
      <c r="AM2071" s="10">
        <v>12127308889</v>
      </c>
      <c r="AO2071" t="s">
        <v>19425</v>
      </c>
      <c r="AP2071" t="s">
        <v>121</v>
      </c>
      <c r="AQ2071" t="s">
        <v>19426</v>
      </c>
      <c r="AR2071" t="s">
        <v>19427</v>
      </c>
      <c r="AT2071" t="s">
        <v>19428</v>
      </c>
      <c r="AU2071" t="s">
        <v>19429</v>
      </c>
      <c r="AV2071" t="s">
        <v>9384</v>
      </c>
      <c r="AW2071" t="s">
        <v>402</v>
      </c>
      <c r="AX2071" s="8" t="str">
        <f>"90211"</f>
        <v>90211</v>
      </c>
      <c r="AY2071" t="s">
        <v>118</v>
      </c>
      <c r="BA2071" s="10">
        <v>13105501227</v>
      </c>
      <c r="BC2071" t="s">
        <v>19430</v>
      </c>
      <c r="BD2071" t="s">
        <v>19431</v>
      </c>
      <c r="BE2071" t="s">
        <v>402</v>
      </c>
      <c r="BF2071" t="s">
        <v>172</v>
      </c>
      <c r="BG2071" t="s">
        <v>358</v>
      </c>
      <c r="BH2071" s="1">
        <v>45111.833333333336</v>
      </c>
      <c r="BI2071">
        <v>40</v>
      </c>
      <c r="BJ2071">
        <v>0</v>
      </c>
      <c r="BK2071">
        <v>8</v>
      </c>
      <c r="BL2071">
        <v>8</v>
      </c>
      <c r="BM2071">
        <v>8</v>
      </c>
      <c r="BN2071">
        <v>8</v>
      </c>
      <c r="BO2071">
        <v>8</v>
      </c>
      <c r="BP2071">
        <v>0</v>
      </c>
      <c r="BQ2071" t="str">
        <f>"8:00 AM"</f>
        <v>8:00 AM</v>
      </c>
      <c r="BR2071" t="str">
        <f>"9:00 PM"</f>
        <v>9:00 PM</v>
      </c>
      <c r="BS2071" t="s">
        <v>147</v>
      </c>
      <c r="BT2071">
        <v>0</v>
      </c>
      <c r="BU2071">
        <v>12</v>
      </c>
      <c r="BV2071" t="s">
        <v>114</v>
      </c>
      <c r="BX2071" s="2" t="s">
        <v>19432</v>
      </c>
      <c r="BY2071" t="s">
        <v>19420</v>
      </c>
      <c r="BZ2071" t="s">
        <v>19421</v>
      </c>
      <c r="CA2071" t="s">
        <v>1220</v>
      </c>
      <c r="CB2071" t="s">
        <v>358</v>
      </c>
      <c r="CC2071" s="8" t="str">
        <f>"10036"</f>
        <v>10036</v>
      </c>
      <c r="CD2071" t="s">
        <v>1497</v>
      </c>
      <c r="CE2071" t="s">
        <v>1418</v>
      </c>
      <c r="CF2071" s="12">
        <v>17.86</v>
      </c>
      <c r="CH2071" s="12">
        <v>26.79</v>
      </c>
      <c r="CJ2071" t="s">
        <v>135</v>
      </c>
      <c r="CK2071" t="s">
        <v>19433</v>
      </c>
      <c r="CL2071" t="s">
        <v>19434</v>
      </c>
      <c r="CO2071" t="s">
        <v>132</v>
      </c>
      <c r="CP2071" t="s">
        <v>114</v>
      </c>
      <c r="CQ2071" t="s">
        <v>114</v>
      </c>
      <c r="CR2071" t="s">
        <v>136</v>
      </c>
      <c r="CS2071" t="s">
        <v>114</v>
      </c>
      <c r="CT2071" t="s">
        <v>136</v>
      </c>
      <c r="CU2071" t="s">
        <v>114</v>
      </c>
      <c r="CV2071" t="s">
        <v>17369</v>
      </c>
      <c r="CW2071" s="10" t="str">
        <f>"+12127308889"</f>
        <v>+12127308889</v>
      </c>
      <c r="CX2071" t="s">
        <v>19435</v>
      </c>
      <c r="CY2071" t="s">
        <v>132</v>
      </c>
      <c r="CZ2071" t="s">
        <v>137</v>
      </c>
      <c r="DA2071" t="s">
        <v>114</v>
      </c>
      <c r="DB2071" t="s">
        <v>114</v>
      </c>
      <c r="DC2071" t="s">
        <v>136</v>
      </c>
      <c r="DD2071" t="s">
        <v>114</v>
      </c>
    </row>
    <row r="2072" spans="1:113" ht="15" customHeight="1" x14ac:dyDescent="0.25">
      <c r="A2072" t="s">
        <v>18616</v>
      </c>
      <c r="B2072" t="s">
        <v>113</v>
      </c>
      <c r="C2072" s="1">
        <v>45111.761379282405</v>
      </c>
      <c r="D2072" s="1">
        <v>45212</v>
      </c>
      <c r="E2072" t="s">
        <v>114</v>
      </c>
      <c r="F2072" t="s">
        <v>18617</v>
      </c>
      <c r="G2072" t="str">
        <f>"51-3022.00"</f>
        <v>51-3022.00</v>
      </c>
      <c r="H2072" t="s">
        <v>1004</v>
      </c>
      <c r="I2072">
        <v>2</v>
      </c>
      <c r="K2072" s="1">
        <v>45200</v>
      </c>
      <c r="L2072" s="1">
        <v>45504</v>
      </c>
      <c r="O2072" t="s">
        <v>116</v>
      </c>
      <c r="P2072" t="s">
        <v>1005</v>
      </c>
      <c r="R2072" t="s">
        <v>1006</v>
      </c>
      <c r="T2072" t="s">
        <v>1007</v>
      </c>
      <c r="U2072" t="s">
        <v>581</v>
      </c>
      <c r="V2072" s="8" t="str">
        <f>"23430"</f>
        <v>23430</v>
      </c>
      <c r="W2072" t="s">
        <v>118</v>
      </c>
      <c r="Y2072" s="10">
        <v>17573754572</v>
      </c>
      <c r="AA2072">
        <v>311612</v>
      </c>
      <c r="AB2072" t="s">
        <v>1008</v>
      </c>
      <c r="AC2072" t="s">
        <v>1009</v>
      </c>
      <c r="AE2072" t="s">
        <v>1010</v>
      </c>
      <c r="AF2072" t="s">
        <v>1006</v>
      </c>
      <c r="AH2072" t="s">
        <v>1007</v>
      </c>
      <c r="AI2072" t="s">
        <v>581</v>
      </c>
      <c r="AJ2072" s="8" t="str">
        <f>"23430"</f>
        <v>23430</v>
      </c>
      <c r="AK2072" t="s">
        <v>118</v>
      </c>
      <c r="AM2072" s="10">
        <v>17573754572</v>
      </c>
      <c r="AO2072" t="s">
        <v>1011</v>
      </c>
      <c r="AP2072" t="s">
        <v>121</v>
      </c>
      <c r="AQ2072" t="s">
        <v>380</v>
      </c>
      <c r="AR2072" t="s">
        <v>381</v>
      </c>
      <c r="AT2072" t="s">
        <v>383</v>
      </c>
      <c r="AV2072" t="s">
        <v>385</v>
      </c>
      <c r="AW2072" t="s">
        <v>386</v>
      </c>
      <c r="AX2072" s="8" t="str">
        <f>"37122"</f>
        <v>37122</v>
      </c>
      <c r="AY2072" t="s">
        <v>118</v>
      </c>
      <c r="BA2072" s="10">
        <v>16154227130</v>
      </c>
      <c r="BC2072" t="s">
        <v>1012</v>
      </c>
      <c r="BD2072" t="s">
        <v>1013</v>
      </c>
      <c r="BE2072" t="s">
        <v>386</v>
      </c>
      <c r="BF2072" t="s">
        <v>389</v>
      </c>
      <c r="BG2072" t="s">
        <v>2090</v>
      </c>
      <c r="BH2072" s="1">
        <v>45110.833333333336</v>
      </c>
      <c r="BI2072">
        <v>40</v>
      </c>
      <c r="BJ2072">
        <v>0</v>
      </c>
      <c r="BK2072">
        <v>8</v>
      </c>
      <c r="BL2072">
        <v>8</v>
      </c>
      <c r="BM2072">
        <v>8</v>
      </c>
      <c r="BN2072">
        <v>8</v>
      </c>
      <c r="BO2072">
        <v>8</v>
      </c>
      <c r="BP2072">
        <v>0</v>
      </c>
      <c r="BQ2072" t="str">
        <f>"6:30 AM"</f>
        <v>6:30 AM</v>
      </c>
      <c r="BR2072" t="str">
        <f>"3:00 PM"</f>
        <v>3:00 PM</v>
      </c>
      <c r="BS2072" t="s">
        <v>131</v>
      </c>
      <c r="BT2072">
        <v>1</v>
      </c>
      <c r="BU2072">
        <v>0</v>
      </c>
      <c r="BV2072" t="s">
        <v>114</v>
      </c>
      <c r="BX2072" s="2" t="s">
        <v>18618</v>
      </c>
      <c r="BY2072" t="s">
        <v>8728</v>
      </c>
      <c r="CA2072" t="s">
        <v>8729</v>
      </c>
      <c r="CB2072" t="s">
        <v>2090</v>
      </c>
      <c r="CC2072" s="8" t="str">
        <f>"68333"</f>
        <v>68333</v>
      </c>
      <c r="CD2072" t="s">
        <v>8730</v>
      </c>
      <c r="CE2072" t="s">
        <v>2275</v>
      </c>
      <c r="CF2072" s="12">
        <v>18.3</v>
      </c>
      <c r="CG2072" s="12">
        <v>21.05</v>
      </c>
      <c r="CH2072" s="12">
        <v>27.45</v>
      </c>
      <c r="CI2072" s="12">
        <v>31.58</v>
      </c>
      <c r="CJ2072" t="s">
        <v>135</v>
      </c>
      <c r="CK2072" t="s">
        <v>18619</v>
      </c>
      <c r="CL2072" t="s">
        <v>18620</v>
      </c>
      <c r="CO2072" t="s">
        <v>132</v>
      </c>
      <c r="CP2072" t="s">
        <v>114</v>
      </c>
      <c r="CQ2072" t="s">
        <v>114</v>
      </c>
      <c r="CR2072" t="s">
        <v>136</v>
      </c>
      <c r="CS2072" t="s">
        <v>136</v>
      </c>
      <c r="CT2072" t="s">
        <v>136</v>
      </c>
      <c r="CU2072" t="s">
        <v>136</v>
      </c>
      <c r="CV2072" s="2" t="s">
        <v>1021</v>
      </c>
      <c r="CW2072" s="10" t="str">
        <f>"+17576353808"</f>
        <v>+17576353808</v>
      </c>
      <c r="CX2072" t="s">
        <v>1022</v>
      </c>
      <c r="CY2072" t="s">
        <v>132</v>
      </c>
      <c r="CZ2072" t="s">
        <v>137</v>
      </c>
      <c r="DA2072" t="s">
        <v>114</v>
      </c>
      <c r="DB2072" t="s">
        <v>114</v>
      </c>
      <c r="DC2072" t="s">
        <v>136</v>
      </c>
      <c r="DD2072" t="s">
        <v>114</v>
      </c>
    </row>
    <row r="2073" spans="1:113" ht="15" customHeight="1" x14ac:dyDescent="0.25">
      <c r="A2073" t="s">
        <v>14190</v>
      </c>
      <c r="B2073" t="s">
        <v>113</v>
      </c>
      <c r="C2073" s="1">
        <v>45111.736333217596</v>
      </c>
      <c r="D2073" s="1">
        <v>45212</v>
      </c>
      <c r="E2073" t="s">
        <v>114</v>
      </c>
      <c r="F2073" t="s">
        <v>14191</v>
      </c>
      <c r="G2073" t="str">
        <f>"51-3022.00"</f>
        <v>51-3022.00</v>
      </c>
      <c r="H2073" t="s">
        <v>1004</v>
      </c>
      <c r="I2073">
        <v>4</v>
      </c>
      <c r="K2073" s="1">
        <v>45200</v>
      </c>
      <c r="L2073" s="1">
        <v>45504</v>
      </c>
      <c r="O2073" t="s">
        <v>116</v>
      </c>
      <c r="P2073" t="s">
        <v>1005</v>
      </c>
      <c r="R2073" t="s">
        <v>1006</v>
      </c>
      <c r="T2073" t="s">
        <v>1007</v>
      </c>
      <c r="U2073" t="s">
        <v>581</v>
      </c>
      <c r="V2073" s="8" t="str">
        <f>"23430"</f>
        <v>23430</v>
      </c>
      <c r="W2073" t="s">
        <v>118</v>
      </c>
      <c r="Y2073" s="10">
        <v>17573754572</v>
      </c>
      <c r="AA2073">
        <v>311612</v>
      </c>
      <c r="AB2073" t="s">
        <v>1008</v>
      </c>
      <c r="AC2073" t="s">
        <v>1009</v>
      </c>
      <c r="AE2073" t="s">
        <v>1010</v>
      </c>
      <c r="AF2073" t="s">
        <v>1006</v>
      </c>
      <c r="AH2073" t="s">
        <v>1007</v>
      </c>
      <c r="AI2073" t="s">
        <v>581</v>
      </c>
      <c r="AJ2073" s="8" t="str">
        <f>"23430"</f>
        <v>23430</v>
      </c>
      <c r="AK2073" t="s">
        <v>118</v>
      </c>
      <c r="AM2073" s="10">
        <v>17573754572</v>
      </c>
      <c r="AO2073" t="s">
        <v>1011</v>
      </c>
      <c r="AP2073" t="s">
        <v>121</v>
      </c>
      <c r="AQ2073" t="s">
        <v>380</v>
      </c>
      <c r="AR2073" t="s">
        <v>381</v>
      </c>
      <c r="AT2073" t="s">
        <v>383</v>
      </c>
      <c r="AV2073" t="s">
        <v>385</v>
      </c>
      <c r="AW2073" t="s">
        <v>386</v>
      </c>
      <c r="AX2073" s="8" t="str">
        <f>"37122"</f>
        <v>37122</v>
      </c>
      <c r="AY2073" t="s">
        <v>118</v>
      </c>
      <c r="BA2073" s="10">
        <v>16154227130</v>
      </c>
      <c r="BC2073" t="s">
        <v>1012</v>
      </c>
      <c r="BD2073" t="s">
        <v>1013</v>
      </c>
      <c r="BE2073" t="s">
        <v>386</v>
      </c>
      <c r="BF2073" t="s">
        <v>389</v>
      </c>
      <c r="BG2073" t="s">
        <v>2090</v>
      </c>
      <c r="BH2073" s="1">
        <v>45110.833333333336</v>
      </c>
      <c r="BI2073">
        <v>40</v>
      </c>
      <c r="BJ2073">
        <v>0</v>
      </c>
      <c r="BK2073">
        <v>8</v>
      </c>
      <c r="BL2073">
        <v>8</v>
      </c>
      <c r="BM2073">
        <v>8</v>
      </c>
      <c r="BN2073">
        <v>8</v>
      </c>
      <c r="BO2073">
        <v>8</v>
      </c>
      <c r="BP2073">
        <v>0</v>
      </c>
      <c r="BQ2073" t="str">
        <f>"6:30 AM"</f>
        <v>6:30 AM</v>
      </c>
      <c r="BR2073" t="str">
        <f>"3:00 PM"</f>
        <v>3:00 PM</v>
      </c>
      <c r="BS2073" t="s">
        <v>131</v>
      </c>
      <c r="BT2073">
        <v>1</v>
      </c>
      <c r="BU2073">
        <v>0</v>
      </c>
      <c r="BV2073" t="s">
        <v>114</v>
      </c>
      <c r="BX2073" s="2" t="s">
        <v>11707</v>
      </c>
      <c r="BY2073" t="s">
        <v>8728</v>
      </c>
      <c r="CA2073" t="s">
        <v>8729</v>
      </c>
      <c r="CB2073" t="s">
        <v>2090</v>
      </c>
      <c r="CC2073" s="8" t="str">
        <f>"68333"</f>
        <v>68333</v>
      </c>
      <c r="CD2073" t="s">
        <v>8730</v>
      </c>
      <c r="CE2073" t="s">
        <v>2275</v>
      </c>
      <c r="CF2073" s="12">
        <v>18.3</v>
      </c>
      <c r="CG2073" s="12">
        <v>23.4</v>
      </c>
      <c r="CH2073" s="12">
        <v>27.45</v>
      </c>
      <c r="CI2073" s="12">
        <v>35.1</v>
      </c>
      <c r="CJ2073" t="s">
        <v>135</v>
      </c>
      <c r="CK2073" t="s">
        <v>14192</v>
      </c>
      <c r="CL2073" t="s">
        <v>14193</v>
      </c>
      <c r="CO2073" t="s">
        <v>132</v>
      </c>
      <c r="CP2073" t="s">
        <v>114</v>
      </c>
      <c r="CQ2073" t="s">
        <v>114</v>
      </c>
      <c r="CR2073" t="s">
        <v>136</v>
      </c>
      <c r="CS2073" t="s">
        <v>136</v>
      </c>
      <c r="CT2073" t="s">
        <v>136</v>
      </c>
      <c r="CU2073" t="s">
        <v>136</v>
      </c>
      <c r="CV2073" s="2" t="s">
        <v>1021</v>
      </c>
      <c r="CW2073" s="10" t="str">
        <f>"+17576353808"</f>
        <v>+17576353808</v>
      </c>
      <c r="CX2073" t="s">
        <v>1022</v>
      </c>
      <c r="CY2073" t="s">
        <v>132</v>
      </c>
      <c r="CZ2073" t="s">
        <v>137</v>
      </c>
      <c r="DA2073" t="s">
        <v>114</v>
      </c>
      <c r="DB2073" t="s">
        <v>114</v>
      </c>
      <c r="DC2073" t="s">
        <v>136</v>
      </c>
      <c r="DD2073" t="s">
        <v>114</v>
      </c>
    </row>
    <row r="2074" spans="1:113" ht="15" customHeight="1" x14ac:dyDescent="0.25">
      <c r="A2074" t="s">
        <v>8726</v>
      </c>
      <c r="B2074" t="s">
        <v>113</v>
      </c>
      <c r="C2074" s="1">
        <v>45111.680783217591</v>
      </c>
      <c r="D2074" s="1">
        <v>45212</v>
      </c>
      <c r="E2074" t="s">
        <v>114</v>
      </c>
      <c r="F2074" t="s">
        <v>3896</v>
      </c>
      <c r="G2074" t="str">
        <f>"51-3022.00"</f>
        <v>51-3022.00</v>
      </c>
      <c r="H2074" t="s">
        <v>1004</v>
      </c>
      <c r="I2074">
        <v>45</v>
      </c>
      <c r="K2074" s="1">
        <v>45200</v>
      </c>
      <c r="L2074" s="1">
        <v>45504</v>
      </c>
      <c r="O2074" t="s">
        <v>116</v>
      </c>
      <c r="P2074" t="s">
        <v>1005</v>
      </c>
      <c r="R2074" t="s">
        <v>1006</v>
      </c>
      <c r="T2074" t="s">
        <v>1007</v>
      </c>
      <c r="U2074" t="s">
        <v>581</v>
      </c>
      <c r="V2074" s="8" t="str">
        <f>"23430"</f>
        <v>23430</v>
      </c>
      <c r="W2074" t="s">
        <v>118</v>
      </c>
      <c r="Y2074" s="10">
        <v>17573754572</v>
      </c>
      <c r="AA2074">
        <v>311612</v>
      </c>
      <c r="AB2074" t="s">
        <v>1008</v>
      </c>
      <c r="AC2074" t="s">
        <v>1009</v>
      </c>
      <c r="AE2074" t="s">
        <v>1010</v>
      </c>
      <c r="AF2074" t="s">
        <v>1006</v>
      </c>
      <c r="AH2074" t="s">
        <v>1007</v>
      </c>
      <c r="AI2074" t="s">
        <v>581</v>
      </c>
      <c r="AJ2074" s="8" t="str">
        <f>"23430"</f>
        <v>23430</v>
      </c>
      <c r="AK2074" t="s">
        <v>118</v>
      </c>
      <c r="AM2074" s="10">
        <v>17573754572</v>
      </c>
      <c r="AO2074" t="s">
        <v>1011</v>
      </c>
      <c r="AP2074" t="s">
        <v>121</v>
      </c>
      <c r="AQ2074" t="s">
        <v>380</v>
      </c>
      <c r="AR2074" t="s">
        <v>381</v>
      </c>
      <c r="AT2074" t="s">
        <v>383</v>
      </c>
      <c r="AV2074" t="s">
        <v>385</v>
      </c>
      <c r="AW2074" t="s">
        <v>386</v>
      </c>
      <c r="AX2074" s="8" t="str">
        <f>"37122"</f>
        <v>37122</v>
      </c>
      <c r="AY2074" t="s">
        <v>118</v>
      </c>
      <c r="BA2074" s="10">
        <v>16154227130</v>
      </c>
      <c r="BC2074" t="s">
        <v>1012</v>
      </c>
      <c r="BD2074" t="s">
        <v>1013</v>
      </c>
      <c r="BE2074" t="s">
        <v>386</v>
      </c>
      <c r="BF2074" t="s">
        <v>389</v>
      </c>
      <c r="BG2074" t="s">
        <v>2090</v>
      </c>
      <c r="BH2074" s="1">
        <v>45110.833333333336</v>
      </c>
      <c r="BI2074">
        <v>40</v>
      </c>
      <c r="BJ2074">
        <v>0</v>
      </c>
      <c r="BK2074">
        <v>8</v>
      </c>
      <c r="BL2074">
        <v>8</v>
      </c>
      <c r="BM2074">
        <v>8</v>
      </c>
      <c r="BN2074">
        <v>8</v>
      </c>
      <c r="BO2074">
        <v>8</v>
      </c>
      <c r="BP2074">
        <v>0</v>
      </c>
      <c r="BQ2074" t="str">
        <f>"6:30 AM"</f>
        <v>6:30 AM</v>
      </c>
      <c r="BR2074" t="str">
        <f>"3:00 PM"</f>
        <v>3:00 PM</v>
      </c>
      <c r="BS2074" t="s">
        <v>131</v>
      </c>
      <c r="BT2074">
        <v>1</v>
      </c>
      <c r="BU2074">
        <v>0</v>
      </c>
      <c r="BV2074" t="s">
        <v>114</v>
      </c>
      <c r="BX2074" s="2" t="s">
        <v>8727</v>
      </c>
      <c r="BY2074" t="s">
        <v>8728</v>
      </c>
      <c r="CA2074" t="s">
        <v>8729</v>
      </c>
      <c r="CB2074" t="s">
        <v>2090</v>
      </c>
      <c r="CC2074" s="8" t="str">
        <f>"68333"</f>
        <v>68333</v>
      </c>
      <c r="CD2074" t="s">
        <v>8730</v>
      </c>
      <c r="CE2074" t="s">
        <v>2275</v>
      </c>
      <c r="CF2074" s="12">
        <v>18.3</v>
      </c>
      <c r="CG2074" s="12">
        <v>21.05</v>
      </c>
      <c r="CH2074" s="12">
        <v>27.45</v>
      </c>
      <c r="CI2074" s="12">
        <v>31.58</v>
      </c>
      <c r="CJ2074" t="s">
        <v>135</v>
      </c>
      <c r="CK2074" t="s">
        <v>8731</v>
      </c>
      <c r="CL2074" t="s">
        <v>8732</v>
      </c>
      <c r="CO2074" t="s">
        <v>132</v>
      </c>
      <c r="CP2074" t="s">
        <v>114</v>
      </c>
      <c r="CQ2074" t="s">
        <v>114</v>
      </c>
      <c r="CR2074" t="s">
        <v>136</v>
      </c>
      <c r="CS2074" t="s">
        <v>136</v>
      </c>
      <c r="CT2074" t="s">
        <v>136</v>
      </c>
      <c r="CU2074" t="s">
        <v>136</v>
      </c>
      <c r="CV2074" s="2" t="s">
        <v>1021</v>
      </c>
      <c r="CW2074" s="10" t="str">
        <f>"+17576353808"</f>
        <v>+17576353808</v>
      </c>
      <c r="CX2074" t="s">
        <v>1022</v>
      </c>
      <c r="CY2074" t="s">
        <v>132</v>
      </c>
      <c r="CZ2074" t="s">
        <v>137</v>
      </c>
      <c r="DA2074" t="s">
        <v>114</v>
      </c>
      <c r="DB2074" t="s">
        <v>114</v>
      </c>
      <c r="DC2074" t="s">
        <v>136</v>
      </c>
      <c r="DD2074" t="s">
        <v>114</v>
      </c>
    </row>
    <row r="2075" spans="1:113" ht="15" customHeight="1" x14ac:dyDescent="0.25">
      <c r="A2075" t="s">
        <v>13234</v>
      </c>
      <c r="B2075" t="s">
        <v>113</v>
      </c>
      <c r="C2075" s="1">
        <v>45111.567476041666</v>
      </c>
      <c r="D2075" s="1">
        <v>45212</v>
      </c>
      <c r="E2075" t="s">
        <v>114</v>
      </c>
      <c r="F2075" t="s">
        <v>13235</v>
      </c>
      <c r="G2075" t="str">
        <f>"51-3022.00"</f>
        <v>51-3022.00</v>
      </c>
      <c r="H2075" t="s">
        <v>1004</v>
      </c>
      <c r="I2075">
        <v>4</v>
      </c>
      <c r="K2075" s="1">
        <v>45200</v>
      </c>
      <c r="L2075" s="1">
        <v>45473</v>
      </c>
      <c r="O2075" t="s">
        <v>116</v>
      </c>
      <c r="P2075" t="s">
        <v>1005</v>
      </c>
      <c r="R2075" t="s">
        <v>1006</v>
      </c>
      <c r="T2075" t="s">
        <v>1007</v>
      </c>
      <c r="U2075" t="s">
        <v>581</v>
      </c>
      <c r="V2075" s="8" t="str">
        <f>"23430"</f>
        <v>23430</v>
      </c>
      <c r="W2075" t="s">
        <v>118</v>
      </c>
      <c r="Y2075" s="10">
        <v>17573754572</v>
      </c>
      <c r="AA2075">
        <v>311612</v>
      </c>
      <c r="AB2075" t="s">
        <v>1008</v>
      </c>
      <c r="AC2075" t="s">
        <v>1009</v>
      </c>
      <c r="AE2075" t="s">
        <v>1010</v>
      </c>
      <c r="AF2075" t="s">
        <v>1006</v>
      </c>
      <c r="AH2075" t="s">
        <v>1007</v>
      </c>
      <c r="AI2075" t="s">
        <v>581</v>
      </c>
      <c r="AJ2075" s="8" t="str">
        <f>"23430"</f>
        <v>23430</v>
      </c>
      <c r="AK2075" t="s">
        <v>118</v>
      </c>
      <c r="AM2075" s="10">
        <v>17573754572</v>
      </c>
      <c r="AO2075" t="s">
        <v>1011</v>
      </c>
      <c r="AP2075" t="s">
        <v>121</v>
      </c>
      <c r="AQ2075" t="s">
        <v>380</v>
      </c>
      <c r="AR2075" t="s">
        <v>381</v>
      </c>
      <c r="AT2075" t="s">
        <v>383</v>
      </c>
      <c r="AV2075" t="s">
        <v>385</v>
      </c>
      <c r="AW2075" t="s">
        <v>386</v>
      </c>
      <c r="AX2075" s="8" t="str">
        <f>"37122"</f>
        <v>37122</v>
      </c>
      <c r="AY2075" t="s">
        <v>118</v>
      </c>
      <c r="BA2075" s="10">
        <v>16154227130</v>
      </c>
      <c r="BC2075" t="s">
        <v>1012</v>
      </c>
      <c r="BD2075" t="s">
        <v>1013</v>
      </c>
      <c r="BE2075" t="s">
        <v>386</v>
      </c>
      <c r="BF2075" t="s">
        <v>389</v>
      </c>
      <c r="BG2075" t="s">
        <v>740</v>
      </c>
      <c r="BH2075" s="1">
        <v>45110.833333333336</v>
      </c>
      <c r="BI2075">
        <v>50</v>
      </c>
      <c r="BJ2075">
        <v>0</v>
      </c>
      <c r="BK2075">
        <v>10</v>
      </c>
      <c r="BL2075">
        <v>10</v>
      </c>
      <c r="BM2075">
        <v>10</v>
      </c>
      <c r="BN2075">
        <v>10</v>
      </c>
      <c r="BO2075">
        <v>10</v>
      </c>
      <c r="BP2075">
        <v>0</v>
      </c>
      <c r="BQ2075" t="str">
        <f>"6:00 AM"</f>
        <v>6:00 AM</v>
      </c>
      <c r="BR2075" t="str">
        <f>"4:30 PM"</f>
        <v>4:30 PM</v>
      </c>
      <c r="BS2075" t="s">
        <v>131</v>
      </c>
      <c r="BT2075">
        <v>1</v>
      </c>
      <c r="BU2075">
        <v>0</v>
      </c>
      <c r="BV2075" t="s">
        <v>114</v>
      </c>
      <c r="BX2075" s="2" t="s">
        <v>13236</v>
      </c>
      <c r="BY2075" t="s">
        <v>8871</v>
      </c>
      <c r="CA2075" t="s">
        <v>8872</v>
      </c>
      <c r="CB2075" t="s">
        <v>740</v>
      </c>
      <c r="CC2075" s="8" t="str">
        <f>"51442"</f>
        <v>51442</v>
      </c>
      <c r="CD2075" t="s">
        <v>8873</v>
      </c>
      <c r="CE2075" t="s">
        <v>8874</v>
      </c>
      <c r="CF2075" s="12">
        <v>18.600000000000001</v>
      </c>
      <c r="CG2075" s="12">
        <v>22.75</v>
      </c>
      <c r="CH2075" s="12">
        <v>27.9</v>
      </c>
      <c r="CI2075" s="12">
        <v>34.130000000000003</v>
      </c>
      <c r="CJ2075" t="s">
        <v>135</v>
      </c>
      <c r="CK2075" t="s">
        <v>8852</v>
      </c>
      <c r="CL2075" t="s">
        <v>13237</v>
      </c>
      <c r="CO2075" t="s">
        <v>132</v>
      </c>
      <c r="CP2075" t="s">
        <v>114</v>
      </c>
      <c r="CQ2075" t="s">
        <v>114</v>
      </c>
      <c r="CR2075" t="s">
        <v>136</v>
      </c>
      <c r="CS2075" t="s">
        <v>136</v>
      </c>
      <c r="CT2075" t="s">
        <v>136</v>
      </c>
      <c r="CU2075" t="s">
        <v>136</v>
      </c>
      <c r="CV2075" s="2" t="s">
        <v>1021</v>
      </c>
      <c r="CW2075" s="10" t="str">
        <f>"+17576353808"</f>
        <v>+17576353808</v>
      </c>
      <c r="CX2075" t="s">
        <v>1022</v>
      </c>
      <c r="CY2075" t="s">
        <v>132</v>
      </c>
      <c r="CZ2075" t="s">
        <v>137</v>
      </c>
      <c r="DA2075" t="s">
        <v>114</v>
      </c>
      <c r="DB2075" t="s">
        <v>114</v>
      </c>
      <c r="DC2075" t="s">
        <v>136</v>
      </c>
      <c r="DD2075" t="s">
        <v>114</v>
      </c>
    </row>
    <row r="2076" spans="1:113" ht="15" customHeight="1" x14ac:dyDescent="0.25">
      <c r="A2076" t="s">
        <v>4240</v>
      </c>
      <c r="B2076" t="s">
        <v>113</v>
      </c>
      <c r="C2076" s="1">
        <v>45111.490974884262</v>
      </c>
      <c r="D2076" s="1">
        <v>45212</v>
      </c>
      <c r="E2076" t="s">
        <v>114</v>
      </c>
      <c r="F2076" t="s">
        <v>3896</v>
      </c>
      <c r="G2076" t="str">
        <f>"51-3022.00"</f>
        <v>51-3022.00</v>
      </c>
      <c r="H2076" t="s">
        <v>1004</v>
      </c>
      <c r="I2076">
        <v>5</v>
      </c>
      <c r="K2076" s="1">
        <v>45200</v>
      </c>
      <c r="L2076" s="1">
        <v>45473</v>
      </c>
      <c r="O2076" t="s">
        <v>116</v>
      </c>
      <c r="P2076" t="s">
        <v>4241</v>
      </c>
      <c r="Q2076" t="s">
        <v>4242</v>
      </c>
      <c r="R2076" t="s">
        <v>4243</v>
      </c>
      <c r="T2076" t="s">
        <v>3013</v>
      </c>
      <c r="U2076" t="s">
        <v>740</v>
      </c>
      <c r="V2076" s="8" t="str">
        <f>"50317"</f>
        <v>50317</v>
      </c>
      <c r="W2076" t="s">
        <v>118</v>
      </c>
      <c r="Y2076" s="10">
        <v>17573754572</v>
      </c>
      <c r="AA2076">
        <v>311612</v>
      </c>
      <c r="AB2076" t="s">
        <v>1008</v>
      </c>
      <c r="AC2076" t="s">
        <v>1009</v>
      </c>
      <c r="AE2076" t="s">
        <v>1010</v>
      </c>
      <c r="AF2076" t="s">
        <v>1006</v>
      </c>
      <c r="AH2076" t="s">
        <v>1007</v>
      </c>
      <c r="AI2076" t="s">
        <v>581</v>
      </c>
      <c r="AJ2076" s="8" t="str">
        <f>"23430"</f>
        <v>23430</v>
      </c>
      <c r="AK2076" t="s">
        <v>118</v>
      </c>
      <c r="AM2076" s="10">
        <v>17573754572</v>
      </c>
      <c r="AO2076" t="s">
        <v>1011</v>
      </c>
      <c r="AP2076" t="s">
        <v>121</v>
      </c>
      <c r="AQ2076" t="s">
        <v>380</v>
      </c>
      <c r="AR2076" t="s">
        <v>381</v>
      </c>
      <c r="AT2076" t="s">
        <v>383</v>
      </c>
      <c r="AV2076" t="s">
        <v>385</v>
      </c>
      <c r="AW2076" t="s">
        <v>386</v>
      </c>
      <c r="AX2076" s="8" t="str">
        <f>"37122"</f>
        <v>37122</v>
      </c>
      <c r="AY2076" t="s">
        <v>118</v>
      </c>
      <c r="BA2076" s="10">
        <v>16154227130</v>
      </c>
      <c r="BC2076" t="s">
        <v>1012</v>
      </c>
      <c r="BD2076" t="s">
        <v>1013</v>
      </c>
      <c r="BE2076" t="s">
        <v>386</v>
      </c>
      <c r="BF2076" t="s">
        <v>389</v>
      </c>
      <c r="BG2076" t="s">
        <v>740</v>
      </c>
      <c r="BH2076" s="1">
        <v>45110.833333333336</v>
      </c>
      <c r="BI2076">
        <v>50</v>
      </c>
      <c r="BJ2076">
        <v>0</v>
      </c>
      <c r="BK2076">
        <v>10</v>
      </c>
      <c r="BL2076">
        <v>10</v>
      </c>
      <c r="BM2076">
        <v>10</v>
      </c>
      <c r="BN2076">
        <v>10</v>
      </c>
      <c r="BO2076">
        <v>10</v>
      </c>
      <c r="BP2076">
        <v>0</v>
      </c>
      <c r="BQ2076" t="str">
        <f>"6:00 AM"</f>
        <v>6:00 AM</v>
      </c>
      <c r="BR2076" t="str">
        <f>"5:30 PM"</f>
        <v>5:30 PM</v>
      </c>
      <c r="BS2076" t="s">
        <v>131</v>
      </c>
      <c r="BT2076">
        <v>1</v>
      </c>
      <c r="BU2076">
        <v>0</v>
      </c>
      <c r="BV2076" t="s">
        <v>114</v>
      </c>
      <c r="BX2076" s="2" t="s">
        <v>4244</v>
      </c>
      <c r="BY2076" t="s">
        <v>4245</v>
      </c>
      <c r="CA2076" t="s">
        <v>3013</v>
      </c>
      <c r="CB2076" t="s">
        <v>740</v>
      </c>
      <c r="CC2076" s="8" t="str">
        <f>"50317"</f>
        <v>50317</v>
      </c>
      <c r="CD2076" t="s">
        <v>1300</v>
      </c>
      <c r="CE2076" t="s">
        <v>1301</v>
      </c>
      <c r="CF2076" s="12">
        <v>17.170000000000002</v>
      </c>
      <c r="CG2076" s="12">
        <v>25.78</v>
      </c>
      <c r="CH2076" s="12">
        <v>27.76</v>
      </c>
      <c r="CI2076" s="12">
        <v>38.67</v>
      </c>
      <c r="CJ2076" t="s">
        <v>135</v>
      </c>
      <c r="CK2076" t="s">
        <v>4246</v>
      </c>
      <c r="CL2076" t="s">
        <v>4247</v>
      </c>
      <c r="CO2076" t="s">
        <v>132</v>
      </c>
      <c r="CP2076" t="s">
        <v>114</v>
      </c>
      <c r="CQ2076" t="s">
        <v>114</v>
      </c>
      <c r="CR2076" t="s">
        <v>136</v>
      </c>
      <c r="CS2076" t="s">
        <v>136</v>
      </c>
      <c r="CT2076" t="s">
        <v>136</v>
      </c>
      <c r="CU2076" t="s">
        <v>136</v>
      </c>
      <c r="CV2076" s="2" t="s">
        <v>1021</v>
      </c>
      <c r="CW2076" s="10" t="str">
        <f>"+17576353808"</f>
        <v>+17576353808</v>
      </c>
      <c r="CX2076" t="s">
        <v>1022</v>
      </c>
      <c r="CY2076" t="s">
        <v>132</v>
      </c>
      <c r="CZ2076" t="s">
        <v>137</v>
      </c>
      <c r="DA2076" t="s">
        <v>114</v>
      </c>
      <c r="DB2076" t="s">
        <v>114</v>
      </c>
      <c r="DC2076" t="s">
        <v>136</v>
      </c>
      <c r="DD2076" t="s">
        <v>114</v>
      </c>
    </row>
    <row r="2077" spans="1:113" ht="15" customHeight="1" x14ac:dyDescent="0.25">
      <c r="A2077" t="s">
        <v>19374</v>
      </c>
      <c r="B2077" t="s">
        <v>113</v>
      </c>
      <c r="C2077" s="1">
        <v>45111.475627546293</v>
      </c>
      <c r="D2077" s="1">
        <v>45212</v>
      </c>
      <c r="E2077" t="s">
        <v>114</v>
      </c>
      <c r="F2077" t="s">
        <v>19375</v>
      </c>
      <c r="G2077" t="str">
        <f>"51-3022.00"</f>
        <v>51-3022.00</v>
      </c>
      <c r="H2077" t="s">
        <v>1004</v>
      </c>
      <c r="I2077">
        <v>2</v>
      </c>
      <c r="K2077" s="1">
        <v>45200</v>
      </c>
      <c r="L2077" s="1">
        <v>45504</v>
      </c>
      <c r="O2077" t="s">
        <v>116</v>
      </c>
      <c r="P2077" t="s">
        <v>19376</v>
      </c>
      <c r="Q2077" t="s">
        <v>19377</v>
      </c>
      <c r="R2077" t="s">
        <v>19378</v>
      </c>
      <c r="T2077" t="s">
        <v>3013</v>
      </c>
      <c r="U2077" t="s">
        <v>740</v>
      </c>
      <c r="V2077" s="8" t="str">
        <f>"50317"</f>
        <v>50317</v>
      </c>
      <c r="W2077" t="s">
        <v>118</v>
      </c>
      <c r="Y2077" s="10">
        <v>17573754572</v>
      </c>
      <c r="AA2077">
        <v>311612</v>
      </c>
      <c r="AB2077" t="s">
        <v>1008</v>
      </c>
      <c r="AC2077" t="s">
        <v>1009</v>
      </c>
      <c r="AE2077" t="s">
        <v>1010</v>
      </c>
      <c r="AF2077" t="s">
        <v>1006</v>
      </c>
      <c r="AH2077" t="s">
        <v>1007</v>
      </c>
      <c r="AI2077" t="s">
        <v>581</v>
      </c>
      <c r="AJ2077" s="8" t="str">
        <f>"23430"</f>
        <v>23430</v>
      </c>
      <c r="AK2077" t="s">
        <v>118</v>
      </c>
      <c r="AM2077" s="10">
        <v>17573754572</v>
      </c>
      <c r="AO2077" t="s">
        <v>1011</v>
      </c>
      <c r="AP2077" t="s">
        <v>121</v>
      </c>
      <c r="AQ2077" t="s">
        <v>380</v>
      </c>
      <c r="AR2077" t="s">
        <v>381</v>
      </c>
      <c r="AT2077" t="s">
        <v>383</v>
      </c>
      <c r="AV2077" t="s">
        <v>385</v>
      </c>
      <c r="AW2077" t="s">
        <v>386</v>
      </c>
      <c r="AX2077" s="8" t="str">
        <f>"37122"</f>
        <v>37122</v>
      </c>
      <c r="AY2077" t="s">
        <v>118</v>
      </c>
      <c r="BA2077" s="10">
        <v>16154227130</v>
      </c>
      <c r="BC2077" t="s">
        <v>1012</v>
      </c>
      <c r="BD2077" t="s">
        <v>1013</v>
      </c>
      <c r="BE2077" t="s">
        <v>386</v>
      </c>
      <c r="BF2077" t="s">
        <v>389</v>
      </c>
      <c r="BG2077" t="s">
        <v>740</v>
      </c>
      <c r="BH2077" s="1">
        <v>45110.833333333336</v>
      </c>
      <c r="BI2077">
        <v>50</v>
      </c>
      <c r="BJ2077">
        <v>0</v>
      </c>
      <c r="BK2077">
        <v>10</v>
      </c>
      <c r="BL2077">
        <v>10</v>
      </c>
      <c r="BM2077">
        <v>10</v>
      </c>
      <c r="BN2077">
        <v>10</v>
      </c>
      <c r="BO2077">
        <v>10</v>
      </c>
      <c r="BP2077">
        <v>0</v>
      </c>
      <c r="BQ2077" t="str">
        <f>"6:00 AM"</f>
        <v>6:00 AM</v>
      </c>
      <c r="BR2077" t="str">
        <f>"5:30 PM"</f>
        <v>5:30 PM</v>
      </c>
      <c r="BS2077" t="s">
        <v>131</v>
      </c>
      <c r="BT2077">
        <v>1</v>
      </c>
      <c r="BU2077">
        <v>0</v>
      </c>
      <c r="BV2077" t="s">
        <v>114</v>
      </c>
      <c r="BX2077" s="2" t="s">
        <v>19379</v>
      </c>
      <c r="BY2077" t="s">
        <v>4245</v>
      </c>
      <c r="CA2077" t="s">
        <v>3013</v>
      </c>
      <c r="CB2077" t="s">
        <v>740</v>
      </c>
      <c r="CC2077" s="8" t="str">
        <f>"50317"</f>
        <v>50317</v>
      </c>
      <c r="CD2077" t="s">
        <v>1300</v>
      </c>
      <c r="CE2077" t="s">
        <v>1301</v>
      </c>
      <c r="CF2077" s="12">
        <v>17.170000000000002</v>
      </c>
      <c r="CG2077" s="12">
        <v>25.78</v>
      </c>
      <c r="CH2077" s="12">
        <v>25.76</v>
      </c>
      <c r="CI2077" s="12">
        <v>38.67</v>
      </c>
      <c r="CJ2077" t="s">
        <v>135</v>
      </c>
      <c r="CK2077" t="s">
        <v>19380</v>
      </c>
      <c r="CL2077" t="s">
        <v>19381</v>
      </c>
      <c r="CO2077" t="s">
        <v>132</v>
      </c>
      <c r="CP2077" t="s">
        <v>114</v>
      </c>
      <c r="CQ2077" t="s">
        <v>114</v>
      </c>
      <c r="CR2077" t="s">
        <v>136</v>
      </c>
      <c r="CS2077" t="s">
        <v>136</v>
      </c>
      <c r="CT2077" t="s">
        <v>136</v>
      </c>
      <c r="CU2077" t="s">
        <v>136</v>
      </c>
      <c r="CV2077" s="2" t="s">
        <v>1021</v>
      </c>
      <c r="CW2077" s="10" t="str">
        <f>"+17576353808"</f>
        <v>+17576353808</v>
      </c>
      <c r="CX2077" t="s">
        <v>1022</v>
      </c>
      <c r="CY2077" t="s">
        <v>132</v>
      </c>
      <c r="CZ2077" t="s">
        <v>137</v>
      </c>
      <c r="DA2077" t="s">
        <v>114</v>
      </c>
      <c r="DB2077" t="s">
        <v>114</v>
      </c>
      <c r="DC2077" t="s">
        <v>136</v>
      </c>
      <c r="DD2077" t="s">
        <v>114</v>
      </c>
    </row>
    <row r="2078" spans="1:113" ht="15" customHeight="1" x14ac:dyDescent="0.25">
      <c r="A2078" t="s">
        <v>10049</v>
      </c>
      <c r="B2078" t="s">
        <v>113</v>
      </c>
      <c r="C2078" s="1">
        <v>45110.844452777776</v>
      </c>
      <c r="D2078" s="1">
        <v>45212</v>
      </c>
      <c r="E2078" t="s">
        <v>114</v>
      </c>
      <c r="F2078" t="s">
        <v>8405</v>
      </c>
      <c r="G2078" t="str">
        <f>"49-3021.00"</f>
        <v>49-3021.00</v>
      </c>
      <c r="H2078" t="s">
        <v>8406</v>
      </c>
      <c r="I2078">
        <v>2</v>
      </c>
      <c r="K2078" s="1">
        <v>45200</v>
      </c>
      <c r="L2078" s="1">
        <v>45473</v>
      </c>
      <c r="O2078" t="s">
        <v>116</v>
      </c>
      <c r="P2078" t="s">
        <v>8407</v>
      </c>
      <c r="Q2078" t="s">
        <v>8408</v>
      </c>
      <c r="R2078" t="s">
        <v>8409</v>
      </c>
      <c r="T2078" t="s">
        <v>3255</v>
      </c>
      <c r="U2078" t="s">
        <v>127</v>
      </c>
      <c r="V2078" s="8" t="str">
        <f>"75067"</f>
        <v>75067</v>
      </c>
      <c r="W2078" t="s">
        <v>118</v>
      </c>
      <c r="Y2078" s="10">
        <v>14699489500</v>
      </c>
      <c r="AA2078">
        <v>8111</v>
      </c>
      <c r="AB2078" t="s">
        <v>7293</v>
      </c>
      <c r="AC2078" t="s">
        <v>2320</v>
      </c>
      <c r="AD2078" t="s">
        <v>2371</v>
      </c>
      <c r="AE2078" t="s">
        <v>8410</v>
      </c>
      <c r="AF2078" t="s">
        <v>8409</v>
      </c>
      <c r="AH2078" t="s">
        <v>3255</v>
      </c>
      <c r="AI2078" t="s">
        <v>127</v>
      </c>
      <c r="AJ2078" s="8" t="str">
        <f>"75067"</f>
        <v>75067</v>
      </c>
      <c r="AK2078" t="s">
        <v>118</v>
      </c>
      <c r="AM2078" s="10">
        <v>14699489500</v>
      </c>
      <c r="AO2078" t="s">
        <v>8411</v>
      </c>
      <c r="AP2078" t="s">
        <v>121</v>
      </c>
      <c r="AQ2078" t="s">
        <v>273</v>
      </c>
      <c r="AR2078" t="s">
        <v>8412</v>
      </c>
      <c r="AS2078" t="s">
        <v>3318</v>
      </c>
      <c r="AT2078" t="s">
        <v>8413</v>
      </c>
      <c r="AU2078" t="s">
        <v>8414</v>
      </c>
      <c r="AV2078" t="s">
        <v>10050</v>
      </c>
      <c r="AW2078" t="s">
        <v>6049</v>
      </c>
      <c r="AX2078" s="8" t="str">
        <f>"20004"</f>
        <v>20004</v>
      </c>
      <c r="AY2078" t="s">
        <v>118</v>
      </c>
      <c r="BA2078" s="10">
        <v>12026406684</v>
      </c>
      <c r="BC2078" t="s">
        <v>8415</v>
      </c>
      <c r="BD2078" t="s">
        <v>8416</v>
      </c>
      <c r="BE2078" t="s">
        <v>6049</v>
      </c>
      <c r="BF2078" t="s">
        <v>2118</v>
      </c>
      <c r="BG2078" t="s">
        <v>402</v>
      </c>
      <c r="BH2078" s="1">
        <v>45104.833333333336</v>
      </c>
      <c r="BI2078">
        <v>40</v>
      </c>
      <c r="BJ2078">
        <v>0</v>
      </c>
      <c r="BK2078">
        <v>8</v>
      </c>
      <c r="BL2078">
        <v>8</v>
      </c>
      <c r="BM2078">
        <v>8</v>
      </c>
      <c r="BN2078">
        <v>8</v>
      </c>
      <c r="BO2078">
        <v>8</v>
      </c>
      <c r="BP2078">
        <v>0</v>
      </c>
      <c r="BQ2078" t="str">
        <f>"7:30 AM"</f>
        <v>7:30 AM</v>
      </c>
      <c r="BR2078" t="str">
        <f>"5:30 PM"</f>
        <v>5:30 PM</v>
      </c>
      <c r="BS2078" t="s">
        <v>131</v>
      </c>
      <c r="BT2078">
        <v>0</v>
      </c>
      <c r="BU2078">
        <v>6</v>
      </c>
      <c r="BV2078" t="s">
        <v>114</v>
      </c>
      <c r="BX2078" s="2" t="s">
        <v>10051</v>
      </c>
      <c r="BY2078" t="s">
        <v>10052</v>
      </c>
      <c r="CA2078" t="s">
        <v>10053</v>
      </c>
      <c r="CB2078" t="s">
        <v>402</v>
      </c>
      <c r="CC2078" s="8" t="str">
        <f>"92630"</f>
        <v>92630</v>
      </c>
      <c r="CD2078" t="s">
        <v>2274</v>
      </c>
      <c r="CE2078" t="s">
        <v>2969</v>
      </c>
      <c r="CF2078" s="12">
        <v>25.77</v>
      </c>
      <c r="CH2078" s="12">
        <v>38.659999999999997</v>
      </c>
      <c r="CJ2078" t="s">
        <v>135</v>
      </c>
      <c r="CL2078" t="s">
        <v>10054</v>
      </c>
      <c r="CO2078" t="s">
        <v>132</v>
      </c>
      <c r="CP2078" t="s">
        <v>114</v>
      </c>
      <c r="CQ2078" t="s">
        <v>136</v>
      </c>
      <c r="CR2078" t="s">
        <v>136</v>
      </c>
      <c r="CS2078" t="s">
        <v>136</v>
      </c>
      <c r="CT2078" t="s">
        <v>136</v>
      </c>
      <c r="CU2078" t="s">
        <v>136</v>
      </c>
      <c r="CV2078" t="s">
        <v>8423</v>
      </c>
      <c r="CW2078" s="10" t="str">
        <f>"N/A"</f>
        <v>N/A</v>
      </c>
      <c r="CX2078" t="s">
        <v>8424</v>
      </c>
      <c r="CY2078" t="s">
        <v>8425</v>
      </c>
      <c r="CZ2078" t="s">
        <v>137</v>
      </c>
      <c r="DA2078" t="s">
        <v>114</v>
      </c>
      <c r="DB2078" t="s">
        <v>136</v>
      </c>
      <c r="DC2078" t="s">
        <v>136</v>
      </c>
      <c r="DD2078" t="s">
        <v>114</v>
      </c>
    </row>
    <row r="2079" spans="1:113" ht="15" customHeight="1" x14ac:dyDescent="0.25">
      <c r="A2079" t="s">
        <v>23252</v>
      </c>
      <c r="B2079" t="s">
        <v>113</v>
      </c>
      <c r="C2079" s="1">
        <v>45110.840717939813</v>
      </c>
      <c r="D2079" s="1">
        <v>45212</v>
      </c>
      <c r="E2079" t="s">
        <v>114</v>
      </c>
      <c r="F2079" t="s">
        <v>23253</v>
      </c>
      <c r="G2079" t="str">
        <f>"47-2171.00"</f>
        <v>47-2171.00</v>
      </c>
      <c r="H2079" t="s">
        <v>13824</v>
      </c>
      <c r="I2079">
        <v>10</v>
      </c>
      <c r="K2079" s="1">
        <v>45200</v>
      </c>
      <c r="L2079" s="1">
        <v>45930</v>
      </c>
      <c r="O2079" t="s">
        <v>184</v>
      </c>
      <c r="P2079" t="s">
        <v>399</v>
      </c>
      <c r="R2079" t="s">
        <v>400</v>
      </c>
      <c r="T2079" t="s">
        <v>401</v>
      </c>
      <c r="U2079" t="s">
        <v>402</v>
      </c>
      <c r="V2079" s="8" t="str">
        <f>"94108"</f>
        <v>94108</v>
      </c>
      <c r="W2079" t="s">
        <v>118</v>
      </c>
      <c r="Y2079" s="10">
        <v>17605607127</v>
      </c>
      <c r="AA2079">
        <v>23622</v>
      </c>
      <c r="AB2079" t="s">
        <v>23254</v>
      </c>
      <c r="AC2079" t="s">
        <v>404</v>
      </c>
      <c r="AE2079" t="s">
        <v>405</v>
      </c>
      <c r="AF2079" t="s">
        <v>400</v>
      </c>
      <c r="AH2079" t="s">
        <v>401</v>
      </c>
      <c r="AI2079" t="s">
        <v>402</v>
      </c>
      <c r="AJ2079" s="8" t="str">
        <f>"94108"</f>
        <v>94108</v>
      </c>
      <c r="AK2079" t="s">
        <v>118</v>
      </c>
      <c r="AM2079" s="10">
        <v>17605607127</v>
      </c>
      <c r="AO2079" t="s">
        <v>406</v>
      </c>
      <c r="AP2079" t="s">
        <v>121</v>
      </c>
      <c r="AQ2079" t="s">
        <v>407</v>
      </c>
      <c r="AR2079" t="s">
        <v>408</v>
      </c>
      <c r="AS2079" t="s">
        <v>409</v>
      </c>
      <c r="AT2079" t="s">
        <v>410</v>
      </c>
      <c r="AU2079" t="s">
        <v>411</v>
      </c>
      <c r="AV2079" t="s">
        <v>412</v>
      </c>
      <c r="AW2079" t="s">
        <v>402</v>
      </c>
      <c r="AX2079" s="8" t="str">
        <f>"94108"</f>
        <v>94108</v>
      </c>
      <c r="AY2079" t="s">
        <v>118</v>
      </c>
      <c r="BA2079" s="10">
        <v>14159813000</v>
      </c>
      <c r="BC2079" t="s">
        <v>413</v>
      </c>
      <c r="BD2079" t="s">
        <v>414</v>
      </c>
      <c r="BE2079" t="s">
        <v>402</v>
      </c>
      <c r="BF2079" t="s">
        <v>172</v>
      </c>
      <c r="BG2079" t="s">
        <v>415</v>
      </c>
      <c r="BH2079" s="1">
        <v>45104.833333333336</v>
      </c>
      <c r="BI2079">
        <v>40</v>
      </c>
      <c r="BJ2079">
        <v>0</v>
      </c>
      <c r="BK2079">
        <v>8</v>
      </c>
      <c r="BL2079">
        <v>8</v>
      </c>
      <c r="BM2079">
        <v>8</v>
      </c>
      <c r="BN2079">
        <v>8</v>
      </c>
      <c r="BO2079">
        <v>8</v>
      </c>
      <c r="BP2079">
        <v>0</v>
      </c>
      <c r="BQ2079" t="str">
        <f>"9:00 AM"</f>
        <v>9:00 AM</v>
      </c>
      <c r="BR2079" t="str">
        <f>"5:00 PM"</f>
        <v>5:00 PM</v>
      </c>
      <c r="BS2079" t="s">
        <v>147</v>
      </c>
      <c r="BT2079">
        <v>0</v>
      </c>
      <c r="BU2079">
        <v>12</v>
      </c>
      <c r="BV2079" t="s">
        <v>114</v>
      </c>
      <c r="BX2079" s="2" t="s">
        <v>23255</v>
      </c>
      <c r="BY2079" t="s">
        <v>417</v>
      </c>
      <c r="CA2079" t="s">
        <v>418</v>
      </c>
      <c r="CB2079" t="s">
        <v>415</v>
      </c>
      <c r="CC2079" s="8" t="str">
        <f>"00603"</f>
        <v>00603</v>
      </c>
      <c r="CD2079" t="s">
        <v>419</v>
      </c>
      <c r="CE2079" t="s">
        <v>420</v>
      </c>
      <c r="CF2079" s="12">
        <v>9.7200000000000006</v>
      </c>
      <c r="CJ2079" t="s">
        <v>135</v>
      </c>
      <c r="CL2079" t="s">
        <v>23256</v>
      </c>
      <c r="CO2079" t="s">
        <v>132</v>
      </c>
      <c r="CP2079" t="s">
        <v>114</v>
      </c>
      <c r="CQ2079" t="s">
        <v>114</v>
      </c>
      <c r="CR2079" t="s">
        <v>114</v>
      </c>
      <c r="CS2079" t="s">
        <v>114</v>
      </c>
      <c r="CT2079" t="s">
        <v>136</v>
      </c>
      <c r="CU2079" t="s">
        <v>136</v>
      </c>
      <c r="CV2079" t="s">
        <v>131</v>
      </c>
      <c r="CW2079" s="10" t="str">
        <f>"N/A"</f>
        <v>N/A</v>
      </c>
      <c r="CX2079" t="s">
        <v>406</v>
      </c>
      <c r="CY2079" t="s">
        <v>422</v>
      </c>
      <c r="CZ2079" t="s">
        <v>137</v>
      </c>
      <c r="DA2079" t="s">
        <v>114</v>
      </c>
      <c r="DB2079" t="s">
        <v>114</v>
      </c>
      <c r="DC2079" t="s">
        <v>136</v>
      </c>
      <c r="DD2079" t="s">
        <v>114</v>
      </c>
      <c r="DE2079" t="s">
        <v>423</v>
      </c>
      <c r="DF2079" t="s">
        <v>424</v>
      </c>
      <c r="DG2079" t="s">
        <v>425</v>
      </c>
      <c r="DH2079" t="s">
        <v>414</v>
      </c>
      <c r="DI2079" t="s">
        <v>426</v>
      </c>
    </row>
    <row r="2080" spans="1:113" ht="15" customHeight="1" x14ac:dyDescent="0.25">
      <c r="A2080" t="s">
        <v>1002</v>
      </c>
      <c r="B2080" t="s">
        <v>113</v>
      </c>
      <c r="C2080" s="1">
        <v>45110.711565162041</v>
      </c>
      <c r="D2080" s="1">
        <v>45212</v>
      </c>
      <c r="E2080" t="s">
        <v>114</v>
      </c>
      <c r="F2080" t="s">
        <v>1003</v>
      </c>
      <c r="G2080" t="str">
        <f>"51-3022.00"</f>
        <v>51-3022.00</v>
      </c>
      <c r="H2080" t="s">
        <v>1004</v>
      </c>
      <c r="I2080">
        <v>4</v>
      </c>
      <c r="K2080" s="1">
        <v>45200</v>
      </c>
      <c r="L2080" s="1">
        <v>45473</v>
      </c>
      <c r="O2080" t="s">
        <v>116</v>
      </c>
      <c r="P2080" t="s">
        <v>1005</v>
      </c>
      <c r="R2080" t="s">
        <v>1006</v>
      </c>
      <c r="T2080" t="s">
        <v>1007</v>
      </c>
      <c r="U2080" t="s">
        <v>581</v>
      </c>
      <c r="V2080" s="8" t="str">
        <f>"23430"</f>
        <v>23430</v>
      </c>
      <c r="W2080" t="s">
        <v>118</v>
      </c>
      <c r="Y2080" s="10">
        <v>17573754572</v>
      </c>
      <c r="AA2080">
        <v>311612</v>
      </c>
      <c r="AB2080" t="s">
        <v>1008</v>
      </c>
      <c r="AC2080" t="s">
        <v>1009</v>
      </c>
      <c r="AE2080" t="s">
        <v>1010</v>
      </c>
      <c r="AF2080" t="s">
        <v>1006</v>
      </c>
      <c r="AH2080" t="s">
        <v>1007</v>
      </c>
      <c r="AI2080" t="s">
        <v>581</v>
      </c>
      <c r="AJ2080" s="8" t="str">
        <f>"23430"</f>
        <v>23430</v>
      </c>
      <c r="AK2080" t="s">
        <v>118</v>
      </c>
      <c r="AM2080" s="10">
        <v>17573754572</v>
      </c>
      <c r="AO2080" t="s">
        <v>1011</v>
      </c>
      <c r="AP2080" t="s">
        <v>121</v>
      </c>
      <c r="AQ2080" t="s">
        <v>380</v>
      </c>
      <c r="AR2080" t="s">
        <v>381</v>
      </c>
      <c r="AT2080" t="s">
        <v>383</v>
      </c>
      <c r="AV2080" t="s">
        <v>385</v>
      </c>
      <c r="AW2080" t="s">
        <v>386</v>
      </c>
      <c r="AX2080" s="8" t="str">
        <f>"37122"</f>
        <v>37122</v>
      </c>
      <c r="AY2080" t="s">
        <v>118</v>
      </c>
      <c r="BA2080" s="10">
        <v>16154227130</v>
      </c>
      <c r="BC2080" t="s">
        <v>1012</v>
      </c>
      <c r="BD2080" t="s">
        <v>1013</v>
      </c>
      <c r="BE2080" t="s">
        <v>386</v>
      </c>
      <c r="BF2080" t="s">
        <v>389</v>
      </c>
      <c r="BG2080" t="s">
        <v>117</v>
      </c>
      <c r="BH2080" s="1">
        <v>45109.833333333336</v>
      </c>
      <c r="BI2080">
        <v>40</v>
      </c>
      <c r="BJ2080">
        <v>0</v>
      </c>
      <c r="BK2080">
        <v>8</v>
      </c>
      <c r="BL2080">
        <v>8</v>
      </c>
      <c r="BM2080">
        <v>8</v>
      </c>
      <c r="BN2080">
        <v>8</v>
      </c>
      <c r="BO2080">
        <v>8</v>
      </c>
      <c r="BP2080">
        <v>0</v>
      </c>
      <c r="BQ2080" t="str">
        <f>"6:15 AM"</f>
        <v>6:15 AM</v>
      </c>
      <c r="BR2080" t="str">
        <f>"11:30 PM"</f>
        <v>11:30 PM</v>
      </c>
      <c r="BS2080" t="s">
        <v>131</v>
      </c>
      <c r="BT2080">
        <v>1</v>
      </c>
      <c r="BU2080">
        <v>0</v>
      </c>
      <c r="BV2080" t="s">
        <v>114</v>
      </c>
      <c r="BX2080" s="2" t="s">
        <v>1014</v>
      </c>
      <c r="BY2080" t="s">
        <v>1015</v>
      </c>
      <c r="CA2080" t="s">
        <v>1016</v>
      </c>
      <c r="CB2080" t="s">
        <v>117</v>
      </c>
      <c r="CC2080" s="8" t="str">
        <f>"61462"</f>
        <v>61462</v>
      </c>
      <c r="CD2080" t="s">
        <v>1017</v>
      </c>
      <c r="CE2080" t="s">
        <v>1018</v>
      </c>
      <c r="CF2080" s="12">
        <v>16.41</v>
      </c>
      <c r="CG2080" s="12">
        <v>28.57</v>
      </c>
      <c r="CH2080" s="12">
        <v>24.62</v>
      </c>
      <c r="CI2080" s="12">
        <v>42.86</v>
      </c>
      <c r="CJ2080" t="s">
        <v>135</v>
      </c>
      <c r="CK2080" t="s">
        <v>1019</v>
      </c>
      <c r="CL2080" t="s">
        <v>1020</v>
      </c>
      <c r="CO2080" t="s">
        <v>132</v>
      </c>
      <c r="CP2080" t="s">
        <v>114</v>
      </c>
      <c r="CQ2080" t="s">
        <v>114</v>
      </c>
      <c r="CR2080" t="s">
        <v>136</v>
      </c>
      <c r="CS2080" t="s">
        <v>136</v>
      </c>
      <c r="CT2080" t="s">
        <v>136</v>
      </c>
      <c r="CU2080" t="s">
        <v>136</v>
      </c>
      <c r="CV2080" s="2" t="s">
        <v>1021</v>
      </c>
      <c r="CW2080" s="10" t="str">
        <f>"+17576353808"</f>
        <v>+17576353808</v>
      </c>
      <c r="CX2080" t="s">
        <v>1022</v>
      </c>
      <c r="CY2080" t="s">
        <v>132</v>
      </c>
      <c r="CZ2080" t="s">
        <v>137</v>
      </c>
      <c r="DA2080" t="s">
        <v>114</v>
      </c>
      <c r="DB2080" t="s">
        <v>114</v>
      </c>
      <c r="DC2080" t="s">
        <v>136</v>
      </c>
      <c r="DD2080" t="s">
        <v>114</v>
      </c>
    </row>
    <row r="2081" spans="1:113" ht="15" customHeight="1" x14ac:dyDescent="0.25">
      <c r="A2081" t="s">
        <v>21879</v>
      </c>
      <c r="B2081" t="s">
        <v>113</v>
      </c>
      <c r="C2081" s="1">
        <v>45110.653411921296</v>
      </c>
      <c r="D2081" s="1">
        <v>45212</v>
      </c>
      <c r="E2081" t="s">
        <v>114</v>
      </c>
      <c r="F2081" t="s">
        <v>21880</v>
      </c>
      <c r="G2081" t="str">
        <f>"51-3022.00"</f>
        <v>51-3022.00</v>
      </c>
      <c r="H2081" t="s">
        <v>1004</v>
      </c>
      <c r="I2081">
        <v>8</v>
      </c>
      <c r="K2081" s="1">
        <v>45200</v>
      </c>
      <c r="L2081" s="1">
        <v>45473</v>
      </c>
      <c r="O2081" t="s">
        <v>116</v>
      </c>
      <c r="P2081" t="s">
        <v>1005</v>
      </c>
      <c r="R2081" t="s">
        <v>1006</v>
      </c>
      <c r="T2081" t="s">
        <v>1007</v>
      </c>
      <c r="U2081" t="s">
        <v>581</v>
      </c>
      <c r="V2081" s="8" t="str">
        <f>"23430"</f>
        <v>23430</v>
      </c>
      <c r="W2081" t="s">
        <v>118</v>
      </c>
      <c r="Y2081" s="10">
        <v>17573754572</v>
      </c>
      <c r="AA2081">
        <v>311612</v>
      </c>
      <c r="AB2081" t="s">
        <v>1008</v>
      </c>
      <c r="AC2081" t="s">
        <v>1009</v>
      </c>
      <c r="AE2081" t="s">
        <v>1010</v>
      </c>
      <c r="AF2081" t="s">
        <v>1006</v>
      </c>
      <c r="AH2081" t="s">
        <v>1007</v>
      </c>
      <c r="AI2081" t="s">
        <v>581</v>
      </c>
      <c r="AJ2081" s="8" t="str">
        <f>"23430"</f>
        <v>23430</v>
      </c>
      <c r="AK2081" t="s">
        <v>118</v>
      </c>
      <c r="AM2081" s="10">
        <v>17573754572</v>
      </c>
      <c r="AO2081" t="s">
        <v>1011</v>
      </c>
      <c r="AP2081" t="s">
        <v>121</v>
      </c>
      <c r="AQ2081" t="s">
        <v>380</v>
      </c>
      <c r="AR2081" t="s">
        <v>381</v>
      </c>
      <c r="AT2081" t="s">
        <v>383</v>
      </c>
      <c r="AV2081" t="s">
        <v>385</v>
      </c>
      <c r="AW2081" t="s">
        <v>386</v>
      </c>
      <c r="AX2081" s="8" t="str">
        <f>"37122"</f>
        <v>37122</v>
      </c>
      <c r="AY2081" t="s">
        <v>118</v>
      </c>
      <c r="BA2081" s="10">
        <v>16154227130</v>
      </c>
      <c r="BC2081" t="s">
        <v>1012</v>
      </c>
      <c r="BD2081" t="s">
        <v>1013</v>
      </c>
      <c r="BE2081" t="s">
        <v>386</v>
      </c>
      <c r="BF2081" t="s">
        <v>389</v>
      </c>
      <c r="BG2081" t="s">
        <v>117</v>
      </c>
      <c r="BH2081" s="1">
        <v>45109.833333333336</v>
      </c>
      <c r="BI2081">
        <v>45</v>
      </c>
      <c r="BJ2081">
        <v>0</v>
      </c>
      <c r="BK2081">
        <v>9</v>
      </c>
      <c r="BL2081">
        <v>9</v>
      </c>
      <c r="BM2081">
        <v>9</v>
      </c>
      <c r="BN2081">
        <v>9</v>
      </c>
      <c r="BO2081">
        <v>9</v>
      </c>
      <c r="BP2081">
        <v>0</v>
      </c>
      <c r="BQ2081" t="str">
        <f>"6:15 AM"</f>
        <v>6:15 AM</v>
      </c>
      <c r="BR2081" t="str">
        <f>"11:30 PM"</f>
        <v>11:30 PM</v>
      </c>
      <c r="BS2081" t="s">
        <v>131</v>
      </c>
      <c r="BT2081">
        <v>1</v>
      </c>
      <c r="BU2081">
        <v>0</v>
      </c>
      <c r="BV2081" t="s">
        <v>114</v>
      </c>
      <c r="BX2081" s="2" t="s">
        <v>21881</v>
      </c>
      <c r="BY2081" t="s">
        <v>1015</v>
      </c>
      <c r="CA2081" t="s">
        <v>1016</v>
      </c>
      <c r="CB2081" t="s">
        <v>117</v>
      </c>
      <c r="CC2081" s="8" t="str">
        <f>"61462"</f>
        <v>61462</v>
      </c>
      <c r="CD2081" t="s">
        <v>1017</v>
      </c>
      <c r="CE2081" t="s">
        <v>1018</v>
      </c>
      <c r="CF2081" s="12">
        <v>16.41</v>
      </c>
      <c r="CG2081" s="12">
        <v>28.57</v>
      </c>
      <c r="CH2081" s="12">
        <v>24.62</v>
      </c>
      <c r="CI2081" s="12">
        <v>42.86</v>
      </c>
      <c r="CJ2081" t="s">
        <v>135</v>
      </c>
      <c r="CK2081" t="s">
        <v>21882</v>
      </c>
      <c r="CL2081" t="s">
        <v>21883</v>
      </c>
      <c r="CO2081" t="s">
        <v>132</v>
      </c>
      <c r="CP2081" t="s">
        <v>114</v>
      </c>
      <c r="CQ2081" t="s">
        <v>114</v>
      </c>
      <c r="CR2081" t="s">
        <v>136</v>
      </c>
      <c r="CS2081" t="s">
        <v>136</v>
      </c>
      <c r="CT2081" t="s">
        <v>136</v>
      </c>
      <c r="CU2081" t="s">
        <v>136</v>
      </c>
      <c r="CV2081" s="2" t="s">
        <v>1021</v>
      </c>
      <c r="CW2081" s="10" t="str">
        <f>"+17576353808"</f>
        <v>+17576353808</v>
      </c>
      <c r="CX2081" t="s">
        <v>1022</v>
      </c>
      <c r="CY2081" t="s">
        <v>132</v>
      </c>
      <c r="CZ2081" t="s">
        <v>137</v>
      </c>
      <c r="DA2081" t="s">
        <v>114</v>
      </c>
      <c r="DB2081" t="s">
        <v>114</v>
      </c>
      <c r="DC2081" t="s">
        <v>136</v>
      </c>
      <c r="DD2081" t="s">
        <v>114</v>
      </c>
    </row>
    <row r="2082" spans="1:113" ht="15" customHeight="1" x14ac:dyDescent="0.25">
      <c r="A2082" t="s">
        <v>4587</v>
      </c>
      <c r="B2082" t="s">
        <v>113</v>
      </c>
      <c r="C2082" s="1">
        <v>45110.527133796299</v>
      </c>
      <c r="D2082" s="1">
        <v>45212</v>
      </c>
      <c r="E2082" t="s">
        <v>114</v>
      </c>
      <c r="F2082" t="s">
        <v>4588</v>
      </c>
      <c r="G2082" t="str">
        <f>"51-3022.00"</f>
        <v>51-3022.00</v>
      </c>
      <c r="H2082" t="s">
        <v>1004</v>
      </c>
      <c r="I2082">
        <v>8</v>
      </c>
      <c r="K2082" s="1">
        <v>45200</v>
      </c>
      <c r="L2082" s="1">
        <v>45473</v>
      </c>
      <c r="O2082" t="s">
        <v>116</v>
      </c>
      <c r="P2082" t="s">
        <v>1005</v>
      </c>
      <c r="R2082" t="s">
        <v>1006</v>
      </c>
      <c r="T2082" t="s">
        <v>1007</v>
      </c>
      <c r="U2082" t="s">
        <v>581</v>
      </c>
      <c r="V2082" s="8" t="str">
        <f>"23430"</f>
        <v>23430</v>
      </c>
      <c r="W2082" t="s">
        <v>118</v>
      </c>
      <c r="Y2082" s="10">
        <v>17573754572</v>
      </c>
      <c r="AA2082">
        <v>311612</v>
      </c>
      <c r="AB2082" t="s">
        <v>1008</v>
      </c>
      <c r="AC2082" t="s">
        <v>1009</v>
      </c>
      <c r="AE2082" t="s">
        <v>1010</v>
      </c>
      <c r="AF2082" t="s">
        <v>1006</v>
      </c>
      <c r="AH2082" t="s">
        <v>1007</v>
      </c>
      <c r="AI2082" t="s">
        <v>581</v>
      </c>
      <c r="AJ2082" s="8" t="str">
        <f>"23430"</f>
        <v>23430</v>
      </c>
      <c r="AK2082" t="s">
        <v>118</v>
      </c>
      <c r="AM2082" s="10">
        <v>17573754572</v>
      </c>
      <c r="AO2082" t="s">
        <v>1011</v>
      </c>
      <c r="AP2082" t="s">
        <v>121</v>
      </c>
      <c r="AQ2082" t="s">
        <v>380</v>
      </c>
      <c r="AR2082" t="s">
        <v>381</v>
      </c>
      <c r="AT2082" t="s">
        <v>383</v>
      </c>
      <c r="AV2082" t="s">
        <v>385</v>
      </c>
      <c r="AW2082" t="s">
        <v>386</v>
      </c>
      <c r="AX2082" s="8" t="str">
        <f>"37122"</f>
        <v>37122</v>
      </c>
      <c r="AY2082" t="s">
        <v>118</v>
      </c>
      <c r="BA2082" s="10">
        <v>16154227130</v>
      </c>
      <c r="BC2082" t="s">
        <v>1012</v>
      </c>
      <c r="BD2082" t="s">
        <v>1013</v>
      </c>
      <c r="BE2082" t="s">
        <v>386</v>
      </c>
      <c r="BF2082" t="s">
        <v>389</v>
      </c>
      <c r="BG2082" t="s">
        <v>984</v>
      </c>
      <c r="BH2082" s="1">
        <v>45109.833333333336</v>
      </c>
      <c r="BI2082">
        <v>40</v>
      </c>
      <c r="BJ2082">
        <v>0</v>
      </c>
      <c r="BK2082">
        <v>8</v>
      </c>
      <c r="BL2082">
        <v>8</v>
      </c>
      <c r="BM2082">
        <v>8</v>
      </c>
      <c r="BN2082">
        <v>8</v>
      </c>
      <c r="BO2082">
        <v>8</v>
      </c>
      <c r="BP2082">
        <v>0</v>
      </c>
      <c r="BQ2082" t="str">
        <f>"6:15 AM"</f>
        <v>6:15 AM</v>
      </c>
      <c r="BR2082" t="str">
        <f>"2:30 PM"</f>
        <v>2:30 PM</v>
      </c>
      <c r="BS2082" t="s">
        <v>131</v>
      </c>
      <c r="BT2082">
        <v>1</v>
      </c>
      <c r="BU2082">
        <v>0</v>
      </c>
      <c r="BV2082" t="s">
        <v>114</v>
      </c>
      <c r="BX2082" t="s">
        <v>4589</v>
      </c>
      <c r="BY2082" t="s">
        <v>4590</v>
      </c>
      <c r="CA2082" t="s">
        <v>4591</v>
      </c>
      <c r="CB2082" t="s">
        <v>984</v>
      </c>
      <c r="CC2082" s="8" t="str">
        <f>"63556"</f>
        <v>63556</v>
      </c>
      <c r="CD2082" t="s">
        <v>4592</v>
      </c>
      <c r="CE2082" t="s">
        <v>4593</v>
      </c>
      <c r="CF2082" s="12">
        <v>17.18</v>
      </c>
      <c r="CG2082" s="12">
        <v>32.700000000000003</v>
      </c>
      <c r="CH2082" s="12">
        <v>25.77</v>
      </c>
      <c r="CI2082" s="12">
        <v>40.049999999999997</v>
      </c>
      <c r="CJ2082" t="s">
        <v>135</v>
      </c>
      <c r="CK2082" t="s">
        <v>3898</v>
      </c>
      <c r="CL2082" t="s">
        <v>4594</v>
      </c>
      <c r="CO2082" t="s">
        <v>132</v>
      </c>
      <c r="CP2082" t="s">
        <v>114</v>
      </c>
      <c r="CQ2082" t="s">
        <v>114</v>
      </c>
      <c r="CR2082" t="s">
        <v>136</v>
      </c>
      <c r="CS2082" t="s">
        <v>136</v>
      </c>
      <c r="CT2082" t="s">
        <v>136</v>
      </c>
      <c r="CU2082" t="s">
        <v>136</v>
      </c>
      <c r="CV2082" s="2" t="s">
        <v>1021</v>
      </c>
      <c r="CW2082" s="10" t="str">
        <f>"+17576353808"</f>
        <v>+17576353808</v>
      </c>
      <c r="CX2082" t="s">
        <v>1022</v>
      </c>
      <c r="CY2082" t="s">
        <v>132</v>
      </c>
      <c r="CZ2082" t="s">
        <v>137</v>
      </c>
      <c r="DA2082" t="s">
        <v>114</v>
      </c>
      <c r="DB2082" t="s">
        <v>114</v>
      </c>
      <c r="DC2082" t="s">
        <v>136</v>
      </c>
      <c r="DD2082" t="s">
        <v>114</v>
      </c>
    </row>
    <row r="2083" spans="1:113" ht="15" customHeight="1" x14ac:dyDescent="0.25">
      <c r="A2083" t="s">
        <v>15586</v>
      </c>
      <c r="B2083" t="s">
        <v>113</v>
      </c>
      <c r="C2083" s="1">
        <v>45110.478651736114</v>
      </c>
      <c r="D2083" s="1">
        <v>45212</v>
      </c>
      <c r="E2083" t="s">
        <v>114</v>
      </c>
      <c r="F2083" t="s">
        <v>3896</v>
      </c>
      <c r="G2083" t="str">
        <f>"51-3022.00"</f>
        <v>51-3022.00</v>
      </c>
      <c r="H2083" t="s">
        <v>1004</v>
      </c>
      <c r="I2083">
        <v>29</v>
      </c>
      <c r="K2083" s="1">
        <v>45200</v>
      </c>
      <c r="L2083" s="1">
        <v>45473</v>
      </c>
      <c r="O2083" t="s">
        <v>116</v>
      </c>
      <c r="P2083" t="s">
        <v>1005</v>
      </c>
      <c r="R2083" t="s">
        <v>1006</v>
      </c>
      <c r="T2083" t="s">
        <v>1007</v>
      </c>
      <c r="U2083" t="s">
        <v>581</v>
      </c>
      <c r="V2083" s="8" t="str">
        <f>"23430"</f>
        <v>23430</v>
      </c>
      <c r="W2083" t="s">
        <v>118</v>
      </c>
      <c r="Y2083" s="10">
        <v>17573754572</v>
      </c>
      <c r="AA2083">
        <v>311612</v>
      </c>
      <c r="AB2083" t="s">
        <v>1008</v>
      </c>
      <c r="AC2083" t="s">
        <v>1009</v>
      </c>
      <c r="AE2083" t="s">
        <v>1010</v>
      </c>
      <c r="AF2083" t="s">
        <v>1006</v>
      </c>
      <c r="AH2083" t="s">
        <v>1007</v>
      </c>
      <c r="AI2083" t="s">
        <v>581</v>
      </c>
      <c r="AJ2083" s="8" t="str">
        <f>"23430"</f>
        <v>23430</v>
      </c>
      <c r="AK2083" t="s">
        <v>118</v>
      </c>
      <c r="AM2083" s="10">
        <v>17573754572</v>
      </c>
      <c r="AO2083" t="s">
        <v>1011</v>
      </c>
      <c r="AP2083" t="s">
        <v>121</v>
      </c>
      <c r="AQ2083" t="s">
        <v>380</v>
      </c>
      <c r="AR2083" t="s">
        <v>381</v>
      </c>
      <c r="AT2083" t="s">
        <v>383</v>
      </c>
      <c r="AV2083" t="s">
        <v>385</v>
      </c>
      <c r="AW2083" t="s">
        <v>386</v>
      </c>
      <c r="AX2083" s="8" t="str">
        <f>"37122"</f>
        <v>37122</v>
      </c>
      <c r="AY2083" t="s">
        <v>118</v>
      </c>
      <c r="BA2083" s="10">
        <v>16154227130</v>
      </c>
      <c r="BC2083" t="s">
        <v>1012</v>
      </c>
      <c r="BD2083" t="s">
        <v>1013</v>
      </c>
      <c r="BE2083" t="s">
        <v>386</v>
      </c>
      <c r="BF2083" t="s">
        <v>389</v>
      </c>
      <c r="BG2083" t="s">
        <v>984</v>
      </c>
      <c r="BH2083" s="1">
        <v>45109.833333333336</v>
      </c>
      <c r="BI2083">
        <v>40</v>
      </c>
      <c r="BJ2083">
        <v>0</v>
      </c>
      <c r="BK2083">
        <v>8</v>
      </c>
      <c r="BL2083">
        <v>8</v>
      </c>
      <c r="BM2083">
        <v>8</v>
      </c>
      <c r="BN2083">
        <v>8</v>
      </c>
      <c r="BO2083">
        <v>8</v>
      </c>
      <c r="BP2083">
        <v>0</v>
      </c>
      <c r="BQ2083" t="str">
        <f>"6:15 AM"</f>
        <v>6:15 AM</v>
      </c>
      <c r="BR2083" t="str">
        <f>"2:30 PM"</f>
        <v>2:30 PM</v>
      </c>
      <c r="BS2083" t="s">
        <v>131</v>
      </c>
      <c r="BT2083">
        <v>1</v>
      </c>
      <c r="BU2083">
        <v>0</v>
      </c>
      <c r="BV2083" t="s">
        <v>114</v>
      </c>
      <c r="BX2083" t="s">
        <v>4589</v>
      </c>
      <c r="BY2083" t="s">
        <v>4590</v>
      </c>
      <c r="CA2083" t="s">
        <v>4591</v>
      </c>
      <c r="CB2083" t="s">
        <v>984</v>
      </c>
      <c r="CC2083" s="8" t="str">
        <f>"63556"</f>
        <v>63556</v>
      </c>
      <c r="CD2083" t="s">
        <v>4592</v>
      </c>
      <c r="CE2083" t="s">
        <v>4593</v>
      </c>
      <c r="CF2083" s="12">
        <v>17.18</v>
      </c>
      <c r="CG2083" s="12">
        <v>32.700000000000003</v>
      </c>
      <c r="CH2083" s="12">
        <v>25.77</v>
      </c>
      <c r="CI2083" s="12">
        <v>49.05</v>
      </c>
      <c r="CJ2083" t="s">
        <v>135</v>
      </c>
      <c r="CK2083" t="s">
        <v>15587</v>
      </c>
      <c r="CL2083" t="s">
        <v>15588</v>
      </c>
      <c r="CO2083" t="s">
        <v>132</v>
      </c>
      <c r="CP2083" t="s">
        <v>114</v>
      </c>
      <c r="CQ2083" t="s">
        <v>114</v>
      </c>
      <c r="CR2083" t="s">
        <v>136</v>
      </c>
      <c r="CS2083" t="s">
        <v>136</v>
      </c>
      <c r="CT2083" t="s">
        <v>136</v>
      </c>
      <c r="CU2083" t="s">
        <v>136</v>
      </c>
      <c r="CV2083" s="2" t="s">
        <v>1021</v>
      </c>
      <c r="CW2083" s="10" t="str">
        <f>"+17576353808"</f>
        <v>+17576353808</v>
      </c>
      <c r="CX2083" t="s">
        <v>1022</v>
      </c>
      <c r="CY2083" t="s">
        <v>132</v>
      </c>
      <c r="CZ2083" t="s">
        <v>137</v>
      </c>
      <c r="DA2083" t="s">
        <v>114</v>
      </c>
      <c r="DB2083" t="s">
        <v>114</v>
      </c>
      <c r="DC2083" t="s">
        <v>136</v>
      </c>
      <c r="DD2083" t="s">
        <v>114</v>
      </c>
    </row>
    <row r="2084" spans="1:113" ht="15" customHeight="1" x14ac:dyDescent="0.25">
      <c r="A2084" t="s">
        <v>12856</v>
      </c>
      <c r="B2084" t="s">
        <v>113</v>
      </c>
      <c r="C2084" s="1">
        <v>45110.467661458337</v>
      </c>
      <c r="D2084" s="1">
        <v>45212</v>
      </c>
      <c r="E2084" t="s">
        <v>114</v>
      </c>
      <c r="F2084" t="s">
        <v>293</v>
      </c>
      <c r="G2084" t="str">
        <f>"35-2012.00"</f>
        <v>35-2012.00</v>
      </c>
      <c r="H2084" t="s">
        <v>7839</v>
      </c>
      <c r="I2084">
        <v>1</v>
      </c>
      <c r="K2084" s="1">
        <v>45200</v>
      </c>
      <c r="L2084" s="1">
        <v>46295</v>
      </c>
      <c r="O2084" t="s">
        <v>184</v>
      </c>
      <c r="P2084" t="s">
        <v>12857</v>
      </c>
      <c r="R2084" t="s">
        <v>12858</v>
      </c>
      <c r="T2084" t="s">
        <v>11162</v>
      </c>
      <c r="U2084" t="s">
        <v>550</v>
      </c>
      <c r="V2084" s="8" t="str">
        <f>"30011"</f>
        <v>30011</v>
      </c>
      <c r="W2084" t="s">
        <v>118</v>
      </c>
      <c r="Y2084" s="10">
        <v>14706764551</v>
      </c>
      <c r="AA2084">
        <v>484122</v>
      </c>
      <c r="AB2084" t="s">
        <v>7798</v>
      </c>
      <c r="AC2084" t="s">
        <v>12859</v>
      </c>
      <c r="AE2084" t="s">
        <v>3011</v>
      </c>
      <c r="AF2084" t="s">
        <v>12858</v>
      </c>
      <c r="AH2084" t="s">
        <v>11162</v>
      </c>
      <c r="AI2084" t="s">
        <v>550</v>
      </c>
      <c r="AJ2084" s="8" t="str">
        <f>"30011"</f>
        <v>30011</v>
      </c>
      <c r="AK2084" t="s">
        <v>118</v>
      </c>
      <c r="AM2084" s="10">
        <v>14706764551</v>
      </c>
      <c r="AO2084" t="s">
        <v>12860</v>
      </c>
      <c r="AP2084" t="s">
        <v>121</v>
      </c>
      <c r="AQ2084" t="s">
        <v>12861</v>
      </c>
      <c r="AR2084" t="s">
        <v>2404</v>
      </c>
      <c r="AS2084" t="s">
        <v>1829</v>
      </c>
      <c r="AT2084" t="s">
        <v>12862</v>
      </c>
      <c r="AV2084" t="s">
        <v>573</v>
      </c>
      <c r="AW2084" t="s">
        <v>550</v>
      </c>
      <c r="AX2084" s="8" t="str">
        <f>"30305"</f>
        <v>30305</v>
      </c>
      <c r="AY2084" t="s">
        <v>118</v>
      </c>
      <c r="BA2084" s="10">
        <v>18009514980</v>
      </c>
      <c r="BC2084" t="s">
        <v>12863</v>
      </c>
      <c r="BD2084" t="s">
        <v>12864</v>
      </c>
      <c r="BE2084" t="s">
        <v>550</v>
      </c>
      <c r="BF2084" t="s">
        <v>1129</v>
      </c>
      <c r="BG2084" t="s">
        <v>550</v>
      </c>
      <c r="BH2084" s="1">
        <v>45109.833333333336</v>
      </c>
      <c r="BI2084">
        <v>40</v>
      </c>
      <c r="BJ2084">
        <v>0</v>
      </c>
      <c r="BK2084">
        <v>8</v>
      </c>
      <c r="BL2084">
        <v>8</v>
      </c>
      <c r="BM2084">
        <v>8</v>
      </c>
      <c r="BN2084">
        <v>8</v>
      </c>
      <c r="BO2084">
        <v>8</v>
      </c>
      <c r="BP2084">
        <v>0</v>
      </c>
      <c r="BQ2084" t="str">
        <f>"8:00 AM"</f>
        <v>8:00 AM</v>
      </c>
      <c r="BR2084" t="str">
        <f>"5:00 PM"</f>
        <v>5:00 PM</v>
      </c>
      <c r="BS2084" t="s">
        <v>147</v>
      </c>
      <c r="BT2084">
        <v>0</v>
      </c>
      <c r="BU2084">
        <v>12</v>
      </c>
      <c r="BV2084" t="s">
        <v>114</v>
      </c>
      <c r="BX2084" s="2" t="s">
        <v>12865</v>
      </c>
      <c r="BY2084" t="s">
        <v>12866</v>
      </c>
      <c r="CA2084" t="s">
        <v>8645</v>
      </c>
      <c r="CB2084" t="s">
        <v>550</v>
      </c>
      <c r="CC2084" s="8" t="str">
        <f>"30019"</f>
        <v>30019</v>
      </c>
      <c r="CD2084" t="s">
        <v>4904</v>
      </c>
      <c r="CE2084" t="s">
        <v>552</v>
      </c>
      <c r="CF2084" s="12">
        <v>14.33</v>
      </c>
      <c r="CJ2084" t="s">
        <v>135</v>
      </c>
      <c r="CL2084" t="s">
        <v>12867</v>
      </c>
      <c r="CO2084" t="s">
        <v>132</v>
      </c>
      <c r="CP2084" t="s">
        <v>114</v>
      </c>
      <c r="CQ2084" t="s">
        <v>136</v>
      </c>
      <c r="CR2084" t="s">
        <v>114</v>
      </c>
      <c r="CS2084" t="s">
        <v>136</v>
      </c>
      <c r="CT2084" t="s">
        <v>136</v>
      </c>
      <c r="CU2084" t="s">
        <v>136</v>
      </c>
      <c r="CV2084" t="s">
        <v>12868</v>
      </c>
      <c r="CW2084" s="10" t="str">
        <f>"+14706764551"</f>
        <v>+14706764551</v>
      </c>
      <c r="CX2084" t="s">
        <v>12860</v>
      </c>
      <c r="CY2084" t="s">
        <v>132</v>
      </c>
      <c r="CZ2084" t="s">
        <v>137</v>
      </c>
      <c r="DA2084" t="s">
        <v>114</v>
      </c>
      <c r="DB2084" t="s">
        <v>114</v>
      </c>
      <c r="DC2084" t="s">
        <v>136</v>
      </c>
      <c r="DD2084" t="s">
        <v>114</v>
      </c>
    </row>
    <row r="2085" spans="1:113" ht="15" customHeight="1" x14ac:dyDescent="0.25">
      <c r="A2085" t="s">
        <v>21734</v>
      </c>
      <c r="B2085" t="s">
        <v>113</v>
      </c>
      <c r="C2085" s="1">
        <v>45110.356291203701</v>
      </c>
      <c r="D2085" s="1">
        <v>45212</v>
      </c>
      <c r="E2085" t="s">
        <v>114</v>
      </c>
      <c r="F2085" t="s">
        <v>21735</v>
      </c>
      <c r="G2085" t="str">
        <f>"47-3015.00"</f>
        <v>47-3015.00</v>
      </c>
      <c r="H2085" t="s">
        <v>12385</v>
      </c>
      <c r="I2085">
        <v>5</v>
      </c>
      <c r="K2085" s="1">
        <v>45200</v>
      </c>
      <c r="L2085" s="1">
        <v>45474</v>
      </c>
      <c r="O2085" t="s">
        <v>116</v>
      </c>
      <c r="P2085" t="s">
        <v>21736</v>
      </c>
      <c r="R2085" t="s">
        <v>21737</v>
      </c>
      <c r="T2085" t="s">
        <v>1614</v>
      </c>
      <c r="U2085" t="s">
        <v>140</v>
      </c>
      <c r="V2085" s="8" t="str">
        <f>"34117"</f>
        <v>34117</v>
      </c>
      <c r="W2085" t="s">
        <v>118</v>
      </c>
      <c r="Y2085" s="10">
        <v>12395378985</v>
      </c>
      <c r="AA2085">
        <v>236116</v>
      </c>
      <c r="AB2085" t="s">
        <v>14568</v>
      </c>
      <c r="AC2085" t="s">
        <v>3412</v>
      </c>
      <c r="AD2085" t="s">
        <v>7380</v>
      </c>
      <c r="AE2085" t="s">
        <v>21738</v>
      </c>
      <c r="AF2085" t="s">
        <v>21737</v>
      </c>
      <c r="AH2085" t="s">
        <v>1614</v>
      </c>
      <c r="AI2085" t="s">
        <v>140</v>
      </c>
      <c r="AJ2085" s="8" t="str">
        <f>"34117"</f>
        <v>34117</v>
      </c>
      <c r="AK2085" t="s">
        <v>118</v>
      </c>
      <c r="AM2085" s="10">
        <v>12395378985</v>
      </c>
      <c r="AO2085" t="s">
        <v>21739</v>
      </c>
      <c r="AP2085" t="s">
        <v>121</v>
      </c>
      <c r="AQ2085" t="s">
        <v>21740</v>
      </c>
      <c r="AR2085" t="s">
        <v>931</v>
      </c>
      <c r="AS2085" t="s">
        <v>1212</v>
      </c>
      <c r="AT2085" t="s">
        <v>21741</v>
      </c>
      <c r="AU2085" t="s">
        <v>5311</v>
      </c>
      <c r="AV2085" t="s">
        <v>21742</v>
      </c>
      <c r="AW2085" t="s">
        <v>140</v>
      </c>
      <c r="AX2085" s="8" t="str">
        <f>"34135"</f>
        <v>34135</v>
      </c>
      <c r="AY2085" t="s">
        <v>118</v>
      </c>
      <c r="BA2085" s="10">
        <v>12399470535</v>
      </c>
      <c r="BC2085" t="s">
        <v>21743</v>
      </c>
      <c r="BD2085" t="s">
        <v>21744</v>
      </c>
      <c r="BE2085" t="s">
        <v>140</v>
      </c>
      <c r="BF2085" t="s">
        <v>146</v>
      </c>
      <c r="BG2085" t="s">
        <v>140</v>
      </c>
      <c r="BH2085" s="1">
        <v>45106.833333333336</v>
      </c>
      <c r="BI2085">
        <v>40</v>
      </c>
      <c r="BJ2085">
        <v>0</v>
      </c>
      <c r="BK2085">
        <v>8</v>
      </c>
      <c r="BL2085">
        <v>8</v>
      </c>
      <c r="BM2085">
        <v>8</v>
      </c>
      <c r="BN2085">
        <v>8</v>
      </c>
      <c r="BO2085">
        <v>8</v>
      </c>
      <c r="BP2085">
        <v>0</v>
      </c>
      <c r="BQ2085" t="str">
        <f>"7:00 AM"</f>
        <v>7:00 AM</v>
      </c>
      <c r="BR2085" t="str">
        <f>"4:00 PM"</f>
        <v>4:00 PM</v>
      </c>
      <c r="BS2085" t="s">
        <v>131</v>
      </c>
      <c r="BT2085">
        <v>0</v>
      </c>
      <c r="BU2085">
        <v>0</v>
      </c>
      <c r="BV2085" t="s">
        <v>114</v>
      </c>
      <c r="BX2085" t="s">
        <v>132</v>
      </c>
      <c r="BY2085" t="s">
        <v>1614</v>
      </c>
      <c r="CA2085" t="s">
        <v>1614</v>
      </c>
      <c r="CB2085" t="s">
        <v>140</v>
      </c>
      <c r="CC2085" s="8" t="str">
        <f>"34117"</f>
        <v>34117</v>
      </c>
      <c r="CD2085" t="s">
        <v>1619</v>
      </c>
      <c r="CE2085" t="s">
        <v>1620</v>
      </c>
      <c r="CF2085" s="12">
        <v>16.77</v>
      </c>
      <c r="CG2085" s="12">
        <v>16.77</v>
      </c>
      <c r="CH2085" s="12">
        <v>25.16</v>
      </c>
      <c r="CI2085" s="12">
        <v>25.16</v>
      </c>
      <c r="CJ2085" t="s">
        <v>135</v>
      </c>
      <c r="CK2085" t="s">
        <v>131</v>
      </c>
      <c r="CL2085" t="s">
        <v>21745</v>
      </c>
      <c r="CO2085" t="s">
        <v>132</v>
      </c>
      <c r="CP2085" t="s">
        <v>114</v>
      </c>
      <c r="CQ2085" t="s">
        <v>136</v>
      </c>
      <c r="CR2085" t="s">
        <v>136</v>
      </c>
      <c r="CS2085" t="s">
        <v>136</v>
      </c>
      <c r="CT2085" t="s">
        <v>136</v>
      </c>
      <c r="CU2085" t="s">
        <v>136</v>
      </c>
      <c r="CV2085" t="s">
        <v>131</v>
      </c>
      <c r="CW2085" s="10" t="str">
        <f>"+12393317763"</f>
        <v>+12393317763</v>
      </c>
      <c r="CX2085" t="s">
        <v>21739</v>
      </c>
      <c r="CY2085" t="s">
        <v>132</v>
      </c>
      <c r="CZ2085" t="s">
        <v>137</v>
      </c>
      <c r="DA2085" t="s">
        <v>114</v>
      </c>
      <c r="DB2085" t="s">
        <v>114</v>
      </c>
      <c r="DC2085" t="s">
        <v>136</v>
      </c>
      <c r="DD2085" t="s">
        <v>114</v>
      </c>
      <c r="DE2085" t="s">
        <v>21746</v>
      </c>
      <c r="DF2085" t="s">
        <v>250</v>
      </c>
      <c r="DH2085" t="s">
        <v>21744</v>
      </c>
      <c r="DI2085" t="s">
        <v>21743</v>
      </c>
    </row>
    <row r="2086" spans="1:113" ht="15" customHeight="1" x14ac:dyDescent="0.25">
      <c r="A2086" t="s">
        <v>22687</v>
      </c>
      <c r="B2086" t="s">
        <v>113</v>
      </c>
      <c r="C2086" s="1">
        <v>45110.056982986112</v>
      </c>
      <c r="D2086" s="1">
        <v>45212</v>
      </c>
      <c r="E2086" t="s">
        <v>114</v>
      </c>
      <c r="F2086" t="s">
        <v>22688</v>
      </c>
      <c r="G2086" t="str">
        <f>"53-7065.00"</f>
        <v>53-7065.00</v>
      </c>
      <c r="H2086" t="s">
        <v>2763</v>
      </c>
      <c r="I2086">
        <v>40</v>
      </c>
      <c r="K2086" s="1">
        <v>45200</v>
      </c>
      <c r="L2086" s="1">
        <v>45383</v>
      </c>
      <c r="O2086" t="s">
        <v>116</v>
      </c>
      <c r="P2086" t="s">
        <v>22689</v>
      </c>
      <c r="R2086" t="s">
        <v>22690</v>
      </c>
      <c r="T2086" t="s">
        <v>22691</v>
      </c>
      <c r="U2086" t="s">
        <v>188</v>
      </c>
      <c r="V2086" s="8" t="str">
        <f>"80817"</f>
        <v>80817</v>
      </c>
      <c r="W2086" t="s">
        <v>118</v>
      </c>
      <c r="Y2086" s="10">
        <v>17123821815</v>
      </c>
      <c r="AA2086">
        <v>42449</v>
      </c>
      <c r="AB2086" t="s">
        <v>22692</v>
      </c>
      <c r="AC2086" t="s">
        <v>1616</v>
      </c>
      <c r="AE2086" t="s">
        <v>22693</v>
      </c>
      <c r="AF2086" t="s">
        <v>22690</v>
      </c>
      <c r="AH2086" t="s">
        <v>22691</v>
      </c>
      <c r="AI2086" t="s">
        <v>188</v>
      </c>
      <c r="AJ2086" s="8" t="str">
        <f>"80817"</f>
        <v>80817</v>
      </c>
      <c r="AK2086" t="s">
        <v>118</v>
      </c>
      <c r="AM2086" s="10">
        <v>17123821815</v>
      </c>
      <c r="AO2086" t="s">
        <v>132</v>
      </c>
      <c r="AP2086" t="s">
        <v>248</v>
      </c>
      <c r="AQ2086" t="s">
        <v>577</v>
      </c>
      <c r="AR2086" t="s">
        <v>578</v>
      </c>
      <c r="AT2086" t="s">
        <v>579</v>
      </c>
      <c r="AV2086" t="s">
        <v>580</v>
      </c>
      <c r="AW2086" t="s">
        <v>581</v>
      </c>
      <c r="AX2086" s="8" t="str">
        <f>"22903"</f>
        <v>22903</v>
      </c>
      <c r="AY2086" t="s">
        <v>118</v>
      </c>
      <c r="BA2086" s="10">
        <v>14342634300</v>
      </c>
      <c r="BC2086" t="s">
        <v>1996</v>
      </c>
      <c r="BD2086" t="s">
        <v>583</v>
      </c>
      <c r="BG2086" t="s">
        <v>188</v>
      </c>
      <c r="BH2086" s="1">
        <v>45109.833333333336</v>
      </c>
      <c r="BI2086">
        <v>40</v>
      </c>
      <c r="BJ2086">
        <v>0</v>
      </c>
      <c r="BK2086">
        <v>10</v>
      </c>
      <c r="BL2086">
        <v>10</v>
      </c>
      <c r="BM2086">
        <v>10</v>
      </c>
      <c r="BN2086">
        <v>10</v>
      </c>
      <c r="BO2086">
        <v>0</v>
      </c>
      <c r="BP2086">
        <v>0</v>
      </c>
      <c r="BQ2086" t="str">
        <f>"6:00 AM"</f>
        <v>6:00 AM</v>
      </c>
      <c r="BR2086" t="str">
        <f>"4:30 PM"</f>
        <v>4:30 PM</v>
      </c>
      <c r="BS2086" t="s">
        <v>131</v>
      </c>
      <c r="BT2086">
        <v>0</v>
      </c>
      <c r="BU2086">
        <v>0</v>
      </c>
      <c r="BV2086" t="s">
        <v>114</v>
      </c>
      <c r="BX2086" s="2" t="s">
        <v>22694</v>
      </c>
      <c r="BY2086" t="s">
        <v>22695</v>
      </c>
      <c r="CA2086" t="s">
        <v>22691</v>
      </c>
      <c r="CB2086" t="s">
        <v>188</v>
      </c>
      <c r="CC2086" s="8" t="str">
        <f>"80817"</f>
        <v>80817</v>
      </c>
      <c r="CD2086" t="s">
        <v>714</v>
      </c>
      <c r="CE2086" t="s">
        <v>2261</v>
      </c>
      <c r="CF2086" s="12">
        <v>17.100000000000001</v>
      </c>
      <c r="CH2086" s="12">
        <v>25.65</v>
      </c>
      <c r="CJ2086" t="s">
        <v>135</v>
      </c>
      <c r="CK2086" t="s">
        <v>590</v>
      </c>
      <c r="CL2086" t="s">
        <v>22696</v>
      </c>
      <c r="CO2086" t="s">
        <v>132</v>
      </c>
      <c r="CP2086" t="s">
        <v>114</v>
      </c>
      <c r="CQ2086" t="s">
        <v>136</v>
      </c>
      <c r="CR2086" t="s">
        <v>136</v>
      </c>
      <c r="CS2086" t="s">
        <v>136</v>
      </c>
      <c r="CT2086" t="s">
        <v>136</v>
      </c>
      <c r="CU2086" t="s">
        <v>136</v>
      </c>
      <c r="CV2086" t="s">
        <v>22697</v>
      </c>
      <c r="CW2086" s="10" t="str">
        <f>"N/A"</f>
        <v>N/A</v>
      </c>
      <c r="CX2086" t="s">
        <v>22698</v>
      </c>
      <c r="CY2086" t="s">
        <v>198</v>
      </c>
      <c r="CZ2086" t="s">
        <v>137</v>
      </c>
      <c r="DA2086" t="s">
        <v>114</v>
      </c>
      <c r="DB2086" t="s">
        <v>136</v>
      </c>
      <c r="DC2086" t="s">
        <v>136</v>
      </c>
      <c r="DD2086" t="s">
        <v>114</v>
      </c>
      <c r="DE2086" t="s">
        <v>1998</v>
      </c>
      <c r="DF2086" t="s">
        <v>1999</v>
      </c>
      <c r="DH2086" t="s">
        <v>583</v>
      </c>
      <c r="DI2086" t="s">
        <v>1996</v>
      </c>
    </row>
    <row r="2087" spans="1:113" ht="15" customHeight="1" x14ac:dyDescent="0.25">
      <c r="A2087" t="s">
        <v>16762</v>
      </c>
      <c r="B2087" t="s">
        <v>113</v>
      </c>
      <c r="C2087" s="1">
        <v>45110.003504282409</v>
      </c>
      <c r="D2087" s="1">
        <v>45212</v>
      </c>
      <c r="E2087" t="s">
        <v>114</v>
      </c>
      <c r="F2087" t="s">
        <v>16763</v>
      </c>
      <c r="G2087" t="str">
        <f>"39-9031.00"</f>
        <v>39-9031.00</v>
      </c>
      <c r="H2087" t="s">
        <v>16764</v>
      </c>
      <c r="I2087">
        <v>2</v>
      </c>
      <c r="K2087" s="1">
        <v>45200</v>
      </c>
      <c r="L2087" s="1">
        <v>45442</v>
      </c>
      <c r="O2087" t="s">
        <v>238</v>
      </c>
      <c r="P2087" t="s">
        <v>16765</v>
      </c>
      <c r="R2087" t="s">
        <v>16766</v>
      </c>
      <c r="T2087" t="s">
        <v>2176</v>
      </c>
      <c r="U2087" t="s">
        <v>386</v>
      </c>
      <c r="V2087" s="8" t="str">
        <f>"37110"</f>
        <v>37110</v>
      </c>
      <c r="W2087" t="s">
        <v>118</v>
      </c>
      <c r="Y2087" s="10">
        <v>19313048921</v>
      </c>
      <c r="AA2087">
        <v>611610</v>
      </c>
      <c r="AB2087" t="s">
        <v>16767</v>
      </c>
      <c r="AC2087" t="s">
        <v>16768</v>
      </c>
      <c r="AE2087" t="s">
        <v>16769</v>
      </c>
      <c r="AF2087" t="s">
        <v>16770</v>
      </c>
      <c r="AH2087" t="s">
        <v>2176</v>
      </c>
      <c r="AI2087" t="s">
        <v>386</v>
      </c>
      <c r="AJ2087" s="8" t="str">
        <f>"37110"</f>
        <v>37110</v>
      </c>
      <c r="AK2087" t="s">
        <v>118</v>
      </c>
      <c r="AM2087" s="10">
        <v>19313048921</v>
      </c>
      <c r="AO2087" t="s">
        <v>16771</v>
      </c>
      <c r="AP2087" t="s">
        <v>121</v>
      </c>
      <c r="AQ2087" t="s">
        <v>2173</v>
      </c>
      <c r="AR2087" t="s">
        <v>2174</v>
      </c>
      <c r="AS2087" t="s">
        <v>1829</v>
      </c>
      <c r="AT2087" t="s">
        <v>2175</v>
      </c>
      <c r="AV2087" t="s">
        <v>2176</v>
      </c>
      <c r="AW2087" t="s">
        <v>386</v>
      </c>
      <c r="AX2087" s="8" t="str">
        <f>"37110"</f>
        <v>37110</v>
      </c>
      <c r="AY2087" t="s">
        <v>118</v>
      </c>
      <c r="BA2087" s="10">
        <v>19312747811</v>
      </c>
      <c r="BC2087" t="s">
        <v>2177</v>
      </c>
      <c r="BD2087" t="s">
        <v>2178</v>
      </c>
      <c r="BE2087" t="s">
        <v>386</v>
      </c>
      <c r="BF2087" t="s">
        <v>2179</v>
      </c>
      <c r="BG2087" t="s">
        <v>386</v>
      </c>
      <c r="BH2087" s="1">
        <v>45109.833333333336</v>
      </c>
      <c r="BI2087">
        <v>40</v>
      </c>
      <c r="BJ2087">
        <v>0</v>
      </c>
      <c r="BK2087">
        <v>7</v>
      </c>
      <c r="BL2087">
        <v>7</v>
      </c>
      <c r="BM2087">
        <v>7</v>
      </c>
      <c r="BN2087">
        <v>7</v>
      </c>
      <c r="BO2087">
        <v>7</v>
      </c>
      <c r="BP2087">
        <v>5</v>
      </c>
      <c r="BQ2087" t="str">
        <f>"6:00 AM"</f>
        <v>6:00 AM</v>
      </c>
      <c r="BR2087" t="str">
        <f>"1:00 PM"</f>
        <v>1:00 PM</v>
      </c>
      <c r="BS2087" t="s">
        <v>131</v>
      </c>
      <c r="BT2087">
        <v>0</v>
      </c>
      <c r="BU2087">
        <v>3</v>
      </c>
      <c r="BV2087" t="s">
        <v>114</v>
      </c>
      <c r="BX2087" t="s">
        <v>16772</v>
      </c>
      <c r="BY2087" t="s">
        <v>16773</v>
      </c>
      <c r="CA2087" t="s">
        <v>2176</v>
      </c>
      <c r="CB2087" t="s">
        <v>386</v>
      </c>
      <c r="CC2087" s="8" t="str">
        <f>"37110"</f>
        <v>37110</v>
      </c>
      <c r="CD2087" t="s">
        <v>1017</v>
      </c>
      <c r="CE2087" t="s">
        <v>2425</v>
      </c>
      <c r="CF2087" s="12">
        <v>16.45</v>
      </c>
      <c r="CH2087" s="12">
        <v>24.68</v>
      </c>
      <c r="CJ2087" t="s">
        <v>135</v>
      </c>
      <c r="CK2087" t="s">
        <v>2181</v>
      </c>
      <c r="CL2087" t="s">
        <v>16774</v>
      </c>
      <c r="CO2087" t="s">
        <v>132</v>
      </c>
      <c r="CP2087" t="s">
        <v>136</v>
      </c>
      <c r="CQ2087" t="s">
        <v>136</v>
      </c>
      <c r="CR2087" t="s">
        <v>136</v>
      </c>
      <c r="CS2087" t="s">
        <v>114</v>
      </c>
      <c r="CT2087" t="s">
        <v>136</v>
      </c>
      <c r="CU2087" t="s">
        <v>114</v>
      </c>
      <c r="CV2087" t="s">
        <v>132</v>
      </c>
      <c r="CW2087" s="10" t="str">
        <f>"+19313048921"</f>
        <v>+19313048921</v>
      </c>
      <c r="CX2087" t="s">
        <v>16771</v>
      </c>
      <c r="CY2087" t="s">
        <v>132</v>
      </c>
      <c r="CZ2087" t="s">
        <v>137</v>
      </c>
      <c r="DA2087" t="s">
        <v>114</v>
      </c>
      <c r="DB2087" t="s">
        <v>114</v>
      </c>
      <c r="DC2087" t="s">
        <v>136</v>
      </c>
      <c r="DD2087" t="s">
        <v>114</v>
      </c>
    </row>
    <row r="2088" spans="1:113" ht="15" customHeight="1" x14ac:dyDescent="0.25">
      <c r="A2088" t="s">
        <v>6706</v>
      </c>
      <c r="B2088" t="s">
        <v>113</v>
      </c>
      <c r="C2088" s="1">
        <v>45110.002208796293</v>
      </c>
      <c r="D2088" s="1">
        <v>45212</v>
      </c>
      <c r="E2088" t="s">
        <v>114</v>
      </c>
      <c r="F2088" t="s">
        <v>6452</v>
      </c>
      <c r="G2088" t="str">
        <f>"49-3041.00"</f>
        <v>49-3041.00</v>
      </c>
      <c r="H2088" t="s">
        <v>6453</v>
      </c>
      <c r="I2088">
        <v>2</v>
      </c>
      <c r="K2088" s="1">
        <v>45200</v>
      </c>
      <c r="L2088" s="1">
        <v>45504</v>
      </c>
      <c r="O2088" t="s">
        <v>116</v>
      </c>
      <c r="P2088" t="s">
        <v>6454</v>
      </c>
      <c r="R2088" t="s">
        <v>6455</v>
      </c>
      <c r="T2088" t="s">
        <v>6456</v>
      </c>
      <c r="U2088" t="s">
        <v>740</v>
      </c>
      <c r="V2088" s="8" t="str">
        <f>"51561"</f>
        <v>51561</v>
      </c>
      <c r="W2088" t="s">
        <v>118</v>
      </c>
      <c r="Y2088" s="10">
        <v>16206645860</v>
      </c>
      <c r="AA2088">
        <v>423820</v>
      </c>
      <c r="AB2088" t="s">
        <v>6457</v>
      </c>
      <c r="AC2088" t="s">
        <v>6458</v>
      </c>
      <c r="AD2088" t="s">
        <v>746</v>
      </c>
      <c r="AE2088" t="s">
        <v>6459</v>
      </c>
      <c r="AF2088" t="s">
        <v>6455</v>
      </c>
      <c r="AH2088" t="s">
        <v>6456</v>
      </c>
      <c r="AI2088" t="s">
        <v>740</v>
      </c>
      <c r="AJ2088" s="8" t="str">
        <f>"51561"</f>
        <v>51561</v>
      </c>
      <c r="AK2088" t="s">
        <v>118</v>
      </c>
      <c r="AM2088" s="10">
        <v>16206645860</v>
      </c>
      <c r="AO2088" t="s">
        <v>6460</v>
      </c>
      <c r="AP2088" t="s">
        <v>248</v>
      </c>
      <c r="AQ2088" t="s">
        <v>2869</v>
      </c>
      <c r="AR2088" t="s">
        <v>1362</v>
      </c>
      <c r="AS2088" t="s">
        <v>132</v>
      </c>
      <c r="AT2088" t="s">
        <v>1032</v>
      </c>
      <c r="AU2088" t="s">
        <v>852</v>
      </c>
      <c r="AV2088" t="s">
        <v>853</v>
      </c>
      <c r="AW2088" t="s">
        <v>854</v>
      </c>
      <c r="AX2088" s="8" t="str">
        <f>"83814"</f>
        <v>83814</v>
      </c>
      <c r="AY2088" t="s">
        <v>118</v>
      </c>
      <c r="BA2088" s="10">
        <v>12087772654</v>
      </c>
      <c r="BC2088" t="s">
        <v>4831</v>
      </c>
      <c r="BD2088" t="s">
        <v>856</v>
      </c>
      <c r="BG2088" t="s">
        <v>1734</v>
      </c>
      <c r="BH2088" s="1">
        <v>45109.833333333336</v>
      </c>
      <c r="BI2088">
        <v>40</v>
      </c>
      <c r="BJ2088">
        <v>0</v>
      </c>
      <c r="BK2088">
        <v>8</v>
      </c>
      <c r="BL2088">
        <v>8</v>
      </c>
      <c r="BM2088">
        <v>8</v>
      </c>
      <c r="BN2088">
        <v>8</v>
      </c>
      <c r="BO2088">
        <v>8</v>
      </c>
      <c r="BP2088">
        <v>0</v>
      </c>
      <c r="BQ2088" t="str">
        <f>"8:00 AM"</f>
        <v>8:00 AM</v>
      </c>
      <c r="BR2088" t="str">
        <f>"5:00 PM"</f>
        <v>5:00 PM</v>
      </c>
      <c r="BS2088" t="s">
        <v>131</v>
      </c>
      <c r="BT2088">
        <v>0</v>
      </c>
      <c r="BU2088">
        <v>12</v>
      </c>
      <c r="BV2088" t="s">
        <v>114</v>
      </c>
      <c r="BX2088" s="2" t="s">
        <v>6461</v>
      </c>
      <c r="BY2088" t="s">
        <v>6707</v>
      </c>
      <c r="CA2088" t="s">
        <v>6708</v>
      </c>
      <c r="CB2088" t="s">
        <v>1734</v>
      </c>
      <c r="CC2088" s="8" t="str">
        <f>"66801"</f>
        <v>66801</v>
      </c>
      <c r="CD2088" t="s">
        <v>2169</v>
      </c>
      <c r="CE2088" t="s">
        <v>5123</v>
      </c>
      <c r="CF2088" s="12">
        <v>24.17</v>
      </c>
      <c r="CG2088" s="12">
        <v>42</v>
      </c>
      <c r="CH2088" s="12">
        <v>36.26</v>
      </c>
      <c r="CI2088" s="12">
        <v>63</v>
      </c>
      <c r="CJ2088" t="s">
        <v>135</v>
      </c>
      <c r="CK2088" t="s">
        <v>6464</v>
      </c>
      <c r="CL2088" t="s">
        <v>6709</v>
      </c>
      <c r="CO2088" t="s">
        <v>132</v>
      </c>
      <c r="CP2088" t="s">
        <v>136</v>
      </c>
      <c r="CQ2088" t="s">
        <v>136</v>
      </c>
      <c r="CR2088" t="s">
        <v>136</v>
      </c>
      <c r="CS2088" t="s">
        <v>114</v>
      </c>
      <c r="CT2088" t="s">
        <v>136</v>
      </c>
      <c r="CU2088" t="s">
        <v>114</v>
      </c>
      <c r="CV2088" t="s">
        <v>1040</v>
      </c>
      <c r="CW2088" s="10" t="str">
        <f>"N/A"</f>
        <v>N/A</v>
      </c>
      <c r="CX2088" t="s">
        <v>6466</v>
      </c>
      <c r="CY2088" t="s">
        <v>6467</v>
      </c>
      <c r="CZ2088" t="s">
        <v>137</v>
      </c>
      <c r="DA2088" t="s">
        <v>114</v>
      </c>
      <c r="DB2088" t="s">
        <v>136</v>
      </c>
      <c r="DC2088" t="s">
        <v>136</v>
      </c>
      <c r="DD2088" t="s">
        <v>114</v>
      </c>
    </row>
    <row r="2089" spans="1:113" ht="15" customHeight="1" x14ac:dyDescent="0.25">
      <c r="A2089" t="s">
        <v>6451</v>
      </c>
      <c r="B2089" t="s">
        <v>113</v>
      </c>
      <c r="C2089" s="1">
        <v>45110.001783101849</v>
      </c>
      <c r="D2089" s="1">
        <v>45212</v>
      </c>
      <c r="E2089" t="s">
        <v>114</v>
      </c>
      <c r="F2089" t="s">
        <v>6452</v>
      </c>
      <c r="G2089" t="str">
        <f>"49-3041.00"</f>
        <v>49-3041.00</v>
      </c>
      <c r="H2089" t="s">
        <v>6453</v>
      </c>
      <c r="I2089">
        <v>2</v>
      </c>
      <c r="K2089" s="1">
        <v>45200</v>
      </c>
      <c r="L2089" s="1">
        <v>45504</v>
      </c>
      <c r="O2089" t="s">
        <v>116</v>
      </c>
      <c r="P2089" t="s">
        <v>6454</v>
      </c>
      <c r="R2089" t="s">
        <v>6455</v>
      </c>
      <c r="T2089" t="s">
        <v>6456</v>
      </c>
      <c r="U2089" t="s">
        <v>740</v>
      </c>
      <c r="V2089" s="8" t="str">
        <f>"51561"</f>
        <v>51561</v>
      </c>
      <c r="W2089" t="s">
        <v>118</v>
      </c>
      <c r="Y2089" s="10">
        <v>16206645860</v>
      </c>
      <c r="AA2089">
        <v>423820</v>
      </c>
      <c r="AB2089" t="s">
        <v>6457</v>
      </c>
      <c r="AC2089" t="s">
        <v>6458</v>
      </c>
      <c r="AD2089" t="s">
        <v>746</v>
      </c>
      <c r="AE2089" t="s">
        <v>6459</v>
      </c>
      <c r="AF2089" t="s">
        <v>6455</v>
      </c>
      <c r="AH2089" t="s">
        <v>6456</v>
      </c>
      <c r="AI2089" t="s">
        <v>740</v>
      </c>
      <c r="AJ2089" s="8" t="str">
        <f>"51561"</f>
        <v>51561</v>
      </c>
      <c r="AK2089" t="s">
        <v>118</v>
      </c>
      <c r="AM2089" s="10">
        <v>16206645860</v>
      </c>
      <c r="AO2089" t="s">
        <v>6460</v>
      </c>
      <c r="AP2089" t="s">
        <v>248</v>
      </c>
      <c r="AQ2089" t="s">
        <v>2869</v>
      </c>
      <c r="AR2089" t="s">
        <v>1362</v>
      </c>
      <c r="AS2089" t="s">
        <v>132</v>
      </c>
      <c r="AT2089" t="s">
        <v>1032</v>
      </c>
      <c r="AU2089" t="s">
        <v>852</v>
      </c>
      <c r="AV2089" t="s">
        <v>853</v>
      </c>
      <c r="AW2089" t="s">
        <v>854</v>
      </c>
      <c r="AX2089" s="8" t="str">
        <f>"83814"</f>
        <v>83814</v>
      </c>
      <c r="AY2089" t="s">
        <v>118</v>
      </c>
      <c r="BA2089" s="10">
        <v>12087772654</v>
      </c>
      <c r="BC2089" t="s">
        <v>4831</v>
      </c>
      <c r="BD2089" t="s">
        <v>856</v>
      </c>
      <c r="BG2089" t="s">
        <v>1734</v>
      </c>
      <c r="BH2089" s="1">
        <v>45109.833333333336</v>
      </c>
      <c r="BI2089">
        <v>40</v>
      </c>
      <c r="BJ2089">
        <v>0</v>
      </c>
      <c r="BK2089">
        <v>8</v>
      </c>
      <c r="BL2089">
        <v>8</v>
      </c>
      <c r="BM2089">
        <v>8</v>
      </c>
      <c r="BN2089">
        <v>8</v>
      </c>
      <c r="BO2089">
        <v>8</v>
      </c>
      <c r="BP2089">
        <v>0</v>
      </c>
      <c r="BQ2089" t="str">
        <f>"8:00 AM"</f>
        <v>8:00 AM</v>
      </c>
      <c r="BR2089" t="str">
        <f>"5:00 PM"</f>
        <v>5:00 PM</v>
      </c>
      <c r="BS2089" t="s">
        <v>131</v>
      </c>
      <c r="BT2089">
        <v>0</v>
      </c>
      <c r="BU2089">
        <v>12</v>
      </c>
      <c r="BV2089" t="s">
        <v>114</v>
      </c>
      <c r="BX2089" s="2" t="s">
        <v>6461</v>
      </c>
      <c r="BY2089" t="s">
        <v>6462</v>
      </c>
      <c r="CA2089" t="s">
        <v>6463</v>
      </c>
      <c r="CB2089" t="s">
        <v>1734</v>
      </c>
      <c r="CC2089" s="8" t="str">
        <f>"67003"</f>
        <v>67003</v>
      </c>
      <c r="CD2089" t="s">
        <v>4857</v>
      </c>
      <c r="CE2089" t="s">
        <v>5123</v>
      </c>
      <c r="CF2089" s="12">
        <v>23.7</v>
      </c>
      <c r="CG2089" s="12">
        <v>42</v>
      </c>
      <c r="CH2089" s="12">
        <v>35.549999999999997</v>
      </c>
      <c r="CI2089" s="12">
        <v>63</v>
      </c>
      <c r="CJ2089" t="s">
        <v>135</v>
      </c>
      <c r="CK2089" t="s">
        <v>6464</v>
      </c>
      <c r="CL2089" t="s">
        <v>6465</v>
      </c>
      <c r="CO2089" t="s">
        <v>132</v>
      </c>
      <c r="CP2089" t="s">
        <v>136</v>
      </c>
      <c r="CQ2089" t="s">
        <v>136</v>
      </c>
      <c r="CR2089" t="s">
        <v>136</v>
      </c>
      <c r="CS2089" t="s">
        <v>114</v>
      </c>
      <c r="CT2089" t="s">
        <v>136</v>
      </c>
      <c r="CU2089" t="s">
        <v>114</v>
      </c>
      <c r="CV2089" t="s">
        <v>1040</v>
      </c>
      <c r="CW2089" s="10" t="str">
        <f>"N/A"</f>
        <v>N/A</v>
      </c>
      <c r="CX2089" t="s">
        <v>6466</v>
      </c>
      <c r="CY2089" t="s">
        <v>6467</v>
      </c>
      <c r="CZ2089" t="s">
        <v>137</v>
      </c>
      <c r="DA2089" t="s">
        <v>114</v>
      </c>
      <c r="DB2089" t="s">
        <v>136</v>
      </c>
      <c r="DC2089" t="s">
        <v>136</v>
      </c>
      <c r="DD2089" t="s">
        <v>114</v>
      </c>
    </row>
    <row r="2090" spans="1:113" ht="15" customHeight="1" x14ac:dyDescent="0.25">
      <c r="A2090" t="s">
        <v>19616</v>
      </c>
      <c r="B2090" t="s">
        <v>113</v>
      </c>
      <c r="C2090" s="1">
        <v>45110.000857060186</v>
      </c>
      <c r="D2090" s="1">
        <v>45212</v>
      </c>
      <c r="E2090" t="s">
        <v>114</v>
      </c>
      <c r="F2090" t="s">
        <v>6452</v>
      </c>
      <c r="G2090" t="str">
        <f>"49-3041.00"</f>
        <v>49-3041.00</v>
      </c>
      <c r="H2090" t="s">
        <v>6453</v>
      </c>
      <c r="I2090">
        <v>2</v>
      </c>
      <c r="K2090" s="1">
        <v>45200</v>
      </c>
      <c r="L2090" s="1">
        <v>45504</v>
      </c>
      <c r="O2090" t="s">
        <v>116</v>
      </c>
      <c r="P2090" t="s">
        <v>6454</v>
      </c>
      <c r="R2090" t="s">
        <v>6455</v>
      </c>
      <c r="T2090" t="s">
        <v>6456</v>
      </c>
      <c r="U2090" t="s">
        <v>740</v>
      </c>
      <c r="V2090" s="8" t="str">
        <f>"51561"</f>
        <v>51561</v>
      </c>
      <c r="W2090" t="s">
        <v>118</v>
      </c>
      <c r="Y2090" s="10">
        <v>16206645860</v>
      </c>
      <c r="AA2090">
        <v>423820</v>
      </c>
      <c r="AB2090" t="s">
        <v>6457</v>
      </c>
      <c r="AC2090" t="s">
        <v>6458</v>
      </c>
      <c r="AD2090" t="s">
        <v>746</v>
      </c>
      <c r="AE2090" t="s">
        <v>6459</v>
      </c>
      <c r="AF2090" t="s">
        <v>6455</v>
      </c>
      <c r="AH2090" t="s">
        <v>6456</v>
      </c>
      <c r="AI2090" t="s">
        <v>740</v>
      </c>
      <c r="AJ2090" s="8" t="str">
        <f>"51561"</f>
        <v>51561</v>
      </c>
      <c r="AK2090" t="s">
        <v>118</v>
      </c>
      <c r="AM2090" s="10">
        <v>16206645860</v>
      </c>
      <c r="AO2090" t="s">
        <v>6460</v>
      </c>
      <c r="AP2090" t="s">
        <v>248</v>
      </c>
      <c r="AQ2090" t="s">
        <v>2869</v>
      </c>
      <c r="AR2090" t="s">
        <v>1362</v>
      </c>
      <c r="AS2090" t="s">
        <v>132</v>
      </c>
      <c r="AT2090" t="s">
        <v>1032</v>
      </c>
      <c r="AU2090" t="s">
        <v>852</v>
      </c>
      <c r="AV2090" t="s">
        <v>853</v>
      </c>
      <c r="AW2090" t="s">
        <v>854</v>
      </c>
      <c r="AX2090" s="8" t="str">
        <f>"83814"</f>
        <v>83814</v>
      </c>
      <c r="AY2090" t="s">
        <v>118</v>
      </c>
      <c r="BA2090" s="10">
        <v>12087772654</v>
      </c>
      <c r="BC2090" t="s">
        <v>4831</v>
      </c>
      <c r="BD2090" t="s">
        <v>856</v>
      </c>
      <c r="BG2090" t="s">
        <v>740</v>
      </c>
      <c r="BH2090" s="1">
        <v>45109.833333333336</v>
      </c>
      <c r="BI2090">
        <v>40</v>
      </c>
      <c r="BJ2090">
        <v>0</v>
      </c>
      <c r="BK2090">
        <v>8</v>
      </c>
      <c r="BL2090">
        <v>8</v>
      </c>
      <c r="BM2090">
        <v>8</v>
      </c>
      <c r="BN2090">
        <v>8</v>
      </c>
      <c r="BO2090">
        <v>8</v>
      </c>
      <c r="BP2090">
        <v>0</v>
      </c>
      <c r="BQ2090" t="str">
        <f>"8:00 AM"</f>
        <v>8:00 AM</v>
      </c>
      <c r="BR2090" t="str">
        <f>"5:00 PM"</f>
        <v>5:00 PM</v>
      </c>
      <c r="BS2090" t="s">
        <v>131</v>
      </c>
      <c r="BT2090">
        <v>0</v>
      </c>
      <c r="BU2090">
        <v>12</v>
      </c>
      <c r="BV2090" t="s">
        <v>114</v>
      </c>
      <c r="BX2090" s="2" t="s">
        <v>6461</v>
      </c>
      <c r="BY2090" t="s">
        <v>19617</v>
      </c>
      <c r="CA2090" t="s">
        <v>5594</v>
      </c>
      <c r="CB2090" t="s">
        <v>740</v>
      </c>
      <c r="CC2090" s="8" t="str">
        <f>"51503"</f>
        <v>51503</v>
      </c>
      <c r="CD2090" t="s">
        <v>5599</v>
      </c>
      <c r="CE2090" t="s">
        <v>2100</v>
      </c>
      <c r="CF2090" s="12">
        <v>24.43</v>
      </c>
      <c r="CG2090" s="12">
        <v>42</v>
      </c>
      <c r="CH2090" s="12">
        <v>36.65</v>
      </c>
      <c r="CI2090" s="12">
        <v>63</v>
      </c>
      <c r="CJ2090" t="s">
        <v>135</v>
      </c>
      <c r="CK2090" t="s">
        <v>6464</v>
      </c>
      <c r="CL2090" t="s">
        <v>19618</v>
      </c>
      <c r="CO2090" t="s">
        <v>132</v>
      </c>
      <c r="CP2090" t="s">
        <v>136</v>
      </c>
      <c r="CQ2090" t="s">
        <v>136</v>
      </c>
      <c r="CR2090" t="s">
        <v>136</v>
      </c>
      <c r="CS2090" t="s">
        <v>114</v>
      </c>
      <c r="CT2090" t="s">
        <v>136</v>
      </c>
      <c r="CU2090" t="s">
        <v>114</v>
      </c>
      <c r="CV2090" t="s">
        <v>1040</v>
      </c>
      <c r="CW2090" s="10" t="str">
        <f>"N/A"</f>
        <v>N/A</v>
      </c>
      <c r="CX2090" t="s">
        <v>6466</v>
      </c>
      <c r="CY2090" t="s">
        <v>6467</v>
      </c>
      <c r="CZ2090" t="s">
        <v>137</v>
      </c>
      <c r="DA2090" t="s">
        <v>114</v>
      </c>
      <c r="DB2090" t="s">
        <v>136</v>
      </c>
      <c r="DC2090" t="s">
        <v>136</v>
      </c>
      <c r="DD2090" t="s">
        <v>114</v>
      </c>
    </row>
    <row r="2091" spans="1:113" ht="15" customHeight="1" x14ac:dyDescent="0.25">
      <c r="A2091" t="s">
        <v>6431</v>
      </c>
      <c r="B2091" t="s">
        <v>113</v>
      </c>
      <c r="C2091" s="1">
        <v>45110.000410416666</v>
      </c>
      <c r="D2091" s="1">
        <v>45212</v>
      </c>
      <c r="E2091" t="s">
        <v>114</v>
      </c>
      <c r="F2091" t="s">
        <v>6432</v>
      </c>
      <c r="G2091" t="str">
        <f>"35-1011.00"</f>
        <v>35-1011.00</v>
      </c>
      <c r="H2091" t="s">
        <v>1043</v>
      </c>
      <c r="I2091">
        <v>1</v>
      </c>
      <c r="K2091" s="1">
        <v>45200</v>
      </c>
      <c r="L2091" s="1">
        <v>45565</v>
      </c>
      <c r="O2091" t="s">
        <v>184</v>
      </c>
      <c r="P2091" t="s">
        <v>6433</v>
      </c>
      <c r="Q2091" t="s">
        <v>6434</v>
      </c>
      <c r="R2091" t="s">
        <v>6435</v>
      </c>
      <c r="T2091" t="s">
        <v>1220</v>
      </c>
      <c r="U2091" t="s">
        <v>358</v>
      </c>
      <c r="V2091" s="8" t="str">
        <f>"10019"</f>
        <v>10019</v>
      </c>
      <c r="W2091" t="s">
        <v>118</v>
      </c>
      <c r="Y2091" s="10">
        <v>12129701740</v>
      </c>
      <c r="AA2091">
        <v>722511</v>
      </c>
      <c r="AB2091" t="s">
        <v>6436</v>
      </c>
      <c r="AC2091" t="s">
        <v>6437</v>
      </c>
      <c r="AE2091" t="s">
        <v>6438</v>
      </c>
      <c r="AF2091" t="s">
        <v>6435</v>
      </c>
      <c r="AH2091" t="s">
        <v>1220</v>
      </c>
      <c r="AI2091" t="s">
        <v>358</v>
      </c>
      <c r="AJ2091" s="8" t="str">
        <f>"10019"</f>
        <v>10019</v>
      </c>
      <c r="AK2091" t="s">
        <v>118</v>
      </c>
      <c r="AM2091" s="10">
        <v>16137488852</v>
      </c>
      <c r="AO2091" t="s">
        <v>6439</v>
      </c>
      <c r="AP2091" t="s">
        <v>121</v>
      </c>
      <c r="AQ2091" t="s">
        <v>6440</v>
      </c>
      <c r="AR2091" t="s">
        <v>6441</v>
      </c>
      <c r="AS2091" t="s">
        <v>5512</v>
      </c>
      <c r="AT2091" t="s">
        <v>6442</v>
      </c>
      <c r="AU2091" t="s">
        <v>6443</v>
      </c>
      <c r="AV2091" t="s">
        <v>3592</v>
      </c>
      <c r="AW2091" t="s">
        <v>543</v>
      </c>
      <c r="AX2091" s="8" t="str">
        <f>"45402"</f>
        <v>45402</v>
      </c>
      <c r="AY2091" t="s">
        <v>118</v>
      </c>
      <c r="BA2091" s="10">
        <v>19372236003</v>
      </c>
      <c r="BC2091" t="s">
        <v>6444</v>
      </c>
      <c r="BD2091" t="s">
        <v>6445</v>
      </c>
      <c r="BE2091" t="s">
        <v>543</v>
      </c>
      <c r="BF2091" t="s">
        <v>6446</v>
      </c>
      <c r="BG2091" t="s">
        <v>358</v>
      </c>
      <c r="BH2091" s="1">
        <v>45109.833333333336</v>
      </c>
      <c r="BI2091">
        <v>50</v>
      </c>
      <c r="BJ2091">
        <v>0</v>
      </c>
      <c r="BK2091">
        <v>10</v>
      </c>
      <c r="BL2091">
        <v>0</v>
      </c>
      <c r="BM2091">
        <v>10</v>
      </c>
      <c r="BN2091">
        <v>10</v>
      </c>
      <c r="BO2091">
        <v>10</v>
      </c>
      <c r="BP2091">
        <v>10</v>
      </c>
      <c r="BQ2091" t="str">
        <f>"9:00 AM"</f>
        <v>9:00 AM</v>
      </c>
      <c r="BR2091" t="str">
        <f>"7:00 PM"</f>
        <v>7:00 PM</v>
      </c>
      <c r="BS2091" t="s">
        <v>147</v>
      </c>
      <c r="BT2091">
        <v>24</v>
      </c>
      <c r="BU2091">
        <v>36</v>
      </c>
      <c r="BV2091" t="s">
        <v>136</v>
      </c>
      <c r="BW2091">
        <v>20</v>
      </c>
      <c r="BX2091" s="2" t="s">
        <v>6447</v>
      </c>
      <c r="BY2091" t="s">
        <v>6435</v>
      </c>
      <c r="CA2091" t="s">
        <v>1220</v>
      </c>
      <c r="CB2091" t="s">
        <v>358</v>
      </c>
      <c r="CC2091" s="8" t="str">
        <f>"10019"</f>
        <v>10019</v>
      </c>
      <c r="CD2091" t="s">
        <v>1497</v>
      </c>
      <c r="CE2091" t="s">
        <v>1418</v>
      </c>
      <c r="CF2091" s="12">
        <v>34.14</v>
      </c>
      <c r="CG2091" s="12">
        <v>34.14</v>
      </c>
      <c r="CJ2091" t="s">
        <v>135</v>
      </c>
      <c r="CK2091" t="s">
        <v>6448</v>
      </c>
      <c r="CL2091" t="s">
        <v>6449</v>
      </c>
      <c r="CO2091" t="s">
        <v>132</v>
      </c>
      <c r="CP2091" t="s">
        <v>114</v>
      </c>
      <c r="CQ2091" t="s">
        <v>114</v>
      </c>
      <c r="CR2091" t="s">
        <v>114</v>
      </c>
      <c r="CS2091" t="s">
        <v>136</v>
      </c>
      <c r="CT2091" t="s">
        <v>136</v>
      </c>
      <c r="CU2091" t="s">
        <v>114</v>
      </c>
      <c r="CV2091" t="s">
        <v>6450</v>
      </c>
      <c r="CW2091" s="10" t="str">
        <f>"+16137488852"</f>
        <v>+16137488852</v>
      </c>
      <c r="CX2091" t="s">
        <v>6439</v>
      </c>
      <c r="CY2091" t="s">
        <v>132</v>
      </c>
      <c r="CZ2091" t="s">
        <v>137</v>
      </c>
      <c r="DA2091" t="s">
        <v>114</v>
      </c>
      <c r="DB2091" t="s">
        <v>114</v>
      </c>
      <c r="DC2091" t="s">
        <v>136</v>
      </c>
      <c r="DD2091" t="s">
        <v>114</v>
      </c>
    </row>
    <row r="2092" spans="1:113" ht="15" customHeight="1" x14ac:dyDescent="0.25">
      <c r="A2092" t="s">
        <v>10287</v>
      </c>
      <c r="B2092" t="s">
        <v>113</v>
      </c>
      <c r="C2092" s="1">
        <v>45125.983398611112</v>
      </c>
      <c r="D2092" s="1">
        <v>45211</v>
      </c>
      <c r="E2092" t="s">
        <v>114</v>
      </c>
      <c r="F2092" t="s">
        <v>570</v>
      </c>
      <c r="G2092" t="str">
        <f>"47-2061.00"</f>
        <v>47-2061.00</v>
      </c>
      <c r="H2092" t="s">
        <v>570</v>
      </c>
      <c r="I2092">
        <v>40</v>
      </c>
      <c r="K2092" s="1">
        <v>45200</v>
      </c>
      <c r="L2092" s="1">
        <v>45291</v>
      </c>
      <c r="O2092" t="s">
        <v>116</v>
      </c>
      <c r="P2092" t="s">
        <v>10288</v>
      </c>
      <c r="R2092" t="s">
        <v>10289</v>
      </c>
      <c r="T2092" t="s">
        <v>10290</v>
      </c>
      <c r="U2092" t="s">
        <v>211</v>
      </c>
      <c r="V2092" s="8" t="str">
        <f>"84405"</f>
        <v>84405</v>
      </c>
      <c r="W2092" t="s">
        <v>118</v>
      </c>
      <c r="Y2092" s="10">
        <v>18019175800</v>
      </c>
      <c r="AA2092">
        <v>238120</v>
      </c>
      <c r="AB2092" t="s">
        <v>10291</v>
      </c>
      <c r="AC2092" t="s">
        <v>930</v>
      </c>
      <c r="AE2092" t="s">
        <v>5245</v>
      </c>
      <c r="AF2092" t="s">
        <v>10292</v>
      </c>
      <c r="AH2092" t="s">
        <v>10290</v>
      </c>
      <c r="AI2092" t="s">
        <v>211</v>
      </c>
      <c r="AJ2092" s="8" t="str">
        <f>"84405"</f>
        <v>84405</v>
      </c>
      <c r="AK2092" t="s">
        <v>118</v>
      </c>
      <c r="AM2092" s="10">
        <v>18019175800</v>
      </c>
      <c r="AO2092" t="s">
        <v>10293</v>
      </c>
      <c r="AP2092" t="s">
        <v>121</v>
      </c>
      <c r="AQ2092" t="s">
        <v>929</v>
      </c>
      <c r="AR2092" t="s">
        <v>930</v>
      </c>
      <c r="AS2092" t="s">
        <v>931</v>
      </c>
      <c r="AT2092" t="s">
        <v>932</v>
      </c>
      <c r="AU2092" t="s">
        <v>132</v>
      </c>
      <c r="AV2092" t="s">
        <v>933</v>
      </c>
      <c r="AW2092" t="s">
        <v>740</v>
      </c>
      <c r="AX2092" s="8" t="str">
        <f>"50010"</f>
        <v>50010</v>
      </c>
      <c r="AY2092" t="s">
        <v>118</v>
      </c>
      <c r="BA2092" s="10">
        <v>15152324444</v>
      </c>
      <c r="BB2092">
        <v>0</v>
      </c>
      <c r="BC2092" t="s">
        <v>934</v>
      </c>
      <c r="BD2092" t="s">
        <v>935</v>
      </c>
      <c r="BE2092" t="s">
        <v>740</v>
      </c>
      <c r="BF2092" t="s">
        <v>172</v>
      </c>
      <c r="BG2092" t="s">
        <v>584</v>
      </c>
      <c r="BH2092" s="1">
        <v>45124.833333333336</v>
      </c>
      <c r="BI2092">
        <v>40</v>
      </c>
      <c r="BJ2092">
        <v>0</v>
      </c>
      <c r="BK2092">
        <v>7</v>
      </c>
      <c r="BL2092">
        <v>7</v>
      </c>
      <c r="BM2092">
        <v>7</v>
      </c>
      <c r="BN2092">
        <v>7</v>
      </c>
      <c r="BO2092">
        <v>7</v>
      </c>
      <c r="BP2092">
        <v>5</v>
      </c>
      <c r="BQ2092" t="str">
        <f>"7:00 AM"</f>
        <v>7:00 AM</v>
      </c>
      <c r="BR2092" t="str">
        <f>"7:00 PM"</f>
        <v>7:00 PM</v>
      </c>
      <c r="BS2092" t="s">
        <v>131</v>
      </c>
      <c r="BT2092">
        <v>0</v>
      </c>
      <c r="BU2092">
        <v>0</v>
      </c>
      <c r="BV2092" t="s">
        <v>114</v>
      </c>
      <c r="BX2092" s="2" t="s">
        <v>10294</v>
      </c>
      <c r="BY2092" t="s">
        <v>10295</v>
      </c>
      <c r="CA2092" t="s">
        <v>10296</v>
      </c>
      <c r="CB2092" t="s">
        <v>584</v>
      </c>
      <c r="CC2092" s="8" t="str">
        <f>"82007"</f>
        <v>82007</v>
      </c>
      <c r="CD2092" t="s">
        <v>10297</v>
      </c>
      <c r="CE2092" t="s">
        <v>10298</v>
      </c>
      <c r="CF2092" s="12">
        <v>17.86</v>
      </c>
      <c r="CH2092" s="12">
        <v>26.79</v>
      </c>
      <c r="CJ2092" t="s">
        <v>135</v>
      </c>
      <c r="CK2092" t="s">
        <v>10299</v>
      </c>
      <c r="CL2092" t="s">
        <v>10300</v>
      </c>
      <c r="CO2092" t="s">
        <v>132</v>
      </c>
      <c r="CP2092" t="s">
        <v>114</v>
      </c>
      <c r="CQ2092" t="s">
        <v>136</v>
      </c>
      <c r="CR2092" t="s">
        <v>136</v>
      </c>
      <c r="CS2092" t="s">
        <v>136</v>
      </c>
      <c r="CT2092" t="s">
        <v>136</v>
      </c>
      <c r="CU2092" t="s">
        <v>136</v>
      </c>
      <c r="CV2092" t="s">
        <v>10301</v>
      </c>
      <c r="CW2092" s="10" t="str">
        <f>"+18019175800"</f>
        <v>+18019175800</v>
      </c>
      <c r="CX2092" t="s">
        <v>10293</v>
      </c>
      <c r="CY2092" t="s">
        <v>132</v>
      </c>
      <c r="CZ2092" t="s">
        <v>137</v>
      </c>
      <c r="DA2092" t="s">
        <v>114</v>
      </c>
      <c r="DB2092" t="s">
        <v>136</v>
      </c>
      <c r="DC2092" t="s">
        <v>136</v>
      </c>
      <c r="DD2092" t="s">
        <v>114</v>
      </c>
    </row>
    <row r="2093" spans="1:113" ht="15" customHeight="1" x14ac:dyDescent="0.25">
      <c r="A2093" t="s">
        <v>18216</v>
      </c>
      <c r="B2093" t="s">
        <v>113</v>
      </c>
      <c r="C2093" s="1">
        <v>45124.797651504632</v>
      </c>
      <c r="D2093" s="1">
        <v>45211</v>
      </c>
      <c r="E2093" t="s">
        <v>114</v>
      </c>
      <c r="F2093" t="s">
        <v>18217</v>
      </c>
      <c r="G2093" t="str">
        <f>"39-9011.00"</f>
        <v>39-9011.00</v>
      </c>
      <c r="H2093" t="s">
        <v>183</v>
      </c>
      <c r="I2093">
        <v>2</v>
      </c>
      <c r="K2093" s="1">
        <v>45199</v>
      </c>
      <c r="L2093" s="1">
        <v>45442</v>
      </c>
      <c r="O2093" t="s">
        <v>238</v>
      </c>
      <c r="P2093" t="s">
        <v>12940</v>
      </c>
      <c r="R2093" t="s">
        <v>12941</v>
      </c>
      <c r="T2093" t="s">
        <v>12942</v>
      </c>
      <c r="U2093" t="s">
        <v>211</v>
      </c>
      <c r="V2093" s="8" t="str">
        <f>"84116"</f>
        <v>84116</v>
      </c>
      <c r="W2093" t="s">
        <v>118</v>
      </c>
      <c r="Y2093" s="10">
        <v>18013591234</v>
      </c>
      <c r="AA2093">
        <v>6244</v>
      </c>
      <c r="AB2093" t="s">
        <v>12943</v>
      </c>
      <c r="AC2093" t="s">
        <v>5889</v>
      </c>
      <c r="AE2093" t="s">
        <v>3519</v>
      </c>
      <c r="AF2093" t="s">
        <v>12944</v>
      </c>
      <c r="AH2093" t="s">
        <v>12942</v>
      </c>
      <c r="AI2093" t="s">
        <v>211</v>
      </c>
      <c r="AJ2093" s="8" t="str">
        <f>"84116"</f>
        <v>84116</v>
      </c>
      <c r="AK2093" t="s">
        <v>118</v>
      </c>
      <c r="AM2093" s="10">
        <v>18013280972</v>
      </c>
      <c r="AO2093" t="s">
        <v>12945</v>
      </c>
      <c r="AP2093" t="s">
        <v>248</v>
      </c>
      <c r="AQ2093" t="s">
        <v>1473</v>
      </c>
      <c r="AR2093" t="s">
        <v>1474</v>
      </c>
      <c r="AS2093" t="s">
        <v>1475</v>
      </c>
      <c r="AT2093" t="s">
        <v>12946</v>
      </c>
      <c r="AV2093" t="s">
        <v>1477</v>
      </c>
      <c r="AW2093" t="s">
        <v>211</v>
      </c>
      <c r="AX2093" s="8" t="str">
        <f>"84401"</f>
        <v>84401</v>
      </c>
      <c r="AY2093" t="s">
        <v>118</v>
      </c>
      <c r="BA2093" s="10">
        <v>18013932017</v>
      </c>
      <c r="BC2093" t="s">
        <v>1485</v>
      </c>
      <c r="BD2093" t="s">
        <v>1479</v>
      </c>
      <c r="BG2093" t="s">
        <v>211</v>
      </c>
      <c r="BH2093" s="1">
        <v>45123.833333333336</v>
      </c>
      <c r="BI2093">
        <v>45</v>
      </c>
      <c r="BJ2093">
        <v>0</v>
      </c>
      <c r="BK2093">
        <v>9</v>
      </c>
      <c r="BL2093">
        <v>9</v>
      </c>
      <c r="BM2093">
        <v>9</v>
      </c>
      <c r="BN2093">
        <v>9</v>
      </c>
      <c r="BO2093">
        <v>9</v>
      </c>
      <c r="BP2093">
        <v>0</v>
      </c>
      <c r="BQ2093" t="str">
        <f>"8:00 AM"</f>
        <v>8:00 AM</v>
      </c>
      <c r="BR2093" t="str">
        <f>"5:00 PM"</f>
        <v>5:00 PM</v>
      </c>
      <c r="BS2093" t="s">
        <v>131</v>
      </c>
      <c r="BT2093">
        <v>0</v>
      </c>
      <c r="BU2093">
        <v>0</v>
      </c>
      <c r="BV2093" t="s">
        <v>114</v>
      </c>
      <c r="BX2093" t="s">
        <v>1480</v>
      </c>
      <c r="BY2093" t="s">
        <v>12941</v>
      </c>
      <c r="CA2093" t="s">
        <v>12942</v>
      </c>
      <c r="CB2093" t="s">
        <v>211</v>
      </c>
      <c r="CC2093" s="8" t="str">
        <f>"84116"</f>
        <v>84116</v>
      </c>
      <c r="CD2093" t="s">
        <v>1567</v>
      </c>
      <c r="CE2093" t="s">
        <v>1568</v>
      </c>
      <c r="CF2093" s="12">
        <v>13.51</v>
      </c>
      <c r="CG2093" s="12">
        <v>15</v>
      </c>
      <c r="CH2093" s="12">
        <v>20.27</v>
      </c>
      <c r="CI2093" s="12">
        <v>21.8</v>
      </c>
      <c r="CJ2093" t="s">
        <v>135</v>
      </c>
      <c r="CL2093" t="s">
        <v>18218</v>
      </c>
      <c r="CO2093" t="s">
        <v>132</v>
      </c>
      <c r="CP2093" t="s">
        <v>114</v>
      </c>
      <c r="CQ2093" t="s">
        <v>136</v>
      </c>
      <c r="CR2093" t="s">
        <v>136</v>
      </c>
      <c r="CS2093" t="s">
        <v>136</v>
      </c>
      <c r="CT2093" t="s">
        <v>136</v>
      </c>
      <c r="CU2093" t="s">
        <v>136</v>
      </c>
      <c r="CV2093" t="s">
        <v>1480</v>
      </c>
      <c r="CW2093" s="10" t="str">
        <f>"+18013280972"</f>
        <v>+18013280972</v>
      </c>
      <c r="CX2093" t="s">
        <v>12945</v>
      </c>
      <c r="CY2093" t="s">
        <v>132</v>
      </c>
      <c r="CZ2093" t="s">
        <v>137</v>
      </c>
      <c r="DA2093" t="s">
        <v>114</v>
      </c>
      <c r="DB2093" t="s">
        <v>136</v>
      </c>
      <c r="DC2093" t="s">
        <v>136</v>
      </c>
      <c r="DD2093" t="s">
        <v>114</v>
      </c>
      <c r="DE2093" t="s">
        <v>1473</v>
      </c>
      <c r="DF2093" t="s">
        <v>1474</v>
      </c>
      <c r="DH2093" t="s">
        <v>1479</v>
      </c>
      <c r="DI2093" t="s">
        <v>1485</v>
      </c>
    </row>
    <row r="2094" spans="1:113" ht="15" customHeight="1" x14ac:dyDescent="0.25">
      <c r="A2094" t="s">
        <v>1465</v>
      </c>
      <c r="B2094" t="s">
        <v>113</v>
      </c>
      <c r="C2094" s="1">
        <v>45124.713914351851</v>
      </c>
      <c r="D2094" s="1">
        <v>45211</v>
      </c>
      <c r="E2094" t="s">
        <v>114</v>
      </c>
      <c r="F2094" t="s">
        <v>1466</v>
      </c>
      <c r="G2094" t="str">
        <f>"47-2031.00"</f>
        <v>47-2031.00</v>
      </c>
      <c r="H2094" t="s">
        <v>115</v>
      </c>
      <c r="I2094">
        <v>5</v>
      </c>
      <c r="K2094" s="1">
        <v>45199</v>
      </c>
      <c r="L2094" s="1">
        <v>45442</v>
      </c>
      <c r="O2094" t="s">
        <v>238</v>
      </c>
      <c r="P2094" t="s">
        <v>1467</v>
      </c>
      <c r="R2094" t="s">
        <v>1468</v>
      </c>
      <c r="T2094" t="s">
        <v>1469</v>
      </c>
      <c r="U2094" t="s">
        <v>211</v>
      </c>
      <c r="V2094" s="8" t="str">
        <f>"84401"</f>
        <v>84401</v>
      </c>
      <c r="W2094" t="s">
        <v>118</v>
      </c>
      <c r="Y2094" s="10">
        <v>13853835192</v>
      </c>
      <c r="AA2094">
        <v>236115</v>
      </c>
      <c r="AB2094" t="s">
        <v>1470</v>
      </c>
      <c r="AC2094" t="s">
        <v>1124</v>
      </c>
      <c r="AE2094" t="s">
        <v>1471</v>
      </c>
      <c r="AF2094" t="s">
        <v>1468</v>
      </c>
      <c r="AH2094" t="s">
        <v>1469</v>
      </c>
      <c r="AI2094" t="s">
        <v>211</v>
      </c>
      <c r="AJ2094" s="8" t="str">
        <f>"84401"</f>
        <v>84401</v>
      </c>
      <c r="AK2094" t="s">
        <v>118</v>
      </c>
      <c r="AM2094" s="10">
        <v>13853835192</v>
      </c>
      <c r="AO2094" t="s">
        <v>1472</v>
      </c>
      <c r="AP2094" t="s">
        <v>248</v>
      </c>
      <c r="AQ2094" t="s">
        <v>1473</v>
      </c>
      <c r="AR2094" t="s">
        <v>1474</v>
      </c>
      <c r="AS2094" t="s">
        <v>1475</v>
      </c>
      <c r="AT2094" t="s">
        <v>1476</v>
      </c>
      <c r="AV2094" t="s">
        <v>1477</v>
      </c>
      <c r="AW2094" t="s">
        <v>211</v>
      </c>
      <c r="AX2094" s="8" t="str">
        <f>"84401"</f>
        <v>84401</v>
      </c>
      <c r="AY2094" t="s">
        <v>118</v>
      </c>
      <c r="BA2094" s="10">
        <v>18013932017</v>
      </c>
      <c r="BC2094" t="s">
        <v>1478</v>
      </c>
      <c r="BD2094" t="s">
        <v>1479</v>
      </c>
      <c r="BG2094" t="s">
        <v>211</v>
      </c>
      <c r="BH2094" s="1">
        <v>45120.833333333336</v>
      </c>
      <c r="BI2094">
        <v>48</v>
      </c>
      <c r="BJ2094">
        <v>0</v>
      </c>
      <c r="BK2094">
        <v>8</v>
      </c>
      <c r="BL2094">
        <v>8</v>
      </c>
      <c r="BM2094">
        <v>8</v>
      </c>
      <c r="BN2094">
        <v>8</v>
      </c>
      <c r="BO2094">
        <v>8</v>
      </c>
      <c r="BP2094">
        <v>8</v>
      </c>
      <c r="BQ2094" t="str">
        <f>"8:00 AM"</f>
        <v>8:00 AM</v>
      </c>
      <c r="BR2094" t="str">
        <f>"5:00 PM"</f>
        <v>5:00 PM</v>
      </c>
      <c r="BS2094" t="s">
        <v>131</v>
      </c>
      <c r="BT2094">
        <v>0</v>
      </c>
      <c r="BU2094">
        <v>0</v>
      </c>
      <c r="BV2094" t="s">
        <v>114</v>
      </c>
      <c r="BX2094" t="s">
        <v>1480</v>
      </c>
      <c r="BY2094" t="s">
        <v>1468</v>
      </c>
      <c r="CA2094" t="s">
        <v>1469</v>
      </c>
      <c r="CB2094" t="s">
        <v>211</v>
      </c>
      <c r="CC2094" s="8" t="str">
        <f>"84401"</f>
        <v>84401</v>
      </c>
      <c r="CD2094" t="s">
        <v>1481</v>
      </c>
      <c r="CE2094" t="s">
        <v>1482</v>
      </c>
      <c r="CF2094" s="12">
        <v>23</v>
      </c>
      <c r="CG2094" s="12">
        <v>25</v>
      </c>
      <c r="CH2094" s="12">
        <v>34.5</v>
      </c>
      <c r="CI2094" s="12">
        <v>37.5</v>
      </c>
      <c r="CJ2094" t="s">
        <v>135</v>
      </c>
      <c r="CL2094" t="s">
        <v>1483</v>
      </c>
      <c r="CO2094" t="s">
        <v>132</v>
      </c>
      <c r="CP2094" t="s">
        <v>114</v>
      </c>
      <c r="CQ2094" t="s">
        <v>136</v>
      </c>
      <c r="CR2094" t="s">
        <v>136</v>
      </c>
      <c r="CS2094" t="s">
        <v>136</v>
      </c>
      <c r="CT2094" t="s">
        <v>136</v>
      </c>
      <c r="CU2094" t="s">
        <v>136</v>
      </c>
      <c r="CV2094" t="s">
        <v>1480</v>
      </c>
      <c r="CW2094" s="10" t="str">
        <f>"+13853835192"</f>
        <v>+13853835192</v>
      </c>
      <c r="CX2094" t="s">
        <v>1484</v>
      </c>
      <c r="CY2094" t="s">
        <v>132</v>
      </c>
      <c r="CZ2094" t="s">
        <v>137</v>
      </c>
      <c r="DA2094" t="s">
        <v>114</v>
      </c>
      <c r="DB2094" t="s">
        <v>136</v>
      </c>
      <c r="DC2094" t="s">
        <v>136</v>
      </c>
      <c r="DD2094" t="s">
        <v>114</v>
      </c>
      <c r="DE2094" t="s">
        <v>1473</v>
      </c>
      <c r="DF2094" t="s">
        <v>1474</v>
      </c>
      <c r="DH2094" t="s">
        <v>1479</v>
      </c>
      <c r="DI2094" t="s">
        <v>1485</v>
      </c>
    </row>
    <row r="2095" spans="1:113" ht="15" customHeight="1" x14ac:dyDescent="0.25">
      <c r="A2095" t="s">
        <v>22495</v>
      </c>
      <c r="B2095" t="s">
        <v>113</v>
      </c>
      <c r="C2095" s="1">
        <v>45118.753647569443</v>
      </c>
      <c r="D2095" s="1">
        <v>45211</v>
      </c>
      <c r="E2095" t="s">
        <v>114</v>
      </c>
      <c r="F2095" t="s">
        <v>700</v>
      </c>
      <c r="G2095" t="str">
        <f>"37-3011.00"</f>
        <v>37-3011.00</v>
      </c>
      <c r="H2095" t="s">
        <v>429</v>
      </c>
      <c r="I2095">
        <v>40</v>
      </c>
      <c r="K2095" s="1">
        <v>45200</v>
      </c>
      <c r="L2095" s="1">
        <v>45382</v>
      </c>
      <c r="O2095" t="s">
        <v>238</v>
      </c>
      <c r="P2095" t="s">
        <v>4079</v>
      </c>
      <c r="R2095" t="s">
        <v>4080</v>
      </c>
      <c r="T2095" t="s">
        <v>4081</v>
      </c>
      <c r="U2095" t="s">
        <v>211</v>
      </c>
      <c r="V2095" s="8" t="str">
        <f>"84011"</f>
        <v>84011</v>
      </c>
      <c r="W2095" t="s">
        <v>118</v>
      </c>
      <c r="Y2095" s="10">
        <v>18013653333</v>
      </c>
      <c r="AA2095">
        <v>5617</v>
      </c>
      <c r="AB2095" t="s">
        <v>6758</v>
      </c>
      <c r="AC2095" t="s">
        <v>4921</v>
      </c>
      <c r="AE2095" t="s">
        <v>561</v>
      </c>
      <c r="AF2095" t="s">
        <v>14672</v>
      </c>
      <c r="AH2095" t="s">
        <v>7361</v>
      </c>
      <c r="AI2095" t="s">
        <v>188</v>
      </c>
      <c r="AJ2095" s="8" t="str">
        <f>"80602"</f>
        <v>80602</v>
      </c>
      <c r="AK2095" t="s">
        <v>118</v>
      </c>
      <c r="AM2095" s="10">
        <v>18013653333</v>
      </c>
      <c r="AO2095" t="s">
        <v>132</v>
      </c>
      <c r="AP2095" t="s">
        <v>121</v>
      </c>
      <c r="AQ2095" t="s">
        <v>1172</v>
      </c>
      <c r="AR2095" t="s">
        <v>1173</v>
      </c>
      <c r="AS2095" t="s">
        <v>708</v>
      </c>
      <c r="AT2095" t="s">
        <v>6759</v>
      </c>
      <c r="AV2095" t="s">
        <v>603</v>
      </c>
      <c r="AW2095" t="s">
        <v>127</v>
      </c>
      <c r="AX2095" s="8" t="str">
        <f>"78758"</f>
        <v>78758</v>
      </c>
      <c r="AY2095" t="s">
        <v>118</v>
      </c>
      <c r="BA2095" s="10">
        <v>15128722894</v>
      </c>
      <c r="BC2095" t="s">
        <v>1175</v>
      </c>
      <c r="BD2095" t="s">
        <v>4086</v>
      </c>
      <c r="BE2095" t="s">
        <v>127</v>
      </c>
      <c r="BF2095" t="s">
        <v>750</v>
      </c>
      <c r="BG2095" t="s">
        <v>188</v>
      </c>
      <c r="BH2095" s="1">
        <v>45117.833333333336</v>
      </c>
      <c r="BI2095">
        <v>40</v>
      </c>
      <c r="BJ2095">
        <v>0</v>
      </c>
      <c r="BK2095">
        <v>8</v>
      </c>
      <c r="BL2095">
        <v>8</v>
      </c>
      <c r="BM2095">
        <v>8</v>
      </c>
      <c r="BN2095">
        <v>8</v>
      </c>
      <c r="BO2095">
        <v>8</v>
      </c>
      <c r="BP2095">
        <v>0</v>
      </c>
      <c r="BQ2095" t="str">
        <f>"8:00 AM"</f>
        <v>8:00 AM</v>
      </c>
      <c r="BR2095" t="str">
        <f>"5:00 PM"</f>
        <v>5:00 PM</v>
      </c>
      <c r="BS2095" t="s">
        <v>131</v>
      </c>
      <c r="BT2095">
        <v>0</v>
      </c>
      <c r="BU2095">
        <v>0</v>
      </c>
      <c r="BV2095" t="s">
        <v>114</v>
      </c>
      <c r="BX2095" t="s">
        <v>6760</v>
      </c>
      <c r="BY2095" t="s">
        <v>22496</v>
      </c>
      <c r="CA2095" t="s">
        <v>3547</v>
      </c>
      <c r="CB2095" t="s">
        <v>188</v>
      </c>
      <c r="CC2095" s="8" t="str">
        <f>"80104"</f>
        <v>80104</v>
      </c>
      <c r="CD2095" t="s">
        <v>971</v>
      </c>
      <c r="CE2095" t="s">
        <v>195</v>
      </c>
      <c r="CF2095" s="12">
        <v>21.69</v>
      </c>
      <c r="CG2095" s="12">
        <v>21.69</v>
      </c>
      <c r="CH2095" s="12">
        <v>32.54</v>
      </c>
      <c r="CI2095" s="12">
        <v>32.54</v>
      </c>
      <c r="CJ2095" t="s">
        <v>135</v>
      </c>
      <c r="CL2095" t="s">
        <v>14674</v>
      </c>
      <c r="CO2095" t="s">
        <v>132</v>
      </c>
      <c r="CP2095" t="s">
        <v>136</v>
      </c>
      <c r="CQ2095" t="s">
        <v>136</v>
      </c>
      <c r="CR2095" t="s">
        <v>136</v>
      </c>
      <c r="CS2095" t="s">
        <v>114</v>
      </c>
      <c r="CT2095" t="s">
        <v>136</v>
      </c>
      <c r="CU2095" t="s">
        <v>136</v>
      </c>
      <c r="CV2095" t="s">
        <v>8457</v>
      </c>
      <c r="CW2095" s="10" t="str">
        <f>"+13852282684"</f>
        <v>+13852282684</v>
      </c>
      <c r="CX2095" t="s">
        <v>6765</v>
      </c>
      <c r="CY2095" t="s">
        <v>132</v>
      </c>
      <c r="CZ2095" t="s">
        <v>137</v>
      </c>
      <c r="DA2095" t="s">
        <v>114</v>
      </c>
      <c r="DB2095" t="s">
        <v>114</v>
      </c>
      <c r="DC2095" t="s">
        <v>136</v>
      </c>
      <c r="DD2095" t="s">
        <v>114</v>
      </c>
    </row>
    <row r="2096" spans="1:113" ht="15" customHeight="1" x14ac:dyDescent="0.25">
      <c r="A2096" t="s">
        <v>22556</v>
      </c>
      <c r="B2096" t="s">
        <v>113</v>
      </c>
      <c r="C2096" s="1">
        <v>45117.631071412034</v>
      </c>
      <c r="D2096" s="1">
        <v>45211</v>
      </c>
      <c r="E2096" t="s">
        <v>114</v>
      </c>
      <c r="F2096" t="s">
        <v>22557</v>
      </c>
      <c r="G2096" t="str">
        <f>"37-3011.00"</f>
        <v>37-3011.00</v>
      </c>
      <c r="H2096" t="s">
        <v>429</v>
      </c>
      <c r="I2096">
        <v>15</v>
      </c>
      <c r="K2096" s="1">
        <v>45200</v>
      </c>
      <c r="L2096" s="1">
        <v>45387</v>
      </c>
      <c r="O2096" t="s">
        <v>238</v>
      </c>
      <c r="P2096" t="s">
        <v>22558</v>
      </c>
      <c r="R2096" t="s">
        <v>22559</v>
      </c>
      <c r="T2096" t="s">
        <v>5519</v>
      </c>
      <c r="U2096" t="s">
        <v>211</v>
      </c>
      <c r="V2096" s="8" t="str">
        <f>"84062"</f>
        <v>84062</v>
      </c>
      <c r="W2096" t="s">
        <v>118</v>
      </c>
      <c r="Y2096" s="10">
        <v>18017858011</v>
      </c>
      <c r="AA2096">
        <v>56173</v>
      </c>
      <c r="AB2096" t="s">
        <v>22560</v>
      </c>
      <c r="AC2096" t="s">
        <v>2521</v>
      </c>
      <c r="AE2096" t="s">
        <v>378</v>
      </c>
      <c r="AF2096" t="s">
        <v>22561</v>
      </c>
      <c r="AH2096" t="s">
        <v>5519</v>
      </c>
      <c r="AI2096" t="s">
        <v>211</v>
      </c>
      <c r="AJ2096" s="8" t="str">
        <f>"84062"</f>
        <v>84062</v>
      </c>
      <c r="AK2096" t="s">
        <v>118</v>
      </c>
      <c r="AM2096" s="10">
        <v>18017855973</v>
      </c>
      <c r="AO2096" t="s">
        <v>22562</v>
      </c>
      <c r="AP2096" t="s">
        <v>121</v>
      </c>
      <c r="AQ2096" t="s">
        <v>6313</v>
      </c>
      <c r="AR2096" t="s">
        <v>22563</v>
      </c>
      <c r="AT2096" t="s">
        <v>22559</v>
      </c>
      <c r="AV2096" t="s">
        <v>5519</v>
      </c>
      <c r="AW2096" t="s">
        <v>211</v>
      </c>
      <c r="AX2096" s="8" t="str">
        <f>"84062"</f>
        <v>84062</v>
      </c>
      <c r="AY2096" t="s">
        <v>118</v>
      </c>
      <c r="BA2096" s="10">
        <v>18012253570</v>
      </c>
      <c r="BC2096" t="s">
        <v>22564</v>
      </c>
      <c r="BD2096" t="s">
        <v>22565</v>
      </c>
      <c r="BE2096" t="s">
        <v>211</v>
      </c>
      <c r="BF2096" t="s">
        <v>1566</v>
      </c>
      <c r="BG2096" t="s">
        <v>211</v>
      </c>
      <c r="BH2096" s="1">
        <v>45116.833333333336</v>
      </c>
      <c r="BI2096">
        <v>40</v>
      </c>
      <c r="BJ2096">
        <v>0</v>
      </c>
      <c r="BK2096">
        <v>8</v>
      </c>
      <c r="BL2096">
        <v>8</v>
      </c>
      <c r="BM2096">
        <v>8</v>
      </c>
      <c r="BN2096">
        <v>8</v>
      </c>
      <c r="BO2096">
        <v>8</v>
      </c>
      <c r="BP2096">
        <v>0</v>
      </c>
      <c r="BQ2096" t="str">
        <f>"5:00 AM"</f>
        <v>5:00 AM</v>
      </c>
      <c r="BR2096" t="str">
        <f>"2:00 PM"</f>
        <v>2:00 PM</v>
      </c>
      <c r="BS2096" t="s">
        <v>131</v>
      </c>
      <c r="BT2096">
        <v>0</v>
      </c>
      <c r="BU2096">
        <v>0</v>
      </c>
      <c r="BV2096" t="s">
        <v>114</v>
      </c>
      <c r="BX2096" t="s">
        <v>22566</v>
      </c>
      <c r="BY2096" t="s">
        <v>22561</v>
      </c>
      <c r="CA2096" t="s">
        <v>5519</v>
      </c>
      <c r="CB2096" t="s">
        <v>211</v>
      </c>
      <c r="CC2096" s="8" t="str">
        <f>"84062"</f>
        <v>84062</v>
      </c>
      <c r="CD2096" t="s">
        <v>2468</v>
      </c>
      <c r="CE2096" t="s">
        <v>2469</v>
      </c>
      <c r="CF2096" s="12">
        <v>17.21</v>
      </c>
      <c r="CH2096" s="12">
        <v>25.82</v>
      </c>
      <c r="CJ2096" t="s">
        <v>135</v>
      </c>
      <c r="CL2096" t="s">
        <v>22567</v>
      </c>
      <c r="CM2096" t="s">
        <v>22568</v>
      </c>
      <c r="CN2096" t="s">
        <v>22569</v>
      </c>
      <c r="CO2096" t="s">
        <v>132</v>
      </c>
      <c r="CP2096" t="s">
        <v>136</v>
      </c>
      <c r="CQ2096" t="s">
        <v>136</v>
      </c>
      <c r="CR2096" t="s">
        <v>136</v>
      </c>
      <c r="CS2096" t="s">
        <v>136</v>
      </c>
      <c r="CT2096" t="s">
        <v>136</v>
      </c>
      <c r="CU2096" t="s">
        <v>136</v>
      </c>
      <c r="CV2096" t="s">
        <v>22570</v>
      </c>
      <c r="CW2096" s="10" t="str">
        <f>"+18889209675"</f>
        <v>+18889209675</v>
      </c>
      <c r="CX2096" t="s">
        <v>19800</v>
      </c>
      <c r="CY2096" t="s">
        <v>132</v>
      </c>
      <c r="CZ2096" t="s">
        <v>137</v>
      </c>
      <c r="DA2096" t="s">
        <v>114</v>
      </c>
      <c r="DB2096" t="s">
        <v>114</v>
      </c>
      <c r="DC2096" t="s">
        <v>136</v>
      </c>
      <c r="DD2096" t="s">
        <v>114</v>
      </c>
    </row>
    <row r="2097" spans="1:113" ht="15" customHeight="1" x14ac:dyDescent="0.25">
      <c r="A2097" t="s">
        <v>21932</v>
      </c>
      <c r="B2097" t="s">
        <v>113</v>
      </c>
      <c r="C2097" s="1">
        <v>45115.539281249999</v>
      </c>
      <c r="D2097" s="1">
        <v>45211</v>
      </c>
      <c r="E2097" t="s">
        <v>114</v>
      </c>
      <c r="F2097" t="s">
        <v>21933</v>
      </c>
      <c r="G2097" t="str">
        <f>"45-2092.00"</f>
        <v>45-2092.00</v>
      </c>
      <c r="H2097" t="s">
        <v>2007</v>
      </c>
      <c r="I2097">
        <v>3</v>
      </c>
      <c r="K2097" s="1">
        <v>45201</v>
      </c>
      <c r="L2097" s="1">
        <v>45443</v>
      </c>
      <c r="O2097" t="s">
        <v>116</v>
      </c>
      <c r="P2097" t="s">
        <v>21934</v>
      </c>
      <c r="R2097" t="s">
        <v>21935</v>
      </c>
      <c r="T2097" t="s">
        <v>4874</v>
      </c>
      <c r="U2097" t="s">
        <v>1734</v>
      </c>
      <c r="V2097" s="8" t="str">
        <f>"67204"</f>
        <v>67204</v>
      </c>
      <c r="W2097" t="s">
        <v>118</v>
      </c>
      <c r="Y2097" s="10">
        <v>13168383355</v>
      </c>
      <c r="AA2097">
        <v>11142</v>
      </c>
      <c r="AB2097" t="s">
        <v>7794</v>
      </c>
      <c r="AC2097" t="s">
        <v>1745</v>
      </c>
      <c r="AE2097" t="s">
        <v>19021</v>
      </c>
      <c r="AF2097" t="s">
        <v>21935</v>
      </c>
      <c r="AH2097" t="s">
        <v>4874</v>
      </c>
      <c r="AI2097" t="s">
        <v>1734</v>
      </c>
      <c r="AJ2097" s="8" t="str">
        <f>"67204"</f>
        <v>67204</v>
      </c>
      <c r="AK2097" t="s">
        <v>118</v>
      </c>
      <c r="AM2097" s="10">
        <v>13168383355</v>
      </c>
      <c r="AO2097" t="s">
        <v>21936</v>
      </c>
      <c r="AP2097" t="s">
        <v>121</v>
      </c>
      <c r="AQ2097" t="s">
        <v>10513</v>
      </c>
      <c r="AR2097" t="s">
        <v>10514</v>
      </c>
      <c r="AT2097" t="s">
        <v>10515</v>
      </c>
      <c r="AV2097" t="s">
        <v>4874</v>
      </c>
      <c r="AW2097" t="s">
        <v>1734</v>
      </c>
      <c r="AX2097" s="8" t="str">
        <f>"67278"</f>
        <v>67278</v>
      </c>
      <c r="AY2097" t="s">
        <v>118</v>
      </c>
      <c r="BA2097" s="10">
        <v>13162521232</v>
      </c>
      <c r="BC2097" t="s">
        <v>10516</v>
      </c>
      <c r="BD2097" t="s">
        <v>10517</v>
      </c>
      <c r="BE2097" t="s">
        <v>1734</v>
      </c>
      <c r="BF2097" t="s">
        <v>10518</v>
      </c>
      <c r="BG2097" t="s">
        <v>1734</v>
      </c>
      <c r="BH2097" s="1">
        <v>45114.833333333336</v>
      </c>
      <c r="BI2097">
        <v>48</v>
      </c>
      <c r="BJ2097">
        <v>0</v>
      </c>
      <c r="BK2097">
        <v>8</v>
      </c>
      <c r="BL2097">
        <v>8</v>
      </c>
      <c r="BM2097">
        <v>8</v>
      </c>
      <c r="BN2097">
        <v>8</v>
      </c>
      <c r="BO2097">
        <v>8</v>
      </c>
      <c r="BP2097">
        <v>8</v>
      </c>
      <c r="BQ2097" t="str">
        <f>"8:00 AM"</f>
        <v>8:00 AM</v>
      </c>
      <c r="BR2097" t="str">
        <f>"5:00 PM"</f>
        <v>5:00 PM</v>
      </c>
      <c r="BS2097" t="s">
        <v>131</v>
      </c>
      <c r="BT2097">
        <v>0</v>
      </c>
      <c r="BU2097">
        <v>0</v>
      </c>
      <c r="BV2097" t="s">
        <v>114</v>
      </c>
      <c r="BX2097" t="s">
        <v>131</v>
      </c>
      <c r="BY2097" t="s">
        <v>21937</v>
      </c>
      <c r="CA2097" t="s">
        <v>4874</v>
      </c>
      <c r="CB2097" t="s">
        <v>1734</v>
      </c>
      <c r="CC2097" s="8" t="str">
        <f>"67204"</f>
        <v>67204</v>
      </c>
      <c r="CD2097" t="s">
        <v>4875</v>
      </c>
      <c r="CE2097" t="s">
        <v>4876</v>
      </c>
      <c r="CF2097" s="12">
        <v>14</v>
      </c>
      <c r="CG2097" s="12">
        <v>14</v>
      </c>
      <c r="CH2097" s="12">
        <v>21</v>
      </c>
      <c r="CI2097" s="12">
        <v>21</v>
      </c>
      <c r="CJ2097" t="s">
        <v>135</v>
      </c>
      <c r="CK2097" t="s">
        <v>6598</v>
      </c>
      <c r="CL2097" t="s">
        <v>21938</v>
      </c>
      <c r="CO2097" t="s">
        <v>132</v>
      </c>
      <c r="CP2097" t="s">
        <v>114</v>
      </c>
      <c r="CQ2097" t="s">
        <v>136</v>
      </c>
      <c r="CR2097" t="s">
        <v>136</v>
      </c>
      <c r="CS2097" t="s">
        <v>114</v>
      </c>
      <c r="CT2097" t="s">
        <v>136</v>
      </c>
      <c r="CU2097" t="s">
        <v>114</v>
      </c>
      <c r="CV2097" t="s">
        <v>21939</v>
      </c>
      <c r="CW2097" s="10" t="str">
        <f>"+13168383355"</f>
        <v>+13168383355</v>
      </c>
      <c r="CX2097" t="s">
        <v>21936</v>
      </c>
      <c r="CY2097" t="s">
        <v>132</v>
      </c>
      <c r="CZ2097" t="s">
        <v>137</v>
      </c>
      <c r="DA2097" t="s">
        <v>114</v>
      </c>
      <c r="DB2097" t="s">
        <v>114</v>
      </c>
      <c r="DC2097" t="s">
        <v>136</v>
      </c>
      <c r="DD2097" t="s">
        <v>114</v>
      </c>
      <c r="DE2097" t="s">
        <v>10513</v>
      </c>
      <c r="DF2097" t="s">
        <v>10514</v>
      </c>
      <c r="DH2097" t="s">
        <v>10517</v>
      </c>
      <c r="DI2097" t="s">
        <v>10516</v>
      </c>
    </row>
    <row r="2098" spans="1:113" ht="15" customHeight="1" x14ac:dyDescent="0.25">
      <c r="A2098" t="s">
        <v>22671</v>
      </c>
      <c r="B2098" t="s">
        <v>113</v>
      </c>
      <c r="C2098" s="1">
        <v>45114.677553703703</v>
      </c>
      <c r="D2098" s="1">
        <v>45211</v>
      </c>
      <c r="E2098" t="s">
        <v>114</v>
      </c>
      <c r="F2098" t="s">
        <v>22672</v>
      </c>
      <c r="G2098" t="str">
        <f>"31-9092.00"</f>
        <v>31-9092.00</v>
      </c>
      <c r="H2098" t="s">
        <v>9544</v>
      </c>
      <c r="I2098">
        <v>1</v>
      </c>
      <c r="K2098" s="1">
        <v>45190</v>
      </c>
      <c r="L2098" s="1">
        <v>46285</v>
      </c>
      <c r="O2098" t="s">
        <v>184</v>
      </c>
      <c r="P2098" t="s">
        <v>22673</v>
      </c>
      <c r="R2098" t="s">
        <v>22674</v>
      </c>
      <c r="T2098" t="s">
        <v>6423</v>
      </c>
      <c r="U2098" t="s">
        <v>581</v>
      </c>
      <c r="V2098" s="8" t="str">
        <f>"23113"</f>
        <v>23113</v>
      </c>
      <c r="W2098" t="s">
        <v>118</v>
      </c>
      <c r="Y2098" s="10">
        <v>18043781800</v>
      </c>
      <c r="AA2098">
        <v>62111</v>
      </c>
      <c r="AB2098" t="s">
        <v>22675</v>
      </c>
      <c r="AC2098" t="s">
        <v>22676</v>
      </c>
      <c r="AE2098" t="s">
        <v>22677</v>
      </c>
      <c r="AF2098" t="s">
        <v>22674</v>
      </c>
      <c r="AH2098" t="s">
        <v>6423</v>
      </c>
      <c r="AI2098" t="s">
        <v>581</v>
      </c>
      <c r="AJ2098" s="8" t="str">
        <f>"23113"</f>
        <v>23113</v>
      </c>
      <c r="AK2098" t="s">
        <v>118</v>
      </c>
      <c r="AM2098" s="10">
        <v>18043781800</v>
      </c>
      <c r="AO2098" t="s">
        <v>22678</v>
      </c>
      <c r="AP2098" t="s">
        <v>121</v>
      </c>
      <c r="AQ2098" t="s">
        <v>1428</v>
      </c>
      <c r="AR2098" t="s">
        <v>22679</v>
      </c>
      <c r="AS2098" t="s">
        <v>1714</v>
      </c>
      <c r="AT2098" t="s">
        <v>22680</v>
      </c>
      <c r="AU2098" t="s">
        <v>22681</v>
      </c>
      <c r="AV2098" t="s">
        <v>12510</v>
      </c>
      <c r="AW2098" t="s">
        <v>581</v>
      </c>
      <c r="AX2098" s="8" t="str">
        <f>"22003"</f>
        <v>22003</v>
      </c>
      <c r="AY2098" t="s">
        <v>118</v>
      </c>
      <c r="BA2098" s="10">
        <v>17039160420</v>
      </c>
      <c r="BC2098" t="s">
        <v>22682</v>
      </c>
      <c r="BD2098" t="s">
        <v>22683</v>
      </c>
      <c r="BE2098" t="s">
        <v>6049</v>
      </c>
      <c r="BF2098" t="s">
        <v>2118</v>
      </c>
      <c r="BG2098" t="s">
        <v>581</v>
      </c>
      <c r="BH2098" s="1">
        <v>45108.833333333336</v>
      </c>
      <c r="BI2098">
        <v>40</v>
      </c>
      <c r="BJ2098">
        <v>0</v>
      </c>
      <c r="BK2098">
        <v>8</v>
      </c>
      <c r="BL2098">
        <v>8</v>
      </c>
      <c r="BM2098">
        <v>8</v>
      </c>
      <c r="BN2098">
        <v>8</v>
      </c>
      <c r="BO2098">
        <v>8</v>
      </c>
      <c r="BP2098">
        <v>0</v>
      </c>
      <c r="BQ2098" t="str">
        <f>"8:30 AM"</f>
        <v>8:30 AM</v>
      </c>
      <c r="BR2098" t="str">
        <f>"5:00 PM"</f>
        <v>5:00 PM</v>
      </c>
      <c r="BS2098" t="s">
        <v>131</v>
      </c>
      <c r="BT2098">
        <v>0</v>
      </c>
      <c r="BU2098">
        <v>6</v>
      </c>
      <c r="BV2098" t="s">
        <v>114</v>
      </c>
      <c r="BX2098" s="2" t="s">
        <v>22684</v>
      </c>
      <c r="BY2098" t="s">
        <v>22674</v>
      </c>
      <c r="CA2098" t="s">
        <v>6423</v>
      </c>
      <c r="CB2098" t="s">
        <v>581</v>
      </c>
      <c r="CC2098" s="8" t="str">
        <f>"23113"</f>
        <v>23113</v>
      </c>
      <c r="CD2098" t="s">
        <v>3497</v>
      </c>
      <c r="CE2098" t="s">
        <v>1850</v>
      </c>
      <c r="CF2098" s="12">
        <v>17.5</v>
      </c>
      <c r="CG2098" s="12">
        <v>17.5</v>
      </c>
      <c r="CJ2098" t="s">
        <v>135</v>
      </c>
      <c r="CL2098" t="s">
        <v>22685</v>
      </c>
      <c r="CO2098" t="s">
        <v>132</v>
      </c>
      <c r="CP2098" t="s">
        <v>114</v>
      </c>
      <c r="CQ2098" t="s">
        <v>114</v>
      </c>
      <c r="CR2098" t="s">
        <v>114</v>
      </c>
      <c r="CS2098" t="s">
        <v>114</v>
      </c>
      <c r="CT2098" t="s">
        <v>136</v>
      </c>
      <c r="CU2098" t="s">
        <v>114</v>
      </c>
      <c r="CV2098" t="s">
        <v>22686</v>
      </c>
      <c r="CW2098" s="10" t="str">
        <f>"+18043781800"</f>
        <v>+18043781800</v>
      </c>
      <c r="CX2098" t="s">
        <v>22678</v>
      </c>
      <c r="CY2098" t="s">
        <v>132</v>
      </c>
      <c r="CZ2098" t="s">
        <v>137</v>
      </c>
      <c r="DA2098" t="s">
        <v>114</v>
      </c>
      <c r="DB2098" t="s">
        <v>114</v>
      </c>
      <c r="DC2098" t="s">
        <v>136</v>
      </c>
      <c r="DD2098" t="s">
        <v>114</v>
      </c>
    </row>
    <row r="2099" spans="1:113" ht="15" customHeight="1" x14ac:dyDescent="0.25">
      <c r="A2099" t="s">
        <v>20916</v>
      </c>
      <c r="B2099" t="s">
        <v>113</v>
      </c>
      <c r="C2099" s="1">
        <v>45112.942482523147</v>
      </c>
      <c r="D2099" s="1">
        <v>45211</v>
      </c>
      <c r="E2099" t="s">
        <v>114</v>
      </c>
      <c r="F2099" t="s">
        <v>5413</v>
      </c>
      <c r="G2099" t="str">
        <f>"53-3032.00"</f>
        <v>53-3032.00</v>
      </c>
      <c r="H2099" t="s">
        <v>736</v>
      </c>
      <c r="I2099">
        <v>11</v>
      </c>
      <c r="K2099" s="1">
        <v>45200</v>
      </c>
      <c r="L2099" s="1">
        <v>46295</v>
      </c>
      <c r="O2099" t="s">
        <v>184</v>
      </c>
      <c r="P2099" t="s">
        <v>20917</v>
      </c>
      <c r="R2099" t="s">
        <v>20918</v>
      </c>
      <c r="T2099" t="s">
        <v>20919</v>
      </c>
      <c r="U2099" t="s">
        <v>2775</v>
      </c>
      <c r="V2099" s="8" t="str">
        <f>"58261"</f>
        <v>58261</v>
      </c>
      <c r="W2099" t="s">
        <v>118</v>
      </c>
      <c r="Y2099" s="10">
        <v>17015203202</v>
      </c>
      <c r="AA2099">
        <v>484110</v>
      </c>
      <c r="AB2099" t="s">
        <v>20920</v>
      </c>
      <c r="AC2099" t="s">
        <v>10939</v>
      </c>
      <c r="AD2099" t="s">
        <v>20921</v>
      </c>
      <c r="AE2099" t="s">
        <v>1283</v>
      </c>
      <c r="AF2099" t="s">
        <v>20922</v>
      </c>
      <c r="AH2099" t="s">
        <v>20923</v>
      </c>
      <c r="AI2099" t="s">
        <v>2775</v>
      </c>
      <c r="AJ2099" s="8" t="str">
        <f>"58261"</f>
        <v>58261</v>
      </c>
      <c r="AK2099" t="s">
        <v>118</v>
      </c>
      <c r="AM2099" s="10">
        <v>17015203202</v>
      </c>
      <c r="AO2099" t="s">
        <v>20924</v>
      </c>
      <c r="AP2099" t="s">
        <v>121</v>
      </c>
      <c r="AQ2099" t="s">
        <v>20925</v>
      </c>
      <c r="AR2099" t="s">
        <v>20926</v>
      </c>
      <c r="AS2099" t="s">
        <v>1714</v>
      </c>
      <c r="AT2099" t="s">
        <v>20927</v>
      </c>
      <c r="AU2099" t="s">
        <v>13803</v>
      </c>
      <c r="AV2099" t="s">
        <v>20928</v>
      </c>
      <c r="AW2099" t="s">
        <v>117</v>
      </c>
      <c r="AX2099" s="8" t="str">
        <f>"60008"</f>
        <v>60008</v>
      </c>
      <c r="AY2099" t="s">
        <v>118</v>
      </c>
      <c r="BA2099" s="10">
        <v>13127679030</v>
      </c>
      <c r="BC2099" t="s">
        <v>20929</v>
      </c>
      <c r="BD2099" t="s">
        <v>20930</v>
      </c>
      <c r="BE2099" t="s">
        <v>158</v>
      </c>
      <c r="BF2099" t="s">
        <v>20931</v>
      </c>
      <c r="BG2099" t="s">
        <v>2775</v>
      </c>
      <c r="BH2099" s="1">
        <v>45111.833333333336</v>
      </c>
      <c r="BI2099">
        <v>40</v>
      </c>
      <c r="BJ2099">
        <v>0</v>
      </c>
      <c r="BK2099">
        <v>7</v>
      </c>
      <c r="BL2099">
        <v>7</v>
      </c>
      <c r="BM2099">
        <v>7</v>
      </c>
      <c r="BN2099">
        <v>7</v>
      </c>
      <c r="BO2099">
        <v>7</v>
      </c>
      <c r="BP2099">
        <v>5</v>
      </c>
      <c r="BQ2099" t="str">
        <f>"6:00 AM"</f>
        <v>6:00 AM</v>
      </c>
      <c r="BR2099" t="str">
        <f>"1:00 PM"</f>
        <v>1:00 PM</v>
      </c>
      <c r="BS2099" t="s">
        <v>131</v>
      </c>
      <c r="BT2099">
        <v>0</v>
      </c>
      <c r="BU2099">
        <v>3</v>
      </c>
      <c r="BV2099" t="s">
        <v>114</v>
      </c>
      <c r="BX2099" s="2" t="s">
        <v>20932</v>
      </c>
      <c r="BY2099" t="s">
        <v>20933</v>
      </c>
      <c r="CA2099" t="s">
        <v>20923</v>
      </c>
      <c r="CB2099" t="s">
        <v>2775</v>
      </c>
      <c r="CC2099" s="8" t="str">
        <f>"58261"</f>
        <v>58261</v>
      </c>
      <c r="CD2099" t="s">
        <v>10938</v>
      </c>
      <c r="CE2099" t="s">
        <v>5686</v>
      </c>
      <c r="CF2099" s="12">
        <v>25</v>
      </c>
      <c r="CG2099" s="12">
        <v>28</v>
      </c>
      <c r="CH2099" s="12">
        <v>37.5</v>
      </c>
      <c r="CI2099" s="12">
        <v>42</v>
      </c>
      <c r="CJ2099" t="s">
        <v>135</v>
      </c>
      <c r="CK2099" t="s">
        <v>132</v>
      </c>
      <c r="CL2099" t="s">
        <v>20934</v>
      </c>
      <c r="CO2099" t="s">
        <v>132</v>
      </c>
      <c r="CP2099" t="s">
        <v>114</v>
      </c>
      <c r="CQ2099" t="s">
        <v>136</v>
      </c>
      <c r="CR2099" t="s">
        <v>136</v>
      </c>
      <c r="CS2099" t="s">
        <v>114</v>
      </c>
      <c r="CT2099" t="s">
        <v>136</v>
      </c>
      <c r="CU2099" t="s">
        <v>136</v>
      </c>
      <c r="CV2099" s="2" t="s">
        <v>20935</v>
      </c>
      <c r="CW2099" s="10" t="str">
        <f>"+17015203202"</f>
        <v>+17015203202</v>
      </c>
      <c r="CX2099" t="s">
        <v>20936</v>
      </c>
      <c r="CY2099" t="s">
        <v>132</v>
      </c>
      <c r="CZ2099" t="s">
        <v>137</v>
      </c>
      <c r="DA2099" t="s">
        <v>114</v>
      </c>
      <c r="DB2099" t="s">
        <v>114</v>
      </c>
      <c r="DC2099" t="s">
        <v>136</v>
      </c>
      <c r="DD2099" t="s">
        <v>114</v>
      </c>
    </row>
    <row r="2100" spans="1:113" ht="15" customHeight="1" x14ac:dyDescent="0.25">
      <c r="A2100" t="s">
        <v>23824</v>
      </c>
      <c r="B2100" t="s">
        <v>113</v>
      </c>
      <c r="C2100" s="1">
        <v>45112.937232638891</v>
      </c>
      <c r="D2100" s="1">
        <v>45211</v>
      </c>
      <c r="E2100" t="s">
        <v>114</v>
      </c>
      <c r="F2100" t="s">
        <v>5413</v>
      </c>
      <c r="G2100" t="str">
        <f>"53-3032.00"</f>
        <v>53-3032.00</v>
      </c>
      <c r="H2100" t="s">
        <v>736</v>
      </c>
      <c r="I2100">
        <v>15</v>
      </c>
      <c r="K2100" s="1">
        <v>45200</v>
      </c>
      <c r="L2100" s="1">
        <v>45473</v>
      </c>
      <c r="O2100" t="s">
        <v>238</v>
      </c>
      <c r="P2100" t="s">
        <v>20917</v>
      </c>
      <c r="R2100" t="s">
        <v>20918</v>
      </c>
      <c r="T2100" t="s">
        <v>20919</v>
      </c>
      <c r="U2100" t="s">
        <v>2775</v>
      </c>
      <c r="V2100" s="8" t="str">
        <f>"58261"</f>
        <v>58261</v>
      </c>
      <c r="W2100" t="s">
        <v>118</v>
      </c>
      <c r="Y2100" s="10">
        <v>17015203202</v>
      </c>
      <c r="AA2100">
        <v>484110</v>
      </c>
      <c r="AB2100" t="s">
        <v>20920</v>
      </c>
      <c r="AC2100" t="s">
        <v>10939</v>
      </c>
      <c r="AD2100" t="s">
        <v>20921</v>
      </c>
      <c r="AE2100" t="s">
        <v>1283</v>
      </c>
      <c r="AF2100" t="s">
        <v>20922</v>
      </c>
      <c r="AH2100" t="s">
        <v>20923</v>
      </c>
      <c r="AI2100" t="s">
        <v>2775</v>
      </c>
      <c r="AJ2100" s="8" t="str">
        <f>"58261"</f>
        <v>58261</v>
      </c>
      <c r="AK2100" t="s">
        <v>118</v>
      </c>
      <c r="AM2100" s="10">
        <v>17015203202</v>
      </c>
      <c r="AO2100" t="s">
        <v>20924</v>
      </c>
      <c r="AP2100" t="s">
        <v>121</v>
      </c>
      <c r="AQ2100" t="s">
        <v>20925</v>
      </c>
      <c r="AR2100" t="s">
        <v>20926</v>
      </c>
      <c r="AS2100" t="s">
        <v>1714</v>
      </c>
      <c r="AT2100" t="s">
        <v>20927</v>
      </c>
      <c r="AU2100" t="s">
        <v>13803</v>
      </c>
      <c r="AV2100" t="s">
        <v>20928</v>
      </c>
      <c r="AW2100" t="s">
        <v>117</v>
      </c>
      <c r="AX2100" s="8" t="str">
        <f>"60008"</f>
        <v>60008</v>
      </c>
      <c r="AY2100" t="s">
        <v>118</v>
      </c>
      <c r="BA2100" s="10">
        <v>13127679030</v>
      </c>
      <c r="BC2100" t="s">
        <v>20929</v>
      </c>
      <c r="BD2100" t="s">
        <v>20930</v>
      </c>
      <c r="BE2100" t="s">
        <v>158</v>
      </c>
      <c r="BF2100" t="s">
        <v>20931</v>
      </c>
      <c r="BG2100" t="s">
        <v>2775</v>
      </c>
      <c r="BH2100" s="1">
        <v>45111.833333333336</v>
      </c>
      <c r="BI2100">
        <v>40</v>
      </c>
      <c r="BJ2100">
        <v>0</v>
      </c>
      <c r="BK2100">
        <v>7</v>
      </c>
      <c r="BL2100">
        <v>7</v>
      </c>
      <c r="BM2100">
        <v>7</v>
      </c>
      <c r="BN2100">
        <v>7</v>
      </c>
      <c r="BO2100">
        <v>7</v>
      </c>
      <c r="BP2100">
        <v>5</v>
      </c>
      <c r="BQ2100" t="str">
        <f>"6:00 AM"</f>
        <v>6:00 AM</v>
      </c>
      <c r="BR2100" t="str">
        <f>"1:00 PM"</f>
        <v>1:00 PM</v>
      </c>
      <c r="BS2100" t="s">
        <v>131</v>
      </c>
      <c r="BT2100">
        <v>0</v>
      </c>
      <c r="BU2100">
        <v>3</v>
      </c>
      <c r="BV2100" t="s">
        <v>114</v>
      </c>
      <c r="BX2100" s="2" t="s">
        <v>20932</v>
      </c>
      <c r="BY2100" t="s">
        <v>20933</v>
      </c>
      <c r="CA2100" t="s">
        <v>20923</v>
      </c>
      <c r="CB2100" t="s">
        <v>2775</v>
      </c>
      <c r="CC2100" s="8" t="str">
        <f>"58261"</f>
        <v>58261</v>
      </c>
      <c r="CD2100" t="s">
        <v>10938</v>
      </c>
      <c r="CE2100" t="s">
        <v>5686</v>
      </c>
      <c r="CF2100" s="12">
        <v>25</v>
      </c>
      <c r="CG2100" s="12">
        <v>28</v>
      </c>
      <c r="CH2100" s="12">
        <v>37.5</v>
      </c>
      <c r="CI2100" s="12">
        <v>42</v>
      </c>
      <c r="CJ2100" t="s">
        <v>135</v>
      </c>
      <c r="CK2100" t="s">
        <v>132</v>
      </c>
      <c r="CL2100" t="s">
        <v>20934</v>
      </c>
      <c r="CO2100" t="s">
        <v>132</v>
      </c>
      <c r="CP2100" t="s">
        <v>114</v>
      </c>
      <c r="CQ2100" t="s">
        <v>136</v>
      </c>
      <c r="CR2100" t="s">
        <v>136</v>
      </c>
      <c r="CS2100" t="s">
        <v>114</v>
      </c>
      <c r="CT2100" t="s">
        <v>136</v>
      </c>
      <c r="CU2100" t="s">
        <v>136</v>
      </c>
      <c r="CV2100" s="2" t="s">
        <v>23825</v>
      </c>
      <c r="CW2100" s="10" t="str">
        <f>"+17015203202"</f>
        <v>+17015203202</v>
      </c>
      <c r="CX2100" t="s">
        <v>20936</v>
      </c>
      <c r="CY2100" t="s">
        <v>132</v>
      </c>
      <c r="CZ2100" t="s">
        <v>137</v>
      </c>
      <c r="DA2100" t="s">
        <v>114</v>
      </c>
      <c r="DB2100" t="s">
        <v>114</v>
      </c>
      <c r="DC2100" t="s">
        <v>136</v>
      </c>
      <c r="DD2100" t="s">
        <v>114</v>
      </c>
    </row>
    <row r="2101" spans="1:113" ht="15" customHeight="1" x14ac:dyDescent="0.25">
      <c r="A2101" t="s">
        <v>8517</v>
      </c>
      <c r="B2101" t="s">
        <v>113</v>
      </c>
      <c r="C2101" s="1">
        <v>45112.900054166668</v>
      </c>
      <c r="D2101" s="1">
        <v>45211</v>
      </c>
      <c r="E2101" t="s">
        <v>114</v>
      </c>
      <c r="F2101" t="s">
        <v>8518</v>
      </c>
      <c r="G2101" t="str">
        <f>"51-4121.00"</f>
        <v>51-4121.00</v>
      </c>
      <c r="H2101" t="s">
        <v>815</v>
      </c>
      <c r="I2101">
        <v>175</v>
      </c>
      <c r="K2101" s="1">
        <v>45200</v>
      </c>
      <c r="L2101" s="1">
        <v>45504</v>
      </c>
      <c r="O2101" t="s">
        <v>116</v>
      </c>
      <c r="P2101" t="s">
        <v>8519</v>
      </c>
      <c r="Q2101" t="s">
        <v>8520</v>
      </c>
      <c r="R2101" t="s">
        <v>8521</v>
      </c>
      <c r="T2101" t="s">
        <v>3042</v>
      </c>
      <c r="U2101" t="s">
        <v>127</v>
      </c>
      <c r="V2101" s="8" t="str">
        <f>"78589"</f>
        <v>78589</v>
      </c>
      <c r="W2101" t="s">
        <v>118</v>
      </c>
      <c r="Y2101" s="10">
        <v>19566278322</v>
      </c>
      <c r="AA2101">
        <v>23899</v>
      </c>
      <c r="AB2101" t="s">
        <v>8522</v>
      </c>
      <c r="AC2101" t="s">
        <v>8523</v>
      </c>
      <c r="AE2101" t="s">
        <v>561</v>
      </c>
      <c r="AF2101" t="s">
        <v>8521</v>
      </c>
      <c r="AH2101" t="s">
        <v>3042</v>
      </c>
      <c r="AI2101" t="s">
        <v>127</v>
      </c>
      <c r="AJ2101" s="8" t="str">
        <f>"78589"</f>
        <v>78589</v>
      </c>
      <c r="AK2101" t="s">
        <v>118</v>
      </c>
      <c r="AM2101" s="10">
        <v>19566278322</v>
      </c>
      <c r="AO2101" t="s">
        <v>8524</v>
      </c>
      <c r="AP2101" t="s">
        <v>121</v>
      </c>
      <c r="AQ2101" t="s">
        <v>3935</v>
      </c>
      <c r="AR2101" t="s">
        <v>3936</v>
      </c>
      <c r="AS2101" t="s">
        <v>3937</v>
      </c>
      <c r="AT2101" t="s">
        <v>3938</v>
      </c>
      <c r="AU2101" t="s">
        <v>3939</v>
      </c>
      <c r="AV2101" t="s">
        <v>3940</v>
      </c>
      <c r="AW2101" t="s">
        <v>2262</v>
      </c>
      <c r="AX2101" s="8" t="str">
        <f>"06510"</f>
        <v>06510</v>
      </c>
      <c r="AY2101" t="s">
        <v>118</v>
      </c>
      <c r="BA2101" s="10">
        <v>19198270660</v>
      </c>
      <c r="BC2101" t="s">
        <v>3941</v>
      </c>
      <c r="BD2101" t="s">
        <v>3942</v>
      </c>
      <c r="BE2101" t="s">
        <v>375</v>
      </c>
      <c r="BF2101" t="s">
        <v>3943</v>
      </c>
      <c r="BG2101" t="s">
        <v>127</v>
      </c>
      <c r="BH2101" s="1">
        <v>45111.833333333336</v>
      </c>
      <c r="BI2101">
        <v>56</v>
      </c>
      <c r="BJ2101">
        <v>0</v>
      </c>
      <c r="BK2101">
        <v>9</v>
      </c>
      <c r="BL2101">
        <v>9</v>
      </c>
      <c r="BM2101">
        <v>9</v>
      </c>
      <c r="BN2101">
        <v>10</v>
      </c>
      <c r="BO2101">
        <v>10</v>
      </c>
      <c r="BP2101">
        <v>9</v>
      </c>
      <c r="BQ2101" t="str">
        <f>"7:00 AM"</f>
        <v>7:00 AM</v>
      </c>
      <c r="BR2101" t="str">
        <f>"5:00 PM"</f>
        <v>5:00 PM</v>
      </c>
      <c r="BS2101" t="s">
        <v>131</v>
      </c>
      <c r="BT2101">
        <v>0</v>
      </c>
      <c r="BU2101">
        <v>12</v>
      </c>
      <c r="BV2101" t="s">
        <v>114</v>
      </c>
      <c r="BX2101" s="2" t="s">
        <v>8525</v>
      </c>
      <c r="BY2101" t="s">
        <v>2571</v>
      </c>
      <c r="CA2101" t="s">
        <v>2617</v>
      </c>
      <c r="CB2101" t="s">
        <v>127</v>
      </c>
      <c r="CC2101" s="8" t="str">
        <f>"78362"</f>
        <v>78362</v>
      </c>
      <c r="CD2101" t="s">
        <v>2572</v>
      </c>
      <c r="CE2101" t="s">
        <v>2163</v>
      </c>
      <c r="CF2101" s="12">
        <v>27</v>
      </c>
      <c r="CG2101" s="12">
        <v>27</v>
      </c>
      <c r="CH2101" s="12">
        <v>40.5</v>
      </c>
      <c r="CI2101" s="12">
        <v>40.5</v>
      </c>
      <c r="CJ2101" t="s">
        <v>135</v>
      </c>
      <c r="CL2101" t="s">
        <v>8526</v>
      </c>
      <c r="CO2101" t="s">
        <v>132</v>
      </c>
      <c r="CP2101" t="s">
        <v>114</v>
      </c>
      <c r="CQ2101" t="s">
        <v>136</v>
      </c>
      <c r="CR2101" t="s">
        <v>136</v>
      </c>
      <c r="CS2101" t="s">
        <v>114</v>
      </c>
      <c r="CT2101" t="s">
        <v>136</v>
      </c>
      <c r="CU2101" t="s">
        <v>114</v>
      </c>
      <c r="CV2101" t="s">
        <v>8527</v>
      </c>
      <c r="CW2101" s="10" t="str">
        <f>"+19566278322"</f>
        <v>+19566278322</v>
      </c>
      <c r="CX2101" t="s">
        <v>8524</v>
      </c>
      <c r="CY2101" t="s">
        <v>132</v>
      </c>
      <c r="CZ2101" t="s">
        <v>137</v>
      </c>
      <c r="DA2101" t="s">
        <v>114</v>
      </c>
      <c r="DB2101" t="s">
        <v>114</v>
      </c>
      <c r="DC2101" t="s">
        <v>136</v>
      </c>
      <c r="DD2101" t="s">
        <v>114</v>
      </c>
    </row>
    <row r="2102" spans="1:113" ht="15" customHeight="1" x14ac:dyDescent="0.25">
      <c r="A2102" t="s">
        <v>13284</v>
      </c>
      <c r="B2102" t="s">
        <v>113</v>
      </c>
      <c r="C2102" s="1">
        <v>45112.733291435186</v>
      </c>
      <c r="D2102" s="1">
        <v>45211</v>
      </c>
      <c r="E2102" t="s">
        <v>114</v>
      </c>
      <c r="F2102" t="s">
        <v>12491</v>
      </c>
      <c r="G2102" t="str">
        <f>"35-1011.00"</f>
        <v>35-1011.00</v>
      </c>
      <c r="H2102" t="s">
        <v>1043</v>
      </c>
      <c r="I2102">
        <v>1</v>
      </c>
      <c r="K2102" s="1">
        <v>45200</v>
      </c>
      <c r="L2102" s="1">
        <v>46295</v>
      </c>
      <c r="O2102" t="s">
        <v>184</v>
      </c>
      <c r="P2102" t="s">
        <v>13285</v>
      </c>
      <c r="Q2102" t="s">
        <v>13286</v>
      </c>
      <c r="R2102" t="s">
        <v>13287</v>
      </c>
      <c r="T2102" t="s">
        <v>2974</v>
      </c>
      <c r="U2102" t="s">
        <v>222</v>
      </c>
      <c r="V2102" s="8" t="str">
        <f>"02115"</f>
        <v>02115</v>
      </c>
      <c r="W2102" t="s">
        <v>118</v>
      </c>
      <c r="Y2102" s="10">
        <v>16175360230</v>
      </c>
      <c r="AA2102">
        <v>722511</v>
      </c>
      <c r="AB2102" t="s">
        <v>13288</v>
      </c>
      <c r="AC2102" t="s">
        <v>13289</v>
      </c>
      <c r="AE2102" t="s">
        <v>13290</v>
      </c>
      <c r="AF2102" t="s">
        <v>13291</v>
      </c>
      <c r="AH2102" t="s">
        <v>2974</v>
      </c>
      <c r="AI2102" t="s">
        <v>222</v>
      </c>
      <c r="AJ2102" s="8" t="str">
        <f>"02115"</f>
        <v>02115</v>
      </c>
      <c r="AK2102" t="s">
        <v>118</v>
      </c>
      <c r="AM2102" s="10">
        <v>16179704054</v>
      </c>
      <c r="AO2102" t="s">
        <v>13292</v>
      </c>
      <c r="AP2102" t="s">
        <v>121</v>
      </c>
      <c r="AQ2102" t="s">
        <v>13293</v>
      </c>
      <c r="AR2102" t="s">
        <v>3610</v>
      </c>
      <c r="AS2102" t="s">
        <v>150</v>
      </c>
      <c r="AT2102" t="s">
        <v>13294</v>
      </c>
      <c r="AV2102" t="s">
        <v>2447</v>
      </c>
      <c r="AW2102" t="s">
        <v>222</v>
      </c>
      <c r="AX2102" s="8" t="str">
        <f>"01103"</f>
        <v>01103</v>
      </c>
      <c r="AY2102" t="s">
        <v>118</v>
      </c>
      <c r="BA2102" s="10">
        <v>14137360700</v>
      </c>
      <c r="BC2102" t="s">
        <v>13295</v>
      </c>
      <c r="BD2102" t="s">
        <v>13296</v>
      </c>
      <c r="BE2102" t="s">
        <v>222</v>
      </c>
      <c r="BF2102" t="s">
        <v>13297</v>
      </c>
      <c r="BG2102" t="s">
        <v>222</v>
      </c>
      <c r="BH2102" s="1">
        <v>45109.833333333336</v>
      </c>
      <c r="BI2102">
        <v>40</v>
      </c>
      <c r="BJ2102">
        <v>8</v>
      </c>
      <c r="BK2102">
        <v>0</v>
      </c>
      <c r="BL2102">
        <v>0</v>
      </c>
      <c r="BM2102">
        <v>8</v>
      </c>
      <c r="BN2102">
        <v>8</v>
      </c>
      <c r="BO2102">
        <v>8</v>
      </c>
      <c r="BP2102">
        <v>8</v>
      </c>
      <c r="BQ2102" t="str">
        <f>"2:00 PM"</f>
        <v>2:00 PM</v>
      </c>
      <c r="BR2102" t="str">
        <f>"10:00 PM"</f>
        <v>10:00 PM</v>
      </c>
      <c r="BS2102" t="s">
        <v>131</v>
      </c>
      <c r="BT2102">
        <v>24</v>
      </c>
      <c r="BU2102">
        <v>24</v>
      </c>
      <c r="BV2102" t="s">
        <v>136</v>
      </c>
      <c r="BW2102">
        <v>1</v>
      </c>
      <c r="BX2102" s="2" t="s">
        <v>13298</v>
      </c>
      <c r="BY2102" t="s">
        <v>13299</v>
      </c>
      <c r="CA2102" t="s">
        <v>11856</v>
      </c>
      <c r="CB2102" t="s">
        <v>222</v>
      </c>
      <c r="CC2102" s="8" t="str">
        <f>"02115"</f>
        <v>02115</v>
      </c>
      <c r="CD2102" t="s">
        <v>2975</v>
      </c>
      <c r="CE2102" t="s">
        <v>2399</v>
      </c>
      <c r="CF2102" s="12">
        <v>40</v>
      </c>
      <c r="CG2102" s="12">
        <v>42</v>
      </c>
      <c r="CH2102" s="12">
        <v>60</v>
      </c>
      <c r="CI2102" s="12">
        <v>61</v>
      </c>
      <c r="CJ2102" t="s">
        <v>135</v>
      </c>
      <c r="CL2102" t="s">
        <v>13300</v>
      </c>
      <c r="CO2102" t="s">
        <v>132</v>
      </c>
      <c r="CP2102" t="s">
        <v>114</v>
      </c>
      <c r="CQ2102" t="s">
        <v>114</v>
      </c>
      <c r="CR2102" t="s">
        <v>114</v>
      </c>
      <c r="CS2102" t="s">
        <v>114</v>
      </c>
      <c r="CT2102" t="s">
        <v>114</v>
      </c>
      <c r="CU2102" t="s">
        <v>114</v>
      </c>
      <c r="CV2102" t="s">
        <v>3728</v>
      </c>
      <c r="CW2102" s="10" t="str">
        <f>"+16175360230"</f>
        <v>+16175360230</v>
      </c>
      <c r="CX2102" t="s">
        <v>13301</v>
      </c>
      <c r="CY2102" t="s">
        <v>132</v>
      </c>
      <c r="CZ2102" t="s">
        <v>137</v>
      </c>
      <c r="DA2102" t="s">
        <v>114</v>
      </c>
      <c r="DB2102" t="s">
        <v>114</v>
      </c>
      <c r="DC2102" t="s">
        <v>136</v>
      </c>
      <c r="DD2102" t="s">
        <v>114</v>
      </c>
      <c r="DE2102" t="s">
        <v>13302</v>
      </c>
      <c r="DF2102" t="s">
        <v>144</v>
      </c>
      <c r="DG2102" t="s">
        <v>150</v>
      </c>
      <c r="DH2102" t="s">
        <v>13303</v>
      </c>
      <c r="DI2102" t="s">
        <v>13295</v>
      </c>
    </row>
    <row r="2103" spans="1:113" ht="15" customHeight="1" x14ac:dyDescent="0.25">
      <c r="A2103" t="s">
        <v>6419</v>
      </c>
      <c r="B2103" t="s">
        <v>113</v>
      </c>
      <c r="C2103" s="1">
        <v>45110.986936111112</v>
      </c>
      <c r="D2103" s="1">
        <v>45211</v>
      </c>
      <c r="E2103" t="s">
        <v>114</v>
      </c>
      <c r="F2103" t="s">
        <v>3558</v>
      </c>
      <c r="G2103" t="str">
        <f>"35-3031.00"</f>
        <v>35-3031.00</v>
      </c>
      <c r="H2103" t="s">
        <v>347</v>
      </c>
      <c r="I2103">
        <v>3</v>
      </c>
      <c r="K2103" s="1">
        <v>45200</v>
      </c>
      <c r="L2103" s="1">
        <v>45443</v>
      </c>
      <c r="O2103" t="s">
        <v>116</v>
      </c>
      <c r="P2103" t="s">
        <v>6420</v>
      </c>
      <c r="Q2103" t="s">
        <v>6421</v>
      </c>
      <c r="R2103" t="s">
        <v>6422</v>
      </c>
      <c r="T2103" t="s">
        <v>6423</v>
      </c>
      <c r="U2103" t="s">
        <v>581</v>
      </c>
      <c r="V2103" s="8" t="str">
        <f>"23113"</f>
        <v>23113</v>
      </c>
      <c r="W2103" t="s">
        <v>118</v>
      </c>
      <c r="Y2103" s="10">
        <v>18048934672</v>
      </c>
      <c r="AA2103">
        <v>722511</v>
      </c>
      <c r="AB2103" t="s">
        <v>6424</v>
      </c>
      <c r="AC2103" t="s">
        <v>6425</v>
      </c>
      <c r="AE2103" t="s">
        <v>6426</v>
      </c>
      <c r="AF2103" t="s">
        <v>6422</v>
      </c>
      <c r="AH2103" t="s">
        <v>6423</v>
      </c>
      <c r="AI2103" t="s">
        <v>581</v>
      </c>
      <c r="AJ2103" s="8" t="str">
        <f>"23113"</f>
        <v>23113</v>
      </c>
      <c r="AK2103" t="s">
        <v>118</v>
      </c>
      <c r="AM2103" s="10">
        <v>18048934672</v>
      </c>
      <c r="AO2103" t="s">
        <v>6427</v>
      </c>
      <c r="AX2103" s="8" t="str">
        <f>""</f>
        <v/>
      </c>
      <c r="BG2103" t="s">
        <v>581</v>
      </c>
      <c r="BH2103" s="1">
        <v>45109.833333333336</v>
      </c>
      <c r="BI2103">
        <v>48</v>
      </c>
      <c r="BJ2103">
        <v>8</v>
      </c>
      <c r="BK2103">
        <v>0</v>
      </c>
      <c r="BL2103">
        <v>8</v>
      </c>
      <c r="BM2103">
        <v>8</v>
      </c>
      <c r="BN2103">
        <v>8</v>
      </c>
      <c r="BO2103">
        <v>8</v>
      </c>
      <c r="BP2103">
        <v>8</v>
      </c>
      <c r="BQ2103" t="str">
        <f>"12:00 PM"</f>
        <v>12:00 PM</v>
      </c>
      <c r="BR2103" t="str">
        <f>"8:00 PM"</f>
        <v>8:00 PM</v>
      </c>
      <c r="BS2103" t="s">
        <v>131</v>
      </c>
      <c r="BT2103">
        <v>0</v>
      </c>
      <c r="BU2103">
        <v>0</v>
      </c>
      <c r="BV2103" t="s">
        <v>114</v>
      </c>
      <c r="BX2103" s="2" t="s">
        <v>6428</v>
      </c>
      <c r="BY2103" t="s">
        <v>6422</v>
      </c>
      <c r="CA2103" t="s">
        <v>6423</v>
      </c>
      <c r="CB2103" t="s">
        <v>581</v>
      </c>
      <c r="CC2103" s="8" t="str">
        <f>"23113"</f>
        <v>23113</v>
      </c>
      <c r="CD2103" t="s">
        <v>3497</v>
      </c>
      <c r="CE2103" t="s">
        <v>1850</v>
      </c>
      <c r="CF2103" s="12">
        <v>14</v>
      </c>
      <c r="CG2103" s="12">
        <v>14</v>
      </c>
      <c r="CH2103" s="12">
        <v>21</v>
      </c>
      <c r="CI2103" s="12">
        <v>21</v>
      </c>
      <c r="CJ2103" t="s">
        <v>135</v>
      </c>
      <c r="CL2103" t="s">
        <v>6429</v>
      </c>
      <c r="CO2103" t="s">
        <v>132</v>
      </c>
      <c r="CP2103" t="s">
        <v>114</v>
      </c>
      <c r="CQ2103" t="s">
        <v>114</v>
      </c>
      <c r="CR2103" t="s">
        <v>136</v>
      </c>
      <c r="CS2103" t="s">
        <v>114</v>
      </c>
      <c r="CT2103" t="s">
        <v>136</v>
      </c>
      <c r="CU2103" t="s">
        <v>114</v>
      </c>
      <c r="CV2103" t="s">
        <v>132</v>
      </c>
      <c r="CW2103" s="10" t="str">
        <f>"+18048934672"</f>
        <v>+18048934672</v>
      </c>
      <c r="CX2103" t="s">
        <v>6427</v>
      </c>
      <c r="CY2103" t="s">
        <v>6430</v>
      </c>
      <c r="CZ2103" t="s">
        <v>137</v>
      </c>
      <c r="DA2103" t="s">
        <v>114</v>
      </c>
      <c r="DB2103" t="s">
        <v>114</v>
      </c>
      <c r="DC2103" t="s">
        <v>136</v>
      </c>
      <c r="DD2103" t="s">
        <v>114</v>
      </c>
    </row>
    <row r="2104" spans="1:113" ht="15" customHeight="1" x14ac:dyDescent="0.25">
      <c r="A2104" t="s">
        <v>16587</v>
      </c>
      <c r="B2104" t="s">
        <v>113</v>
      </c>
      <c r="C2104" s="1">
        <v>45110.954604513892</v>
      </c>
      <c r="D2104" s="1">
        <v>45211</v>
      </c>
      <c r="E2104" t="s">
        <v>114</v>
      </c>
      <c r="F2104" t="s">
        <v>3754</v>
      </c>
      <c r="G2104" t="str">
        <f>"35-2021.00"</f>
        <v>35-2021.00</v>
      </c>
      <c r="H2104" t="s">
        <v>2303</v>
      </c>
      <c r="I2104">
        <v>40</v>
      </c>
      <c r="K2104" s="1">
        <v>45200</v>
      </c>
      <c r="L2104" s="1">
        <v>45473</v>
      </c>
      <c r="O2104" t="s">
        <v>238</v>
      </c>
      <c r="P2104" t="s">
        <v>15964</v>
      </c>
      <c r="Q2104" t="s">
        <v>15964</v>
      </c>
      <c r="R2104" t="s">
        <v>15965</v>
      </c>
      <c r="T2104" t="s">
        <v>3238</v>
      </c>
      <c r="U2104" t="s">
        <v>140</v>
      </c>
      <c r="V2104" s="8" t="str">
        <f>"32352"</f>
        <v>32352</v>
      </c>
      <c r="W2104" t="s">
        <v>118</v>
      </c>
      <c r="Y2104" s="10">
        <v>18504436908</v>
      </c>
      <c r="AA2104">
        <v>722511</v>
      </c>
      <c r="AB2104" t="s">
        <v>2869</v>
      </c>
      <c r="AC2104" t="s">
        <v>15370</v>
      </c>
      <c r="AE2104" t="s">
        <v>3519</v>
      </c>
      <c r="AF2104" t="s">
        <v>15966</v>
      </c>
      <c r="AH2104" t="s">
        <v>15967</v>
      </c>
      <c r="AI2104" t="s">
        <v>140</v>
      </c>
      <c r="AJ2104" s="8" t="str">
        <f>"32352"</f>
        <v>32352</v>
      </c>
      <c r="AK2104" t="s">
        <v>118</v>
      </c>
      <c r="AM2104" s="10">
        <v>18504436908</v>
      </c>
      <c r="AO2104" t="s">
        <v>15968</v>
      </c>
      <c r="AX2104" s="8" t="str">
        <f>""</f>
        <v/>
      </c>
      <c r="BG2104" t="s">
        <v>386</v>
      </c>
      <c r="BH2104" s="1">
        <v>45113.833333333336</v>
      </c>
      <c r="BI2104">
        <v>35</v>
      </c>
      <c r="BJ2104">
        <v>6</v>
      </c>
      <c r="BK2104">
        <v>6</v>
      </c>
      <c r="BL2104">
        <v>0</v>
      </c>
      <c r="BM2104">
        <v>5</v>
      </c>
      <c r="BN2104">
        <v>6</v>
      </c>
      <c r="BO2104">
        <v>6</v>
      </c>
      <c r="BP2104">
        <v>6</v>
      </c>
      <c r="BQ2104" t="str">
        <f>"4:00 AM"</f>
        <v>4:00 AM</v>
      </c>
      <c r="BR2104" t="str">
        <f>"12:00 PM"</f>
        <v>12:00 PM</v>
      </c>
      <c r="BS2104" t="s">
        <v>147</v>
      </c>
      <c r="BT2104">
        <v>0</v>
      </c>
      <c r="BU2104">
        <v>3</v>
      </c>
      <c r="BV2104" t="s">
        <v>114</v>
      </c>
      <c r="BX2104" s="2" t="s">
        <v>16588</v>
      </c>
      <c r="BY2104" t="s">
        <v>16589</v>
      </c>
      <c r="CA2104" t="s">
        <v>1977</v>
      </c>
      <c r="CB2104" t="s">
        <v>386</v>
      </c>
      <c r="CC2104" s="8" t="str">
        <f>"37863"</f>
        <v>37863</v>
      </c>
      <c r="CD2104" t="s">
        <v>1985</v>
      </c>
      <c r="CE2104" t="s">
        <v>1986</v>
      </c>
      <c r="CF2104" s="12">
        <v>11.04</v>
      </c>
      <c r="CG2104" s="12">
        <v>11.04</v>
      </c>
      <c r="CH2104" s="12">
        <v>16.559999999999999</v>
      </c>
      <c r="CI2104" s="12">
        <v>16.559999999999999</v>
      </c>
      <c r="CJ2104" t="s">
        <v>135</v>
      </c>
      <c r="CK2104" t="s">
        <v>15971</v>
      </c>
      <c r="CL2104" t="s">
        <v>16590</v>
      </c>
      <c r="CO2104" t="s">
        <v>132</v>
      </c>
      <c r="CP2104" t="s">
        <v>136</v>
      </c>
      <c r="CQ2104" t="s">
        <v>136</v>
      </c>
      <c r="CR2104" t="s">
        <v>136</v>
      </c>
      <c r="CS2104" t="s">
        <v>114</v>
      </c>
      <c r="CT2104" t="s">
        <v>136</v>
      </c>
      <c r="CU2104" t="s">
        <v>136</v>
      </c>
      <c r="CV2104" t="s">
        <v>16591</v>
      </c>
      <c r="CW2104" s="10" t="str">
        <f>"N/A"</f>
        <v>N/A</v>
      </c>
      <c r="CX2104" t="s">
        <v>15974</v>
      </c>
      <c r="CY2104" t="s">
        <v>2911</v>
      </c>
      <c r="CZ2104" t="s">
        <v>137</v>
      </c>
      <c r="DA2104" t="s">
        <v>114</v>
      </c>
      <c r="DB2104" t="s">
        <v>114</v>
      </c>
      <c r="DC2104" t="s">
        <v>136</v>
      </c>
      <c r="DD2104" t="s">
        <v>114</v>
      </c>
    </row>
    <row r="2105" spans="1:113" ht="15" customHeight="1" x14ac:dyDescent="0.25">
      <c r="A2105" t="s">
        <v>13041</v>
      </c>
      <c r="B2105" t="s">
        <v>113</v>
      </c>
      <c r="C2105" s="1">
        <v>45110.839864004629</v>
      </c>
      <c r="D2105" s="1">
        <v>45211</v>
      </c>
      <c r="E2105" t="s">
        <v>114</v>
      </c>
      <c r="F2105" t="s">
        <v>8405</v>
      </c>
      <c r="G2105" t="str">
        <f>"49-3021.00"</f>
        <v>49-3021.00</v>
      </c>
      <c r="H2105" t="s">
        <v>8406</v>
      </c>
      <c r="I2105">
        <v>4</v>
      </c>
      <c r="K2105" s="1">
        <v>45200</v>
      </c>
      <c r="L2105" s="1">
        <v>45473</v>
      </c>
      <c r="O2105" t="s">
        <v>116</v>
      </c>
      <c r="P2105" t="s">
        <v>8407</v>
      </c>
      <c r="Q2105" t="s">
        <v>8408</v>
      </c>
      <c r="R2105" t="s">
        <v>8409</v>
      </c>
      <c r="T2105" t="s">
        <v>3255</v>
      </c>
      <c r="U2105" t="s">
        <v>127</v>
      </c>
      <c r="V2105" s="8" t="str">
        <f>"75067"</f>
        <v>75067</v>
      </c>
      <c r="W2105" t="s">
        <v>118</v>
      </c>
      <c r="Y2105" s="10">
        <v>14699489500</v>
      </c>
      <c r="AA2105">
        <v>8111</v>
      </c>
      <c r="AB2105" t="s">
        <v>7293</v>
      </c>
      <c r="AC2105" t="s">
        <v>2320</v>
      </c>
      <c r="AD2105" t="s">
        <v>2371</v>
      </c>
      <c r="AE2105" t="s">
        <v>8410</v>
      </c>
      <c r="AF2105" t="s">
        <v>8409</v>
      </c>
      <c r="AH2105" t="s">
        <v>3255</v>
      </c>
      <c r="AI2105" t="s">
        <v>127</v>
      </c>
      <c r="AJ2105" s="8" t="str">
        <f>"75067"</f>
        <v>75067</v>
      </c>
      <c r="AK2105" t="s">
        <v>118</v>
      </c>
      <c r="AM2105" s="10">
        <v>14699489500</v>
      </c>
      <c r="AO2105" t="s">
        <v>8411</v>
      </c>
      <c r="AP2105" t="s">
        <v>121</v>
      </c>
      <c r="AQ2105" t="s">
        <v>273</v>
      </c>
      <c r="AR2105" t="s">
        <v>8412</v>
      </c>
      <c r="AS2105" t="s">
        <v>3318</v>
      </c>
      <c r="AT2105" t="s">
        <v>8413</v>
      </c>
      <c r="AU2105" t="s">
        <v>8414</v>
      </c>
      <c r="AV2105" t="s">
        <v>5539</v>
      </c>
      <c r="AW2105" t="s">
        <v>6049</v>
      </c>
      <c r="AX2105" s="8" t="str">
        <f>"20004"</f>
        <v>20004</v>
      </c>
      <c r="AY2105" t="s">
        <v>118</v>
      </c>
      <c r="BA2105" s="10">
        <v>12026406684</v>
      </c>
      <c r="BC2105" t="s">
        <v>8415</v>
      </c>
      <c r="BD2105" t="s">
        <v>8416</v>
      </c>
      <c r="BE2105" t="s">
        <v>6049</v>
      </c>
      <c r="BF2105" t="s">
        <v>2118</v>
      </c>
      <c r="BG2105" t="s">
        <v>402</v>
      </c>
      <c r="BH2105" s="1">
        <v>45104.833333333336</v>
      </c>
      <c r="BI2105">
        <v>40</v>
      </c>
      <c r="BJ2105">
        <v>0</v>
      </c>
      <c r="BK2105">
        <v>8</v>
      </c>
      <c r="BL2105">
        <v>8</v>
      </c>
      <c r="BM2105">
        <v>8</v>
      </c>
      <c r="BN2105">
        <v>8</v>
      </c>
      <c r="BO2105">
        <v>8</v>
      </c>
      <c r="BP2105">
        <v>0</v>
      </c>
      <c r="BQ2105" t="str">
        <f>"7:30 AM"</f>
        <v>7:30 AM</v>
      </c>
      <c r="BR2105" t="str">
        <f>"5:30 PM"</f>
        <v>5:30 PM</v>
      </c>
      <c r="BS2105" t="s">
        <v>131</v>
      </c>
      <c r="BT2105">
        <v>0</v>
      </c>
      <c r="BU2105">
        <v>6</v>
      </c>
      <c r="BV2105" t="s">
        <v>114</v>
      </c>
      <c r="BX2105" s="2" t="s">
        <v>8417</v>
      </c>
      <c r="BY2105" t="s">
        <v>13042</v>
      </c>
      <c r="CA2105" t="s">
        <v>2967</v>
      </c>
      <c r="CB2105" t="s">
        <v>402</v>
      </c>
      <c r="CC2105" s="8" t="str">
        <f>"91767"</f>
        <v>91767</v>
      </c>
      <c r="CD2105" t="s">
        <v>2968</v>
      </c>
      <c r="CE2105" t="s">
        <v>2969</v>
      </c>
      <c r="CF2105" s="12">
        <v>25.77</v>
      </c>
      <c r="CH2105" s="12">
        <v>38.659999999999997</v>
      </c>
      <c r="CJ2105" t="s">
        <v>135</v>
      </c>
      <c r="CL2105" t="s">
        <v>13043</v>
      </c>
      <c r="CO2105" t="s">
        <v>132</v>
      </c>
      <c r="CP2105" t="s">
        <v>114</v>
      </c>
      <c r="CQ2105" t="s">
        <v>136</v>
      </c>
      <c r="CR2105" t="s">
        <v>136</v>
      </c>
      <c r="CS2105" t="s">
        <v>136</v>
      </c>
      <c r="CT2105" t="s">
        <v>136</v>
      </c>
      <c r="CU2105" t="s">
        <v>136</v>
      </c>
      <c r="CV2105" t="s">
        <v>8423</v>
      </c>
      <c r="CW2105" s="10" t="str">
        <f>"N/A"</f>
        <v>N/A</v>
      </c>
      <c r="CX2105" t="s">
        <v>8424</v>
      </c>
      <c r="CY2105" t="s">
        <v>8425</v>
      </c>
      <c r="CZ2105" t="s">
        <v>137</v>
      </c>
      <c r="DA2105" t="s">
        <v>114</v>
      </c>
      <c r="DB2105" t="s">
        <v>136</v>
      </c>
      <c r="DC2105" t="s">
        <v>136</v>
      </c>
      <c r="DD2105" t="s">
        <v>114</v>
      </c>
    </row>
    <row r="2106" spans="1:113" ht="15" customHeight="1" x14ac:dyDescent="0.25">
      <c r="A2106" t="s">
        <v>14125</v>
      </c>
      <c r="B2106" t="s">
        <v>113</v>
      </c>
      <c r="C2106" s="1">
        <v>45110.794641550929</v>
      </c>
      <c r="D2106" s="1">
        <v>45211</v>
      </c>
      <c r="E2106" t="s">
        <v>114</v>
      </c>
      <c r="F2106" t="s">
        <v>8405</v>
      </c>
      <c r="G2106" t="str">
        <f>"49-3021.00"</f>
        <v>49-3021.00</v>
      </c>
      <c r="H2106" t="s">
        <v>8406</v>
      </c>
      <c r="I2106">
        <v>1</v>
      </c>
      <c r="K2106" s="1">
        <v>45200</v>
      </c>
      <c r="L2106" s="1">
        <v>45473</v>
      </c>
      <c r="O2106" t="s">
        <v>116</v>
      </c>
      <c r="P2106" t="s">
        <v>8407</v>
      </c>
      <c r="Q2106" t="s">
        <v>8408</v>
      </c>
      <c r="R2106" t="s">
        <v>8409</v>
      </c>
      <c r="T2106" t="s">
        <v>3255</v>
      </c>
      <c r="U2106" t="s">
        <v>127</v>
      </c>
      <c r="V2106" s="8" t="str">
        <f>"75067"</f>
        <v>75067</v>
      </c>
      <c r="W2106" t="s">
        <v>118</v>
      </c>
      <c r="Y2106" s="10">
        <v>14699489500</v>
      </c>
      <c r="AA2106">
        <v>8111</v>
      </c>
      <c r="AB2106" t="s">
        <v>7293</v>
      </c>
      <c r="AC2106" t="s">
        <v>2320</v>
      </c>
      <c r="AD2106" t="s">
        <v>2371</v>
      </c>
      <c r="AE2106" t="s">
        <v>8410</v>
      </c>
      <c r="AF2106" t="s">
        <v>8409</v>
      </c>
      <c r="AH2106" t="s">
        <v>3255</v>
      </c>
      <c r="AI2106" t="s">
        <v>127</v>
      </c>
      <c r="AJ2106" s="8" t="str">
        <f>"75067"</f>
        <v>75067</v>
      </c>
      <c r="AK2106" t="s">
        <v>118</v>
      </c>
      <c r="AM2106" s="10">
        <v>14699489500</v>
      </c>
      <c r="AO2106" t="s">
        <v>8411</v>
      </c>
      <c r="AP2106" t="s">
        <v>121</v>
      </c>
      <c r="AQ2106" t="s">
        <v>273</v>
      </c>
      <c r="AR2106" t="s">
        <v>8412</v>
      </c>
      <c r="AS2106" t="s">
        <v>3318</v>
      </c>
      <c r="AT2106" t="s">
        <v>8413</v>
      </c>
      <c r="AU2106" t="s">
        <v>8414</v>
      </c>
      <c r="AV2106" t="s">
        <v>5539</v>
      </c>
      <c r="AW2106" t="s">
        <v>6049</v>
      </c>
      <c r="AX2106" s="8" t="str">
        <f>"20004"</f>
        <v>20004</v>
      </c>
      <c r="AY2106" t="s">
        <v>118</v>
      </c>
      <c r="BA2106" s="10">
        <v>12026406684</v>
      </c>
      <c r="BC2106" t="s">
        <v>8415</v>
      </c>
      <c r="BD2106" t="s">
        <v>8416</v>
      </c>
      <c r="BE2106" t="s">
        <v>6049</v>
      </c>
      <c r="BF2106" t="s">
        <v>2118</v>
      </c>
      <c r="BG2106" t="s">
        <v>402</v>
      </c>
      <c r="BH2106" s="1">
        <v>45104.833333333336</v>
      </c>
      <c r="BI2106">
        <v>40</v>
      </c>
      <c r="BJ2106">
        <v>0</v>
      </c>
      <c r="BK2106">
        <v>8</v>
      </c>
      <c r="BL2106">
        <v>8</v>
      </c>
      <c r="BM2106">
        <v>8</v>
      </c>
      <c r="BN2106">
        <v>8</v>
      </c>
      <c r="BO2106">
        <v>8</v>
      </c>
      <c r="BP2106">
        <v>0</v>
      </c>
      <c r="BQ2106" t="str">
        <f>"7:30 AM"</f>
        <v>7:30 AM</v>
      </c>
      <c r="BR2106" t="str">
        <f>"5:30 AM"</f>
        <v>5:30 AM</v>
      </c>
      <c r="BS2106" t="s">
        <v>131</v>
      </c>
      <c r="BT2106">
        <v>0</v>
      </c>
      <c r="BU2106">
        <v>6</v>
      </c>
      <c r="BV2106" t="s">
        <v>114</v>
      </c>
      <c r="BX2106" s="2" t="s">
        <v>8417</v>
      </c>
      <c r="BY2106" t="s">
        <v>14126</v>
      </c>
      <c r="CA2106" t="s">
        <v>14127</v>
      </c>
      <c r="CB2106" t="s">
        <v>402</v>
      </c>
      <c r="CC2106" s="8" t="str">
        <f>"92807"</f>
        <v>92807</v>
      </c>
      <c r="CD2106" t="s">
        <v>2274</v>
      </c>
      <c r="CE2106" t="s">
        <v>2969</v>
      </c>
      <c r="CF2106" s="12">
        <v>25.77</v>
      </c>
      <c r="CH2106" s="12">
        <v>38.659999999999997</v>
      </c>
      <c r="CJ2106" t="s">
        <v>135</v>
      </c>
      <c r="CL2106" t="s">
        <v>14128</v>
      </c>
      <c r="CO2106" t="s">
        <v>132</v>
      </c>
      <c r="CP2106" t="s">
        <v>114</v>
      </c>
      <c r="CQ2106" t="s">
        <v>136</v>
      </c>
      <c r="CR2106" t="s">
        <v>136</v>
      </c>
      <c r="CS2106" t="s">
        <v>136</v>
      </c>
      <c r="CT2106" t="s">
        <v>136</v>
      </c>
      <c r="CU2106" t="s">
        <v>136</v>
      </c>
      <c r="CV2106" t="s">
        <v>8423</v>
      </c>
      <c r="CW2106" s="10" t="str">
        <f>"N/A"</f>
        <v>N/A</v>
      </c>
      <c r="CX2106" t="s">
        <v>8424</v>
      </c>
      <c r="CY2106" t="s">
        <v>8425</v>
      </c>
      <c r="CZ2106" t="s">
        <v>137</v>
      </c>
      <c r="DA2106" t="s">
        <v>114</v>
      </c>
      <c r="DB2106" t="s">
        <v>136</v>
      </c>
      <c r="DC2106" t="s">
        <v>136</v>
      </c>
      <c r="DD2106" t="s">
        <v>114</v>
      </c>
    </row>
    <row r="2107" spans="1:113" ht="15" customHeight="1" x14ac:dyDescent="0.25">
      <c r="A2107" t="s">
        <v>21963</v>
      </c>
      <c r="B2107" t="s">
        <v>113</v>
      </c>
      <c r="C2107" s="1">
        <v>45110.76459363426</v>
      </c>
      <c r="D2107" s="1">
        <v>45211</v>
      </c>
      <c r="E2107" t="s">
        <v>114</v>
      </c>
      <c r="F2107" t="s">
        <v>8405</v>
      </c>
      <c r="G2107" t="str">
        <f>"49-3021.00"</f>
        <v>49-3021.00</v>
      </c>
      <c r="H2107" t="s">
        <v>8406</v>
      </c>
      <c r="I2107">
        <v>2</v>
      </c>
      <c r="K2107" s="1">
        <v>45200</v>
      </c>
      <c r="L2107" s="1">
        <v>45473</v>
      </c>
      <c r="O2107" t="s">
        <v>116</v>
      </c>
      <c r="P2107" t="s">
        <v>8407</v>
      </c>
      <c r="Q2107" t="s">
        <v>8408</v>
      </c>
      <c r="R2107" t="s">
        <v>8409</v>
      </c>
      <c r="T2107" t="s">
        <v>3255</v>
      </c>
      <c r="U2107" t="s">
        <v>127</v>
      </c>
      <c r="V2107" s="8" t="str">
        <f>"75067"</f>
        <v>75067</v>
      </c>
      <c r="W2107" t="s">
        <v>118</v>
      </c>
      <c r="Y2107" s="10">
        <v>14699489500</v>
      </c>
      <c r="AA2107">
        <v>8111</v>
      </c>
      <c r="AB2107" t="s">
        <v>7293</v>
      </c>
      <c r="AC2107" t="s">
        <v>2320</v>
      </c>
      <c r="AD2107" t="s">
        <v>2371</v>
      </c>
      <c r="AE2107" t="s">
        <v>8410</v>
      </c>
      <c r="AF2107" t="s">
        <v>8409</v>
      </c>
      <c r="AH2107" t="s">
        <v>3255</v>
      </c>
      <c r="AI2107" t="s">
        <v>127</v>
      </c>
      <c r="AJ2107" s="8" t="str">
        <f>"75067"</f>
        <v>75067</v>
      </c>
      <c r="AK2107" t="s">
        <v>118</v>
      </c>
      <c r="AM2107" s="10">
        <v>14699489500</v>
      </c>
      <c r="AO2107" t="s">
        <v>8411</v>
      </c>
      <c r="AP2107" t="s">
        <v>121</v>
      </c>
      <c r="AQ2107" t="s">
        <v>273</v>
      </c>
      <c r="AR2107" t="s">
        <v>8412</v>
      </c>
      <c r="AS2107" t="s">
        <v>3318</v>
      </c>
      <c r="AT2107" t="s">
        <v>8413</v>
      </c>
      <c r="AU2107" t="s">
        <v>8414</v>
      </c>
      <c r="AV2107" t="s">
        <v>10050</v>
      </c>
      <c r="AW2107" t="s">
        <v>6049</v>
      </c>
      <c r="AX2107" s="8" t="str">
        <f>"20004"</f>
        <v>20004</v>
      </c>
      <c r="AY2107" t="s">
        <v>118</v>
      </c>
      <c r="BA2107" s="10">
        <v>12026406684</v>
      </c>
      <c r="BC2107" t="s">
        <v>8415</v>
      </c>
      <c r="BD2107" t="s">
        <v>8416</v>
      </c>
      <c r="BE2107" t="s">
        <v>6049</v>
      </c>
      <c r="BF2107" t="s">
        <v>2118</v>
      </c>
      <c r="BG2107" t="s">
        <v>402</v>
      </c>
      <c r="BH2107" s="1">
        <v>45104.833333333336</v>
      </c>
      <c r="BI2107">
        <v>40</v>
      </c>
      <c r="BJ2107">
        <v>0</v>
      </c>
      <c r="BK2107">
        <v>8</v>
      </c>
      <c r="BL2107">
        <v>8</v>
      </c>
      <c r="BM2107">
        <v>8</v>
      </c>
      <c r="BN2107">
        <v>8</v>
      </c>
      <c r="BO2107">
        <v>8</v>
      </c>
      <c r="BP2107">
        <v>0</v>
      </c>
      <c r="BQ2107" t="str">
        <f>"7:30 AM"</f>
        <v>7:30 AM</v>
      </c>
      <c r="BR2107" t="str">
        <f>"5:30 PM"</f>
        <v>5:30 PM</v>
      </c>
      <c r="BS2107" t="s">
        <v>131</v>
      </c>
      <c r="BT2107">
        <v>0</v>
      </c>
      <c r="BU2107">
        <v>6</v>
      </c>
      <c r="BV2107" t="s">
        <v>114</v>
      </c>
      <c r="BX2107" s="2" t="s">
        <v>8417</v>
      </c>
      <c r="BY2107" t="s">
        <v>21964</v>
      </c>
      <c r="CA2107" t="s">
        <v>21965</v>
      </c>
      <c r="CB2107" t="s">
        <v>402</v>
      </c>
      <c r="CC2107" s="8" t="str">
        <f>"91303"</f>
        <v>91303</v>
      </c>
      <c r="CD2107" t="s">
        <v>2968</v>
      </c>
      <c r="CE2107" t="s">
        <v>2969</v>
      </c>
      <c r="CF2107" s="12">
        <v>25.77</v>
      </c>
      <c r="CH2107" s="12">
        <v>38.659999999999997</v>
      </c>
      <c r="CJ2107" t="s">
        <v>135</v>
      </c>
      <c r="CL2107" t="s">
        <v>21966</v>
      </c>
      <c r="CO2107" t="s">
        <v>132</v>
      </c>
      <c r="CP2107" t="s">
        <v>114</v>
      </c>
      <c r="CQ2107" t="s">
        <v>136</v>
      </c>
      <c r="CR2107" t="s">
        <v>136</v>
      </c>
      <c r="CS2107" t="s">
        <v>136</v>
      </c>
      <c r="CT2107" t="s">
        <v>136</v>
      </c>
      <c r="CU2107" t="s">
        <v>136</v>
      </c>
      <c r="CV2107" s="2" t="s">
        <v>19386</v>
      </c>
      <c r="CW2107" s="10" t="str">
        <f>"N/A"</f>
        <v>N/A</v>
      </c>
      <c r="CX2107" t="s">
        <v>8424</v>
      </c>
      <c r="CY2107" t="s">
        <v>8425</v>
      </c>
      <c r="CZ2107" t="s">
        <v>137</v>
      </c>
      <c r="DA2107" t="s">
        <v>114</v>
      </c>
      <c r="DB2107" t="s">
        <v>136</v>
      </c>
      <c r="DC2107" t="s">
        <v>136</v>
      </c>
      <c r="DD2107" t="s">
        <v>114</v>
      </c>
    </row>
    <row r="2108" spans="1:113" ht="15" customHeight="1" x14ac:dyDescent="0.25">
      <c r="A2108" t="s">
        <v>8709</v>
      </c>
      <c r="B2108" t="s">
        <v>113</v>
      </c>
      <c r="C2108" s="1">
        <v>45110.682806018522</v>
      </c>
      <c r="D2108" s="1">
        <v>45211</v>
      </c>
      <c r="E2108" t="s">
        <v>114</v>
      </c>
      <c r="F2108" t="s">
        <v>293</v>
      </c>
      <c r="G2108" t="str">
        <f>"37-2012.00"</f>
        <v>37-2012.00</v>
      </c>
      <c r="H2108" t="s">
        <v>205</v>
      </c>
      <c r="I2108">
        <v>3</v>
      </c>
      <c r="K2108" s="1">
        <v>45200</v>
      </c>
      <c r="L2108" s="1">
        <v>45412</v>
      </c>
      <c r="O2108" t="s">
        <v>116</v>
      </c>
      <c r="P2108" t="s">
        <v>8710</v>
      </c>
      <c r="Q2108" t="s">
        <v>8711</v>
      </c>
      <c r="R2108" t="s">
        <v>8712</v>
      </c>
      <c r="T2108" t="s">
        <v>8713</v>
      </c>
      <c r="U2108" t="s">
        <v>402</v>
      </c>
      <c r="V2108" s="8" t="str">
        <f>"91942"</f>
        <v>91942</v>
      </c>
      <c r="W2108" t="s">
        <v>118</v>
      </c>
      <c r="Y2108" s="10">
        <v>16196676110</v>
      </c>
      <c r="AA2108">
        <v>62322</v>
      </c>
      <c r="AB2108" t="s">
        <v>8714</v>
      </c>
      <c r="AC2108" t="s">
        <v>4967</v>
      </c>
      <c r="AE2108" t="s">
        <v>1104</v>
      </c>
      <c r="AF2108" t="s">
        <v>8712</v>
      </c>
      <c r="AH2108" t="s">
        <v>8713</v>
      </c>
      <c r="AI2108" t="s">
        <v>402</v>
      </c>
      <c r="AJ2108" s="8" t="str">
        <f>"91942"</f>
        <v>91942</v>
      </c>
      <c r="AK2108" t="s">
        <v>118</v>
      </c>
      <c r="AM2108" s="10">
        <v>16196676110</v>
      </c>
      <c r="AO2108" t="s">
        <v>8715</v>
      </c>
      <c r="AP2108" t="s">
        <v>121</v>
      </c>
      <c r="AQ2108" t="s">
        <v>8716</v>
      </c>
      <c r="AR2108" t="s">
        <v>1963</v>
      </c>
      <c r="AS2108" t="s">
        <v>8717</v>
      </c>
      <c r="AT2108" t="s">
        <v>8718</v>
      </c>
      <c r="AV2108" t="s">
        <v>8719</v>
      </c>
      <c r="AW2108" t="s">
        <v>479</v>
      </c>
      <c r="AX2108" s="8" t="str">
        <f>"97035"</f>
        <v>97035</v>
      </c>
      <c r="AY2108" t="s">
        <v>118</v>
      </c>
      <c r="BA2108" s="10">
        <v>15032102249</v>
      </c>
      <c r="BC2108" t="s">
        <v>8720</v>
      </c>
      <c r="BD2108" t="s">
        <v>8721</v>
      </c>
      <c r="BE2108" t="s">
        <v>479</v>
      </c>
      <c r="BF2108" t="s">
        <v>8722</v>
      </c>
      <c r="BG2108" t="s">
        <v>402</v>
      </c>
      <c r="BH2108" s="1">
        <v>45109.833333333336</v>
      </c>
      <c r="BI2108">
        <v>40</v>
      </c>
      <c r="BJ2108">
        <v>8</v>
      </c>
      <c r="BK2108">
        <v>8</v>
      </c>
      <c r="BL2108">
        <v>0</v>
      </c>
      <c r="BM2108">
        <v>0</v>
      </c>
      <c r="BN2108">
        <v>8</v>
      </c>
      <c r="BO2108">
        <v>8</v>
      </c>
      <c r="BP2108">
        <v>8</v>
      </c>
      <c r="BQ2108" t="str">
        <f>"3:00 PM"</f>
        <v>3:00 PM</v>
      </c>
      <c r="BR2108" t="str">
        <f>"11:00 PM"</f>
        <v>11:00 PM</v>
      </c>
      <c r="BS2108" t="s">
        <v>147</v>
      </c>
      <c r="BT2108">
        <v>0</v>
      </c>
      <c r="BU2108">
        <v>0</v>
      </c>
      <c r="BV2108" t="s">
        <v>114</v>
      </c>
      <c r="BX2108" s="2" t="s">
        <v>8723</v>
      </c>
      <c r="BY2108" t="s">
        <v>8712</v>
      </c>
      <c r="CA2108" t="s">
        <v>8713</v>
      </c>
      <c r="CB2108" t="s">
        <v>402</v>
      </c>
      <c r="CC2108" s="8" t="str">
        <f>"91942"</f>
        <v>91942</v>
      </c>
      <c r="CD2108" t="s">
        <v>2435</v>
      </c>
      <c r="CE2108" t="s">
        <v>2436</v>
      </c>
      <c r="CF2108" s="12">
        <v>16.559999999999999</v>
      </c>
      <c r="CJ2108" t="s">
        <v>135</v>
      </c>
      <c r="CL2108" t="s">
        <v>8724</v>
      </c>
      <c r="CO2108" t="s">
        <v>132</v>
      </c>
      <c r="CP2108" t="s">
        <v>114</v>
      </c>
      <c r="CQ2108" t="s">
        <v>114</v>
      </c>
      <c r="CR2108" t="s">
        <v>114</v>
      </c>
      <c r="CS2108" t="s">
        <v>114</v>
      </c>
      <c r="CT2108" t="s">
        <v>136</v>
      </c>
      <c r="CU2108" t="s">
        <v>136</v>
      </c>
      <c r="CV2108" t="s">
        <v>8725</v>
      </c>
      <c r="CW2108" s="10" t="str">
        <f>"+16196676110"</f>
        <v>+16196676110</v>
      </c>
      <c r="CX2108" t="s">
        <v>8715</v>
      </c>
      <c r="CY2108" t="s">
        <v>132</v>
      </c>
      <c r="CZ2108" t="s">
        <v>137</v>
      </c>
      <c r="DA2108" t="s">
        <v>114</v>
      </c>
      <c r="DB2108" t="s">
        <v>136</v>
      </c>
      <c r="DC2108" t="s">
        <v>136</v>
      </c>
      <c r="DD2108" t="s">
        <v>114</v>
      </c>
    </row>
    <row r="2109" spans="1:113" ht="15" customHeight="1" x14ac:dyDescent="0.25">
      <c r="A2109" t="s">
        <v>14406</v>
      </c>
      <c r="B2109" t="s">
        <v>113</v>
      </c>
      <c r="C2109" s="1">
        <v>45110.650995370372</v>
      </c>
      <c r="D2109" s="1">
        <v>45211</v>
      </c>
      <c r="E2109" t="s">
        <v>114</v>
      </c>
      <c r="F2109" t="s">
        <v>14407</v>
      </c>
      <c r="G2109" t="str">
        <f>"41-2021.00"</f>
        <v>41-2021.00</v>
      </c>
      <c r="H2109" t="s">
        <v>12504</v>
      </c>
      <c r="I2109">
        <v>2</v>
      </c>
      <c r="K2109" s="1">
        <v>45200</v>
      </c>
      <c r="L2109" s="1">
        <v>45412</v>
      </c>
      <c r="O2109" t="s">
        <v>116</v>
      </c>
      <c r="P2109" t="s">
        <v>14408</v>
      </c>
      <c r="R2109" t="s">
        <v>14409</v>
      </c>
      <c r="T2109" t="s">
        <v>14410</v>
      </c>
      <c r="U2109" t="s">
        <v>188</v>
      </c>
      <c r="V2109" s="8" t="str">
        <f>"80443"</f>
        <v>80443</v>
      </c>
      <c r="W2109" t="s">
        <v>118</v>
      </c>
      <c r="Y2109" s="10">
        <v>19704558176</v>
      </c>
      <c r="AA2109">
        <v>532284</v>
      </c>
      <c r="AB2109" t="s">
        <v>1893</v>
      </c>
      <c r="AC2109" t="s">
        <v>14411</v>
      </c>
      <c r="AE2109" t="s">
        <v>561</v>
      </c>
      <c r="AF2109" t="s">
        <v>14409</v>
      </c>
      <c r="AH2109" t="s">
        <v>14412</v>
      </c>
      <c r="AI2109" t="s">
        <v>188</v>
      </c>
      <c r="AJ2109" s="8" t="str">
        <f>"80443"</f>
        <v>80443</v>
      </c>
      <c r="AK2109" t="s">
        <v>118</v>
      </c>
      <c r="AM2109" s="10">
        <v>19704558176</v>
      </c>
      <c r="AO2109" t="s">
        <v>14413</v>
      </c>
      <c r="AP2109" t="s">
        <v>121</v>
      </c>
      <c r="AQ2109" t="s">
        <v>14414</v>
      </c>
      <c r="AR2109" t="s">
        <v>2596</v>
      </c>
      <c r="AT2109" t="s">
        <v>14415</v>
      </c>
      <c r="AU2109" t="s">
        <v>14416</v>
      </c>
      <c r="AV2109" t="s">
        <v>1084</v>
      </c>
      <c r="AW2109" t="s">
        <v>188</v>
      </c>
      <c r="AX2109" s="8" t="str">
        <f>"81657"</f>
        <v>81657</v>
      </c>
      <c r="AY2109" t="s">
        <v>118</v>
      </c>
      <c r="BA2109" s="10">
        <v>19704454888</v>
      </c>
      <c r="BC2109" t="s">
        <v>14417</v>
      </c>
      <c r="BD2109" t="s">
        <v>14418</v>
      </c>
      <c r="BE2109" t="s">
        <v>188</v>
      </c>
      <c r="BF2109" t="s">
        <v>172</v>
      </c>
      <c r="BG2109" t="s">
        <v>188</v>
      </c>
      <c r="BH2109" s="1">
        <v>45108.833333333336</v>
      </c>
      <c r="BI2109">
        <v>40</v>
      </c>
      <c r="BJ2109">
        <v>8</v>
      </c>
      <c r="BK2109">
        <v>8</v>
      </c>
      <c r="BL2109">
        <v>8</v>
      </c>
      <c r="BM2109">
        <v>0</v>
      </c>
      <c r="BN2109">
        <v>0</v>
      </c>
      <c r="BO2109">
        <v>8</v>
      </c>
      <c r="BP2109">
        <v>8</v>
      </c>
      <c r="BQ2109" t="str">
        <f>"7:30 AM"</f>
        <v>7:30 AM</v>
      </c>
      <c r="BR2109" t="str">
        <f>"5:30 PM"</f>
        <v>5:30 PM</v>
      </c>
      <c r="BS2109" t="s">
        <v>131</v>
      </c>
      <c r="BT2109">
        <v>0</v>
      </c>
      <c r="BU2109">
        <v>0</v>
      </c>
      <c r="BV2109" t="s">
        <v>114</v>
      </c>
      <c r="BX2109" t="s">
        <v>132</v>
      </c>
      <c r="BY2109" t="s">
        <v>14419</v>
      </c>
      <c r="BZ2109" t="s">
        <v>14420</v>
      </c>
      <c r="CA2109" t="s">
        <v>14421</v>
      </c>
      <c r="CB2109" t="s">
        <v>188</v>
      </c>
      <c r="CC2109" s="8" t="str">
        <f>"80424"</f>
        <v>80424</v>
      </c>
      <c r="CD2109" t="s">
        <v>228</v>
      </c>
      <c r="CE2109" t="s">
        <v>1038</v>
      </c>
      <c r="CF2109" s="12">
        <v>18.84</v>
      </c>
      <c r="CG2109" s="12">
        <v>18.84</v>
      </c>
      <c r="CH2109" s="12">
        <v>28.26</v>
      </c>
      <c r="CI2109" s="12">
        <v>28.26</v>
      </c>
      <c r="CJ2109" t="s">
        <v>135</v>
      </c>
      <c r="CL2109" t="s">
        <v>14422</v>
      </c>
      <c r="CO2109" t="s">
        <v>132</v>
      </c>
      <c r="CP2109" t="s">
        <v>114</v>
      </c>
      <c r="CQ2109" t="s">
        <v>136</v>
      </c>
      <c r="CR2109" t="s">
        <v>136</v>
      </c>
      <c r="CS2109" t="s">
        <v>114</v>
      </c>
      <c r="CT2109" t="s">
        <v>136</v>
      </c>
      <c r="CU2109" t="s">
        <v>136</v>
      </c>
      <c r="CV2109" s="2" t="s">
        <v>14423</v>
      </c>
      <c r="CW2109" s="10" t="str">
        <f>"+19704558176"</f>
        <v>+19704558176</v>
      </c>
      <c r="CX2109" t="s">
        <v>14413</v>
      </c>
      <c r="CY2109" t="s">
        <v>132</v>
      </c>
      <c r="CZ2109" t="s">
        <v>137</v>
      </c>
      <c r="DA2109" t="s">
        <v>114</v>
      </c>
      <c r="DB2109" t="s">
        <v>114</v>
      </c>
      <c r="DC2109" t="s">
        <v>136</v>
      </c>
      <c r="DD2109" t="s">
        <v>114</v>
      </c>
    </row>
    <row r="2110" spans="1:113" ht="15" customHeight="1" x14ac:dyDescent="0.25">
      <c r="A2110" t="s">
        <v>23617</v>
      </c>
      <c r="B2110" t="s">
        <v>113</v>
      </c>
      <c r="C2110" s="1">
        <v>45110.497908796293</v>
      </c>
      <c r="D2110" s="1">
        <v>45211</v>
      </c>
      <c r="E2110" t="s">
        <v>114</v>
      </c>
      <c r="F2110" t="s">
        <v>7731</v>
      </c>
      <c r="G2110" t="str">
        <f>"51-9198.00"</f>
        <v>51-9198.00</v>
      </c>
      <c r="H2110" t="s">
        <v>1892</v>
      </c>
      <c r="I2110">
        <v>8</v>
      </c>
      <c r="K2110" s="1">
        <v>45200</v>
      </c>
      <c r="L2110" s="1">
        <v>45244</v>
      </c>
      <c r="O2110" t="s">
        <v>116</v>
      </c>
      <c r="P2110" t="s">
        <v>12481</v>
      </c>
      <c r="R2110" t="s">
        <v>12482</v>
      </c>
      <c r="T2110" t="s">
        <v>12483</v>
      </c>
      <c r="U2110" t="s">
        <v>2608</v>
      </c>
      <c r="V2110" s="8" t="str">
        <f>"74562"</f>
        <v>74562</v>
      </c>
      <c r="W2110" t="s">
        <v>118</v>
      </c>
      <c r="Y2110" s="10">
        <v>15805872432</v>
      </c>
      <c r="AA2110">
        <v>336212</v>
      </c>
      <c r="AB2110" t="s">
        <v>12484</v>
      </c>
      <c r="AC2110" t="s">
        <v>7298</v>
      </c>
      <c r="AE2110" t="s">
        <v>629</v>
      </c>
      <c r="AF2110" t="s">
        <v>12482</v>
      </c>
      <c r="AH2110" t="s">
        <v>12483</v>
      </c>
      <c r="AI2110" t="s">
        <v>2608</v>
      </c>
      <c r="AJ2110" s="8" t="str">
        <f>"74562"</f>
        <v>74562</v>
      </c>
      <c r="AK2110" t="s">
        <v>118</v>
      </c>
      <c r="AM2110" s="10">
        <v>15805872432</v>
      </c>
      <c r="AO2110" t="s">
        <v>12485</v>
      </c>
      <c r="AP2110" t="s">
        <v>248</v>
      </c>
      <c r="AQ2110" t="s">
        <v>3017</v>
      </c>
      <c r="AR2110" t="s">
        <v>3018</v>
      </c>
      <c r="AT2110" t="s">
        <v>3019</v>
      </c>
      <c r="AV2110" t="s">
        <v>1168</v>
      </c>
      <c r="AW2110" t="s">
        <v>127</v>
      </c>
      <c r="AX2110" s="8" t="str">
        <f>"75098"</f>
        <v>75098</v>
      </c>
      <c r="AY2110" t="s">
        <v>118</v>
      </c>
      <c r="BA2110" s="10">
        <v>19724424244</v>
      </c>
      <c r="BC2110" t="s">
        <v>3020</v>
      </c>
      <c r="BD2110" t="s">
        <v>3021</v>
      </c>
      <c r="BG2110" t="s">
        <v>2608</v>
      </c>
      <c r="BH2110" s="1">
        <v>45109.833333333336</v>
      </c>
      <c r="BI2110">
        <v>40</v>
      </c>
      <c r="BJ2110">
        <v>0</v>
      </c>
      <c r="BK2110">
        <v>8</v>
      </c>
      <c r="BL2110">
        <v>8</v>
      </c>
      <c r="BM2110">
        <v>8</v>
      </c>
      <c r="BN2110">
        <v>8</v>
      </c>
      <c r="BO2110">
        <v>8</v>
      </c>
      <c r="BP2110">
        <v>0</v>
      </c>
      <c r="BQ2110" t="str">
        <f>"6:00 AM"</f>
        <v>6:00 AM</v>
      </c>
      <c r="BR2110" t="str">
        <f>"4:00 PM"</f>
        <v>4:00 PM</v>
      </c>
      <c r="BS2110" t="s">
        <v>131</v>
      </c>
      <c r="BT2110">
        <v>0</v>
      </c>
      <c r="BU2110">
        <v>0</v>
      </c>
      <c r="BV2110" t="s">
        <v>114</v>
      </c>
      <c r="BX2110" t="s">
        <v>1480</v>
      </c>
      <c r="BY2110" t="s">
        <v>12482</v>
      </c>
      <c r="CA2110" t="s">
        <v>12483</v>
      </c>
      <c r="CB2110" t="s">
        <v>2608</v>
      </c>
      <c r="CC2110" s="8" t="str">
        <f>"74562"</f>
        <v>74562</v>
      </c>
      <c r="CD2110" t="s">
        <v>12486</v>
      </c>
      <c r="CE2110" t="s">
        <v>6608</v>
      </c>
      <c r="CF2110" s="12">
        <v>15.29</v>
      </c>
      <c r="CG2110" s="12">
        <v>18</v>
      </c>
      <c r="CH2110" s="12">
        <v>22.94</v>
      </c>
      <c r="CI2110" s="12">
        <v>27</v>
      </c>
      <c r="CJ2110" t="s">
        <v>135</v>
      </c>
      <c r="CL2110" t="s">
        <v>23618</v>
      </c>
      <c r="CO2110" t="s">
        <v>132</v>
      </c>
      <c r="CP2110" t="s">
        <v>114</v>
      </c>
      <c r="CQ2110" t="s">
        <v>136</v>
      </c>
      <c r="CR2110" t="s">
        <v>136</v>
      </c>
      <c r="CS2110" t="s">
        <v>136</v>
      </c>
      <c r="CT2110" t="s">
        <v>136</v>
      </c>
      <c r="CU2110" t="s">
        <v>136</v>
      </c>
      <c r="CV2110" t="s">
        <v>23619</v>
      </c>
      <c r="CW2110" s="10" t="str">
        <f>"+15805872432"</f>
        <v>+15805872432</v>
      </c>
      <c r="CX2110" t="s">
        <v>132</v>
      </c>
      <c r="CY2110" t="s">
        <v>9448</v>
      </c>
      <c r="CZ2110" t="s">
        <v>137</v>
      </c>
      <c r="DA2110" t="s">
        <v>114</v>
      </c>
      <c r="DB2110" t="s">
        <v>114</v>
      </c>
      <c r="DC2110" t="s">
        <v>136</v>
      </c>
      <c r="DD2110" t="s">
        <v>114</v>
      </c>
    </row>
    <row r="2111" spans="1:113" ht="15" customHeight="1" x14ac:dyDescent="0.25">
      <c r="A2111" t="s">
        <v>8799</v>
      </c>
      <c r="B2111" t="s">
        <v>113</v>
      </c>
      <c r="C2111" s="1">
        <v>45110.460719444447</v>
      </c>
      <c r="D2111" s="1">
        <v>45211</v>
      </c>
      <c r="E2111" t="s">
        <v>114</v>
      </c>
      <c r="F2111" t="s">
        <v>8800</v>
      </c>
      <c r="G2111" t="str">
        <f>"35-2014.00"</f>
        <v>35-2014.00</v>
      </c>
      <c r="H2111" t="s">
        <v>154</v>
      </c>
      <c r="I2111">
        <v>1</v>
      </c>
      <c r="K2111" s="1">
        <v>45200</v>
      </c>
      <c r="L2111" s="1">
        <v>45382</v>
      </c>
      <c r="O2111" t="s">
        <v>116</v>
      </c>
      <c r="P2111" t="s">
        <v>8801</v>
      </c>
      <c r="Q2111" t="s">
        <v>8802</v>
      </c>
      <c r="R2111" t="s">
        <v>8803</v>
      </c>
      <c r="T2111" t="s">
        <v>8804</v>
      </c>
      <c r="U2111" t="s">
        <v>1776</v>
      </c>
      <c r="V2111" s="8" t="str">
        <f>"07647"</f>
        <v>07647</v>
      </c>
      <c r="W2111" t="s">
        <v>118</v>
      </c>
      <c r="Y2111" s="10">
        <v>15512655629</v>
      </c>
      <c r="AA2111">
        <v>722511</v>
      </c>
      <c r="AB2111" t="s">
        <v>8805</v>
      </c>
      <c r="AC2111" t="s">
        <v>821</v>
      </c>
      <c r="AE2111" t="s">
        <v>561</v>
      </c>
      <c r="AF2111" t="s">
        <v>8803</v>
      </c>
      <c r="AH2111" t="s">
        <v>8804</v>
      </c>
      <c r="AI2111" t="s">
        <v>1776</v>
      </c>
      <c r="AJ2111" s="8" t="str">
        <f>"07647"</f>
        <v>07647</v>
      </c>
      <c r="AK2111" t="s">
        <v>118</v>
      </c>
      <c r="AM2111" s="10">
        <v>15512655629</v>
      </c>
      <c r="AO2111" t="s">
        <v>8806</v>
      </c>
      <c r="AP2111" t="s">
        <v>121</v>
      </c>
      <c r="AQ2111" t="s">
        <v>8807</v>
      </c>
      <c r="AR2111" t="s">
        <v>2263</v>
      </c>
      <c r="AT2111" t="s">
        <v>2264</v>
      </c>
      <c r="AV2111" t="s">
        <v>2265</v>
      </c>
      <c r="AW2111" t="s">
        <v>1776</v>
      </c>
      <c r="AX2111" s="8" t="str">
        <f>"07030"</f>
        <v>07030</v>
      </c>
      <c r="AY2111" t="s">
        <v>118</v>
      </c>
      <c r="BA2111" s="10">
        <v>12018610500</v>
      </c>
      <c r="BC2111" t="s">
        <v>2266</v>
      </c>
      <c r="BD2111" t="s">
        <v>8808</v>
      </c>
      <c r="BE2111" t="s">
        <v>1776</v>
      </c>
      <c r="BF2111" t="s">
        <v>8809</v>
      </c>
      <c r="BG2111" t="s">
        <v>1776</v>
      </c>
      <c r="BH2111" s="1">
        <v>45102.833333333336</v>
      </c>
      <c r="BI2111">
        <v>36</v>
      </c>
      <c r="BJ2111">
        <v>6</v>
      </c>
      <c r="BK2111">
        <v>0</v>
      </c>
      <c r="BL2111">
        <v>6</v>
      </c>
      <c r="BM2111">
        <v>6</v>
      </c>
      <c r="BN2111">
        <v>6</v>
      </c>
      <c r="BO2111">
        <v>6</v>
      </c>
      <c r="BP2111">
        <v>6</v>
      </c>
      <c r="BQ2111" t="str">
        <f>"1:00 PM"</f>
        <v>1:00 PM</v>
      </c>
      <c r="BR2111" t="str">
        <f>"7:00 PM"</f>
        <v>7:00 PM</v>
      </c>
      <c r="BS2111" t="s">
        <v>131</v>
      </c>
      <c r="BT2111">
        <v>0</v>
      </c>
      <c r="BU2111">
        <v>6</v>
      </c>
      <c r="BV2111" t="s">
        <v>114</v>
      </c>
      <c r="BX2111" t="s">
        <v>131</v>
      </c>
      <c r="BY2111" t="s">
        <v>8803</v>
      </c>
      <c r="CA2111" t="s">
        <v>8804</v>
      </c>
      <c r="CB2111" t="s">
        <v>1776</v>
      </c>
      <c r="CC2111" s="8" t="str">
        <f>"07647"</f>
        <v>07647</v>
      </c>
      <c r="CD2111" t="s">
        <v>6043</v>
      </c>
      <c r="CE2111" t="s">
        <v>1418</v>
      </c>
      <c r="CF2111" s="12">
        <v>18.100000000000001</v>
      </c>
      <c r="CH2111" s="12">
        <v>27.15</v>
      </c>
      <c r="CJ2111" t="s">
        <v>135</v>
      </c>
      <c r="CL2111" t="s">
        <v>8810</v>
      </c>
      <c r="CO2111" t="s">
        <v>132</v>
      </c>
      <c r="CP2111" t="s">
        <v>114</v>
      </c>
      <c r="CQ2111" t="s">
        <v>136</v>
      </c>
      <c r="CR2111" t="s">
        <v>136</v>
      </c>
      <c r="CS2111" t="s">
        <v>114</v>
      </c>
      <c r="CT2111" t="s">
        <v>136</v>
      </c>
      <c r="CU2111" t="s">
        <v>136</v>
      </c>
      <c r="CV2111" t="s">
        <v>2270</v>
      </c>
      <c r="CW2111" s="10" t="str">
        <f>"+15512655629"</f>
        <v>+15512655629</v>
      </c>
      <c r="CX2111" t="s">
        <v>8806</v>
      </c>
      <c r="CY2111" t="s">
        <v>132</v>
      </c>
      <c r="CZ2111" t="s">
        <v>137</v>
      </c>
      <c r="DA2111" t="s">
        <v>114</v>
      </c>
      <c r="DB2111" t="s">
        <v>114</v>
      </c>
      <c r="DC2111" t="s">
        <v>136</v>
      </c>
      <c r="DD2111" t="s">
        <v>114</v>
      </c>
    </row>
    <row r="2112" spans="1:113" ht="15" customHeight="1" x14ac:dyDescent="0.25">
      <c r="A2112" t="s">
        <v>8366</v>
      </c>
      <c r="B2112" t="s">
        <v>113</v>
      </c>
      <c r="C2112" s="1">
        <v>45110.432547453704</v>
      </c>
      <c r="D2112" s="1">
        <v>45211</v>
      </c>
      <c r="E2112" t="s">
        <v>114</v>
      </c>
      <c r="F2112" t="s">
        <v>1550</v>
      </c>
      <c r="G2112" t="str">
        <f>"51-4121.00"</f>
        <v>51-4121.00</v>
      </c>
      <c r="H2112" t="s">
        <v>815</v>
      </c>
      <c r="I2112">
        <v>8</v>
      </c>
      <c r="K2112" s="1">
        <v>45200</v>
      </c>
      <c r="L2112" s="1">
        <v>45474</v>
      </c>
      <c r="O2112" t="s">
        <v>116</v>
      </c>
      <c r="P2112" t="s">
        <v>8367</v>
      </c>
      <c r="R2112" t="s">
        <v>8368</v>
      </c>
      <c r="T2112" t="s">
        <v>8369</v>
      </c>
      <c r="U2112" t="s">
        <v>967</v>
      </c>
      <c r="V2112" s="8" t="str">
        <f>"89011"</f>
        <v>89011</v>
      </c>
      <c r="W2112" t="s">
        <v>118</v>
      </c>
      <c r="Y2112" s="10">
        <v>17023204900</v>
      </c>
      <c r="AA2112">
        <v>332312</v>
      </c>
      <c r="AB2112" t="s">
        <v>1554</v>
      </c>
      <c r="AC2112" t="s">
        <v>1555</v>
      </c>
      <c r="AE2112" t="s">
        <v>1556</v>
      </c>
      <c r="AF2112" t="s">
        <v>1552</v>
      </c>
      <c r="AH2112" t="s">
        <v>1553</v>
      </c>
      <c r="AI2112" t="s">
        <v>211</v>
      </c>
      <c r="AJ2112" s="8" t="str">
        <f>"84081"</f>
        <v>84081</v>
      </c>
      <c r="AK2112" t="s">
        <v>118</v>
      </c>
      <c r="AM2112" s="10">
        <v>18012804958</v>
      </c>
      <c r="AO2112" t="s">
        <v>1557</v>
      </c>
      <c r="AP2112" t="s">
        <v>121</v>
      </c>
      <c r="AQ2112" t="s">
        <v>1558</v>
      </c>
      <c r="AR2112" t="s">
        <v>1559</v>
      </c>
      <c r="AS2112" t="s">
        <v>1560</v>
      </c>
      <c r="AT2112" t="s">
        <v>1561</v>
      </c>
      <c r="AU2112" t="s">
        <v>1562</v>
      </c>
      <c r="AV2112" t="s">
        <v>1563</v>
      </c>
      <c r="AW2112" t="s">
        <v>211</v>
      </c>
      <c r="AX2112" s="8" t="str">
        <f>"84111"</f>
        <v>84111</v>
      </c>
      <c r="AY2112" t="s">
        <v>118</v>
      </c>
      <c r="BA2112" s="10">
        <v>18012577960</v>
      </c>
      <c r="BC2112" t="s">
        <v>1564</v>
      </c>
      <c r="BD2112" t="s">
        <v>1565</v>
      </c>
      <c r="BE2112" t="s">
        <v>211</v>
      </c>
      <c r="BF2112" t="s">
        <v>1566</v>
      </c>
      <c r="BG2112" t="s">
        <v>967</v>
      </c>
      <c r="BH2112" s="1">
        <v>45109.833333333336</v>
      </c>
      <c r="BI2112">
        <v>40</v>
      </c>
      <c r="BJ2112">
        <v>0</v>
      </c>
      <c r="BK2112">
        <v>8</v>
      </c>
      <c r="BL2112">
        <v>8</v>
      </c>
      <c r="BM2112">
        <v>8</v>
      </c>
      <c r="BN2112">
        <v>8</v>
      </c>
      <c r="BO2112">
        <v>8</v>
      </c>
      <c r="BP2112">
        <v>0</v>
      </c>
      <c r="BQ2112" t="str">
        <f>"4:00 AM"</f>
        <v>4:00 AM</v>
      </c>
      <c r="BR2112" t="str">
        <f>"12:00 PM"</f>
        <v>12:00 PM</v>
      </c>
      <c r="BS2112" t="s">
        <v>131</v>
      </c>
      <c r="BT2112">
        <v>0</v>
      </c>
      <c r="BU2112">
        <v>0</v>
      </c>
      <c r="BV2112" t="s">
        <v>114</v>
      </c>
      <c r="BX2112" t="s">
        <v>132</v>
      </c>
      <c r="BY2112" t="s">
        <v>8368</v>
      </c>
      <c r="CA2112" t="s">
        <v>3759</v>
      </c>
      <c r="CB2112" t="s">
        <v>967</v>
      </c>
      <c r="CC2112" s="8" t="str">
        <f>"89011"</f>
        <v>89011</v>
      </c>
      <c r="CD2112" t="s">
        <v>4455</v>
      </c>
      <c r="CE2112" t="s">
        <v>4456</v>
      </c>
      <c r="CF2112" s="12">
        <v>23.31</v>
      </c>
      <c r="CH2112" s="12">
        <v>34.97</v>
      </c>
      <c r="CJ2112" t="s">
        <v>135</v>
      </c>
      <c r="CK2112" t="s">
        <v>132</v>
      </c>
      <c r="CL2112" t="s">
        <v>8370</v>
      </c>
      <c r="CO2112" t="s">
        <v>132</v>
      </c>
      <c r="CP2112" t="s">
        <v>114</v>
      </c>
      <c r="CQ2112" t="s">
        <v>114</v>
      </c>
      <c r="CR2112" t="s">
        <v>136</v>
      </c>
      <c r="CS2112" t="s">
        <v>114</v>
      </c>
      <c r="CT2112" t="s">
        <v>136</v>
      </c>
      <c r="CU2112" t="s">
        <v>114</v>
      </c>
      <c r="CV2112" t="s">
        <v>1570</v>
      </c>
      <c r="CW2112" s="10" t="str">
        <f>"+18017908870"</f>
        <v>+18017908870</v>
      </c>
      <c r="CX2112" t="s">
        <v>1571</v>
      </c>
      <c r="CY2112" t="s">
        <v>132</v>
      </c>
      <c r="CZ2112" t="s">
        <v>137</v>
      </c>
      <c r="DA2112" t="s">
        <v>114</v>
      </c>
      <c r="DB2112" t="s">
        <v>114</v>
      </c>
      <c r="DC2112" t="s">
        <v>136</v>
      </c>
      <c r="DD2112" t="s">
        <v>114</v>
      </c>
    </row>
    <row r="2113" spans="1:113" ht="15" customHeight="1" x14ac:dyDescent="0.25">
      <c r="A2113" t="s">
        <v>11839</v>
      </c>
      <c r="B2113" t="s">
        <v>113</v>
      </c>
      <c r="C2113" s="1">
        <v>45110.413770833336</v>
      </c>
      <c r="D2113" s="1">
        <v>45211</v>
      </c>
      <c r="E2113" t="s">
        <v>136</v>
      </c>
      <c r="F2113" t="s">
        <v>6267</v>
      </c>
      <c r="G2113" t="str">
        <f>"39-9011.01"</f>
        <v>39-9011.01</v>
      </c>
      <c r="H2113" t="s">
        <v>183</v>
      </c>
      <c r="I2113">
        <v>1</v>
      </c>
      <c r="K2113" s="1">
        <v>45200</v>
      </c>
      <c r="L2113" s="1">
        <v>45565</v>
      </c>
      <c r="O2113" t="s">
        <v>184</v>
      </c>
      <c r="P2113" t="s">
        <v>9962</v>
      </c>
      <c r="R2113" t="s">
        <v>9963</v>
      </c>
      <c r="T2113" t="s">
        <v>5539</v>
      </c>
      <c r="U2113" t="s">
        <v>6049</v>
      </c>
      <c r="V2113" s="8" t="str">
        <f>"20016"</f>
        <v>20016</v>
      </c>
      <c r="W2113" t="s">
        <v>118</v>
      </c>
      <c r="Y2113" s="10">
        <v>19147151112</v>
      </c>
      <c r="AA2113">
        <v>814110</v>
      </c>
      <c r="AB2113" t="s">
        <v>9964</v>
      </c>
      <c r="AC2113" t="s">
        <v>2700</v>
      </c>
      <c r="AE2113" t="s">
        <v>6272</v>
      </c>
      <c r="AF2113" t="s">
        <v>9965</v>
      </c>
      <c r="AH2113" t="s">
        <v>5539</v>
      </c>
      <c r="AI2113" t="s">
        <v>6049</v>
      </c>
      <c r="AJ2113" s="8" t="str">
        <f>"20016"</f>
        <v>20016</v>
      </c>
      <c r="AK2113" t="s">
        <v>118</v>
      </c>
      <c r="AM2113" s="10">
        <v>19147151112</v>
      </c>
      <c r="AO2113" t="s">
        <v>9966</v>
      </c>
      <c r="AP2113" t="s">
        <v>121</v>
      </c>
      <c r="AQ2113" t="s">
        <v>380</v>
      </c>
      <c r="AR2113" t="s">
        <v>381</v>
      </c>
      <c r="AT2113" t="s">
        <v>383</v>
      </c>
      <c r="AU2113" t="s">
        <v>9967</v>
      </c>
      <c r="AV2113" t="s">
        <v>385</v>
      </c>
      <c r="AW2113" t="s">
        <v>386</v>
      </c>
      <c r="AX2113" s="8" t="str">
        <f>"37122"</f>
        <v>37122</v>
      </c>
      <c r="AY2113" t="s">
        <v>118</v>
      </c>
      <c r="BA2113" s="10">
        <v>16154227130</v>
      </c>
      <c r="BC2113" t="s">
        <v>1012</v>
      </c>
      <c r="BD2113" t="s">
        <v>1013</v>
      </c>
      <c r="BE2113" t="s">
        <v>386</v>
      </c>
      <c r="BF2113" t="s">
        <v>389</v>
      </c>
      <c r="BG2113" t="s">
        <v>6049</v>
      </c>
      <c r="BH2113" s="1">
        <v>45108.833333333336</v>
      </c>
      <c r="BI2113">
        <v>40</v>
      </c>
      <c r="BJ2113">
        <v>0</v>
      </c>
      <c r="BK2113">
        <v>7</v>
      </c>
      <c r="BL2113">
        <v>7</v>
      </c>
      <c r="BM2113">
        <v>7</v>
      </c>
      <c r="BN2113">
        <v>7</v>
      </c>
      <c r="BO2113">
        <v>7</v>
      </c>
      <c r="BP2113">
        <v>5</v>
      </c>
      <c r="BQ2113" t="str">
        <f>"8:00 AM"</f>
        <v>8:00 AM</v>
      </c>
      <c r="BR2113" t="str">
        <f>"8:00 PM"</f>
        <v>8:00 PM</v>
      </c>
      <c r="BS2113" t="s">
        <v>147</v>
      </c>
      <c r="BT2113">
        <v>1</v>
      </c>
      <c r="BU2113">
        <v>6</v>
      </c>
      <c r="BV2113" t="s">
        <v>114</v>
      </c>
      <c r="BX2113" s="2" t="s">
        <v>11840</v>
      </c>
      <c r="BY2113" t="s">
        <v>9965</v>
      </c>
      <c r="CA2113" t="s">
        <v>5539</v>
      </c>
      <c r="CB2113" t="s">
        <v>6049</v>
      </c>
      <c r="CC2113" s="8" t="str">
        <f>"20016"</f>
        <v>20016</v>
      </c>
      <c r="CD2113" t="s">
        <v>9968</v>
      </c>
      <c r="CE2113" t="s">
        <v>1794</v>
      </c>
      <c r="CF2113" s="12">
        <v>17</v>
      </c>
      <c r="CG2113" s="12">
        <v>17</v>
      </c>
      <c r="CH2113" s="12">
        <v>25.5</v>
      </c>
      <c r="CI2113" s="12">
        <v>25.5</v>
      </c>
      <c r="CJ2113" t="s">
        <v>135</v>
      </c>
      <c r="CK2113" t="s">
        <v>11841</v>
      </c>
      <c r="CL2113" t="s">
        <v>11842</v>
      </c>
      <c r="CO2113" t="s">
        <v>132</v>
      </c>
      <c r="CP2113" t="s">
        <v>114</v>
      </c>
      <c r="CQ2113" t="s">
        <v>114</v>
      </c>
      <c r="CR2113" t="s">
        <v>136</v>
      </c>
      <c r="CS2113" t="s">
        <v>136</v>
      </c>
      <c r="CT2113" t="s">
        <v>136</v>
      </c>
      <c r="CU2113" t="s">
        <v>136</v>
      </c>
      <c r="CV2113" s="2" t="s">
        <v>11843</v>
      </c>
      <c r="CW2113" s="10" t="str">
        <f>"+19147151112"</f>
        <v>+19147151112</v>
      </c>
      <c r="CX2113" t="s">
        <v>9966</v>
      </c>
      <c r="CY2113" t="s">
        <v>132</v>
      </c>
      <c r="CZ2113" t="s">
        <v>137</v>
      </c>
      <c r="DA2113" t="s">
        <v>114</v>
      </c>
      <c r="DB2113" t="s">
        <v>114</v>
      </c>
      <c r="DC2113" t="s">
        <v>136</v>
      </c>
      <c r="DD2113" t="s">
        <v>114</v>
      </c>
    </row>
    <row r="2114" spans="1:113" ht="15" customHeight="1" x14ac:dyDescent="0.25">
      <c r="A2114" t="s">
        <v>4124</v>
      </c>
      <c r="B2114" t="s">
        <v>113</v>
      </c>
      <c r="C2114" s="1">
        <v>45110.398874305552</v>
      </c>
      <c r="D2114" s="1">
        <v>45211</v>
      </c>
      <c r="E2114" t="s">
        <v>114</v>
      </c>
      <c r="F2114" t="s">
        <v>4125</v>
      </c>
      <c r="G2114" t="str">
        <f>"51-4121.00"</f>
        <v>51-4121.00</v>
      </c>
      <c r="H2114" t="s">
        <v>815</v>
      </c>
      <c r="I2114">
        <v>117</v>
      </c>
      <c r="K2114" s="1">
        <v>45200</v>
      </c>
      <c r="L2114" s="1">
        <v>45565</v>
      </c>
      <c r="O2114" t="s">
        <v>184</v>
      </c>
      <c r="P2114" t="s">
        <v>4126</v>
      </c>
      <c r="R2114" t="s">
        <v>4127</v>
      </c>
      <c r="T2114" t="s">
        <v>4128</v>
      </c>
      <c r="U2114" t="s">
        <v>127</v>
      </c>
      <c r="V2114" s="8" t="str">
        <f>"78582"</f>
        <v>78582</v>
      </c>
      <c r="W2114" t="s">
        <v>118</v>
      </c>
      <c r="Y2114" s="10">
        <v>19568440713</v>
      </c>
      <c r="AA2114">
        <v>238190</v>
      </c>
      <c r="AB2114" t="s">
        <v>4129</v>
      </c>
      <c r="AC2114" t="s">
        <v>4130</v>
      </c>
      <c r="AE2114" t="s">
        <v>561</v>
      </c>
      <c r="AF2114" t="s">
        <v>4127</v>
      </c>
      <c r="AH2114" t="s">
        <v>4128</v>
      </c>
      <c r="AI2114" t="s">
        <v>127</v>
      </c>
      <c r="AJ2114" s="8" t="str">
        <f>"78582"</f>
        <v>78582</v>
      </c>
      <c r="AK2114" t="s">
        <v>118</v>
      </c>
      <c r="AM2114" s="10">
        <v>19568440713</v>
      </c>
      <c r="AO2114" t="s">
        <v>4131</v>
      </c>
      <c r="AP2114" t="s">
        <v>121</v>
      </c>
      <c r="AQ2114" t="s">
        <v>380</v>
      </c>
      <c r="AR2114" t="s">
        <v>381</v>
      </c>
      <c r="AT2114" t="s">
        <v>383</v>
      </c>
      <c r="AU2114" t="s">
        <v>384</v>
      </c>
      <c r="AV2114" t="s">
        <v>385</v>
      </c>
      <c r="AW2114" t="s">
        <v>386</v>
      </c>
      <c r="AX2114" s="8" t="str">
        <f>"37122"</f>
        <v>37122</v>
      </c>
      <c r="AY2114" t="s">
        <v>118</v>
      </c>
      <c r="BA2114" s="10">
        <v>16154227130</v>
      </c>
      <c r="BC2114" t="s">
        <v>1012</v>
      </c>
      <c r="BD2114" t="s">
        <v>1013</v>
      </c>
      <c r="BE2114" t="s">
        <v>386</v>
      </c>
      <c r="BF2114" t="s">
        <v>389</v>
      </c>
      <c r="BG2114" t="s">
        <v>127</v>
      </c>
      <c r="BH2114" s="1">
        <v>45109.833333333336</v>
      </c>
      <c r="BI2114">
        <v>40</v>
      </c>
      <c r="BJ2114">
        <v>0</v>
      </c>
      <c r="BK2114">
        <v>8</v>
      </c>
      <c r="BL2114">
        <v>8</v>
      </c>
      <c r="BM2114">
        <v>8</v>
      </c>
      <c r="BN2114">
        <v>8</v>
      </c>
      <c r="BO2114">
        <v>8</v>
      </c>
      <c r="BP2114">
        <v>0</v>
      </c>
      <c r="BQ2114" t="str">
        <f>"7:00 AM"</f>
        <v>7:00 AM</v>
      </c>
      <c r="BR2114" t="str">
        <f>"5:30 PM"</f>
        <v>5:30 PM</v>
      </c>
      <c r="BS2114" t="s">
        <v>131</v>
      </c>
      <c r="BT2114">
        <v>0</v>
      </c>
      <c r="BU2114">
        <v>12</v>
      </c>
      <c r="BV2114" t="s">
        <v>114</v>
      </c>
      <c r="BX2114" s="2" t="s">
        <v>4132</v>
      </c>
      <c r="BY2114" t="s">
        <v>4133</v>
      </c>
      <c r="CA2114" t="s">
        <v>2617</v>
      </c>
      <c r="CB2114" t="s">
        <v>127</v>
      </c>
      <c r="CC2114" s="8" t="str">
        <f>"78336"</f>
        <v>78336</v>
      </c>
      <c r="CD2114" t="s">
        <v>2572</v>
      </c>
      <c r="CE2114" t="s">
        <v>2163</v>
      </c>
      <c r="CF2114" s="12">
        <v>26.43</v>
      </c>
      <c r="CG2114" s="12">
        <v>27</v>
      </c>
      <c r="CH2114" s="12">
        <v>39.65</v>
      </c>
      <c r="CI2114" s="12">
        <v>40.5</v>
      </c>
      <c r="CJ2114" t="s">
        <v>135</v>
      </c>
      <c r="CL2114" t="s">
        <v>4134</v>
      </c>
      <c r="CO2114" t="s">
        <v>132</v>
      </c>
      <c r="CP2114" t="s">
        <v>114</v>
      </c>
      <c r="CQ2114" t="s">
        <v>114</v>
      </c>
      <c r="CR2114" t="s">
        <v>136</v>
      </c>
      <c r="CS2114" t="s">
        <v>114</v>
      </c>
      <c r="CT2114" t="s">
        <v>136</v>
      </c>
      <c r="CU2114" t="s">
        <v>114</v>
      </c>
      <c r="CV2114" t="s">
        <v>4135</v>
      </c>
      <c r="CW2114" s="10" t="str">
        <f>"+19568440713"</f>
        <v>+19568440713</v>
      </c>
      <c r="CX2114" t="s">
        <v>4131</v>
      </c>
      <c r="CY2114" t="s">
        <v>132</v>
      </c>
      <c r="CZ2114" t="s">
        <v>137</v>
      </c>
      <c r="DA2114" t="s">
        <v>114</v>
      </c>
      <c r="DB2114" t="s">
        <v>114</v>
      </c>
      <c r="DC2114" t="s">
        <v>136</v>
      </c>
      <c r="DD2114" t="s">
        <v>114</v>
      </c>
    </row>
    <row r="2115" spans="1:113" ht="15" customHeight="1" x14ac:dyDescent="0.25">
      <c r="A2115" t="s">
        <v>8509</v>
      </c>
      <c r="B2115" t="s">
        <v>113</v>
      </c>
      <c r="C2115" s="1">
        <v>45110.392463888886</v>
      </c>
      <c r="D2115" s="1">
        <v>45211</v>
      </c>
      <c r="E2115" t="s">
        <v>114</v>
      </c>
      <c r="F2115" t="s">
        <v>8510</v>
      </c>
      <c r="G2115" t="str">
        <f>"51-9124.00"</f>
        <v>51-9124.00</v>
      </c>
      <c r="H2115" t="s">
        <v>5050</v>
      </c>
      <c r="I2115">
        <v>50</v>
      </c>
      <c r="K2115" s="1">
        <v>45200</v>
      </c>
      <c r="L2115" s="1">
        <v>46295</v>
      </c>
      <c r="O2115" t="s">
        <v>184</v>
      </c>
      <c r="P2115" t="s">
        <v>8511</v>
      </c>
      <c r="R2115" t="s">
        <v>8512</v>
      </c>
      <c r="T2115" t="s">
        <v>8513</v>
      </c>
      <c r="U2115" t="s">
        <v>127</v>
      </c>
      <c r="V2115" s="8" t="str">
        <f>"78405"</f>
        <v>78405</v>
      </c>
      <c r="W2115" t="s">
        <v>118</v>
      </c>
      <c r="Y2115" s="10">
        <v>13619291104</v>
      </c>
      <c r="AA2115">
        <v>541330</v>
      </c>
      <c r="AB2115" t="s">
        <v>2688</v>
      </c>
      <c r="AC2115" t="s">
        <v>4883</v>
      </c>
      <c r="AE2115" t="s">
        <v>7689</v>
      </c>
      <c r="AF2115" t="s">
        <v>8512</v>
      </c>
      <c r="AH2115" t="s">
        <v>8513</v>
      </c>
      <c r="AI2115" t="s">
        <v>127</v>
      </c>
      <c r="AJ2115" s="8" t="str">
        <f>"78405"</f>
        <v>78405</v>
      </c>
      <c r="AK2115" t="s">
        <v>118</v>
      </c>
      <c r="AM2115" s="10">
        <v>13619291104</v>
      </c>
      <c r="AO2115" t="s">
        <v>8514</v>
      </c>
      <c r="AP2115" t="s">
        <v>248</v>
      </c>
      <c r="AQ2115" t="s">
        <v>960</v>
      </c>
      <c r="AR2115" t="s">
        <v>961</v>
      </c>
      <c r="AS2115" t="s">
        <v>962</v>
      </c>
      <c r="AT2115" t="s">
        <v>963</v>
      </c>
      <c r="AU2115" t="s">
        <v>296</v>
      </c>
      <c r="AV2115" t="s">
        <v>964</v>
      </c>
      <c r="AW2115" t="s">
        <v>127</v>
      </c>
      <c r="AX2115" s="8" t="str">
        <f>"75033"</f>
        <v>75033</v>
      </c>
      <c r="AY2115" t="s">
        <v>118</v>
      </c>
      <c r="BA2115" s="10">
        <v>19727789690</v>
      </c>
      <c r="BC2115" t="s">
        <v>1919</v>
      </c>
      <c r="BD2115" t="s">
        <v>966</v>
      </c>
      <c r="BG2115" t="s">
        <v>127</v>
      </c>
      <c r="BH2115" s="1">
        <v>45109.833333333336</v>
      </c>
      <c r="BI2115">
        <v>45</v>
      </c>
      <c r="BJ2115">
        <v>0</v>
      </c>
      <c r="BK2115">
        <v>9</v>
      </c>
      <c r="BL2115">
        <v>9</v>
      </c>
      <c r="BM2115">
        <v>9</v>
      </c>
      <c r="BN2115">
        <v>9</v>
      </c>
      <c r="BO2115">
        <v>9</v>
      </c>
      <c r="BP2115">
        <v>0</v>
      </c>
      <c r="BQ2115" t="str">
        <f>"7:00 AM"</f>
        <v>7:00 AM</v>
      </c>
      <c r="BR2115" t="str">
        <f>"5:00 PM"</f>
        <v>5:00 PM</v>
      </c>
      <c r="BS2115" t="s">
        <v>147</v>
      </c>
      <c r="BT2115">
        <v>0</v>
      </c>
      <c r="BU2115">
        <v>0</v>
      </c>
      <c r="BV2115" t="s">
        <v>114</v>
      </c>
      <c r="BX2115" s="2" t="s">
        <v>8515</v>
      </c>
      <c r="BY2115" t="s">
        <v>8512</v>
      </c>
      <c r="CA2115" t="s">
        <v>8513</v>
      </c>
      <c r="CB2115" t="s">
        <v>127</v>
      </c>
      <c r="CC2115" s="8" t="str">
        <f>"78405"</f>
        <v>78405</v>
      </c>
      <c r="CD2115" t="s">
        <v>2572</v>
      </c>
      <c r="CE2115" t="s">
        <v>2163</v>
      </c>
      <c r="CF2115" s="12">
        <v>21.2</v>
      </c>
      <c r="CH2115" s="12">
        <v>31.8</v>
      </c>
      <c r="CJ2115" t="s">
        <v>135</v>
      </c>
      <c r="CK2115" t="s">
        <v>4280</v>
      </c>
      <c r="CL2115" t="s">
        <v>8516</v>
      </c>
      <c r="CO2115" t="s">
        <v>132</v>
      </c>
      <c r="CP2115" t="s">
        <v>136</v>
      </c>
      <c r="CQ2115" t="s">
        <v>114</v>
      </c>
      <c r="CR2115" t="s">
        <v>136</v>
      </c>
      <c r="CS2115" t="s">
        <v>136</v>
      </c>
      <c r="CT2115" t="s">
        <v>136</v>
      </c>
      <c r="CU2115" t="s">
        <v>136</v>
      </c>
      <c r="CV2115" s="2" t="s">
        <v>4282</v>
      </c>
      <c r="CW2115" s="10" t="str">
        <f>"+13619291104"</f>
        <v>+13619291104</v>
      </c>
      <c r="CX2115" t="s">
        <v>132</v>
      </c>
      <c r="CY2115" t="s">
        <v>1853</v>
      </c>
      <c r="CZ2115" t="s">
        <v>137</v>
      </c>
      <c r="DA2115" t="s">
        <v>114</v>
      </c>
      <c r="DB2115" t="s">
        <v>136</v>
      </c>
      <c r="DC2115" t="s">
        <v>136</v>
      </c>
      <c r="DD2115" t="s">
        <v>114</v>
      </c>
    </row>
    <row r="2116" spans="1:113" ht="15" customHeight="1" x14ac:dyDescent="0.25">
      <c r="A2116" t="s">
        <v>22405</v>
      </c>
      <c r="B2116" t="s">
        <v>113</v>
      </c>
      <c r="C2116" s="1">
        <v>45110.052055671295</v>
      </c>
      <c r="D2116" s="1">
        <v>45211</v>
      </c>
      <c r="E2116" t="s">
        <v>114</v>
      </c>
      <c r="F2116" t="s">
        <v>5204</v>
      </c>
      <c r="G2116" t="str">
        <f>"35-9021.00"</f>
        <v>35-9021.00</v>
      </c>
      <c r="H2116" t="s">
        <v>501</v>
      </c>
      <c r="I2116">
        <v>35</v>
      </c>
      <c r="K2116" s="1">
        <v>45200</v>
      </c>
      <c r="L2116" s="1">
        <v>45473</v>
      </c>
      <c r="O2116" t="s">
        <v>238</v>
      </c>
      <c r="P2116" t="s">
        <v>15964</v>
      </c>
      <c r="Q2116" t="s">
        <v>15964</v>
      </c>
      <c r="R2116" t="s">
        <v>15965</v>
      </c>
      <c r="T2116" t="s">
        <v>3238</v>
      </c>
      <c r="U2116" t="s">
        <v>140</v>
      </c>
      <c r="V2116" s="8" t="str">
        <f>"32352"</f>
        <v>32352</v>
      </c>
      <c r="W2116" t="s">
        <v>118</v>
      </c>
      <c r="Y2116" s="10">
        <v>18504436908</v>
      </c>
      <c r="AA2116">
        <v>722511</v>
      </c>
      <c r="AB2116" t="s">
        <v>2869</v>
      </c>
      <c r="AC2116" t="s">
        <v>15370</v>
      </c>
      <c r="AE2116" t="s">
        <v>20589</v>
      </c>
      <c r="AF2116" t="s">
        <v>15966</v>
      </c>
      <c r="AH2116" t="s">
        <v>15967</v>
      </c>
      <c r="AI2116" t="s">
        <v>140</v>
      </c>
      <c r="AJ2116" s="8" t="str">
        <f>"32352"</f>
        <v>32352</v>
      </c>
      <c r="AK2116" t="s">
        <v>118</v>
      </c>
      <c r="AM2116" s="10">
        <v>18504436908</v>
      </c>
      <c r="AO2116" t="s">
        <v>15968</v>
      </c>
      <c r="AX2116" s="8" t="str">
        <f>""</f>
        <v/>
      </c>
      <c r="BG2116" t="s">
        <v>386</v>
      </c>
      <c r="BH2116" s="1">
        <v>45113.833333333336</v>
      </c>
      <c r="BI2116">
        <v>35</v>
      </c>
      <c r="BJ2116">
        <v>6</v>
      </c>
      <c r="BK2116">
        <v>6</v>
      </c>
      <c r="BL2116">
        <v>5</v>
      </c>
      <c r="BM2116">
        <v>0</v>
      </c>
      <c r="BN2116">
        <v>6</v>
      </c>
      <c r="BO2116">
        <v>6</v>
      </c>
      <c r="BP2116">
        <v>6</v>
      </c>
      <c r="BQ2116" t="str">
        <f>"4:00 AM"</f>
        <v>4:00 AM</v>
      </c>
      <c r="BR2116" t="str">
        <f>"12:00 PM"</f>
        <v>12:00 PM</v>
      </c>
      <c r="BS2116" t="s">
        <v>147</v>
      </c>
      <c r="BT2116">
        <v>0</v>
      </c>
      <c r="BU2116">
        <v>2</v>
      </c>
      <c r="BV2116" t="s">
        <v>114</v>
      </c>
      <c r="BX2116" t="s">
        <v>22406</v>
      </c>
      <c r="BY2116" t="s">
        <v>22407</v>
      </c>
      <c r="CA2116" t="s">
        <v>22408</v>
      </c>
      <c r="CB2116" t="s">
        <v>386</v>
      </c>
      <c r="CC2116" s="8" t="str">
        <f>"37863"</f>
        <v>37863</v>
      </c>
      <c r="CD2116" t="s">
        <v>1985</v>
      </c>
      <c r="CE2116" t="s">
        <v>1986</v>
      </c>
      <c r="CF2116" s="12">
        <v>11.34</v>
      </c>
      <c r="CG2116" s="12">
        <v>11.34</v>
      </c>
      <c r="CH2116" s="12">
        <v>17.010000000000002</v>
      </c>
      <c r="CI2116" s="12">
        <v>17.010000000000002</v>
      </c>
      <c r="CJ2116" t="s">
        <v>135</v>
      </c>
      <c r="CK2116" t="s">
        <v>22409</v>
      </c>
      <c r="CL2116" t="s">
        <v>22410</v>
      </c>
      <c r="CO2116" t="s">
        <v>132</v>
      </c>
      <c r="CP2116" t="s">
        <v>136</v>
      </c>
      <c r="CQ2116" t="s">
        <v>136</v>
      </c>
      <c r="CR2116" t="s">
        <v>136</v>
      </c>
      <c r="CS2116" t="s">
        <v>114</v>
      </c>
      <c r="CT2116" t="s">
        <v>136</v>
      </c>
      <c r="CU2116" t="s">
        <v>136</v>
      </c>
      <c r="CV2116" t="s">
        <v>15973</v>
      </c>
      <c r="CW2116" s="10" t="str">
        <f>"N/A"</f>
        <v>N/A</v>
      </c>
      <c r="CX2116" t="s">
        <v>15974</v>
      </c>
      <c r="CY2116" t="s">
        <v>2911</v>
      </c>
      <c r="CZ2116" t="s">
        <v>137</v>
      </c>
      <c r="DA2116" t="s">
        <v>114</v>
      </c>
      <c r="DB2116" t="s">
        <v>114</v>
      </c>
      <c r="DC2116" t="s">
        <v>136</v>
      </c>
      <c r="DD2116" t="s">
        <v>114</v>
      </c>
    </row>
    <row r="2117" spans="1:113" ht="15" customHeight="1" x14ac:dyDescent="0.25">
      <c r="A2117" t="s">
        <v>14532</v>
      </c>
      <c r="B2117" t="s">
        <v>113</v>
      </c>
      <c r="C2117" s="1">
        <v>45110.002558564818</v>
      </c>
      <c r="D2117" s="1">
        <v>45211</v>
      </c>
      <c r="E2117" t="s">
        <v>114</v>
      </c>
      <c r="F2117" t="s">
        <v>6452</v>
      </c>
      <c r="G2117" t="str">
        <f>"49-3041.00"</f>
        <v>49-3041.00</v>
      </c>
      <c r="H2117" t="s">
        <v>6453</v>
      </c>
      <c r="I2117">
        <v>2</v>
      </c>
      <c r="K2117" s="1">
        <v>45200</v>
      </c>
      <c r="L2117" s="1">
        <v>45504</v>
      </c>
      <c r="O2117" t="s">
        <v>116</v>
      </c>
      <c r="P2117" t="s">
        <v>6454</v>
      </c>
      <c r="R2117" t="s">
        <v>6455</v>
      </c>
      <c r="T2117" t="s">
        <v>6456</v>
      </c>
      <c r="U2117" t="s">
        <v>740</v>
      </c>
      <c r="V2117" s="8" t="str">
        <f>"51561"</f>
        <v>51561</v>
      </c>
      <c r="W2117" t="s">
        <v>118</v>
      </c>
      <c r="Y2117" s="10">
        <v>16206645860</v>
      </c>
      <c r="AA2117">
        <v>423820</v>
      </c>
      <c r="AB2117" t="s">
        <v>6457</v>
      </c>
      <c r="AC2117" t="s">
        <v>6458</v>
      </c>
      <c r="AD2117" t="s">
        <v>746</v>
      </c>
      <c r="AE2117" t="s">
        <v>6459</v>
      </c>
      <c r="AF2117" t="s">
        <v>6455</v>
      </c>
      <c r="AH2117" t="s">
        <v>6456</v>
      </c>
      <c r="AI2117" t="s">
        <v>740</v>
      </c>
      <c r="AJ2117" s="8" t="str">
        <f>"51561"</f>
        <v>51561</v>
      </c>
      <c r="AK2117" t="s">
        <v>118</v>
      </c>
      <c r="AM2117" s="10">
        <v>16206645860</v>
      </c>
      <c r="AO2117" t="s">
        <v>6460</v>
      </c>
      <c r="AP2117" t="s">
        <v>248</v>
      </c>
      <c r="AQ2117" t="s">
        <v>2869</v>
      </c>
      <c r="AR2117" t="s">
        <v>1362</v>
      </c>
      <c r="AS2117" t="s">
        <v>132</v>
      </c>
      <c r="AT2117" t="s">
        <v>1032</v>
      </c>
      <c r="AU2117" t="s">
        <v>852</v>
      </c>
      <c r="AV2117" t="s">
        <v>853</v>
      </c>
      <c r="AW2117" t="s">
        <v>854</v>
      </c>
      <c r="AX2117" s="8" t="str">
        <f>"83814"</f>
        <v>83814</v>
      </c>
      <c r="AY2117" t="s">
        <v>118</v>
      </c>
      <c r="BA2117" s="10">
        <v>12087772654</v>
      </c>
      <c r="BC2117" t="s">
        <v>4831</v>
      </c>
      <c r="BD2117" t="s">
        <v>856</v>
      </c>
      <c r="BG2117" t="s">
        <v>1734</v>
      </c>
      <c r="BH2117" s="1">
        <v>45109.833333333336</v>
      </c>
      <c r="BI2117">
        <v>40</v>
      </c>
      <c r="BJ2117">
        <v>0</v>
      </c>
      <c r="BK2117">
        <v>8</v>
      </c>
      <c r="BL2117">
        <v>8</v>
      </c>
      <c r="BM2117">
        <v>8</v>
      </c>
      <c r="BN2117">
        <v>8</v>
      </c>
      <c r="BO2117">
        <v>8</v>
      </c>
      <c r="BP2117">
        <v>0</v>
      </c>
      <c r="BQ2117" t="str">
        <f>"8:00 AM"</f>
        <v>8:00 AM</v>
      </c>
      <c r="BR2117" t="str">
        <f>"5:00 PM"</f>
        <v>5:00 PM</v>
      </c>
      <c r="BS2117" t="s">
        <v>131</v>
      </c>
      <c r="BT2117">
        <v>0</v>
      </c>
      <c r="BU2117">
        <v>12</v>
      </c>
      <c r="BV2117" t="s">
        <v>114</v>
      </c>
      <c r="BX2117" s="2" t="s">
        <v>6461</v>
      </c>
      <c r="BY2117" t="s">
        <v>14533</v>
      </c>
      <c r="CA2117" t="s">
        <v>2393</v>
      </c>
      <c r="CB2117" t="s">
        <v>1734</v>
      </c>
      <c r="CC2117" s="8" t="str">
        <f>"66861"</f>
        <v>66861</v>
      </c>
      <c r="CD2117" t="s">
        <v>1257</v>
      </c>
      <c r="CE2117" t="s">
        <v>5123</v>
      </c>
      <c r="CF2117" s="12">
        <v>23.7</v>
      </c>
      <c r="CG2117" s="12">
        <v>42</v>
      </c>
      <c r="CH2117" s="12">
        <v>35.549999999999997</v>
      </c>
      <c r="CI2117" s="12">
        <v>63</v>
      </c>
      <c r="CJ2117" t="s">
        <v>135</v>
      </c>
      <c r="CK2117" t="s">
        <v>6464</v>
      </c>
      <c r="CL2117" t="s">
        <v>14534</v>
      </c>
      <c r="CO2117" t="s">
        <v>132</v>
      </c>
      <c r="CP2117" t="s">
        <v>136</v>
      </c>
      <c r="CQ2117" t="s">
        <v>136</v>
      </c>
      <c r="CR2117" t="s">
        <v>136</v>
      </c>
      <c r="CS2117" t="s">
        <v>114</v>
      </c>
      <c r="CT2117" t="s">
        <v>136</v>
      </c>
      <c r="CU2117" t="s">
        <v>114</v>
      </c>
      <c r="CV2117" t="s">
        <v>1040</v>
      </c>
      <c r="CW2117" s="10" t="str">
        <f>"N/A"</f>
        <v>N/A</v>
      </c>
      <c r="CX2117" t="s">
        <v>6466</v>
      </c>
      <c r="CY2117" t="s">
        <v>6467</v>
      </c>
      <c r="CZ2117" t="s">
        <v>137</v>
      </c>
      <c r="DA2117" t="s">
        <v>114</v>
      </c>
      <c r="DB2117" t="s">
        <v>136</v>
      </c>
      <c r="DC2117" t="s">
        <v>136</v>
      </c>
      <c r="DD2117" t="s">
        <v>114</v>
      </c>
    </row>
    <row r="2118" spans="1:113" ht="15" customHeight="1" x14ac:dyDescent="0.25">
      <c r="A2118" t="s">
        <v>20964</v>
      </c>
      <c r="B2118" t="s">
        <v>113</v>
      </c>
      <c r="C2118" s="1">
        <v>45125.996703935183</v>
      </c>
      <c r="D2118" s="1">
        <v>45210</v>
      </c>
      <c r="E2118" t="s">
        <v>114</v>
      </c>
      <c r="F2118" t="s">
        <v>20965</v>
      </c>
      <c r="G2118" t="str">
        <f>"47-3016.00"</f>
        <v>47-3016.00</v>
      </c>
      <c r="H2118" t="s">
        <v>370</v>
      </c>
      <c r="I2118">
        <v>40</v>
      </c>
      <c r="K2118" s="1">
        <v>45200</v>
      </c>
      <c r="L2118" s="1">
        <v>45291</v>
      </c>
      <c r="O2118" t="s">
        <v>116</v>
      </c>
      <c r="P2118" t="s">
        <v>20966</v>
      </c>
      <c r="R2118" t="s">
        <v>10289</v>
      </c>
      <c r="T2118" t="s">
        <v>20967</v>
      </c>
      <c r="U2118" t="s">
        <v>211</v>
      </c>
      <c r="V2118" s="8" t="str">
        <f>"84405"</f>
        <v>84405</v>
      </c>
      <c r="W2118" t="s">
        <v>118</v>
      </c>
      <c r="Y2118" s="10">
        <v>18019175800</v>
      </c>
      <c r="AA2118">
        <v>238120</v>
      </c>
      <c r="AB2118" t="s">
        <v>10291</v>
      </c>
      <c r="AC2118" t="s">
        <v>930</v>
      </c>
      <c r="AE2118" t="s">
        <v>20968</v>
      </c>
      <c r="AF2118" t="s">
        <v>10292</v>
      </c>
      <c r="AH2118" t="s">
        <v>10290</v>
      </c>
      <c r="AI2118" t="s">
        <v>211</v>
      </c>
      <c r="AJ2118" s="8" t="str">
        <f>"84405"</f>
        <v>84405</v>
      </c>
      <c r="AK2118" t="s">
        <v>118</v>
      </c>
      <c r="AM2118" s="10">
        <v>18019175800</v>
      </c>
      <c r="AO2118" t="s">
        <v>10293</v>
      </c>
      <c r="AP2118" t="s">
        <v>121</v>
      </c>
      <c r="AQ2118" t="s">
        <v>929</v>
      </c>
      <c r="AR2118" t="s">
        <v>930</v>
      </c>
      <c r="AS2118" t="s">
        <v>931</v>
      </c>
      <c r="AT2118" t="s">
        <v>932</v>
      </c>
      <c r="AU2118" t="s">
        <v>132</v>
      </c>
      <c r="AV2118" t="s">
        <v>933</v>
      </c>
      <c r="AW2118" t="s">
        <v>740</v>
      </c>
      <c r="AX2118" s="8" t="str">
        <f>"50010"</f>
        <v>50010</v>
      </c>
      <c r="AY2118" t="s">
        <v>118</v>
      </c>
      <c r="BA2118" s="10">
        <v>15152324444</v>
      </c>
      <c r="BB2118">
        <v>0</v>
      </c>
      <c r="BC2118" t="s">
        <v>934</v>
      </c>
      <c r="BD2118" t="s">
        <v>935</v>
      </c>
      <c r="BE2118" t="s">
        <v>740</v>
      </c>
      <c r="BF2118" t="s">
        <v>172</v>
      </c>
      <c r="BG2118" t="s">
        <v>584</v>
      </c>
      <c r="BH2118" s="1">
        <v>45124.833333333336</v>
      </c>
      <c r="BI2118">
        <v>40</v>
      </c>
      <c r="BJ2118">
        <v>0</v>
      </c>
      <c r="BK2118">
        <v>7</v>
      </c>
      <c r="BL2118">
        <v>7</v>
      </c>
      <c r="BM2118">
        <v>7</v>
      </c>
      <c r="BN2118">
        <v>7</v>
      </c>
      <c r="BO2118">
        <v>7</v>
      </c>
      <c r="BP2118">
        <v>5</v>
      </c>
      <c r="BQ2118" t="str">
        <f>"7:00 AM"</f>
        <v>7:00 AM</v>
      </c>
      <c r="BR2118" t="str">
        <f>"7:00 PM"</f>
        <v>7:00 PM</v>
      </c>
      <c r="BS2118" t="s">
        <v>131</v>
      </c>
      <c r="BT2118">
        <v>0</v>
      </c>
      <c r="BU2118">
        <v>0</v>
      </c>
      <c r="BV2118" t="s">
        <v>114</v>
      </c>
      <c r="BX2118" t="s">
        <v>20969</v>
      </c>
      <c r="BY2118" t="s">
        <v>10295</v>
      </c>
      <c r="CA2118" t="s">
        <v>6089</v>
      </c>
      <c r="CB2118" t="s">
        <v>584</v>
      </c>
      <c r="CC2118" s="8" t="str">
        <f>"82007"</f>
        <v>82007</v>
      </c>
      <c r="CD2118" t="s">
        <v>10297</v>
      </c>
      <c r="CE2118" t="s">
        <v>10298</v>
      </c>
      <c r="CF2118" s="12">
        <v>19.649999999999999</v>
      </c>
      <c r="CH2118" s="12">
        <v>29.48</v>
      </c>
      <c r="CJ2118" t="s">
        <v>135</v>
      </c>
      <c r="CK2118" t="s">
        <v>20970</v>
      </c>
      <c r="CL2118" t="s">
        <v>20971</v>
      </c>
      <c r="CO2118" t="s">
        <v>132</v>
      </c>
      <c r="CP2118" t="s">
        <v>114</v>
      </c>
      <c r="CQ2118" t="s">
        <v>136</v>
      </c>
      <c r="CR2118" t="s">
        <v>136</v>
      </c>
      <c r="CS2118" t="s">
        <v>136</v>
      </c>
      <c r="CT2118" t="s">
        <v>136</v>
      </c>
      <c r="CU2118" t="s">
        <v>136</v>
      </c>
      <c r="CV2118" t="s">
        <v>20972</v>
      </c>
      <c r="CW2118" s="10" t="str">
        <f>"+18019175800"</f>
        <v>+18019175800</v>
      </c>
      <c r="CX2118" t="s">
        <v>10293</v>
      </c>
      <c r="CY2118" t="s">
        <v>132</v>
      </c>
      <c r="CZ2118" t="s">
        <v>137</v>
      </c>
      <c r="DA2118" t="s">
        <v>114</v>
      </c>
      <c r="DB2118" t="s">
        <v>136</v>
      </c>
      <c r="DC2118" t="s">
        <v>136</v>
      </c>
      <c r="DD2118" t="s">
        <v>114</v>
      </c>
    </row>
    <row r="2119" spans="1:113" ht="15" customHeight="1" x14ac:dyDescent="0.25">
      <c r="A2119" t="s">
        <v>10302</v>
      </c>
      <c r="B2119" t="s">
        <v>113</v>
      </c>
      <c r="C2119" s="1">
        <v>45112.964522569448</v>
      </c>
      <c r="D2119" s="1">
        <v>45210</v>
      </c>
      <c r="E2119" t="s">
        <v>114</v>
      </c>
      <c r="F2119" t="s">
        <v>10303</v>
      </c>
      <c r="G2119" t="str">
        <f>"49-9071.00"</f>
        <v>49-9071.00</v>
      </c>
      <c r="H2119" t="s">
        <v>5714</v>
      </c>
      <c r="I2119">
        <v>20</v>
      </c>
      <c r="K2119" s="1">
        <v>45200</v>
      </c>
      <c r="L2119" s="1">
        <v>45473</v>
      </c>
      <c r="O2119" t="s">
        <v>116</v>
      </c>
      <c r="P2119" t="s">
        <v>10304</v>
      </c>
      <c r="Q2119" t="s">
        <v>10305</v>
      </c>
      <c r="R2119" t="s">
        <v>10306</v>
      </c>
      <c r="S2119" t="s">
        <v>10307</v>
      </c>
      <c r="T2119" t="s">
        <v>10308</v>
      </c>
      <c r="U2119" t="s">
        <v>584</v>
      </c>
      <c r="V2119" s="8" t="str">
        <f>"82801"</f>
        <v>82801</v>
      </c>
      <c r="W2119" t="s">
        <v>118</v>
      </c>
      <c r="Y2119" s="10">
        <v>15113628310</v>
      </c>
      <c r="AA2119">
        <v>561320</v>
      </c>
      <c r="AB2119" t="s">
        <v>10309</v>
      </c>
      <c r="AC2119" t="s">
        <v>10310</v>
      </c>
      <c r="AE2119" t="s">
        <v>10311</v>
      </c>
      <c r="AF2119" t="s">
        <v>10312</v>
      </c>
      <c r="AH2119" t="s">
        <v>8206</v>
      </c>
      <c r="AI2119" t="s">
        <v>140</v>
      </c>
      <c r="AJ2119" s="8" t="str">
        <f>"33579"</f>
        <v>33579</v>
      </c>
      <c r="AK2119" t="s">
        <v>118</v>
      </c>
      <c r="AM2119" s="10">
        <v>15175053363</v>
      </c>
      <c r="AO2119" t="s">
        <v>10313</v>
      </c>
      <c r="AP2119" t="s">
        <v>121</v>
      </c>
      <c r="AQ2119" t="s">
        <v>10309</v>
      </c>
      <c r="AR2119" t="s">
        <v>10310</v>
      </c>
      <c r="AT2119" t="s">
        <v>10312</v>
      </c>
      <c r="AV2119" t="s">
        <v>8206</v>
      </c>
      <c r="AW2119" t="s">
        <v>140</v>
      </c>
      <c r="AX2119" s="8" t="str">
        <f>"33579"</f>
        <v>33579</v>
      </c>
      <c r="AY2119" t="s">
        <v>118</v>
      </c>
      <c r="BA2119" s="10">
        <v>15175053363</v>
      </c>
      <c r="BC2119" t="s">
        <v>10313</v>
      </c>
      <c r="BD2119" t="s">
        <v>10311</v>
      </c>
      <c r="BE2119" t="s">
        <v>158</v>
      </c>
      <c r="BF2119" t="s">
        <v>1074</v>
      </c>
      <c r="BG2119" t="s">
        <v>819</v>
      </c>
      <c r="BH2119" s="1">
        <v>45111.833333333336</v>
      </c>
      <c r="BI2119">
        <v>40</v>
      </c>
      <c r="BJ2119">
        <v>0</v>
      </c>
      <c r="BK2119">
        <v>8</v>
      </c>
      <c r="BL2119">
        <v>8</v>
      </c>
      <c r="BM2119">
        <v>8</v>
      </c>
      <c r="BN2119">
        <v>8</v>
      </c>
      <c r="BO2119">
        <v>8</v>
      </c>
      <c r="BP2119">
        <v>0</v>
      </c>
      <c r="BQ2119" t="str">
        <f>"9:00 AM"</f>
        <v>9:00 AM</v>
      </c>
      <c r="BR2119" t="str">
        <f>"5:00 PM"</f>
        <v>5:00 PM</v>
      </c>
      <c r="BS2119" t="s">
        <v>131</v>
      </c>
      <c r="BT2119">
        <v>0</v>
      </c>
      <c r="BU2119">
        <v>0</v>
      </c>
      <c r="BV2119" t="s">
        <v>114</v>
      </c>
      <c r="BX2119" t="s">
        <v>132</v>
      </c>
      <c r="BY2119" t="s">
        <v>10314</v>
      </c>
      <c r="CA2119" t="s">
        <v>10315</v>
      </c>
      <c r="CB2119" t="s">
        <v>819</v>
      </c>
      <c r="CC2119" s="8" t="str">
        <f>"47404"</f>
        <v>47404</v>
      </c>
      <c r="CD2119" t="s">
        <v>303</v>
      </c>
      <c r="CE2119" t="s">
        <v>10316</v>
      </c>
      <c r="CF2119" s="12">
        <v>21.79</v>
      </c>
      <c r="CG2119" s="12">
        <v>21.79</v>
      </c>
      <c r="CJ2119" t="s">
        <v>135</v>
      </c>
      <c r="CK2119" t="s">
        <v>475</v>
      </c>
      <c r="CL2119" t="s">
        <v>10317</v>
      </c>
      <c r="CO2119" t="s">
        <v>132</v>
      </c>
      <c r="CP2119" t="s">
        <v>136</v>
      </c>
      <c r="CQ2119" t="s">
        <v>114</v>
      </c>
      <c r="CR2119" t="s">
        <v>114</v>
      </c>
      <c r="CS2119" t="s">
        <v>136</v>
      </c>
      <c r="CT2119" t="s">
        <v>136</v>
      </c>
      <c r="CU2119" t="s">
        <v>136</v>
      </c>
      <c r="CV2119" t="s">
        <v>10318</v>
      </c>
      <c r="CW2119" s="10" t="str">
        <f>"+13476296179"</f>
        <v>+13476296179</v>
      </c>
      <c r="CX2119" t="s">
        <v>10319</v>
      </c>
      <c r="CY2119" t="s">
        <v>132</v>
      </c>
      <c r="CZ2119" t="s">
        <v>137</v>
      </c>
      <c r="DA2119" t="s">
        <v>114</v>
      </c>
      <c r="DB2119" t="s">
        <v>136</v>
      </c>
      <c r="DC2119" t="s">
        <v>136</v>
      </c>
      <c r="DD2119" t="s">
        <v>114</v>
      </c>
    </row>
    <row r="2120" spans="1:113" ht="15" customHeight="1" x14ac:dyDescent="0.25">
      <c r="A2120" t="s">
        <v>18110</v>
      </c>
      <c r="B2120" t="s">
        <v>113</v>
      </c>
      <c r="C2120" s="1">
        <v>45112.793850925926</v>
      </c>
      <c r="D2120" s="1">
        <v>45210</v>
      </c>
      <c r="E2120" t="s">
        <v>114</v>
      </c>
      <c r="F2120" t="s">
        <v>1397</v>
      </c>
      <c r="G2120" t="str">
        <f>"39-9011.01"</f>
        <v>39-9011.01</v>
      </c>
      <c r="H2120" t="s">
        <v>183</v>
      </c>
      <c r="I2120">
        <v>1</v>
      </c>
      <c r="K2120" s="1">
        <v>45200</v>
      </c>
      <c r="L2120" s="1">
        <v>46295</v>
      </c>
      <c r="O2120" t="s">
        <v>184</v>
      </c>
      <c r="P2120" t="s">
        <v>18111</v>
      </c>
      <c r="R2120" t="s">
        <v>18112</v>
      </c>
      <c r="T2120" t="s">
        <v>3485</v>
      </c>
      <c r="U2120" t="s">
        <v>127</v>
      </c>
      <c r="V2120" s="8" t="str">
        <f>"75454"</f>
        <v>75454</v>
      </c>
      <c r="W2120" t="s">
        <v>118</v>
      </c>
      <c r="Y2120" s="10">
        <v>19035635759</v>
      </c>
      <c r="AA2120">
        <v>814110</v>
      </c>
      <c r="AB2120" t="s">
        <v>18113</v>
      </c>
      <c r="AC2120" t="s">
        <v>9625</v>
      </c>
      <c r="AE2120" t="s">
        <v>18114</v>
      </c>
      <c r="AF2120" t="s">
        <v>18112</v>
      </c>
      <c r="AH2120" t="s">
        <v>3485</v>
      </c>
      <c r="AI2120" t="s">
        <v>127</v>
      </c>
      <c r="AJ2120" s="8" t="str">
        <f>"75454"</f>
        <v>75454</v>
      </c>
      <c r="AK2120" t="s">
        <v>118</v>
      </c>
      <c r="AM2120" s="10">
        <v>19035635759</v>
      </c>
      <c r="AO2120" t="s">
        <v>18115</v>
      </c>
      <c r="AP2120" t="s">
        <v>121</v>
      </c>
      <c r="AQ2120" t="s">
        <v>7641</v>
      </c>
      <c r="AR2120" t="s">
        <v>18116</v>
      </c>
      <c r="AS2120" t="s">
        <v>119</v>
      </c>
      <c r="AT2120" t="s">
        <v>18117</v>
      </c>
      <c r="AU2120" t="s">
        <v>1900</v>
      </c>
      <c r="AV2120" t="s">
        <v>5412</v>
      </c>
      <c r="AW2120" t="s">
        <v>127</v>
      </c>
      <c r="AX2120" s="8" t="str">
        <f>"75024"</f>
        <v>75024</v>
      </c>
      <c r="AY2120" t="s">
        <v>118</v>
      </c>
      <c r="BA2120" s="10">
        <v>12144848175</v>
      </c>
      <c r="BC2120" t="s">
        <v>18118</v>
      </c>
      <c r="BD2120" t="s">
        <v>18119</v>
      </c>
      <c r="BE2120" t="s">
        <v>127</v>
      </c>
      <c r="BF2120" t="s">
        <v>713</v>
      </c>
      <c r="BG2120" t="s">
        <v>127</v>
      </c>
      <c r="BH2120" s="1">
        <v>45106.833333333336</v>
      </c>
      <c r="BI2120">
        <v>40</v>
      </c>
      <c r="BJ2120">
        <v>0</v>
      </c>
      <c r="BK2120">
        <v>8</v>
      </c>
      <c r="BL2120">
        <v>8</v>
      </c>
      <c r="BM2120">
        <v>8</v>
      </c>
      <c r="BN2120">
        <v>8</v>
      </c>
      <c r="BO2120">
        <v>8</v>
      </c>
      <c r="BP2120">
        <v>0</v>
      </c>
      <c r="BQ2120" t="str">
        <f>"8:00 AM"</f>
        <v>8:00 AM</v>
      </c>
      <c r="BR2120" t="str">
        <f>"5:00 PM"</f>
        <v>5:00 PM</v>
      </c>
      <c r="BS2120" t="s">
        <v>131</v>
      </c>
      <c r="BT2120">
        <v>0</v>
      </c>
      <c r="BU2120">
        <v>0</v>
      </c>
      <c r="BV2120" t="s">
        <v>114</v>
      </c>
      <c r="BX2120" t="s">
        <v>132</v>
      </c>
      <c r="BY2120" t="s">
        <v>18112</v>
      </c>
      <c r="CA2120" t="s">
        <v>3485</v>
      </c>
      <c r="CB2120" t="s">
        <v>127</v>
      </c>
      <c r="CC2120" s="8" t="str">
        <f>"75454"</f>
        <v>75454</v>
      </c>
      <c r="CD2120" t="s">
        <v>1177</v>
      </c>
      <c r="CE2120" t="s">
        <v>263</v>
      </c>
      <c r="CF2120" s="12">
        <v>12.19</v>
      </c>
      <c r="CG2120" s="12">
        <v>12.19</v>
      </c>
      <c r="CH2120" s="12">
        <v>18.28</v>
      </c>
      <c r="CI2120" s="12">
        <v>18.28</v>
      </c>
      <c r="CJ2120" t="s">
        <v>135</v>
      </c>
      <c r="CK2120" t="s">
        <v>132</v>
      </c>
      <c r="CL2120" t="s">
        <v>18120</v>
      </c>
      <c r="CO2120" t="s">
        <v>132</v>
      </c>
      <c r="CP2120" t="s">
        <v>114</v>
      </c>
      <c r="CQ2120" t="s">
        <v>136</v>
      </c>
      <c r="CR2120" t="s">
        <v>136</v>
      </c>
      <c r="CS2120" t="s">
        <v>136</v>
      </c>
      <c r="CT2120" t="s">
        <v>136</v>
      </c>
      <c r="CU2120" t="s">
        <v>136</v>
      </c>
      <c r="CV2120" t="s">
        <v>18121</v>
      </c>
      <c r="CW2120" s="10" t="str">
        <f>"+19035635759"</f>
        <v>+19035635759</v>
      </c>
      <c r="CX2120" t="s">
        <v>18115</v>
      </c>
      <c r="CY2120" t="s">
        <v>132</v>
      </c>
      <c r="CZ2120" t="s">
        <v>137</v>
      </c>
      <c r="DA2120" t="s">
        <v>114</v>
      </c>
      <c r="DB2120" t="s">
        <v>114</v>
      </c>
      <c r="DC2120" t="s">
        <v>136</v>
      </c>
      <c r="DD2120" t="s">
        <v>114</v>
      </c>
      <c r="DE2120" t="s">
        <v>18122</v>
      </c>
      <c r="DF2120" t="s">
        <v>18116</v>
      </c>
      <c r="DH2120" t="s">
        <v>18123</v>
      </c>
      <c r="DI2120" t="s">
        <v>18118</v>
      </c>
    </row>
    <row r="2121" spans="1:113" ht="15" customHeight="1" x14ac:dyDescent="0.25">
      <c r="A2121" t="s">
        <v>9999</v>
      </c>
      <c r="B2121" t="s">
        <v>113</v>
      </c>
      <c r="C2121" s="1">
        <v>45112.683299305558</v>
      </c>
      <c r="D2121" s="1">
        <v>45210</v>
      </c>
      <c r="E2121" t="s">
        <v>114</v>
      </c>
      <c r="F2121" t="s">
        <v>10000</v>
      </c>
      <c r="G2121" t="str">
        <f>"47-2141.00"</f>
        <v>47-2141.00</v>
      </c>
      <c r="H2121" t="s">
        <v>5569</v>
      </c>
      <c r="I2121">
        <v>5</v>
      </c>
      <c r="K2121" s="1">
        <v>45200</v>
      </c>
      <c r="L2121" s="1">
        <v>45504</v>
      </c>
      <c r="O2121" t="s">
        <v>116</v>
      </c>
      <c r="P2121" t="s">
        <v>10001</v>
      </c>
      <c r="R2121" t="s">
        <v>10002</v>
      </c>
      <c r="S2121" t="s">
        <v>10003</v>
      </c>
      <c r="T2121" t="s">
        <v>10004</v>
      </c>
      <c r="U2121" t="s">
        <v>140</v>
      </c>
      <c r="V2121" s="8" t="str">
        <f>"32181"</f>
        <v>32181</v>
      </c>
      <c r="W2121" t="s">
        <v>118</v>
      </c>
      <c r="Y2121" s="10">
        <v>13869166426</v>
      </c>
      <c r="AA2121">
        <v>237310</v>
      </c>
      <c r="AB2121" t="s">
        <v>10005</v>
      </c>
      <c r="AC2121" t="s">
        <v>10006</v>
      </c>
      <c r="AE2121" t="s">
        <v>561</v>
      </c>
      <c r="AF2121" t="s">
        <v>10002</v>
      </c>
      <c r="AG2121" t="s">
        <v>10003</v>
      </c>
      <c r="AH2121" t="s">
        <v>10004</v>
      </c>
      <c r="AI2121" t="s">
        <v>140</v>
      </c>
      <c r="AJ2121" s="8" t="str">
        <f>"32181"</f>
        <v>32181</v>
      </c>
      <c r="AK2121" t="s">
        <v>118</v>
      </c>
      <c r="AM2121" s="10">
        <v>13869166426</v>
      </c>
      <c r="AO2121" t="s">
        <v>10007</v>
      </c>
      <c r="AP2121" t="s">
        <v>248</v>
      </c>
      <c r="AQ2121" t="s">
        <v>3629</v>
      </c>
      <c r="AR2121" t="s">
        <v>3097</v>
      </c>
      <c r="AS2121" t="s">
        <v>2009</v>
      </c>
      <c r="AT2121" t="s">
        <v>3724</v>
      </c>
      <c r="AU2121" t="s">
        <v>7835</v>
      </c>
      <c r="AV2121" t="s">
        <v>3725</v>
      </c>
      <c r="AW2121" t="s">
        <v>358</v>
      </c>
      <c r="AX2121" s="8" t="str">
        <f>"12428"</f>
        <v>12428</v>
      </c>
      <c r="AY2121" t="s">
        <v>118</v>
      </c>
      <c r="BA2121" s="10">
        <v>19178545221</v>
      </c>
      <c r="BC2121" t="s">
        <v>3726</v>
      </c>
      <c r="BD2121" t="s">
        <v>3727</v>
      </c>
      <c r="BG2121" t="s">
        <v>140</v>
      </c>
      <c r="BH2121" s="1">
        <v>45111.833333333336</v>
      </c>
      <c r="BI2121">
        <v>40</v>
      </c>
      <c r="BJ2121">
        <v>0</v>
      </c>
      <c r="BK2121">
        <v>7</v>
      </c>
      <c r="BL2121">
        <v>7</v>
      </c>
      <c r="BM2121">
        <v>7</v>
      </c>
      <c r="BN2121">
        <v>7</v>
      </c>
      <c r="BO2121">
        <v>7</v>
      </c>
      <c r="BP2121">
        <v>5</v>
      </c>
      <c r="BQ2121" t="str">
        <f>"8:00 AM"</f>
        <v>8:00 AM</v>
      </c>
      <c r="BR2121" t="str">
        <f>"4:00 PM"</f>
        <v>4:00 PM</v>
      </c>
      <c r="BS2121" t="s">
        <v>131</v>
      </c>
      <c r="BT2121">
        <v>0</v>
      </c>
      <c r="BU2121">
        <v>2</v>
      </c>
      <c r="BV2121" t="s">
        <v>114</v>
      </c>
      <c r="BX2121" t="s">
        <v>10008</v>
      </c>
      <c r="BY2121" t="s">
        <v>10002</v>
      </c>
      <c r="BZ2121" t="s">
        <v>10003</v>
      </c>
      <c r="CA2121" t="s">
        <v>10004</v>
      </c>
      <c r="CB2121" t="s">
        <v>140</v>
      </c>
      <c r="CC2121" s="8" t="str">
        <f>"32181"</f>
        <v>32181</v>
      </c>
      <c r="CD2121" t="s">
        <v>6036</v>
      </c>
      <c r="CE2121" t="s">
        <v>10009</v>
      </c>
      <c r="CF2121" s="12">
        <v>18.239999999999998</v>
      </c>
      <c r="CG2121" s="12">
        <v>18.239999999999998</v>
      </c>
      <c r="CJ2121" t="s">
        <v>135</v>
      </c>
      <c r="CL2121" t="s">
        <v>10010</v>
      </c>
      <c r="CO2121" t="s">
        <v>132</v>
      </c>
      <c r="CP2121" t="s">
        <v>136</v>
      </c>
      <c r="CQ2121" t="s">
        <v>136</v>
      </c>
      <c r="CR2121" t="s">
        <v>114</v>
      </c>
      <c r="CS2121" t="s">
        <v>136</v>
      </c>
      <c r="CT2121" t="s">
        <v>136</v>
      </c>
      <c r="CU2121" t="s">
        <v>114</v>
      </c>
      <c r="CV2121" t="s">
        <v>10011</v>
      </c>
      <c r="CW2121" s="10" t="str">
        <f>"+13869166426"</f>
        <v>+13869166426</v>
      </c>
      <c r="CX2121" t="s">
        <v>10007</v>
      </c>
      <c r="CY2121" t="s">
        <v>132</v>
      </c>
      <c r="CZ2121" t="s">
        <v>137</v>
      </c>
      <c r="DA2121" t="s">
        <v>114</v>
      </c>
      <c r="DB2121" t="s">
        <v>114</v>
      </c>
      <c r="DC2121" t="s">
        <v>136</v>
      </c>
      <c r="DD2121" t="s">
        <v>114</v>
      </c>
    </row>
    <row r="2122" spans="1:113" ht="15" customHeight="1" x14ac:dyDescent="0.25">
      <c r="A2122" t="s">
        <v>10320</v>
      </c>
      <c r="B2122" t="s">
        <v>113</v>
      </c>
      <c r="C2122" s="1">
        <v>45111.623446527781</v>
      </c>
      <c r="D2122" s="1">
        <v>45210</v>
      </c>
      <c r="E2122" t="s">
        <v>114</v>
      </c>
      <c r="F2122" t="s">
        <v>10321</v>
      </c>
      <c r="G2122" t="str">
        <f>"51-3022.00"</f>
        <v>51-3022.00</v>
      </c>
      <c r="H2122" t="s">
        <v>1004</v>
      </c>
      <c r="I2122">
        <v>2</v>
      </c>
      <c r="K2122" s="1">
        <v>45200</v>
      </c>
      <c r="L2122" s="1">
        <v>45473</v>
      </c>
      <c r="O2122" t="s">
        <v>116</v>
      </c>
      <c r="P2122" t="s">
        <v>1005</v>
      </c>
      <c r="R2122" t="s">
        <v>1006</v>
      </c>
      <c r="T2122" t="s">
        <v>1007</v>
      </c>
      <c r="U2122" t="s">
        <v>581</v>
      </c>
      <c r="V2122" s="8" t="str">
        <f>"23430"</f>
        <v>23430</v>
      </c>
      <c r="W2122" t="s">
        <v>118</v>
      </c>
      <c r="Y2122" s="10">
        <v>17573754572</v>
      </c>
      <c r="AA2122">
        <v>311612</v>
      </c>
      <c r="AB2122" t="s">
        <v>1008</v>
      </c>
      <c r="AC2122" t="s">
        <v>1009</v>
      </c>
      <c r="AE2122" t="s">
        <v>1010</v>
      </c>
      <c r="AF2122" t="s">
        <v>1006</v>
      </c>
      <c r="AH2122" t="s">
        <v>1007</v>
      </c>
      <c r="AI2122" t="s">
        <v>581</v>
      </c>
      <c r="AJ2122" s="8" t="str">
        <f>"23430"</f>
        <v>23430</v>
      </c>
      <c r="AK2122" t="s">
        <v>118</v>
      </c>
      <c r="AM2122" s="10">
        <v>17573754572</v>
      </c>
      <c r="AO2122" t="s">
        <v>1011</v>
      </c>
      <c r="AP2122" t="s">
        <v>121</v>
      </c>
      <c r="AQ2122" t="s">
        <v>380</v>
      </c>
      <c r="AR2122" t="s">
        <v>381</v>
      </c>
      <c r="AT2122" t="s">
        <v>383</v>
      </c>
      <c r="AV2122" t="s">
        <v>385</v>
      </c>
      <c r="AW2122" t="s">
        <v>386</v>
      </c>
      <c r="AX2122" s="8" t="str">
        <f>"37122"</f>
        <v>37122</v>
      </c>
      <c r="AY2122" t="s">
        <v>118</v>
      </c>
      <c r="BA2122" s="10">
        <v>16154227130</v>
      </c>
      <c r="BC2122" t="s">
        <v>1012</v>
      </c>
      <c r="BD2122" t="s">
        <v>1013</v>
      </c>
      <c r="BE2122" t="s">
        <v>386</v>
      </c>
      <c r="BF2122" t="s">
        <v>389</v>
      </c>
      <c r="BG2122" t="s">
        <v>740</v>
      </c>
      <c r="BH2122" s="1">
        <v>45110.833333333336</v>
      </c>
      <c r="BI2122">
        <v>50</v>
      </c>
      <c r="BJ2122">
        <v>0</v>
      </c>
      <c r="BK2122">
        <v>10</v>
      </c>
      <c r="BL2122">
        <v>10</v>
      </c>
      <c r="BM2122">
        <v>10</v>
      </c>
      <c r="BN2122">
        <v>10</v>
      </c>
      <c r="BO2122">
        <v>10</v>
      </c>
      <c r="BP2122">
        <v>0</v>
      </c>
      <c r="BQ2122" t="str">
        <f>"6:30 AM"</f>
        <v>6:30 AM</v>
      </c>
      <c r="BR2122" t="str">
        <f>"5:15 PM"</f>
        <v>5:15 PM</v>
      </c>
      <c r="BS2122" t="s">
        <v>131</v>
      </c>
      <c r="BT2122">
        <v>1</v>
      </c>
      <c r="BU2122">
        <v>0</v>
      </c>
      <c r="BV2122" t="s">
        <v>114</v>
      </c>
      <c r="BX2122" t="s">
        <v>10322</v>
      </c>
      <c r="BY2122" t="s">
        <v>8871</v>
      </c>
      <c r="CA2122" t="s">
        <v>8872</v>
      </c>
      <c r="CB2122" t="s">
        <v>740</v>
      </c>
      <c r="CC2122" s="8" t="str">
        <f>"51442"</f>
        <v>51442</v>
      </c>
      <c r="CD2122" t="s">
        <v>8873</v>
      </c>
      <c r="CE2122" t="s">
        <v>8874</v>
      </c>
      <c r="CF2122" s="12">
        <v>18.600000000000001</v>
      </c>
      <c r="CG2122" s="12">
        <v>22.25</v>
      </c>
      <c r="CH2122" s="12">
        <v>27.9</v>
      </c>
      <c r="CI2122" s="12">
        <v>33.380000000000003</v>
      </c>
      <c r="CJ2122" t="s">
        <v>135</v>
      </c>
      <c r="CK2122" t="s">
        <v>10323</v>
      </c>
      <c r="CL2122" t="s">
        <v>10324</v>
      </c>
      <c r="CO2122" t="s">
        <v>132</v>
      </c>
      <c r="CP2122" t="s">
        <v>114</v>
      </c>
      <c r="CQ2122" t="s">
        <v>114</v>
      </c>
      <c r="CR2122" t="s">
        <v>136</v>
      </c>
      <c r="CS2122" t="s">
        <v>136</v>
      </c>
      <c r="CT2122" t="s">
        <v>136</v>
      </c>
      <c r="CU2122" t="s">
        <v>136</v>
      </c>
      <c r="CV2122" s="2" t="s">
        <v>1021</v>
      </c>
      <c r="CW2122" s="10" t="str">
        <f>"+17576353808"</f>
        <v>+17576353808</v>
      </c>
      <c r="CX2122" t="s">
        <v>1022</v>
      </c>
      <c r="CY2122" t="s">
        <v>132</v>
      </c>
      <c r="CZ2122" t="s">
        <v>137</v>
      </c>
      <c r="DA2122" t="s">
        <v>114</v>
      </c>
      <c r="DB2122" t="s">
        <v>114</v>
      </c>
      <c r="DC2122" t="s">
        <v>136</v>
      </c>
      <c r="DD2122" t="s">
        <v>114</v>
      </c>
    </row>
    <row r="2123" spans="1:113" ht="15" customHeight="1" x14ac:dyDescent="0.25">
      <c r="A2123" t="s">
        <v>11947</v>
      </c>
      <c r="B2123" t="s">
        <v>113</v>
      </c>
      <c r="C2123" s="1">
        <v>45111.498823842594</v>
      </c>
      <c r="D2123" s="1">
        <v>45210</v>
      </c>
      <c r="E2123" t="s">
        <v>114</v>
      </c>
      <c r="F2123" t="s">
        <v>11948</v>
      </c>
      <c r="G2123" t="str">
        <f>"51-3022.00"</f>
        <v>51-3022.00</v>
      </c>
      <c r="H2123" t="s">
        <v>1004</v>
      </c>
      <c r="I2123">
        <v>2</v>
      </c>
      <c r="K2123" s="1">
        <v>45200</v>
      </c>
      <c r="L2123" s="1">
        <v>45504</v>
      </c>
      <c r="O2123" t="s">
        <v>116</v>
      </c>
      <c r="P2123" t="s">
        <v>4241</v>
      </c>
      <c r="Q2123" t="s">
        <v>11949</v>
      </c>
      <c r="R2123" t="s">
        <v>4243</v>
      </c>
      <c r="T2123" t="s">
        <v>3013</v>
      </c>
      <c r="U2123" t="s">
        <v>740</v>
      </c>
      <c r="V2123" s="8" t="str">
        <f>"50317"</f>
        <v>50317</v>
      </c>
      <c r="W2123" t="s">
        <v>118</v>
      </c>
      <c r="Y2123" s="10">
        <v>17573754572</v>
      </c>
      <c r="AA2123">
        <v>311612</v>
      </c>
      <c r="AB2123" t="s">
        <v>1008</v>
      </c>
      <c r="AC2123" t="s">
        <v>1009</v>
      </c>
      <c r="AE2123" t="s">
        <v>1010</v>
      </c>
      <c r="AF2123" t="s">
        <v>1006</v>
      </c>
      <c r="AH2123" t="s">
        <v>1007</v>
      </c>
      <c r="AI2123" t="s">
        <v>581</v>
      </c>
      <c r="AJ2123" s="8" t="str">
        <f>"23430"</f>
        <v>23430</v>
      </c>
      <c r="AK2123" t="s">
        <v>118</v>
      </c>
      <c r="AM2123" s="10">
        <v>17573754572</v>
      </c>
      <c r="AO2123" t="s">
        <v>1011</v>
      </c>
      <c r="AP2123" t="s">
        <v>121</v>
      </c>
      <c r="AQ2123" t="s">
        <v>380</v>
      </c>
      <c r="AR2123" t="s">
        <v>381</v>
      </c>
      <c r="AT2123" t="s">
        <v>383</v>
      </c>
      <c r="AV2123" t="s">
        <v>385</v>
      </c>
      <c r="AW2123" t="s">
        <v>386</v>
      </c>
      <c r="AX2123" s="8" t="str">
        <f>"37122"</f>
        <v>37122</v>
      </c>
      <c r="AY2123" t="s">
        <v>118</v>
      </c>
      <c r="BA2123" s="10">
        <v>16154227130</v>
      </c>
      <c r="BC2123" t="s">
        <v>1012</v>
      </c>
      <c r="BD2123" t="s">
        <v>1013</v>
      </c>
      <c r="BE2123" t="s">
        <v>386</v>
      </c>
      <c r="BF2123" t="s">
        <v>389</v>
      </c>
      <c r="BG2123" t="s">
        <v>740</v>
      </c>
      <c r="BH2123" s="1">
        <v>45110.833333333336</v>
      </c>
      <c r="BI2123">
        <v>50</v>
      </c>
      <c r="BJ2123">
        <v>0</v>
      </c>
      <c r="BK2123">
        <v>10</v>
      </c>
      <c r="BL2123">
        <v>10</v>
      </c>
      <c r="BM2123">
        <v>10</v>
      </c>
      <c r="BN2123">
        <v>10</v>
      </c>
      <c r="BO2123">
        <v>10</v>
      </c>
      <c r="BP2123">
        <v>0</v>
      </c>
      <c r="BQ2123" t="str">
        <f>"6:00 AM"</f>
        <v>6:00 AM</v>
      </c>
      <c r="BR2123" t="str">
        <f>"5:30 PM"</f>
        <v>5:30 PM</v>
      </c>
      <c r="BS2123" t="s">
        <v>131</v>
      </c>
      <c r="BT2123">
        <v>1</v>
      </c>
      <c r="BU2123">
        <v>0</v>
      </c>
      <c r="BV2123" t="s">
        <v>114</v>
      </c>
      <c r="BX2123" s="2" t="s">
        <v>11950</v>
      </c>
      <c r="BY2123" t="s">
        <v>4245</v>
      </c>
      <c r="CA2123" t="s">
        <v>3013</v>
      </c>
      <c r="CB2123" t="s">
        <v>740</v>
      </c>
      <c r="CC2123" s="8" t="str">
        <f>"50317"</f>
        <v>50317</v>
      </c>
      <c r="CD2123" t="s">
        <v>1300</v>
      </c>
      <c r="CE2123" t="s">
        <v>1301</v>
      </c>
      <c r="CF2123" s="12">
        <v>17.170000000000002</v>
      </c>
      <c r="CG2123" s="12">
        <v>25.78</v>
      </c>
      <c r="CH2123" s="12">
        <v>25.76</v>
      </c>
      <c r="CI2123" s="12">
        <v>38.67</v>
      </c>
      <c r="CJ2123" t="s">
        <v>135</v>
      </c>
      <c r="CK2123" t="s">
        <v>11951</v>
      </c>
      <c r="CL2123" t="s">
        <v>11952</v>
      </c>
      <c r="CO2123" t="s">
        <v>132</v>
      </c>
      <c r="CP2123" t="s">
        <v>114</v>
      </c>
      <c r="CQ2123" t="s">
        <v>114</v>
      </c>
      <c r="CR2123" t="s">
        <v>136</v>
      </c>
      <c r="CS2123" t="s">
        <v>136</v>
      </c>
      <c r="CT2123" t="s">
        <v>136</v>
      </c>
      <c r="CU2123" t="s">
        <v>136</v>
      </c>
      <c r="CV2123" s="2" t="s">
        <v>1021</v>
      </c>
      <c r="CW2123" s="10" t="str">
        <f>"+17576353808"</f>
        <v>+17576353808</v>
      </c>
      <c r="CX2123" t="s">
        <v>1022</v>
      </c>
      <c r="CY2123" t="s">
        <v>132</v>
      </c>
      <c r="CZ2123" t="s">
        <v>137</v>
      </c>
      <c r="DA2123" t="s">
        <v>114</v>
      </c>
      <c r="DB2123" t="s">
        <v>114</v>
      </c>
      <c r="DC2123" t="s">
        <v>136</v>
      </c>
      <c r="DD2123" t="s">
        <v>114</v>
      </c>
    </row>
    <row r="2124" spans="1:113" ht="15" customHeight="1" x14ac:dyDescent="0.25">
      <c r="A2124" t="s">
        <v>11912</v>
      </c>
      <c r="B2124" t="s">
        <v>113</v>
      </c>
      <c r="C2124" s="1">
        <v>45110.586826851853</v>
      </c>
      <c r="D2124" s="1">
        <v>45210</v>
      </c>
      <c r="E2124" t="s">
        <v>114</v>
      </c>
      <c r="F2124" t="s">
        <v>11913</v>
      </c>
      <c r="G2124" t="str">
        <f>"47-2131.00"</f>
        <v>47-2131.00</v>
      </c>
      <c r="H2124" t="s">
        <v>11914</v>
      </c>
      <c r="I2124">
        <v>6</v>
      </c>
      <c r="K2124" s="1">
        <v>45200</v>
      </c>
      <c r="L2124" s="1">
        <v>45291</v>
      </c>
      <c r="O2124" t="s">
        <v>116</v>
      </c>
      <c r="P2124" t="s">
        <v>11915</v>
      </c>
      <c r="R2124" t="s">
        <v>11916</v>
      </c>
      <c r="T2124" t="s">
        <v>5681</v>
      </c>
      <c r="U2124" t="s">
        <v>127</v>
      </c>
      <c r="V2124" s="8" t="str">
        <f>"78660"</f>
        <v>78660</v>
      </c>
      <c r="W2124" t="s">
        <v>118</v>
      </c>
      <c r="Y2124" s="10">
        <v>15125176905</v>
      </c>
      <c r="AA2124">
        <v>238310</v>
      </c>
      <c r="AB2124" t="s">
        <v>2115</v>
      </c>
      <c r="AC2124" t="s">
        <v>217</v>
      </c>
      <c r="AE2124" t="s">
        <v>561</v>
      </c>
      <c r="AF2124" t="s">
        <v>11916</v>
      </c>
      <c r="AH2124" t="s">
        <v>5681</v>
      </c>
      <c r="AI2124" t="s">
        <v>127</v>
      </c>
      <c r="AJ2124" s="8" t="str">
        <f>"78660"</f>
        <v>78660</v>
      </c>
      <c r="AK2124" t="s">
        <v>118</v>
      </c>
      <c r="AM2124" s="10">
        <v>15125176905</v>
      </c>
      <c r="AO2124" t="s">
        <v>11917</v>
      </c>
      <c r="AP2124" t="s">
        <v>121</v>
      </c>
      <c r="AQ2124" t="s">
        <v>745</v>
      </c>
      <c r="AR2124" t="s">
        <v>746</v>
      </c>
      <c r="AT2124" t="s">
        <v>747</v>
      </c>
      <c r="AV2124" t="s">
        <v>603</v>
      </c>
      <c r="AW2124" t="s">
        <v>127</v>
      </c>
      <c r="AX2124" s="8" t="str">
        <f>"78737"</f>
        <v>78737</v>
      </c>
      <c r="AY2124" t="s">
        <v>118</v>
      </c>
      <c r="BA2124" s="10">
        <v>15128942128</v>
      </c>
      <c r="BC2124" t="s">
        <v>748</v>
      </c>
      <c r="BD2124" t="s">
        <v>749</v>
      </c>
      <c r="BE2124" t="s">
        <v>127</v>
      </c>
      <c r="BF2124" t="s">
        <v>750</v>
      </c>
      <c r="BG2124" t="s">
        <v>127</v>
      </c>
      <c r="BH2124" s="1">
        <v>45109.833333333336</v>
      </c>
      <c r="BI2124">
        <v>40</v>
      </c>
      <c r="BJ2124">
        <v>0</v>
      </c>
      <c r="BK2124">
        <v>8</v>
      </c>
      <c r="BL2124">
        <v>8</v>
      </c>
      <c r="BM2124">
        <v>8</v>
      </c>
      <c r="BN2124">
        <v>8</v>
      </c>
      <c r="BO2124">
        <v>8</v>
      </c>
      <c r="BP2124">
        <v>0</v>
      </c>
      <c r="BQ2124" t="str">
        <f>"7:00 AM"</f>
        <v>7:00 AM</v>
      </c>
      <c r="BR2124" t="str">
        <f>"6:00 PM"</f>
        <v>6:00 PM</v>
      </c>
      <c r="BS2124" t="s">
        <v>131</v>
      </c>
      <c r="BT2124">
        <v>0</v>
      </c>
      <c r="BU2124">
        <v>12</v>
      </c>
      <c r="BV2124" t="s">
        <v>114</v>
      </c>
      <c r="BX2124" s="2" t="s">
        <v>11918</v>
      </c>
      <c r="BY2124" t="s">
        <v>11916</v>
      </c>
      <c r="CA2124" t="s">
        <v>5681</v>
      </c>
      <c r="CB2124" t="s">
        <v>127</v>
      </c>
      <c r="CC2124" s="8" t="str">
        <f>"78660"</f>
        <v>78660</v>
      </c>
      <c r="CD2124" t="s">
        <v>323</v>
      </c>
      <c r="CE2124" t="s">
        <v>324</v>
      </c>
      <c r="CF2124" s="12">
        <v>22.26</v>
      </c>
      <c r="CG2124" s="12">
        <v>22.26</v>
      </c>
      <c r="CH2124" s="12">
        <v>33.39</v>
      </c>
      <c r="CI2124" s="12">
        <v>33.39</v>
      </c>
      <c r="CJ2124" t="s">
        <v>135</v>
      </c>
      <c r="CL2124" t="s">
        <v>11919</v>
      </c>
      <c r="CO2124" t="s">
        <v>132</v>
      </c>
      <c r="CP2124" t="s">
        <v>136</v>
      </c>
      <c r="CQ2124" t="s">
        <v>136</v>
      </c>
      <c r="CR2124" t="s">
        <v>136</v>
      </c>
      <c r="CS2124" t="s">
        <v>136</v>
      </c>
      <c r="CT2124" t="s">
        <v>136</v>
      </c>
      <c r="CU2124" t="s">
        <v>136</v>
      </c>
      <c r="CV2124" t="s">
        <v>11920</v>
      </c>
      <c r="CW2124" s="10" t="str">
        <f>"+15125176905"</f>
        <v>+15125176905</v>
      </c>
      <c r="CX2124" t="s">
        <v>11917</v>
      </c>
      <c r="CY2124" t="s">
        <v>132</v>
      </c>
      <c r="CZ2124" t="s">
        <v>137</v>
      </c>
      <c r="DA2124" t="s">
        <v>114</v>
      </c>
      <c r="DB2124" t="s">
        <v>114</v>
      </c>
      <c r="DC2124" t="s">
        <v>136</v>
      </c>
      <c r="DD2124" t="s">
        <v>114</v>
      </c>
    </row>
    <row r="2125" spans="1:113" ht="15" customHeight="1" x14ac:dyDescent="0.25">
      <c r="A2125" t="s">
        <v>19585</v>
      </c>
      <c r="B2125" t="s">
        <v>113</v>
      </c>
      <c r="C2125" s="1">
        <v>45110.413616087964</v>
      </c>
      <c r="D2125" s="1">
        <v>45210</v>
      </c>
      <c r="E2125" t="s">
        <v>114</v>
      </c>
      <c r="F2125" t="s">
        <v>15571</v>
      </c>
      <c r="G2125" t="str">
        <f>"47-1011.00"</f>
        <v>47-1011.00</v>
      </c>
      <c r="H2125" t="s">
        <v>8562</v>
      </c>
      <c r="I2125">
        <v>7</v>
      </c>
      <c r="K2125" s="1">
        <v>45200</v>
      </c>
      <c r="L2125" s="1">
        <v>45717</v>
      </c>
      <c r="O2125" t="s">
        <v>184</v>
      </c>
      <c r="P2125" t="s">
        <v>16634</v>
      </c>
      <c r="R2125" t="s">
        <v>16635</v>
      </c>
      <c r="S2125" t="s">
        <v>4617</v>
      </c>
      <c r="T2125" t="s">
        <v>4903</v>
      </c>
      <c r="U2125" t="s">
        <v>550</v>
      </c>
      <c r="V2125" s="8" t="str">
        <f>"30092"</f>
        <v>30092</v>
      </c>
      <c r="W2125" t="s">
        <v>118</v>
      </c>
      <c r="Y2125" s="10">
        <v>17706576952</v>
      </c>
      <c r="AA2125">
        <v>541330</v>
      </c>
      <c r="AB2125" t="s">
        <v>16636</v>
      </c>
      <c r="AC2125" t="s">
        <v>16637</v>
      </c>
      <c r="AE2125" t="s">
        <v>16638</v>
      </c>
      <c r="AF2125" t="s">
        <v>16635</v>
      </c>
      <c r="AG2125" t="s">
        <v>4617</v>
      </c>
      <c r="AH2125" t="s">
        <v>4903</v>
      </c>
      <c r="AI2125" t="s">
        <v>550</v>
      </c>
      <c r="AJ2125" s="8" t="str">
        <f>"30092"</f>
        <v>30092</v>
      </c>
      <c r="AK2125" t="s">
        <v>118</v>
      </c>
      <c r="AM2125" s="10">
        <v>17706576952</v>
      </c>
      <c r="AO2125" t="s">
        <v>16639</v>
      </c>
      <c r="AP2125" t="s">
        <v>121</v>
      </c>
      <c r="AQ2125" t="s">
        <v>3798</v>
      </c>
      <c r="AR2125" t="s">
        <v>487</v>
      </c>
      <c r="AS2125" t="s">
        <v>515</v>
      </c>
      <c r="AT2125" t="s">
        <v>3799</v>
      </c>
      <c r="AU2125" t="s">
        <v>3800</v>
      </c>
      <c r="AV2125" t="s">
        <v>573</v>
      </c>
      <c r="AW2125" t="s">
        <v>550</v>
      </c>
      <c r="AX2125" s="8" t="str">
        <f>"30363"</f>
        <v>30363</v>
      </c>
      <c r="AY2125" t="s">
        <v>118</v>
      </c>
      <c r="BA2125" s="10">
        <v>14043226065</v>
      </c>
      <c r="BC2125" t="s">
        <v>3801</v>
      </c>
      <c r="BD2125" t="s">
        <v>3802</v>
      </c>
      <c r="BE2125" t="s">
        <v>550</v>
      </c>
      <c r="BF2125" t="s">
        <v>5728</v>
      </c>
      <c r="BG2125" t="s">
        <v>127</v>
      </c>
      <c r="BH2125" s="1">
        <v>45106.833333333336</v>
      </c>
      <c r="BI2125">
        <v>40</v>
      </c>
      <c r="BJ2125">
        <v>0</v>
      </c>
      <c r="BK2125">
        <v>8</v>
      </c>
      <c r="BL2125">
        <v>8</v>
      </c>
      <c r="BM2125">
        <v>8</v>
      </c>
      <c r="BN2125">
        <v>8</v>
      </c>
      <c r="BO2125">
        <v>8</v>
      </c>
      <c r="BP2125">
        <v>0</v>
      </c>
      <c r="BQ2125" t="str">
        <f>"8:00 AM"</f>
        <v>8:00 AM</v>
      </c>
      <c r="BR2125" t="str">
        <f>"5:00 PM"</f>
        <v>5:00 PM</v>
      </c>
      <c r="BS2125" t="s">
        <v>131</v>
      </c>
      <c r="BT2125">
        <v>0</v>
      </c>
      <c r="BU2125">
        <v>60</v>
      </c>
      <c r="BV2125" t="s">
        <v>136</v>
      </c>
      <c r="BW2125">
        <v>6</v>
      </c>
      <c r="BX2125" t="s">
        <v>19586</v>
      </c>
      <c r="BY2125" t="s">
        <v>19587</v>
      </c>
      <c r="CA2125" t="s">
        <v>2158</v>
      </c>
      <c r="CB2125" t="s">
        <v>127</v>
      </c>
      <c r="CC2125" s="8" t="str">
        <f>"76574"</f>
        <v>76574</v>
      </c>
      <c r="CD2125" t="s">
        <v>3147</v>
      </c>
      <c r="CE2125" t="s">
        <v>324</v>
      </c>
      <c r="CF2125" s="12">
        <v>33.29</v>
      </c>
      <c r="CH2125" s="12">
        <v>49.94</v>
      </c>
      <c r="CJ2125" t="s">
        <v>135</v>
      </c>
      <c r="CL2125" t="s">
        <v>19588</v>
      </c>
      <c r="CO2125" t="s">
        <v>132</v>
      </c>
      <c r="CP2125" t="s">
        <v>114</v>
      </c>
      <c r="CQ2125" t="s">
        <v>136</v>
      </c>
      <c r="CR2125" t="s">
        <v>136</v>
      </c>
      <c r="CS2125" t="s">
        <v>136</v>
      </c>
      <c r="CT2125" t="s">
        <v>136</v>
      </c>
      <c r="CU2125" t="s">
        <v>136</v>
      </c>
      <c r="CV2125" t="s">
        <v>12041</v>
      </c>
      <c r="CW2125" s="10" t="str">
        <f>"+17706576952"</f>
        <v>+17706576952</v>
      </c>
      <c r="CX2125" t="s">
        <v>16639</v>
      </c>
      <c r="CY2125" t="s">
        <v>132</v>
      </c>
      <c r="CZ2125" t="s">
        <v>137</v>
      </c>
      <c r="DA2125" t="s">
        <v>114</v>
      </c>
      <c r="DB2125" t="s">
        <v>114</v>
      </c>
      <c r="DC2125" t="s">
        <v>136</v>
      </c>
      <c r="DD2125" t="s">
        <v>114</v>
      </c>
    </row>
    <row r="2126" spans="1:113" ht="15" customHeight="1" x14ac:dyDescent="0.25">
      <c r="A2126" t="s">
        <v>23358</v>
      </c>
      <c r="B2126" t="s">
        <v>113</v>
      </c>
      <c r="C2126" s="1">
        <v>45110.412638773145</v>
      </c>
      <c r="D2126" s="1">
        <v>45210</v>
      </c>
      <c r="E2126" t="s">
        <v>114</v>
      </c>
      <c r="F2126" t="s">
        <v>18508</v>
      </c>
      <c r="G2126" t="str">
        <f>"47-2111.00"</f>
        <v>47-2111.00</v>
      </c>
      <c r="H2126" t="s">
        <v>1340</v>
      </c>
      <c r="I2126">
        <v>40</v>
      </c>
      <c r="K2126" s="1">
        <v>45200</v>
      </c>
      <c r="L2126" s="1">
        <v>45717</v>
      </c>
      <c r="O2126" t="s">
        <v>184</v>
      </c>
      <c r="P2126" t="s">
        <v>16634</v>
      </c>
      <c r="R2126" t="s">
        <v>16635</v>
      </c>
      <c r="S2126" t="s">
        <v>4617</v>
      </c>
      <c r="T2126" t="s">
        <v>4903</v>
      </c>
      <c r="U2126" t="s">
        <v>550</v>
      </c>
      <c r="V2126" s="8" t="str">
        <f>"30092"</f>
        <v>30092</v>
      </c>
      <c r="W2126" t="s">
        <v>118</v>
      </c>
      <c r="Y2126" s="10">
        <v>17706576952</v>
      </c>
      <c r="AA2126">
        <v>541330</v>
      </c>
      <c r="AB2126" t="s">
        <v>16636</v>
      </c>
      <c r="AC2126" t="s">
        <v>16637</v>
      </c>
      <c r="AE2126" t="s">
        <v>16638</v>
      </c>
      <c r="AF2126" t="s">
        <v>16635</v>
      </c>
      <c r="AG2126" t="s">
        <v>4617</v>
      </c>
      <c r="AH2126" t="s">
        <v>4903</v>
      </c>
      <c r="AI2126" t="s">
        <v>550</v>
      </c>
      <c r="AJ2126" s="8" t="str">
        <f>"30092"</f>
        <v>30092</v>
      </c>
      <c r="AK2126" t="s">
        <v>118</v>
      </c>
      <c r="AM2126" s="10">
        <v>17706576952</v>
      </c>
      <c r="AO2126" t="s">
        <v>16639</v>
      </c>
      <c r="AP2126" t="s">
        <v>121</v>
      </c>
      <c r="AQ2126" t="s">
        <v>3798</v>
      </c>
      <c r="AR2126" t="s">
        <v>487</v>
      </c>
      <c r="AS2126" t="s">
        <v>515</v>
      </c>
      <c r="AT2126" t="s">
        <v>3799</v>
      </c>
      <c r="AU2126" t="s">
        <v>3800</v>
      </c>
      <c r="AV2126" t="s">
        <v>573</v>
      </c>
      <c r="AW2126" t="s">
        <v>550</v>
      </c>
      <c r="AX2126" s="8" t="str">
        <f>"30363"</f>
        <v>30363</v>
      </c>
      <c r="AY2126" t="s">
        <v>118</v>
      </c>
      <c r="BA2126" s="10">
        <v>14043226065</v>
      </c>
      <c r="BC2126" t="s">
        <v>3801</v>
      </c>
      <c r="BD2126" t="s">
        <v>3802</v>
      </c>
      <c r="BE2126" t="s">
        <v>550</v>
      </c>
      <c r="BF2126" t="s">
        <v>5728</v>
      </c>
      <c r="BG2126" t="s">
        <v>127</v>
      </c>
      <c r="BH2126" s="1">
        <v>45106.833333333336</v>
      </c>
      <c r="BI2126">
        <v>40</v>
      </c>
      <c r="BJ2126">
        <v>0</v>
      </c>
      <c r="BK2126">
        <v>8</v>
      </c>
      <c r="BL2126">
        <v>8</v>
      </c>
      <c r="BM2126">
        <v>8</v>
      </c>
      <c r="BN2126">
        <v>8</v>
      </c>
      <c r="BO2126">
        <v>8</v>
      </c>
      <c r="BP2126">
        <v>0</v>
      </c>
      <c r="BQ2126" t="str">
        <f>"8:00 AM"</f>
        <v>8:00 AM</v>
      </c>
      <c r="BR2126" t="str">
        <f>"5:00 PM"</f>
        <v>5:00 PM</v>
      </c>
      <c r="BS2126" t="s">
        <v>131</v>
      </c>
      <c r="BT2126">
        <v>0</v>
      </c>
      <c r="BU2126">
        <v>24</v>
      </c>
      <c r="BV2126" t="s">
        <v>114</v>
      </c>
      <c r="BX2126" t="s">
        <v>16641</v>
      </c>
      <c r="BY2126" t="s">
        <v>19587</v>
      </c>
      <c r="CA2126" t="s">
        <v>23359</v>
      </c>
      <c r="CB2126" t="s">
        <v>127</v>
      </c>
      <c r="CC2126" s="8" t="str">
        <f>"76574"</f>
        <v>76574</v>
      </c>
      <c r="CD2126" t="s">
        <v>3147</v>
      </c>
      <c r="CE2126" t="s">
        <v>324</v>
      </c>
      <c r="CF2126" s="12">
        <v>26.18</v>
      </c>
      <c r="CH2126" s="12">
        <v>39.270000000000003</v>
      </c>
      <c r="CJ2126" t="s">
        <v>135</v>
      </c>
      <c r="CL2126" t="s">
        <v>23360</v>
      </c>
      <c r="CO2126" t="s">
        <v>132</v>
      </c>
      <c r="CP2126" t="s">
        <v>114</v>
      </c>
      <c r="CQ2126" t="s">
        <v>136</v>
      </c>
      <c r="CR2126" t="s">
        <v>136</v>
      </c>
      <c r="CS2126" t="s">
        <v>136</v>
      </c>
      <c r="CT2126" t="s">
        <v>136</v>
      </c>
      <c r="CU2126" t="s">
        <v>136</v>
      </c>
      <c r="CV2126" t="s">
        <v>12041</v>
      </c>
      <c r="CW2126" s="10" t="str">
        <f>"+17706576952"</f>
        <v>+17706576952</v>
      </c>
      <c r="CX2126" t="s">
        <v>16639</v>
      </c>
      <c r="CY2126" t="s">
        <v>132</v>
      </c>
      <c r="CZ2126" t="s">
        <v>137</v>
      </c>
      <c r="DA2126" t="s">
        <v>114</v>
      </c>
      <c r="DB2126" t="s">
        <v>114</v>
      </c>
      <c r="DC2126" t="s">
        <v>136</v>
      </c>
      <c r="DD2126" t="s">
        <v>114</v>
      </c>
    </row>
    <row r="2127" spans="1:113" ht="15" customHeight="1" x14ac:dyDescent="0.25">
      <c r="A2127" t="s">
        <v>16632</v>
      </c>
      <c r="B2127" t="s">
        <v>113</v>
      </c>
      <c r="C2127" s="1">
        <v>45110.410359490743</v>
      </c>
      <c r="D2127" s="1">
        <v>45210</v>
      </c>
      <c r="E2127" t="s">
        <v>114</v>
      </c>
      <c r="F2127" t="s">
        <v>16633</v>
      </c>
      <c r="G2127" t="str">
        <f>"47-2111.00"</f>
        <v>47-2111.00</v>
      </c>
      <c r="H2127" t="s">
        <v>1340</v>
      </c>
      <c r="I2127">
        <v>64</v>
      </c>
      <c r="K2127" s="1">
        <v>45200</v>
      </c>
      <c r="L2127" s="1">
        <v>45596</v>
      </c>
      <c r="O2127" t="s">
        <v>184</v>
      </c>
      <c r="P2127" t="s">
        <v>16634</v>
      </c>
      <c r="R2127" t="s">
        <v>16635</v>
      </c>
      <c r="S2127" t="s">
        <v>4617</v>
      </c>
      <c r="T2127" t="s">
        <v>4903</v>
      </c>
      <c r="U2127" t="s">
        <v>550</v>
      </c>
      <c r="V2127" s="8" t="str">
        <f>"30092"</f>
        <v>30092</v>
      </c>
      <c r="W2127" t="s">
        <v>118</v>
      </c>
      <c r="Y2127" s="10">
        <v>17706576952</v>
      </c>
      <c r="AA2127">
        <v>541330</v>
      </c>
      <c r="AB2127" t="s">
        <v>16636</v>
      </c>
      <c r="AC2127" t="s">
        <v>16637</v>
      </c>
      <c r="AE2127" t="s">
        <v>16638</v>
      </c>
      <c r="AF2127" t="s">
        <v>16635</v>
      </c>
      <c r="AG2127" t="s">
        <v>4617</v>
      </c>
      <c r="AH2127" t="s">
        <v>4903</v>
      </c>
      <c r="AI2127" t="s">
        <v>550</v>
      </c>
      <c r="AJ2127" s="8" t="str">
        <f>"30092"</f>
        <v>30092</v>
      </c>
      <c r="AK2127" t="s">
        <v>118</v>
      </c>
      <c r="AM2127" s="10">
        <v>17706576952</v>
      </c>
      <c r="AO2127" t="s">
        <v>16639</v>
      </c>
      <c r="AP2127" t="s">
        <v>121</v>
      </c>
      <c r="AQ2127" t="s">
        <v>3798</v>
      </c>
      <c r="AR2127" t="s">
        <v>487</v>
      </c>
      <c r="AT2127" t="s">
        <v>5727</v>
      </c>
      <c r="AU2127" t="s">
        <v>3800</v>
      </c>
      <c r="AV2127" t="s">
        <v>573</v>
      </c>
      <c r="AW2127" t="s">
        <v>550</v>
      </c>
      <c r="AX2127" s="8" t="str">
        <f>"30363"</f>
        <v>30363</v>
      </c>
      <c r="AY2127" t="s">
        <v>118</v>
      </c>
      <c r="BA2127" s="10">
        <v>14043226065</v>
      </c>
      <c r="BC2127" t="s">
        <v>3801</v>
      </c>
      <c r="BD2127" t="s">
        <v>16640</v>
      </c>
      <c r="BE2127" t="s">
        <v>550</v>
      </c>
      <c r="BF2127" t="s">
        <v>5728</v>
      </c>
      <c r="BG2127" t="s">
        <v>550</v>
      </c>
      <c r="BH2127" s="1">
        <v>45106.833333333336</v>
      </c>
      <c r="BI2127">
        <v>40</v>
      </c>
      <c r="BJ2127">
        <v>0</v>
      </c>
      <c r="BK2127">
        <v>8</v>
      </c>
      <c r="BL2127">
        <v>8</v>
      </c>
      <c r="BM2127">
        <v>8</v>
      </c>
      <c r="BN2127">
        <v>8</v>
      </c>
      <c r="BO2127">
        <v>8</v>
      </c>
      <c r="BP2127">
        <v>0</v>
      </c>
      <c r="BQ2127" t="str">
        <f>"8:00 AM"</f>
        <v>8:00 AM</v>
      </c>
      <c r="BR2127" t="str">
        <f>"5:00 PM"</f>
        <v>5:00 PM</v>
      </c>
      <c r="BS2127" t="s">
        <v>131</v>
      </c>
      <c r="BT2127">
        <v>0</v>
      </c>
      <c r="BU2127">
        <v>24</v>
      </c>
      <c r="BV2127" t="s">
        <v>114</v>
      </c>
      <c r="BX2127" t="s">
        <v>16641</v>
      </c>
      <c r="BY2127" t="s">
        <v>16642</v>
      </c>
      <c r="CA2127" t="s">
        <v>16643</v>
      </c>
      <c r="CB2127" t="s">
        <v>550</v>
      </c>
      <c r="CC2127" s="8" t="str">
        <f>"31308"</f>
        <v>31308</v>
      </c>
      <c r="CD2127" t="s">
        <v>9852</v>
      </c>
      <c r="CE2127" t="s">
        <v>5175</v>
      </c>
      <c r="CF2127" s="12">
        <v>25.83</v>
      </c>
      <c r="CH2127" s="12">
        <v>38.75</v>
      </c>
      <c r="CJ2127" t="s">
        <v>135</v>
      </c>
      <c r="CL2127" t="s">
        <v>16644</v>
      </c>
      <c r="CO2127" t="s">
        <v>132</v>
      </c>
      <c r="CP2127" t="s">
        <v>114</v>
      </c>
      <c r="CQ2127" t="s">
        <v>136</v>
      </c>
      <c r="CR2127" t="s">
        <v>136</v>
      </c>
      <c r="CS2127" t="s">
        <v>136</v>
      </c>
      <c r="CT2127" t="s">
        <v>136</v>
      </c>
      <c r="CU2127" t="s">
        <v>136</v>
      </c>
      <c r="CV2127" t="s">
        <v>16645</v>
      </c>
      <c r="CW2127" s="10" t="str">
        <f>"+17706576952"</f>
        <v>+17706576952</v>
      </c>
      <c r="CX2127" t="s">
        <v>16639</v>
      </c>
      <c r="CY2127" t="s">
        <v>132</v>
      </c>
      <c r="CZ2127" t="s">
        <v>137</v>
      </c>
      <c r="DA2127" t="s">
        <v>114</v>
      </c>
      <c r="DB2127" t="s">
        <v>114</v>
      </c>
      <c r="DC2127" t="s">
        <v>136</v>
      </c>
      <c r="DD2127" t="s">
        <v>114</v>
      </c>
    </row>
    <row r="2128" spans="1:113" ht="15" customHeight="1" x14ac:dyDescent="0.25">
      <c r="A2128" t="s">
        <v>15963</v>
      </c>
      <c r="B2128" t="s">
        <v>113</v>
      </c>
      <c r="C2128" s="1">
        <v>45110.060000115744</v>
      </c>
      <c r="D2128" s="1">
        <v>45210</v>
      </c>
      <c r="E2128" t="s">
        <v>114</v>
      </c>
      <c r="F2128" t="s">
        <v>1790</v>
      </c>
      <c r="G2128" t="str">
        <f>"35-2014.00"</f>
        <v>35-2014.00</v>
      </c>
      <c r="H2128" t="s">
        <v>154</v>
      </c>
      <c r="I2128">
        <v>40</v>
      </c>
      <c r="K2128" s="1">
        <v>45200</v>
      </c>
      <c r="L2128" s="1">
        <v>45473</v>
      </c>
      <c r="O2128" t="s">
        <v>238</v>
      </c>
      <c r="P2128" t="s">
        <v>15964</v>
      </c>
      <c r="Q2128" t="s">
        <v>15964</v>
      </c>
      <c r="R2128" t="s">
        <v>15965</v>
      </c>
      <c r="T2128" t="s">
        <v>3238</v>
      </c>
      <c r="U2128" t="s">
        <v>140</v>
      </c>
      <c r="V2128" s="8" t="str">
        <f>"32352"</f>
        <v>32352</v>
      </c>
      <c r="W2128" t="s">
        <v>118</v>
      </c>
      <c r="Y2128" s="10">
        <v>18504436908</v>
      </c>
      <c r="AA2128">
        <v>722511</v>
      </c>
      <c r="AB2128" t="s">
        <v>2869</v>
      </c>
      <c r="AC2128" t="s">
        <v>15370</v>
      </c>
      <c r="AE2128" t="s">
        <v>3519</v>
      </c>
      <c r="AF2128" t="s">
        <v>15966</v>
      </c>
      <c r="AH2128" t="s">
        <v>15967</v>
      </c>
      <c r="AI2128" t="s">
        <v>140</v>
      </c>
      <c r="AJ2128" s="8" t="str">
        <f>"32352"</f>
        <v>32352</v>
      </c>
      <c r="AK2128" t="s">
        <v>118</v>
      </c>
      <c r="AM2128" s="10">
        <v>18504436908</v>
      </c>
      <c r="AO2128" t="s">
        <v>15968</v>
      </c>
      <c r="AX2128" s="8" t="str">
        <f>""</f>
        <v/>
      </c>
      <c r="BG2128" t="s">
        <v>386</v>
      </c>
      <c r="BH2128" s="1">
        <v>45113.833333333336</v>
      </c>
      <c r="BI2128">
        <v>35</v>
      </c>
      <c r="BJ2128">
        <v>6</v>
      </c>
      <c r="BK2128">
        <v>6</v>
      </c>
      <c r="BL2128">
        <v>0</v>
      </c>
      <c r="BM2128">
        <v>5</v>
      </c>
      <c r="BN2128">
        <v>6</v>
      </c>
      <c r="BO2128">
        <v>6</v>
      </c>
      <c r="BP2128">
        <v>6</v>
      </c>
      <c r="BQ2128" t="str">
        <f>"4:00 AM"</f>
        <v>4:00 AM</v>
      </c>
      <c r="BR2128" t="str">
        <f>"12:00 AM"</f>
        <v>12:00 AM</v>
      </c>
      <c r="BS2128" t="s">
        <v>147</v>
      </c>
      <c r="BT2128">
        <v>0</v>
      </c>
      <c r="BU2128">
        <v>3</v>
      </c>
      <c r="BV2128" t="s">
        <v>114</v>
      </c>
      <c r="BX2128" t="s">
        <v>15969</v>
      </c>
      <c r="BY2128" t="s">
        <v>15970</v>
      </c>
      <c r="CA2128" t="s">
        <v>7805</v>
      </c>
      <c r="CB2128" t="s">
        <v>386</v>
      </c>
      <c r="CC2128" s="8" t="str">
        <f>"37738"</f>
        <v>37738</v>
      </c>
      <c r="CD2128" t="s">
        <v>1985</v>
      </c>
      <c r="CE2128" t="s">
        <v>1986</v>
      </c>
      <c r="CF2128" s="12">
        <v>13.53</v>
      </c>
      <c r="CG2128" s="12">
        <v>13.53</v>
      </c>
      <c r="CH2128" s="12">
        <v>20.3</v>
      </c>
      <c r="CI2128" s="12">
        <v>20.3</v>
      </c>
      <c r="CJ2128" t="s">
        <v>135</v>
      </c>
      <c r="CK2128" t="s">
        <v>15971</v>
      </c>
      <c r="CL2128" t="s">
        <v>15972</v>
      </c>
      <c r="CO2128" t="s">
        <v>132</v>
      </c>
      <c r="CP2128" t="s">
        <v>136</v>
      </c>
      <c r="CQ2128" t="s">
        <v>136</v>
      </c>
      <c r="CR2128" t="s">
        <v>136</v>
      </c>
      <c r="CS2128" t="s">
        <v>114</v>
      </c>
      <c r="CT2128" t="s">
        <v>136</v>
      </c>
      <c r="CU2128" t="s">
        <v>136</v>
      </c>
      <c r="CV2128" t="s">
        <v>15973</v>
      </c>
      <c r="CW2128" s="10" t="str">
        <f>"N/A"</f>
        <v>N/A</v>
      </c>
      <c r="CX2128" t="s">
        <v>15974</v>
      </c>
      <c r="CY2128" t="s">
        <v>2911</v>
      </c>
      <c r="CZ2128" t="s">
        <v>137</v>
      </c>
      <c r="DA2128" t="s">
        <v>114</v>
      </c>
      <c r="DB2128" t="s">
        <v>114</v>
      </c>
      <c r="DC2128" t="s">
        <v>136</v>
      </c>
      <c r="DD2128" t="s">
        <v>114</v>
      </c>
    </row>
    <row r="2129" spans="1:113" ht="15" customHeight="1" x14ac:dyDescent="0.25">
      <c r="A2129" t="s">
        <v>23243</v>
      </c>
      <c r="B2129" t="s">
        <v>113</v>
      </c>
      <c r="C2129" s="1">
        <v>45110.034545833332</v>
      </c>
      <c r="D2129" s="1">
        <v>45210</v>
      </c>
      <c r="E2129" t="s">
        <v>114</v>
      </c>
      <c r="F2129" t="s">
        <v>115</v>
      </c>
      <c r="G2129" t="str">
        <f>"47-2031.00"</f>
        <v>47-2031.00</v>
      </c>
      <c r="H2129" t="s">
        <v>115</v>
      </c>
      <c r="I2129">
        <v>4</v>
      </c>
      <c r="K2129" s="1">
        <v>45200</v>
      </c>
      <c r="L2129" s="1">
        <v>45473</v>
      </c>
      <c r="O2129" t="s">
        <v>116</v>
      </c>
      <c r="P2129" t="s">
        <v>23244</v>
      </c>
      <c r="R2129" t="s">
        <v>23245</v>
      </c>
      <c r="T2129" t="s">
        <v>23246</v>
      </c>
      <c r="U2129" t="s">
        <v>506</v>
      </c>
      <c r="V2129" s="8" t="str">
        <f>"05669"</f>
        <v>05669</v>
      </c>
      <c r="W2129" t="s">
        <v>118</v>
      </c>
      <c r="Y2129" s="10">
        <v>18024859563</v>
      </c>
      <c r="AA2129">
        <v>238350</v>
      </c>
      <c r="AB2129" t="s">
        <v>23247</v>
      </c>
      <c r="AC2129" t="s">
        <v>9431</v>
      </c>
      <c r="AE2129" t="s">
        <v>561</v>
      </c>
      <c r="AF2129" t="s">
        <v>23245</v>
      </c>
      <c r="AH2129" t="s">
        <v>23246</v>
      </c>
      <c r="AI2129" t="s">
        <v>506</v>
      </c>
      <c r="AJ2129" s="8" t="str">
        <f>"05669"</f>
        <v>05669</v>
      </c>
      <c r="AK2129" t="s">
        <v>118</v>
      </c>
      <c r="AM2129" s="10">
        <v>18024859563</v>
      </c>
      <c r="AO2129" t="s">
        <v>23248</v>
      </c>
      <c r="AP2129" t="s">
        <v>248</v>
      </c>
      <c r="AQ2129" t="s">
        <v>1784</v>
      </c>
      <c r="AR2129" t="s">
        <v>1785</v>
      </c>
      <c r="AT2129" t="s">
        <v>1786</v>
      </c>
      <c r="AU2129" t="s">
        <v>3715</v>
      </c>
      <c r="AV2129" t="s">
        <v>1787</v>
      </c>
      <c r="AW2129" t="s">
        <v>506</v>
      </c>
      <c r="AX2129" s="8" t="str">
        <f>"05760"</f>
        <v>05760</v>
      </c>
      <c r="AY2129" t="s">
        <v>118</v>
      </c>
      <c r="BA2129" s="10">
        <v>18029482788</v>
      </c>
      <c r="BC2129" t="s">
        <v>1788</v>
      </c>
      <c r="BD2129" t="s">
        <v>4969</v>
      </c>
      <c r="BG2129" t="s">
        <v>506</v>
      </c>
      <c r="BH2129" s="1">
        <v>45109.833333333336</v>
      </c>
      <c r="BI2129">
        <v>40</v>
      </c>
      <c r="BJ2129">
        <v>0</v>
      </c>
      <c r="BK2129">
        <v>8</v>
      </c>
      <c r="BL2129">
        <v>8</v>
      </c>
      <c r="BM2129">
        <v>8</v>
      </c>
      <c r="BN2129">
        <v>8</v>
      </c>
      <c r="BO2129">
        <v>8</v>
      </c>
      <c r="BP2129">
        <v>0</v>
      </c>
      <c r="BQ2129" t="str">
        <f>"8:00 AM"</f>
        <v>8:00 AM</v>
      </c>
      <c r="BR2129" t="str">
        <f>"4:30 PM"</f>
        <v>4:30 PM</v>
      </c>
      <c r="BS2129" t="s">
        <v>131</v>
      </c>
      <c r="BT2129">
        <v>0</v>
      </c>
      <c r="BU2129">
        <v>0</v>
      </c>
      <c r="BV2129" t="s">
        <v>114</v>
      </c>
      <c r="BX2129" t="s">
        <v>23249</v>
      </c>
      <c r="BY2129" t="s">
        <v>23245</v>
      </c>
      <c r="CA2129" t="s">
        <v>23246</v>
      </c>
      <c r="CB2129" t="s">
        <v>506</v>
      </c>
      <c r="CC2129" s="8" t="str">
        <f>"05669"</f>
        <v>05669</v>
      </c>
      <c r="CD2129" t="s">
        <v>806</v>
      </c>
      <c r="CE2129" t="s">
        <v>1108</v>
      </c>
      <c r="CF2129" s="12">
        <v>23.69</v>
      </c>
      <c r="CG2129" s="12">
        <v>23.69</v>
      </c>
      <c r="CH2129" s="12">
        <v>35.54</v>
      </c>
      <c r="CI2129" s="12">
        <v>35.54</v>
      </c>
      <c r="CJ2129" t="s">
        <v>135</v>
      </c>
      <c r="CK2129" t="s">
        <v>131</v>
      </c>
      <c r="CL2129" t="s">
        <v>23250</v>
      </c>
      <c r="CO2129" t="s">
        <v>132</v>
      </c>
      <c r="CP2129" t="s">
        <v>114</v>
      </c>
      <c r="CQ2129" t="s">
        <v>114</v>
      </c>
      <c r="CR2129" t="s">
        <v>136</v>
      </c>
      <c r="CS2129" t="s">
        <v>136</v>
      </c>
      <c r="CT2129" t="s">
        <v>136</v>
      </c>
      <c r="CU2129" t="s">
        <v>136</v>
      </c>
      <c r="CV2129" s="2" t="s">
        <v>23251</v>
      </c>
      <c r="CW2129" s="10" t="str">
        <f>"+18024259563"</f>
        <v>+18024259563</v>
      </c>
      <c r="CX2129" t="s">
        <v>23248</v>
      </c>
      <c r="CY2129" t="s">
        <v>132</v>
      </c>
      <c r="CZ2129" t="s">
        <v>137</v>
      </c>
      <c r="DA2129" t="s">
        <v>114</v>
      </c>
      <c r="DB2129" t="s">
        <v>136</v>
      </c>
      <c r="DC2129" t="s">
        <v>136</v>
      </c>
      <c r="DD2129" t="s">
        <v>114</v>
      </c>
    </row>
    <row r="2130" spans="1:113" ht="15" customHeight="1" x14ac:dyDescent="0.25">
      <c r="A2130" t="s">
        <v>9982</v>
      </c>
      <c r="B2130" t="s">
        <v>113</v>
      </c>
      <c r="C2130" s="1">
        <v>45110.015657986114</v>
      </c>
      <c r="D2130" s="1">
        <v>45210</v>
      </c>
      <c r="E2130" t="s">
        <v>114</v>
      </c>
      <c r="F2130" t="s">
        <v>9983</v>
      </c>
      <c r="G2130" t="str">
        <f>"47-2021.00"</f>
        <v>47-2021.00</v>
      </c>
      <c r="H2130" t="s">
        <v>2300</v>
      </c>
      <c r="I2130">
        <v>25</v>
      </c>
      <c r="K2130" s="1">
        <v>45200</v>
      </c>
      <c r="L2130" s="1">
        <v>45474</v>
      </c>
      <c r="O2130" t="s">
        <v>238</v>
      </c>
      <c r="P2130" t="s">
        <v>9984</v>
      </c>
      <c r="R2130" t="s">
        <v>9985</v>
      </c>
      <c r="T2130" t="s">
        <v>9986</v>
      </c>
      <c r="U2130" t="s">
        <v>2608</v>
      </c>
      <c r="V2130" s="8" t="str">
        <f>"73089"</f>
        <v>73089</v>
      </c>
      <c r="W2130" t="s">
        <v>118</v>
      </c>
      <c r="Y2130" s="10">
        <v>14054488515</v>
      </c>
      <c r="AA2130">
        <v>238990</v>
      </c>
      <c r="AB2130" t="s">
        <v>423</v>
      </c>
      <c r="AC2130" t="s">
        <v>9987</v>
      </c>
      <c r="AE2130" t="s">
        <v>561</v>
      </c>
      <c r="AF2130" t="s">
        <v>9988</v>
      </c>
      <c r="AH2130" t="s">
        <v>9986</v>
      </c>
      <c r="AI2130" t="s">
        <v>2608</v>
      </c>
      <c r="AJ2130" s="8" t="str">
        <f>"73089"</f>
        <v>73089</v>
      </c>
      <c r="AK2130" t="s">
        <v>118</v>
      </c>
      <c r="AM2130" s="10">
        <v>14054488515</v>
      </c>
      <c r="AO2130" t="s">
        <v>9989</v>
      </c>
      <c r="AP2130" t="s">
        <v>121</v>
      </c>
      <c r="AQ2130" t="s">
        <v>9990</v>
      </c>
      <c r="AR2130" t="s">
        <v>8662</v>
      </c>
      <c r="AS2130" t="s">
        <v>7741</v>
      </c>
      <c r="AT2130" t="s">
        <v>9991</v>
      </c>
      <c r="AU2130" t="s">
        <v>9992</v>
      </c>
      <c r="AV2130" t="s">
        <v>4139</v>
      </c>
      <c r="AW2130" t="s">
        <v>543</v>
      </c>
      <c r="AX2130" s="8" t="str">
        <f>"45202"</f>
        <v>45202</v>
      </c>
      <c r="AY2130" t="s">
        <v>118</v>
      </c>
      <c r="BA2130" s="10">
        <v>15132876858</v>
      </c>
      <c r="BC2130" t="s">
        <v>9993</v>
      </c>
      <c r="BD2130" t="s">
        <v>9994</v>
      </c>
      <c r="BE2130" t="s">
        <v>543</v>
      </c>
      <c r="BF2130" t="s">
        <v>4848</v>
      </c>
      <c r="BG2130" t="s">
        <v>2608</v>
      </c>
      <c r="BH2130" s="1">
        <v>45106.833333333336</v>
      </c>
      <c r="BI2130">
        <v>35</v>
      </c>
      <c r="BJ2130">
        <v>0</v>
      </c>
      <c r="BK2130">
        <v>7</v>
      </c>
      <c r="BL2130">
        <v>7</v>
      </c>
      <c r="BM2130">
        <v>7</v>
      </c>
      <c r="BN2130">
        <v>7</v>
      </c>
      <c r="BO2130">
        <v>7</v>
      </c>
      <c r="BP2130">
        <v>0</v>
      </c>
      <c r="BQ2130" t="str">
        <f>"7:00 AM"</f>
        <v>7:00 AM</v>
      </c>
      <c r="BR2130" t="str">
        <f>"3:30 PM"</f>
        <v>3:30 PM</v>
      </c>
      <c r="BS2130" t="s">
        <v>131</v>
      </c>
      <c r="BT2130">
        <v>0</v>
      </c>
      <c r="BU2130">
        <v>0</v>
      </c>
      <c r="BV2130" t="s">
        <v>114</v>
      </c>
      <c r="BX2130" t="s">
        <v>9995</v>
      </c>
      <c r="BY2130" t="s">
        <v>9996</v>
      </c>
      <c r="CA2130" t="s">
        <v>9986</v>
      </c>
      <c r="CB2130" t="s">
        <v>2608</v>
      </c>
      <c r="CC2130" s="8" t="str">
        <f>"73089"</f>
        <v>73089</v>
      </c>
      <c r="CD2130" t="s">
        <v>5836</v>
      </c>
      <c r="CE2130" t="s">
        <v>3577</v>
      </c>
      <c r="CF2130" s="12">
        <v>24.18</v>
      </c>
      <c r="CH2130" s="12">
        <v>36.5</v>
      </c>
      <c r="CJ2130" t="s">
        <v>135</v>
      </c>
      <c r="CK2130" t="s">
        <v>132</v>
      </c>
      <c r="CL2130" t="s">
        <v>9997</v>
      </c>
      <c r="CO2130" t="s">
        <v>132</v>
      </c>
      <c r="CP2130" t="s">
        <v>136</v>
      </c>
      <c r="CQ2130" t="s">
        <v>136</v>
      </c>
      <c r="CR2130" t="s">
        <v>136</v>
      </c>
      <c r="CS2130" t="s">
        <v>136</v>
      </c>
      <c r="CT2130" t="s">
        <v>136</v>
      </c>
      <c r="CU2130" t="s">
        <v>136</v>
      </c>
      <c r="CV2130" t="s">
        <v>9998</v>
      </c>
      <c r="CW2130" s="10" t="str">
        <f>"+14054488515"</f>
        <v>+14054488515</v>
      </c>
      <c r="CX2130" t="s">
        <v>9989</v>
      </c>
      <c r="CY2130" t="s">
        <v>132</v>
      </c>
      <c r="CZ2130" t="s">
        <v>137</v>
      </c>
      <c r="DA2130" t="s">
        <v>114</v>
      </c>
      <c r="DB2130" t="s">
        <v>114</v>
      </c>
      <c r="DC2130" t="s">
        <v>136</v>
      </c>
      <c r="DD2130" t="s">
        <v>114</v>
      </c>
    </row>
    <row r="2131" spans="1:113" ht="15" customHeight="1" x14ac:dyDescent="0.25">
      <c r="A2131" t="s">
        <v>16853</v>
      </c>
      <c r="B2131" t="s">
        <v>113</v>
      </c>
      <c r="C2131" s="1">
        <v>45132.787136458333</v>
      </c>
      <c r="D2131" s="1">
        <v>45209</v>
      </c>
      <c r="E2131" t="s">
        <v>114</v>
      </c>
      <c r="F2131" t="s">
        <v>16854</v>
      </c>
      <c r="G2131" t="str">
        <f>"39-2021.00"</f>
        <v>39-2021.00</v>
      </c>
      <c r="H2131" t="s">
        <v>2895</v>
      </c>
      <c r="I2131">
        <v>2</v>
      </c>
      <c r="K2131" s="1">
        <v>45208</v>
      </c>
      <c r="L2131" s="1">
        <v>45939</v>
      </c>
      <c r="O2131" t="s">
        <v>184</v>
      </c>
      <c r="P2131" t="s">
        <v>16855</v>
      </c>
      <c r="Q2131" t="s">
        <v>16856</v>
      </c>
      <c r="R2131" t="s">
        <v>16857</v>
      </c>
      <c r="T2131" t="s">
        <v>16858</v>
      </c>
      <c r="U2131" t="s">
        <v>127</v>
      </c>
      <c r="V2131" s="8" t="str">
        <f>"78613"</f>
        <v>78613</v>
      </c>
      <c r="W2131" t="s">
        <v>118</v>
      </c>
      <c r="Y2131" s="10">
        <v>15127725555</v>
      </c>
      <c r="AA2131">
        <v>812910</v>
      </c>
      <c r="AB2131" t="s">
        <v>7293</v>
      </c>
      <c r="AC2131" t="s">
        <v>674</v>
      </c>
      <c r="AD2131" t="s">
        <v>16859</v>
      </c>
      <c r="AE2131" t="s">
        <v>16860</v>
      </c>
      <c r="AF2131" t="s">
        <v>16861</v>
      </c>
      <c r="AH2131" t="s">
        <v>3068</v>
      </c>
      <c r="AI2131" t="s">
        <v>127</v>
      </c>
      <c r="AJ2131" s="8" t="str">
        <f>"76527"</f>
        <v>76527</v>
      </c>
      <c r="AK2131" t="s">
        <v>118</v>
      </c>
      <c r="AM2131" s="10">
        <v>12083802660</v>
      </c>
      <c r="AO2131" t="s">
        <v>16862</v>
      </c>
      <c r="AX2131" s="8" t="str">
        <f>""</f>
        <v/>
      </c>
      <c r="BG2131" t="s">
        <v>127</v>
      </c>
      <c r="BH2131" s="1">
        <v>45131.833333333336</v>
      </c>
      <c r="BI2131">
        <v>35</v>
      </c>
      <c r="BJ2131">
        <v>0</v>
      </c>
      <c r="BK2131">
        <v>0</v>
      </c>
      <c r="BL2131">
        <v>7</v>
      </c>
      <c r="BM2131">
        <v>7</v>
      </c>
      <c r="BN2131">
        <v>7</v>
      </c>
      <c r="BO2131">
        <v>7</v>
      </c>
      <c r="BP2131">
        <v>7</v>
      </c>
      <c r="BQ2131" t="str">
        <f>"9:00 AM"</f>
        <v>9:00 AM</v>
      </c>
      <c r="BR2131" t="str">
        <f>"4:00 PM"</f>
        <v>4:00 PM</v>
      </c>
      <c r="BS2131" t="s">
        <v>147</v>
      </c>
      <c r="BT2131">
        <v>0</v>
      </c>
      <c r="BU2131">
        <v>0</v>
      </c>
      <c r="BV2131" t="s">
        <v>114</v>
      </c>
      <c r="BX2131" t="s">
        <v>132</v>
      </c>
      <c r="BY2131" t="s">
        <v>16857</v>
      </c>
      <c r="BZ2131" t="s">
        <v>132</v>
      </c>
      <c r="CA2131" t="s">
        <v>16858</v>
      </c>
      <c r="CB2131" t="s">
        <v>127</v>
      </c>
      <c r="CC2131" s="8" t="str">
        <f>"78613"</f>
        <v>78613</v>
      </c>
      <c r="CD2131" t="s">
        <v>3147</v>
      </c>
      <c r="CE2131" t="s">
        <v>324</v>
      </c>
      <c r="CF2131" s="12">
        <v>13.32</v>
      </c>
      <c r="CJ2131" t="s">
        <v>135</v>
      </c>
      <c r="CK2131" t="s">
        <v>16863</v>
      </c>
      <c r="CL2131" t="s">
        <v>16864</v>
      </c>
      <c r="CO2131" t="s">
        <v>132</v>
      </c>
      <c r="CP2131" t="s">
        <v>136</v>
      </c>
      <c r="CQ2131" t="s">
        <v>136</v>
      </c>
      <c r="CR2131" t="s">
        <v>114</v>
      </c>
      <c r="CS2131" t="s">
        <v>136</v>
      </c>
      <c r="CT2131" t="s">
        <v>136</v>
      </c>
      <c r="CU2131" t="s">
        <v>136</v>
      </c>
      <c r="CV2131" t="s">
        <v>16865</v>
      </c>
      <c r="CW2131" s="10" t="str">
        <f>"+15127725555"</f>
        <v>+15127725555</v>
      </c>
      <c r="CX2131" t="s">
        <v>16862</v>
      </c>
      <c r="CY2131" t="s">
        <v>132</v>
      </c>
      <c r="CZ2131" t="s">
        <v>137</v>
      </c>
      <c r="DA2131" t="s">
        <v>114</v>
      </c>
      <c r="DB2131" t="s">
        <v>114</v>
      </c>
      <c r="DC2131" t="s">
        <v>136</v>
      </c>
      <c r="DD2131" t="s">
        <v>114</v>
      </c>
    </row>
    <row r="2132" spans="1:113" ht="15" customHeight="1" x14ac:dyDescent="0.25">
      <c r="A2132" t="s">
        <v>21863</v>
      </c>
      <c r="B2132" t="s">
        <v>113</v>
      </c>
      <c r="C2132" s="1">
        <v>45112.701852546299</v>
      </c>
      <c r="D2132" s="1">
        <v>45209</v>
      </c>
      <c r="E2132" t="s">
        <v>114</v>
      </c>
      <c r="F2132" t="s">
        <v>21864</v>
      </c>
      <c r="G2132" t="str">
        <f>"51-2041.00"</f>
        <v>51-2041.00</v>
      </c>
      <c r="H2132" t="s">
        <v>2613</v>
      </c>
      <c r="I2132">
        <v>60</v>
      </c>
      <c r="K2132" s="1">
        <v>45200</v>
      </c>
      <c r="L2132" s="1">
        <v>45504</v>
      </c>
      <c r="O2132" t="s">
        <v>116</v>
      </c>
      <c r="P2132" t="s">
        <v>8318</v>
      </c>
      <c r="R2132" t="s">
        <v>8319</v>
      </c>
      <c r="T2132" t="s">
        <v>6540</v>
      </c>
      <c r="U2132" t="s">
        <v>333</v>
      </c>
      <c r="V2132" s="8" t="str">
        <f>"70363"</f>
        <v>70363</v>
      </c>
      <c r="W2132" t="s">
        <v>118</v>
      </c>
      <c r="Y2132" s="10">
        <v>19856015188</v>
      </c>
      <c r="AA2132">
        <v>336611</v>
      </c>
      <c r="AB2132" t="s">
        <v>8320</v>
      </c>
      <c r="AC2132" t="s">
        <v>8321</v>
      </c>
      <c r="AE2132" t="s">
        <v>8322</v>
      </c>
      <c r="AF2132" t="s">
        <v>8319</v>
      </c>
      <c r="AH2132" t="s">
        <v>6540</v>
      </c>
      <c r="AI2132" t="s">
        <v>333</v>
      </c>
      <c r="AJ2132" s="8" t="str">
        <f>"70363"</f>
        <v>70363</v>
      </c>
      <c r="AK2132" t="s">
        <v>118</v>
      </c>
      <c r="AM2132" s="10">
        <v>19856015188</v>
      </c>
      <c r="AO2132" t="s">
        <v>8323</v>
      </c>
      <c r="AP2132" t="s">
        <v>121</v>
      </c>
      <c r="AQ2132" t="s">
        <v>2614</v>
      </c>
      <c r="AR2132" t="s">
        <v>8324</v>
      </c>
      <c r="AS2132" t="s">
        <v>8325</v>
      </c>
      <c r="AT2132" t="s">
        <v>11735</v>
      </c>
      <c r="AU2132" t="s">
        <v>8326</v>
      </c>
      <c r="AV2132" t="s">
        <v>8327</v>
      </c>
      <c r="AW2132" t="s">
        <v>117</v>
      </c>
      <c r="AX2132" s="8" t="str">
        <f>"60606"</f>
        <v>60606</v>
      </c>
      <c r="AY2132" t="s">
        <v>118</v>
      </c>
      <c r="BA2132" s="10">
        <v>13127226300</v>
      </c>
      <c r="BC2132" t="s">
        <v>8328</v>
      </c>
      <c r="BD2132" t="s">
        <v>11736</v>
      </c>
      <c r="BE2132" t="s">
        <v>127</v>
      </c>
      <c r="BF2132" t="s">
        <v>750</v>
      </c>
      <c r="BG2132" t="s">
        <v>333</v>
      </c>
      <c r="BH2132" s="1">
        <v>45111.833333333336</v>
      </c>
      <c r="BI2132">
        <v>50</v>
      </c>
      <c r="BJ2132">
        <v>0</v>
      </c>
      <c r="BK2132">
        <v>10</v>
      </c>
      <c r="BL2132">
        <v>10</v>
      </c>
      <c r="BM2132">
        <v>10</v>
      </c>
      <c r="BN2132">
        <v>10</v>
      </c>
      <c r="BO2132">
        <v>10</v>
      </c>
      <c r="BP2132">
        <v>0</v>
      </c>
      <c r="BQ2132" t="str">
        <f>"6:00 AM"</f>
        <v>6:00 AM</v>
      </c>
      <c r="BR2132" t="str">
        <f>"4:30 PM"</f>
        <v>4:30 PM</v>
      </c>
      <c r="BS2132" t="s">
        <v>131</v>
      </c>
      <c r="BT2132">
        <v>0</v>
      </c>
      <c r="BU2132">
        <v>12</v>
      </c>
      <c r="BV2132" t="s">
        <v>114</v>
      </c>
      <c r="BX2132" t="s">
        <v>21865</v>
      </c>
      <c r="BY2132" t="s">
        <v>8319</v>
      </c>
      <c r="CA2132" t="s">
        <v>6540</v>
      </c>
      <c r="CB2132" t="s">
        <v>333</v>
      </c>
      <c r="CC2132" s="8" t="str">
        <f>"70363"</f>
        <v>70363</v>
      </c>
      <c r="CD2132" t="s">
        <v>6546</v>
      </c>
      <c r="CE2132" t="s">
        <v>6547</v>
      </c>
      <c r="CF2132" s="12">
        <v>22.23</v>
      </c>
      <c r="CH2132" s="12">
        <v>33.340000000000003</v>
      </c>
      <c r="CJ2132" t="s">
        <v>135</v>
      </c>
      <c r="CK2132" t="s">
        <v>132</v>
      </c>
      <c r="CL2132" t="s">
        <v>21866</v>
      </c>
      <c r="CO2132" t="s">
        <v>132</v>
      </c>
      <c r="CP2132" t="s">
        <v>136</v>
      </c>
      <c r="CQ2132" t="s">
        <v>136</v>
      </c>
      <c r="CR2132" t="s">
        <v>136</v>
      </c>
      <c r="CS2132" t="s">
        <v>114</v>
      </c>
      <c r="CT2132" t="s">
        <v>136</v>
      </c>
      <c r="CU2132" t="s">
        <v>136</v>
      </c>
      <c r="CV2132" t="s">
        <v>21867</v>
      </c>
      <c r="CW2132" s="10" t="str">
        <f>"+19856015188"</f>
        <v>+19856015188</v>
      </c>
      <c r="CX2132" t="s">
        <v>8323</v>
      </c>
      <c r="CY2132" t="s">
        <v>132</v>
      </c>
      <c r="CZ2132" t="s">
        <v>137</v>
      </c>
      <c r="DA2132" t="s">
        <v>114</v>
      </c>
      <c r="DB2132" t="s">
        <v>114</v>
      </c>
      <c r="DC2132" t="s">
        <v>136</v>
      </c>
      <c r="DD2132" t="s">
        <v>114</v>
      </c>
      <c r="DE2132" t="s">
        <v>2614</v>
      </c>
      <c r="DF2132" t="s">
        <v>8324</v>
      </c>
      <c r="DG2132" t="s">
        <v>628</v>
      </c>
      <c r="DH2132" t="s">
        <v>8329</v>
      </c>
      <c r="DI2132" t="s">
        <v>8328</v>
      </c>
    </row>
    <row r="2133" spans="1:113" ht="15" customHeight="1" x14ac:dyDescent="0.25">
      <c r="A2133" t="s">
        <v>21459</v>
      </c>
      <c r="B2133" t="s">
        <v>113</v>
      </c>
      <c r="C2133" s="1">
        <v>45112.490064467594</v>
      </c>
      <c r="D2133" s="1">
        <v>45209</v>
      </c>
      <c r="E2133" t="s">
        <v>114</v>
      </c>
      <c r="F2133" t="s">
        <v>12954</v>
      </c>
      <c r="G2133" t="str">
        <f>"47-2141.00"</f>
        <v>47-2141.00</v>
      </c>
      <c r="H2133" t="s">
        <v>5569</v>
      </c>
      <c r="I2133">
        <v>59</v>
      </c>
      <c r="K2133" s="1">
        <v>45200</v>
      </c>
      <c r="L2133" s="1">
        <v>45565</v>
      </c>
      <c r="O2133" t="s">
        <v>184</v>
      </c>
      <c r="P2133" t="s">
        <v>19138</v>
      </c>
      <c r="R2133" t="s">
        <v>19139</v>
      </c>
      <c r="T2133" t="s">
        <v>14236</v>
      </c>
      <c r="U2133" t="s">
        <v>127</v>
      </c>
      <c r="V2133" s="8" t="str">
        <f>"78363"</f>
        <v>78363</v>
      </c>
      <c r="W2133" t="s">
        <v>118</v>
      </c>
      <c r="Y2133" s="10">
        <v>19045712819</v>
      </c>
      <c r="AA2133">
        <v>23899</v>
      </c>
      <c r="AB2133" t="s">
        <v>19140</v>
      </c>
      <c r="AC2133" t="s">
        <v>1945</v>
      </c>
      <c r="AE2133" t="s">
        <v>629</v>
      </c>
      <c r="AF2133" t="s">
        <v>19139</v>
      </c>
      <c r="AH2133" t="s">
        <v>14236</v>
      </c>
      <c r="AI2133" t="s">
        <v>127</v>
      </c>
      <c r="AJ2133" s="8" t="str">
        <f>"78363"</f>
        <v>78363</v>
      </c>
      <c r="AK2133" t="s">
        <v>118</v>
      </c>
      <c r="AM2133" s="10">
        <v>19045712819</v>
      </c>
      <c r="AO2133" t="s">
        <v>19141</v>
      </c>
      <c r="AP2133" t="s">
        <v>121</v>
      </c>
      <c r="AQ2133" t="s">
        <v>8924</v>
      </c>
      <c r="AR2133" t="s">
        <v>8925</v>
      </c>
      <c r="AS2133" t="s">
        <v>1738</v>
      </c>
      <c r="AT2133" t="s">
        <v>8926</v>
      </c>
      <c r="AU2133" t="s">
        <v>8927</v>
      </c>
      <c r="AV2133" t="s">
        <v>3107</v>
      </c>
      <c r="AW2133" t="s">
        <v>434</v>
      </c>
      <c r="AX2133" s="8" t="str">
        <f>"15222"</f>
        <v>15222</v>
      </c>
      <c r="AY2133" t="s">
        <v>118</v>
      </c>
      <c r="BA2133" s="10">
        <v>14124562821</v>
      </c>
      <c r="BB2133">
        <v>2821</v>
      </c>
      <c r="BC2133" t="s">
        <v>8928</v>
      </c>
      <c r="BD2133" t="s">
        <v>8929</v>
      </c>
      <c r="BE2133" t="s">
        <v>434</v>
      </c>
      <c r="BF2133" t="s">
        <v>10741</v>
      </c>
      <c r="BG2133" t="s">
        <v>127</v>
      </c>
      <c r="BH2133" s="1">
        <v>45111.833333333336</v>
      </c>
      <c r="BI2133">
        <v>50</v>
      </c>
      <c r="BJ2133">
        <v>0</v>
      </c>
      <c r="BK2133">
        <v>10</v>
      </c>
      <c r="BL2133">
        <v>10</v>
      </c>
      <c r="BM2133">
        <v>10</v>
      </c>
      <c r="BN2133">
        <v>10</v>
      </c>
      <c r="BO2133">
        <v>10</v>
      </c>
      <c r="BP2133">
        <v>0</v>
      </c>
      <c r="BQ2133" t="str">
        <f>"7:00 AM"</f>
        <v>7:00 AM</v>
      </c>
      <c r="BR2133" t="str">
        <f>"5:30 PM"</f>
        <v>5:30 PM</v>
      </c>
      <c r="BS2133" t="s">
        <v>147</v>
      </c>
      <c r="BT2133">
        <v>0</v>
      </c>
      <c r="BU2133">
        <v>12</v>
      </c>
      <c r="BV2133" t="s">
        <v>114</v>
      </c>
      <c r="BX2133" s="2" t="s">
        <v>21460</v>
      </c>
      <c r="BY2133" t="s">
        <v>4564</v>
      </c>
      <c r="CA2133" t="s">
        <v>2617</v>
      </c>
      <c r="CB2133" t="s">
        <v>127</v>
      </c>
      <c r="CC2133" s="8" t="str">
        <f>"78362"</f>
        <v>78362</v>
      </c>
      <c r="CD2133" t="s">
        <v>2572</v>
      </c>
      <c r="CE2133" t="s">
        <v>2163</v>
      </c>
      <c r="CF2133" s="12">
        <v>19.670000000000002</v>
      </c>
      <c r="CG2133" s="12">
        <v>19.670000000000002</v>
      </c>
      <c r="CH2133" s="12">
        <v>29.51</v>
      </c>
      <c r="CI2133" s="12">
        <v>29.51</v>
      </c>
      <c r="CJ2133" t="s">
        <v>135</v>
      </c>
      <c r="CK2133" t="s">
        <v>19143</v>
      </c>
      <c r="CL2133" t="s">
        <v>21461</v>
      </c>
      <c r="CO2133" t="s">
        <v>132</v>
      </c>
      <c r="CP2133" t="s">
        <v>114</v>
      </c>
      <c r="CQ2133" t="s">
        <v>114</v>
      </c>
      <c r="CR2133" t="s">
        <v>136</v>
      </c>
      <c r="CS2133" t="s">
        <v>114</v>
      </c>
      <c r="CT2133" t="s">
        <v>136</v>
      </c>
      <c r="CU2133" t="s">
        <v>114</v>
      </c>
      <c r="CV2133" t="s">
        <v>19145</v>
      </c>
      <c r="CW2133" s="10" t="str">
        <f>"+12818678409"</f>
        <v>+12818678409</v>
      </c>
      <c r="CX2133" t="s">
        <v>19146</v>
      </c>
      <c r="CY2133" t="s">
        <v>132</v>
      </c>
      <c r="CZ2133" t="s">
        <v>137</v>
      </c>
      <c r="DA2133" t="s">
        <v>114</v>
      </c>
      <c r="DB2133" t="s">
        <v>136</v>
      </c>
      <c r="DC2133" t="s">
        <v>136</v>
      </c>
      <c r="DD2133" t="s">
        <v>114</v>
      </c>
    </row>
    <row r="2134" spans="1:113" ht="15" customHeight="1" x14ac:dyDescent="0.25">
      <c r="A2134" t="s">
        <v>13055</v>
      </c>
      <c r="B2134" t="s">
        <v>113</v>
      </c>
      <c r="C2134" s="1">
        <v>45112.483629745373</v>
      </c>
      <c r="D2134" s="1">
        <v>45209</v>
      </c>
      <c r="E2134" t="s">
        <v>114</v>
      </c>
      <c r="F2134" t="s">
        <v>700</v>
      </c>
      <c r="G2134" t="str">
        <f>"53-7062.00"</f>
        <v>53-7062.00</v>
      </c>
      <c r="H2134" t="s">
        <v>2078</v>
      </c>
      <c r="I2134">
        <v>15</v>
      </c>
      <c r="K2134" s="1">
        <v>45200</v>
      </c>
      <c r="L2134" s="1">
        <v>45291</v>
      </c>
      <c r="O2134" t="s">
        <v>116</v>
      </c>
      <c r="P2134" t="s">
        <v>13056</v>
      </c>
      <c r="Q2134" t="s">
        <v>13057</v>
      </c>
      <c r="R2134" t="s">
        <v>13058</v>
      </c>
      <c r="S2134" t="s">
        <v>13059</v>
      </c>
      <c r="T2134" t="s">
        <v>2096</v>
      </c>
      <c r="U2134" t="s">
        <v>2090</v>
      </c>
      <c r="V2134" s="8" t="str">
        <f>"68154"</f>
        <v>68154</v>
      </c>
      <c r="W2134" t="s">
        <v>118</v>
      </c>
      <c r="Y2134" s="10">
        <v>14023441361</v>
      </c>
      <c r="AA2134">
        <v>42451</v>
      </c>
      <c r="AB2134" t="s">
        <v>13060</v>
      </c>
      <c r="AC2134" t="s">
        <v>3368</v>
      </c>
      <c r="AE2134" t="s">
        <v>13061</v>
      </c>
      <c r="AF2134" t="s">
        <v>13062</v>
      </c>
      <c r="AG2134" t="s">
        <v>13059</v>
      </c>
      <c r="AH2134" t="s">
        <v>2096</v>
      </c>
      <c r="AI2134" t="s">
        <v>2090</v>
      </c>
      <c r="AJ2134" s="8" t="str">
        <f>"68154"</f>
        <v>68154</v>
      </c>
      <c r="AK2134" t="s">
        <v>118</v>
      </c>
      <c r="AM2134" s="10">
        <v>14023441361</v>
      </c>
      <c r="AO2134" t="s">
        <v>13063</v>
      </c>
      <c r="AP2134" t="s">
        <v>121</v>
      </c>
      <c r="AQ2134" t="s">
        <v>2093</v>
      </c>
      <c r="AR2134" t="s">
        <v>486</v>
      </c>
      <c r="AS2134" t="s">
        <v>2094</v>
      </c>
      <c r="AT2134" t="s">
        <v>2095</v>
      </c>
      <c r="AU2134" t="s">
        <v>411</v>
      </c>
      <c r="AV2134" t="s">
        <v>2096</v>
      </c>
      <c r="AW2134" t="s">
        <v>2090</v>
      </c>
      <c r="AX2134" s="8" t="str">
        <f>"68124"</f>
        <v>68124</v>
      </c>
      <c r="AY2134" t="s">
        <v>118</v>
      </c>
      <c r="BA2134" s="10">
        <v>14023433859</v>
      </c>
      <c r="BC2134" t="s">
        <v>2097</v>
      </c>
      <c r="BD2134" t="s">
        <v>2098</v>
      </c>
      <c r="BE2134" t="s">
        <v>2090</v>
      </c>
      <c r="BF2134" t="s">
        <v>2099</v>
      </c>
      <c r="BG2134" t="s">
        <v>1734</v>
      </c>
      <c r="BH2134" s="1">
        <v>45109.833333333336</v>
      </c>
      <c r="BI2134">
        <v>40</v>
      </c>
      <c r="BJ2134">
        <v>0</v>
      </c>
      <c r="BK2134">
        <v>8</v>
      </c>
      <c r="BL2134">
        <v>8</v>
      </c>
      <c r="BM2134">
        <v>8</v>
      </c>
      <c r="BN2134">
        <v>8</v>
      </c>
      <c r="BO2134">
        <v>8</v>
      </c>
      <c r="BP2134">
        <v>0</v>
      </c>
      <c r="BQ2134" t="str">
        <f>"8:00 AM"</f>
        <v>8:00 AM</v>
      </c>
      <c r="BR2134" t="str">
        <f>"5:00 PM"</f>
        <v>5:00 PM</v>
      </c>
      <c r="BS2134" t="s">
        <v>131</v>
      </c>
      <c r="BT2134">
        <v>0</v>
      </c>
      <c r="BU2134">
        <v>0</v>
      </c>
      <c r="BV2134" t="s">
        <v>114</v>
      </c>
      <c r="BX2134" s="2" t="s">
        <v>13064</v>
      </c>
      <c r="BY2134" t="s">
        <v>13065</v>
      </c>
      <c r="CA2134" t="s">
        <v>13066</v>
      </c>
      <c r="CB2134" t="s">
        <v>1734</v>
      </c>
      <c r="CC2134" s="8" t="str">
        <f>"67735"</f>
        <v>67735</v>
      </c>
      <c r="CD2134" t="s">
        <v>13067</v>
      </c>
      <c r="CE2134" t="s">
        <v>5123</v>
      </c>
      <c r="CF2134" s="12">
        <v>16.59</v>
      </c>
      <c r="CG2134" s="12">
        <v>16.59</v>
      </c>
      <c r="CH2134" s="12">
        <v>24.89</v>
      </c>
      <c r="CI2134" s="12">
        <v>24.89</v>
      </c>
      <c r="CJ2134" t="s">
        <v>135</v>
      </c>
      <c r="CK2134" t="s">
        <v>13068</v>
      </c>
      <c r="CL2134" t="s">
        <v>13069</v>
      </c>
      <c r="CO2134" t="s">
        <v>132</v>
      </c>
      <c r="CP2134" t="s">
        <v>136</v>
      </c>
      <c r="CQ2134" t="s">
        <v>136</v>
      </c>
      <c r="CR2134" t="s">
        <v>136</v>
      </c>
      <c r="CS2134" t="s">
        <v>114</v>
      </c>
      <c r="CT2134" t="s">
        <v>136</v>
      </c>
      <c r="CU2134" t="s">
        <v>136</v>
      </c>
      <c r="CV2134" t="s">
        <v>9447</v>
      </c>
      <c r="CW2134" s="10" t="str">
        <f>"+14023441383"</f>
        <v>+14023441383</v>
      </c>
      <c r="CX2134" t="s">
        <v>13070</v>
      </c>
      <c r="CY2134" t="s">
        <v>13071</v>
      </c>
      <c r="CZ2134" t="s">
        <v>137</v>
      </c>
      <c r="DA2134" t="s">
        <v>114</v>
      </c>
      <c r="DB2134" t="s">
        <v>114</v>
      </c>
      <c r="DC2134" t="s">
        <v>136</v>
      </c>
      <c r="DD2134" t="s">
        <v>114</v>
      </c>
    </row>
    <row r="2135" spans="1:113" ht="15" customHeight="1" x14ac:dyDescent="0.25">
      <c r="A2135" t="s">
        <v>15887</v>
      </c>
      <c r="B2135" t="s">
        <v>113</v>
      </c>
      <c r="C2135" s="1">
        <v>45111.813338888889</v>
      </c>
      <c r="D2135" s="1">
        <v>45209</v>
      </c>
      <c r="E2135" t="s">
        <v>114</v>
      </c>
      <c r="F2135" t="s">
        <v>2319</v>
      </c>
      <c r="G2135" t="str">
        <f>"49-9099.00"</f>
        <v>49-9099.00</v>
      </c>
      <c r="H2135" t="s">
        <v>3863</v>
      </c>
      <c r="I2135">
        <v>25</v>
      </c>
      <c r="K2135" s="1">
        <v>45200</v>
      </c>
      <c r="L2135" s="1">
        <v>45473</v>
      </c>
      <c r="O2135" t="s">
        <v>116</v>
      </c>
      <c r="P2135" t="s">
        <v>15888</v>
      </c>
      <c r="R2135" t="s">
        <v>15889</v>
      </c>
      <c r="S2135" t="s">
        <v>15890</v>
      </c>
      <c r="T2135" t="s">
        <v>272</v>
      </c>
      <c r="U2135" t="s">
        <v>140</v>
      </c>
      <c r="V2135" s="8" t="str">
        <f>"33020"</f>
        <v>33020</v>
      </c>
      <c r="W2135" t="s">
        <v>118</v>
      </c>
      <c r="Y2135" s="10">
        <v>17868783626</v>
      </c>
      <c r="AA2135">
        <v>561320</v>
      </c>
      <c r="AB2135" t="s">
        <v>7293</v>
      </c>
      <c r="AC2135" t="s">
        <v>10562</v>
      </c>
      <c r="AE2135" t="s">
        <v>3588</v>
      </c>
      <c r="AF2135" t="s">
        <v>15891</v>
      </c>
      <c r="AG2135" t="s">
        <v>15890</v>
      </c>
      <c r="AH2135" t="s">
        <v>272</v>
      </c>
      <c r="AI2135" t="s">
        <v>140</v>
      </c>
      <c r="AJ2135" s="8" t="str">
        <f>"33020"</f>
        <v>33020</v>
      </c>
      <c r="AK2135" t="s">
        <v>118</v>
      </c>
      <c r="AM2135" s="10">
        <v>13057442629</v>
      </c>
      <c r="AO2135" t="s">
        <v>15892</v>
      </c>
      <c r="AP2135" t="s">
        <v>121</v>
      </c>
      <c r="AQ2135" t="s">
        <v>1140</v>
      </c>
      <c r="AR2135" t="s">
        <v>11147</v>
      </c>
      <c r="AT2135" t="s">
        <v>15893</v>
      </c>
      <c r="AV2135" t="s">
        <v>15894</v>
      </c>
      <c r="AW2135" t="s">
        <v>140</v>
      </c>
      <c r="AX2135" s="8" t="str">
        <f>"33351"</f>
        <v>33351</v>
      </c>
      <c r="AY2135" t="s">
        <v>118</v>
      </c>
      <c r="BA2135" s="10">
        <v>18134203901</v>
      </c>
      <c r="BC2135" t="s">
        <v>6178</v>
      </c>
      <c r="BD2135" t="s">
        <v>15895</v>
      </c>
      <c r="BE2135" t="s">
        <v>140</v>
      </c>
      <c r="BF2135" t="s">
        <v>3229</v>
      </c>
      <c r="BG2135" t="s">
        <v>140</v>
      </c>
      <c r="BH2135" s="1">
        <v>45106.833333333336</v>
      </c>
      <c r="BI2135">
        <v>35</v>
      </c>
      <c r="BJ2135">
        <v>0</v>
      </c>
      <c r="BK2135">
        <v>7</v>
      </c>
      <c r="BL2135">
        <v>7</v>
      </c>
      <c r="BM2135">
        <v>7</v>
      </c>
      <c r="BN2135">
        <v>7</v>
      </c>
      <c r="BO2135">
        <v>7</v>
      </c>
      <c r="BP2135">
        <v>0</v>
      </c>
      <c r="BQ2135" t="str">
        <f>"7:00 AM"</f>
        <v>7:00 AM</v>
      </c>
      <c r="BR2135" t="str">
        <f>"2:00 PM"</f>
        <v>2:00 PM</v>
      </c>
      <c r="BS2135" t="s">
        <v>131</v>
      </c>
      <c r="BT2135">
        <v>0</v>
      </c>
      <c r="BU2135">
        <v>0</v>
      </c>
      <c r="BV2135" t="s">
        <v>114</v>
      </c>
      <c r="BX2135" t="s">
        <v>131</v>
      </c>
      <c r="BY2135" t="s">
        <v>10557</v>
      </c>
      <c r="CA2135" t="s">
        <v>10558</v>
      </c>
      <c r="CB2135" t="s">
        <v>140</v>
      </c>
      <c r="CC2135" s="8" t="str">
        <f>"33351"</f>
        <v>33351</v>
      </c>
      <c r="CD2135" t="s">
        <v>287</v>
      </c>
      <c r="CE2135" t="s">
        <v>149</v>
      </c>
      <c r="CF2135" s="12">
        <v>19.5</v>
      </c>
      <c r="CG2135" s="12">
        <v>19.5</v>
      </c>
      <c r="CJ2135" t="s">
        <v>135</v>
      </c>
      <c r="CL2135" t="s">
        <v>15896</v>
      </c>
      <c r="CO2135" t="s">
        <v>132</v>
      </c>
      <c r="CP2135" t="s">
        <v>114</v>
      </c>
      <c r="CQ2135" t="s">
        <v>136</v>
      </c>
      <c r="CR2135" t="s">
        <v>114</v>
      </c>
      <c r="CS2135" t="s">
        <v>136</v>
      </c>
      <c r="CT2135" t="s">
        <v>136</v>
      </c>
      <c r="CU2135" t="s">
        <v>136</v>
      </c>
      <c r="CV2135" s="2" t="s">
        <v>15897</v>
      </c>
      <c r="CW2135" s="10" t="str">
        <f>"+13057442629"</f>
        <v>+13057442629</v>
      </c>
      <c r="CX2135" t="s">
        <v>15898</v>
      </c>
      <c r="CY2135" t="s">
        <v>132</v>
      </c>
      <c r="CZ2135" t="s">
        <v>137</v>
      </c>
      <c r="DA2135" t="s">
        <v>114</v>
      </c>
      <c r="DB2135" t="s">
        <v>136</v>
      </c>
      <c r="DC2135" t="s">
        <v>136</v>
      </c>
      <c r="DD2135" t="s">
        <v>114</v>
      </c>
      <c r="DE2135" t="s">
        <v>1140</v>
      </c>
      <c r="DF2135" t="s">
        <v>11147</v>
      </c>
      <c r="DH2135" t="s">
        <v>15899</v>
      </c>
      <c r="DI2135" t="s">
        <v>6178</v>
      </c>
    </row>
    <row r="2136" spans="1:113" ht="15" customHeight="1" x14ac:dyDescent="0.25">
      <c r="A2136" t="s">
        <v>22646</v>
      </c>
      <c r="B2136" t="s">
        <v>113</v>
      </c>
      <c r="C2136" s="1">
        <v>45110.685991550927</v>
      </c>
      <c r="D2136" s="1">
        <v>45209</v>
      </c>
      <c r="E2136" t="s">
        <v>114</v>
      </c>
      <c r="F2136" t="s">
        <v>9085</v>
      </c>
      <c r="G2136" t="str">
        <f>"47-3019.00"</f>
        <v>47-3019.00</v>
      </c>
      <c r="H2136" t="s">
        <v>9086</v>
      </c>
      <c r="I2136">
        <v>15</v>
      </c>
      <c r="K2136" s="1">
        <v>45200</v>
      </c>
      <c r="L2136" s="1">
        <v>45473</v>
      </c>
      <c r="O2136" t="s">
        <v>116</v>
      </c>
      <c r="P2136" t="s">
        <v>6181</v>
      </c>
      <c r="Q2136" t="s">
        <v>6182</v>
      </c>
      <c r="R2136" t="s">
        <v>6183</v>
      </c>
      <c r="T2136" t="s">
        <v>3262</v>
      </c>
      <c r="U2136" t="s">
        <v>375</v>
      </c>
      <c r="V2136" s="8" t="str">
        <f>"28017"</f>
        <v>28017</v>
      </c>
      <c r="W2136" t="s">
        <v>118</v>
      </c>
      <c r="Y2136" s="10">
        <v>17042131900</v>
      </c>
      <c r="AA2136">
        <v>2371</v>
      </c>
      <c r="AB2136" t="s">
        <v>6184</v>
      </c>
      <c r="AC2136" t="s">
        <v>6185</v>
      </c>
      <c r="AD2136" t="s">
        <v>6186</v>
      </c>
      <c r="AE2136" t="s">
        <v>629</v>
      </c>
      <c r="AF2136" t="s">
        <v>6183</v>
      </c>
      <c r="AH2136" t="s">
        <v>3262</v>
      </c>
      <c r="AI2136" t="s">
        <v>375</v>
      </c>
      <c r="AJ2136" s="8" t="str">
        <f>"28107"</f>
        <v>28107</v>
      </c>
      <c r="AK2136" t="s">
        <v>118</v>
      </c>
      <c r="AM2136" s="10">
        <v>17042131900</v>
      </c>
      <c r="AO2136" t="s">
        <v>6187</v>
      </c>
      <c r="AP2136" t="s">
        <v>121</v>
      </c>
      <c r="AQ2136" t="s">
        <v>2869</v>
      </c>
      <c r="AR2136" t="s">
        <v>931</v>
      </c>
      <c r="AS2136" t="s">
        <v>6188</v>
      </c>
      <c r="AT2136" t="s">
        <v>6189</v>
      </c>
      <c r="AV2136" t="s">
        <v>3170</v>
      </c>
      <c r="AW2136" t="s">
        <v>2090</v>
      </c>
      <c r="AX2136" s="8" t="str">
        <f>"68512"</f>
        <v>68512</v>
      </c>
      <c r="AY2136" t="s">
        <v>118</v>
      </c>
      <c r="BA2136" s="10">
        <v>14023289899</v>
      </c>
      <c r="BC2136" t="s">
        <v>6190</v>
      </c>
      <c r="BD2136" t="s">
        <v>6191</v>
      </c>
      <c r="BE2136" t="s">
        <v>402</v>
      </c>
      <c r="BF2136" t="s">
        <v>3573</v>
      </c>
      <c r="BG2136" t="s">
        <v>550</v>
      </c>
      <c r="BH2136" s="1">
        <v>45109.833333333336</v>
      </c>
      <c r="BI2136">
        <v>40</v>
      </c>
      <c r="BJ2136">
        <v>0</v>
      </c>
      <c r="BK2136">
        <v>8</v>
      </c>
      <c r="BL2136">
        <v>8</v>
      </c>
      <c r="BM2136">
        <v>8</v>
      </c>
      <c r="BN2136">
        <v>8</v>
      </c>
      <c r="BO2136">
        <v>8</v>
      </c>
      <c r="BP2136">
        <v>0</v>
      </c>
      <c r="BQ2136" t="str">
        <f>"8:00 AM"</f>
        <v>8:00 AM</v>
      </c>
      <c r="BR2136" t="str">
        <f>"5:00 PM"</f>
        <v>5:00 PM</v>
      </c>
      <c r="BS2136" t="s">
        <v>131</v>
      </c>
      <c r="BT2136">
        <v>0</v>
      </c>
      <c r="BU2136">
        <v>0</v>
      </c>
      <c r="BV2136" t="s">
        <v>114</v>
      </c>
      <c r="BX2136" s="2" t="s">
        <v>22647</v>
      </c>
      <c r="BY2136" t="s">
        <v>22648</v>
      </c>
      <c r="CA2136" t="s">
        <v>3164</v>
      </c>
      <c r="CB2136" t="s">
        <v>550</v>
      </c>
      <c r="CC2136" s="8" t="str">
        <f>"31204"</f>
        <v>31204</v>
      </c>
      <c r="CD2136" t="s">
        <v>18495</v>
      </c>
      <c r="CE2136" t="s">
        <v>18496</v>
      </c>
      <c r="CF2136" s="12">
        <v>738</v>
      </c>
      <c r="CG2136" s="12">
        <v>760</v>
      </c>
      <c r="CH2136" s="12">
        <v>1107</v>
      </c>
      <c r="CI2136" s="12">
        <v>1140</v>
      </c>
      <c r="CJ2136" t="s">
        <v>5181</v>
      </c>
      <c r="CL2136" t="s">
        <v>9092</v>
      </c>
      <c r="CO2136" t="s">
        <v>132</v>
      </c>
      <c r="CP2136" t="s">
        <v>114</v>
      </c>
      <c r="CQ2136" t="s">
        <v>114</v>
      </c>
      <c r="CR2136" t="s">
        <v>136</v>
      </c>
      <c r="CS2136" t="s">
        <v>136</v>
      </c>
      <c r="CT2136" t="s">
        <v>136</v>
      </c>
      <c r="CU2136" t="s">
        <v>114</v>
      </c>
      <c r="CV2136" t="s">
        <v>6195</v>
      </c>
      <c r="CW2136" s="10" t="str">
        <f>"+17042131900"</f>
        <v>+17042131900</v>
      </c>
      <c r="CX2136" t="s">
        <v>6196</v>
      </c>
      <c r="CY2136" t="s">
        <v>132</v>
      </c>
      <c r="CZ2136" t="s">
        <v>137</v>
      </c>
      <c r="DA2136" t="s">
        <v>114</v>
      </c>
      <c r="DB2136" t="s">
        <v>114</v>
      </c>
      <c r="DC2136" t="s">
        <v>136</v>
      </c>
      <c r="DD2136" t="s">
        <v>114</v>
      </c>
    </row>
    <row r="2137" spans="1:113" ht="15" customHeight="1" x14ac:dyDescent="0.25">
      <c r="A2137" t="s">
        <v>23325</v>
      </c>
      <c r="B2137" t="s">
        <v>113</v>
      </c>
      <c r="C2137" s="1">
        <v>45110.638485416668</v>
      </c>
      <c r="D2137" s="1">
        <v>45209</v>
      </c>
      <c r="E2137" t="s">
        <v>114</v>
      </c>
      <c r="F2137" t="s">
        <v>1059</v>
      </c>
      <c r="G2137" t="str">
        <f>"35-2015.00"</f>
        <v>35-2015.00</v>
      </c>
      <c r="H2137" t="s">
        <v>2075</v>
      </c>
      <c r="I2137">
        <v>2</v>
      </c>
      <c r="K2137" s="1">
        <v>45200</v>
      </c>
      <c r="L2137" s="1">
        <v>45427</v>
      </c>
      <c r="O2137" t="s">
        <v>116</v>
      </c>
      <c r="P2137" t="s">
        <v>23326</v>
      </c>
      <c r="R2137" t="s">
        <v>23327</v>
      </c>
      <c r="T2137" t="s">
        <v>23328</v>
      </c>
      <c r="U2137" t="s">
        <v>2706</v>
      </c>
      <c r="V2137" s="8" t="str">
        <f>"99723"</f>
        <v>99723</v>
      </c>
      <c r="W2137" t="s">
        <v>118</v>
      </c>
      <c r="Y2137" s="10">
        <v>19079475482</v>
      </c>
      <c r="AA2137">
        <v>722511</v>
      </c>
      <c r="AB2137" t="s">
        <v>23329</v>
      </c>
      <c r="AC2137" t="s">
        <v>18013</v>
      </c>
      <c r="AE2137" t="s">
        <v>561</v>
      </c>
      <c r="AF2137" t="s">
        <v>23327</v>
      </c>
      <c r="AH2137" t="s">
        <v>23328</v>
      </c>
      <c r="AI2137" t="s">
        <v>2706</v>
      </c>
      <c r="AJ2137" s="8" t="str">
        <f>"99723"</f>
        <v>99723</v>
      </c>
      <c r="AK2137" t="s">
        <v>118</v>
      </c>
      <c r="AM2137" s="10">
        <v>19079475482</v>
      </c>
      <c r="AO2137" t="s">
        <v>23330</v>
      </c>
      <c r="AP2137" t="s">
        <v>248</v>
      </c>
      <c r="AQ2137" t="s">
        <v>3017</v>
      </c>
      <c r="AR2137" t="s">
        <v>3018</v>
      </c>
      <c r="AT2137" t="s">
        <v>3019</v>
      </c>
      <c r="AV2137" t="s">
        <v>1168</v>
      </c>
      <c r="AW2137" t="s">
        <v>127</v>
      </c>
      <c r="AX2137" s="8" t="str">
        <f>"75098"</f>
        <v>75098</v>
      </c>
      <c r="AY2137" t="s">
        <v>118</v>
      </c>
      <c r="BA2137" s="10">
        <v>19724424244</v>
      </c>
      <c r="BC2137" t="s">
        <v>3020</v>
      </c>
      <c r="BD2137" t="s">
        <v>23331</v>
      </c>
      <c r="BG2137" t="s">
        <v>2706</v>
      </c>
      <c r="BH2137" s="1">
        <v>45109.833333333336</v>
      </c>
      <c r="BI2137">
        <v>40</v>
      </c>
      <c r="BJ2137">
        <v>5</v>
      </c>
      <c r="BK2137">
        <v>5</v>
      </c>
      <c r="BL2137">
        <v>6</v>
      </c>
      <c r="BM2137">
        <v>6</v>
      </c>
      <c r="BN2137">
        <v>6</v>
      </c>
      <c r="BO2137">
        <v>6</v>
      </c>
      <c r="BP2137">
        <v>6</v>
      </c>
      <c r="BQ2137" t="str">
        <f>"11:00 AM"</f>
        <v>11:00 AM</v>
      </c>
      <c r="BR2137" t="str">
        <f>"11:00 PM"</f>
        <v>11:00 PM</v>
      </c>
      <c r="BS2137" t="s">
        <v>131</v>
      </c>
      <c r="BT2137">
        <v>0</v>
      </c>
      <c r="BU2137">
        <v>0</v>
      </c>
      <c r="BV2137" t="s">
        <v>114</v>
      </c>
      <c r="BX2137" s="2" t="s">
        <v>23332</v>
      </c>
      <c r="BY2137" t="s">
        <v>23327</v>
      </c>
      <c r="CA2137" t="s">
        <v>23328</v>
      </c>
      <c r="CB2137" t="s">
        <v>2706</v>
      </c>
      <c r="CC2137" s="8" t="str">
        <f>"99723"</f>
        <v>99723</v>
      </c>
      <c r="CD2137" t="s">
        <v>23333</v>
      </c>
      <c r="CE2137" t="s">
        <v>2714</v>
      </c>
      <c r="CF2137" s="12">
        <v>16.11</v>
      </c>
      <c r="CG2137" s="12">
        <v>18.09</v>
      </c>
      <c r="CH2137" s="12">
        <v>24.17</v>
      </c>
      <c r="CI2137" s="12">
        <v>27.14</v>
      </c>
      <c r="CJ2137" t="s">
        <v>135</v>
      </c>
      <c r="CL2137" t="s">
        <v>23334</v>
      </c>
      <c r="CO2137" t="s">
        <v>132</v>
      </c>
      <c r="CP2137" t="s">
        <v>114</v>
      </c>
      <c r="CQ2137" t="s">
        <v>136</v>
      </c>
      <c r="CR2137" t="s">
        <v>136</v>
      </c>
      <c r="CS2137" t="s">
        <v>136</v>
      </c>
      <c r="CT2137" t="s">
        <v>136</v>
      </c>
      <c r="CU2137" t="s">
        <v>136</v>
      </c>
      <c r="CV2137" s="2" t="s">
        <v>23335</v>
      </c>
      <c r="CW2137" s="10" t="str">
        <f>"+19079475482"</f>
        <v>+19079475482</v>
      </c>
      <c r="CX2137" t="s">
        <v>132</v>
      </c>
      <c r="CY2137" t="s">
        <v>23336</v>
      </c>
      <c r="CZ2137" t="s">
        <v>137</v>
      </c>
      <c r="DA2137" t="s">
        <v>114</v>
      </c>
      <c r="DB2137" t="s">
        <v>114</v>
      </c>
      <c r="DC2137" t="s">
        <v>136</v>
      </c>
      <c r="DD2137" t="s">
        <v>114</v>
      </c>
    </row>
    <row r="2138" spans="1:113" ht="15" customHeight="1" x14ac:dyDescent="0.25">
      <c r="A2138" t="s">
        <v>18219</v>
      </c>
      <c r="B2138" t="s">
        <v>113</v>
      </c>
      <c r="C2138" s="1">
        <v>45110.625982291669</v>
      </c>
      <c r="D2138" s="1">
        <v>45209</v>
      </c>
      <c r="E2138" t="s">
        <v>114</v>
      </c>
      <c r="F2138" t="s">
        <v>3245</v>
      </c>
      <c r="G2138" t="str">
        <f>"47-2061.00"</f>
        <v>47-2061.00</v>
      </c>
      <c r="H2138" t="s">
        <v>570</v>
      </c>
      <c r="I2138">
        <v>25</v>
      </c>
      <c r="K2138" s="1">
        <v>45200</v>
      </c>
      <c r="L2138" s="1">
        <v>45473</v>
      </c>
      <c r="O2138" t="s">
        <v>116</v>
      </c>
      <c r="P2138" t="s">
        <v>6181</v>
      </c>
      <c r="Q2138" t="s">
        <v>6182</v>
      </c>
      <c r="R2138" t="s">
        <v>6183</v>
      </c>
      <c r="T2138" t="s">
        <v>3262</v>
      </c>
      <c r="U2138" t="s">
        <v>375</v>
      </c>
      <c r="V2138" s="8" t="str">
        <f>"28017"</f>
        <v>28017</v>
      </c>
      <c r="W2138" t="s">
        <v>118</v>
      </c>
      <c r="Y2138" s="10">
        <v>17042131900</v>
      </c>
      <c r="AA2138">
        <v>2371</v>
      </c>
      <c r="AB2138" t="s">
        <v>6184</v>
      </c>
      <c r="AC2138" t="s">
        <v>6185</v>
      </c>
      <c r="AD2138" t="s">
        <v>6186</v>
      </c>
      <c r="AE2138" t="s">
        <v>629</v>
      </c>
      <c r="AF2138" t="s">
        <v>6183</v>
      </c>
      <c r="AH2138" t="s">
        <v>3262</v>
      </c>
      <c r="AI2138" t="s">
        <v>375</v>
      </c>
      <c r="AJ2138" s="8" t="str">
        <f>"28107"</f>
        <v>28107</v>
      </c>
      <c r="AK2138" t="s">
        <v>118</v>
      </c>
      <c r="AM2138" s="10">
        <v>17042131900</v>
      </c>
      <c r="AO2138" t="s">
        <v>6187</v>
      </c>
      <c r="AP2138" t="s">
        <v>121</v>
      </c>
      <c r="AQ2138" t="s">
        <v>2869</v>
      </c>
      <c r="AR2138" t="s">
        <v>931</v>
      </c>
      <c r="AS2138" t="s">
        <v>6188</v>
      </c>
      <c r="AT2138" t="s">
        <v>6189</v>
      </c>
      <c r="AV2138" t="s">
        <v>3170</v>
      </c>
      <c r="AW2138" t="s">
        <v>2090</v>
      </c>
      <c r="AX2138" s="8" t="str">
        <f>"68512"</f>
        <v>68512</v>
      </c>
      <c r="AY2138" t="s">
        <v>118</v>
      </c>
      <c r="BA2138" s="10">
        <v>14023289899</v>
      </c>
      <c r="BC2138" t="s">
        <v>6190</v>
      </c>
      <c r="BD2138" t="s">
        <v>6191</v>
      </c>
      <c r="BE2138" t="s">
        <v>402</v>
      </c>
      <c r="BF2138" t="s">
        <v>3573</v>
      </c>
      <c r="BG2138" t="s">
        <v>375</v>
      </c>
      <c r="BH2138" s="1">
        <v>45109.833333333336</v>
      </c>
      <c r="BI2138">
        <v>40</v>
      </c>
      <c r="BJ2138">
        <v>0</v>
      </c>
      <c r="BK2138">
        <v>8</v>
      </c>
      <c r="BL2138">
        <v>8</v>
      </c>
      <c r="BM2138">
        <v>8</v>
      </c>
      <c r="BN2138">
        <v>8</v>
      </c>
      <c r="BO2138">
        <v>8</v>
      </c>
      <c r="BP2138">
        <v>0</v>
      </c>
      <c r="BQ2138" t="str">
        <f>"8:00 AM"</f>
        <v>8:00 AM</v>
      </c>
      <c r="BR2138" t="str">
        <f>"5:00 PM"</f>
        <v>5:00 PM</v>
      </c>
      <c r="BS2138" t="s">
        <v>131</v>
      </c>
      <c r="BT2138">
        <v>0</v>
      </c>
      <c r="BU2138">
        <v>3</v>
      </c>
      <c r="BV2138" t="s">
        <v>114</v>
      </c>
      <c r="BX2138" s="2" t="s">
        <v>18220</v>
      </c>
      <c r="BY2138" t="s">
        <v>18092</v>
      </c>
      <c r="CA2138" t="s">
        <v>6192</v>
      </c>
      <c r="CB2138" t="s">
        <v>375</v>
      </c>
      <c r="CC2138" s="8" t="str">
        <f>"27103"</f>
        <v>27103</v>
      </c>
      <c r="CD2138" t="s">
        <v>6193</v>
      </c>
      <c r="CE2138" t="s">
        <v>6194</v>
      </c>
      <c r="CF2138" s="12">
        <v>695.2</v>
      </c>
      <c r="CG2138" s="12">
        <v>923.2</v>
      </c>
      <c r="CH2138" s="12">
        <v>1042.8</v>
      </c>
      <c r="CI2138" s="12">
        <v>1384.8</v>
      </c>
      <c r="CJ2138" t="s">
        <v>5181</v>
      </c>
      <c r="CL2138" t="s">
        <v>8441</v>
      </c>
      <c r="CO2138" t="s">
        <v>132</v>
      </c>
      <c r="CP2138" t="s">
        <v>114</v>
      </c>
      <c r="CQ2138" t="s">
        <v>114</v>
      </c>
      <c r="CR2138" t="s">
        <v>136</v>
      </c>
      <c r="CS2138" t="s">
        <v>136</v>
      </c>
      <c r="CT2138" t="s">
        <v>136</v>
      </c>
      <c r="CU2138" t="s">
        <v>114</v>
      </c>
      <c r="CV2138" t="s">
        <v>6195</v>
      </c>
      <c r="CW2138" s="10" t="str">
        <f>"+17042131900"</f>
        <v>+17042131900</v>
      </c>
      <c r="CX2138" t="s">
        <v>6196</v>
      </c>
      <c r="CY2138" t="s">
        <v>132</v>
      </c>
      <c r="CZ2138" t="s">
        <v>137</v>
      </c>
      <c r="DA2138" t="s">
        <v>114</v>
      </c>
      <c r="DB2138" t="s">
        <v>114</v>
      </c>
      <c r="DC2138" t="s">
        <v>136</v>
      </c>
      <c r="DD2138" t="s">
        <v>114</v>
      </c>
    </row>
    <row r="2139" spans="1:113" ht="15" customHeight="1" x14ac:dyDescent="0.25">
      <c r="A2139" t="s">
        <v>9084</v>
      </c>
      <c r="B2139" t="s">
        <v>113</v>
      </c>
      <c r="C2139" s="1">
        <v>45110.604909837966</v>
      </c>
      <c r="D2139" s="1">
        <v>45209</v>
      </c>
      <c r="E2139" t="s">
        <v>114</v>
      </c>
      <c r="F2139" t="s">
        <v>9085</v>
      </c>
      <c r="G2139" t="str">
        <f>"47-3019.00"</f>
        <v>47-3019.00</v>
      </c>
      <c r="H2139" t="s">
        <v>9086</v>
      </c>
      <c r="I2139">
        <v>15</v>
      </c>
      <c r="K2139" s="1">
        <v>45200</v>
      </c>
      <c r="L2139" s="1">
        <v>45473</v>
      </c>
      <c r="O2139" t="s">
        <v>116</v>
      </c>
      <c r="P2139" t="s">
        <v>6181</v>
      </c>
      <c r="Q2139" t="s">
        <v>6182</v>
      </c>
      <c r="R2139" t="s">
        <v>6183</v>
      </c>
      <c r="T2139" t="s">
        <v>3262</v>
      </c>
      <c r="U2139" t="s">
        <v>375</v>
      </c>
      <c r="V2139" s="8" t="str">
        <f>"28017"</f>
        <v>28017</v>
      </c>
      <c r="W2139" t="s">
        <v>118</v>
      </c>
      <c r="Y2139" s="10">
        <v>17042131900</v>
      </c>
      <c r="AA2139">
        <v>2371</v>
      </c>
      <c r="AB2139" t="s">
        <v>6184</v>
      </c>
      <c r="AC2139" t="s">
        <v>6185</v>
      </c>
      <c r="AD2139" t="s">
        <v>6186</v>
      </c>
      <c r="AE2139" t="s">
        <v>629</v>
      </c>
      <c r="AF2139" t="s">
        <v>6183</v>
      </c>
      <c r="AH2139" t="s">
        <v>3262</v>
      </c>
      <c r="AI2139" t="s">
        <v>375</v>
      </c>
      <c r="AJ2139" s="8" t="str">
        <f>"28107"</f>
        <v>28107</v>
      </c>
      <c r="AK2139" t="s">
        <v>118</v>
      </c>
      <c r="AM2139" s="10">
        <v>17042131900</v>
      </c>
      <c r="AO2139" t="s">
        <v>6187</v>
      </c>
      <c r="AP2139" t="s">
        <v>121</v>
      </c>
      <c r="AQ2139" t="s">
        <v>2869</v>
      </c>
      <c r="AR2139" t="s">
        <v>931</v>
      </c>
      <c r="AS2139" t="s">
        <v>6188</v>
      </c>
      <c r="AT2139" t="s">
        <v>6189</v>
      </c>
      <c r="AV2139" t="s">
        <v>3170</v>
      </c>
      <c r="AW2139" t="s">
        <v>2090</v>
      </c>
      <c r="AX2139" s="8" t="str">
        <f>"68512"</f>
        <v>68512</v>
      </c>
      <c r="AY2139" t="s">
        <v>118</v>
      </c>
      <c r="BA2139" s="10">
        <v>14023289899</v>
      </c>
      <c r="BC2139" t="s">
        <v>6190</v>
      </c>
      <c r="BD2139" t="s">
        <v>6191</v>
      </c>
      <c r="BE2139" t="s">
        <v>402</v>
      </c>
      <c r="BF2139" t="s">
        <v>3573</v>
      </c>
      <c r="BG2139" t="s">
        <v>1691</v>
      </c>
      <c r="BH2139" s="1">
        <v>45109.833333333336</v>
      </c>
      <c r="BI2139">
        <v>40</v>
      </c>
      <c r="BJ2139">
        <v>0</v>
      </c>
      <c r="BK2139">
        <v>8</v>
      </c>
      <c r="BL2139">
        <v>8</v>
      </c>
      <c r="BM2139">
        <v>8</v>
      </c>
      <c r="BN2139">
        <v>8</v>
      </c>
      <c r="BO2139">
        <v>8</v>
      </c>
      <c r="BP2139">
        <v>0</v>
      </c>
      <c r="BQ2139" t="str">
        <f>"8:00 AM"</f>
        <v>8:00 AM</v>
      </c>
      <c r="BR2139" t="str">
        <f>"5:00 PM"</f>
        <v>5:00 PM</v>
      </c>
      <c r="BS2139" t="s">
        <v>131</v>
      </c>
      <c r="BT2139">
        <v>0</v>
      </c>
      <c r="BU2139">
        <v>0</v>
      </c>
      <c r="BV2139" t="s">
        <v>114</v>
      </c>
      <c r="BX2139" s="2" t="s">
        <v>9087</v>
      </c>
      <c r="BY2139" t="s">
        <v>9088</v>
      </c>
      <c r="CA2139" t="s">
        <v>9089</v>
      </c>
      <c r="CB2139" t="s">
        <v>1691</v>
      </c>
      <c r="CC2139" s="8" t="str">
        <f>"29646"</f>
        <v>29646</v>
      </c>
      <c r="CD2139" t="s">
        <v>9090</v>
      </c>
      <c r="CE2139" t="s">
        <v>9091</v>
      </c>
      <c r="CF2139" s="12">
        <v>643.20000000000005</v>
      </c>
      <c r="CG2139" s="12">
        <v>695.2</v>
      </c>
      <c r="CH2139" s="12">
        <v>964.8</v>
      </c>
      <c r="CI2139" s="12">
        <v>1042.8</v>
      </c>
      <c r="CJ2139" t="s">
        <v>5181</v>
      </c>
      <c r="CL2139" t="s">
        <v>9092</v>
      </c>
      <c r="CO2139" t="s">
        <v>132</v>
      </c>
      <c r="CP2139" t="s">
        <v>114</v>
      </c>
      <c r="CQ2139" t="s">
        <v>114</v>
      </c>
      <c r="CR2139" t="s">
        <v>136</v>
      </c>
      <c r="CS2139" t="s">
        <v>136</v>
      </c>
      <c r="CT2139" t="s">
        <v>136</v>
      </c>
      <c r="CU2139" t="s">
        <v>114</v>
      </c>
      <c r="CV2139" t="s">
        <v>6195</v>
      </c>
      <c r="CW2139" s="10" t="str">
        <f>"+17042131900"</f>
        <v>+17042131900</v>
      </c>
      <c r="CX2139" t="s">
        <v>6196</v>
      </c>
      <c r="CY2139" t="s">
        <v>132</v>
      </c>
      <c r="CZ2139" t="s">
        <v>137</v>
      </c>
      <c r="DA2139" t="s">
        <v>114</v>
      </c>
      <c r="DB2139" t="s">
        <v>114</v>
      </c>
      <c r="DC2139" t="s">
        <v>136</v>
      </c>
      <c r="DD2139" t="s">
        <v>114</v>
      </c>
    </row>
    <row r="2140" spans="1:113" ht="15" customHeight="1" x14ac:dyDescent="0.25">
      <c r="A2140" t="s">
        <v>22805</v>
      </c>
      <c r="B2140" t="s">
        <v>113</v>
      </c>
      <c r="C2140" s="1">
        <v>45110.411749074075</v>
      </c>
      <c r="D2140" s="1">
        <v>45209</v>
      </c>
      <c r="E2140" t="s">
        <v>114</v>
      </c>
      <c r="F2140" t="s">
        <v>22806</v>
      </c>
      <c r="G2140" t="str">
        <f>"47-1011.00"</f>
        <v>47-1011.00</v>
      </c>
      <c r="H2140" t="s">
        <v>8562</v>
      </c>
      <c r="I2140">
        <v>17</v>
      </c>
      <c r="K2140" s="1">
        <v>45200</v>
      </c>
      <c r="L2140" s="1">
        <v>45596</v>
      </c>
      <c r="O2140" t="s">
        <v>184</v>
      </c>
      <c r="P2140" t="s">
        <v>16634</v>
      </c>
      <c r="R2140" t="s">
        <v>16635</v>
      </c>
      <c r="S2140" t="s">
        <v>4617</v>
      </c>
      <c r="T2140" t="s">
        <v>4903</v>
      </c>
      <c r="U2140" t="s">
        <v>550</v>
      </c>
      <c r="V2140" s="8" t="str">
        <f>"30092"</f>
        <v>30092</v>
      </c>
      <c r="W2140" t="s">
        <v>118</v>
      </c>
      <c r="Y2140" s="10">
        <v>17706576952</v>
      </c>
      <c r="AA2140">
        <v>541330</v>
      </c>
      <c r="AB2140" t="s">
        <v>16636</v>
      </c>
      <c r="AC2140" t="s">
        <v>16637</v>
      </c>
      <c r="AE2140" t="s">
        <v>16638</v>
      </c>
      <c r="AF2140" t="s">
        <v>16635</v>
      </c>
      <c r="AG2140" t="s">
        <v>4617</v>
      </c>
      <c r="AH2140" t="s">
        <v>4903</v>
      </c>
      <c r="AI2140" t="s">
        <v>550</v>
      </c>
      <c r="AJ2140" s="8" t="str">
        <f>"30092"</f>
        <v>30092</v>
      </c>
      <c r="AK2140" t="s">
        <v>118</v>
      </c>
      <c r="AM2140" s="10">
        <v>17706576952</v>
      </c>
      <c r="AO2140" t="s">
        <v>16639</v>
      </c>
      <c r="AP2140" t="s">
        <v>121</v>
      </c>
      <c r="AQ2140" t="s">
        <v>3798</v>
      </c>
      <c r="AR2140" t="s">
        <v>487</v>
      </c>
      <c r="AS2140" t="s">
        <v>515</v>
      </c>
      <c r="AT2140" t="s">
        <v>3799</v>
      </c>
      <c r="AU2140" t="s">
        <v>3800</v>
      </c>
      <c r="AV2140" t="s">
        <v>573</v>
      </c>
      <c r="AW2140" t="s">
        <v>550</v>
      </c>
      <c r="AX2140" s="8" t="str">
        <f>"30363"</f>
        <v>30363</v>
      </c>
      <c r="AY2140" t="s">
        <v>118</v>
      </c>
      <c r="BA2140" s="10">
        <v>14043226065</v>
      </c>
      <c r="BC2140" t="s">
        <v>3801</v>
      </c>
      <c r="BD2140" t="s">
        <v>3802</v>
      </c>
      <c r="BE2140" t="s">
        <v>550</v>
      </c>
      <c r="BF2140" t="s">
        <v>5728</v>
      </c>
      <c r="BG2140" t="s">
        <v>550</v>
      </c>
      <c r="BH2140" s="1">
        <v>45106.833333333336</v>
      </c>
      <c r="BI2140">
        <v>40</v>
      </c>
      <c r="BJ2140">
        <v>0</v>
      </c>
      <c r="BK2140">
        <v>8</v>
      </c>
      <c r="BL2140">
        <v>8</v>
      </c>
      <c r="BM2140">
        <v>8</v>
      </c>
      <c r="BN2140">
        <v>8</v>
      </c>
      <c r="BO2140">
        <v>8</v>
      </c>
      <c r="BP2140">
        <v>0</v>
      </c>
      <c r="BQ2140" t="str">
        <f>"8:00 AM"</f>
        <v>8:00 AM</v>
      </c>
      <c r="BR2140" t="str">
        <f>"5:00 PM"</f>
        <v>5:00 PM</v>
      </c>
      <c r="BS2140" t="s">
        <v>131</v>
      </c>
      <c r="BT2140">
        <v>0</v>
      </c>
      <c r="BU2140">
        <v>60</v>
      </c>
      <c r="BV2140" t="s">
        <v>136</v>
      </c>
      <c r="BW2140">
        <v>4</v>
      </c>
      <c r="BX2140" t="s">
        <v>22807</v>
      </c>
      <c r="BY2140" t="s">
        <v>16642</v>
      </c>
      <c r="CA2140" t="s">
        <v>16643</v>
      </c>
      <c r="CB2140" t="s">
        <v>550</v>
      </c>
      <c r="CC2140" s="8" t="str">
        <f>"31308"</f>
        <v>31308</v>
      </c>
      <c r="CD2140" t="s">
        <v>9852</v>
      </c>
      <c r="CE2140" t="s">
        <v>5175</v>
      </c>
      <c r="CF2140" s="12">
        <v>30.72</v>
      </c>
      <c r="CH2140" s="12">
        <v>46.08</v>
      </c>
      <c r="CJ2140" t="s">
        <v>135</v>
      </c>
      <c r="CL2140" t="s">
        <v>22808</v>
      </c>
      <c r="CO2140" t="s">
        <v>132</v>
      </c>
      <c r="CP2140" t="s">
        <v>114</v>
      </c>
      <c r="CQ2140" t="s">
        <v>136</v>
      </c>
      <c r="CR2140" t="s">
        <v>136</v>
      </c>
      <c r="CS2140" t="s">
        <v>136</v>
      </c>
      <c r="CT2140" t="s">
        <v>136</v>
      </c>
      <c r="CU2140" t="s">
        <v>136</v>
      </c>
      <c r="CV2140" t="s">
        <v>22809</v>
      </c>
      <c r="CW2140" s="10" t="str">
        <f>"+17706576952"</f>
        <v>+17706576952</v>
      </c>
      <c r="CX2140" t="s">
        <v>16639</v>
      </c>
      <c r="CY2140" t="s">
        <v>132</v>
      </c>
      <c r="CZ2140" t="s">
        <v>137</v>
      </c>
      <c r="DA2140" t="s">
        <v>114</v>
      </c>
      <c r="DB2140" t="s">
        <v>114</v>
      </c>
      <c r="DC2140" t="s">
        <v>136</v>
      </c>
      <c r="DD2140" t="s">
        <v>114</v>
      </c>
    </row>
    <row r="2141" spans="1:113" ht="15" customHeight="1" x14ac:dyDescent="0.25">
      <c r="A2141" t="s">
        <v>4274</v>
      </c>
      <c r="B2141" t="s">
        <v>113</v>
      </c>
      <c r="C2141" s="1">
        <v>45110.390798148146</v>
      </c>
      <c r="D2141" s="1">
        <v>45209</v>
      </c>
      <c r="E2141" t="s">
        <v>114</v>
      </c>
      <c r="F2141" t="s">
        <v>2567</v>
      </c>
      <c r="G2141" t="str">
        <f>"51-4121.00"</f>
        <v>51-4121.00</v>
      </c>
      <c r="H2141" t="s">
        <v>815</v>
      </c>
      <c r="I2141">
        <v>100</v>
      </c>
      <c r="K2141" s="1">
        <v>45200</v>
      </c>
      <c r="L2141" s="1">
        <v>46295</v>
      </c>
      <c r="O2141" t="s">
        <v>184</v>
      </c>
      <c r="P2141" t="s">
        <v>4275</v>
      </c>
      <c r="R2141" t="s">
        <v>4276</v>
      </c>
      <c r="T2141" t="s">
        <v>2161</v>
      </c>
      <c r="U2141" t="s">
        <v>127</v>
      </c>
      <c r="V2141" s="8" t="str">
        <f>"78405"</f>
        <v>78405</v>
      </c>
      <c r="W2141" t="s">
        <v>118</v>
      </c>
      <c r="Y2141" s="10">
        <v>13619291104</v>
      </c>
      <c r="AA2141">
        <v>541330</v>
      </c>
      <c r="AB2141" t="s">
        <v>2188</v>
      </c>
      <c r="AC2141" t="s">
        <v>218</v>
      </c>
      <c r="AE2141" t="s">
        <v>4277</v>
      </c>
      <c r="AF2141" t="s">
        <v>4276</v>
      </c>
      <c r="AH2141" t="s">
        <v>2161</v>
      </c>
      <c r="AI2141" t="s">
        <v>127</v>
      </c>
      <c r="AJ2141" s="8" t="str">
        <f>"78405"</f>
        <v>78405</v>
      </c>
      <c r="AK2141" t="s">
        <v>118</v>
      </c>
      <c r="AM2141" s="10">
        <v>13619291104</v>
      </c>
      <c r="AO2141" t="s">
        <v>4278</v>
      </c>
      <c r="AP2141" t="s">
        <v>248</v>
      </c>
      <c r="AQ2141" t="s">
        <v>960</v>
      </c>
      <c r="AR2141" t="s">
        <v>961</v>
      </c>
      <c r="AS2141" t="s">
        <v>962</v>
      </c>
      <c r="AT2141" t="s">
        <v>963</v>
      </c>
      <c r="AU2141" t="s">
        <v>296</v>
      </c>
      <c r="AV2141" t="s">
        <v>964</v>
      </c>
      <c r="AW2141" t="s">
        <v>127</v>
      </c>
      <c r="AX2141" s="8" t="str">
        <f>"75033"</f>
        <v>75033</v>
      </c>
      <c r="AY2141" t="s">
        <v>118</v>
      </c>
      <c r="BA2141" s="10">
        <v>19727789690</v>
      </c>
      <c r="BC2141" t="s">
        <v>1939</v>
      </c>
      <c r="BD2141" t="s">
        <v>966</v>
      </c>
      <c r="BG2141" t="s">
        <v>127</v>
      </c>
      <c r="BH2141" s="1">
        <v>45109.833333333336</v>
      </c>
      <c r="BI2141">
        <v>45</v>
      </c>
      <c r="BJ2141">
        <v>0</v>
      </c>
      <c r="BK2141">
        <v>9</v>
      </c>
      <c r="BL2141">
        <v>9</v>
      </c>
      <c r="BM2141">
        <v>9</v>
      </c>
      <c r="BN2141">
        <v>9</v>
      </c>
      <c r="BO2141">
        <v>9</v>
      </c>
      <c r="BP2141">
        <v>0</v>
      </c>
      <c r="BQ2141" t="str">
        <f>"7:00 AM"</f>
        <v>7:00 AM</v>
      </c>
      <c r="BR2141" t="str">
        <f>"5:00 PM"</f>
        <v>5:00 PM</v>
      </c>
      <c r="BS2141" t="s">
        <v>147</v>
      </c>
      <c r="BT2141">
        <v>0</v>
      </c>
      <c r="BU2141">
        <v>0</v>
      </c>
      <c r="BV2141" t="s">
        <v>114</v>
      </c>
      <c r="BX2141" s="2" t="s">
        <v>4279</v>
      </c>
      <c r="BY2141" t="s">
        <v>4276</v>
      </c>
      <c r="CA2141" t="s">
        <v>2161</v>
      </c>
      <c r="CB2141" t="s">
        <v>127</v>
      </c>
      <c r="CC2141" s="8" t="str">
        <f>"78405"</f>
        <v>78405</v>
      </c>
      <c r="CD2141" t="s">
        <v>2572</v>
      </c>
      <c r="CE2141" t="s">
        <v>2163</v>
      </c>
      <c r="CF2141" s="12">
        <v>26.43</v>
      </c>
      <c r="CH2141" s="12">
        <v>39.65</v>
      </c>
      <c r="CJ2141" t="s">
        <v>135</v>
      </c>
      <c r="CK2141" t="s">
        <v>4280</v>
      </c>
      <c r="CL2141" t="s">
        <v>4281</v>
      </c>
      <c r="CO2141" t="s">
        <v>132</v>
      </c>
      <c r="CP2141" t="s">
        <v>136</v>
      </c>
      <c r="CQ2141" t="s">
        <v>114</v>
      </c>
      <c r="CR2141" t="s">
        <v>136</v>
      </c>
      <c r="CS2141" t="s">
        <v>136</v>
      </c>
      <c r="CT2141" t="s">
        <v>136</v>
      </c>
      <c r="CU2141" t="s">
        <v>136</v>
      </c>
      <c r="CV2141" s="2" t="s">
        <v>4282</v>
      </c>
      <c r="CW2141" s="10" t="str">
        <f>"+13619291104"</f>
        <v>+13619291104</v>
      </c>
      <c r="CX2141" t="s">
        <v>132</v>
      </c>
      <c r="CY2141" t="s">
        <v>1853</v>
      </c>
      <c r="CZ2141" t="s">
        <v>137</v>
      </c>
      <c r="DA2141" t="s">
        <v>114</v>
      </c>
      <c r="DB2141" t="s">
        <v>136</v>
      </c>
      <c r="DC2141" t="s">
        <v>136</v>
      </c>
      <c r="DD2141" t="s">
        <v>114</v>
      </c>
    </row>
    <row r="2142" spans="1:113" ht="15" customHeight="1" x14ac:dyDescent="0.25">
      <c r="A2142" t="s">
        <v>11484</v>
      </c>
      <c r="B2142" t="s">
        <v>113</v>
      </c>
      <c r="C2142" s="1">
        <v>45110.003210763891</v>
      </c>
      <c r="D2142" s="1">
        <v>45209</v>
      </c>
      <c r="E2142" t="s">
        <v>114</v>
      </c>
      <c r="F2142" t="s">
        <v>11485</v>
      </c>
      <c r="G2142" t="str">
        <f>"51-9032.00"</f>
        <v>51-9032.00</v>
      </c>
      <c r="H2142" t="s">
        <v>11486</v>
      </c>
      <c r="I2142">
        <v>12</v>
      </c>
      <c r="K2142" s="1">
        <v>45200</v>
      </c>
      <c r="L2142" s="1">
        <v>45565</v>
      </c>
      <c r="O2142" t="s">
        <v>184</v>
      </c>
      <c r="P2142" t="s">
        <v>11487</v>
      </c>
      <c r="Q2142" t="s">
        <v>11488</v>
      </c>
      <c r="R2142" t="s">
        <v>11489</v>
      </c>
      <c r="T2142" t="s">
        <v>11490</v>
      </c>
      <c r="U2142" t="s">
        <v>211</v>
      </c>
      <c r="V2142" s="8" t="str">
        <f>"84032"</f>
        <v>84032</v>
      </c>
      <c r="W2142" t="s">
        <v>118</v>
      </c>
      <c r="Y2142" s="10">
        <v>14356543336</v>
      </c>
      <c r="AA2142">
        <v>561330</v>
      </c>
      <c r="AB2142" t="s">
        <v>11491</v>
      </c>
      <c r="AC2142" t="s">
        <v>3625</v>
      </c>
      <c r="AD2142" t="s">
        <v>355</v>
      </c>
      <c r="AE2142" t="s">
        <v>438</v>
      </c>
      <c r="AF2142" t="s">
        <v>11489</v>
      </c>
      <c r="AH2142" t="s">
        <v>11492</v>
      </c>
      <c r="AI2142" t="s">
        <v>211</v>
      </c>
      <c r="AJ2142" s="8" t="str">
        <f>"84032"</f>
        <v>84032</v>
      </c>
      <c r="AK2142" t="s">
        <v>118</v>
      </c>
      <c r="AM2142" s="10">
        <v>14356405872</v>
      </c>
      <c r="AO2142" t="s">
        <v>11493</v>
      </c>
      <c r="AX2142" s="8" t="str">
        <f>""</f>
        <v/>
      </c>
      <c r="BG2142" t="s">
        <v>211</v>
      </c>
      <c r="BH2142" s="1">
        <v>45102.833333333336</v>
      </c>
      <c r="BI2142">
        <v>40</v>
      </c>
      <c r="BJ2142">
        <v>0</v>
      </c>
      <c r="BK2142">
        <v>8</v>
      </c>
      <c r="BL2142">
        <v>8</v>
      </c>
      <c r="BM2142">
        <v>8</v>
      </c>
      <c r="BN2142">
        <v>8</v>
      </c>
      <c r="BO2142">
        <v>8</v>
      </c>
      <c r="BP2142">
        <v>0</v>
      </c>
      <c r="BQ2142" t="str">
        <f>"5:45 AM"</f>
        <v>5:45 AM</v>
      </c>
      <c r="BR2142" t="str">
        <f>"3:00 PM"</f>
        <v>3:00 PM</v>
      </c>
      <c r="BS2142" t="s">
        <v>131</v>
      </c>
      <c r="BT2142">
        <v>0</v>
      </c>
      <c r="BU2142">
        <v>0</v>
      </c>
      <c r="BV2142" t="s">
        <v>114</v>
      </c>
      <c r="BX2142" t="s">
        <v>11494</v>
      </c>
      <c r="BY2142" t="s">
        <v>11495</v>
      </c>
      <c r="CA2142" t="s">
        <v>11490</v>
      </c>
      <c r="CB2142" t="s">
        <v>211</v>
      </c>
      <c r="CC2142" s="8" t="str">
        <f>"84032"</f>
        <v>84032</v>
      </c>
      <c r="CD2142" t="s">
        <v>11496</v>
      </c>
      <c r="CE2142" t="s">
        <v>229</v>
      </c>
      <c r="CF2142" s="12">
        <v>19.28</v>
      </c>
      <c r="CG2142" s="12">
        <v>19.28</v>
      </c>
      <c r="CH2142" s="12">
        <v>28.92</v>
      </c>
      <c r="CI2142" s="12">
        <v>28.92</v>
      </c>
      <c r="CJ2142" t="s">
        <v>135</v>
      </c>
      <c r="CL2142" t="s">
        <v>11497</v>
      </c>
      <c r="CO2142" t="s">
        <v>132</v>
      </c>
      <c r="CP2142" t="s">
        <v>114</v>
      </c>
      <c r="CQ2142" t="s">
        <v>114</v>
      </c>
      <c r="CR2142" t="s">
        <v>136</v>
      </c>
      <c r="CS2142" t="s">
        <v>136</v>
      </c>
      <c r="CT2142" t="s">
        <v>136</v>
      </c>
      <c r="CU2142" t="s">
        <v>114</v>
      </c>
      <c r="CV2142" t="s">
        <v>11498</v>
      </c>
      <c r="CW2142" s="10" t="str">
        <f>"+14356405872"</f>
        <v>+14356405872</v>
      </c>
      <c r="CX2142" t="s">
        <v>11493</v>
      </c>
      <c r="CY2142" t="s">
        <v>132</v>
      </c>
      <c r="CZ2142" t="s">
        <v>137</v>
      </c>
      <c r="DA2142" t="s">
        <v>114</v>
      </c>
      <c r="DB2142" t="s">
        <v>114</v>
      </c>
      <c r="DC2142" t="s">
        <v>136</v>
      </c>
      <c r="DD2142" t="s">
        <v>114</v>
      </c>
    </row>
    <row r="2143" spans="1:113" ht="15" customHeight="1" x14ac:dyDescent="0.25">
      <c r="A2143" t="s">
        <v>21814</v>
      </c>
      <c r="B2143" t="s">
        <v>113</v>
      </c>
      <c r="C2143" s="1">
        <v>45112.958711226849</v>
      </c>
      <c r="D2143" s="1">
        <v>45205</v>
      </c>
      <c r="E2143" t="s">
        <v>114</v>
      </c>
      <c r="F2143" t="s">
        <v>293</v>
      </c>
      <c r="G2143" t="str">
        <f>"37-2012.00"</f>
        <v>37-2012.00</v>
      </c>
      <c r="H2143" t="s">
        <v>205</v>
      </c>
      <c r="I2143">
        <v>25</v>
      </c>
      <c r="K2143" s="1">
        <v>45200</v>
      </c>
      <c r="L2143" s="1">
        <v>45291</v>
      </c>
      <c r="O2143" t="s">
        <v>238</v>
      </c>
      <c r="P2143" t="s">
        <v>21815</v>
      </c>
      <c r="R2143" t="s">
        <v>21816</v>
      </c>
      <c r="T2143" t="s">
        <v>5048</v>
      </c>
      <c r="U2143" t="s">
        <v>434</v>
      </c>
      <c r="V2143" s="8" t="str">
        <f>"15108"</f>
        <v>15108</v>
      </c>
      <c r="W2143" t="s">
        <v>118</v>
      </c>
      <c r="Y2143" s="10">
        <v>17175176843</v>
      </c>
      <c r="AA2143">
        <v>561320</v>
      </c>
      <c r="AB2143" t="s">
        <v>21817</v>
      </c>
      <c r="AC2143" t="s">
        <v>21818</v>
      </c>
      <c r="AE2143" t="s">
        <v>537</v>
      </c>
      <c r="AF2143" t="s">
        <v>21816</v>
      </c>
      <c r="AH2143" t="s">
        <v>5048</v>
      </c>
      <c r="AI2143" t="s">
        <v>434</v>
      </c>
      <c r="AJ2143" s="8" t="str">
        <f>"15108"</f>
        <v>15108</v>
      </c>
      <c r="AK2143" t="s">
        <v>118</v>
      </c>
      <c r="AM2143" s="10">
        <v>17175176843</v>
      </c>
      <c r="AO2143" t="s">
        <v>21819</v>
      </c>
      <c r="AP2143" t="s">
        <v>121</v>
      </c>
      <c r="AQ2143" t="s">
        <v>1842</v>
      </c>
      <c r="AR2143" t="s">
        <v>1843</v>
      </c>
      <c r="AT2143" t="s">
        <v>1844</v>
      </c>
      <c r="AU2143" t="s">
        <v>1845</v>
      </c>
      <c r="AV2143" t="s">
        <v>1846</v>
      </c>
      <c r="AW2143" t="s">
        <v>581</v>
      </c>
      <c r="AX2143" s="8" t="str">
        <f>"24590"</f>
        <v>24590</v>
      </c>
      <c r="AY2143" t="s">
        <v>118</v>
      </c>
      <c r="BA2143" s="10">
        <v>14349981102</v>
      </c>
      <c r="BC2143" t="s">
        <v>1847</v>
      </c>
      <c r="BD2143" t="s">
        <v>1848</v>
      </c>
      <c r="BE2143" t="s">
        <v>581</v>
      </c>
      <c r="BF2143" t="s">
        <v>1849</v>
      </c>
      <c r="BG2143" t="s">
        <v>434</v>
      </c>
      <c r="BH2143" s="1">
        <v>45109.833333333336</v>
      </c>
      <c r="BI2143">
        <v>40</v>
      </c>
      <c r="BJ2143">
        <v>0</v>
      </c>
      <c r="BK2143">
        <v>8</v>
      </c>
      <c r="BL2143">
        <v>8</v>
      </c>
      <c r="BM2143">
        <v>8</v>
      </c>
      <c r="BN2143">
        <v>8</v>
      </c>
      <c r="BO2143">
        <v>8</v>
      </c>
      <c r="BP2143">
        <v>0</v>
      </c>
      <c r="BQ2143" t="str">
        <f>"9:00 AM"</f>
        <v>9:00 AM</v>
      </c>
      <c r="BR2143" t="str">
        <f>"5:00 PM"</f>
        <v>5:00 PM</v>
      </c>
      <c r="BS2143" t="s">
        <v>131</v>
      </c>
      <c r="BT2143">
        <v>0</v>
      </c>
      <c r="BU2143">
        <v>0</v>
      </c>
      <c r="BV2143" t="s">
        <v>114</v>
      </c>
      <c r="BX2143" t="s">
        <v>21820</v>
      </c>
      <c r="BY2143" t="s">
        <v>21821</v>
      </c>
      <c r="CA2143" t="s">
        <v>3107</v>
      </c>
      <c r="CB2143" t="s">
        <v>434</v>
      </c>
      <c r="CC2143" s="8" t="str">
        <f>"15275"</f>
        <v>15275</v>
      </c>
      <c r="CD2143" t="s">
        <v>1886</v>
      </c>
      <c r="CE2143" t="s">
        <v>1887</v>
      </c>
      <c r="CF2143" s="12">
        <v>13.74</v>
      </c>
      <c r="CH2143" s="12">
        <v>20.61</v>
      </c>
      <c r="CJ2143" t="s">
        <v>135</v>
      </c>
      <c r="CL2143" t="s">
        <v>21822</v>
      </c>
      <c r="CO2143" t="s">
        <v>132</v>
      </c>
      <c r="CP2143" t="s">
        <v>136</v>
      </c>
      <c r="CQ2143" t="s">
        <v>136</v>
      </c>
      <c r="CR2143" t="s">
        <v>136</v>
      </c>
      <c r="CS2143" t="s">
        <v>136</v>
      </c>
      <c r="CT2143" t="s">
        <v>136</v>
      </c>
      <c r="CU2143" t="s">
        <v>136</v>
      </c>
      <c r="CV2143" t="s">
        <v>21823</v>
      </c>
      <c r="CW2143" s="10" t="str">
        <f>"+17175176843"</f>
        <v>+17175176843</v>
      </c>
      <c r="CX2143" t="s">
        <v>21819</v>
      </c>
      <c r="CY2143" t="s">
        <v>132</v>
      </c>
      <c r="CZ2143" t="s">
        <v>137</v>
      </c>
      <c r="DA2143" t="s">
        <v>114</v>
      </c>
      <c r="DB2143" t="s">
        <v>136</v>
      </c>
      <c r="DC2143" t="s">
        <v>136</v>
      </c>
      <c r="DD2143" t="s">
        <v>114</v>
      </c>
    </row>
    <row r="2144" spans="1:113" ht="15" customHeight="1" x14ac:dyDescent="0.25">
      <c r="A2144" t="s">
        <v>10012</v>
      </c>
      <c r="B2144" t="s">
        <v>113</v>
      </c>
      <c r="C2144" s="1">
        <v>45112.830773958332</v>
      </c>
      <c r="D2144" s="1">
        <v>45205</v>
      </c>
      <c r="E2144" t="s">
        <v>114</v>
      </c>
      <c r="F2144" t="s">
        <v>10013</v>
      </c>
      <c r="G2144" t="str">
        <f>"49-3011.00"</f>
        <v>49-3011.00</v>
      </c>
      <c r="H2144" t="s">
        <v>10014</v>
      </c>
      <c r="I2144">
        <v>10</v>
      </c>
      <c r="K2144" s="1">
        <v>45200</v>
      </c>
      <c r="L2144" s="1">
        <v>45436</v>
      </c>
      <c r="O2144" t="s">
        <v>184</v>
      </c>
      <c r="P2144" t="s">
        <v>10015</v>
      </c>
      <c r="Q2144" t="s">
        <v>10016</v>
      </c>
      <c r="R2144" t="s">
        <v>10017</v>
      </c>
      <c r="T2144" t="s">
        <v>10018</v>
      </c>
      <c r="U2144" t="s">
        <v>1598</v>
      </c>
      <c r="V2144" s="8" t="str">
        <f>"36877"</f>
        <v>36877</v>
      </c>
      <c r="W2144" t="s">
        <v>118</v>
      </c>
      <c r="Y2144" s="10">
        <v>12054177427</v>
      </c>
      <c r="AA2144">
        <v>488190</v>
      </c>
      <c r="AB2144" t="s">
        <v>10019</v>
      </c>
      <c r="AC2144" t="s">
        <v>10020</v>
      </c>
      <c r="AE2144" t="s">
        <v>561</v>
      </c>
      <c r="AF2144" t="s">
        <v>10017</v>
      </c>
      <c r="AH2144" t="s">
        <v>10018</v>
      </c>
      <c r="AI2144" t="s">
        <v>1598</v>
      </c>
      <c r="AJ2144" s="8" t="str">
        <f>"36877"</f>
        <v>36877</v>
      </c>
      <c r="AK2144" t="s">
        <v>118</v>
      </c>
      <c r="AM2144" s="10">
        <v>12054177427</v>
      </c>
      <c r="AO2144" t="s">
        <v>10021</v>
      </c>
      <c r="AP2144" t="s">
        <v>121</v>
      </c>
      <c r="AQ2144" t="s">
        <v>3124</v>
      </c>
      <c r="AR2144" t="s">
        <v>5545</v>
      </c>
      <c r="AS2144" t="s">
        <v>1009</v>
      </c>
      <c r="AT2144" t="s">
        <v>10022</v>
      </c>
      <c r="AU2144" t="s">
        <v>10023</v>
      </c>
      <c r="AV2144" t="s">
        <v>10024</v>
      </c>
      <c r="AW2144" t="s">
        <v>127</v>
      </c>
      <c r="AX2144" s="8" t="str">
        <f>"78734"</f>
        <v>78734</v>
      </c>
      <c r="AY2144" t="s">
        <v>118</v>
      </c>
      <c r="BA2144" s="10">
        <v>15125371457</v>
      </c>
      <c r="BC2144" t="s">
        <v>10025</v>
      </c>
      <c r="BD2144" t="s">
        <v>10026</v>
      </c>
      <c r="BE2144" t="s">
        <v>550</v>
      </c>
      <c r="BF2144" t="s">
        <v>5728</v>
      </c>
      <c r="BG2144" t="s">
        <v>581</v>
      </c>
      <c r="BH2144" s="1">
        <v>45111.833333333336</v>
      </c>
      <c r="BI2144">
        <v>40</v>
      </c>
      <c r="BJ2144">
        <v>0</v>
      </c>
      <c r="BK2144">
        <v>8</v>
      </c>
      <c r="BL2144">
        <v>8</v>
      </c>
      <c r="BM2144">
        <v>8</v>
      </c>
      <c r="BN2144">
        <v>8</v>
      </c>
      <c r="BO2144">
        <v>8</v>
      </c>
      <c r="BP2144">
        <v>0</v>
      </c>
      <c r="BQ2144" t="str">
        <f>"6:00 AM"</f>
        <v>6:00 AM</v>
      </c>
      <c r="BR2144" t="str">
        <f>"4:00 PM"</f>
        <v>4:00 PM</v>
      </c>
      <c r="BS2144" t="s">
        <v>131</v>
      </c>
      <c r="BT2144">
        <v>0</v>
      </c>
      <c r="BU2144">
        <v>0</v>
      </c>
      <c r="BV2144" t="s">
        <v>114</v>
      </c>
      <c r="BX2144" s="2" t="s">
        <v>10027</v>
      </c>
      <c r="BY2144" t="s">
        <v>10028</v>
      </c>
      <c r="CA2144" t="s">
        <v>2029</v>
      </c>
      <c r="CB2144" t="s">
        <v>581</v>
      </c>
      <c r="CC2144" s="8" t="str">
        <f>"22202"</f>
        <v>22202</v>
      </c>
      <c r="CD2144" t="s">
        <v>10029</v>
      </c>
      <c r="CE2144" t="s">
        <v>1794</v>
      </c>
      <c r="CF2144" s="12">
        <v>41.53</v>
      </c>
      <c r="CH2144" s="12">
        <v>62.3</v>
      </c>
      <c r="CJ2144" t="s">
        <v>135</v>
      </c>
      <c r="CL2144" t="s">
        <v>10030</v>
      </c>
      <c r="CO2144" t="s">
        <v>132</v>
      </c>
      <c r="CP2144" t="s">
        <v>136</v>
      </c>
      <c r="CQ2144" t="s">
        <v>136</v>
      </c>
      <c r="CR2144" t="s">
        <v>136</v>
      </c>
      <c r="CS2144" t="s">
        <v>114</v>
      </c>
      <c r="CT2144" t="s">
        <v>136</v>
      </c>
      <c r="CU2144" t="s">
        <v>136</v>
      </c>
      <c r="CV2144" t="s">
        <v>10031</v>
      </c>
      <c r="CW2144" s="10" t="str">
        <f>"+12054177427"</f>
        <v>+12054177427</v>
      </c>
      <c r="CX2144" t="s">
        <v>10021</v>
      </c>
      <c r="CY2144" t="s">
        <v>10032</v>
      </c>
      <c r="CZ2144" t="s">
        <v>10033</v>
      </c>
      <c r="DA2144" t="s">
        <v>136</v>
      </c>
      <c r="DB2144" t="s">
        <v>114</v>
      </c>
      <c r="DC2144" t="s">
        <v>136</v>
      </c>
      <c r="DD2144" t="s">
        <v>136</v>
      </c>
      <c r="DE2144" t="s">
        <v>3124</v>
      </c>
      <c r="DF2144" t="s">
        <v>5545</v>
      </c>
      <c r="DG2144" t="s">
        <v>1738</v>
      </c>
      <c r="DH2144" t="s">
        <v>10026</v>
      </c>
      <c r="DI2144" t="s">
        <v>10034</v>
      </c>
    </row>
    <row r="2145" spans="1:113" ht="15" customHeight="1" x14ac:dyDescent="0.25">
      <c r="A2145" t="s">
        <v>11875</v>
      </c>
      <c r="B2145" t="s">
        <v>113</v>
      </c>
      <c r="C2145" s="1">
        <v>45112.733375694443</v>
      </c>
      <c r="D2145" s="1">
        <v>45205</v>
      </c>
      <c r="E2145" t="s">
        <v>114</v>
      </c>
      <c r="F2145" t="s">
        <v>3245</v>
      </c>
      <c r="G2145" t="str">
        <f>"47-2031.00"</f>
        <v>47-2031.00</v>
      </c>
      <c r="H2145" t="s">
        <v>115</v>
      </c>
      <c r="I2145">
        <v>7</v>
      </c>
      <c r="K2145" s="1">
        <v>45200</v>
      </c>
      <c r="L2145" s="1">
        <v>45473</v>
      </c>
      <c r="O2145" t="s">
        <v>238</v>
      </c>
      <c r="P2145" t="s">
        <v>11876</v>
      </c>
      <c r="R2145" t="s">
        <v>11877</v>
      </c>
      <c r="S2145" t="s">
        <v>11878</v>
      </c>
      <c r="T2145" t="s">
        <v>2447</v>
      </c>
      <c r="U2145" t="s">
        <v>984</v>
      </c>
      <c r="V2145" s="8" t="str">
        <f>"65804"</f>
        <v>65804</v>
      </c>
      <c r="W2145" t="s">
        <v>118</v>
      </c>
      <c r="Y2145" s="10">
        <v>14178859898</v>
      </c>
      <c r="AA2145">
        <v>561730</v>
      </c>
      <c r="AB2145" t="s">
        <v>11879</v>
      </c>
      <c r="AC2145" t="s">
        <v>3128</v>
      </c>
      <c r="AE2145" t="s">
        <v>561</v>
      </c>
      <c r="AF2145" t="s">
        <v>11877</v>
      </c>
      <c r="AG2145" t="s">
        <v>11878</v>
      </c>
      <c r="AH2145" t="s">
        <v>2447</v>
      </c>
      <c r="AI2145" t="s">
        <v>984</v>
      </c>
      <c r="AJ2145" s="8" t="str">
        <f>"65804"</f>
        <v>65804</v>
      </c>
      <c r="AK2145" t="s">
        <v>118</v>
      </c>
      <c r="AM2145" s="10">
        <v>14178859898</v>
      </c>
      <c r="AO2145" t="s">
        <v>11880</v>
      </c>
      <c r="AP2145" t="s">
        <v>121</v>
      </c>
      <c r="AQ2145" t="s">
        <v>11881</v>
      </c>
      <c r="AR2145" t="s">
        <v>2102</v>
      </c>
      <c r="AS2145" t="s">
        <v>11882</v>
      </c>
      <c r="AT2145" t="s">
        <v>7474</v>
      </c>
      <c r="AU2145" t="s">
        <v>6443</v>
      </c>
      <c r="AV2145" t="s">
        <v>2821</v>
      </c>
      <c r="AW2145" t="s">
        <v>984</v>
      </c>
      <c r="AX2145" s="8" t="str">
        <f>"64112"</f>
        <v>64112</v>
      </c>
      <c r="AY2145" t="s">
        <v>118</v>
      </c>
      <c r="BA2145" s="10">
        <v>14149785727</v>
      </c>
      <c r="BC2145" t="s">
        <v>11883</v>
      </c>
      <c r="BD2145" t="s">
        <v>11884</v>
      </c>
      <c r="BE2145" t="s">
        <v>993</v>
      </c>
      <c r="BF2145" t="s">
        <v>172</v>
      </c>
      <c r="BG2145" t="s">
        <v>984</v>
      </c>
      <c r="BH2145" s="1">
        <v>45111.833333333336</v>
      </c>
      <c r="BI2145">
        <v>45</v>
      </c>
      <c r="BJ2145">
        <v>0</v>
      </c>
      <c r="BK2145">
        <v>9</v>
      </c>
      <c r="BL2145">
        <v>9</v>
      </c>
      <c r="BM2145">
        <v>9</v>
      </c>
      <c r="BN2145">
        <v>9</v>
      </c>
      <c r="BO2145">
        <v>9</v>
      </c>
      <c r="BP2145">
        <v>0</v>
      </c>
      <c r="BQ2145" t="str">
        <f>"8:00 AM"</f>
        <v>8:00 AM</v>
      </c>
      <c r="BR2145" t="str">
        <f>"5:00 PM"</f>
        <v>5:00 PM</v>
      </c>
      <c r="BS2145" t="s">
        <v>131</v>
      </c>
      <c r="BT2145">
        <v>0</v>
      </c>
      <c r="BU2145">
        <v>0</v>
      </c>
      <c r="BV2145" t="s">
        <v>114</v>
      </c>
      <c r="BX2145" s="2" t="s">
        <v>11885</v>
      </c>
      <c r="BY2145" t="s">
        <v>11886</v>
      </c>
      <c r="CA2145" t="s">
        <v>11887</v>
      </c>
      <c r="CB2145" t="s">
        <v>984</v>
      </c>
      <c r="CC2145" s="8" t="str">
        <f>"65742"</f>
        <v>65742</v>
      </c>
      <c r="CD2145" t="s">
        <v>4156</v>
      </c>
      <c r="CE2145" t="s">
        <v>2157</v>
      </c>
      <c r="CF2145" s="12">
        <v>24.94</v>
      </c>
      <c r="CH2145" s="12">
        <v>37.409999999999997</v>
      </c>
      <c r="CJ2145" t="s">
        <v>135</v>
      </c>
      <c r="CK2145" t="s">
        <v>132</v>
      </c>
      <c r="CL2145" t="s">
        <v>11888</v>
      </c>
      <c r="CO2145" t="s">
        <v>132</v>
      </c>
      <c r="CP2145" t="s">
        <v>136</v>
      </c>
      <c r="CQ2145" t="s">
        <v>136</v>
      </c>
      <c r="CR2145" t="s">
        <v>136</v>
      </c>
      <c r="CS2145" t="s">
        <v>114</v>
      </c>
      <c r="CT2145" t="s">
        <v>136</v>
      </c>
      <c r="CU2145" t="s">
        <v>114</v>
      </c>
      <c r="CV2145" t="s">
        <v>11889</v>
      </c>
      <c r="CW2145" s="10" t="str">
        <f>"+14178859898"</f>
        <v>+14178859898</v>
      </c>
      <c r="CX2145" t="s">
        <v>11880</v>
      </c>
      <c r="CY2145" t="s">
        <v>132</v>
      </c>
      <c r="CZ2145" t="s">
        <v>137</v>
      </c>
      <c r="DA2145" t="s">
        <v>114</v>
      </c>
      <c r="DB2145" t="s">
        <v>114</v>
      </c>
      <c r="DC2145" t="s">
        <v>136</v>
      </c>
      <c r="DD2145" t="s">
        <v>114</v>
      </c>
    </row>
    <row r="2146" spans="1:113" ht="15" customHeight="1" x14ac:dyDescent="0.25">
      <c r="A2146" t="s">
        <v>4160</v>
      </c>
      <c r="B2146" t="s">
        <v>113</v>
      </c>
      <c r="C2146" s="1">
        <v>45110.785549537039</v>
      </c>
      <c r="D2146" s="1">
        <v>45205</v>
      </c>
      <c r="E2146" t="s">
        <v>114</v>
      </c>
      <c r="F2146" t="s">
        <v>4161</v>
      </c>
      <c r="G2146" t="str">
        <f>"47-3012.00"</f>
        <v>47-3012.00</v>
      </c>
      <c r="H2146" t="s">
        <v>979</v>
      </c>
      <c r="I2146">
        <v>3</v>
      </c>
      <c r="K2146" s="1">
        <v>45200</v>
      </c>
      <c r="L2146" s="1">
        <v>45323</v>
      </c>
      <c r="O2146" t="s">
        <v>116</v>
      </c>
      <c r="P2146" t="s">
        <v>4162</v>
      </c>
      <c r="Q2146" t="s">
        <v>4163</v>
      </c>
      <c r="R2146" t="s">
        <v>4164</v>
      </c>
      <c r="T2146" t="s">
        <v>4165</v>
      </c>
      <c r="U2146" t="s">
        <v>854</v>
      </c>
      <c r="V2146" s="8" t="str">
        <f>"83709"</f>
        <v>83709</v>
      </c>
      <c r="W2146" t="s">
        <v>118</v>
      </c>
      <c r="Y2146" s="10">
        <v>12082849065</v>
      </c>
      <c r="AA2146">
        <v>236115</v>
      </c>
      <c r="AB2146" t="s">
        <v>3068</v>
      </c>
      <c r="AC2146" t="s">
        <v>145</v>
      </c>
      <c r="AE2146" t="s">
        <v>629</v>
      </c>
      <c r="AF2146" t="s">
        <v>4166</v>
      </c>
      <c r="AH2146" t="s">
        <v>4167</v>
      </c>
      <c r="AI2146" t="s">
        <v>854</v>
      </c>
      <c r="AJ2146" s="8" t="str">
        <f>"83605"</f>
        <v>83605</v>
      </c>
      <c r="AK2146" t="s">
        <v>118</v>
      </c>
      <c r="AM2146" s="10">
        <v>12082849065</v>
      </c>
      <c r="AO2146" t="s">
        <v>4168</v>
      </c>
      <c r="AP2146" t="s">
        <v>121</v>
      </c>
      <c r="AQ2146" t="s">
        <v>4169</v>
      </c>
      <c r="AR2146" t="s">
        <v>4170</v>
      </c>
      <c r="AS2146" t="s">
        <v>1738</v>
      </c>
      <c r="AT2146" t="s">
        <v>4171</v>
      </c>
      <c r="AU2146" t="s">
        <v>4172</v>
      </c>
      <c r="AV2146" t="s">
        <v>4173</v>
      </c>
      <c r="AW2146" t="s">
        <v>854</v>
      </c>
      <c r="AX2146" s="8" t="str">
        <f>"83670"</f>
        <v>83670</v>
      </c>
      <c r="AY2146" t="s">
        <v>118</v>
      </c>
      <c r="BA2146" s="10">
        <v>12083984969</v>
      </c>
      <c r="BC2146" t="s">
        <v>4174</v>
      </c>
      <c r="BD2146" t="s">
        <v>4175</v>
      </c>
      <c r="BE2146" t="s">
        <v>127</v>
      </c>
      <c r="BF2146" t="s">
        <v>750</v>
      </c>
      <c r="BG2146" t="s">
        <v>854</v>
      </c>
      <c r="BH2146" s="1">
        <v>45107.833333333336</v>
      </c>
      <c r="BI2146">
        <v>40</v>
      </c>
      <c r="BJ2146">
        <v>0</v>
      </c>
      <c r="BK2146">
        <v>8</v>
      </c>
      <c r="BL2146">
        <v>8</v>
      </c>
      <c r="BM2146">
        <v>8</v>
      </c>
      <c r="BN2146">
        <v>8</v>
      </c>
      <c r="BO2146">
        <v>8</v>
      </c>
      <c r="BP2146">
        <v>0</v>
      </c>
      <c r="BQ2146" t="str">
        <f>"7:00 AM"</f>
        <v>7:00 AM</v>
      </c>
      <c r="BR2146" t="str">
        <f>"4:30 PM"</f>
        <v>4:30 PM</v>
      </c>
      <c r="BS2146" t="s">
        <v>131</v>
      </c>
      <c r="BT2146">
        <v>0</v>
      </c>
      <c r="BU2146">
        <v>0</v>
      </c>
      <c r="BV2146" t="s">
        <v>114</v>
      </c>
      <c r="BX2146" s="2" t="s">
        <v>4176</v>
      </c>
      <c r="BY2146" t="s">
        <v>4166</v>
      </c>
      <c r="CA2146" t="s">
        <v>4167</v>
      </c>
      <c r="CB2146" t="s">
        <v>854</v>
      </c>
      <c r="CC2146" s="8" t="str">
        <f>"83605"</f>
        <v>83605</v>
      </c>
      <c r="CD2146" t="s">
        <v>1449</v>
      </c>
      <c r="CE2146" t="s">
        <v>1450</v>
      </c>
      <c r="CF2146" s="12">
        <v>15.82</v>
      </c>
      <c r="CG2146" s="12">
        <v>15.82</v>
      </c>
      <c r="CH2146" s="12">
        <v>23.73</v>
      </c>
      <c r="CI2146" s="12">
        <v>23.73</v>
      </c>
      <c r="CJ2146" t="s">
        <v>135</v>
      </c>
      <c r="CL2146" t="s">
        <v>4177</v>
      </c>
      <c r="CO2146" t="s">
        <v>132</v>
      </c>
      <c r="CP2146" t="s">
        <v>114</v>
      </c>
      <c r="CQ2146" t="s">
        <v>136</v>
      </c>
      <c r="CR2146" t="s">
        <v>136</v>
      </c>
      <c r="CS2146" t="s">
        <v>114</v>
      </c>
      <c r="CT2146" t="s">
        <v>136</v>
      </c>
      <c r="CU2146" t="s">
        <v>136</v>
      </c>
      <c r="CV2146" t="s">
        <v>4178</v>
      </c>
      <c r="CW2146" s="10" t="str">
        <f>"+12082849065"</f>
        <v>+12082849065</v>
      </c>
      <c r="CX2146" t="s">
        <v>4168</v>
      </c>
      <c r="CY2146" t="s">
        <v>132</v>
      </c>
      <c r="CZ2146" t="s">
        <v>137</v>
      </c>
      <c r="DA2146" t="s">
        <v>114</v>
      </c>
      <c r="DB2146" t="s">
        <v>136</v>
      </c>
      <c r="DC2146" t="s">
        <v>136</v>
      </c>
      <c r="DD2146" t="s">
        <v>114</v>
      </c>
    </row>
    <row r="2147" spans="1:113" ht="15" customHeight="1" x14ac:dyDescent="0.25">
      <c r="A2147" t="s">
        <v>10155</v>
      </c>
      <c r="B2147" t="s">
        <v>113</v>
      </c>
      <c r="C2147" s="1">
        <v>45110.632092361113</v>
      </c>
      <c r="D2147" s="1">
        <v>45205</v>
      </c>
      <c r="E2147" t="s">
        <v>114</v>
      </c>
      <c r="F2147" t="s">
        <v>944</v>
      </c>
      <c r="G2147" t="str">
        <f>"49-9098.00"</f>
        <v>49-9098.00</v>
      </c>
      <c r="H2147" t="s">
        <v>945</v>
      </c>
      <c r="I2147">
        <v>14</v>
      </c>
      <c r="K2147" s="1">
        <v>45200</v>
      </c>
      <c r="L2147" s="1">
        <v>45321</v>
      </c>
      <c r="O2147" t="s">
        <v>238</v>
      </c>
      <c r="P2147" t="s">
        <v>10156</v>
      </c>
      <c r="R2147" t="s">
        <v>10157</v>
      </c>
      <c r="T2147" t="s">
        <v>10158</v>
      </c>
      <c r="U2147" t="s">
        <v>819</v>
      </c>
      <c r="V2147" s="8" t="str">
        <f>"46176"</f>
        <v>46176</v>
      </c>
      <c r="W2147" t="s">
        <v>118</v>
      </c>
      <c r="Y2147" s="10">
        <v>13219600035</v>
      </c>
      <c r="Z2147" s="3" t="s">
        <v>256</v>
      </c>
      <c r="AA2147">
        <v>71119</v>
      </c>
      <c r="AB2147" t="s">
        <v>10159</v>
      </c>
      <c r="AC2147" t="s">
        <v>2849</v>
      </c>
      <c r="AD2147" t="s">
        <v>1798</v>
      </c>
      <c r="AE2147" t="s">
        <v>561</v>
      </c>
      <c r="AF2147" t="s">
        <v>10157</v>
      </c>
      <c r="AH2147" t="s">
        <v>10160</v>
      </c>
      <c r="AI2147" t="s">
        <v>819</v>
      </c>
      <c r="AJ2147" s="8" t="str">
        <f>"46176"</f>
        <v>46176</v>
      </c>
      <c r="AK2147" t="s">
        <v>118</v>
      </c>
      <c r="AM2147" s="10">
        <v>13219600035</v>
      </c>
      <c r="AN2147" s="3" t="s">
        <v>256</v>
      </c>
      <c r="AO2147" t="s">
        <v>10161</v>
      </c>
      <c r="AP2147" t="s">
        <v>248</v>
      </c>
      <c r="AQ2147" t="s">
        <v>249</v>
      </c>
      <c r="AR2147" t="s">
        <v>250</v>
      </c>
      <c r="AS2147" t="s">
        <v>251</v>
      </c>
      <c r="AT2147" t="s">
        <v>252</v>
      </c>
      <c r="AU2147" t="s">
        <v>253</v>
      </c>
      <c r="AV2147" t="s">
        <v>254</v>
      </c>
      <c r="AW2147" t="s">
        <v>127</v>
      </c>
      <c r="AX2147" s="8" t="str">
        <f>"78550"</f>
        <v>78550</v>
      </c>
      <c r="AY2147" t="s">
        <v>118</v>
      </c>
      <c r="AZ2147" t="s">
        <v>255</v>
      </c>
      <c r="BA2147" s="10">
        <v>19564408720</v>
      </c>
      <c r="BB2147" s="3" t="s">
        <v>256</v>
      </c>
      <c r="BC2147" t="s">
        <v>338</v>
      </c>
      <c r="BD2147" t="s">
        <v>258</v>
      </c>
      <c r="BG2147" t="s">
        <v>819</v>
      </c>
      <c r="BH2147" s="1">
        <v>45109.833333333336</v>
      </c>
      <c r="BI2147">
        <v>40</v>
      </c>
      <c r="BJ2147">
        <v>0</v>
      </c>
      <c r="BK2147">
        <v>8</v>
      </c>
      <c r="BL2147">
        <v>8</v>
      </c>
      <c r="BM2147">
        <v>8</v>
      </c>
      <c r="BN2147">
        <v>8</v>
      </c>
      <c r="BO2147">
        <v>8</v>
      </c>
      <c r="BP2147">
        <v>0</v>
      </c>
      <c r="BQ2147" t="str">
        <f>"8:00 AM"</f>
        <v>8:00 AM</v>
      </c>
      <c r="BR2147" t="str">
        <f>"5:00 PM"</f>
        <v>5:00 PM</v>
      </c>
      <c r="BS2147" t="s">
        <v>131</v>
      </c>
      <c r="BT2147">
        <v>0</v>
      </c>
      <c r="BU2147">
        <v>0</v>
      </c>
      <c r="BV2147" t="s">
        <v>114</v>
      </c>
      <c r="BX2147" t="s">
        <v>946</v>
      </c>
      <c r="BY2147" t="s">
        <v>10162</v>
      </c>
      <c r="CA2147" t="s">
        <v>10158</v>
      </c>
      <c r="CB2147" t="s">
        <v>819</v>
      </c>
      <c r="CC2147" s="8" t="str">
        <f>"46176"</f>
        <v>46176</v>
      </c>
      <c r="CD2147" t="s">
        <v>1054</v>
      </c>
      <c r="CE2147" t="s">
        <v>2111</v>
      </c>
      <c r="CF2147" s="12">
        <v>15.25</v>
      </c>
      <c r="CG2147" s="12">
        <v>15.25</v>
      </c>
      <c r="CH2147" s="12">
        <v>0</v>
      </c>
      <c r="CI2147" s="12">
        <v>0</v>
      </c>
      <c r="CJ2147" t="s">
        <v>135</v>
      </c>
      <c r="CK2147" t="s">
        <v>342</v>
      </c>
      <c r="CL2147" t="s">
        <v>10163</v>
      </c>
      <c r="CO2147" t="s">
        <v>132</v>
      </c>
      <c r="CP2147" t="s">
        <v>114</v>
      </c>
      <c r="CQ2147" t="s">
        <v>136</v>
      </c>
      <c r="CR2147" t="s">
        <v>114</v>
      </c>
      <c r="CS2147" t="s">
        <v>136</v>
      </c>
      <c r="CT2147" t="s">
        <v>136</v>
      </c>
      <c r="CU2147" t="s">
        <v>136</v>
      </c>
      <c r="CV2147" t="s">
        <v>344</v>
      </c>
      <c r="CW2147" s="10" t="str">
        <f>"+13219600035"</f>
        <v>+13219600035</v>
      </c>
      <c r="CX2147" t="s">
        <v>10161</v>
      </c>
      <c r="CY2147" t="s">
        <v>132</v>
      </c>
      <c r="CZ2147" t="s">
        <v>137</v>
      </c>
      <c r="DA2147" t="s">
        <v>114</v>
      </c>
      <c r="DB2147" t="s">
        <v>136</v>
      </c>
      <c r="DC2147" t="s">
        <v>136</v>
      </c>
      <c r="DD2147" t="s">
        <v>114</v>
      </c>
    </row>
    <row r="2148" spans="1:113" ht="15" customHeight="1" x14ac:dyDescent="0.25">
      <c r="A2148" t="s">
        <v>15922</v>
      </c>
      <c r="B2148" t="s">
        <v>113</v>
      </c>
      <c r="C2148" s="1">
        <v>45110.45198888889</v>
      </c>
      <c r="D2148" s="1">
        <v>45205</v>
      </c>
      <c r="E2148" t="s">
        <v>114</v>
      </c>
      <c r="F2148" t="s">
        <v>3578</v>
      </c>
      <c r="G2148" t="str">
        <f>"37-3011.00"</f>
        <v>37-3011.00</v>
      </c>
      <c r="H2148" t="s">
        <v>429</v>
      </c>
      <c r="I2148">
        <v>1</v>
      </c>
      <c r="K2148" s="1">
        <v>45200</v>
      </c>
      <c r="L2148" s="1">
        <v>45412</v>
      </c>
      <c r="O2148" t="s">
        <v>238</v>
      </c>
      <c r="P2148" t="s">
        <v>15923</v>
      </c>
      <c r="R2148" t="s">
        <v>15924</v>
      </c>
      <c r="T2148" t="s">
        <v>5820</v>
      </c>
      <c r="U2148" t="s">
        <v>375</v>
      </c>
      <c r="V2148" s="8" t="str">
        <f>"28741"</f>
        <v>28741</v>
      </c>
      <c r="W2148" t="s">
        <v>118</v>
      </c>
      <c r="Y2148" s="10">
        <v>18284820251</v>
      </c>
      <c r="AA2148">
        <v>71391</v>
      </c>
      <c r="AB2148" t="s">
        <v>15925</v>
      </c>
      <c r="AC2148" t="s">
        <v>15926</v>
      </c>
      <c r="AE2148" t="s">
        <v>15927</v>
      </c>
      <c r="AF2148" t="s">
        <v>15924</v>
      </c>
      <c r="AH2148" t="s">
        <v>5820</v>
      </c>
      <c r="AI2148" t="s">
        <v>375</v>
      </c>
      <c r="AJ2148" s="8" t="str">
        <f>"28741"</f>
        <v>28741</v>
      </c>
      <c r="AK2148" t="s">
        <v>118</v>
      </c>
      <c r="AM2148" s="10">
        <v>18284820251</v>
      </c>
      <c r="AO2148" t="s">
        <v>15928</v>
      </c>
      <c r="AP2148" t="s">
        <v>121</v>
      </c>
      <c r="AQ2148" t="s">
        <v>2603</v>
      </c>
      <c r="AR2148" t="s">
        <v>2604</v>
      </c>
      <c r="AS2148" t="s">
        <v>931</v>
      </c>
      <c r="AT2148" t="s">
        <v>2605</v>
      </c>
      <c r="AU2148" t="s">
        <v>2606</v>
      </c>
      <c r="AV2148" t="s">
        <v>2607</v>
      </c>
      <c r="AW2148" t="s">
        <v>2608</v>
      </c>
      <c r="AX2148" s="8" t="str">
        <f>"73069"</f>
        <v>73069</v>
      </c>
      <c r="AY2148" t="s">
        <v>118</v>
      </c>
      <c r="BA2148" s="10">
        <v>14053642525</v>
      </c>
      <c r="BC2148" t="s">
        <v>2609</v>
      </c>
      <c r="BD2148" t="s">
        <v>2610</v>
      </c>
      <c r="BE2148" t="s">
        <v>2608</v>
      </c>
      <c r="BF2148" t="s">
        <v>2611</v>
      </c>
      <c r="BG2148" t="s">
        <v>375</v>
      </c>
      <c r="BH2148" s="1">
        <v>45084.833333333336</v>
      </c>
      <c r="BI2148">
        <v>56</v>
      </c>
      <c r="BJ2148">
        <v>8</v>
      </c>
      <c r="BK2148">
        <v>8</v>
      </c>
      <c r="BL2148">
        <v>8</v>
      </c>
      <c r="BM2148">
        <v>8</v>
      </c>
      <c r="BN2148">
        <v>8</v>
      </c>
      <c r="BO2148">
        <v>8</v>
      </c>
      <c r="BP2148">
        <v>8</v>
      </c>
      <c r="BQ2148" t="str">
        <f>"7:30 AM"</f>
        <v>7:30 AM</v>
      </c>
      <c r="BR2148" t="str">
        <f>"10:30 PM"</f>
        <v>10:30 PM</v>
      </c>
      <c r="BS2148" t="s">
        <v>131</v>
      </c>
      <c r="BT2148">
        <v>0</v>
      </c>
      <c r="BU2148">
        <v>0</v>
      </c>
      <c r="BV2148" t="s">
        <v>114</v>
      </c>
      <c r="BX2148" s="2" t="s">
        <v>3116</v>
      </c>
      <c r="BY2148" t="s">
        <v>15924</v>
      </c>
      <c r="CA2148" t="s">
        <v>5820</v>
      </c>
      <c r="CB2148" t="s">
        <v>375</v>
      </c>
      <c r="CC2148" s="8" t="str">
        <f>"28741"</f>
        <v>28741</v>
      </c>
      <c r="CD2148" t="s">
        <v>5821</v>
      </c>
      <c r="CE2148" t="s">
        <v>641</v>
      </c>
      <c r="CF2148" s="12">
        <v>14.48</v>
      </c>
      <c r="CG2148" s="12">
        <v>14.48</v>
      </c>
      <c r="CH2148" s="12">
        <v>21.72</v>
      </c>
      <c r="CI2148" s="12">
        <v>21.72</v>
      </c>
      <c r="CJ2148" t="s">
        <v>135</v>
      </c>
      <c r="CL2148" t="s">
        <v>15929</v>
      </c>
      <c r="CO2148" t="s">
        <v>132</v>
      </c>
      <c r="CP2148" t="s">
        <v>114</v>
      </c>
      <c r="CQ2148" t="s">
        <v>114</v>
      </c>
      <c r="CR2148" t="s">
        <v>136</v>
      </c>
      <c r="CS2148" t="s">
        <v>114</v>
      </c>
      <c r="CT2148" t="s">
        <v>136</v>
      </c>
      <c r="CU2148" t="s">
        <v>114</v>
      </c>
      <c r="CV2148" t="s">
        <v>2612</v>
      </c>
      <c r="CW2148" s="10" t="str">
        <f>"+18284820251"</f>
        <v>+18284820251</v>
      </c>
      <c r="CX2148" t="s">
        <v>15930</v>
      </c>
      <c r="CY2148" t="s">
        <v>132</v>
      </c>
      <c r="CZ2148" t="s">
        <v>137</v>
      </c>
      <c r="DA2148" t="s">
        <v>114</v>
      </c>
      <c r="DB2148" t="s">
        <v>114</v>
      </c>
      <c r="DC2148" t="s">
        <v>136</v>
      </c>
      <c r="DD2148" t="s">
        <v>114</v>
      </c>
    </row>
    <row r="2149" spans="1:113" ht="15" customHeight="1" x14ac:dyDescent="0.25">
      <c r="A2149" t="s">
        <v>23500</v>
      </c>
      <c r="B2149" t="s">
        <v>113</v>
      </c>
      <c r="C2149" s="1">
        <v>45110.341751736109</v>
      </c>
      <c r="D2149" s="1">
        <v>45205</v>
      </c>
      <c r="E2149" t="s">
        <v>114</v>
      </c>
      <c r="F2149" t="s">
        <v>7550</v>
      </c>
      <c r="G2149" t="str">
        <f>"53-3032.00"</f>
        <v>53-3032.00</v>
      </c>
      <c r="H2149" t="s">
        <v>736</v>
      </c>
      <c r="I2149">
        <v>10</v>
      </c>
      <c r="K2149" s="1">
        <v>45200</v>
      </c>
      <c r="L2149" s="1">
        <v>45291</v>
      </c>
      <c r="O2149" t="s">
        <v>116</v>
      </c>
      <c r="P2149" t="s">
        <v>23501</v>
      </c>
      <c r="R2149" t="s">
        <v>21047</v>
      </c>
      <c r="S2149" t="s">
        <v>21048</v>
      </c>
      <c r="T2149" t="s">
        <v>11985</v>
      </c>
      <c r="U2149" t="s">
        <v>127</v>
      </c>
      <c r="V2149" s="8" t="str">
        <f>"79762"</f>
        <v>79762</v>
      </c>
      <c r="W2149" t="s">
        <v>118</v>
      </c>
      <c r="Y2149" s="10">
        <v>14322082389</v>
      </c>
      <c r="AA2149">
        <v>484110</v>
      </c>
      <c r="AB2149" t="s">
        <v>21049</v>
      </c>
      <c r="AC2149" t="s">
        <v>21050</v>
      </c>
      <c r="AE2149" t="s">
        <v>438</v>
      </c>
      <c r="AF2149" t="s">
        <v>21051</v>
      </c>
      <c r="AG2149" t="s">
        <v>21048</v>
      </c>
      <c r="AH2149" t="s">
        <v>11985</v>
      </c>
      <c r="AI2149" t="s">
        <v>127</v>
      </c>
      <c r="AJ2149" s="8" t="str">
        <f>"79762"</f>
        <v>79762</v>
      </c>
      <c r="AK2149" t="s">
        <v>118</v>
      </c>
      <c r="AM2149" s="10">
        <v>14322082389</v>
      </c>
      <c r="AO2149" t="s">
        <v>21052</v>
      </c>
      <c r="AP2149" t="s">
        <v>248</v>
      </c>
      <c r="AQ2149" t="s">
        <v>16464</v>
      </c>
      <c r="AR2149" t="s">
        <v>16465</v>
      </c>
      <c r="AT2149" t="s">
        <v>21053</v>
      </c>
      <c r="AU2149" t="s">
        <v>14886</v>
      </c>
      <c r="AV2149" t="s">
        <v>8344</v>
      </c>
      <c r="AW2149" t="s">
        <v>127</v>
      </c>
      <c r="AX2149" s="8" t="str">
        <f>"77057"</f>
        <v>77057</v>
      </c>
      <c r="AY2149" t="s">
        <v>118</v>
      </c>
      <c r="BA2149" s="10">
        <v>17138218466</v>
      </c>
      <c r="BC2149" t="s">
        <v>2565</v>
      </c>
      <c r="BD2149" t="s">
        <v>14887</v>
      </c>
      <c r="BG2149" t="s">
        <v>127</v>
      </c>
      <c r="BH2149" s="1">
        <v>45199.833333333336</v>
      </c>
      <c r="BI2149">
        <v>40</v>
      </c>
      <c r="BJ2149">
        <v>0</v>
      </c>
      <c r="BK2149">
        <v>8</v>
      </c>
      <c r="BL2149">
        <v>8</v>
      </c>
      <c r="BM2149">
        <v>8</v>
      </c>
      <c r="BN2149">
        <v>8</v>
      </c>
      <c r="BO2149">
        <v>8</v>
      </c>
      <c r="BP2149">
        <v>0</v>
      </c>
      <c r="BQ2149" t="str">
        <f>"7:00 AM"</f>
        <v>7:00 AM</v>
      </c>
      <c r="BR2149" t="str">
        <f>"4:00 PM"</f>
        <v>4:00 PM</v>
      </c>
      <c r="BS2149" t="s">
        <v>131</v>
      </c>
      <c r="BT2149">
        <v>0</v>
      </c>
      <c r="BU2149">
        <v>3</v>
      </c>
      <c r="BV2149" t="s">
        <v>114</v>
      </c>
      <c r="BX2149" t="s">
        <v>23502</v>
      </c>
      <c r="BY2149" t="s">
        <v>23503</v>
      </c>
      <c r="BZ2149" t="s">
        <v>21048</v>
      </c>
      <c r="CA2149" t="s">
        <v>11985</v>
      </c>
      <c r="CB2149" t="s">
        <v>127</v>
      </c>
      <c r="CC2149" s="8" t="str">
        <f>"79762"</f>
        <v>79762</v>
      </c>
      <c r="CD2149" t="s">
        <v>8234</v>
      </c>
      <c r="CE2149" t="s">
        <v>8235</v>
      </c>
      <c r="CF2149" s="12">
        <v>25.49</v>
      </c>
      <c r="CG2149" s="12">
        <v>25.49</v>
      </c>
      <c r="CH2149" s="12">
        <v>38.229999999999997</v>
      </c>
      <c r="CI2149" s="12">
        <v>38.229999999999997</v>
      </c>
      <c r="CJ2149" t="s">
        <v>135</v>
      </c>
      <c r="CL2149" t="s">
        <v>23504</v>
      </c>
      <c r="CO2149" t="s">
        <v>132</v>
      </c>
      <c r="CP2149" t="s">
        <v>136</v>
      </c>
      <c r="CQ2149" t="s">
        <v>136</v>
      </c>
      <c r="CR2149" t="s">
        <v>136</v>
      </c>
      <c r="CS2149" t="s">
        <v>114</v>
      </c>
      <c r="CT2149" t="s">
        <v>136</v>
      </c>
      <c r="CU2149" t="s">
        <v>114</v>
      </c>
      <c r="CV2149" t="s">
        <v>1570</v>
      </c>
      <c r="CW2149" s="10" t="str">
        <f>"+14322082389"</f>
        <v>+14322082389</v>
      </c>
      <c r="CX2149" t="s">
        <v>23505</v>
      </c>
      <c r="CY2149" t="s">
        <v>132</v>
      </c>
      <c r="CZ2149" t="s">
        <v>137</v>
      </c>
      <c r="DA2149" t="s">
        <v>114</v>
      </c>
      <c r="DB2149" t="s">
        <v>114</v>
      </c>
      <c r="DC2149" t="s">
        <v>136</v>
      </c>
      <c r="DD2149" t="s">
        <v>114</v>
      </c>
    </row>
    <row r="2150" spans="1:113" ht="15" customHeight="1" x14ac:dyDescent="0.25">
      <c r="A2150" t="s">
        <v>18038</v>
      </c>
      <c r="B2150" t="s">
        <v>113</v>
      </c>
      <c r="C2150" s="1">
        <v>45110.002109953704</v>
      </c>
      <c r="D2150" s="1">
        <v>45205</v>
      </c>
      <c r="E2150" t="s">
        <v>136</v>
      </c>
      <c r="F2150" t="s">
        <v>1550</v>
      </c>
      <c r="G2150" t="str">
        <f>"51-4121.00"</f>
        <v>51-4121.00</v>
      </c>
      <c r="H2150" t="s">
        <v>815</v>
      </c>
      <c r="I2150">
        <v>85</v>
      </c>
      <c r="K2150" s="1">
        <v>45200</v>
      </c>
      <c r="L2150" s="1">
        <v>45504</v>
      </c>
      <c r="O2150" t="s">
        <v>116</v>
      </c>
      <c r="P2150" t="s">
        <v>13972</v>
      </c>
      <c r="Q2150" t="s">
        <v>13973</v>
      </c>
      <c r="R2150" t="s">
        <v>8931</v>
      </c>
      <c r="T2150" t="s">
        <v>2161</v>
      </c>
      <c r="U2150" t="s">
        <v>127</v>
      </c>
      <c r="V2150" s="8" t="str">
        <f>"78409"</f>
        <v>78409</v>
      </c>
      <c r="W2150" t="s">
        <v>118</v>
      </c>
      <c r="Y2150" s="10">
        <v>13616932100</v>
      </c>
      <c r="AA2150">
        <v>236210</v>
      </c>
      <c r="AB2150" t="s">
        <v>1820</v>
      </c>
      <c r="AC2150" t="s">
        <v>7298</v>
      </c>
      <c r="AE2150" t="s">
        <v>7661</v>
      </c>
      <c r="AF2150" t="s">
        <v>18039</v>
      </c>
      <c r="AH2150" t="s">
        <v>5898</v>
      </c>
      <c r="AI2150" t="s">
        <v>127</v>
      </c>
      <c r="AJ2150" s="8" t="str">
        <f>"78336"</f>
        <v>78336</v>
      </c>
      <c r="AK2150" t="s">
        <v>118</v>
      </c>
      <c r="AM2150" s="10">
        <v>13619109143</v>
      </c>
      <c r="AO2150" t="s">
        <v>13975</v>
      </c>
      <c r="AP2150" t="s">
        <v>121</v>
      </c>
      <c r="AQ2150" t="s">
        <v>4559</v>
      </c>
      <c r="AR2150" t="s">
        <v>4560</v>
      </c>
      <c r="AS2150" t="s">
        <v>2739</v>
      </c>
      <c r="AT2150" t="s">
        <v>4667</v>
      </c>
      <c r="AV2150" t="s">
        <v>4561</v>
      </c>
      <c r="AW2150" t="s">
        <v>127</v>
      </c>
      <c r="AX2150" s="8" t="str">
        <f>"77656"</f>
        <v>77656</v>
      </c>
      <c r="AY2150" t="s">
        <v>118</v>
      </c>
      <c r="BA2150" s="10">
        <v>14093860386</v>
      </c>
      <c r="BC2150" t="s">
        <v>4562</v>
      </c>
      <c r="BD2150" t="s">
        <v>4563</v>
      </c>
      <c r="BE2150" t="s">
        <v>127</v>
      </c>
      <c r="BF2150" t="s">
        <v>713</v>
      </c>
      <c r="BG2150" t="s">
        <v>127</v>
      </c>
      <c r="BH2150" s="1">
        <v>45104.833333333336</v>
      </c>
      <c r="BI2150">
        <v>40</v>
      </c>
      <c r="BJ2150">
        <v>0</v>
      </c>
      <c r="BK2150">
        <v>8</v>
      </c>
      <c r="BL2150">
        <v>8</v>
      </c>
      <c r="BM2150">
        <v>8</v>
      </c>
      <c r="BN2150">
        <v>8</v>
      </c>
      <c r="BO2150">
        <v>8</v>
      </c>
      <c r="BP2150">
        <v>0</v>
      </c>
      <c r="BQ2150" t="str">
        <f>"7:00 AM"</f>
        <v>7:00 AM</v>
      </c>
      <c r="BR2150" t="str">
        <f>"3:30 PM"</f>
        <v>3:30 PM</v>
      </c>
      <c r="BS2150" t="s">
        <v>131</v>
      </c>
      <c r="BT2150">
        <v>0</v>
      </c>
      <c r="BU2150">
        <v>12</v>
      </c>
      <c r="BV2150" t="s">
        <v>114</v>
      </c>
      <c r="BX2150" s="2" t="s">
        <v>18040</v>
      </c>
      <c r="BY2150" t="s">
        <v>8931</v>
      </c>
      <c r="CA2150" t="s">
        <v>2161</v>
      </c>
      <c r="CB2150" t="s">
        <v>127</v>
      </c>
      <c r="CC2150" s="8" t="str">
        <f>"78409"</f>
        <v>78409</v>
      </c>
      <c r="CD2150" t="s">
        <v>2162</v>
      </c>
      <c r="CE2150" t="s">
        <v>2163</v>
      </c>
      <c r="CF2150" s="12">
        <v>26.43</v>
      </c>
      <c r="CH2150" s="12">
        <v>39.65</v>
      </c>
      <c r="CJ2150" t="s">
        <v>135</v>
      </c>
      <c r="CK2150" t="s">
        <v>13977</v>
      </c>
      <c r="CL2150" t="s">
        <v>18041</v>
      </c>
      <c r="CO2150" t="s">
        <v>132</v>
      </c>
      <c r="CP2150" t="s">
        <v>136</v>
      </c>
      <c r="CQ2150" t="s">
        <v>114</v>
      </c>
      <c r="CR2150" t="s">
        <v>136</v>
      </c>
      <c r="CS2150" t="s">
        <v>114</v>
      </c>
      <c r="CT2150" t="s">
        <v>136</v>
      </c>
      <c r="CU2150" t="s">
        <v>114</v>
      </c>
      <c r="CV2150" s="2" t="s">
        <v>13979</v>
      </c>
      <c r="CW2150" s="10" t="str">
        <f>"+18327202738"</f>
        <v>+18327202738</v>
      </c>
      <c r="CX2150" t="s">
        <v>13980</v>
      </c>
      <c r="CY2150" t="s">
        <v>132</v>
      </c>
      <c r="CZ2150" t="s">
        <v>137</v>
      </c>
      <c r="DA2150" t="s">
        <v>114</v>
      </c>
      <c r="DB2150" t="s">
        <v>136</v>
      </c>
      <c r="DC2150" t="s">
        <v>136</v>
      </c>
      <c r="DD2150" t="s">
        <v>114</v>
      </c>
    </row>
    <row r="2151" spans="1:113" ht="15" customHeight="1" x14ac:dyDescent="0.25">
      <c r="A2151" t="s">
        <v>13971</v>
      </c>
      <c r="B2151" t="s">
        <v>113</v>
      </c>
      <c r="C2151" s="1">
        <v>45110.001853240741</v>
      </c>
      <c r="D2151" s="1">
        <v>45205</v>
      </c>
      <c r="E2151" t="s">
        <v>136</v>
      </c>
      <c r="F2151" t="s">
        <v>4558</v>
      </c>
      <c r="G2151" t="str">
        <f>"47-2152.00"</f>
        <v>47-2152.00</v>
      </c>
      <c r="H2151" t="s">
        <v>532</v>
      </c>
      <c r="I2151">
        <v>85</v>
      </c>
      <c r="K2151" s="1">
        <v>45200</v>
      </c>
      <c r="L2151" s="1">
        <v>45504</v>
      </c>
      <c r="O2151" t="s">
        <v>116</v>
      </c>
      <c r="P2151" t="s">
        <v>13972</v>
      </c>
      <c r="Q2151" t="s">
        <v>13973</v>
      </c>
      <c r="R2151" t="s">
        <v>8931</v>
      </c>
      <c r="T2151" t="s">
        <v>2161</v>
      </c>
      <c r="U2151" t="s">
        <v>127</v>
      </c>
      <c r="V2151" s="8" t="str">
        <f>"78409"</f>
        <v>78409</v>
      </c>
      <c r="W2151" t="s">
        <v>118</v>
      </c>
      <c r="Y2151" s="10">
        <v>13616932100</v>
      </c>
      <c r="AA2151">
        <v>236210</v>
      </c>
      <c r="AB2151" t="s">
        <v>1820</v>
      </c>
      <c r="AC2151" t="s">
        <v>7298</v>
      </c>
      <c r="AE2151" t="s">
        <v>7661</v>
      </c>
      <c r="AF2151" t="s">
        <v>13974</v>
      </c>
      <c r="AH2151" t="s">
        <v>5898</v>
      </c>
      <c r="AI2151" t="s">
        <v>127</v>
      </c>
      <c r="AJ2151" s="8" t="str">
        <f>"78336"</f>
        <v>78336</v>
      </c>
      <c r="AK2151" t="s">
        <v>118</v>
      </c>
      <c r="AM2151" s="10">
        <v>13619109143</v>
      </c>
      <c r="AO2151" t="s">
        <v>13975</v>
      </c>
      <c r="AP2151" t="s">
        <v>121</v>
      </c>
      <c r="AQ2151" t="s">
        <v>4559</v>
      </c>
      <c r="AR2151" t="s">
        <v>4560</v>
      </c>
      <c r="AS2151" t="s">
        <v>2739</v>
      </c>
      <c r="AT2151" t="s">
        <v>4667</v>
      </c>
      <c r="AV2151" t="s">
        <v>4561</v>
      </c>
      <c r="AW2151" t="s">
        <v>127</v>
      </c>
      <c r="AX2151" s="8" t="str">
        <f>"77656"</f>
        <v>77656</v>
      </c>
      <c r="AY2151" t="s">
        <v>118</v>
      </c>
      <c r="BA2151" s="10">
        <v>14093860386</v>
      </c>
      <c r="BC2151" t="s">
        <v>4562</v>
      </c>
      <c r="BD2151" t="s">
        <v>4563</v>
      </c>
      <c r="BE2151" t="s">
        <v>127</v>
      </c>
      <c r="BF2151" t="s">
        <v>713</v>
      </c>
      <c r="BG2151" t="s">
        <v>127</v>
      </c>
      <c r="BH2151" s="1">
        <v>45104.833333333336</v>
      </c>
      <c r="BI2151">
        <v>40</v>
      </c>
      <c r="BJ2151">
        <v>0</v>
      </c>
      <c r="BK2151">
        <v>8</v>
      </c>
      <c r="BL2151">
        <v>8</v>
      </c>
      <c r="BM2151">
        <v>8</v>
      </c>
      <c r="BN2151">
        <v>8</v>
      </c>
      <c r="BO2151">
        <v>8</v>
      </c>
      <c r="BP2151">
        <v>0</v>
      </c>
      <c r="BQ2151" t="str">
        <f>"7:00 AM"</f>
        <v>7:00 AM</v>
      </c>
      <c r="BR2151" t="str">
        <f>"3:30 PM"</f>
        <v>3:30 PM</v>
      </c>
      <c r="BS2151" t="s">
        <v>131</v>
      </c>
      <c r="BT2151">
        <v>0</v>
      </c>
      <c r="BU2151">
        <v>24</v>
      </c>
      <c r="BV2151" t="s">
        <v>114</v>
      </c>
      <c r="BX2151" s="2" t="s">
        <v>13976</v>
      </c>
      <c r="BY2151" t="s">
        <v>8931</v>
      </c>
      <c r="CA2151" t="s">
        <v>2161</v>
      </c>
      <c r="CB2151" t="s">
        <v>127</v>
      </c>
      <c r="CC2151" s="8" t="str">
        <f>"78409"</f>
        <v>78409</v>
      </c>
      <c r="CD2151" t="s">
        <v>2162</v>
      </c>
      <c r="CE2151" t="s">
        <v>2163</v>
      </c>
      <c r="CF2151" s="12">
        <v>26.34</v>
      </c>
      <c r="CH2151" s="12">
        <v>39.51</v>
      </c>
      <c r="CJ2151" t="s">
        <v>135</v>
      </c>
      <c r="CK2151" t="s">
        <v>13977</v>
      </c>
      <c r="CL2151" t="s">
        <v>13978</v>
      </c>
      <c r="CO2151" t="s">
        <v>132</v>
      </c>
      <c r="CP2151" t="s">
        <v>136</v>
      </c>
      <c r="CQ2151" t="s">
        <v>114</v>
      </c>
      <c r="CR2151" t="s">
        <v>136</v>
      </c>
      <c r="CS2151" t="s">
        <v>114</v>
      </c>
      <c r="CT2151" t="s">
        <v>136</v>
      </c>
      <c r="CU2151" t="s">
        <v>114</v>
      </c>
      <c r="CV2151" s="2" t="s">
        <v>13979</v>
      </c>
      <c r="CW2151" s="10" t="str">
        <f>"+18327202738"</f>
        <v>+18327202738</v>
      </c>
      <c r="CX2151" t="s">
        <v>13980</v>
      </c>
      <c r="CY2151" t="s">
        <v>132</v>
      </c>
      <c r="CZ2151" t="s">
        <v>137</v>
      </c>
      <c r="DA2151" t="s">
        <v>114</v>
      </c>
      <c r="DB2151" t="s">
        <v>136</v>
      </c>
      <c r="DC2151" t="s">
        <v>136</v>
      </c>
      <c r="DD2151" t="s">
        <v>114</v>
      </c>
    </row>
    <row r="2152" spans="1:113" ht="15" customHeight="1" x14ac:dyDescent="0.25">
      <c r="A2152" t="s">
        <v>4661</v>
      </c>
      <c r="B2152" t="s">
        <v>113</v>
      </c>
      <c r="C2152" s="1">
        <v>45110.000922453706</v>
      </c>
      <c r="D2152" s="1">
        <v>45205</v>
      </c>
      <c r="E2152" t="s">
        <v>136</v>
      </c>
      <c r="F2152" t="s">
        <v>1550</v>
      </c>
      <c r="G2152" t="str">
        <f>"51-4121.00"</f>
        <v>51-4121.00</v>
      </c>
      <c r="H2152" t="s">
        <v>815</v>
      </c>
      <c r="I2152">
        <v>85</v>
      </c>
      <c r="K2152" s="1">
        <v>45200</v>
      </c>
      <c r="L2152" s="1">
        <v>45657</v>
      </c>
      <c r="O2152" t="s">
        <v>184</v>
      </c>
      <c r="P2152" t="s">
        <v>4662</v>
      </c>
      <c r="R2152" t="s">
        <v>4663</v>
      </c>
      <c r="T2152" t="s">
        <v>4664</v>
      </c>
      <c r="U2152" t="s">
        <v>127</v>
      </c>
      <c r="V2152" s="8" t="str">
        <f>"77471"</f>
        <v>77471</v>
      </c>
      <c r="W2152" t="s">
        <v>118</v>
      </c>
      <c r="Y2152" s="10">
        <v>12816193499</v>
      </c>
      <c r="AA2152">
        <v>561320</v>
      </c>
      <c r="AB2152" t="s">
        <v>3411</v>
      </c>
      <c r="AC2152" t="s">
        <v>145</v>
      </c>
      <c r="AD2152" t="s">
        <v>4665</v>
      </c>
      <c r="AE2152" t="s">
        <v>629</v>
      </c>
      <c r="AF2152" t="s">
        <v>4663</v>
      </c>
      <c r="AH2152" t="s">
        <v>4664</v>
      </c>
      <c r="AI2152" t="s">
        <v>127</v>
      </c>
      <c r="AJ2152" s="8" t="str">
        <f>"77471"</f>
        <v>77471</v>
      </c>
      <c r="AK2152" t="s">
        <v>118</v>
      </c>
      <c r="AM2152" s="10">
        <v>12816193499</v>
      </c>
      <c r="AO2152" t="s">
        <v>4666</v>
      </c>
      <c r="AP2152" t="s">
        <v>121</v>
      </c>
      <c r="AQ2152" t="s">
        <v>4559</v>
      </c>
      <c r="AR2152" t="s">
        <v>4560</v>
      </c>
      <c r="AS2152" t="s">
        <v>2739</v>
      </c>
      <c r="AT2152" t="s">
        <v>4667</v>
      </c>
      <c r="AV2152" t="s">
        <v>4561</v>
      </c>
      <c r="AW2152" t="s">
        <v>127</v>
      </c>
      <c r="AX2152" s="8" t="str">
        <f>"77656"</f>
        <v>77656</v>
      </c>
      <c r="AY2152" t="s">
        <v>118</v>
      </c>
      <c r="BA2152" s="10">
        <v>14093860386</v>
      </c>
      <c r="BC2152" t="s">
        <v>4562</v>
      </c>
      <c r="BD2152" t="s">
        <v>4563</v>
      </c>
      <c r="BE2152" t="s">
        <v>127</v>
      </c>
      <c r="BF2152" t="s">
        <v>713</v>
      </c>
      <c r="BG2152" t="s">
        <v>127</v>
      </c>
      <c r="BH2152" s="1">
        <v>45104.833333333336</v>
      </c>
      <c r="BI2152">
        <v>40</v>
      </c>
      <c r="BJ2152">
        <v>0</v>
      </c>
      <c r="BK2152">
        <v>8</v>
      </c>
      <c r="BL2152">
        <v>8</v>
      </c>
      <c r="BM2152">
        <v>8</v>
      </c>
      <c r="BN2152">
        <v>8</v>
      </c>
      <c r="BO2152">
        <v>8</v>
      </c>
      <c r="BP2152">
        <v>0</v>
      </c>
      <c r="BQ2152" t="str">
        <f>"7:00 AM"</f>
        <v>7:00 AM</v>
      </c>
      <c r="BR2152" t="str">
        <f>"3:30 PM"</f>
        <v>3:30 PM</v>
      </c>
      <c r="BS2152" t="s">
        <v>131</v>
      </c>
      <c r="BT2152">
        <v>0</v>
      </c>
      <c r="BU2152">
        <v>12</v>
      </c>
      <c r="BV2152" t="s">
        <v>114</v>
      </c>
      <c r="BX2152" s="2" t="s">
        <v>4668</v>
      </c>
      <c r="BY2152" t="s">
        <v>4564</v>
      </c>
      <c r="CA2152" t="s">
        <v>2617</v>
      </c>
      <c r="CB2152" t="s">
        <v>127</v>
      </c>
      <c r="CC2152" s="8" t="str">
        <f>"78362"</f>
        <v>78362</v>
      </c>
      <c r="CD2152" t="s">
        <v>2572</v>
      </c>
      <c r="CE2152" t="s">
        <v>2163</v>
      </c>
      <c r="CF2152" s="12">
        <v>26.43</v>
      </c>
      <c r="CH2152" s="12">
        <v>39.65</v>
      </c>
      <c r="CJ2152" t="s">
        <v>135</v>
      </c>
      <c r="CK2152" t="s">
        <v>4669</v>
      </c>
      <c r="CL2152" t="s">
        <v>4670</v>
      </c>
      <c r="CO2152" t="s">
        <v>132</v>
      </c>
      <c r="CP2152" t="s">
        <v>136</v>
      </c>
      <c r="CQ2152" t="s">
        <v>114</v>
      </c>
      <c r="CR2152" t="s">
        <v>136</v>
      </c>
      <c r="CS2152" t="s">
        <v>114</v>
      </c>
      <c r="CT2152" t="s">
        <v>136</v>
      </c>
      <c r="CU2152" t="s">
        <v>114</v>
      </c>
      <c r="CV2152" t="s">
        <v>4671</v>
      </c>
      <c r="CW2152" s="10" t="str">
        <f>"+18327205059"</f>
        <v>+18327205059</v>
      </c>
      <c r="CX2152" t="s">
        <v>4672</v>
      </c>
      <c r="CY2152" t="s">
        <v>132</v>
      </c>
      <c r="CZ2152" t="s">
        <v>137</v>
      </c>
      <c r="DA2152" t="s">
        <v>114</v>
      </c>
      <c r="DB2152" t="s">
        <v>136</v>
      </c>
      <c r="DC2152" t="s">
        <v>136</v>
      </c>
      <c r="DD2152" t="s">
        <v>114</v>
      </c>
    </row>
    <row r="2153" spans="1:113" ht="15" customHeight="1" x14ac:dyDescent="0.25">
      <c r="A2153" t="s">
        <v>22821</v>
      </c>
      <c r="B2153" t="s">
        <v>113</v>
      </c>
      <c r="C2153" s="1">
        <v>45110.000212384257</v>
      </c>
      <c r="D2153" s="1">
        <v>45205</v>
      </c>
      <c r="E2153" t="s">
        <v>136</v>
      </c>
      <c r="F2153" t="s">
        <v>4558</v>
      </c>
      <c r="G2153" t="str">
        <f>"47-2152.00"</f>
        <v>47-2152.00</v>
      </c>
      <c r="H2153" t="s">
        <v>532</v>
      </c>
      <c r="I2153">
        <v>95</v>
      </c>
      <c r="K2153" s="1">
        <v>45200</v>
      </c>
      <c r="L2153" s="1">
        <v>45657</v>
      </c>
      <c r="O2153" t="s">
        <v>184</v>
      </c>
      <c r="P2153" t="s">
        <v>4662</v>
      </c>
      <c r="R2153" t="s">
        <v>4663</v>
      </c>
      <c r="T2153" t="s">
        <v>4664</v>
      </c>
      <c r="U2153" t="s">
        <v>127</v>
      </c>
      <c r="V2153" s="8" t="str">
        <f>"77471"</f>
        <v>77471</v>
      </c>
      <c r="W2153" t="s">
        <v>118</v>
      </c>
      <c r="Y2153" s="10">
        <v>12816193499</v>
      </c>
      <c r="AA2153">
        <v>561320</v>
      </c>
      <c r="AB2153" t="s">
        <v>3411</v>
      </c>
      <c r="AC2153" t="s">
        <v>145</v>
      </c>
      <c r="AD2153" t="s">
        <v>4665</v>
      </c>
      <c r="AE2153" t="s">
        <v>629</v>
      </c>
      <c r="AF2153" t="s">
        <v>4663</v>
      </c>
      <c r="AH2153" t="s">
        <v>4664</v>
      </c>
      <c r="AI2153" t="s">
        <v>127</v>
      </c>
      <c r="AJ2153" s="8" t="str">
        <f>"77471"</f>
        <v>77471</v>
      </c>
      <c r="AK2153" t="s">
        <v>118</v>
      </c>
      <c r="AM2153" s="10">
        <v>12816193499</v>
      </c>
      <c r="AO2153" t="s">
        <v>4666</v>
      </c>
      <c r="AP2153" t="s">
        <v>121</v>
      </c>
      <c r="AQ2153" t="s">
        <v>4559</v>
      </c>
      <c r="AR2153" t="s">
        <v>4560</v>
      </c>
      <c r="AS2153" t="s">
        <v>2739</v>
      </c>
      <c r="AT2153" t="s">
        <v>4667</v>
      </c>
      <c r="AV2153" t="s">
        <v>4561</v>
      </c>
      <c r="AW2153" t="s">
        <v>127</v>
      </c>
      <c r="AX2153" s="8" t="str">
        <f>"77656"</f>
        <v>77656</v>
      </c>
      <c r="AY2153" t="s">
        <v>118</v>
      </c>
      <c r="BA2153" s="10">
        <v>14093860386</v>
      </c>
      <c r="BC2153" t="s">
        <v>4562</v>
      </c>
      <c r="BD2153" t="s">
        <v>4563</v>
      </c>
      <c r="BE2153" t="s">
        <v>127</v>
      </c>
      <c r="BF2153" t="s">
        <v>713</v>
      </c>
      <c r="BG2153" t="s">
        <v>127</v>
      </c>
      <c r="BH2153" s="1">
        <v>45104.833333333336</v>
      </c>
      <c r="BI2153">
        <v>40</v>
      </c>
      <c r="BJ2153">
        <v>0</v>
      </c>
      <c r="BK2153">
        <v>8</v>
      </c>
      <c r="BL2153">
        <v>8</v>
      </c>
      <c r="BM2153">
        <v>8</v>
      </c>
      <c r="BN2153">
        <v>8</v>
      </c>
      <c r="BO2153">
        <v>8</v>
      </c>
      <c r="BP2153">
        <v>0</v>
      </c>
      <c r="BQ2153" t="str">
        <f>"7:00 AM"</f>
        <v>7:00 AM</v>
      </c>
      <c r="BR2153" t="str">
        <f>"3:30 PM"</f>
        <v>3:30 PM</v>
      </c>
      <c r="BS2153" t="s">
        <v>131</v>
      </c>
      <c r="BT2153">
        <v>0</v>
      </c>
      <c r="BU2153">
        <v>24</v>
      </c>
      <c r="BV2153" t="s">
        <v>114</v>
      </c>
      <c r="BX2153" s="2" t="s">
        <v>22822</v>
      </c>
      <c r="BY2153" t="s">
        <v>4564</v>
      </c>
      <c r="CA2153" t="s">
        <v>2617</v>
      </c>
      <c r="CB2153" t="s">
        <v>127</v>
      </c>
      <c r="CC2153" s="8" t="str">
        <f>"78362"</f>
        <v>78362</v>
      </c>
      <c r="CD2153" t="s">
        <v>2572</v>
      </c>
      <c r="CE2153" t="s">
        <v>2163</v>
      </c>
      <c r="CF2153" s="12">
        <v>26.34</v>
      </c>
      <c r="CH2153" s="12">
        <v>39.51</v>
      </c>
      <c r="CJ2153" t="s">
        <v>135</v>
      </c>
      <c r="CK2153" t="s">
        <v>4669</v>
      </c>
      <c r="CL2153" t="s">
        <v>22823</v>
      </c>
      <c r="CO2153" t="s">
        <v>132</v>
      </c>
      <c r="CP2153" t="s">
        <v>136</v>
      </c>
      <c r="CQ2153" t="s">
        <v>114</v>
      </c>
      <c r="CR2153" t="s">
        <v>136</v>
      </c>
      <c r="CS2153" t="s">
        <v>114</v>
      </c>
      <c r="CT2153" t="s">
        <v>136</v>
      </c>
      <c r="CU2153" t="s">
        <v>114</v>
      </c>
      <c r="CV2153" t="s">
        <v>4671</v>
      </c>
      <c r="CW2153" s="10" t="str">
        <f>"+18327205059"</f>
        <v>+18327205059</v>
      </c>
      <c r="CX2153" t="s">
        <v>4672</v>
      </c>
      <c r="CY2153" t="s">
        <v>132</v>
      </c>
      <c r="CZ2153" t="s">
        <v>137</v>
      </c>
      <c r="DA2153" t="s">
        <v>114</v>
      </c>
      <c r="DB2153" t="s">
        <v>136</v>
      </c>
      <c r="DC2153" t="s">
        <v>136</v>
      </c>
      <c r="DD2153" t="s">
        <v>114</v>
      </c>
    </row>
    <row r="2154" spans="1:113" ht="15" customHeight="1" x14ac:dyDescent="0.25">
      <c r="A2154" t="s">
        <v>20521</v>
      </c>
      <c r="B2154" t="s">
        <v>113</v>
      </c>
      <c r="C2154" s="1">
        <v>45110.000111921298</v>
      </c>
      <c r="D2154" s="1">
        <v>45205</v>
      </c>
      <c r="E2154" t="s">
        <v>114</v>
      </c>
      <c r="F2154" t="s">
        <v>7521</v>
      </c>
      <c r="G2154" t="str">
        <f>"53-7062.00"</f>
        <v>53-7062.00</v>
      </c>
      <c r="H2154" t="s">
        <v>2078</v>
      </c>
      <c r="I2154">
        <v>5</v>
      </c>
      <c r="K2154" s="1">
        <v>45200</v>
      </c>
      <c r="L2154" s="1">
        <v>45290</v>
      </c>
      <c r="O2154" t="s">
        <v>116</v>
      </c>
      <c r="P2154" t="s">
        <v>7522</v>
      </c>
      <c r="R2154" t="s">
        <v>7523</v>
      </c>
      <c r="T2154" t="s">
        <v>7524</v>
      </c>
      <c r="U2154" t="s">
        <v>386</v>
      </c>
      <c r="V2154" s="8" t="str">
        <f>"38344"</f>
        <v>38344</v>
      </c>
      <c r="W2154" t="s">
        <v>118</v>
      </c>
      <c r="Y2154" s="10">
        <v>17314158480</v>
      </c>
      <c r="AA2154">
        <v>562111</v>
      </c>
      <c r="AB2154" t="s">
        <v>20522</v>
      </c>
      <c r="AC2154" t="s">
        <v>7525</v>
      </c>
      <c r="AE2154" t="s">
        <v>2084</v>
      </c>
      <c r="AF2154" t="s">
        <v>7523</v>
      </c>
      <c r="AH2154" t="s">
        <v>7524</v>
      </c>
      <c r="AI2154" t="s">
        <v>386</v>
      </c>
      <c r="AJ2154" s="8" t="str">
        <f>"38344"</f>
        <v>38344</v>
      </c>
      <c r="AK2154" t="s">
        <v>118</v>
      </c>
      <c r="AM2154" s="10">
        <v>17314158480</v>
      </c>
      <c r="AO2154" t="s">
        <v>7526</v>
      </c>
      <c r="AP2154" t="s">
        <v>121</v>
      </c>
      <c r="AQ2154" t="s">
        <v>2173</v>
      </c>
      <c r="AR2154" t="s">
        <v>2174</v>
      </c>
      <c r="AS2154" t="s">
        <v>1829</v>
      </c>
      <c r="AT2154" t="s">
        <v>2175</v>
      </c>
      <c r="AV2154" t="s">
        <v>2176</v>
      </c>
      <c r="AW2154" t="s">
        <v>386</v>
      </c>
      <c r="AX2154" s="8" t="str">
        <f>"37110"</f>
        <v>37110</v>
      </c>
      <c r="AY2154" t="s">
        <v>118</v>
      </c>
      <c r="BA2154" s="10">
        <v>19312747811</v>
      </c>
      <c r="BC2154" t="s">
        <v>2177</v>
      </c>
      <c r="BD2154" t="s">
        <v>2178</v>
      </c>
      <c r="BE2154" t="s">
        <v>386</v>
      </c>
      <c r="BF2154" t="s">
        <v>2179</v>
      </c>
      <c r="BG2154" t="s">
        <v>386</v>
      </c>
      <c r="BH2154" s="1">
        <v>45108.833333333336</v>
      </c>
      <c r="BI2154">
        <v>40</v>
      </c>
      <c r="BJ2154">
        <v>0</v>
      </c>
      <c r="BK2154">
        <v>8</v>
      </c>
      <c r="BL2154">
        <v>8</v>
      </c>
      <c r="BM2154">
        <v>8</v>
      </c>
      <c r="BN2154">
        <v>8</v>
      </c>
      <c r="BO2154">
        <v>8</v>
      </c>
      <c r="BP2154">
        <v>0</v>
      </c>
      <c r="BQ2154" t="str">
        <f>"7:00 AM"</f>
        <v>7:00 AM</v>
      </c>
      <c r="BR2154" t="str">
        <f>"4:00 PM"</f>
        <v>4:00 PM</v>
      </c>
      <c r="BS2154" t="s">
        <v>131</v>
      </c>
      <c r="BT2154">
        <v>0</v>
      </c>
      <c r="BU2154">
        <v>0</v>
      </c>
      <c r="BV2154" t="s">
        <v>114</v>
      </c>
      <c r="BX2154" s="2" t="s">
        <v>20523</v>
      </c>
      <c r="BY2154" t="s">
        <v>7527</v>
      </c>
      <c r="CA2154" t="s">
        <v>3791</v>
      </c>
      <c r="CB2154" t="s">
        <v>386</v>
      </c>
      <c r="CC2154" s="8" t="str">
        <f>"38242"</f>
        <v>38242</v>
      </c>
      <c r="CD2154" t="s">
        <v>4819</v>
      </c>
      <c r="CE2154" t="s">
        <v>4347</v>
      </c>
      <c r="CF2154" s="12">
        <v>14.54</v>
      </c>
      <c r="CH2154" s="12">
        <v>21.81</v>
      </c>
      <c r="CJ2154" t="s">
        <v>135</v>
      </c>
      <c r="CK2154" t="s">
        <v>2181</v>
      </c>
      <c r="CL2154" t="s">
        <v>20524</v>
      </c>
      <c r="CO2154" t="s">
        <v>132</v>
      </c>
      <c r="CP2154" t="s">
        <v>114</v>
      </c>
      <c r="CQ2154" t="s">
        <v>136</v>
      </c>
      <c r="CR2154" t="s">
        <v>114</v>
      </c>
      <c r="CS2154" t="s">
        <v>114</v>
      </c>
      <c r="CT2154" t="s">
        <v>136</v>
      </c>
      <c r="CU2154" t="s">
        <v>136</v>
      </c>
      <c r="CV2154" t="s">
        <v>132</v>
      </c>
      <c r="CW2154" s="10" t="str">
        <f>"+17319245122"</f>
        <v>+17319245122</v>
      </c>
      <c r="CX2154" t="s">
        <v>20525</v>
      </c>
      <c r="CY2154" t="s">
        <v>132</v>
      </c>
      <c r="CZ2154" t="s">
        <v>137</v>
      </c>
      <c r="DA2154" t="s">
        <v>114</v>
      </c>
      <c r="DB2154" t="s">
        <v>114</v>
      </c>
      <c r="DC2154" t="s">
        <v>136</v>
      </c>
      <c r="DD2154" t="s">
        <v>114</v>
      </c>
    </row>
    <row r="2155" spans="1:113" ht="15" customHeight="1" x14ac:dyDescent="0.25">
      <c r="A2155" t="s">
        <v>22612</v>
      </c>
      <c r="B2155" t="s">
        <v>113</v>
      </c>
      <c r="C2155" s="1">
        <v>45086.692381250003</v>
      </c>
      <c r="D2155" s="1">
        <v>45205</v>
      </c>
      <c r="E2155" t="s">
        <v>114</v>
      </c>
      <c r="F2155" t="s">
        <v>22613</v>
      </c>
      <c r="G2155" t="str">
        <f>"35-3041.00"</f>
        <v>35-3041.00</v>
      </c>
      <c r="H2155" t="s">
        <v>11100</v>
      </c>
      <c r="I2155">
        <v>30</v>
      </c>
      <c r="K2155" s="1">
        <v>45161</v>
      </c>
      <c r="L2155" s="1">
        <v>45306</v>
      </c>
      <c r="O2155" t="s">
        <v>3248</v>
      </c>
      <c r="P2155" t="s">
        <v>22614</v>
      </c>
      <c r="R2155" t="s">
        <v>22615</v>
      </c>
      <c r="T2155" t="s">
        <v>21119</v>
      </c>
      <c r="U2155" t="s">
        <v>1722</v>
      </c>
      <c r="V2155" s="8" t="str">
        <f>"21244"</f>
        <v>21244</v>
      </c>
      <c r="W2155" t="s">
        <v>118</v>
      </c>
      <c r="Y2155" s="10">
        <v>14109226140</v>
      </c>
      <c r="AA2155">
        <v>561320</v>
      </c>
      <c r="AB2155" t="s">
        <v>22616</v>
      </c>
      <c r="AC2155" t="s">
        <v>1745</v>
      </c>
      <c r="AD2155" t="s">
        <v>1738</v>
      </c>
      <c r="AE2155" t="s">
        <v>22617</v>
      </c>
      <c r="AF2155" t="s">
        <v>22618</v>
      </c>
      <c r="AH2155" t="s">
        <v>142</v>
      </c>
      <c r="AI2155" t="s">
        <v>140</v>
      </c>
      <c r="AJ2155" s="8" t="str">
        <f>"33132"</f>
        <v>33132</v>
      </c>
      <c r="AK2155" t="s">
        <v>118</v>
      </c>
      <c r="AM2155" s="10">
        <v>13057460595</v>
      </c>
      <c r="AO2155" t="s">
        <v>22619</v>
      </c>
      <c r="AX2155" s="8" t="str">
        <f>""</f>
        <v/>
      </c>
      <c r="BG2155" t="s">
        <v>1722</v>
      </c>
      <c r="BH2155" s="1">
        <v>44977.791666666664</v>
      </c>
      <c r="BI2155">
        <v>56</v>
      </c>
      <c r="BJ2155">
        <v>8</v>
      </c>
      <c r="BK2155">
        <v>8</v>
      </c>
      <c r="BL2155">
        <v>8</v>
      </c>
      <c r="BM2155">
        <v>8</v>
      </c>
      <c r="BN2155">
        <v>8</v>
      </c>
      <c r="BO2155">
        <v>8</v>
      </c>
      <c r="BP2155">
        <v>8</v>
      </c>
      <c r="BQ2155" t="str">
        <f>"7:00 AM"</f>
        <v>7:00 AM</v>
      </c>
      <c r="BR2155" t="str">
        <f>"10:00 PM"</f>
        <v>10:00 PM</v>
      </c>
      <c r="BS2155" t="s">
        <v>147</v>
      </c>
      <c r="BT2155">
        <v>0</v>
      </c>
      <c r="BU2155">
        <v>0</v>
      </c>
      <c r="BV2155" t="s">
        <v>114</v>
      </c>
      <c r="BX2155" s="2" t="s">
        <v>22620</v>
      </c>
      <c r="BY2155" t="s">
        <v>22621</v>
      </c>
      <c r="CA2155" t="s">
        <v>21119</v>
      </c>
      <c r="CB2155" t="s">
        <v>1722</v>
      </c>
      <c r="CC2155" s="8" t="str">
        <f>"22244"</f>
        <v>22244</v>
      </c>
      <c r="CD2155" t="s">
        <v>2013</v>
      </c>
      <c r="CE2155" t="s">
        <v>1992</v>
      </c>
      <c r="CF2155" s="12">
        <v>13.81</v>
      </c>
      <c r="CG2155" s="12">
        <v>15.89</v>
      </c>
      <c r="CJ2155" t="s">
        <v>135</v>
      </c>
      <c r="CL2155" t="s">
        <v>22622</v>
      </c>
      <c r="CO2155" t="s">
        <v>132</v>
      </c>
      <c r="CP2155" t="s">
        <v>136</v>
      </c>
      <c r="CQ2155" t="s">
        <v>136</v>
      </c>
      <c r="CR2155" t="s">
        <v>136</v>
      </c>
      <c r="CS2155" t="s">
        <v>136</v>
      </c>
      <c r="CT2155" t="s">
        <v>136</v>
      </c>
      <c r="CU2155" t="s">
        <v>114</v>
      </c>
      <c r="CV2155" t="s">
        <v>22623</v>
      </c>
      <c r="CW2155" s="10" t="str">
        <f>"+14109226140"</f>
        <v>+14109226140</v>
      </c>
      <c r="CX2155" t="s">
        <v>22624</v>
      </c>
      <c r="CY2155" t="s">
        <v>22625</v>
      </c>
      <c r="CZ2155" t="s">
        <v>137</v>
      </c>
      <c r="DA2155" t="s">
        <v>114</v>
      </c>
      <c r="DB2155" t="s">
        <v>114</v>
      </c>
      <c r="DC2155" t="s">
        <v>136</v>
      </c>
      <c r="DD2155" t="s">
        <v>114</v>
      </c>
    </row>
    <row r="2156" spans="1:113" ht="15" customHeight="1" x14ac:dyDescent="0.25">
      <c r="A2156" t="s">
        <v>17277</v>
      </c>
      <c r="B2156" t="s">
        <v>113</v>
      </c>
      <c r="C2156" s="1">
        <v>45140.619387962965</v>
      </c>
      <c r="D2156" s="1">
        <v>45204</v>
      </c>
      <c r="E2156" t="s">
        <v>114</v>
      </c>
      <c r="F2156" t="s">
        <v>7083</v>
      </c>
      <c r="G2156" t="str">
        <f>"35-2014.00"</f>
        <v>35-2014.00</v>
      </c>
      <c r="H2156" t="s">
        <v>154</v>
      </c>
      <c r="I2156">
        <v>3</v>
      </c>
      <c r="K2156" s="1">
        <v>45229</v>
      </c>
      <c r="L2156" s="1">
        <v>45412</v>
      </c>
      <c r="O2156" t="s">
        <v>238</v>
      </c>
      <c r="P2156" t="s">
        <v>17278</v>
      </c>
      <c r="R2156" t="s">
        <v>17279</v>
      </c>
      <c r="S2156" t="s">
        <v>17280</v>
      </c>
      <c r="T2156" t="s">
        <v>8703</v>
      </c>
      <c r="U2156" t="s">
        <v>2194</v>
      </c>
      <c r="V2156" s="8" t="str">
        <f>"03251"</f>
        <v>03251</v>
      </c>
      <c r="W2156" t="s">
        <v>118</v>
      </c>
      <c r="Y2156" s="10">
        <v>16037457290</v>
      </c>
      <c r="AA2156">
        <v>722511</v>
      </c>
      <c r="AB2156" t="s">
        <v>17281</v>
      </c>
      <c r="AC2156" t="s">
        <v>1118</v>
      </c>
      <c r="AD2156" t="s">
        <v>4514</v>
      </c>
      <c r="AE2156" t="s">
        <v>17282</v>
      </c>
      <c r="AF2156" t="s">
        <v>17283</v>
      </c>
      <c r="AG2156" t="s">
        <v>17284</v>
      </c>
      <c r="AH2156" t="s">
        <v>3170</v>
      </c>
      <c r="AI2156" t="s">
        <v>2194</v>
      </c>
      <c r="AJ2156" s="8" t="str">
        <f>"03251"</f>
        <v>03251</v>
      </c>
      <c r="AK2156" t="s">
        <v>118</v>
      </c>
      <c r="AM2156" s="10">
        <v>16037457290</v>
      </c>
      <c r="AO2156" t="s">
        <v>17285</v>
      </c>
      <c r="AX2156" s="8" t="str">
        <f>""</f>
        <v/>
      </c>
      <c r="BG2156" t="s">
        <v>2194</v>
      </c>
      <c r="BH2156" s="1">
        <v>45137.833333333336</v>
      </c>
      <c r="BI2156">
        <v>40</v>
      </c>
      <c r="BJ2156">
        <v>6</v>
      </c>
      <c r="BK2156">
        <v>0</v>
      </c>
      <c r="BL2156">
        <v>0</v>
      </c>
      <c r="BM2156">
        <v>8</v>
      </c>
      <c r="BN2156">
        <v>8</v>
      </c>
      <c r="BO2156">
        <v>8</v>
      </c>
      <c r="BP2156">
        <v>10</v>
      </c>
      <c r="BQ2156" t="str">
        <f>"1:31 PM"</f>
        <v>1:31 PM</v>
      </c>
      <c r="BR2156" t="str">
        <f>"9:30 PM"</f>
        <v>9:30 PM</v>
      </c>
      <c r="BS2156" t="s">
        <v>147</v>
      </c>
      <c r="BT2156">
        <v>0</v>
      </c>
      <c r="BU2156">
        <v>36</v>
      </c>
      <c r="BV2156" t="s">
        <v>114</v>
      </c>
      <c r="BX2156" s="2" t="s">
        <v>17286</v>
      </c>
      <c r="BY2156" t="s">
        <v>17283</v>
      </c>
      <c r="CA2156" t="s">
        <v>3170</v>
      </c>
      <c r="CB2156" t="s">
        <v>2194</v>
      </c>
      <c r="CC2156" s="8" t="str">
        <f>"03251"</f>
        <v>03251</v>
      </c>
      <c r="CD2156" t="s">
        <v>3924</v>
      </c>
      <c r="CE2156" t="s">
        <v>2365</v>
      </c>
      <c r="CF2156" s="12">
        <v>18</v>
      </c>
      <c r="CG2156" s="12">
        <v>25</v>
      </c>
      <c r="CH2156" s="12">
        <v>27</v>
      </c>
      <c r="CI2156" s="12">
        <v>37.5</v>
      </c>
      <c r="CJ2156" t="s">
        <v>135</v>
      </c>
      <c r="CL2156" t="s">
        <v>17287</v>
      </c>
      <c r="CO2156" t="s">
        <v>132</v>
      </c>
      <c r="CP2156" t="s">
        <v>114</v>
      </c>
      <c r="CQ2156" t="s">
        <v>136</v>
      </c>
      <c r="CR2156" t="s">
        <v>136</v>
      </c>
      <c r="CS2156" t="s">
        <v>136</v>
      </c>
      <c r="CT2156" t="s">
        <v>136</v>
      </c>
      <c r="CU2156" t="s">
        <v>136</v>
      </c>
      <c r="CV2156" t="s">
        <v>17288</v>
      </c>
      <c r="CW2156" s="10" t="str">
        <f>"+16035317209"</f>
        <v>+16035317209</v>
      </c>
      <c r="CX2156" t="s">
        <v>17285</v>
      </c>
      <c r="CY2156" t="s">
        <v>17289</v>
      </c>
      <c r="CZ2156" t="s">
        <v>137</v>
      </c>
      <c r="DA2156" t="s">
        <v>114</v>
      </c>
      <c r="DB2156" t="s">
        <v>114</v>
      </c>
      <c r="DC2156" t="s">
        <v>136</v>
      </c>
      <c r="DD2156" t="s">
        <v>114</v>
      </c>
      <c r="DE2156" t="s">
        <v>1215</v>
      </c>
      <c r="DF2156" t="s">
        <v>1328</v>
      </c>
      <c r="DH2156" t="s">
        <v>17290</v>
      </c>
      <c r="DI2156" t="s">
        <v>17285</v>
      </c>
    </row>
    <row r="2157" spans="1:113" ht="15" customHeight="1" x14ac:dyDescent="0.25">
      <c r="A2157" t="s">
        <v>21549</v>
      </c>
      <c r="B2157" t="s">
        <v>113</v>
      </c>
      <c r="C2157" s="1">
        <v>45135.675856365742</v>
      </c>
      <c r="D2157" s="1">
        <v>45204</v>
      </c>
      <c r="E2157" t="s">
        <v>114</v>
      </c>
      <c r="F2157" t="s">
        <v>21550</v>
      </c>
      <c r="G2157" t="str">
        <f>"35-3031.00"</f>
        <v>35-3031.00</v>
      </c>
      <c r="H2157" t="s">
        <v>347</v>
      </c>
      <c r="I2157">
        <v>3</v>
      </c>
      <c r="K2157" s="1">
        <v>45210</v>
      </c>
      <c r="L2157" s="1">
        <v>45391</v>
      </c>
      <c r="O2157" t="s">
        <v>238</v>
      </c>
      <c r="P2157" t="s">
        <v>21551</v>
      </c>
      <c r="R2157" t="s">
        <v>21552</v>
      </c>
      <c r="T2157" t="s">
        <v>3351</v>
      </c>
      <c r="U2157" t="s">
        <v>222</v>
      </c>
      <c r="V2157" s="8" t="str">
        <f>"01902"</f>
        <v>01902</v>
      </c>
      <c r="W2157" t="s">
        <v>118</v>
      </c>
      <c r="Y2157" s="10">
        <v>17866085520</v>
      </c>
      <c r="AA2157">
        <v>7225</v>
      </c>
      <c r="AB2157" t="s">
        <v>21553</v>
      </c>
      <c r="AC2157" t="s">
        <v>3730</v>
      </c>
      <c r="AE2157" t="s">
        <v>5983</v>
      </c>
      <c r="AF2157" t="s">
        <v>21552</v>
      </c>
      <c r="AH2157" t="s">
        <v>3351</v>
      </c>
      <c r="AI2157" t="s">
        <v>222</v>
      </c>
      <c r="AJ2157" s="8" t="str">
        <f>"01902"</f>
        <v>01902</v>
      </c>
      <c r="AK2157" t="s">
        <v>118</v>
      </c>
      <c r="AM2157" s="10">
        <v>17866085520</v>
      </c>
      <c r="AO2157" t="s">
        <v>21554</v>
      </c>
      <c r="AX2157" s="8" t="str">
        <f>""</f>
        <v/>
      </c>
      <c r="BG2157" t="s">
        <v>222</v>
      </c>
      <c r="BH2157" s="1">
        <v>45131.833333333336</v>
      </c>
      <c r="BI2157">
        <v>40</v>
      </c>
      <c r="BJ2157">
        <v>0</v>
      </c>
      <c r="BK2157">
        <v>8</v>
      </c>
      <c r="BL2157">
        <v>8</v>
      </c>
      <c r="BM2157">
        <v>8</v>
      </c>
      <c r="BN2157">
        <v>8</v>
      </c>
      <c r="BO2157">
        <v>8</v>
      </c>
      <c r="BP2157">
        <v>0</v>
      </c>
      <c r="BQ2157" t="str">
        <f>"9:00 AM"</f>
        <v>9:00 AM</v>
      </c>
      <c r="BR2157" t="str">
        <f>"5:00 PM"</f>
        <v>5:00 PM</v>
      </c>
      <c r="BS2157" t="s">
        <v>131</v>
      </c>
      <c r="BT2157">
        <v>0</v>
      </c>
      <c r="BU2157">
        <v>0</v>
      </c>
      <c r="BV2157" t="s">
        <v>114</v>
      </c>
      <c r="BX2157" s="2" t="s">
        <v>21555</v>
      </c>
      <c r="BY2157" t="s">
        <v>21552</v>
      </c>
      <c r="CA2157" t="s">
        <v>3351</v>
      </c>
      <c r="CB2157" t="s">
        <v>222</v>
      </c>
      <c r="CC2157" s="8" t="str">
        <f>"01902"</f>
        <v>01902</v>
      </c>
      <c r="CD2157" t="s">
        <v>3912</v>
      </c>
      <c r="CE2157" t="s">
        <v>2399</v>
      </c>
      <c r="CF2157" s="12">
        <v>17.989999999999998</v>
      </c>
      <c r="CG2157" s="12">
        <v>17.989999999999998</v>
      </c>
      <c r="CH2157" s="12">
        <v>26.98</v>
      </c>
      <c r="CI2157" s="12">
        <v>27</v>
      </c>
      <c r="CJ2157" t="s">
        <v>135</v>
      </c>
      <c r="CK2157" t="s">
        <v>132</v>
      </c>
      <c r="CL2157" t="s">
        <v>21556</v>
      </c>
      <c r="CO2157" t="s">
        <v>132</v>
      </c>
      <c r="CP2157" t="s">
        <v>114</v>
      </c>
      <c r="CQ2157" t="s">
        <v>114</v>
      </c>
      <c r="CR2157" t="s">
        <v>114</v>
      </c>
      <c r="CS2157" t="s">
        <v>114</v>
      </c>
      <c r="CT2157" t="s">
        <v>136</v>
      </c>
      <c r="CU2157" t="s">
        <v>114</v>
      </c>
      <c r="CV2157" s="2" t="s">
        <v>21557</v>
      </c>
      <c r="CW2157" s="10" t="str">
        <f>"+17866085520"</f>
        <v>+17866085520</v>
      </c>
      <c r="CX2157" t="s">
        <v>21558</v>
      </c>
      <c r="CY2157" t="s">
        <v>132</v>
      </c>
      <c r="CZ2157" t="s">
        <v>137</v>
      </c>
      <c r="DA2157" t="s">
        <v>114</v>
      </c>
      <c r="DB2157" t="s">
        <v>114</v>
      </c>
      <c r="DC2157" t="s">
        <v>136</v>
      </c>
      <c r="DD2157" t="s">
        <v>114</v>
      </c>
    </row>
    <row r="2158" spans="1:113" ht="15" customHeight="1" x14ac:dyDescent="0.25">
      <c r="A2158" t="s">
        <v>13344</v>
      </c>
      <c r="B2158" t="s">
        <v>113</v>
      </c>
      <c r="C2158" s="1">
        <v>45125.713794675925</v>
      </c>
      <c r="D2158" s="1">
        <v>45204</v>
      </c>
      <c r="E2158" t="s">
        <v>114</v>
      </c>
      <c r="F2158" t="s">
        <v>13345</v>
      </c>
      <c r="G2158" t="str">
        <f>"49-9099.00"</f>
        <v>49-9099.00</v>
      </c>
      <c r="H2158" t="s">
        <v>3863</v>
      </c>
      <c r="I2158">
        <v>24</v>
      </c>
      <c r="K2158" s="1">
        <v>45200</v>
      </c>
      <c r="L2158" s="1">
        <v>45337</v>
      </c>
      <c r="O2158" t="s">
        <v>238</v>
      </c>
      <c r="P2158" t="s">
        <v>13346</v>
      </c>
      <c r="R2158" t="s">
        <v>13347</v>
      </c>
      <c r="T2158" t="s">
        <v>2564</v>
      </c>
      <c r="U2158" t="s">
        <v>127</v>
      </c>
      <c r="V2158" s="8" t="str">
        <f>"77055"</f>
        <v>77055</v>
      </c>
      <c r="W2158" t="s">
        <v>118</v>
      </c>
      <c r="Y2158" s="10">
        <v>17137033525</v>
      </c>
      <c r="AA2158">
        <v>23821</v>
      </c>
      <c r="AB2158" t="s">
        <v>12688</v>
      </c>
      <c r="AC2158" t="s">
        <v>13348</v>
      </c>
      <c r="AE2158" t="s">
        <v>794</v>
      </c>
      <c r="AF2158" t="s">
        <v>13349</v>
      </c>
      <c r="AH2158" t="s">
        <v>2564</v>
      </c>
      <c r="AI2158" t="s">
        <v>127</v>
      </c>
      <c r="AJ2158" s="8" t="str">
        <f>"77055"</f>
        <v>77055</v>
      </c>
      <c r="AK2158" t="s">
        <v>118</v>
      </c>
      <c r="AM2158" s="10">
        <v>17137033525</v>
      </c>
      <c r="AO2158" t="s">
        <v>132</v>
      </c>
      <c r="AP2158" t="s">
        <v>121</v>
      </c>
      <c r="AQ2158" t="s">
        <v>4293</v>
      </c>
      <c r="AR2158" t="s">
        <v>4294</v>
      </c>
      <c r="AS2158" t="s">
        <v>3625</v>
      </c>
      <c r="AT2158" t="s">
        <v>4295</v>
      </c>
      <c r="AV2158" t="s">
        <v>320</v>
      </c>
      <c r="AW2158" t="s">
        <v>127</v>
      </c>
      <c r="AX2158" s="8" t="str">
        <f>"78705"</f>
        <v>78705</v>
      </c>
      <c r="AY2158" t="s">
        <v>118</v>
      </c>
      <c r="BA2158" s="10">
        <v>15129173770</v>
      </c>
      <c r="BC2158" t="s">
        <v>13350</v>
      </c>
      <c r="BD2158" t="s">
        <v>4297</v>
      </c>
      <c r="BE2158" t="s">
        <v>127</v>
      </c>
      <c r="BF2158" t="s">
        <v>750</v>
      </c>
      <c r="BG2158" t="s">
        <v>127</v>
      </c>
      <c r="BH2158" s="1">
        <v>45107.833333333336</v>
      </c>
      <c r="BI2158">
        <v>40</v>
      </c>
      <c r="BJ2158">
        <v>0</v>
      </c>
      <c r="BK2158">
        <v>8</v>
      </c>
      <c r="BL2158">
        <v>8</v>
      </c>
      <c r="BM2158">
        <v>8</v>
      </c>
      <c r="BN2158">
        <v>8</v>
      </c>
      <c r="BO2158">
        <v>8</v>
      </c>
      <c r="BP2158">
        <v>0</v>
      </c>
      <c r="BQ2158" t="str">
        <f>"7:00 AM"</f>
        <v>7:00 AM</v>
      </c>
      <c r="BR2158" t="str">
        <f>"4:00 PM"</f>
        <v>4:00 PM</v>
      </c>
      <c r="BS2158" t="s">
        <v>131</v>
      </c>
      <c r="BT2158">
        <v>0</v>
      </c>
      <c r="BU2158">
        <v>0</v>
      </c>
      <c r="BV2158" t="s">
        <v>114</v>
      </c>
      <c r="BX2158" t="s">
        <v>132</v>
      </c>
      <c r="BY2158" t="s">
        <v>13347</v>
      </c>
      <c r="CA2158" t="s">
        <v>13351</v>
      </c>
      <c r="CB2158" t="s">
        <v>127</v>
      </c>
      <c r="CC2158" s="8" t="str">
        <f>"77055"</f>
        <v>77055</v>
      </c>
      <c r="CD2158" t="s">
        <v>3327</v>
      </c>
      <c r="CE2158" t="s">
        <v>879</v>
      </c>
      <c r="CF2158" s="12">
        <v>23.47</v>
      </c>
      <c r="CG2158" s="12">
        <v>23.47</v>
      </c>
      <c r="CH2158" s="12">
        <v>35.21</v>
      </c>
      <c r="CI2158" s="12">
        <v>35.21</v>
      </c>
      <c r="CJ2158" t="s">
        <v>135</v>
      </c>
      <c r="CL2158" t="s">
        <v>13352</v>
      </c>
      <c r="CO2158" t="s">
        <v>132</v>
      </c>
      <c r="CP2158" t="s">
        <v>114</v>
      </c>
      <c r="CQ2158" t="s">
        <v>136</v>
      </c>
      <c r="CR2158" t="s">
        <v>136</v>
      </c>
      <c r="CS2158" t="s">
        <v>114</v>
      </c>
      <c r="CT2158" t="s">
        <v>136</v>
      </c>
      <c r="CU2158" t="s">
        <v>136</v>
      </c>
      <c r="CV2158" t="s">
        <v>13353</v>
      </c>
      <c r="CW2158" s="10" t="str">
        <f>"+14094224848"</f>
        <v>+14094224848</v>
      </c>
      <c r="CX2158" t="s">
        <v>132</v>
      </c>
      <c r="CY2158" t="s">
        <v>13354</v>
      </c>
      <c r="CZ2158" t="s">
        <v>137</v>
      </c>
      <c r="DA2158" t="s">
        <v>114</v>
      </c>
      <c r="DB2158" t="s">
        <v>114</v>
      </c>
      <c r="DC2158" t="s">
        <v>136</v>
      </c>
      <c r="DD2158" t="s">
        <v>114</v>
      </c>
    </row>
    <row r="2159" spans="1:113" ht="15" customHeight="1" x14ac:dyDescent="0.25">
      <c r="A2159" t="s">
        <v>18159</v>
      </c>
      <c r="B2159" t="s">
        <v>113</v>
      </c>
      <c r="C2159" s="1">
        <v>45113.006100694445</v>
      </c>
      <c r="D2159" s="1">
        <v>45204</v>
      </c>
      <c r="E2159" t="s">
        <v>114</v>
      </c>
      <c r="F2159" t="s">
        <v>3847</v>
      </c>
      <c r="G2159" t="str">
        <f>"39-2021.00"</f>
        <v>39-2021.00</v>
      </c>
      <c r="H2159" t="s">
        <v>2895</v>
      </c>
      <c r="I2159">
        <v>2</v>
      </c>
      <c r="K2159" s="1">
        <v>45200</v>
      </c>
      <c r="L2159" s="1">
        <v>45473</v>
      </c>
      <c r="O2159" t="s">
        <v>116</v>
      </c>
      <c r="P2159" t="s">
        <v>18160</v>
      </c>
      <c r="R2159" t="s">
        <v>18161</v>
      </c>
      <c r="S2159" t="s">
        <v>18162</v>
      </c>
      <c r="T2159" t="s">
        <v>18163</v>
      </c>
      <c r="U2159" t="s">
        <v>402</v>
      </c>
      <c r="V2159" s="8" t="str">
        <f>"91739"</f>
        <v>91739</v>
      </c>
      <c r="W2159" t="s">
        <v>118</v>
      </c>
      <c r="Y2159" s="10">
        <v>16264455813</v>
      </c>
      <c r="AA2159">
        <v>711212</v>
      </c>
      <c r="AB2159" t="s">
        <v>1555</v>
      </c>
      <c r="AC2159" t="s">
        <v>18164</v>
      </c>
      <c r="AD2159" t="s">
        <v>4795</v>
      </c>
      <c r="AE2159" t="s">
        <v>8737</v>
      </c>
      <c r="AF2159" t="s">
        <v>18165</v>
      </c>
      <c r="AH2159" t="s">
        <v>18163</v>
      </c>
      <c r="AI2159" t="s">
        <v>402</v>
      </c>
      <c r="AJ2159" s="8" t="str">
        <f>"91739"</f>
        <v>91739</v>
      </c>
      <c r="AK2159" t="s">
        <v>118</v>
      </c>
      <c r="AM2159" s="10">
        <v>16264455813</v>
      </c>
      <c r="AO2159" t="s">
        <v>18166</v>
      </c>
      <c r="AP2159" t="s">
        <v>121</v>
      </c>
      <c r="AQ2159" t="s">
        <v>8739</v>
      </c>
      <c r="AR2159" t="s">
        <v>3591</v>
      </c>
      <c r="AS2159" t="s">
        <v>3124</v>
      </c>
      <c r="AT2159" t="s">
        <v>18167</v>
      </c>
      <c r="AU2159" t="s">
        <v>18168</v>
      </c>
      <c r="AV2159" t="s">
        <v>1563</v>
      </c>
      <c r="AW2159" t="s">
        <v>211</v>
      </c>
      <c r="AX2159" s="8" t="str">
        <f>"84107"</f>
        <v>84107</v>
      </c>
      <c r="AY2159" t="s">
        <v>118</v>
      </c>
      <c r="BA2159" s="10">
        <v>18012632314</v>
      </c>
      <c r="BC2159" t="s">
        <v>8741</v>
      </c>
      <c r="BD2159" t="s">
        <v>8742</v>
      </c>
      <c r="BE2159" t="s">
        <v>402</v>
      </c>
      <c r="BF2159" t="s">
        <v>172</v>
      </c>
      <c r="BG2159" t="s">
        <v>402</v>
      </c>
      <c r="BH2159" s="1">
        <v>45111.833333333336</v>
      </c>
      <c r="BI2159">
        <v>42</v>
      </c>
      <c r="BJ2159">
        <v>7</v>
      </c>
      <c r="BK2159">
        <v>0</v>
      </c>
      <c r="BL2159">
        <v>7</v>
      </c>
      <c r="BM2159">
        <v>7</v>
      </c>
      <c r="BN2159">
        <v>7</v>
      </c>
      <c r="BO2159">
        <v>7</v>
      </c>
      <c r="BP2159">
        <v>7</v>
      </c>
      <c r="BQ2159" t="str">
        <f>"5:00 AM"</f>
        <v>5:00 AM</v>
      </c>
      <c r="BR2159" t="str">
        <f>"11:00 AM"</f>
        <v>11:00 AM</v>
      </c>
      <c r="BS2159" t="s">
        <v>131</v>
      </c>
      <c r="BT2159">
        <v>0</v>
      </c>
      <c r="BU2159">
        <v>1</v>
      </c>
      <c r="BV2159" t="s">
        <v>114</v>
      </c>
      <c r="BX2159" t="s">
        <v>18169</v>
      </c>
      <c r="BY2159" t="s">
        <v>18170</v>
      </c>
      <c r="BZ2159" t="s">
        <v>18171</v>
      </c>
      <c r="CA2159" t="s">
        <v>16034</v>
      </c>
      <c r="CB2159" t="s">
        <v>402</v>
      </c>
      <c r="CC2159" s="8" t="str">
        <f>"91007"</f>
        <v>91007</v>
      </c>
      <c r="CD2159" t="s">
        <v>2968</v>
      </c>
      <c r="CE2159" t="s">
        <v>2969</v>
      </c>
      <c r="CF2159" s="12">
        <v>18.02</v>
      </c>
      <c r="CG2159" s="12">
        <v>18.02</v>
      </c>
      <c r="CH2159" s="12">
        <v>27.03</v>
      </c>
      <c r="CI2159" s="12">
        <v>27.03</v>
      </c>
      <c r="CJ2159" t="s">
        <v>135</v>
      </c>
      <c r="CL2159" t="s">
        <v>18172</v>
      </c>
      <c r="CO2159" t="s">
        <v>132</v>
      </c>
      <c r="CP2159" t="s">
        <v>114</v>
      </c>
      <c r="CQ2159" t="s">
        <v>136</v>
      </c>
      <c r="CR2159" t="s">
        <v>136</v>
      </c>
      <c r="CS2159" t="s">
        <v>136</v>
      </c>
      <c r="CT2159" t="s">
        <v>136</v>
      </c>
      <c r="CU2159" t="s">
        <v>136</v>
      </c>
      <c r="CV2159" t="s">
        <v>18173</v>
      </c>
      <c r="CW2159" s="10" t="str">
        <f>"+16264455813"</f>
        <v>+16264455813</v>
      </c>
      <c r="CX2159" t="s">
        <v>18174</v>
      </c>
      <c r="CY2159" t="s">
        <v>132</v>
      </c>
      <c r="CZ2159" t="s">
        <v>137</v>
      </c>
      <c r="DA2159" t="s">
        <v>114</v>
      </c>
      <c r="DB2159" t="s">
        <v>114</v>
      </c>
      <c r="DC2159" t="s">
        <v>136</v>
      </c>
      <c r="DD2159" t="s">
        <v>114</v>
      </c>
    </row>
    <row r="2160" spans="1:113" ht="15" customHeight="1" x14ac:dyDescent="0.25">
      <c r="A2160" t="s">
        <v>4651</v>
      </c>
      <c r="B2160" t="s">
        <v>113</v>
      </c>
      <c r="C2160" s="1">
        <v>45112.713000578704</v>
      </c>
      <c r="D2160" s="1">
        <v>45204</v>
      </c>
      <c r="E2160" t="s">
        <v>114</v>
      </c>
      <c r="F2160" t="s">
        <v>4652</v>
      </c>
      <c r="G2160" t="str">
        <f>"53-3032.00"</f>
        <v>53-3032.00</v>
      </c>
      <c r="H2160" t="s">
        <v>736</v>
      </c>
      <c r="I2160">
        <v>15</v>
      </c>
      <c r="K2160" s="1">
        <v>45200</v>
      </c>
      <c r="L2160" s="1">
        <v>45504</v>
      </c>
      <c r="O2160" t="s">
        <v>116</v>
      </c>
      <c r="P2160" t="s">
        <v>4653</v>
      </c>
      <c r="Q2160" t="s">
        <v>4654</v>
      </c>
      <c r="R2160" t="s">
        <v>4655</v>
      </c>
      <c r="T2160" t="s">
        <v>4656</v>
      </c>
      <c r="U2160" t="s">
        <v>984</v>
      </c>
      <c r="V2160" s="8" t="str">
        <f>"64673"</f>
        <v>64673</v>
      </c>
      <c r="W2160" t="s">
        <v>118</v>
      </c>
      <c r="Y2160" s="10">
        <v>17573754572</v>
      </c>
      <c r="AA2160">
        <v>11221</v>
      </c>
      <c r="AB2160" t="s">
        <v>1008</v>
      </c>
      <c r="AC2160" t="s">
        <v>1009</v>
      </c>
      <c r="AE2160" t="s">
        <v>1010</v>
      </c>
      <c r="AF2160" t="s">
        <v>1006</v>
      </c>
      <c r="AH2160" t="s">
        <v>1007</v>
      </c>
      <c r="AI2160" t="s">
        <v>581</v>
      </c>
      <c r="AJ2160" s="8" t="str">
        <f>"23430"</f>
        <v>23430</v>
      </c>
      <c r="AK2160" t="s">
        <v>118</v>
      </c>
      <c r="AM2160" s="10">
        <v>17573754572</v>
      </c>
      <c r="AO2160" t="s">
        <v>1011</v>
      </c>
      <c r="AP2160" t="s">
        <v>121</v>
      </c>
      <c r="AQ2160" t="s">
        <v>380</v>
      </c>
      <c r="AR2160" t="s">
        <v>381</v>
      </c>
      <c r="AT2160" t="s">
        <v>383</v>
      </c>
      <c r="AV2160" t="s">
        <v>385</v>
      </c>
      <c r="AW2160" t="s">
        <v>386</v>
      </c>
      <c r="AX2160" s="8" t="str">
        <f>"37122"</f>
        <v>37122</v>
      </c>
      <c r="AY2160" t="s">
        <v>118</v>
      </c>
      <c r="BA2160" s="10">
        <v>16154227130</v>
      </c>
      <c r="BC2160" t="s">
        <v>1012</v>
      </c>
      <c r="BD2160" t="s">
        <v>1013</v>
      </c>
      <c r="BE2160" t="s">
        <v>386</v>
      </c>
      <c r="BF2160" t="s">
        <v>389</v>
      </c>
      <c r="BG2160" t="s">
        <v>984</v>
      </c>
      <c r="BH2160" s="1">
        <v>45111.833333333336</v>
      </c>
      <c r="BI2160">
        <v>84</v>
      </c>
      <c r="BJ2160">
        <v>12</v>
      </c>
      <c r="BK2160">
        <v>12</v>
      </c>
      <c r="BL2160">
        <v>12</v>
      </c>
      <c r="BM2160">
        <v>12</v>
      </c>
      <c r="BN2160">
        <v>12</v>
      </c>
      <c r="BO2160">
        <v>12</v>
      </c>
      <c r="BP2160">
        <v>12</v>
      </c>
      <c r="BQ2160" t="str">
        <f>"6:00 AM"</f>
        <v>6:00 AM</v>
      </c>
      <c r="BR2160" t="str">
        <f>"6:00 AM"</f>
        <v>6:00 AM</v>
      </c>
      <c r="BS2160" t="s">
        <v>131</v>
      </c>
      <c r="BT2160">
        <v>1</v>
      </c>
      <c r="BU2160">
        <v>12</v>
      </c>
      <c r="BV2160" t="s">
        <v>114</v>
      </c>
      <c r="BX2160" s="2" t="s">
        <v>4657</v>
      </c>
      <c r="BY2160" t="s">
        <v>4658</v>
      </c>
      <c r="CA2160" t="s">
        <v>4656</v>
      </c>
      <c r="CB2160" t="s">
        <v>984</v>
      </c>
      <c r="CC2160" s="8" t="str">
        <f>"64673"</f>
        <v>64673</v>
      </c>
      <c r="CD2160" t="s">
        <v>3298</v>
      </c>
      <c r="CE2160" t="s">
        <v>4593</v>
      </c>
      <c r="CF2160" s="12">
        <v>21.86</v>
      </c>
      <c r="CG2160" s="12">
        <v>39.5</v>
      </c>
      <c r="CH2160" s="12">
        <v>32.79</v>
      </c>
      <c r="CI2160" s="12">
        <v>59.25</v>
      </c>
      <c r="CJ2160" t="s">
        <v>135</v>
      </c>
      <c r="CK2160" t="s">
        <v>4659</v>
      </c>
      <c r="CL2160" t="s">
        <v>4660</v>
      </c>
      <c r="CO2160" t="s">
        <v>132</v>
      </c>
      <c r="CP2160" t="s">
        <v>136</v>
      </c>
      <c r="CQ2160" t="s">
        <v>114</v>
      </c>
      <c r="CR2160" t="s">
        <v>136</v>
      </c>
      <c r="CS2160" t="s">
        <v>136</v>
      </c>
      <c r="CT2160" t="s">
        <v>136</v>
      </c>
      <c r="CU2160" t="s">
        <v>136</v>
      </c>
      <c r="CV2160" s="2" t="s">
        <v>1021</v>
      </c>
      <c r="CW2160" s="10" t="str">
        <f>"+17576353808"</f>
        <v>+17576353808</v>
      </c>
      <c r="CX2160" t="s">
        <v>1022</v>
      </c>
      <c r="CY2160" t="s">
        <v>132</v>
      </c>
      <c r="CZ2160" t="s">
        <v>137</v>
      </c>
      <c r="DA2160" t="s">
        <v>114</v>
      </c>
      <c r="DB2160" t="s">
        <v>114</v>
      </c>
      <c r="DC2160" t="s">
        <v>136</v>
      </c>
      <c r="DD2160" t="s">
        <v>114</v>
      </c>
    </row>
    <row r="2161" spans="1:113" ht="15" customHeight="1" x14ac:dyDescent="0.25">
      <c r="A2161" t="s">
        <v>22815</v>
      </c>
      <c r="B2161" t="s">
        <v>113</v>
      </c>
      <c r="C2161" s="1">
        <v>45110.917075810183</v>
      </c>
      <c r="D2161" s="1">
        <v>45204</v>
      </c>
      <c r="E2161" t="s">
        <v>114</v>
      </c>
      <c r="F2161" t="s">
        <v>22816</v>
      </c>
      <c r="G2161" t="str">
        <f>"35-1011.00"</f>
        <v>35-1011.00</v>
      </c>
      <c r="H2161" t="s">
        <v>1043</v>
      </c>
      <c r="I2161">
        <v>1</v>
      </c>
      <c r="K2161" s="1">
        <v>45200</v>
      </c>
      <c r="L2161" s="1">
        <v>45565</v>
      </c>
      <c r="O2161" t="s">
        <v>184</v>
      </c>
      <c r="P2161" t="s">
        <v>13767</v>
      </c>
      <c r="Q2161" t="s">
        <v>13768</v>
      </c>
      <c r="R2161" t="s">
        <v>22817</v>
      </c>
      <c r="T2161" t="s">
        <v>11388</v>
      </c>
      <c r="U2161" t="s">
        <v>358</v>
      </c>
      <c r="V2161" s="8" t="str">
        <f>"12065"</f>
        <v>12065</v>
      </c>
      <c r="W2161" t="s">
        <v>118</v>
      </c>
      <c r="Y2161" s="10">
        <v>15183480100</v>
      </c>
      <c r="AA2161">
        <v>722511</v>
      </c>
      <c r="AB2161" t="s">
        <v>13769</v>
      </c>
      <c r="AC2161" t="s">
        <v>13770</v>
      </c>
      <c r="AE2161" t="s">
        <v>120</v>
      </c>
      <c r="AF2161" t="s">
        <v>22818</v>
      </c>
      <c r="AH2161" t="s">
        <v>11388</v>
      </c>
      <c r="AI2161" t="s">
        <v>358</v>
      </c>
      <c r="AJ2161" s="8" t="str">
        <f>"12065"</f>
        <v>12065</v>
      </c>
      <c r="AK2161" t="s">
        <v>118</v>
      </c>
      <c r="AM2161" s="10">
        <v>15183480100</v>
      </c>
      <c r="AO2161" t="s">
        <v>13771</v>
      </c>
      <c r="AP2161" t="s">
        <v>121</v>
      </c>
      <c r="AQ2161" t="s">
        <v>1902</v>
      </c>
      <c r="AR2161" t="s">
        <v>1903</v>
      </c>
      <c r="AS2161" t="s">
        <v>1555</v>
      </c>
      <c r="AT2161" t="s">
        <v>1904</v>
      </c>
      <c r="AU2161" t="s">
        <v>1905</v>
      </c>
      <c r="AV2161" t="s">
        <v>1906</v>
      </c>
      <c r="AW2161" t="s">
        <v>358</v>
      </c>
      <c r="AX2161" s="8" t="str">
        <f>"12207"</f>
        <v>12207</v>
      </c>
      <c r="AY2161" t="s">
        <v>118</v>
      </c>
      <c r="BA2161" s="10">
        <v>15187012770</v>
      </c>
      <c r="BC2161" t="s">
        <v>2117</v>
      </c>
      <c r="BD2161" t="s">
        <v>1907</v>
      </c>
      <c r="BE2161" t="s">
        <v>358</v>
      </c>
      <c r="BF2161" t="s">
        <v>1908</v>
      </c>
      <c r="BG2161" t="s">
        <v>358</v>
      </c>
      <c r="BH2161" s="1">
        <v>45109.833333333336</v>
      </c>
      <c r="BI2161">
        <v>48</v>
      </c>
      <c r="BJ2161">
        <v>0</v>
      </c>
      <c r="BK2161">
        <v>8</v>
      </c>
      <c r="BL2161">
        <v>8</v>
      </c>
      <c r="BM2161">
        <v>8</v>
      </c>
      <c r="BN2161">
        <v>8</v>
      </c>
      <c r="BO2161">
        <v>8</v>
      </c>
      <c r="BP2161">
        <v>8</v>
      </c>
      <c r="BQ2161" t="str">
        <f>"12:00 AM"</f>
        <v>12:00 AM</v>
      </c>
      <c r="BR2161" t="str">
        <f>"9:00 PM"</f>
        <v>9:00 PM</v>
      </c>
      <c r="BS2161" t="s">
        <v>131</v>
      </c>
      <c r="BT2161">
        <v>0</v>
      </c>
      <c r="BU2161">
        <v>12</v>
      </c>
      <c r="BV2161" t="s">
        <v>136</v>
      </c>
      <c r="BW2161">
        <v>5</v>
      </c>
      <c r="BX2161" s="2" t="s">
        <v>22819</v>
      </c>
      <c r="BY2161" t="s">
        <v>22818</v>
      </c>
      <c r="CA2161" t="s">
        <v>11388</v>
      </c>
      <c r="CB2161" t="s">
        <v>358</v>
      </c>
      <c r="CC2161" s="8" t="str">
        <f>"12065"</f>
        <v>12065</v>
      </c>
      <c r="CD2161" t="s">
        <v>3060</v>
      </c>
      <c r="CE2161" t="s">
        <v>2318</v>
      </c>
      <c r="CF2161" s="12">
        <v>29.92</v>
      </c>
      <c r="CH2161" s="12">
        <v>44.88</v>
      </c>
      <c r="CJ2161" t="s">
        <v>135</v>
      </c>
      <c r="CK2161" t="s">
        <v>3061</v>
      </c>
      <c r="CL2161" t="s">
        <v>22820</v>
      </c>
      <c r="CO2161" t="s">
        <v>132</v>
      </c>
      <c r="CP2161" t="s">
        <v>114</v>
      </c>
      <c r="CQ2161" t="s">
        <v>136</v>
      </c>
      <c r="CR2161" t="s">
        <v>136</v>
      </c>
      <c r="CS2161" t="s">
        <v>114</v>
      </c>
      <c r="CT2161" t="s">
        <v>136</v>
      </c>
      <c r="CU2161" t="s">
        <v>136</v>
      </c>
      <c r="CV2161" t="s">
        <v>7780</v>
      </c>
      <c r="CW2161" s="10" t="str">
        <f>"+15183480100"</f>
        <v>+15183480100</v>
      </c>
      <c r="CX2161" t="s">
        <v>13772</v>
      </c>
      <c r="CY2161" t="s">
        <v>132</v>
      </c>
      <c r="CZ2161" t="s">
        <v>137</v>
      </c>
      <c r="DA2161" t="s">
        <v>114</v>
      </c>
      <c r="DB2161" t="s">
        <v>114</v>
      </c>
      <c r="DC2161" t="s">
        <v>136</v>
      </c>
      <c r="DD2161" t="s">
        <v>114</v>
      </c>
      <c r="DE2161" t="s">
        <v>6302</v>
      </c>
      <c r="DF2161" t="s">
        <v>2896</v>
      </c>
      <c r="DH2161" t="s">
        <v>2897</v>
      </c>
      <c r="DI2161" t="s">
        <v>2121</v>
      </c>
    </row>
    <row r="2162" spans="1:113" ht="15" customHeight="1" x14ac:dyDescent="0.25">
      <c r="A2162" t="s">
        <v>21487</v>
      </c>
      <c r="B2162" t="s">
        <v>113</v>
      </c>
      <c r="C2162" s="1">
        <v>45110.863583564817</v>
      </c>
      <c r="D2162" s="1">
        <v>45204</v>
      </c>
      <c r="E2162" t="s">
        <v>114</v>
      </c>
      <c r="F2162" t="s">
        <v>8405</v>
      </c>
      <c r="G2162" t="str">
        <f>"49-3021.00"</f>
        <v>49-3021.00</v>
      </c>
      <c r="H2162" t="s">
        <v>8406</v>
      </c>
      <c r="I2162">
        <v>2</v>
      </c>
      <c r="K2162" s="1">
        <v>45200</v>
      </c>
      <c r="L2162" s="1">
        <v>45473</v>
      </c>
      <c r="O2162" t="s">
        <v>116</v>
      </c>
      <c r="P2162" t="s">
        <v>8407</v>
      </c>
      <c r="Q2162" t="s">
        <v>8408</v>
      </c>
      <c r="R2162" t="s">
        <v>8409</v>
      </c>
      <c r="T2162" t="s">
        <v>3255</v>
      </c>
      <c r="U2162" t="s">
        <v>127</v>
      </c>
      <c r="V2162" s="8" t="str">
        <f>"75067"</f>
        <v>75067</v>
      </c>
      <c r="W2162" t="s">
        <v>118</v>
      </c>
      <c r="Y2162" s="10">
        <v>14699789500</v>
      </c>
      <c r="AA2162">
        <v>8111</v>
      </c>
      <c r="AB2162" t="s">
        <v>7293</v>
      </c>
      <c r="AC2162" t="s">
        <v>2320</v>
      </c>
      <c r="AD2162" t="s">
        <v>2371</v>
      </c>
      <c r="AE2162" t="s">
        <v>21488</v>
      </c>
      <c r="AF2162" t="s">
        <v>8409</v>
      </c>
      <c r="AH2162" t="s">
        <v>3255</v>
      </c>
      <c r="AI2162" t="s">
        <v>127</v>
      </c>
      <c r="AJ2162" s="8" t="str">
        <f>"75067"</f>
        <v>75067</v>
      </c>
      <c r="AK2162" t="s">
        <v>118</v>
      </c>
      <c r="AM2162" s="10">
        <v>14699789500</v>
      </c>
      <c r="AO2162" t="s">
        <v>21489</v>
      </c>
      <c r="AP2162" t="s">
        <v>121</v>
      </c>
      <c r="AQ2162" t="s">
        <v>273</v>
      </c>
      <c r="AR2162" t="s">
        <v>8412</v>
      </c>
      <c r="AS2162" t="s">
        <v>3318</v>
      </c>
      <c r="AT2162" t="s">
        <v>21490</v>
      </c>
      <c r="AU2162" t="s">
        <v>8414</v>
      </c>
      <c r="AV2162" t="s">
        <v>5539</v>
      </c>
      <c r="AW2162" t="s">
        <v>6049</v>
      </c>
      <c r="AX2162" s="8" t="str">
        <f>"20004"</f>
        <v>20004</v>
      </c>
      <c r="AY2162" t="s">
        <v>118</v>
      </c>
      <c r="BA2162" s="10">
        <v>12026406684</v>
      </c>
      <c r="BC2162" t="s">
        <v>8415</v>
      </c>
      <c r="BD2162" t="s">
        <v>8416</v>
      </c>
      <c r="BE2162" t="s">
        <v>6049</v>
      </c>
      <c r="BF2162" t="s">
        <v>2118</v>
      </c>
      <c r="BG2162" t="s">
        <v>402</v>
      </c>
      <c r="BH2162" s="1">
        <v>45104.833333333336</v>
      </c>
      <c r="BI2162">
        <v>50</v>
      </c>
      <c r="BJ2162">
        <v>0</v>
      </c>
      <c r="BK2162">
        <v>10</v>
      </c>
      <c r="BL2162">
        <v>10</v>
      </c>
      <c r="BM2162">
        <v>10</v>
      </c>
      <c r="BN2162">
        <v>10</v>
      </c>
      <c r="BO2162">
        <v>10</v>
      </c>
      <c r="BP2162">
        <v>0</v>
      </c>
      <c r="BQ2162" t="str">
        <f>"7:30 AM"</f>
        <v>7:30 AM</v>
      </c>
      <c r="BR2162" t="str">
        <f>"5:30 PM"</f>
        <v>5:30 PM</v>
      </c>
      <c r="BS2162" t="s">
        <v>131</v>
      </c>
      <c r="BT2162">
        <v>0</v>
      </c>
      <c r="BU2162">
        <v>6</v>
      </c>
      <c r="BV2162" t="s">
        <v>114</v>
      </c>
      <c r="BX2162" s="2" t="s">
        <v>8417</v>
      </c>
      <c r="BY2162" t="s">
        <v>21491</v>
      </c>
      <c r="CA2162" t="s">
        <v>21492</v>
      </c>
      <c r="CB2162" t="s">
        <v>402</v>
      </c>
      <c r="CC2162" s="8" t="str">
        <f>"92860"</f>
        <v>92860</v>
      </c>
      <c r="CD2162" t="s">
        <v>5876</v>
      </c>
      <c r="CE2162" t="s">
        <v>4484</v>
      </c>
      <c r="CF2162" s="12">
        <v>26.86</v>
      </c>
      <c r="CH2162" s="12">
        <v>40.29</v>
      </c>
      <c r="CJ2162" t="s">
        <v>135</v>
      </c>
      <c r="CL2162" t="s">
        <v>21493</v>
      </c>
      <c r="CO2162" t="s">
        <v>132</v>
      </c>
      <c r="CP2162" t="s">
        <v>114</v>
      </c>
      <c r="CQ2162" t="s">
        <v>136</v>
      </c>
      <c r="CR2162" t="s">
        <v>136</v>
      </c>
      <c r="CS2162" t="s">
        <v>136</v>
      </c>
      <c r="CT2162" t="s">
        <v>136</v>
      </c>
      <c r="CU2162" t="s">
        <v>136</v>
      </c>
      <c r="CV2162" t="s">
        <v>12183</v>
      </c>
      <c r="CW2162" s="10" t="str">
        <f>"N/A"</f>
        <v>N/A</v>
      </c>
      <c r="CX2162" t="s">
        <v>8424</v>
      </c>
      <c r="CY2162" t="s">
        <v>8425</v>
      </c>
      <c r="CZ2162" t="s">
        <v>137</v>
      </c>
      <c r="DA2162" t="s">
        <v>114</v>
      </c>
      <c r="DB2162" t="s">
        <v>136</v>
      </c>
      <c r="DC2162" t="s">
        <v>136</v>
      </c>
      <c r="DD2162" t="s">
        <v>114</v>
      </c>
    </row>
    <row r="2163" spans="1:113" ht="15" customHeight="1" x14ac:dyDescent="0.25">
      <c r="A2163" t="s">
        <v>22666</v>
      </c>
      <c r="B2163" t="s">
        <v>113</v>
      </c>
      <c r="C2163" s="1">
        <v>45110.843637731479</v>
      </c>
      <c r="D2163" s="1">
        <v>45204</v>
      </c>
      <c r="E2163" t="s">
        <v>114</v>
      </c>
      <c r="F2163" t="s">
        <v>5333</v>
      </c>
      <c r="G2163" t="str">
        <f>"47-2031.00"</f>
        <v>47-2031.00</v>
      </c>
      <c r="H2163" t="s">
        <v>115</v>
      </c>
      <c r="I2163">
        <v>15</v>
      </c>
      <c r="K2163" s="1">
        <v>45200</v>
      </c>
      <c r="L2163" s="1">
        <v>45930</v>
      </c>
      <c r="O2163" t="s">
        <v>184</v>
      </c>
      <c r="P2163" t="s">
        <v>399</v>
      </c>
      <c r="R2163" t="s">
        <v>400</v>
      </c>
      <c r="T2163" t="s">
        <v>401</v>
      </c>
      <c r="U2163" t="s">
        <v>402</v>
      </c>
      <c r="V2163" s="8" t="str">
        <f>"92008"</f>
        <v>92008</v>
      </c>
      <c r="W2163" t="s">
        <v>118</v>
      </c>
      <c r="Y2163" s="10">
        <v>17605607127</v>
      </c>
      <c r="AA2163">
        <v>23622</v>
      </c>
      <c r="AB2163" t="s">
        <v>403</v>
      </c>
      <c r="AC2163" t="s">
        <v>404</v>
      </c>
      <c r="AE2163" t="s">
        <v>405</v>
      </c>
      <c r="AF2163" t="s">
        <v>400</v>
      </c>
      <c r="AH2163" t="s">
        <v>401</v>
      </c>
      <c r="AI2163" t="s">
        <v>402</v>
      </c>
      <c r="AJ2163" s="8" t="str">
        <f>"92008"</f>
        <v>92008</v>
      </c>
      <c r="AK2163" t="s">
        <v>118</v>
      </c>
      <c r="AM2163" s="10">
        <v>17605607127</v>
      </c>
      <c r="AO2163" t="s">
        <v>22667</v>
      </c>
      <c r="AP2163" t="s">
        <v>121</v>
      </c>
      <c r="AQ2163" t="s">
        <v>407</v>
      </c>
      <c r="AR2163" t="s">
        <v>408</v>
      </c>
      <c r="AS2163" t="s">
        <v>409</v>
      </c>
      <c r="AT2163" t="s">
        <v>410</v>
      </c>
      <c r="AU2163" t="s">
        <v>411</v>
      </c>
      <c r="AV2163" t="s">
        <v>412</v>
      </c>
      <c r="AW2163" t="s">
        <v>402</v>
      </c>
      <c r="AX2163" s="8" t="str">
        <f>"94108"</f>
        <v>94108</v>
      </c>
      <c r="AY2163" t="s">
        <v>118</v>
      </c>
      <c r="BA2163" s="10">
        <v>14159813000</v>
      </c>
      <c r="BC2163" t="s">
        <v>413</v>
      </c>
      <c r="BD2163" t="s">
        <v>414</v>
      </c>
      <c r="BE2163" t="s">
        <v>402</v>
      </c>
      <c r="BF2163" t="s">
        <v>172</v>
      </c>
      <c r="BG2163" t="s">
        <v>415</v>
      </c>
      <c r="BH2163" s="1">
        <v>45104.833333333336</v>
      </c>
      <c r="BI2163">
        <v>40</v>
      </c>
      <c r="BJ2163">
        <v>0</v>
      </c>
      <c r="BK2163">
        <v>8</v>
      </c>
      <c r="BL2163">
        <v>8</v>
      </c>
      <c r="BM2163">
        <v>8</v>
      </c>
      <c r="BN2163">
        <v>8</v>
      </c>
      <c r="BO2163">
        <v>8</v>
      </c>
      <c r="BP2163">
        <v>0</v>
      </c>
      <c r="BQ2163" t="str">
        <f>"9:00 AM"</f>
        <v>9:00 AM</v>
      </c>
      <c r="BR2163" t="str">
        <f>"5:00 PM"</f>
        <v>5:00 PM</v>
      </c>
      <c r="BS2163" t="s">
        <v>147</v>
      </c>
      <c r="BT2163">
        <v>0</v>
      </c>
      <c r="BU2163">
        <v>12</v>
      </c>
      <c r="BV2163" t="s">
        <v>114</v>
      </c>
      <c r="BX2163" s="2" t="s">
        <v>22668</v>
      </c>
      <c r="BY2163" t="s">
        <v>417</v>
      </c>
      <c r="CA2163" t="s">
        <v>418</v>
      </c>
      <c r="CB2163" t="s">
        <v>415</v>
      </c>
      <c r="CC2163" s="8" t="str">
        <f>"00603"</f>
        <v>00603</v>
      </c>
      <c r="CD2163" t="s">
        <v>419</v>
      </c>
      <c r="CE2163" t="s">
        <v>420</v>
      </c>
      <c r="CF2163" s="12">
        <v>10.62</v>
      </c>
      <c r="CJ2163" t="s">
        <v>135</v>
      </c>
      <c r="CL2163" t="s">
        <v>22669</v>
      </c>
      <c r="CO2163" t="s">
        <v>132</v>
      </c>
      <c r="CP2163" t="s">
        <v>114</v>
      </c>
      <c r="CQ2163" t="s">
        <v>114</v>
      </c>
      <c r="CR2163" t="s">
        <v>114</v>
      </c>
      <c r="CS2163" t="s">
        <v>114</v>
      </c>
      <c r="CT2163" t="s">
        <v>136</v>
      </c>
      <c r="CU2163" t="s">
        <v>136</v>
      </c>
      <c r="CV2163" t="s">
        <v>131</v>
      </c>
      <c r="CW2163" s="10" t="str">
        <f>"N/A"</f>
        <v>N/A</v>
      </c>
      <c r="CX2163" t="s">
        <v>406</v>
      </c>
      <c r="CY2163" t="s">
        <v>22670</v>
      </c>
      <c r="CZ2163" t="s">
        <v>137</v>
      </c>
      <c r="DA2163" t="s">
        <v>114</v>
      </c>
      <c r="DB2163" t="s">
        <v>114</v>
      </c>
      <c r="DC2163" t="s">
        <v>136</v>
      </c>
      <c r="DD2163" t="s">
        <v>114</v>
      </c>
      <c r="DE2163" t="s">
        <v>423</v>
      </c>
      <c r="DF2163" t="s">
        <v>424</v>
      </c>
      <c r="DG2163" t="s">
        <v>425</v>
      </c>
      <c r="DH2163" t="s">
        <v>414</v>
      </c>
      <c r="DI2163" t="s">
        <v>426</v>
      </c>
    </row>
    <row r="2164" spans="1:113" ht="15" customHeight="1" x14ac:dyDescent="0.25">
      <c r="A2164" t="s">
        <v>6865</v>
      </c>
      <c r="B2164" t="s">
        <v>113</v>
      </c>
      <c r="C2164" s="1">
        <v>45110.842523263891</v>
      </c>
      <c r="D2164" s="1">
        <v>45204</v>
      </c>
      <c r="E2164" t="s">
        <v>114</v>
      </c>
      <c r="F2164" t="s">
        <v>4558</v>
      </c>
      <c r="G2164" t="str">
        <f>"47-2152.00"</f>
        <v>47-2152.00</v>
      </c>
      <c r="H2164" t="s">
        <v>532</v>
      </c>
      <c r="I2164">
        <v>5</v>
      </c>
      <c r="K2164" s="1">
        <v>45200</v>
      </c>
      <c r="L2164" s="1">
        <v>45930</v>
      </c>
      <c r="O2164" t="s">
        <v>184</v>
      </c>
      <c r="P2164" t="s">
        <v>399</v>
      </c>
      <c r="R2164" t="s">
        <v>400</v>
      </c>
      <c r="T2164" t="s">
        <v>401</v>
      </c>
      <c r="U2164" t="s">
        <v>402</v>
      </c>
      <c r="V2164" s="8" t="str">
        <f>"92008"</f>
        <v>92008</v>
      </c>
      <c r="W2164" t="s">
        <v>118</v>
      </c>
      <c r="Y2164" s="10">
        <v>17605607127</v>
      </c>
      <c r="AA2164">
        <v>23622</v>
      </c>
      <c r="AB2164" t="s">
        <v>403</v>
      </c>
      <c r="AC2164" t="s">
        <v>404</v>
      </c>
      <c r="AE2164" t="s">
        <v>405</v>
      </c>
      <c r="AF2164" t="s">
        <v>400</v>
      </c>
      <c r="AH2164" t="s">
        <v>401</v>
      </c>
      <c r="AI2164" t="s">
        <v>402</v>
      </c>
      <c r="AJ2164" s="8" t="str">
        <f>"92008"</f>
        <v>92008</v>
      </c>
      <c r="AK2164" t="s">
        <v>118</v>
      </c>
      <c r="AM2164" s="10">
        <v>17605607127</v>
      </c>
      <c r="AO2164" t="s">
        <v>406</v>
      </c>
      <c r="AP2164" t="s">
        <v>121</v>
      </c>
      <c r="AQ2164" t="s">
        <v>407</v>
      </c>
      <c r="AR2164" t="s">
        <v>408</v>
      </c>
      <c r="AS2164" t="s">
        <v>409</v>
      </c>
      <c r="AT2164" t="s">
        <v>410</v>
      </c>
      <c r="AU2164" t="s">
        <v>411</v>
      </c>
      <c r="AV2164" t="s">
        <v>412</v>
      </c>
      <c r="AW2164" t="s">
        <v>402</v>
      </c>
      <c r="AX2164" s="8" t="str">
        <f>"94108"</f>
        <v>94108</v>
      </c>
      <c r="AY2164" t="s">
        <v>118</v>
      </c>
      <c r="BA2164" s="10">
        <v>14159813000</v>
      </c>
      <c r="BC2164" t="s">
        <v>413</v>
      </c>
      <c r="BD2164" t="s">
        <v>414</v>
      </c>
      <c r="BE2164" t="s">
        <v>402</v>
      </c>
      <c r="BF2164" t="s">
        <v>172</v>
      </c>
      <c r="BG2164" t="s">
        <v>415</v>
      </c>
      <c r="BH2164" s="1">
        <v>45104.833333333336</v>
      </c>
      <c r="BI2164">
        <v>40</v>
      </c>
      <c r="BJ2164">
        <v>0</v>
      </c>
      <c r="BK2164">
        <v>8</v>
      </c>
      <c r="BL2164">
        <v>8</v>
      </c>
      <c r="BM2164">
        <v>8</v>
      </c>
      <c r="BN2164">
        <v>8</v>
      </c>
      <c r="BO2164">
        <v>8</v>
      </c>
      <c r="BP2164">
        <v>0</v>
      </c>
      <c r="BQ2164" t="str">
        <f>"9:00 AM"</f>
        <v>9:00 AM</v>
      </c>
      <c r="BR2164" t="str">
        <f>"5:00 PM"</f>
        <v>5:00 PM</v>
      </c>
      <c r="BS2164" t="s">
        <v>147</v>
      </c>
      <c r="BT2164">
        <v>0</v>
      </c>
      <c r="BU2164">
        <v>24</v>
      </c>
      <c r="BV2164" t="s">
        <v>114</v>
      </c>
      <c r="BX2164" s="2" t="s">
        <v>6866</v>
      </c>
      <c r="BY2164" t="s">
        <v>417</v>
      </c>
      <c r="CA2164" t="s">
        <v>418</v>
      </c>
      <c r="CB2164" t="s">
        <v>415</v>
      </c>
      <c r="CC2164" s="8" t="str">
        <f>"00603"</f>
        <v>00603</v>
      </c>
      <c r="CD2164" t="s">
        <v>419</v>
      </c>
      <c r="CE2164" t="s">
        <v>420</v>
      </c>
      <c r="CF2164" s="12">
        <v>11.37</v>
      </c>
      <c r="CJ2164" t="s">
        <v>135</v>
      </c>
      <c r="CL2164" t="s">
        <v>6867</v>
      </c>
      <c r="CO2164" t="s">
        <v>132</v>
      </c>
      <c r="CP2164" t="s">
        <v>114</v>
      </c>
      <c r="CQ2164" t="s">
        <v>114</v>
      </c>
      <c r="CR2164" t="s">
        <v>114</v>
      </c>
      <c r="CS2164" t="s">
        <v>114</v>
      </c>
      <c r="CT2164" t="s">
        <v>136</v>
      </c>
      <c r="CU2164" t="s">
        <v>136</v>
      </c>
      <c r="CV2164" t="s">
        <v>131</v>
      </c>
      <c r="CW2164" s="10" t="str">
        <f>"N/A"</f>
        <v>N/A</v>
      </c>
      <c r="CX2164" t="s">
        <v>406</v>
      </c>
      <c r="CY2164" t="s">
        <v>6868</v>
      </c>
      <c r="CZ2164" t="s">
        <v>137</v>
      </c>
      <c r="DA2164" t="s">
        <v>114</v>
      </c>
      <c r="DB2164" t="s">
        <v>114</v>
      </c>
      <c r="DC2164" t="s">
        <v>136</v>
      </c>
      <c r="DD2164" t="s">
        <v>114</v>
      </c>
      <c r="DE2164" t="s">
        <v>423</v>
      </c>
      <c r="DF2164" t="s">
        <v>424</v>
      </c>
      <c r="DG2164" t="s">
        <v>425</v>
      </c>
      <c r="DH2164" t="s">
        <v>414</v>
      </c>
      <c r="DI2164" t="s">
        <v>426</v>
      </c>
    </row>
    <row r="2165" spans="1:113" ht="15" customHeight="1" x14ac:dyDescent="0.25">
      <c r="A2165" t="s">
        <v>396</v>
      </c>
      <c r="B2165" t="s">
        <v>113</v>
      </c>
      <c r="C2165" s="1">
        <v>45110.841889583331</v>
      </c>
      <c r="D2165" s="1">
        <v>45204</v>
      </c>
      <c r="E2165" t="s">
        <v>114</v>
      </c>
      <c r="F2165" t="s">
        <v>397</v>
      </c>
      <c r="G2165" t="str">
        <f>"47-2181.00"</f>
        <v>47-2181.00</v>
      </c>
      <c r="H2165" t="s">
        <v>398</v>
      </c>
      <c r="I2165">
        <v>5</v>
      </c>
      <c r="K2165" s="1">
        <v>45200</v>
      </c>
      <c r="L2165" s="1">
        <v>45930</v>
      </c>
      <c r="O2165" t="s">
        <v>184</v>
      </c>
      <c r="P2165" t="s">
        <v>399</v>
      </c>
      <c r="R2165" t="s">
        <v>400</v>
      </c>
      <c r="T2165" t="s">
        <v>401</v>
      </c>
      <c r="U2165" t="s">
        <v>402</v>
      </c>
      <c r="V2165" s="8" t="str">
        <f>"92008"</f>
        <v>92008</v>
      </c>
      <c r="W2165" t="s">
        <v>118</v>
      </c>
      <c r="Y2165" s="10">
        <v>17605607127</v>
      </c>
      <c r="Z2165">
        <v>2734</v>
      </c>
      <c r="AA2165">
        <v>23622</v>
      </c>
      <c r="AB2165" t="s">
        <v>403</v>
      </c>
      <c r="AC2165" t="s">
        <v>404</v>
      </c>
      <c r="AE2165" t="s">
        <v>405</v>
      </c>
      <c r="AF2165" t="s">
        <v>400</v>
      </c>
      <c r="AH2165" t="s">
        <v>401</v>
      </c>
      <c r="AI2165" t="s">
        <v>402</v>
      </c>
      <c r="AJ2165" s="8" t="str">
        <f>"92008"</f>
        <v>92008</v>
      </c>
      <c r="AK2165" t="s">
        <v>118</v>
      </c>
      <c r="AM2165" s="10">
        <v>17605607127</v>
      </c>
      <c r="AO2165" t="s">
        <v>406</v>
      </c>
      <c r="AP2165" t="s">
        <v>121</v>
      </c>
      <c r="AQ2165" t="s">
        <v>407</v>
      </c>
      <c r="AR2165" t="s">
        <v>408</v>
      </c>
      <c r="AS2165" t="s">
        <v>409</v>
      </c>
      <c r="AT2165" t="s">
        <v>410</v>
      </c>
      <c r="AU2165" t="s">
        <v>411</v>
      </c>
      <c r="AV2165" t="s">
        <v>412</v>
      </c>
      <c r="AW2165" t="s">
        <v>402</v>
      </c>
      <c r="AX2165" s="8" t="str">
        <f>"94108"</f>
        <v>94108</v>
      </c>
      <c r="AY2165" t="s">
        <v>118</v>
      </c>
      <c r="BA2165" s="10">
        <v>14159813000</v>
      </c>
      <c r="BC2165" t="s">
        <v>413</v>
      </c>
      <c r="BD2165" t="s">
        <v>414</v>
      </c>
      <c r="BE2165" t="s">
        <v>402</v>
      </c>
      <c r="BF2165" t="s">
        <v>172</v>
      </c>
      <c r="BG2165" t="s">
        <v>415</v>
      </c>
      <c r="BH2165" s="1">
        <v>45104.833333333336</v>
      </c>
      <c r="BI2165">
        <v>40</v>
      </c>
      <c r="BJ2165">
        <v>0</v>
      </c>
      <c r="BK2165">
        <v>8</v>
      </c>
      <c r="BL2165">
        <v>8</v>
      </c>
      <c r="BM2165">
        <v>8</v>
      </c>
      <c r="BN2165">
        <v>8</v>
      </c>
      <c r="BO2165">
        <v>8</v>
      </c>
      <c r="BP2165">
        <v>0</v>
      </c>
      <c r="BQ2165" t="str">
        <f>"9:00 AM"</f>
        <v>9:00 AM</v>
      </c>
      <c r="BR2165" t="str">
        <f>"5:00 PM"</f>
        <v>5:00 PM</v>
      </c>
      <c r="BS2165" t="s">
        <v>147</v>
      </c>
      <c r="BT2165">
        <v>0</v>
      </c>
      <c r="BU2165">
        <v>12</v>
      </c>
      <c r="BV2165" t="s">
        <v>114</v>
      </c>
      <c r="BX2165" s="2" t="s">
        <v>416</v>
      </c>
      <c r="BY2165" t="s">
        <v>417</v>
      </c>
      <c r="CA2165" t="s">
        <v>418</v>
      </c>
      <c r="CB2165" t="s">
        <v>415</v>
      </c>
      <c r="CC2165" s="8" t="str">
        <f>"00603"</f>
        <v>00603</v>
      </c>
      <c r="CD2165" t="s">
        <v>419</v>
      </c>
      <c r="CE2165" t="s">
        <v>420</v>
      </c>
      <c r="CF2165" s="12">
        <v>11.69</v>
      </c>
      <c r="CJ2165" t="s">
        <v>135</v>
      </c>
      <c r="CL2165" t="s">
        <v>421</v>
      </c>
      <c r="CO2165" t="s">
        <v>132</v>
      </c>
      <c r="CP2165" t="s">
        <v>114</v>
      </c>
      <c r="CQ2165" t="s">
        <v>114</v>
      </c>
      <c r="CR2165" t="s">
        <v>114</v>
      </c>
      <c r="CS2165" t="s">
        <v>114</v>
      </c>
      <c r="CT2165" t="s">
        <v>136</v>
      </c>
      <c r="CU2165" t="s">
        <v>136</v>
      </c>
      <c r="CV2165" t="s">
        <v>131</v>
      </c>
      <c r="CW2165" s="10" t="str">
        <f>"N/A"</f>
        <v>N/A</v>
      </c>
      <c r="CX2165" t="s">
        <v>406</v>
      </c>
      <c r="CY2165" t="s">
        <v>422</v>
      </c>
      <c r="CZ2165" t="s">
        <v>137</v>
      </c>
      <c r="DA2165" t="s">
        <v>114</v>
      </c>
      <c r="DB2165" t="s">
        <v>114</v>
      </c>
      <c r="DC2165" t="s">
        <v>136</v>
      </c>
      <c r="DD2165" t="s">
        <v>114</v>
      </c>
      <c r="DE2165" t="s">
        <v>423</v>
      </c>
      <c r="DF2165" t="s">
        <v>424</v>
      </c>
      <c r="DG2165" t="s">
        <v>425</v>
      </c>
      <c r="DH2165" t="s">
        <v>414</v>
      </c>
      <c r="DI2165" t="s">
        <v>426</v>
      </c>
    </row>
    <row r="2166" spans="1:113" ht="15" customHeight="1" x14ac:dyDescent="0.25">
      <c r="A2166" t="s">
        <v>1338</v>
      </c>
      <c r="B2166" t="s">
        <v>113</v>
      </c>
      <c r="C2166" s="1">
        <v>45110.840010879627</v>
      </c>
      <c r="D2166" s="1">
        <v>45204</v>
      </c>
      <c r="E2166" t="s">
        <v>114</v>
      </c>
      <c r="F2166" t="s">
        <v>1339</v>
      </c>
      <c r="G2166" t="str">
        <f>"47-2111.00"</f>
        <v>47-2111.00</v>
      </c>
      <c r="H2166" t="s">
        <v>1340</v>
      </c>
      <c r="I2166">
        <v>10</v>
      </c>
      <c r="K2166" s="1">
        <v>45200</v>
      </c>
      <c r="L2166" s="1">
        <v>45930</v>
      </c>
      <c r="O2166" t="s">
        <v>184</v>
      </c>
      <c r="P2166" t="s">
        <v>399</v>
      </c>
      <c r="R2166" t="s">
        <v>400</v>
      </c>
      <c r="T2166" t="s">
        <v>401</v>
      </c>
      <c r="U2166" t="s">
        <v>402</v>
      </c>
      <c r="V2166" s="8" t="str">
        <f>"92008"</f>
        <v>92008</v>
      </c>
      <c r="W2166" t="s">
        <v>118</v>
      </c>
      <c r="Y2166" s="10">
        <v>17605607127</v>
      </c>
      <c r="AA2166">
        <v>23622</v>
      </c>
      <c r="AB2166" t="s">
        <v>403</v>
      </c>
      <c r="AC2166" t="s">
        <v>404</v>
      </c>
      <c r="AE2166" t="s">
        <v>405</v>
      </c>
      <c r="AF2166" t="s">
        <v>400</v>
      </c>
      <c r="AH2166" t="s">
        <v>401</v>
      </c>
      <c r="AI2166" t="s">
        <v>402</v>
      </c>
      <c r="AJ2166" s="8" t="str">
        <f>"92008"</f>
        <v>92008</v>
      </c>
      <c r="AK2166" t="s">
        <v>118</v>
      </c>
      <c r="AM2166" s="10">
        <v>17605607127</v>
      </c>
      <c r="AO2166" t="s">
        <v>406</v>
      </c>
      <c r="AP2166" t="s">
        <v>121</v>
      </c>
      <c r="AQ2166" t="s">
        <v>407</v>
      </c>
      <c r="AR2166" t="s">
        <v>408</v>
      </c>
      <c r="AS2166" t="s">
        <v>409</v>
      </c>
      <c r="AT2166" t="s">
        <v>410</v>
      </c>
      <c r="AU2166" t="s">
        <v>411</v>
      </c>
      <c r="AV2166" t="s">
        <v>412</v>
      </c>
      <c r="AW2166" t="s">
        <v>402</v>
      </c>
      <c r="AX2166" s="8" t="str">
        <f>"94108"</f>
        <v>94108</v>
      </c>
      <c r="AY2166" t="s">
        <v>118</v>
      </c>
      <c r="BA2166" s="10">
        <v>14159813000</v>
      </c>
      <c r="BC2166" t="s">
        <v>413</v>
      </c>
      <c r="BD2166" t="s">
        <v>414</v>
      </c>
      <c r="BE2166" t="s">
        <v>402</v>
      </c>
      <c r="BF2166" t="s">
        <v>172</v>
      </c>
      <c r="BG2166" t="s">
        <v>415</v>
      </c>
      <c r="BH2166" s="1">
        <v>45104.833333333336</v>
      </c>
      <c r="BI2166">
        <v>40</v>
      </c>
      <c r="BJ2166">
        <v>0</v>
      </c>
      <c r="BK2166">
        <v>8</v>
      </c>
      <c r="BL2166">
        <v>8</v>
      </c>
      <c r="BM2166">
        <v>8</v>
      </c>
      <c r="BN2166">
        <v>8</v>
      </c>
      <c r="BO2166">
        <v>8</v>
      </c>
      <c r="BP2166">
        <v>0</v>
      </c>
      <c r="BQ2166" t="str">
        <f>"3:00 AM"</f>
        <v>3:00 AM</v>
      </c>
      <c r="BR2166" t="str">
        <f>"5:00 PM"</f>
        <v>5:00 PM</v>
      </c>
      <c r="BS2166" t="s">
        <v>147</v>
      </c>
      <c r="BT2166">
        <v>0</v>
      </c>
      <c r="BU2166">
        <v>24</v>
      </c>
      <c r="BV2166" t="s">
        <v>114</v>
      </c>
      <c r="BX2166" s="2" t="s">
        <v>1341</v>
      </c>
      <c r="BY2166" t="s">
        <v>417</v>
      </c>
      <c r="CA2166" t="s">
        <v>418</v>
      </c>
      <c r="CB2166" t="s">
        <v>415</v>
      </c>
      <c r="CC2166" s="8" t="str">
        <f>"00603"</f>
        <v>00603</v>
      </c>
      <c r="CD2166" t="s">
        <v>419</v>
      </c>
      <c r="CE2166" t="s">
        <v>420</v>
      </c>
      <c r="CF2166" s="12">
        <v>13.34</v>
      </c>
      <c r="CJ2166" t="s">
        <v>135</v>
      </c>
      <c r="CL2166" t="s">
        <v>1342</v>
      </c>
      <c r="CO2166" t="s">
        <v>132</v>
      </c>
      <c r="CP2166" t="s">
        <v>114</v>
      </c>
      <c r="CQ2166" t="s">
        <v>114</v>
      </c>
      <c r="CR2166" t="s">
        <v>114</v>
      </c>
      <c r="CS2166" t="s">
        <v>114</v>
      </c>
      <c r="CT2166" t="s">
        <v>136</v>
      </c>
      <c r="CU2166" t="s">
        <v>136</v>
      </c>
      <c r="CV2166" t="s">
        <v>131</v>
      </c>
      <c r="CW2166" s="10" t="str">
        <f>"N/A"</f>
        <v>N/A</v>
      </c>
      <c r="CX2166" t="s">
        <v>406</v>
      </c>
      <c r="CY2166" t="s">
        <v>422</v>
      </c>
      <c r="CZ2166" t="s">
        <v>137</v>
      </c>
      <c r="DA2166" t="s">
        <v>114</v>
      </c>
      <c r="DB2166" t="s">
        <v>114</v>
      </c>
      <c r="DC2166" t="s">
        <v>136</v>
      </c>
      <c r="DD2166" t="s">
        <v>114</v>
      </c>
      <c r="DE2166" t="s">
        <v>423</v>
      </c>
      <c r="DF2166" t="s">
        <v>424</v>
      </c>
      <c r="DG2166" t="s">
        <v>425</v>
      </c>
      <c r="DH2166" t="s">
        <v>414</v>
      </c>
      <c r="DI2166" t="s">
        <v>426</v>
      </c>
    </row>
    <row r="2167" spans="1:113" ht="15" customHeight="1" x14ac:dyDescent="0.25">
      <c r="A2167" t="s">
        <v>23183</v>
      </c>
      <c r="B2167" t="s">
        <v>113</v>
      </c>
      <c r="C2167" s="1">
        <v>45110.838790162037</v>
      </c>
      <c r="D2167" s="1">
        <v>45204</v>
      </c>
      <c r="E2167" t="s">
        <v>114</v>
      </c>
      <c r="F2167" t="s">
        <v>23184</v>
      </c>
      <c r="G2167" t="str">
        <f>"47-2211.00"</f>
        <v>47-2211.00</v>
      </c>
      <c r="H2167" t="s">
        <v>23185</v>
      </c>
      <c r="I2167">
        <v>5</v>
      </c>
      <c r="K2167" s="1">
        <v>45200</v>
      </c>
      <c r="L2167" s="1">
        <v>45930</v>
      </c>
      <c r="O2167" t="s">
        <v>184</v>
      </c>
      <c r="P2167" t="s">
        <v>399</v>
      </c>
      <c r="R2167" t="s">
        <v>400</v>
      </c>
      <c r="T2167" t="s">
        <v>401</v>
      </c>
      <c r="U2167" t="s">
        <v>402</v>
      </c>
      <c r="V2167" s="8" t="str">
        <f>"92008"</f>
        <v>92008</v>
      </c>
      <c r="W2167" t="s">
        <v>118</v>
      </c>
      <c r="Y2167" s="10">
        <v>17605607127</v>
      </c>
      <c r="AA2167">
        <v>23622</v>
      </c>
      <c r="AB2167" t="s">
        <v>403</v>
      </c>
      <c r="AC2167" t="s">
        <v>404</v>
      </c>
      <c r="AE2167" t="s">
        <v>405</v>
      </c>
      <c r="AF2167" t="s">
        <v>400</v>
      </c>
      <c r="AH2167" t="s">
        <v>401</v>
      </c>
      <c r="AI2167" t="s">
        <v>402</v>
      </c>
      <c r="AJ2167" s="8" t="str">
        <f>"92008"</f>
        <v>92008</v>
      </c>
      <c r="AK2167" t="s">
        <v>118</v>
      </c>
      <c r="AM2167" s="10">
        <v>17605607127</v>
      </c>
      <c r="AO2167" t="s">
        <v>406</v>
      </c>
      <c r="AP2167" t="s">
        <v>121</v>
      </c>
      <c r="AQ2167" t="s">
        <v>407</v>
      </c>
      <c r="AR2167" t="s">
        <v>408</v>
      </c>
      <c r="AS2167" t="s">
        <v>409</v>
      </c>
      <c r="AT2167" t="s">
        <v>410</v>
      </c>
      <c r="AU2167" t="s">
        <v>411</v>
      </c>
      <c r="AV2167" t="s">
        <v>412</v>
      </c>
      <c r="AW2167" t="s">
        <v>402</v>
      </c>
      <c r="AX2167" s="8" t="str">
        <f>"94108"</f>
        <v>94108</v>
      </c>
      <c r="AY2167" t="s">
        <v>118</v>
      </c>
      <c r="BA2167" s="10">
        <v>14159813000</v>
      </c>
      <c r="BC2167" t="s">
        <v>413</v>
      </c>
      <c r="BD2167" t="s">
        <v>414</v>
      </c>
      <c r="BE2167" t="s">
        <v>402</v>
      </c>
      <c r="BF2167" t="s">
        <v>172</v>
      </c>
      <c r="BG2167" t="s">
        <v>415</v>
      </c>
      <c r="BH2167" s="1">
        <v>45104.833333333336</v>
      </c>
      <c r="BI2167">
        <v>40</v>
      </c>
      <c r="BJ2167">
        <v>0</v>
      </c>
      <c r="BK2167">
        <v>8</v>
      </c>
      <c r="BL2167">
        <v>8</v>
      </c>
      <c r="BM2167">
        <v>8</v>
      </c>
      <c r="BN2167">
        <v>8</v>
      </c>
      <c r="BO2167">
        <v>8</v>
      </c>
      <c r="BP2167">
        <v>0</v>
      </c>
      <c r="BQ2167" t="str">
        <f>"9:00 AM"</f>
        <v>9:00 AM</v>
      </c>
      <c r="BR2167" t="str">
        <f>"5:00 PM"</f>
        <v>5:00 PM</v>
      </c>
      <c r="BS2167" t="s">
        <v>147</v>
      </c>
      <c r="BT2167">
        <v>0</v>
      </c>
      <c r="BU2167">
        <v>12</v>
      </c>
      <c r="BV2167" t="s">
        <v>114</v>
      </c>
      <c r="BX2167" s="2" t="s">
        <v>23186</v>
      </c>
      <c r="BY2167" t="s">
        <v>417</v>
      </c>
      <c r="CA2167" t="s">
        <v>23187</v>
      </c>
      <c r="CB2167" t="s">
        <v>415</v>
      </c>
      <c r="CC2167" s="8" t="str">
        <f>"00603"</f>
        <v>00603</v>
      </c>
      <c r="CD2167" t="s">
        <v>419</v>
      </c>
      <c r="CE2167" t="s">
        <v>420</v>
      </c>
      <c r="CF2167" s="12">
        <v>12.05</v>
      </c>
      <c r="CJ2167" t="s">
        <v>135</v>
      </c>
      <c r="CL2167" t="s">
        <v>23188</v>
      </c>
      <c r="CO2167" t="s">
        <v>132</v>
      </c>
      <c r="CP2167" t="s">
        <v>114</v>
      </c>
      <c r="CQ2167" t="s">
        <v>114</v>
      </c>
      <c r="CR2167" t="s">
        <v>114</v>
      </c>
      <c r="CS2167" t="s">
        <v>114</v>
      </c>
      <c r="CT2167" t="s">
        <v>136</v>
      </c>
      <c r="CU2167" t="s">
        <v>136</v>
      </c>
      <c r="CV2167" t="s">
        <v>131</v>
      </c>
      <c r="CW2167" s="10" t="str">
        <f>"N/A"</f>
        <v>N/A</v>
      </c>
      <c r="CX2167" t="s">
        <v>406</v>
      </c>
      <c r="CY2167" t="s">
        <v>6868</v>
      </c>
      <c r="CZ2167" t="s">
        <v>137</v>
      </c>
      <c r="DA2167" t="s">
        <v>114</v>
      </c>
      <c r="DB2167" t="s">
        <v>114</v>
      </c>
      <c r="DC2167" t="s">
        <v>136</v>
      </c>
      <c r="DD2167" t="s">
        <v>114</v>
      </c>
      <c r="DE2167" t="s">
        <v>423</v>
      </c>
      <c r="DF2167" t="s">
        <v>424</v>
      </c>
      <c r="DG2167" t="s">
        <v>425</v>
      </c>
      <c r="DH2167" t="s">
        <v>414</v>
      </c>
      <c r="DI2167" t="s">
        <v>426</v>
      </c>
    </row>
    <row r="2168" spans="1:113" ht="15" customHeight="1" x14ac:dyDescent="0.25">
      <c r="A2168" t="s">
        <v>19727</v>
      </c>
      <c r="B2168" t="s">
        <v>113</v>
      </c>
      <c r="C2168" s="1">
        <v>45110.830426273147</v>
      </c>
      <c r="D2168" s="1">
        <v>45204</v>
      </c>
      <c r="E2168" t="s">
        <v>114</v>
      </c>
      <c r="F2168" t="s">
        <v>8405</v>
      </c>
      <c r="G2168" t="str">
        <f>"49-3021.00"</f>
        <v>49-3021.00</v>
      </c>
      <c r="H2168" t="s">
        <v>8406</v>
      </c>
      <c r="I2168">
        <v>2</v>
      </c>
      <c r="K2168" s="1">
        <v>45200</v>
      </c>
      <c r="L2168" s="1">
        <v>45473</v>
      </c>
      <c r="O2168" t="s">
        <v>116</v>
      </c>
      <c r="P2168" t="s">
        <v>8407</v>
      </c>
      <c r="Q2168" t="s">
        <v>8408</v>
      </c>
      <c r="R2168" t="s">
        <v>8409</v>
      </c>
      <c r="T2168" t="s">
        <v>3255</v>
      </c>
      <c r="U2168" t="s">
        <v>127</v>
      </c>
      <c r="V2168" s="8" t="str">
        <f>"75067"</f>
        <v>75067</v>
      </c>
      <c r="W2168" t="s">
        <v>118</v>
      </c>
      <c r="Y2168" s="10">
        <v>14699489500</v>
      </c>
      <c r="AA2168">
        <v>8111</v>
      </c>
      <c r="AB2168" t="s">
        <v>7293</v>
      </c>
      <c r="AC2168" t="s">
        <v>2320</v>
      </c>
      <c r="AD2168" t="s">
        <v>2371</v>
      </c>
      <c r="AE2168" t="s">
        <v>8410</v>
      </c>
      <c r="AF2168" t="s">
        <v>8409</v>
      </c>
      <c r="AH2168" t="s">
        <v>3255</v>
      </c>
      <c r="AI2168" t="s">
        <v>127</v>
      </c>
      <c r="AJ2168" s="8" t="str">
        <f>"75067"</f>
        <v>75067</v>
      </c>
      <c r="AK2168" t="s">
        <v>118</v>
      </c>
      <c r="AM2168" s="10">
        <v>14699489500</v>
      </c>
      <c r="AO2168" t="s">
        <v>8411</v>
      </c>
      <c r="AP2168" t="s">
        <v>121</v>
      </c>
      <c r="AQ2168" t="s">
        <v>273</v>
      </c>
      <c r="AR2168" t="s">
        <v>8412</v>
      </c>
      <c r="AS2168" t="s">
        <v>3318</v>
      </c>
      <c r="AT2168" t="s">
        <v>8413</v>
      </c>
      <c r="AU2168" t="s">
        <v>8414</v>
      </c>
      <c r="AV2168" t="s">
        <v>10050</v>
      </c>
      <c r="AW2168" t="s">
        <v>6049</v>
      </c>
      <c r="AX2168" s="8" t="str">
        <f>"20004"</f>
        <v>20004</v>
      </c>
      <c r="AY2168" t="s">
        <v>118</v>
      </c>
      <c r="BA2168" s="10">
        <v>12026406684</v>
      </c>
      <c r="BC2168" t="s">
        <v>8415</v>
      </c>
      <c r="BD2168" t="s">
        <v>8416</v>
      </c>
      <c r="BE2168" t="s">
        <v>6049</v>
      </c>
      <c r="BF2168" t="s">
        <v>2118</v>
      </c>
      <c r="BG2168" t="s">
        <v>402</v>
      </c>
      <c r="BH2168" s="1">
        <v>45104.833333333336</v>
      </c>
      <c r="BI2168">
        <v>50</v>
      </c>
      <c r="BJ2168">
        <v>0</v>
      </c>
      <c r="BK2168">
        <v>10</v>
      </c>
      <c r="BL2168">
        <v>10</v>
      </c>
      <c r="BM2168">
        <v>10</v>
      </c>
      <c r="BN2168">
        <v>10</v>
      </c>
      <c r="BO2168">
        <v>10</v>
      </c>
      <c r="BP2168">
        <v>0</v>
      </c>
      <c r="BQ2168" t="str">
        <f>"7:30 AM"</f>
        <v>7:30 AM</v>
      </c>
      <c r="BR2168" t="str">
        <f>"5:30 PM"</f>
        <v>5:30 PM</v>
      </c>
      <c r="BS2168" t="s">
        <v>131</v>
      </c>
      <c r="BT2168">
        <v>0</v>
      </c>
      <c r="BU2168">
        <v>6</v>
      </c>
      <c r="BV2168" t="s">
        <v>114</v>
      </c>
      <c r="BX2168" s="2" t="s">
        <v>8417</v>
      </c>
      <c r="BY2168" t="s">
        <v>19728</v>
      </c>
      <c r="CA2168" t="s">
        <v>14127</v>
      </c>
      <c r="CB2168" t="s">
        <v>402</v>
      </c>
      <c r="CC2168" s="8" t="str">
        <f>"92806"</f>
        <v>92806</v>
      </c>
      <c r="CD2168" t="s">
        <v>2274</v>
      </c>
      <c r="CE2168" t="s">
        <v>2969</v>
      </c>
      <c r="CF2168" s="12">
        <v>25.77</v>
      </c>
      <c r="CH2168" s="12">
        <v>38.65</v>
      </c>
      <c r="CJ2168" t="s">
        <v>135</v>
      </c>
      <c r="CL2168" t="s">
        <v>19729</v>
      </c>
      <c r="CO2168" t="s">
        <v>132</v>
      </c>
      <c r="CP2168" t="s">
        <v>114</v>
      </c>
      <c r="CQ2168" t="s">
        <v>136</v>
      </c>
      <c r="CR2168" t="s">
        <v>136</v>
      </c>
      <c r="CS2168" t="s">
        <v>136</v>
      </c>
      <c r="CT2168" t="s">
        <v>136</v>
      </c>
      <c r="CU2168" t="s">
        <v>136</v>
      </c>
      <c r="CV2168" t="s">
        <v>12183</v>
      </c>
      <c r="CW2168" s="10" t="str">
        <f>"N/A"</f>
        <v>N/A</v>
      </c>
      <c r="CX2168" t="s">
        <v>8424</v>
      </c>
      <c r="CY2168" t="s">
        <v>8425</v>
      </c>
      <c r="CZ2168" t="s">
        <v>137</v>
      </c>
      <c r="DA2168" t="s">
        <v>114</v>
      </c>
      <c r="DB2168" t="s">
        <v>136</v>
      </c>
      <c r="DC2168" t="s">
        <v>136</v>
      </c>
      <c r="DD2168" t="s">
        <v>114</v>
      </c>
    </row>
    <row r="2169" spans="1:113" ht="15" customHeight="1" x14ac:dyDescent="0.25">
      <c r="A2169" t="s">
        <v>12178</v>
      </c>
      <c r="B2169" t="s">
        <v>113</v>
      </c>
      <c r="C2169" s="1">
        <v>45110.809193981484</v>
      </c>
      <c r="D2169" s="1">
        <v>45204</v>
      </c>
      <c r="E2169" t="s">
        <v>114</v>
      </c>
      <c r="F2169" t="s">
        <v>8405</v>
      </c>
      <c r="G2169" t="str">
        <f>"49-3021.00"</f>
        <v>49-3021.00</v>
      </c>
      <c r="H2169" t="s">
        <v>8406</v>
      </c>
      <c r="I2169">
        <v>2</v>
      </c>
      <c r="K2169" s="1">
        <v>45200</v>
      </c>
      <c r="L2169" s="1">
        <v>45473</v>
      </c>
      <c r="O2169" t="s">
        <v>116</v>
      </c>
      <c r="P2169" t="s">
        <v>8407</v>
      </c>
      <c r="Q2169" t="s">
        <v>12179</v>
      </c>
      <c r="R2169" t="s">
        <v>8409</v>
      </c>
      <c r="T2169" t="s">
        <v>3255</v>
      </c>
      <c r="U2169" t="s">
        <v>127</v>
      </c>
      <c r="V2169" s="8" t="str">
        <f>"75067"</f>
        <v>75067</v>
      </c>
      <c r="W2169" t="s">
        <v>118</v>
      </c>
      <c r="Y2169" s="10">
        <v>14699489500</v>
      </c>
      <c r="AA2169">
        <v>8111</v>
      </c>
      <c r="AB2169" t="s">
        <v>7293</v>
      </c>
      <c r="AC2169" t="s">
        <v>2320</v>
      </c>
      <c r="AD2169" t="s">
        <v>2371</v>
      </c>
      <c r="AE2169" t="s">
        <v>8410</v>
      </c>
      <c r="AF2169" t="s">
        <v>8409</v>
      </c>
      <c r="AH2169" t="s">
        <v>3255</v>
      </c>
      <c r="AI2169" t="s">
        <v>127</v>
      </c>
      <c r="AJ2169" s="8" t="str">
        <f>"75067"</f>
        <v>75067</v>
      </c>
      <c r="AK2169" t="s">
        <v>118</v>
      </c>
      <c r="AM2169" s="10">
        <v>14699489500</v>
      </c>
      <c r="AO2169" t="s">
        <v>8411</v>
      </c>
      <c r="AP2169" t="s">
        <v>121</v>
      </c>
      <c r="AQ2169" t="s">
        <v>273</v>
      </c>
      <c r="AR2169" t="s">
        <v>8412</v>
      </c>
      <c r="AS2169" t="s">
        <v>3318</v>
      </c>
      <c r="AT2169" t="s">
        <v>8413</v>
      </c>
      <c r="AU2169" t="s">
        <v>8414</v>
      </c>
      <c r="AV2169" t="s">
        <v>10050</v>
      </c>
      <c r="AW2169" t="s">
        <v>6049</v>
      </c>
      <c r="AX2169" s="8" t="str">
        <f>"20004"</f>
        <v>20004</v>
      </c>
      <c r="AY2169" t="s">
        <v>118</v>
      </c>
      <c r="BA2169" s="10">
        <v>12026406684</v>
      </c>
      <c r="BC2169" t="s">
        <v>8415</v>
      </c>
      <c r="BD2169" t="s">
        <v>8416</v>
      </c>
      <c r="BE2169" t="s">
        <v>6049</v>
      </c>
      <c r="BF2169" t="s">
        <v>2118</v>
      </c>
      <c r="BG2169" t="s">
        <v>402</v>
      </c>
      <c r="BH2169" s="1">
        <v>45104.833333333336</v>
      </c>
      <c r="BI2169">
        <v>50</v>
      </c>
      <c r="BJ2169">
        <v>0</v>
      </c>
      <c r="BK2169">
        <v>10</v>
      </c>
      <c r="BL2169">
        <v>10</v>
      </c>
      <c r="BM2169">
        <v>10</v>
      </c>
      <c r="BN2169">
        <v>10</v>
      </c>
      <c r="BO2169">
        <v>10</v>
      </c>
      <c r="BP2169">
        <v>0</v>
      </c>
      <c r="BQ2169" t="str">
        <f>"7:30 AM"</f>
        <v>7:30 AM</v>
      </c>
      <c r="BR2169" t="str">
        <f>"5:30 PM"</f>
        <v>5:30 PM</v>
      </c>
      <c r="BS2169" t="s">
        <v>131</v>
      </c>
      <c r="BT2169">
        <v>0</v>
      </c>
      <c r="BU2169">
        <v>6</v>
      </c>
      <c r="BV2169" t="s">
        <v>114</v>
      </c>
      <c r="BX2169" s="2" t="s">
        <v>8417</v>
      </c>
      <c r="BY2169" t="s">
        <v>12180</v>
      </c>
      <c r="CA2169" t="s">
        <v>12181</v>
      </c>
      <c r="CB2169" t="s">
        <v>402</v>
      </c>
      <c r="CC2169" s="8" t="str">
        <f>"91016"</f>
        <v>91016</v>
      </c>
      <c r="CD2169" t="s">
        <v>2968</v>
      </c>
      <c r="CE2169" t="s">
        <v>2969</v>
      </c>
      <c r="CF2169" s="12">
        <v>25.77</v>
      </c>
      <c r="CH2169" s="12">
        <v>38.65</v>
      </c>
      <c r="CJ2169" t="s">
        <v>135</v>
      </c>
      <c r="CL2169" t="s">
        <v>12182</v>
      </c>
      <c r="CO2169" t="s">
        <v>132</v>
      </c>
      <c r="CP2169" t="s">
        <v>114</v>
      </c>
      <c r="CQ2169" t="s">
        <v>136</v>
      </c>
      <c r="CR2169" t="s">
        <v>136</v>
      </c>
      <c r="CS2169" t="s">
        <v>136</v>
      </c>
      <c r="CT2169" t="s">
        <v>136</v>
      </c>
      <c r="CU2169" t="s">
        <v>136</v>
      </c>
      <c r="CV2169" t="s">
        <v>12183</v>
      </c>
      <c r="CW2169" s="10" t="str">
        <f>"N/A"</f>
        <v>N/A</v>
      </c>
      <c r="CX2169" t="s">
        <v>8424</v>
      </c>
      <c r="CY2169" t="s">
        <v>8425</v>
      </c>
      <c r="CZ2169" t="s">
        <v>137</v>
      </c>
      <c r="DA2169" t="s">
        <v>114</v>
      </c>
      <c r="DB2169" t="s">
        <v>136</v>
      </c>
      <c r="DC2169" t="s">
        <v>136</v>
      </c>
      <c r="DD2169" t="s">
        <v>114</v>
      </c>
    </row>
    <row r="2170" spans="1:113" ht="15" customHeight="1" x14ac:dyDescent="0.25">
      <c r="A2170" t="s">
        <v>14678</v>
      </c>
      <c r="B2170" t="s">
        <v>113</v>
      </c>
      <c r="C2170" s="1">
        <v>45110.781141550928</v>
      </c>
      <c r="D2170" s="1">
        <v>45204</v>
      </c>
      <c r="E2170" t="s">
        <v>114</v>
      </c>
      <c r="F2170" t="s">
        <v>5067</v>
      </c>
      <c r="G2170" t="str">
        <f>"51-9198.00"</f>
        <v>51-9198.00</v>
      </c>
      <c r="H2170" t="s">
        <v>1892</v>
      </c>
      <c r="I2170">
        <v>20</v>
      </c>
      <c r="K2170" s="1">
        <v>45200</v>
      </c>
      <c r="L2170" s="1">
        <v>45291</v>
      </c>
      <c r="O2170" t="s">
        <v>116</v>
      </c>
      <c r="P2170" t="s">
        <v>14679</v>
      </c>
      <c r="Q2170" t="s">
        <v>14680</v>
      </c>
      <c r="R2170" t="s">
        <v>14681</v>
      </c>
      <c r="T2170" t="s">
        <v>14682</v>
      </c>
      <c r="U2170" t="s">
        <v>740</v>
      </c>
      <c r="V2170" s="8" t="str">
        <f>"50213"</f>
        <v>50213</v>
      </c>
      <c r="W2170" t="s">
        <v>118</v>
      </c>
      <c r="Y2170" s="10">
        <v>15159786269</v>
      </c>
      <c r="AA2170">
        <v>32121</v>
      </c>
      <c r="AB2170" t="s">
        <v>14683</v>
      </c>
      <c r="AC2170" t="s">
        <v>2188</v>
      </c>
      <c r="AE2170" t="s">
        <v>1349</v>
      </c>
      <c r="AF2170" t="s">
        <v>14684</v>
      </c>
      <c r="AH2170" t="s">
        <v>14682</v>
      </c>
      <c r="AI2170" t="s">
        <v>740</v>
      </c>
      <c r="AJ2170" s="8" t="str">
        <f>"50213"</f>
        <v>50213</v>
      </c>
      <c r="AK2170" t="s">
        <v>118</v>
      </c>
      <c r="AM2170" s="10">
        <v>15159786269</v>
      </c>
      <c r="AO2170" t="s">
        <v>14685</v>
      </c>
      <c r="AP2170" t="s">
        <v>121</v>
      </c>
      <c r="AQ2170" t="s">
        <v>929</v>
      </c>
      <c r="AR2170" t="s">
        <v>930</v>
      </c>
      <c r="AS2170" t="s">
        <v>931</v>
      </c>
      <c r="AT2170" t="s">
        <v>932</v>
      </c>
      <c r="AU2170" t="s">
        <v>132</v>
      </c>
      <c r="AV2170" t="s">
        <v>933</v>
      </c>
      <c r="AW2170" t="s">
        <v>740</v>
      </c>
      <c r="AX2170" s="8" t="str">
        <f>"50010"</f>
        <v>50010</v>
      </c>
      <c r="AY2170" t="s">
        <v>118</v>
      </c>
      <c r="BA2170" s="10">
        <v>15152324444</v>
      </c>
      <c r="BB2170">
        <v>0</v>
      </c>
      <c r="BC2170" t="s">
        <v>934</v>
      </c>
      <c r="BD2170" t="s">
        <v>935</v>
      </c>
      <c r="BE2170" t="s">
        <v>740</v>
      </c>
      <c r="BF2170" t="s">
        <v>172</v>
      </c>
      <c r="BG2170" t="s">
        <v>740</v>
      </c>
      <c r="BH2170" s="1">
        <v>45103.833333333336</v>
      </c>
      <c r="BI2170">
        <v>40</v>
      </c>
      <c r="BJ2170">
        <v>0</v>
      </c>
      <c r="BK2170">
        <v>8</v>
      </c>
      <c r="BL2170">
        <v>8</v>
      </c>
      <c r="BM2170">
        <v>8</v>
      </c>
      <c r="BN2170">
        <v>8</v>
      </c>
      <c r="BO2170">
        <v>8</v>
      </c>
      <c r="BP2170">
        <v>0</v>
      </c>
      <c r="BQ2170" t="str">
        <f>"3:30 PM"</f>
        <v>3:30 PM</v>
      </c>
      <c r="BR2170" t="str">
        <f>"12:00 AM"</f>
        <v>12:00 AM</v>
      </c>
      <c r="BS2170" t="s">
        <v>131</v>
      </c>
      <c r="BT2170">
        <v>0</v>
      </c>
      <c r="BU2170">
        <v>0</v>
      </c>
      <c r="BV2170" t="s">
        <v>114</v>
      </c>
      <c r="BX2170" t="s">
        <v>14686</v>
      </c>
      <c r="BY2170" t="s">
        <v>14681</v>
      </c>
      <c r="CA2170" t="s">
        <v>14682</v>
      </c>
      <c r="CB2170" t="s">
        <v>740</v>
      </c>
      <c r="CC2170" s="8" t="str">
        <f>"50213"</f>
        <v>50213</v>
      </c>
      <c r="CD2170" t="s">
        <v>1606</v>
      </c>
      <c r="CE2170" t="s">
        <v>8874</v>
      </c>
      <c r="CF2170" s="12">
        <v>18.29</v>
      </c>
      <c r="CH2170" s="12">
        <v>27.44</v>
      </c>
      <c r="CJ2170" t="s">
        <v>135</v>
      </c>
      <c r="CK2170" t="s">
        <v>14687</v>
      </c>
      <c r="CL2170" t="s">
        <v>14688</v>
      </c>
      <c r="CO2170" t="s">
        <v>132</v>
      </c>
      <c r="CP2170" t="s">
        <v>114</v>
      </c>
      <c r="CQ2170" t="s">
        <v>136</v>
      </c>
      <c r="CR2170" t="s">
        <v>136</v>
      </c>
      <c r="CS2170" t="s">
        <v>136</v>
      </c>
      <c r="CT2170" t="s">
        <v>136</v>
      </c>
      <c r="CU2170" t="s">
        <v>136</v>
      </c>
      <c r="CV2170" s="2" t="s">
        <v>14689</v>
      </c>
      <c r="CW2170" s="10" t="str">
        <f>"+15159786269"</f>
        <v>+15159786269</v>
      </c>
      <c r="CX2170" t="s">
        <v>14685</v>
      </c>
      <c r="CY2170" t="s">
        <v>132</v>
      </c>
      <c r="CZ2170" t="s">
        <v>137</v>
      </c>
      <c r="DA2170" t="s">
        <v>114</v>
      </c>
      <c r="DB2170" t="s">
        <v>136</v>
      </c>
      <c r="DC2170" t="s">
        <v>136</v>
      </c>
      <c r="DD2170" t="s">
        <v>114</v>
      </c>
    </row>
    <row r="2171" spans="1:113" ht="15" customHeight="1" x14ac:dyDescent="0.25">
      <c r="A2171" t="s">
        <v>18493</v>
      </c>
      <c r="B2171" t="s">
        <v>113</v>
      </c>
      <c r="C2171" s="1">
        <v>45110.680614120371</v>
      </c>
      <c r="D2171" s="1">
        <v>45204</v>
      </c>
      <c r="E2171" t="s">
        <v>114</v>
      </c>
      <c r="F2171" t="s">
        <v>18089</v>
      </c>
      <c r="G2171" t="str">
        <f>"47-5023.00"</f>
        <v>47-5023.00</v>
      </c>
      <c r="H2171" t="s">
        <v>18090</v>
      </c>
      <c r="I2171">
        <v>5</v>
      </c>
      <c r="K2171" s="1">
        <v>45200</v>
      </c>
      <c r="L2171" s="1">
        <v>45473</v>
      </c>
      <c r="O2171" t="s">
        <v>116</v>
      </c>
      <c r="P2171" t="s">
        <v>6181</v>
      </c>
      <c r="Q2171" t="s">
        <v>6182</v>
      </c>
      <c r="R2171" t="s">
        <v>6183</v>
      </c>
      <c r="T2171" t="s">
        <v>3262</v>
      </c>
      <c r="U2171" t="s">
        <v>375</v>
      </c>
      <c r="V2171" s="8" t="str">
        <f>"28017"</f>
        <v>28017</v>
      </c>
      <c r="W2171" t="s">
        <v>118</v>
      </c>
      <c r="Y2171" s="10">
        <v>17042131900</v>
      </c>
      <c r="AA2171">
        <v>2371</v>
      </c>
      <c r="AB2171" t="s">
        <v>6184</v>
      </c>
      <c r="AC2171" t="s">
        <v>6185</v>
      </c>
      <c r="AD2171" t="s">
        <v>6186</v>
      </c>
      <c r="AE2171" t="s">
        <v>629</v>
      </c>
      <c r="AF2171" t="s">
        <v>6183</v>
      </c>
      <c r="AH2171" t="s">
        <v>3262</v>
      </c>
      <c r="AI2171" t="s">
        <v>375</v>
      </c>
      <c r="AJ2171" s="8" t="str">
        <f>"28107"</f>
        <v>28107</v>
      </c>
      <c r="AK2171" t="s">
        <v>118</v>
      </c>
      <c r="AM2171" s="10">
        <v>17042131900</v>
      </c>
      <c r="AO2171" t="s">
        <v>6187</v>
      </c>
      <c r="AP2171" t="s">
        <v>121</v>
      </c>
      <c r="AQ2171" t="s">
        <v>2869</v>
      </c>
      <c r="AR2171" t="s">
        <v>931</v>
      </c>
      <c r="AS2171" t="s">
        <v>6188</v>
      </c>
      <c r="AT2171" t="s">
        <v>6189</v>
      </c>
      <c r="AV2171" t="s">
        <v>3170</v>
      </c>
      <c r="AW2171" t="s">
        <v>2090</v>
      </c>
      <c r="AX2171" s="8" t="str">
        <f>"68512"</f>
        <v>68512</v>
      </c>
      <c r="AY2171" t="s">
        <v>118</v>
      </c>
      <c r="BA2171" s="10">
        <v>14023289899</v>
      </c>
      <c r="BC2171" t="s">
        <v>6190</v>
      </c>
      <c r="BD2171" t="s">
        <v>6191</v>
      </c>
      <c r="BE2171" t="s">
        <v>402</v>
      </c>
      <c r="BF2171" t="s">
        <v>3573</v>
      </c>
      <c r="BG2171" t="s">
        <v>550</v>
      </c>
      <c r="BH2171" s="1">
        <v>45109.833333333336</v>
      </c>
      <c r="BI2171">
        <v>40</v>
      </c>
      <c r="BJ2171">
        <v>0</v>
      </c>
      <c r="BK2171">
        <v>8</v>
      </c>
      <c r="BL2171">
        <v>8</v>
      </c>
      <c r="BM2171">
        <v>8</v>
      </c>
      <c r="BN2171">
        <v>8</v>
      </c>
      <c r="BO2171">
        <v>8</v>
      </c>
      <c r="BP2171">
        <v>0</v>
      </c>
      <c r="BQ2171" t="str">
        <f>"8:00 AM"</f>
        <v>8:00 AM</v>
      </c>
      <c r="BR2171" t="str">
        <f>"5:00 PM"</f>
        <v>5:00 PM</v>
      </c>
      <c r="BS2171" t="s">
        <v>131</v>
      </c>
      <c r="BT2171">
        <v>0</v>
      </c>
      <c r="BU2171">
        <v>12</v>
      </c>
      <c r="BV2171" t="s">
        <v>114</v>
      </c>
      <c r="BX2171" s="2" t="s">
        <v>18091</v>
      </c>
      <c r="BY2171" t="s">
        <v>18494</v>
      </c>
      <c r="CA2171" t="s">
        <v>3164</v>
      </c>
      <c r="CB2171" t="s">
        <v>550</v>
      </c>
      <c r="CC2171" s="8" t="str">
        <f>"31204"</f>
        <v>31204</v>
      </c>
      <c r="CD2171" t="s">
        <v>18495</v>
      </c>
      <c r="CE2171" t="s">
        <v>18496</v>
      </c>
      <c r="CF2171" s="12">
        <v>1010</v>
      </c>
      <c r="CG2171" s="12">
        <v>1846</v>
      </c>
      <c r="CH2171" s="12">
        <v>1515</v>
      </c>
      <c r="CI2171" s="12">
        <v>2769</v>
      </c>
      <c r="CJ2171" t="s">
        <v>5181</v>
      </c>
      <c r="CL2171" t="s">
        <v>18093</v>
      </c>
      <c r="CO2171" t="s">
        <v>132</v>
      </c>
      <c r="CP2171" t="s">
        <v>114</v>
      </c>
      <c r="CQ2171" t="s">
        <v>114</v>
      </c>
      <c r="CR2171" t="s">
        <v>136</v>
      </c>
      <c r="CS2171" t="s">
        <v>136</v>
      </c>
      <c r="CT2171" t="s">
        <v>136</v>
      </c>
      <c r="CU2171" t="s">
        <v>114</v>
      </c>
      <c r="CV2171" t="s">
        <v>6195</v>
      </c>
      <c r="CW2171" s="10" t="str">
        <f>"+17042131900"</f>
        <v>+17042131900</v>
      </c>
      <c r="CX2171" t="s">
        <v>6196</v>
      </c>
      <c r="CY2171" t="s">
        <v>132</v>
      </c>
      <c r="CZ2171" t="s">
        <v>137</v>
      </c>
      <c r="DA2171" t="s">
        <v>114</v>
      </c>
      <c r="DB2171" t="s">
        <v>114</v>
      </c>
      <c r="DC2171" t="s">
        <v>136</v>
      </c>
      <c r="DD2171" t="s">
        <v>114</v>
      </c>
    </row>
    <row r="2172" spans="1:113" ht="15" customHeight="1" x14ac:dyDescent="0.25">
      <c r="A2172" t="s">
        <v>20312</v>
      </c>
      <c r="B2172" t="s">
        <v>113</v>
      </c>
      <c r="C2172" s="1">
        <v>45110.613227662034</v>
      </c>
      <c r="D2172" s="1">
        <v>45204</v>
      </c>
      <c r="E2172" t="s">
        <v>114</v>
      </c>
      <c r="F2172" t="s">
        <v>18089</v>
      </c>
      <c r="G2172" t="str">
        <f>"47-5023.00"</f>
        <v>47-5023.00</v>
      </c>
      <c r="H2172" t="s">
        <v>18090</v>
      </c>
      <c r="I2172">
        <v>10</v>
      </c>
      <c r="K2172" s="1">
        <v>45200</v>
      </c>
      <c r="L2172" s="1">
        <v>45473</v>
      </c>
      <c r="O2172" t="s">
        <v>116</v>
      </c>
      <c r="P2172" t="s">
        <v>6181</v>
      </c>
      <c r="Q2172" t="s">
        <v>6182</v>
      </c>
      <c r="R2172" t="s">
        <v>6183</v>
      </c>
      <c r="T2172" t="s">
        <v>3262</v>
      </c>
      <c r="U2172" t="s">
        <v>375</v>
      </c>
      <c r="V2172" s="8" t="str">
        <f>"28017"</f>
        <v>28017</v>
      </c>
      <c r="W2172" t="s">
        <v>118</v>
      </c>
      <c r="Y2172" s="10">
        <v>17042131900</v>
      </c>
      <c r="AA2172">
        <v>2371</v>
      </c>
      <c r="AB2172" t="s">
        <v>6184</v>
      </c>
      <c r="AC2172" t="s">
        <v>6185</v>
      </c>
      <c r="AD2172" t="s">
        <v>6186</v>
      </c>
      <c r="AE2172" t="s">
        <v>629</v>
      </c>
      <c r="AF2172" t="s">
        <v>6183</v>
      </c>
      <c r="AH2172" t="s">
        <v>3262</v>
      </c>
      <c r="AI2172" t="s">
        <v>375</v>
      </c>
      <c r="AJ2172" s="8" t="str">
        <f>"28107"</f>
        <v>28107</v>
      </c>
      <c r="AK2172" t="s">
        <v>118</v>
      </c>
      <c r="AM2172" s="10">
        <v>17042131900</v>
      </c>
      <c r="AO2172" t="s">
        <v>6187</v>
      </c>
      <c r="AP2172" t="s">
        <v>121</v>
      </c>
      <c r="AQ2172" t="s">
        <v>2869</v>
      </c>
      <c r="AR2172" t="s">
        <v>931</v>
      </c>
      <c r="AS2172" t="s">
        <v>6188</v>
      </c>
      <c r="AT2172" t="s">
        <v>6189</v>
      </c>
      <c r="AV2172" t="s">
        <v>3170</v>
      </c>
      <c r="AW2172" t="s">
        <v>2090</v>
      </c>
      <c r="AX2172" s="8" t="str">
        <f>"68512"</f>
        <v>68512</v>
      </c>
      <c r="AY2172" t="s">
        <v>118</v>
      </c>
      <c r="BA2172" s="10">
        <v>14023289899</v>
      </c>
      <c r="BC2172" t="s">
        <v>6190</v>
      </c>
      <c r="BD2172" t="s">
        <v>6191</v>
      </c>
      <c r="BE2172" t="s">
        <v>402</v>
      </c>
      <c r="BF2172" t="s">
        <v>3573</v>
      </c>
      <c r="BG2172" t="s">
        <v>375</v>
      </c>
      <c r="BH2172" s="1">
        <v>45109.833333333336</v>
      </c>
      <c r="BI2172">
        <v>40</v>
      </c>
      <c r="BJ2172">
        <v>0</v>
      </c>
      <c r="BK2172">
        <v>8</v>
      </c>
      <c r="BL2172">
        <v>8</v>
      </c>
      <c r="BM2172">
        <v>8</v>
      </c>
      <c r="BN2172">
        <v>8</v>
      </c>
      <c r="BO2172">
        <v>8</v>
      </c>
      <c r="BP2172">
        <v>0</v>
      </c>
      <c r="BQ2172" t="str">
        <f>"8:00 AM"</f>
        <v>8:00 AM</v>
      </c>
      <c r="BR2172" t="str">
        <f>"5:00 PM"</f>
        <v>5:00 PM</v>
      </c>
      <c r="BS2172" t="s">
        <v>131</v>
      </c>
      <c r="BT2172">
        <v>0</v>
      </c>
      <c r="BU2172">
        <v>12</v>
      </c>
      <c r="BV2172" t="s">
        <v>114</v>
      </c>
      <c r="BX2172" s="2" t="s">
        <v>20313</v>
      </c>
      <c r="BY2172" t="s">
        <v>6183</v>
      </c>
      <c r="CA2172" t="s">
        <v>3262</v>
      </c>
      <c r="CB2172" t="s">
        <v>375</v>
      </c>
      <c r="CC2172" s="8" t="str">
        <f>"28017"</f>
        <v>28017</v>
      </c>
      <c r="CD2172" t="s">
        <v>2939</v>
      </c>
      <c r="CE2172" t="s">
        <v>2940</v>
      </c>
      <c r="CF2172" s="12">
        <v>1010</v>
      </c>
      <c r="CG2172" s="12">
        <v>1846</v>
      </c>
      <c r="CH2172" s="12">
        <v>1515</v>
      </c>
      <c r="CI2172" s="12">
        <v>2769</v>
      </c>
      <c r="CJ2172" t="s">
        <v>5181</v>
      </c>
      <c r="CL2172" t="s">
        <v>18093</v>
      </c>
      <c r="CO2172" t="s">
        <v>132</v>
      </c>
      <c r="CP2172" t="s">
        <v>136</v>
      </c>
      <c r="CQ2172" t="s">
        <v>114</v>
      </c>
      <c r="CR2172" t="s">
        <v>136</v>
      </c>
      <c r="CS2172" t="s">
        <v>136</v>
      </c>
      <c r="CT2172" t="s">
        <v>136</v>
      </c>
      <c r="CU2172" t="s">
        <v>114</v>
      </c>
      <c r="CV2172" t="s">
        <v>6195</v>
      </c>
      <c r="CW2172" s="10" t="str">
        <f>"+17042131900"</f>
        <v>+17042131900</v>
      </c>
      <c r="CX2172" t="s">
        <v>6196</v>
      </c>
      <c r="CY2172" t="s">
        <v>132</v>
      </c>
      <c r="CZ2172" t="s">
        <v>137</v>
      </c>
      <c r="DA2172" t="s">
        <v>114</v>
      </c>
      <c r="DB2172" t="s">
        <v>114</v>
      </c>
      <c r="DC2172" t="s">
        <v>136</v>
      </c>
      <c r="DD2172" t="s">
        <v>114</v>
      </c>
    </row>
    <row r="2173" spans="1:113" ht="15" customHeight="1" x14ac:dyDescent="0.25">
      <c r="A2173" t="s">
        <v>1289</v>
      </c>
      <c r="B2173" t="s">
        <v>113</v>
      </c>
      <c r="C2173" s="1">
        <v>45110.590180092593</v>
      </c>
      <c r="D2173" s="1">
        <v>45204</v>
      </c>
      <c r="E2173" t="s">
        <v>114</v>
      </c>
      <c r="F2173" t="s">
        <v>1290</v>
      </c>
      <c r="G2173" t="str">
        <f>"47-2051.00"</f>
        <v>47-2051.00</v>
      </c>
      <c r="H2173" t="s">
        <v>1291</v>
      </c>
      <c r="I2173">
        <v>6</v>
      </c>
      <c r="K2173" s="1">
        <v>45200</v>
      </c>
      <c r="L2173" s="1">
        <v>45291</v>
      </c>
      <c r="O2173" t="s">
        <v>116</v>
      </c>
      <c r="P2173" t="s">
        <v>1292</v>
      </c>
      <c r="R2173" t="s">
        <v>1293</v>
      </c>
      <c r="T2173" t="s">
        <v>1294</v>
      </c>
      <c r="U2173" t="s">
        <v>740</v>
      </c>
      <c r="V2173" s="8" t="str">
        <f>"56255"</f>
        <v>56255</v>
      </c>
      <c r="W2173" t="s">
        <v>118</v>
      </c>
      <c r="Y2173" s="10">
        <v>13194703835</v>
      </c>
      <c r="AA2173">
        <v>238110</v>
      </c>
      <c r="AB2173" t="s">
        <v>1295</v>
      </c>
      <c r="AC2173" t="s">
        <v>1296</v>
      </c>
      <c r="AE2173" t="s">
        <v>561</v>
      </c>
      <c r="AF2173" t="s">
        <v>1293</v>
      </c>
      <c r="AH2173" t="s">
        <v>1294</v>
      </c>
      <c r="AI2173" t="s">
        <v>740</v>
      </c>
      <c r="AJ2173" s="8" t="str">
        <f>"52655"</f>
        <v>52655</v>
      </c>
      <c r="AK2173" t="s">
        <v>118</v>
      </c>
      <c r="AM2173" s="10">
        <v>13194703835</v>
      </c>
      <c r="AO2173" t="s">
        <v>1297</v>
      </c>
      <c r="AP2173" t="s">
        <v>121</v>
      </c>
      <c r="AQ2173" t="s">
        <v>745</v>
      </c>
      <c r="AR2173" t="s">
        <v>746</v>
      </c>
      <c r="AT2173" t="s">
        <v>747</v>
      </c>
      <c r="AV2173" t="s">
        <v>603</v>
      </c>
      <c r="AW2173" t="s">
        <v>127</v>
      </c>
      <c r="AX2173" s="8" t="str">
        <f>"78737"</f>
        <v>78737</v>
      </c>
      <c r="AY2173" t="s">
        <v>118</v>
      </c>
      <c r="BA2173" s="10">
        <v>15128942128</v>
      </c>
      <c r="BC2173" t="s">
        <v>748</v>
      </c>
      <c r="BD2173" t="s">
        <v>749</v>
      </c>
      <c r="BE2173" t="s">
        <v>127</v>
      </c>
      <c r="BF2173" t="s">
        <v>1298</v>
      </c>
      <c r="BG2173" t="s">
        <v>740</v>
      </c>
      <c r="BH2173" s="1">
        <v>45107.833333333336</v>
      </c>
      <c r="BI2173">
        <v>45</v>
      </c>
      <c r="BJ2173">
        <v>0</v>
      </c>
      <c r="BK2173">
        <v>8</v>
      </c>
      <c r="BL2173">
        <v>8</v>
      </c>
      <c r="BM2173">
        <v>8</v>
      </c>
      <c r="BN2173">
        <v>8</v>
      </c>
      <c r="BO2173">
        <v>8</v>
      </c>
      <c r="BP2173">
        <v>5</v>
      </c>
      <c r="BQ2173" t="str">
        <f>"7:00 AM"</f>
        <v>7:00 AM</v>
      </c>
      <c r="BR2173" t="str">
        <f>"4:00 PM"</f>
        <v>4:00 PM</v>
      </c>
      <c r="BS2173" t="s">
        <v>131</v>
      </c>
      <c r="BT2173">
        <v>0</v>
      </c>
      <c r="BU2173">
        <v>3</v>
      </c>
      <c r="BV2173" t="s">
        <v>114</v>
      </c>
      <c r="BX2173" s="2" t="s">
        <v>1299</v>
      </c>
      <c r="BY2173" t="s">
        <v>1293</v>
      </c>
      <c r="CA2173" t="s">
        <v>1294</v>
      </c>
      <c r="CB2173" t="s">
        <v>740</v>
      </c>
      <c r="CC2173" s="8" t="str">
        <f>"52655"</f>
        <v>52655</v>
      </c>
      <c r="CD2173" t="s">
        <v>1300</v>
      </c>
      <c r="CE2173" t="s">
        <v>1301</v>
      </c>
      <c r="CF2173" s="12">
        <v>22.1</v>
      </c>
      <c r="CG2173" s="12">
        <v>22.1</v>
      </c>
      <c r="CH2173" s="12">
        <v>33.15</v>
      </c>
      <c r="CI2173" s="12">
        <v>33.15</v>
      </c>
      <c r="CJ2173" t="s">
        <v>135</v>
      </c>
      <c r="CL2173" t="s">
        <v>1302</v>
      </c>
      <c r="CO2173" t="s">
        <v>132</v>
      </c>
      <c r="CP2173" t="s">
        <v>136</v>
      </c>
      <c r="CQ2173" t="s">
        <v>136</v>
      </c>
      <c r="CR2173" t="s">
        <v>136</v>
      </c>
      <c r="CS2173" t="s">
        <v>136</v>
      </c>
      <c r="CT2173" t="s">
        <v>136</v>
      </c>
      <c r="CU2173" t="s">
        <v>136</v>
      </c>
      <c r="CV2173" t="s">
        <v>1303</v>
      </c>
      <c r="CW2173" s="10" t="str">
        <f>"+13194703835"</f>
        <v>+13194703835</v>
      </c>
      <c r="CX2173" t="s">
        <v>1297</v>
      </c>
      <c r="CY2173" t="s">
        <v>132</v>
      </c>
      <c r="CZ2173" t="s">
        <v>137</v>
      </c>
      <c r="DA2173" t="s">
        <v>114</v>
      </c>
      <c r="DB2173" t="s">
        <v>114</v>
      </c>
      <c r="DC2173" t="s">
        <v>136</v>
      </c>
      <c r="DD2173" t="s">
        <v>114</v>
      </c>
    </row>
    <row r="2174" spans="1:113" ht="15" customHeight="1" x14ac:dyDescent="0.25">
      <c r="A2174" t="s">
        <v>20297</v>
      </c>
      <c r="B2174" t="s">
        <v>113</v>
      </c>
      <c r="C2174" s="1">
        <v>45110.561630555552</v>
      </c>
      <c r="D2174" s="1">
        <v>45204</v>
      </c>
      <c r="E2174" t="s">
        <v>114</v>
      </c>
      <c r="F2174" t="s">
        <v>1059</v>
      </c>
      <c r="G2174" t="str">
        <f>"35-2014.00"</f>
        <v>35-2014.00</v>
      </c>
      <c r="H2174" t="s">
        <v>154</v>
      </c>
      <c r="I2174">
        <v>2</v>
      </c>
      <c r="K2174" s="1">
        <v>45200</v>
      </c>
      <c r="L2174" s="1">
        <v>45412</v>
      </c>
      <c r="O2174" t="s">
        <v>116</v>
      </c>
      <c r="P2174" t="s">
        <v>20298</v>
      </c>
      <c r="R2174" t="s">
        <v>20299</v>
      </c>
      <c r="T2174" t="s">
        <v>955</v>
      </c>
      <c r="U2174" t="s">
        <v>140</v>
      </c>
      <c r="V2174" s="8" t="str">
        <f>"32809"</f>
        <v>32809</v>
      </c>
      <c r="W2174" t="s">
        <v>118</v>
      </c>
      <c r="Y2174" s="10">
        <v>13212175525</v>
      </c>
      <c r="AA2174">
        <v>722320</v>
      </c>
      <c r="AB2174" t="s">
        <v>20300</v>
      </c>
      <c r="AC2174" t="s">
        <v>250</v>
      </c>
      <c r="AE2174" t="s">
        <v>629</v>
      </c>
      <c r="AF2174" t="s">
        <v>20299</v>
      </c>
      <c r="AH2174" t="s">
        <v>955</v>
      </c>
      <c r="AI2174" t="s">
        <v>140</v>
      </c>
      <c r="AJ2174" s="8" t="str">
        <f>"32809"</f>
        <v>32809</v>
      </c>
      <c r="AK2174" t="s">
        <v>118</v>
      </c>
      <c r="AM2174" s="10">
        <v>13212175525</v>
      </c>
      <c r="AO2174" t="s">
        <v>20301</v>
      </c>
      <c r="AP2174" t="s">
        <v>121</v>
      </c>
      <c r="AQ2174" t="s">
        <v>1310</v>
      </c>
      <c r="AR2174" t="s">
        <v>20302</v>
      </c>
      <c r="AS2174" t="s">
        <v>10888</v>
      </c>
      <c r="AT2174" t="s">
        <v>20303</v>
      </c>
      <c r="AV2174" t="s">
        <v>6387</v>
      </c>
      <c r="AW2174" t="s">
        <v>140</v>
      </c>
      <c r="AX2174" s="8" t="str">
        <f>"33301"</f>
        <v>33301</v>
      </c>
      <c r="AY2174" t="s">
        <v>118</v>
      </c>
      <c r="BA2174" s="10">
        <v>19549288314</v>
      </c>
      <c r="BC2174" t="s">
        <v>20304</v>
      </c>
      <c r="BD2174" t="s">
        <v>20305</v>
      </c>
      <c r="BE2174" t="s">
        <v>140</v>
      </c>
      <c r="BF2174" t="s">
        <v>3229</v>
      </c>
      <c r="BG2174" t="s">
        <v>140</v>
      </c>
      <c r="BH2174" s="1">
        <v>45106.833333333336</v>
      </c>
      <c r="BI2174">
        <v>45</v>
      </c>
      <c r="BJ2174">
        <v>9</v>
      </c>
      <c r="BK2174">
        <v>0</v>
      </c>
      <c r="BL2174">
        <v>0</v>
      </c>
      <c r="BM2174">
        <v>9</v>
      </c>
      <c r="BN2174">
        <v>9</v>
      </c>
      <c r="BO2174">
        <v>9</v>
      </c>
      <c r="BP2174">
        <v>9</v>
      </c>
      <c r="BQ2174" t="str">
        <f>"8:00 AM"</f>
        <v>8:00 AM</v>
      </c>
      <c r="BR2174" t="str">
        <f>"5:00 PM"</f>
        <v>5:00 PM</v>
      </c>
      <c r="BS2174" t="s">
        <v>147</v>
      </c>
      <c r="BT2174">
        <v>0</v>
      </c>
      <c r="BU2174">
        <v>12</v>
      </c>
      <c r="BV2174" t="s">
        <v>114</v>
      </c>
      <c r="BX2174" t="s">
        <v>1570</v>
      </c>
      <c r="BY2174" t="s">
        <v>20306</v>
      </c>
      <c r="CA2174" t="s">
        <v>20307</v>
      </c>
      <c r="CB2174" t="s">
        <v>140</v>
      </c>
      <c r="CC2174" s="8" t="str">
        <f>"32830"</f>
        <v>32830</v>
      </c>
      <c r="CD2174" t="s">
        <v>2274</v>
      </c>
      <c r="CE2174" t="s">
        <v>2052</v>
      </c>
      <c r="CF2174" s="12">
        <v>15.16</v>
      </c>
      <c r="CH2174" s="12">
        <v>22.74</v>
      </c>
      <c r="CJ2174" t="s">
        <v>135</v>
      </c>
      <c r="CL2174" t="s">
        <v>20308</v>
      </c>
      <c r="CO2174" t="s">
        <v>132</v>
      </c>
      <c r="CP2174" t="s">
        <v>114</v>
      </c>
      <c r="CQ2174" t="s">
        <v>136</v>
      </c>
      <c r="CR2174" t="s">
        <v>136</v>
      </c>
      <c r="CS2174" t="s">
        <v>136</v>
      </c>
      <c r="CT2174" t="s">
        <v>136</v>
      </c>
      <c r="CU2174" t="s">
        <v>136</v>
      </c>
      <c r="CV2174" t="s">
        <v>20309</v>
      </c>
      <c r="CW2174" s="10" t="str">
        <f>"+13212175525"</f>
        <v>+13212175525</v>
      </c>
      <c r="CX2174" t="s">
        <v>20310</v>
      </c>
      <c r="CY2174" t="s">
        <v>20311</v>
      </c>
      <c r="CZ2174" t="s">
        <v>137</v>
      </c>
      <c r="DA2174" t="s">
        <v>114</v>
      </c>
      <c r="DB2174" t="s">
        <v>114</v>
      </c>
      <c r="DC2174" t="s">
        <v>136</v>
      </c>
      <c r="DD2174" t="s">
        <v>114</v>
      </c>
    </row>
    <row r="2175" spans="1:113" ht="15" customHeight="1" x14ac:dyDescent="0.25">
      <c r="A2175" t="s">
        <v>11759</v>
      </c>
      <c r="B2175" t="s">
        <v>113</v>
      </c>
      <c r="C2175" s="1">
        <v>45110.539326388891</v>
      </c>
      <c r="D2175" s="1">
        <v>45204</v>
      </c>
      <c r="E2175" t="s">
        <v>114</v>
      </c>
      <c r="F2175" t="s">
        <v>11760</v>
      </c>
      <c r="G2175" t="str">
        <f>"37-3011.00"</f>
        <v>37-3011.00</v>
      </c>
      <c r="H2175" t="s">
        <v>429</v>
      </c>
      <c r="I2175">
        <v>8</v>
      </c>
      <c r="K2175" s="1">
        <v>45200</v>
      </c>
      <c r="L2175" s="1">
        <v>45323</v>
      </c>
      <c r="O2175" t="s">
        <v>116</v>
      </c>
      <c r="P2175" t="s">
        <v>11761</v>
      </c>
      <c r="Q2175" t="s">
        <v>11762</v>
      </c>
      <c r="R2175" t="s">
        <v>11763</v>
      </c>
      <c r="T2175" t="s">
        <v>4167</v>
      </c>
      <c r="U2175" t="s">
        <v>854</v>
      </c>
      <c r="V2175" s="8" t="str">
        <f>"83605"</f>
        <v>83605</v>
      </c>
      <c r="W2175" t="s">
        <v>118</v>
      </c>
      <c r="Y2175" s="10">
        <v>12089892778</v>
      </c>
      <c r="AA2175">
        <v>56173</v>
      </c>
      <c r="AB2175" t="s">
        <v>10856</v>
      </c>
      <c r="AC2175" t="s">
        <v>11764</v>
      </c>
      <c r="AE2175" t="s">
        <v>5508</v>
      </c>
      <c r="AF2175" t="s">
        <v>11763</v>
      </c>
      <c r="AH2175" t="s">
        <v>4167</v>
      </c>
      <c r="AI2175" t="s">
        <v>854</v>
      </c>
      <c r="AJ2175" s="8" t="str">
        <f>"83605"</f>
        <v>83605</v>
      </c>
      <c r="AK2175" t="s">
        <v>118</v>
      </c>
      <c r="AM2175" s="10">
        <v>12088035612</v>
      </c>
      <c r="AO2175" t="s">
        <v>11765</v>
      </c>
      <c r="AP2175" t="s">
        <v>121</v>
      </c>
      <c r="AQ2175" t="s">
        <v>4169</v>
      </c>
      <c r="AR2175" t="s">
        <v>4170</v>
      </c>
      <c r="AS2175" t="s">
        <v>1738</v>
      </c>
      <c r="AT2175" t="s">
        <v>4171</v>
      </c>
      <c r="AU2175" t="s">
        <v>4172</v>
      </c>
      <c r="AV2175" t="s">
        <v>4173</v>
      </c>
      <c r="AW2175" t="s">
        <v>854</v>
      </c>
      <c r="AX2175" s="8" t="str">
        <f>"83670"</f>
        <v>83670</v>
      </c>
      <c r="AY2175" t="s">
        <v>118</v>
      </c>
      <c r="BA2175" s="10">
        <v>12083984969</v>
      </c>
      <c r="BC2175" t="s">
        <v>4174</v>
      </c>
      <c r="BD2175" t="s">
        <v>4175</v>
      </c>
      <c r="BE2175" t="s">
        <v>127</v>
      </c>
      <c r="BF2175" t="s">
        <v>750</v>
      </c>
      <c r="BG2175" t="s">
        <v>854</v>
      </c>
      <c r="BH2175" s="1">
        <v>45099.833333333336</v>
      </c>
      <c r="BI2175">
        <v>40</v>
      </c>
      <c r="BJ2175">
        <v>0</v>
      </c>
      <c r="BK2175">
        <v>8</v>
      </c>
      <c r="BL2175">
        <v>8</v>
      </c>
      <c r="BM2175">
        <v>8</v>
      </c>
      <c r="BN2175">
        <v>8</v>
      </c>
      <c r="BO2175">
        <v>8</v>
      </c>
      <c r="BP2175">
        <v>0</v>
      </c>
      <c r="BQ2175" t="str">
        <f>"7:00 AM"</f>
        <v>7:00 AM</v>
      </c>
      <c r="BR2175" t="str">
        <f>"4:30 PM"</f>
        <v>4:30 PM</v>
      </c>
      <c r="BS2175" t="s">
        <v>131</v>
      </c>
      <c r="BT2175">
        <v>0</v>
      </c>
      <c r="BU2175">
        <v>0</v>
      </c>
      <c r="BV2175" t="s">
        <v>114</v>
      </c>
      <c r="BX2175" s="2" t="s">
        <v>4176</v>
      </c>
      <c r="BY2175" t="s">
        <v>11763</v>
      </c>
      <c r="CA2175" t="s">
        <v>4167</v>
      </c>
      <c r="CB2175" t="s">
        <v>854</v>
      </c>
      <c r="CC2175" s="8" t="str">
        <f>"83605"</f>
        <v>83605</v>
      </c>
      <c r="CD2175" t="s">
        <v>1449</v>
      </c>
      <c r="CE2175" t="s">
        <v>1450</v>
      </c>
      <c r="CF2175" s="12">
        <v>16.809999999999999</v>
      </c>
      <c r="CG2175" s="12">
        <v>16.809999999999999</v>
      </c>
      <c r="CH2175" s="12">
        <v>25.22</v>
      </c>
      <c r="CI2175" s="12">
        <v>25.22</v>
      </c>
      <c r="CJ2175" t="s">
        <v>135</v>
      </c>
      <c r="CL2175" t="s">
        <v>11766</v>
      </c>
      <c r="CO2175" t="s">
        <v>132</v>
      </c>
      <c r="CP2175" t="s">
        <v>114</v>
      </c>
      <c r="CQ2175" t="s">
        <v>136</v>
      </c>
      <c r="CR2175" t="s">
        <v>136</v>
      </c>
      <c r="CS2175" t="s">
        <v>114</v>
      </c>
      <c r="CT2175" t="s">
        <v>136</v>
      </c>
      <c r="CU2175" t="s">
        <v>136</v>
      </c>
      <c r="CV2175" t="s">
        <v>11767</v>
      </c>
      <c r="CW2175" s="10" t="str">
        <f>"+12088035612"</f>
        <v>+12088035612</v>
      </c>
      <c r="CX2175" t="s">
        <v>11765</v>
      </c>
      <c r="CY2175" t="s">
        <v>132</v>
      </c>
      <c r="CZ2175" t="s">
        <v>137</v>
      </c>
      <c r="DA2175" t="s">
        <v>114</v>
      </c>
      <c r="DB2175" t="s">
        <v>136</v>
      </c>
      <c r="DC2175" t="s">
        <v>136</v>
      </c>
      <c r="DD2175" t="s">
        <v>114</v>
      </c>
    </row>
    <row r="2176" spans="1:113" ht="15" customHeight="1" x14ac:dyDescent="0.25">
      <c r="A2176" t="s">
        <v>10073</v>
      </c>
      <c r="B2176" t="s">
        <v>113</v>
      </c>
      <c r="C2176" s="1">
        <v>45110.455423495368</v>
      </c>
      <c r="D2176" s="1">
        <v>45204</v>
      </c>
      <c r="E2176" t="s">
        <v>114</v>
      </c>
      <c r="F2176" t="s">
        <v>10074</v>
      </c>
      <c r="G2176" t="str">
        <f>"53-7062.00"</f>
        <v>53-7062.00</v>
      </c>
      <c r="H2176" t="s">
        <v>2078</v>
      </c>
      <c r="I2176">
        <v>2</v>
      </c>
      <c r="K2176" s="1">
        <v>45200</v>
      </c>
      <c r="L2176" s="1">
        <v>45291</v>
      </c>
      <c r="O2176" t="s">
        <v>116</v>
      </c>
      <c r="P2176" t="s">
        <v>10075</v>
      </c>
      <c r="R2176" t="s">
        <v>10076</v>
      </c>
      <c r="T2176" t="s">
        <v>4215</v>
      </c>
      <c r="U2176" t="s">
        <v>2608</v>
      </c>
      <c r="V2176" s="8" t="str">
        <f>"73034"</f>
        <v>73034</v>
      </c>
      <c r="W2176" t="s">
        <v>118</v>
      </c>
      <c r="Y2176" s="10">
        <v>14059006532</v>
      </c>
      <c r="AA2176">
        <v>532289</v>
      </c>
      <c r="AB2176" t="s">
        <v>5586</v>
      </c>
      <c r="AC2176" t="s">
        <v>1602</v>
      </c>
      <c r="AE2176" t="s">
        <v>120</v>
      </c>
      <c r="AF2176" t="s">
        <v>10077</v>
      </c>
      <c r="AH2176" t="s">
        <v>5840</v>
      </c>
      <c r="AI2176" t="s">
        <v>2608</v>
      </c>
      <c r="AJ2176" s="8" t="str">
        <f>"73034"</f>
        <v>73034</v>
      </c>
      <c r="AK2176" t="s">
        <v>118</v>
      </c>
      <c r="AM2176" s="10">
        <v>14059006532</v>
      </c>
      <c r="AO2176" t="s">
        <v>10078</v>
      </c>
      <c r="AP2176" t="s">
        <v>121</v>
      </c>
      <c r="AQ2176" t="s">
        <v>2603</v>
      </c>
      <c r="AR2176" t="s">
        <v>2604</v>
      </c>
      <c r="AS2176" t="s">
        <v>931</v>
      </c>
      <c r="AT2176" t="s">
        <v>2605</v>
      </c>
      <c r="AU2176" t="s">
        <v>2606</v>
      </c>
      <c r="AV2176" t="s">
        <v>2607</v>
      </c>
      <c r="AW2176" t="s">
        <v>2608</v>
      </c>
      <c r="AX2176" s="8" t="str">
        <f>"73069"</f>
        <v>73069</v>
      </c>
      <c r="AY2176" t="s">
        <v>118</v>
      </c>
      <c r="BA2176" s="10">
        <v>14053642525</v>
      </c>
      <c r="BC2176" t="s">
        <v>2609</v>
      </c>
      <c r="BD2176" t="s">
        <v>2610</v>
      </c>
      <c r="BE2176" t="s">
        <v>2608</v>
      </c>
      <c r="BF2176" t="s">
        <v>2611</v>
      </c>
      <c r="BG2176" t="s">
        <v>2608</v>
      </c>
      <c r="BH2176" s="1">
        <v>45105.833333333336</v>
      </c>
      <c r="BI2176">
        <v>40</v>
      </c>
      <c r="BJ2176">
        <v>0</v>
      </c>
      <c r="BK2176">
        <v>8</v>
      </c>
      <c r="BL2176">
        <v>8</v>
      </c>
      <c r="BM2176">
        <v>8</v>
      </c>
      <c r="BN2176">
        <v>8</v>
      </c>
      <c r="BO2176">
        <v>8</v>
      </c>
      <c r="BP2176">
        <v>0</v>
      </c>
      <c r="BQ2176" t="str">
        <f>"7:00 AM"</f>
        <v>7:00 AM</v>
      </c>
      <c r="BR2176" t="str">
        <f>"3:30 PM"</f>
        <v>3:30 PM</v>
      </c>
      <c r="BS2176" t="s">
        <v>131</v>
      </c>
      <c r="BT2176">
        <v>0</v>
      </c>
      <c r="BU2176">
        <v>0</v>
      </c>
      <c r="BV2176" t="s">
        <v>114</v>
      </c>
      <c r="BX2176" s="2" t="s">
        <v>2870</v>
      </c>
      <c r="BY2176" t="s">
        <v>10076</v>
      </c>
      <c r="CA2176" t="s">
        <v>4215</v>
      </c>
      <c r="CB2176" t="s">
        <v>2608</v>
      </c>
      <c r="CC2176" s="8" t="str">
        <f>"73129"</f>
        <v>73129</v>
      </c>
      <c r="CD2176" t="s">
        <v>3576</v>
      </c>
      <c r="CE2176" t="s">
        <v>3577</v>
      </c>
      <c r="CF2176" s="12">
        <v>15.82</v>
      </c>
      <c r="CG2176" s="12">
        <v>15.82</v>
      </c>
      <c r="CH2176" s="12">
        <v>23.73</v>
      </c>
      <c r="CI2176" s="12">
        <v>23.73</v>
      </c>
      <c r="CJ2176" t="s">
        <v>135</v>
      </c>
      <c r="CL2176" t="s">
        <v>10079</v>
      </c>
      <c r="CO2176" t="s">
        <v>132</v>
      </c>
      <c r="CP2176" t="s">
        <v>136</v>
      </c>
      <c r="CQ2176" t="s">
        <v>136</v>
      </c>
      <c r="CR2176" t="s">
        <v>136</v>
      </c>
      <c r="CS2176" t="s">
        <v>114</v>
      </c>
      <c r="CT2176" t="s">
        <v>136</v>
      </c>
      <c r="CU2176" t="s">
        <v>114</v>
      </c>
      <c r="CV2176" t="s">
        <v>2612</v>
      </c>
      <c r="CW2176" s="10" t="str">
        <f>"+14059006532"</f>
        <v>+14059006532</v>
      </c>
      <c r="CX2176" t="s">
        <v>10078</v>
      </c>
      <c r="CY2176" t="s">
        <v>132</v>
      </c>
      <c r="CZ2176" t="s">
        <v>137</v>
      </c>
      <c r="DA2176" t="s">
        <v>114</v>
      </c>
      <c r="DB2176" t="s">
        <v>114</v>
      </c>
      <c r="DC2176" t="s">
        <v>136</v>
      </c>
      <c r="DD2176" t="s">
        <v>114</v>
      </c>
    </row>
    <row r="2177" spans="1:113" ht="15" customHeight="1" x14ac:dyDescent="0.25">
      <c r="A2177" t="s">
        <v>18400</v>
      </c>
      <c r="B2177" t="s">
        <v>113</v>
      </c>
      <c r="C2177" s="1">
        <v>45110.425981597225</v>
      </c>
      <c r="D2177" s="1">
        <v>45204</v>
      </c>
      <c r="E2177" t="s">
        <v>114</v>
      </c>
      <c r="F2177" t="s">
        <v>1550</v>
      </c>
      <c r="G2177" t="str">
        <f>"51-4121.00"</f>
        <v>51-4121.00</v>
      </c>
      <c r="H2177" t="s">
        <v>815</v>
      </c>
      <c r="I2177">
        <v>12</v>
      </c>
      <c r="K2177" s="1">
        <v>45200</v>
      </c>
      <c r="L2177" s="1">
        <v>45474</v>
      </c>
      <c r="O2177" t="s">
        <v>116</v>
      </c>
      <c r="P2177" t="s">
        <v>8367</v>
      </c>
      <c r="R2177" t="s">
        <v>8368</v>
      </c>
      <c r="T2177" t="s">
        <v>3759</v>
      </c>
      <c r="U2177" t="s">
        <v>967</v>
      </c>
      <c r="V2177" s="8" t="str">
        <f>"89011"</f>
        <v>89011</v>
      </c>
      <c r="W2177" t="s">
        <v>118</v>
      </c>
      <c r="Y2177" s="10">
        <v>17203204900</v>
      </c>
      <c r="AA2177">
        <v>332312</v>
      </c>
      <c r="AB2177" t="s">
        <v>1554</v>
      </c>
      <c r="AC2177" t="s">
        <v>1555</v>
      </c>
      <c r="AE2177" t="s">
        <v>1556</v>
      </c>
      <c r="AF2177" t="s">
        <v>1552</v>
      </c>
      <c r="AH2177" t="s">
        <v>1553</v>
      </c>
      <c r="AI2177" t="s">
        <v>211</v>
      </c>
      <c r="AJ2177" s="8" t="str">
        <f>"84081"</f>
        <v>84081</v>
      </c>
      <c r="AK2177" t="s">
        <v>118</v>
      </c>
      <c r="AM2177" s="10">
        <v>18012804958</v>
      </c>
      <c r="AO2177" t="s">
        <v>1557</v>
      </c>
      <c r="AP2177" t="s">
        <v>121</v>
      </c>
      <c r="AQ2177" t="s">
        <v>1558</v>
      </c>
      <c r="AR2177" t="s">
        <v>1559</v>
      </c>
      <c r="AS2177" t="s">
        <v>1560</v>
      </c>
      <c r="AT2177" t="s">
        <v>1561</v>
      </c>
      <c r="AU2177" t="s">
        <v>1562</v>
      </c>
      <c r="AV2177" t="s">
        <v>1563</v>
      </c>
      <c r="AW2177" t="s">
        <v>211</v>
      </c>
      <c r="AX2177" s="8" t="str">
        <f>"84111"</f>
        <v>84111</v>
      </c>
      <c r="AY2177" t="s">
        <v>118</v>
      </c>
      <c r="BA2177" s="10">
        <v>18012577960</v>
      </c>
      <c r="BC2177" t="s">
        <v>1564</v>
      </c>
      <c r="BD2177" t="s">
        <v>1565</v>
      </c>
      <c r="BE2177" t="s">
        <v>211</v>
      </c>
      <c r="BF2177" t="s">
        <v>1566</v>
      </c>
      <c r="BG2177" t="s">
        <v>558</v>
      </c>
      <c r="BH2177" s="1">
        <v>45109.833333333336</v>
      </c>
      <c r="BI2177">
        <v>40</v>
      </c>
      <c r="BJ2177">
        <v>0</v>
      </c>
      <c r="BK2177">
        <v>8</v>
      </c>
      <c r="BL2177">
        <v>8</v>
      </c>
      <c r="BM2177">
        <v>8</v>
      </c>
      <c r="BN2177">
        <v>8</v>
      </c>
      <c r="BO2177">
        <v>8</v>
      </c>
      <c r="BP2177">
        <v>0</v>
      </c>
      <c r="BQ2177" t="str">
        <f>"4:00 AM"</f>
        <v>4:00 AM</v>
      </c>
      <c r="BR2177" t="str">
        <f>"12:00 PM"</f>
        <v>12:00 PM</v>
      </c>
      <c r="BS2177" t="s">
        <v>131</v>
      </c>
      <c r="BT2177">
        <v>0</v>
      </c>
      <c r="BU2177">
        <v>0</v>
      </c>
      <c r="BV2177" t="s">
        <v>114</v>
      </c>
      <c r="BX2177" t="s">
        <v>132</v>
      </c>
      <c r="BY2177" t="s">
        <v>18401</v>
      </c>
      <c r="CA2177" t="s">
        <v>7834</v>
      </c>
      <c r="CB2177" t="s">
        <v>558</v>
      </c>
      <c r="CC2177" s="8" t="str">
        <f>"85335"</f>
        <v>85335</v>
      </c>
      <c r="CD2177" t="s">
        <v>1391</v>
      </c>
      <c r="CE2177" t="s">
        <v>565</v>
      </c>
      <c r="CF2177" s="12">
        <v>23.41</v>
      </c>
      <c r="CH2177" s="12">
        <v>35.119999999999997</v>
      </c>
      <c r="CJ2177" t="s">
        <v>135</v>
      </c>
      <c r="CK2177" t="s">
        <v>132</v>
      </c>
      <c r="CL2177" t="s">
        <v>18402</v>
      </c>
      <c r="CO2177" t="s">
        <v>132</v>
      </c>
      <c r="CP2177" t="s">
        <v>114</v>
      </c>
      <c r="CQ2177" t="s">
        <v>114</v>
      </c>
      <c r="CR2177" t="s">
        <v>136</v>
      </c>
      <c r="CS2177" t="s">
        <v>136</v>
      </c>
      <c r="CT2177" t="s">
        <v>136</v>
      </c>
      <c r="CU2177" t="s">
        <v>114</v>
      </c>
      <c r="CV2177" t="s">
        <v>1570</v>
      </c>
      <c r="CW2177" s="10" t="str">
        <f>"+18017908870"</f>
        <v>+18017908870</v>
      </c>
      <c r="CX2177" t="s">
        <v>1571</v>
      </c>
      <c r="CY2177" t="s">
        <v>132</v>
      </c>
      <c r="CZ2177" t="s">
        <v>137</v>
      </c>
      <c r="DA2177" t="s">
        <v>114</v>
      </c>
      <c r="DB2177" t="s">
        <v>114</v>
      </c>
      <c r="DC2177" t="s">
        <v>136</v>
      </c>
      <c r="DD2177" t="s">
        <v>114</v>
      </c>
    </row>
    <row r="2178" spans="1:113" ht="15" customHeight="1" x14ac:dyDescent="0.25">
      <c r="A2178" t="s">
        <v>1549</v>
      </c>
      <c r="B2178" t="s">
        <v>113</v>
      </c>
      <c r="C2178" s="1">
        <v>45110.417245254626</v>
      </c>
      <c r="D2178" s="1">
        <v>45204</v>
      </c>
      <c r="E2178" t="s">
        <v>114</v>
      </c>
      <c r="F2178" t="s">
        <v>1550</v>
      </c>
      <c r="G2178" t="str">
        <f>"51-4121.00"</f>
        <v>51-4121.00</v>
      </c>
      <c r="H2178" t="s">
        <v>815</v>
      </c>
      <c r="I2178">
        <v>16</v>
      </c>
      <c r="K2178" s="1">
        <v>45200</v>
      </c>
      <c r="L2178" s="1">
        <v>45474</v>
      </c>
      <c r="O2178" t="s">
        <v>116</v>
      </c>
      <c r="P2178" t="s">
        <v>1551</v>
      </c>
      <c r="R2178" t="s">
        <v>1552</v>
      </c>
      <c r="T2178" t="s">
        <v>1553</v>
      </c>
      <c r="U2178" t="s">
        <v>211</v>
      </c>
      <c r="V2178" s="8" t="str">
        <f>"84081"</f>
        <v>84081</v>
      </c>
      <c r="W2178" t="s">
        <v>118</v>
      </c>
      <c r="Y2178" s="10">
        <v>18012800711</v>
      </c>
      <c r="AA2178">
        <v>332312</v>
      </c>
      <c r="AB2178" t="s">
        <v>1554</v>
      </c>
      <c r="AC2178" t="s">
        <v>1555</v>
      </c>
      <c r="AE2178" t="s">
        <v>1556</v>
      </c>
      <c r="AF2178" t="s">
        <v>1552</v>
      </c>
      <c r="AH2178" t="s">
        <v>1553</v>
      </c>
      <c r="AI2178" t="s">
        <v>211</v>
      </c>
      <c r="AJ2178" s="8" t="str">
        <f>"84081"</f>
        <v>84081</v>
      </c>
      <c r="AK2178" t="s">
        <v>118</v>
      </c>
      <c r="AM2178" s="10">
        <v>18012804958</v>
      </c>
      <c r="AO2178" t="s">
        <v>1557</v>
      </c>
      <c r="AP2178" t="s">
        <v>121</v>
      </c>
      <c r="AQ2178" t="s">
        <v>1558</v>
      </c>
      <c r="AR2178" t="s">
        <v>1559</v>
      </c>
      <c r="AS2178" t="s">
        <v>1560</v>
      </c>
      <c r="AT2178" t="s">
        <v>1561</v>
      </c>
      <c r="AU2178" t="s">
        <v>1562</v>
      </c>
      <c r="AV2178" t="s">
        <v>1563</v>
      </c>
      <c r="AW2178" t="s">
        <v>211</v>
      </c>
      <c r="AX2178" s="8" t="str">
        <f>"84111"</f>
        <v>84111</v>
      </c>
      <c r="AY2178" t="s">
        <v>118</v>
      </c>
      <c r="BA2178" s="10">
        <v>18012577960</v>
      </c>
      <c r="BC2178" t="s">
        <v>1564</v>
      </c>
      <c r="BD2178" t="s">
        <v>1565</v>
      </c>
      <c r="BE2178" t="s">
        <v>211</v>
      </c>
      <c r="BF2178" t="s">
        <v>1566</v>
      </c>
      <c r="BG2178" t="s">
        <v>211</v>
      </c>
      <c r="BH2178" s="1">
        <v>45109.833333333336</v>
      </c>
      <c r="BI2178">
        <v>40</v>
      </c>
      <c r="BJ2178">
        <v>0</v>
      </c>
      <c r="BK2178">
        <v>8</v>
      </c>
      <c r="BL2178">
        <v>8</v>
      </c>
      <c r="BM2178">
        <v>8</v>
      </c>
      <c r="BN2178">
        <v>8</v>
      </c>
      <c r="BO2178">
        <v>8</v>
      </c>
      <c r="BP2178">
        <v>0</v>
      </c>
      <c r="BQ2178" t="str">
        <f>"5:00 AM"</f>
        <v>5:00 AM</v>
      </c>
      <c r="BR2178" t="str">
        <f>"1:00 PM"</f>
        <v>1:00 PM</v>
      </c>
      <c r="BS2178" t="s">
        <v>131</v>
      </c>
      <c r="BT2178">
        <v>0</v>
      </c>
      <c r="BU2178">
        <v>0</v>
      </c>
      <c r="BV2178" t="s">
        <v>114</v>
      </c>
      <c r="BX2178" t="s">
        <v>132</v>
      </c>
      <c r="BY2178" t="s">
        <v>1552</v>
      </c>
      <c r="CA2178" t="s">
        <v>1553</v>
      </c>
      <c r="CB2178" t="s">
        <v>211</v>
      </c>
      <c r="CC2178" s="8" t="str">
        <f>"84081"</f>
        <v>84081</v>
      </c>
      <c r="CD2178" t="s">
        <v>1567</v>
      </c>
      <c r="CE2178" t="s">
        <v>1568</v>
      </c>
      <c r="CF2178" s="12">
        <v>24.83</v>
      </c>
      <c r="CH2178" s="12">
        <v>37.25</v>
      </c>
      <c r="CJ2178" t="s">
        <v>135</v>
      </c>
      <c r="CK2178" t="s">
        <v>132</v>
      </c>
      <c r="CL2178" t="s">
        <v>1569</v>
      </c>
      <c r="CO2178" t="s">
        <v>132</v>
      </c>
      <c r="CP2178" t="s">
        <v>114</v>
      </c>
      <c r="CQ2178" t="s">
        <v>114</v>
      </c>
      <c r="CR2178" t="s">
        <v>136</v>
      </c>
      <c r="CS2178" t="s">
        <v>114</v>
      </c>
      <c r="CT2178" t="s">
        <v>136</v>
      </c>
      <c r="CU2178" t="s">
        <v>114</v>
      </c>
      <c r="CV2178" t="s">
        <v>1570</v>
      </c>
      <c r="CW2178" s="10" t="str">
        <f>"+18017908870"</f>
        <v>+18017908870</v>
      </c>
      <c r="CX2178" t="s">
        <v>1571</v>
      </c>
      <c r="CY2178" t="s">
        <v>132</v>
      </c>
      <c r="CZ2178" t="s">
        <v>137</v>
      </c>
      <c r="DA2178" t="s">
        <v>114</v>
      </c>
      <c r="DB2178" t="s">
        <v>114</v>
      </c>
      <c r="DC2178" t="s">
        <v>136</v>
      </c>
      <c r="DD2178" t="s">
        <v>114</v>
      </c>
    </row>
    <row r="2179" spans="1:113" ht="15" customHeight="1" x14ac:dyDescent="0.25">
      <c r="A2179" t="s">
        <v>15570</v>
      </c>
      <c r="B2179" t="s">
        <v>113</v>
      </c>
      <c r="C2179" s="1">
        <v>45110.416234606484</v>
      </c>
      <c r="D2179" s="1">
        <v>45204</v>
      </c>
      <c r="E2179" t="s">
        <v>114</v>
      </c>
      <c r="F2179" t="s">
        <v>15571</v>
      </c>
      <c r="G2179" t="str">
        <f>"47-1011.00"</f>
        <v>47-1011.00</v>
      </c>
      <c r="H2179" t="s">
        <v>8562</v>
      </c>
      <c r="I2179">
        <v>2</v>
      </c>
      <c r="K2179" s="1">
        <v>45200</v>
      </c>
      <c r="L2179" s="1">
        <v>45412</v>
      </c>
      <c r="O2179" t="s">
        <v>184</v>
      </c>
      <c r="P2179" t="s">
        <v>15572</v>
      </c>
      <c r="R2179" t="s">
        <v>15573</v>
      </c>
      <c r="T2179" t="s">
        <v>868</v>
      </c>
      <c r="U2179" t="s">
        <v>1598</v>
      </c>
      <c r="V2179" s="8" t="str">
        <f>"36116"</f>
        <v>36116</v>
      </c>
      <c r="W2179" t="s">
        <v>118</v>
      </c>
      <c r="Y2179" s="10">
        <v>13342965774</v>
      </c>
      <c r="AA2179">
        <v>541330</v>
      </c>
      <c r="AB2179" t="s">
        <v>1428</v>
      </c>
      <c r="AC2179" t="s">
        <v>15574</v>
      </c>
      <c r="AE2179" t="s">
        <v>6091</v>
      </c>
      <c r="AF2179" t="s">
        <v>15575</v>
      </c>
      <c r="AH2179" t="s">
        <v>8151</v>
      </c>
      <c r="AI2179" t="s">
        <v>550</v>
      </c>
      <c r="AJ2179" s="8" t="str">
        <f>"30024"</f>
        <v>30024</v>
      </c>
      <c r="AK2179" t="s">
        <v>118</v>
      </c>
      <c r="AM2179" s="10">
        <v>13343012820</v>
      </c>
      <c r="AO2179" t="s">
        <v>15576</v>
      </c>
      <c r="AP2179" t="s">
        <v>121</v>
      </c>
      <c r="AQ2179" t="s">
        <v>3798</v>
      </c>
      <c r="AR2179" t="s">
        <v>487</v>
      </c>
      <c r="AS2179" t="s">
        <v>515</v>
      </c>
      <c r="AT2179" t="s">
        <v>5727</v>
      </c>
      <c r="AU2179" t="s">
        <v>3800</v>
      </c>
      <c r="AV2179" t="s">
        <v>573</v>
      </c>
      <c r="AW2179" t="s">
        <v>550</v>
      </c>
      <c r="AX2179" s="8" t="str">
        <f>"30363"</f>
        <v>30363</v>
      </c>
      <c r="AY2179" t="s">
        <v>118</v>
      </c>
      <c r="BA2179" s="10">
        <v>14043226065</v>
      </c>
      <c r="BC2179" t="s">
        <v>3801</v>
      </c>
      <c r="BD2179" t="s">
        <v>3802</v>
      </c>
      <c r="BE2179" t="s">
        <v>550</v>
      </c>
      <c r="BF2179" t="s">
        <v>5728</v>
      </c>
      <c r="BG2179" t="s">
        <v>1598</v>
      </c>
      <c r="BH2179" s="1">
        <v>45106.833333333336</v>
      </c>
      <c r="BI2179">
        <v>45</v>
      </c>
      <c r="BJ2179">
        <v>0</v>
      </c>
      <c r="BK2179">
        <v>9</v>
      </c>
      <c r="BL2179">
        <v>9</v>
      </c>
      <c r="BM2179">
        <v>9</v>
      </c>
      <c r="BN2179">
        <v>9</v>
      </c>
      <c r="BO2179">
        <v>9</v>
      </c>
      <c r="BP2179">
        <v>0</v>
      </c>
      <c r="BQ2179" t="str">
        <f>"7:00 AM"</f>
        <v>7:00 AM</v>
      </c>
      <c r="BR2179" t="str">
        <f>"5:30 PM"</f>
        <v>5:30 PM</v>
      </c>
      <c r="BS2179" t="s">
        <v>131</v>
      </c>
      <c r="BT2179">
        <v>0</v>
      </c>
      <c r="BU2179">
        <v>48</v>
      </c>
      <c r="BV2179" t="s">
        <v>136</v>
      </c>
      <c r="BW2179">
        <v>14</v>
      </c>
      <c r="BX2179" t="s">
        <v>15577</v>
      </c>
      <c r="BY2179" t="s">
        <v>15578</v>
      </c>
      <c r="CA2179" t="s">
        <v>868</v>
      </c>
      <c r="CB2179" t="s">
        <v>1598</v>
      </c>
      <c r="CC2179" s="8" t="str">
        <f>"36105"</f>
        <v>36105</v>
      </c>
      <c r="CD2179" t="s">
        <v>878</v>
      </c>
      <c r="CE2179" t="s">
        <v>3493</v>
      </c>
      <c r="CF2179" s="12">
        <v>28.87</v>
      </c>
      <c r="CH2179" s="12">
        <v>43.31</v>
      </c>
      <c r="CJ2179" t="s">
        <v>135</v>
      </c>
      <c r="CL2179" t="s">
        <v>15579</v>
      </c>
      <c r="CO2179" t="s">
        <v>132</v>
      </c>
      <c r="CP2179" t="s">
        <v>114</v>
      </c>
      <c r="CQ2179" t="s">
        <v>136</v>
      </c>
      <c r="CR2179" t="s">
        <v>136</v>
      </c>
      <c r="CS2179" t="s">
        <v>136</v>
      </c>
      <c r="CT2179" t="s">
        <v>136</v>
      </c>
      <c r="CU2179" t="s">
        <v>136</v>
      </c>
      <c r="CV2179" t="s">
        <v>12041</v>
      </c>
      <c r="CW2179" s="10" t="str">
        <f>"+13343012820"</f>
        <v>+13343012820</v>
      </c>
      <c r="CX2179" t="s">
        <v>15576</v>
      </c>
      <c r="CY2179" t="s">
        <v>132</v>
      </c>
      <c r="CZ2179" t="s">
        <v>137</v>
      </c>
      <c r="DA2179" t="s">
        <v>114</v>
      </c>
      <c r="DB2179" t="s">
        <v>114</v>
      </c>
      <c r="DC2179" t="s">
        <v>136</v>
      </c>
      <c r="DD2179" t="s">
        <v>114</v>
      </c>
    </row>
    <row r="2180" spans="1:113" ht="15" customHeight="1" x14ac:dyDescent="0.25">
      <c r="A2180" t="s">
        <v>18507</v>
      </c>
      <c r="B2180" t="s">
        <v>113</v>
      </c>
      <c r="C2180" s="1">
        <v>45110.415008680553</v>
      </c>
      <c r="D2180" s="1">
        <v>45204</v>
      </c>
      <c r="E2180" t="s">
        <v>114</v>
      </c>
      <c r="F2180" t="s">
        <v>18508</v>
      </c>
      <c r="G2180" t="str">
        <f>"47-2111.00"</f>
        <v>47-2111.00</v>
      </c>
      <c r="H2180" t="s">
        <v>1340</v>
      </c>
      <c r="I2180">
        <v>28</v>
      </c>
      <c r="K2180" s="1">
        <v>45200</v>
      </c>
      <c r="L2180" s="1">
        <v>45412</v>
      </c>
      <c r="O2180" t="s">
        <v>184</v>
      </c>
      <c r="P2180" t="s">
        <v>15572</v>
      </c>
      <c r="R2180" t="s">
        <v>18509</v>
      </c>
      <c r="T2180" t="s">
        <v>868</v>
      </c>
      <c r="U2180" t="s">
        <v>1598</v>
      </c>
      <c r="V2180" s="8" t="str">
        <f>"36116"</f>
        <v>36116</v>
      </c>
      <c r="W2180" t="s">
        <v>118</v>
      </c>
      <c r="Y2180" s="10">
        <v>13342965774</v>
      </c>
      <c r="AA2180">
        <v>541330</v>
      </c>
      <c r="AB2180" t="s">
        <v>1428</v>
      </c>
      <c r="AC2180" t="s">
        <v>15574</v>
      </c>
      <c r="AE2180" t="s">
        <v>6091</v>
      </c>
      <c r="AF2180" t="s">
        <v>15572</v>
      </c>
      <c r="AG2180" t="s">
        <v>15575</v>
      </c>
      <c r="AH2180" t="s">
        <v>8151</v>
      </c>
      <c r="AI2180" t="s">
        <v>550</v>
      </c>
      <c r="AJ2180" s="8" t="str">
        <f>"30024"</f>
        <v>30024</v>
      </c>
      <c r="AK2180" t="s">
        <v>118</v>
      </c>
      <c r="AM2180" s="10">
        <v>13343012820</v>
      </c>
      <c r="AO2180" t="s">
        <v>15576</v>
      </c>
      <c r="AP2180" t="s">
        <v>121</v>
      </c>
      <c r="AQ2180" t="s">
        <v>3798</v>
      </c>
      <c r="AR2180" t="s">
        <v>487</v>
      </c>
      <c r="AS2180" t="s">
        <v>515</v>
      </c>
      <c r="AT2180" t="s">
        <v>3799</v>
      </c>
      <c r="AU2180" t="s">
        <v>3800</v>
      </c>
      <c r="AV2180" t="s">
        <v>573</v>
      </c>
      <c r="AW2180" t="s">
        <v>550</v>
      </c>
      <c r="AX2180" s="8" t="str">
        <f>"30363"</f>
        <v>30363</v>
      </c>
      <c r="AY2180" t="s">
        <v>118</v>
      </c>
      <c r="BA2180" s="10">
        <v>14043226065</v>
      </c>
      <c r="BC2180" t="s">
        <v>3801</v>
      </c>
      <c r="BD2180" t="s">
        <v>3802</v>
      </c>
      <c r="BE2180" t="s">
        <v>550</v>
      </c>
      <c r="BF2180" t="s">
        <v>5728</v>
      </c>
      <c r="BG2180" t="s">
        <v>1598</v>
      </c>
      <c r="BH2180" s="1">
        <v>45106.833333333336</v>
      </c>
      <c r="BI2180">
        <v>45</v>
      </c>
      <c r="BJ2180">
        <v>0</v>
      </c>
      <c r="BK2180">
        <v>9</v>
      </c>
      <c r="BL2180">
        <v>9</v>
      </c>
      <c r="BM2180">
        <v>9</v>
      </c>
      <c r="BN2180">
        <v>9</v>
      </c>
      <c r="BO2180">
        <v>9</v>
      </c>
      <c r="BP2180">
        <v>0</v>
      </c>
      <c r="BQ2180" t="str">
        <f>"7:00 AM"</f>
        <v>7:00 AM</v>
      </c>
      <c r="BR2180" t="str">
        <f>"5:30 PM"</f>
        <v>5:30 PM</v>
      </c>
      <c r="BS2180" t="s">
        <v>131</v>
      </c>
      <c r="BT2180">
        <v>0</v>
      </c>
      <c r="BU2180">
        <v>24</v>
      </c>
      <c r="BV2180" t="s">
        <v>114</v>
      </c>
      <c r="BX2180" t="s">
        <v>18510</v>
      </c>
      <c r="BY2180" t="s">
        <v>15578</v>
      </c>
      <c r="CA2180" t="s">
        <v>868</v>
      </c>
      <c r="CB2180" t="s">
        <v>1598</v>
      </c>
      <c r="CC2180" s="8" t="str">
        <f>"36105"</f>
        <v>36105</v>
      </c>
      <c r="CD2180" t="s">
        <v>878</v>
      </c>
      <c r="CE2180" t="s">
        <v>3493</v>
      </c>
      <c r="CF2180" s="12">
        <v>21.52</v>
      </c>
      <c r="CH2180" s="12">
        <v>32.28</v>
      </c>
      <c r="CJ2180" t="s">
        <v>135</v>
      </c>
      <c r="CL2180" t="s">
        <v>18511</v>
      </c>
      <c r="CO2180" t="s">
        <v>132</v>
      </c>
      <c r="CP2180" t="s">
        <v>114</v>
      </c>
      <c r="CQ2180" t="s">
        <v>136</v>
      </c>
      <c r="CR2180" t="s">
        <v>136</v>
      </c>
      <c r="CS2180" t="s">
        <v>136</v>
      </c>
      <c r="CT2180" t="s">
        <v>136</v>
      </c>
      <c r="CU2180" t="s">
        <v>136</v>
      </c>
      <c r="CV2180" t="s">
        <v>12041</v>
      </c>
      <c r="CW2180" s="10" t="str">
        <f>"+13343012820"</f>
        <v>+13343012820</v>
      </c>
      <c r="CX2180" t="s">
        <v>15576</v>
      </c>
      <c r="CY2180" t="s">
        <v>132</v>
      </c>
      <c r="CZ2180" t="s">
        <v>137</v>
      </c>
      <c r="DA2180" t="s">
        <v>114</v>
      </c>
      <c r="DB2180" t="s">
        <v>114</v>
      </c>
      <c r="DC2180" t="s">
        <v>136</v>
      </c>
      <c r="DD2180" t="s">
        <v>114</v>
      </c>
    </row>
    <row r="2181" spans="1:113" ht="15" customHeight="1" x14ac:dyDescent="0.25">
      <c r="A2181" t="s">
        <v>18718</v>
      </c>
      <c r="B2181" t="s">
        <v>113</v>
      </c>
      <c r="C2181" s="1">
        <v>45110.37726828704</v>
      </c>
      <c r="D2181" s="1">
        <v>45204</v>
      </c>
      <c r="E2181" t="s">
        <v>114</v>
      </c>
      <c r="F2181" t="s">
        <v>18719</v>
      </c>
      <c r="G2181" t="str">
        <f>"35-2013.00"</f>
        <v>35-2013.00</v>
      </c>
      <c r="H2181" t="s">
        <v>9961</v>
      </c>
      <c r="I2181">
        <v>1</v>
      </c>
      <c r="K2181" s="1">
        <v>45200</v>
      </c>
      <c r="L2181" s="1">
        <v>45458</v>
      </c>
      <c r="O2181" t="s">
        <v>238</v>
      </c>
      <c r="P2181" t="s">
        <v>18720</v>
      </c>
      <c r="R2181" t="s">
        <v>18721</v>
      </c>
      <c r="T2181" t="s">
        <v>18722</v>
      </c>
      <c r="U2181" t="s">
        <v>169</v>
      </c>
      <c r="V2181" s="8" t="str">
        <f>"55108"</f>
        <v>55108</v>
      </c>
      <c r="W2181" t="s">
        <v>118</v>
      </c>
      <c r="Y2181" s="10">
        <v>12038231063</v>
      </c>
      <c r="AA2181">
        <v>814110</v>
      </c>
      <c r="AB2181" t="s">
        <v>18723</v>
      </c>
      <c r="AC2181" t="s">
        <v>9673</v>
      </c>
      <c r="AD2181" t="s">
        <v>18724</v>
      </c>
      <c r="AE2181" t="s">
        <v>18725</v>
      </c>
      <c r="AF2181" t="s">
        <v>18721</v>
      </c>
      <c r="AH2181" t="s">
        <v>18722</v>
      </c>
      <c r="AI2181" t="s">
        <v>169</v>
      </c>
      <c r="AJ2181" s="8" t="str">
        <f>"55108"</f>
        <v>55108</v>
      </c>
      <c r="AK2181" t="s">
        <v>118</v>
      </c>
      <c r="AM2181" s="10">
        <v>12038231063</v>
      </c>
      <c r="AO2181" t="s">
        <v>18726</v>
      </c>
      <c r="AX2181" s="8" t="str">
        <f>""</f>
        <v/>
      </c>
      <c r="BG2181" t="s">
        <v>169</v>
      </c>
      <c r="BH2181" s="1">
        <v>45106.833333333336</v>
      </c>
      <c r="BI2181">
        <v>50</v>
      </c>
      <c r="BJ2181">
        <v>0</v>
      </c>
      <c r="BK2181">
        <v>9</v>
      </c>
      <c r="BL2181">
        <v>9</v>
      </c>
      <c r="BM2181">
        <v>9</v>
      </c>
      <c r="BN2181">
        <v>9</v>
      </c>
      <c r="BO2181">
        <v>9</v>
      </c>
      <c r="BP2181">
        <v>5</v>
      </c>
      <c r="BQ2181" t="str">
        <f>"8:30 AM"</f>
        <v>8:30 AM</v>
      </c>
      <c r="BR2181" t="str">
        <f>"5:30 PM"</f>
        <v>5:30 PM</v>
      </c>
      <c r="BS2181" t="s">
        <v>131</v>
      </c>
      <c r="BT2181">
        <v>0</v>
      </c>
      <c r="BU2181">
        <v>24</v>
      </c>
      <c r="BV2181" t="s">
        <v>114</v>
      </c>
      <c r="BX2181" t="s">
        <v>1570</v>
      </c>
      <c r="BY2181" t="s">
        <v>18721</v>
      </c>
      <c r="CA2181" t="s">
        <v>18722</v>
      </c>
      <c r="CB2181" t="s">
        <v>169</v>
      </c>
      <c r="CC2181" s="8" t="str">
        <f>"55108"</f>
        <v>55108</v>
      </c>
      <c r="CD2181" t="s">
        <v>7891</v>
      </c>
      <c r="CE2181" t="s">
        <v>1910</v>
      </c>
      <c r="CF2181" s="12">
        <v>20.8</v>
      </c>
      <c r="CG2181" s="12">
        <v>20.8</v>
      </c>
      <c r="CJ2181" t="s">
        <v>135</v>
      </c>
      <c r="CL2181" t="s">
        <v>18727</v>
      </c>
      <c r="CO2181" t="s">
        <v>132</v>
      </c>
      <c r="CP2181" t="s">
        <v>136</v>
      </c>
      <c r="CQ2181" t="s">
        <v>114</v>
      </c>
      <c r="CR2181" t="s">
        <v>114</v>
      </c>
      <c r="CS2181" t="s">
        <v>136</v>
      </c>
      <c r="CT2181" t="s">
        <v>136</v>
      </c>
      <c r="CU2181" t="s">
        <v>136</v>
      </c>
      <c r="CV2181" t="s">
        <v>1570</v>
      </c>
      <c r="CW2181" s="10" t="str">
        <f>"+12038231063"</f>
        <v>+12038231063</v>
      </c>
      <c r="CX2181" t="s">
        <v>18726</v>
      </c>
      <c r="CY2181" t="s">
        <v>132</v>
      </c>
      <c r="CZ2181" t="s">
        <v>137</v>
      </c>
      <c r="DA2181" t="s">
        <v>114</v>
      </c>
      <c r="DB2181" t="s">
        <v>114</v>
      </c>
      <c r="DC2181" t="s">
        <v>136</v>
      </c>
      <c r="DD2181" t="s">
        <v>114</v>
      </c>
    </row>
    <row r="2182" spans="1:113" ht="15" customHeight="1" x14ac:dyDescent="0.25">
      <c r="A2182" t="s">
        <v>23189</v>
      </c>
      <c r="B2182" t="s">
        <v>113</v>
      </c>
      <c r="C2182" s="1">
        <v>45110.127881134256</v>
      </c>
      <c r="D2182" s="1">
        <v>45204</v>
      </c>
      <c r="E2182" t="s">
        <v>114</v>
      </c>
      <c r="F2182" t="s">
        <v>23190</v>
      </c>
      <c r="G2182" t="str">
        <f>"17-3023.00"</f>
        <v>17-3023.00</v>
      </c>
      <c r="H2182" t="s">
        <v>23191</v>
      </c>
      <c r="I2182">
        <v>10</v>
      </c>
      <c r="K2182" s="1">
        <v>45200</v>
      </c>
      <c r="L2182" s="1">
        <v>46295</v>
      </c>
      <c r="O2182" t="s">
        <v>184</v>
      </c>
      <c r="P2182" t="s">
        <v>23192</v>
      </c>
      <c r="Q2182" t="s">
        <v>132</v>
      </c>
      <c r="R2182" t="s">
        <v>23193</v>
      </c>
      <c r="S2182" t="s">
        <v>132</v>
      </c>
      <c r="T2182" t="s">
        <v>23194</v>
      </c>
      <c r="U2182" t="s">
        <v>543</v>
      </c>
      <c r="V2182" s="8" t="str">
        <f>"44446"</f>
        <v>44446</v>
      </c>
      <c r="W2182" t="s">
        <v>118</v>
      </c>
      <c r="X2182" t="s">
        <v>132</v>
      </c>
      <c r="Y2182" s="10">
        <v>14086911042</v>
      </c>
      <c r="AA2182">
        <v>3332</v>
      </c>
      <c r="AB2182" t="s">
        <v>23195</v>
      </c>
      <c r="AC2182" t="s">
        <v>23196</v>
      </c>
      <c r="AD2182" t="s">
        <v>132</v>
      </c>
      <c r="AE2182" t="s">
        <v>1836</v>
      </c>
      <c r="AF2182" t="s">
        <v>23193</v>
      </c>
      <c r="AG2182" t="s">
        <v>132</v>
      </c>
      <c r="AH2182" t="s">
        <v>23194</v>
      </c>
      <c r="AI2182" t="s">
        <v>543</v>
      </c>
      <c r="AJ2182" s="8" t="str">
        <f>"44446"</f>
        <v>44446</v>
      </c>
      <c r="AK2182" t="s">
        <v>118</v>
      </c>
      <c r="AL2182" t="s">
        <v>23197</v>
      </c>
      <c r="AM2182" s="10">
        <v>14086911042</v>
      </c>
      <c r="AO2182" t="s">
        <v>23198</v>
      </c>
      <c r="AP2182" t="s">
        <v>121</v>
      </c>
      <c r="AQ2182" t="s">
        <v>1428</v>
      </c>
      <c r="AR2182" t="s">
        <v>23199</v>
      </c>
      <c r="AS2182" t="s">
        <v>132</v>
      </c>
      <c r="AT2182" t="s">
        <v>23200</v>
      </c>
      <c r="AU2182" t="s">
        <v>132</v>
      </c>
      <c r="AV2182" t="s">
        <v>5980</v>
      </c>
      <c r="AW2182" t="s">
        <v>402</v>
      </c>
      <c r="AX2182" s="8" t="str">
        <f>"95113"</f>
        <v>95113</v>
      </c>
      <c r="AY2182" t="s">
        <v>118</v>
      </c>
      <c r="AZ2182" t="s">
        <v>23197</v>
      </c>
      <c r="BA2182" s="10">
        <v>14089712280</v>
      </c>
      <c r="BC2182" t="s">
        <v>23201</v>
      </c>
      <c r="BD2182" t="s">
        <v>23202</v>
      </c>
      <c r="BE2182" t="s">
        <v>402</v>
      </c>
      <c r="BF2182" t="s">
        <v>172</v>
      </c>
      <c r="BG2182" t="s">
        <v>543</v>
      </c>
      <c r="BH2182" s="1">
        <v>45107.833333333336</v>
      </c>
      <c r="BI2182">
        <v>40</v>
      </c>
      <c r="BJ2182">
        <v>0</v>
      </c>
      <c r="BK2182">
        <v>8</v>
      </c>
      <c r="BL2182">
        <v>8</v>
      </c>
      <c r="BM2182">
        <v>8</v>
      </c>
      <c r="BN2182">
        <v>8</v>
      </c>
      <c r="BO2182">
        <v>8</v>
      </c>
      <c r="BP2182">
        <v>0</v>
      </c>
      <c r="BQ2182" t="str">
        <f>"8:00 AM"</f>
        <v>8:00 AM</v>
      </c>
      <c r="BR2182" t="str">
        <f>"5:00 PM"</f>
        <v>5:00 PM</v>
      </c>
      <c r="BS2182" t="s">
        <v>131</v>
      </c>
      <c r="BT2182">
        <v>0</v>
      </c>
      <c r="BU2182">
        <v>24</v>
      </c>
      <c r="BV2182" t="s">
        <v>114</v>
      </c>
      <c r="BX2182" s="2" t="s">
        <v>23203</v>
      </c>
      <c r="BY2182" t="s">
        <v>23204</v>
      </c>
      <c r="CA2182" t="s">
        <v>5738</v>
      </c>
      <c r="CB2182" t="s">
        <v>543</v>
      </c>
      <c r="CC2182" s="8" t="str">
        <f>"44481"</f>
        <v>44481</v>
      </c>
      <c r="CD2182" t="s">
        <v>3205</v>
      </c>
      <c r="CE2182" t="s">
        <v>3206</v>
      </c>
      <c r="CF2182" s="12">
        <v>30</v>
      </c>
      <c r="CH2182" s="12">
        <v>45</v>
      </c>
      <c r="CJ2182" t="s">
        <v>135</v>
      </c>
      <c r="CL2182" t="s">
        <v>23205</v>
      </c>
      <c r="CO2182" t="s">
        <v>132</v>
      </c>
      <c r="CP2182" t="s">
        <v>114</v>
      </c>
      <c r="CQ2182" t="s">
        <v>136</v>
      </c>
      <c r="CR2182" t="s">
        <v>136</v>
      </c>
      <c r="CS2182" t="s">
        <v>114</v>
      </c>
      <c r="CT2182" t="s">
        <v>136</v>
      </c>
      <c r="CU2182" t="s">
        <v>136</v>
      </c>
      <c r="CV2182" t="s">
        <v>23206</v>
      </c>
      <c r="CW2182" s="10" t="str">
        <f>"+14086911042"</f>
        <v>+14086911042</v>
      </c>
      <c r="CX2182" t="s">
        <v>23198</v>
      </c>
      <c r="CY2182" t="s">
        <v>132</v>
      </c>
      <c r="CZ2182" t="s">
        <v>137</v>
      </c>
      <c r="DA2182" t="s">
        <v>114</v>
      </c>
      <c r="DB2182" t="s">
        <v>114</v>
      </c>
      <c r="DC2182" t="s">
        <v>136</v>
      </c>
      <c r="DD2182" t="s">
        <v>114</v>
      </c>
      <c r="DE2182" t="s">
        <v>1428</v>
      </c>
      <c r="DF2182" t="s">
        <v>23199</v>
      </c>
      <c r="DH2182" t="s">
        <v>23202</v>
      </c>
      <c r="DI2182" t="s">
        <v>23201</v>
      </c>
    </row>
    <row r="2183" spans="1:113" ht="15" customHeight="1" x14ac:dyDescent="0.25">
      <c r="A2183" t="s">
        <v>10745</v>
      </c>
      <c r="B2183" t="s">
        <v>113</v>
      </c>
      <c r="C2183" s="1">
        <v>45110.029599421294</v>
      </c>
      <c r="D2183" s="1">
        <v>45204</v>
      </c>
      <c r="E2183" t="s">
        <v>114</v>
      </c>
      <c r="F2183" t="s">
        <v>3583</v>
      </c>
      <c r="G2183" t="str">
        <f>"47-2061.00"</f>
        <v>47-2061.00</v>
      </c>
      <c r="H2183" t="s">
        <v>570</v>
      </c>
      <c r="I2183">
        <v>3</v>
      </c>
      <c r="K2183" s="1">
        <v>45200</v>
      </c>
      <c r="L2183" s="1">
        <v>45261</v>
      </c>
      <c r="O2183" t="s">
        <v>238</v>
      </c>
      <c r="P2183" t="s">
        <v>10746</v>
      </c>
      <c r="R2183" t="s">
        <v>10747</v>
      </c>
      <c r="T2183" t="s">
        <v>10748</v>
      </c>
      <c r="U2183" t="s">
        <v>158</v>
      </c>
      <c r="V2183" s="8" t="str">
        <f>"49259"</f>
        <v>49259</v>
      </c>
      <c r="W2183" t="s">
        <v>118</v>
      </c>
      <c r="Y2183" s="10">
        <v>15177647888</v>
      </c>
      <c r="AA2183">
        <v>238910</v>
      </c>
      <c r="AB2183" t="s">
        <v>8121</v>
      </c>
      <c r="AC2183" t="s">
        <v>10749</v>
      </c>
      <c r="AE2183" t="s">
        <v>654</v>
      </c>
      <c r="AF2183" t="s">
        <v>10750</v>
      </c>
      <c r="AH2183" t="s">
        <v>859</v>
      </c>
      <c r="AI2183" t="s">
        <v>158</v>
      </c>
      <c r="AJ2183" s="8" t="str">
        <f>"49201"</f>
        <v>49201</v>
      </c>
      <c r="AK2183" t="s">
        <v>118</v>
      </c>
      <c r="AM2183" s="10">
        <v>15177647888</v>
      </c>
      <c r="AO2183" t="s">
        <v>10751</v>
      </c>
      <c r="AP2183" t="s">
        <v>121</v>
      </c>
      <c r="AQ2183" t="s">
        <v>2173</v>
      </c>
      <c r="AR2183" t="s">
        <v>2174</v>
      </c>
      <c r="AS2183" t="s">
        <v>1829</v>
      </c>
      <c r="AT2183" t="s">
        <v>2175</v>
      </c>
      <c r="AV2183" t="s">
        <v>2176</v>
      </c>
      <c r="AW2183" t="s">
        <v>386</v>
      </c>
      <c r="AX2183" s="8" t="str">
        <f>"37110"</f>
        <v>37110</v>
      </c>
      <c r="AY2183" t="s">
        <v>118</v>
      </c>
      <c r="BA2183" s="10">
        <v>19312747811</v>
      </c>
      <c r="BC2183" t="s">
        <v>2177</v>
      </c>
      <c r="BD2183" t="s">
        <v>2178</v>
      </c>
      <c r="BE2183" t="s">
        <v>386</v>
      </c>
      <c r="BF2183" t="s">
        <v>2179</v>
      </c>
      <c r="BG2183" t="s">
        <v>158</v>
      </c>
      <c r="BH2183" s="1">
        <v>45108.833333333336</v>
      </c>
      <c r="BI2183">
        <v>40</v>
      </c>
      <c r="BJ2183">
        <v>0</v>
      </c>
      <c r="BK2183">
        <v>8</v>
      </c>
      <c r="BL2183">
        <v>8</v>
      </c>
      <c r="BM2183">
        <v>8</v>
      </c>
      <c r="BN2183">
        <v>8</v>
      </c>
      <c r="BO2183">
        <v>8</v>
      </c>
      <c r="BP2183">
        <v>0</v>
      </c>
      <c r="BQ2183" t="str">
        <f>"7:00 AM"</f>
        <v>7:00 AM</v>
      </c>
      <c r="BR2183" t="str">
        <f>"4:00 PM"</f>
        <v>4:00 PM</v>
      </c>
      <c r="BS2183" t="s">
        <v>131</v>
      </c>
      <c r="BT2183">
        <v>0</v>
      </c>
      <c r="BU2183">
        <v>3</v>
      </c>
      <c r="BV2183" t="s">
        <v>114</v>
      </c>
      <c r="BX2183" s="2" t="s">
        <v>10752</v>
      </c>
      <c r="BY2183" t="s">
        <v>10747</v>
      </c>
      <c r="CA2183" t="s">
        <v>10748</v>
      </c>
      <c r="CB2183" t="s">
        <v>158</v>
      </c>
      <c r="CC2183" s="8" t="str">
        <f>"49259"</f>
        <v>49259</v>
      </c>
      <c r="CD2183" t="s">
        <v>859</v>
      </c>
      <c r="CE2183" t="s">
        <v>10753</v>
      </c>
      <c r="CF2183" s="12">
        <v>21.34</v>
      </c>
      <c r="CH2183" s="12">
        <v>32.01</v>
      </c>
      <c r="CJ2183" t="s">
        <v>135</v>
      </c>
      <c r="CK2183" t="s">
        <v>2181</v>
      </c>
      <c r="CL2183" t="s">
        <v>10754</v>
      </c>
      <c r="CO2183" t="s">
        <v>132</v>
      </c>
      <c r="CP2183" t="s">
        <v>136</v>
      </c>
      <c r="CQ2183" t="s">
        <v>136</v>
      </c>
      <c r="CR2183" t="s">
        <v>136</v>
      </c>
      <c r="CS2183" t="s">
        <v>114</v>
      </c>
      <c r="CT2183" t="s">
        <v>136</v>
      </c>
      <c r="CU2183" t="s">
        <v>114</v>
      </c>
      <c r="CV2183" t="s">
        <v>132</v>
      </c>
      <c r="CW2183" s="10" t="str">
        <f>"+15177647888"</f>
        <v>+15177647888</v>
      </c>
      <c r="CX2183" t="s">
        <v>10755</v>
      </c>
      <c r="CY2183" t="s">
        <v>132</v>
      </c>
      <c r="CZ2183" t="s">
        <v>137</v>
      </c>
      <c r="DA2183" t="s">
        <v>114</v>
      </c>
      <c r="DB2183" t="s">
        <v>114</v>
      </c>
      <c r="DC2183" t="s">
        <v>136</v>
      </c>
      <c r="DD2183" t="s">
        <v>114</v>
      </c>
    </row>
    <row r="2184" spans="1:113" ht="15" customHeight="1" x14ac:dyDescent="0.25">
      <c r="A2184" t="s">
        <v>17140</v>
      </c>
      <c r="B2184" t="s">
        <v>113</v>
      </c>
      <c r="C2184" s="1">
        <v>45110.003770949072</v>
      </c>
      <c r="D2184" s="1">
        <v>45204</v>
      </c>
      <c r="E2184" t="s">
        <v>114</v>
      </c>
      <c r="F2184" t="s">
        <v>3138</v>
      </c>
      <c r="G2184" t="str">
        <f>"53-7064.00"</f>
        <v>53-7064.00</v>
      </c>
      <c r="H2184" t="s">
        <v>3138</v>
      </c>
      <c r="I2184">
        <v>6</v>
      </c>
      <c r="K2184" s="1">
        <v>45200</v>
      </c>
      <c r="L2184" s="1">
        <v>45565</v>
      </c>
      <c r="O2184" t="s">
        <v>184</v>
      </c>
      <c r="P2184" t="s">
        <v>11487</v>
      </c>
      <c r="Q2184" t="s">
        <v>11488</v>
      </c>
      <c r="R2184" t="s">
        <v>11489</v>
      </c>
      <c r="T2184" t="s">
        <v>11490</v>
      </c>
      <c r="U2184" t="s">
        <v>211</v>
      </c>
      <c r="V2184" s="8" t="str">
        <f>"84032"</f>
        <v>84032</v>
      </c>
      <c r="W2184" t="s">
        <v>118</v>
      </c>
      <c r="Y2184" s="10">
        <v>14356543336</v>
      </c>
      <c r="AA2184">
        <v>561330</v>
      </c>
      <c r="AB2184" t="s">
        <v>11491</v>
      </c>
      <c r="AC2184" t="s">
        <v>3625</v>
      </c>
      <c r="AD2184" t="s">
        <v>355</v>
      </c>
      <c r="AE2184" t="s">
        <v>438</v>
      </c>
      <c r="AF2184" t="s">
        <v>11489</v>
      </c>
      <c r="AH2184" t="s">
        <v>11492</v>
      </c>
      <c r="AI2184" t="s">
        <v>211</v>
      </c>
      <c r="AJ2184" s="8" t="str">
        <f>"84032"</f>
        <v>84032</v>
      </c>
      <c r="AK2184" t="s">
        <v>118</v>
      </c>
      <c r="AM2184" s="10">
        <v>14356405872</v>
      </c>
      <c r="AO2184" t="s">
        <v>11493</v>
      </c>
      <c r="AX2184" s="8" t="str">
        <f>""</f>
        <v/>
      </c>
      <c r="BG2184" t="s">
        <v>211</v>
      </c>
      <c r="BH2184" s="1">
        <v>45102.833333333336</v>
      </c>
      <c r="BI2184">
        <v>40</v>
      </c>
      <c r="BJ2184">
        <v>0</v>
      </c>
      <c r="BK2184">
        <v>8</v>
      </c>
      <c r="BL2184">
        <v>8</v>
      </c>
      <c r="BM2184">
        <v>8</v>
      </c>
      <c r="BN2184">
        <v>8</v>
      </c>
      <c r="BO2184">
        <v>8</v>
      </c>
      <c r="BP2184">
        <v>0</v>
      </c>
      <c r="BQ2184" t="str">
        <f>"5:45 AM"</f>
        <v>5:45 AM</v>
      </c>
      <c r="BR2184" t="str">
        <f>"3:00 PM"</f>
        <v>3:00 PM</v>
      </c>
      <c r="BS2184" t="s">
        <v>131</v>
      </c>
      <c r="BT2184">
        <v>0</v>
      </c>
      <c r="BU2184">
        <v>0</v>
      </c>
      <c r="BV2184" t="s">
        <v>114</v>
      </c>
      <c r="BX2184" t="s">
        <v>17141</v>
      </c>
      <c r="BY2184" t="s">
        <v>11495</v>
      </c>
      <c r="CA2184" t="s">
        <v>11490</v>
      </c>
      <c r="CB2184" t="s">
        <v>211</v>
      </c>
      <c r="CC2184" s="8" t="str">
        <f>"84032"</f>
        <v>84032</v>
      </c>
      <c r="CD2184" t="s">
        <v>11496</v>
      </c>
      <c r="CE2184" t="s">
        <v>229</v>
      </c>
      <c r="CF2184" s="12">
        <v>11.81</v>
      </c>
      <c r="CG2184" s="12">
        <v>11.81</v>
      </c>
      <c r="CH2184" s="12">
        <v>17.72</v>
      </c>
      <c r="CI2184" s="12">
        <v>17.72</v>
      </c>
      <c r="CJ2184" t="s">
        <v>135</v>
      </c>
      <c r="CL2184" t="s">
        <v>17142</v>
      </c>
      <c r="CO2184" t="s">
        <v>132</v>
      </c>
      <c r="CP2184" t="s">
        <v>114</v>
      </c>
      <c r="CQ2184" t="s">
        <v>114</v>
      </c>
      <c r="CR2184" t="s">
        <v>136</v>
      </c>
      <c r="CS2184" t="s">
        <v>136</v>
      </c>
      <c r="CT2184" t="s">
        <v>136</v>
      </c>
      <c r="CU2184" t="s">
        <v>114</v>
      </c>
      <c r="CV2184" t="s">
        <v>17143</v>
      </c>
      <c r="CW2184" s="10" t="str">
        <f>"+14356405872"</f>
        <v>+14356405872</v>
      </c>
      <c r="CX2184" t="s">
        <v>11493</v>
      </c>
      <c r="CY2184" t="s">
        <v>132</v>
      </c>
      <c r="CZ2184" t="s">
        <v>137</v>
      </c>
      <c r="DA2184" t="s">
        <v>114</v>
      </c>
      <c r="DB2184" t="s">
        <v>114</v>
      </c>
      <c r="DC2184" t="s">
        <v>136</v>
      </c>
      <c r="DD2184" t="s">
        <v>114</v>
      </c>
    </row>
    <row r="2185" spans="1:113" ht="15" customHeight="1" x14ac:dyDescent="0.25">
      <c r="A2185" t="s">
        <v>10769</v>
      </c>
      <c r="B2185" t="s">
        <v>113</v>
      </c>
      <c r="C2185" s="1">
        <v>45110.000601736108</v>
      </c>
      <c r="D2185" s="1">
        <v>45204</v>
      </c>
      <c r="E2185" t="s">
        <v>114</v>
      </c>
      <c r="F2185" t="s">
        <v>3282</v>
      </c>
      <c r="G2185" t="str">
        <f>"37-3011.00"</f>
        <v>37-3011.00</v>
      </c>
      <c r="H2185" t="s">
        <v>429</v>
      </c>
      <c r="I2185">
        <v>10</v>
      </c>
      <c r="K2185" s="1">
        <v>45200</v>
      </c>
      <c r="L2185" s="1">
        <v>45270</v>
      </c>
      <c r="O2185" t="s">
        <v>238</v>
      </c>
      <c r="P2185" t="s">
        <v>10770</v>
      </c>
      <c r="R2185" t="s">
        <v>10771</v>
      </c>
      <c r="T2185" t="s">
        <v>9811</v>
      </c>
      <c r="U2185" t="s">
        <v>158</v>
      </c>
      <c r="V2185" s="8" t="str">
        <f>"48301"</f>
        <v>48301</v>
      </c>
      <c r="W2185" t="s">
        <v>118</v>
      </c>
      <c r="Y2185" s="10">
        <v>12488606624</v>
      </c>
      <c r="AA2185">
        <v>56173</v>
      </c>
      <c r="AB2185" t="s">
        <v>10772</v>
      </c>
      <c r="AC2185" t="s">
        <v>10773</v>
      </c>
      <c r="AE2185" t="s">
        <v>654</v>
      </c>
      <c r="AF2185" t="s">
        <v>10771</v>
      </c>
      <c r="AH2185" t="s">
        <v>9811</v>
      </c>
      <c r="AI2185" t="s">
        <v>158</v>
      </c>
      <c r="AJ2185" s="8" t="str">
        <f>"48301"</f>
        <v>48301</v>
      </c>
      <c r="AK2185" t="s">
        <v>118</v>
      </c>
      <c r="AM2185" s="10">
        <v>12488606624</v>
      </c>
      <c r="AO2185" t="s">
        <v>10774</v>
      </c>
      <c r="AP2185" t="s">
        <v>121</v>
      </c>
      <c r="AQ2185" t="s">
        <v>2173</v>
      </c>
      <c r="AR2185" t="s">
        <v>2174</v>
      </c>
      <c r="AS2185" t="s">
        <v>1829</v>
      </c>
      <c r="AT2185" t="s">
        <v>2175</v>
      </c>
      <c r="AV2185" t="s">
        <v>2176</v>
      </c>
      <c r="AW2185" t="s">
        <v>386</v>
      </c>
      <c r="AX2185" s="8" t="str">
        <f>"37110"</f>
        <v>37110</v>
      </c>
      <c r="AY2185" t="s">
        <v>118</v>
      </c>
      <c r="BA2185" s="10">
        <v>19312747811</v>
      </c>
      <c r="BC2185" t="s">
        <v>2177</v>
      </c>
      <c r="BD2185" t="s">
        <v>2178</v>
      </c>
      <c r="BE2185" t="s">
        <v>386</v>
      </c>
      <c r="BF2185" t="s">
        <v>2179</v>
      </c>
      <c r="BG2185" t="s">
        <v>158</v>
      </c>
      <c r="BH2185" s="1">
        <v>45109.833333333336</v>
      </c>
      <c r="BI2185">
        <v>40</v>
      </c>
      <c r="BJ2185">
        <v>0</v>
      </c>
      <c r="BK2185">
        <v>8</v>
      </c>
      <c r="BL2185">
        <v>8</v>
      </c>
      <c r="BM2185">
        <v>8</v>
      </c>
      <c r="BN2185">
        <v>8</v>
      </c>
      <c r="BO2185">
        <v>8</v>
      </c>
      <c r="BP2185">
        <v>0</v>
      </c>
      <c r="BQ2185" t="str">
        <f>"7:00 AM"</f>
        <v>7:00 AM</v>
      </c>
      <c r="BR2185" t="str">
        <f>"4:00 PM"</f>
        <v>4:00 PM</v>
      </c>
      <c r="BS2185" t="s">
        <v>131</v>
      </c>
      <c r="BT2185">
        <v>0</v>
      </c>
      <c r="BU2185">
        <v>3</v>
      </c>
      <c r="BV2185" t="s">
        <v>114</v>
      </c>
      <c r="BX2185" s="2" t="s">
        <v>10775</v>
      </c>
      <c r="BY2185" t="s">
        <v>10776</v>
      </c>
      <c r="CA2185" t="s">
        <v>10777</v>
      </c>
      <c r="CB2185" t="s">
        <v>158</v>
      </c>
      <c r="CC2185" s="8" t="str">
        <f>"48025"</f>
        <v>48025</v>
      </c>
      <c r="CD2185" t="s">
        <v>2227</v>
      </c>
      <c r="CE2185" t="s">
        <v>2228</v>
      </c>
      <c r="CF2185" s="12">
        <v>16.62</v>
      </c>
      <c r="CH2185" s="12">
        <v>24.93</v>
      </c>
      <c r="CJ2185" t="s">
        <v>135</v>
      </c>
      <c r="CK2185" t="s">
        <v>2181</v>
      </c>
      <c r="CL2185" t="s">
        <v>10778</v>
      </c>
      <c r="CO2185" t="s">
        <v>132</v>
      </c>
      <c r="CP2185" t="s">
        <v>136</v>
      </c>
      <c r="CQ2185" t="s">
        <v>136</v>
      </c>
      <c r="CR2185" t="s">
        <v>136</v>
      </c>
      <c r="CS2185" t="s">
        <v>114</v>
      </c>
      <c r="CT2185" t="s">
        <v>136</v>
      </c>
      <c r="CU2185" t="s">
        <v>114</v>
      </c>
      <c r="CV2185" t="s">
        <v>132</v>
      </c>
      <c r="CW2185" s="10" t="str">
        <f>"+12488606624"</f>
        <v>+12488606624</v>
      </c>
      <c r="CX2185" t="s">
        <v>10779</v>
      </c>
      <c r="CY2185" t="s">
        <v>132</v>
      </c>
      <c r="CZ2185" t="s">
        <v>137</v>
      </c>
      <c r="DA2185" t="s">
        <v>114</v>
      </c>
      <c r="DB2185" t="s">
        <v>114</v>
      </c>
      <c r="DC2185" t="s">
        <v>136</v>
      </c>
      <c r="DD2185" t="s">
        <v>114</v>
      </c>
    </row>
    <row r="2186" spans="1:113" ht="15" customHeight="1" x14ac:dyDescent="0.25">
      <c r="A2186" t="s">
        <v>23429</v>
      </c>
      <c r="B2186" t="s">
        <v>113</v>
      </c>
      <c r="C2186" s="1">
        <v>45118.80846122685</v>
      </c>
      <c r="D2186" s="1">
        <v>45203</v>
      </c>
      <c r="E2186" t="s">
        <v>114</v>
      </c>
      <c r="F2186" t="s">
        <v>23430</v>
      </c>
      <c r="G2186" t="str">
        <f>"49-9021.00"</f>
        <v>49-9021.00</v>
      </c>
      <c r="H2186" t="s">
        <v>5959</v>
      </c>
      <c r="I2186">
        <v>1</v>
      </c>
      <c r="K2186" s="1">
        <v>45206</v>
      </c>
      <c r="L2186" s="1">
        <v>45481</v>
      </c>
      <c r="O2186" t="s">
        <v>184</v>
      </c>
      <c r="P2186" t="s">
        <v>23430</v>
      </c>
      <c r="Q2186" t="s">
        <v>23430</v>
      </c>
      <c r="R2186" t="s">
        <v>23431</v>
      </c>
      <c r="S2186" t="s">
        <v>23432</v>
      </c>
      <c r="T2186" t="s">
        <v>23433</v>
      </c>
      <c r="U2186" t="s">
        <v>581</v>
      </c>
      <c r="V2186" s="8" t="str">
        <f>"23415"</f>
        <v>23415</v>
      </c>
      <c r="W2186" t="s">
        <v>118</v>
      </c>
      <c r="X2186" t="s">
        <v>132</v>
      </c>
      <c r="Y2186" s="10">
        <v>17578941826</v>
      </c>
      <c r="AA2186">
        <v>238220</v>
      </c>
      <c r="AB2186" t="s">
        <v>16119</v>
      </c>
      <c r="AC2186" t="s">
        <v>2947</v>
      </c>
      <c r="AD2186" t="s">
        <v>4170</v>
      </c>
      <c r="AE2186" t="s">
        <v>561</v>
      </c>
      <c r="AF2186" t="s">
        <v>23431</v>
      </c>
      <c r="AG2186" t="s">
        <v>23432</v>
      </c>
      <c r="AH2186" t="s">
        <v>23433</v>
      </c>
      <c r="AI2186" t="s">
        <v>581</v>
      </c>
      <c r="AJ2186" s="8" t="str">
        <f>"23415"</f>
        <v>23415</v>
      </c>
      <c r="AK2186" t="s">
        <v>118</v>
      </c>
      <c r="AM2186" s="10">
        <v>17578941826</v>
      </c>
      <c r="AO2186" t="s">
        <v>23434</v>
      </c>
      <c r="AX2186" s="8" t="str">
        <f>""</f>
        <v/>
      </c>
      <c r="BG2186" t="s">
        <v>581</v>
      </c>
      <c r="BH2186" s="1">
        <v>45075.833333333336</v>
      </c>
      <c r="BI2186">
        <v>48</v>
      </c>
      <c r="BJ2186">
        <v>0</v>
      </c>
      <c r="BK2186">
        <v>8</v>
      </c>
      <c r="BL2186">
        <v>8</v>
      </c>
      <c r="BM2186">
        <v>8</v>
      </c>
      <c r="BN2186">
        <v>8</v>
      </c>
      <c r="BO2186">
        <v>8</v>
      </c>
      <c r="BP2186">
        <v>8</v>
      </c>
      <c r="BQ2186" t="str">
        <f>"8:00 AM"</f>
        <v>8:00 AM</v>
      </c>
      <c r="BR2186" t="str">
        <f>"4:00 PM"</f>
        <v>4:00 PM</v>
      </c>
      <c r="BS2186" t="s">
        <v>131</v>
      </c>
      <c r="BT2186">
        <v>0</v>
      </c>
      <c r="BU2186">
        <v>0</v>
      </c>
      <c r="BV2186" t="s">
        <v>114</v>
      </c>
      <c r="BX2186" t="s">
        <v>132</v>
      </c>
      <c r="BY2186" t="s">
        <v>23431</v>
      </c>
      <c r="BZ2186" t="s">
        <v>23432</v>
      </c>
      <c r="CA2186" t="s">
        <v>23433</v>
      </c>
      <c r="CB2186" t="s">
        <v>581</v>
      </c>
      <c r="CC2186" s="8" t="str">
        <f>"23415"</f>
        <v>23415</v>
      </c>
      <c r="CD2186" t="s">
        <v>23435</v>
      </c>
      <c r="CE2186" t="s">
        <v>5588</v>
      </c>
      <c r="CF2186" s="12">
        <v>13.95</v>
      </c>
      <c r="CG2186" s="12">
        <v>14.43</v>
      </c>
      <c r="CJ2186" t="s">
        <v>135</v>
      </c>
      <c r="CL2186" t="s">
        <v>23436</v>
      </c>
      <c r="CO2186" t="s">
        <v>132</v>
      </c>
      <c r="CP2186" t="s">
        <v>114</v>
      </c>
      <c r="CQ2186" t="s">
        <v>136</v>
      </c>
      <c r="CR2186" t="s">
        <v>136</v>
      </c>
      <c r="CS2186" t="s">
        <v>136</v>
      </c>
      <c r="CT2186" t="s">
        <v>136</v>
      </c>
      <c r="CU2186" t="s">
        <v>136</v>
      </c>
      <c r="CV2186" t="s">
        <v>131</v>
      </c>
      <c r="CW2186" s="10" t="str">
        <f>"+17578941826"</f>
        <v>+17578941826</v>
      </c>
      <c r="CX2186" t="s">
        <v>23434</v>
      </c>
      <c r="CY2186" t="s">
        <v>132</v>
      </c>
      <c r="CZ2186" t="s">
        <v>137</v>
      </c>
      <c r="DA2186" t="s">
        <v>114</v>
      </c>
      <c r="DB2186" t="s">
        <v>114</v>
      </c>
      <c r="DC2186" t="s">
        <v>136</v>
      </c>
      <c r="DD2186" t="s">
        <v>114</v>
      </c>
    </row>
    <row r="2187" spans="1:113" ht="15" customHeight="1" x14ac:dyDescent="0.25">
      <c r="A2187" t="s">
        <v>23760</v>
      </c>
      <c r="B2187" t="s">
        <v>113</v>
      </c>
      <c r="C2187" s="1">
        <v>45113.636348495369</v>
      </c>
      <c r="D2187" s="1">
        <v>45203</v>
      </c>
      <c r="E2187" t="s">
        <v>114</v>
      </c>
      <c r="F2187" t="s">
        <v>1059</v>
      </c>
      <c r="G2187" t="str">
        <f>"35-2014.00"</f>
        <v>35-2014.00</v>
      </c>
      <c r="H2187" t="s">
        <v>154</v>
      </c>
      <c r="I2187">
        <v>10</v>
      </c>
      <c r="K2187" s="1">
        <v>45200</v>
      </c>
      <c r="L2187" s="1">
        <v>45427</v>
      </c>
      <c r="O2187" t="s">
        <v>238</v>
      </c>
      <c r="P2187" t="s">
        <v>23761</v>
      </c>
      <c r="Q2187" t="s">
        <v>23762</v>
      </c>
      <c r="R2187" t="s">
        <v>23763</v>
      </c>
      <c r="T2187" t="s">
        <v>6481</v>
      </c>
      <c r="U2187" t="s">
        <v>993</v>
      </c>
      <c r="V2187" s="8" t="str">
        <f>"53204"</f>
        <v>53204</v>
      </c>
      <c r="W2187" t="s">
        <v>118</v>
      </c>
      <c r="Y2187" s="10">
        <v>14144695728</v>
      </c>
      <c r="AA2187">
        <v>722511</v>
      </c>
      <c r="AB2187" t="s">
        <v>23764</v>
      </c>
      <c r="AC2187" t="s">
        <v>23765</v>
      </c>
      <c r="AE2187" t="s">
        <v>1283</v>
      </c>
      <c r="AF2187" t="s">
        <v>23763</v>
      </c>
      <c r="AH2187" t="s">
        <v>6481</v>
      </c>
      <c r="AI2187" t="s">
        <v>993</v>
      </c>
      <c r="AJ2187" s="8" t="str">
        <f>"53204"</f>
        <v>53204</v>
      </c>
      <c r="AK2187" t="s">
        <v>118</v>
      </c>
      <c r="AM2187" s="10">
        <v>14144695728</v>
      </c>
      <c r="AO2187" t="s">
        <v>23766</v>
      </c>
      <c r="AP2187" t="s">
        <v>121</v>
      </c>
      <c r="AQ2187" t="s">
        <v>9163</v>
      </c>
      <c r="AR2187" t="s">
        <v>1713</v>
      </c>
      <c r="AS2187" t="s">
        <v>2213</v>
      </c>
      <c r="AT2187" t="s">
        <v>9164</v>
      </c>
      <c r="AU2187" t="s">
        <v>9165</v>
      </c>
      <c r="AV2187" t="s">
        <v>8327</v>
      </c>
      <c r="AW2187" t="s">
        <v>117</v>
      </c>
      <c r="AX2187" s="8" t="str">
        <f>"60641"</f>
        <v>60641</v>
      </c>
      <c r="AY2187" t="s">
        <v>118</v>
      </c>
      <c r="BA2187" s="10">
        <v>17737751717</v>
      </c>
      <c r="BC2187" t="s">
        <v>9166</v>
      </c>
      <c r="BD2187" t="s">
        <v>9167</v>
      </c>
      <c r="BE2187" t="s">
        <v>158</v>
      </c>
      <c r="BF2187" t="s">
        <v>2364</v>
      </c>
      <c r="BG2187" t="s">
        <v>993</v>
      </c>
      <c r="BH2187" s="1">
        <v>45098.833333333336</v>
      </c>
      <c r="BI2187">
        <v>40</v>
      </c>
      <c r="BJ2187">
        <v>0</v>
      </c>
      <c r="BK2187">
        <v>8</v>
      </c>
      <c r="BL2187">
        <v>8</v>
      </c>
      <c r="BM2187">
        <v>8</v>
      </c>
      <c r="BN2187">
        <v>8</v>
      </c>
      <c r="BO2187">
        <v>8</v>
      </c>
      <c r="BP2187">
        <v>0</v>
      </c>
      <c r="BQ2187" t="str">
        <f>"9:00 PM"</f>
        <v>9:00 PM</v>
      </c>
      <c r="BR2187" t="str">
        <f>"5:00 PM"</f>
        <v>5:00 PM</v>
      </c>
      <c r="BS2187" t="s">
        <v>131</v>
      </c>
      <c r="BT2187">
        <v>0</v>
      </c>
      <c r="BU2187">
        <v>3</v>
      </c>
      <c r="BV2187" t="s">
        <v>114</v>
      </c>
      <c r="BX2187" t="s">
        <v>132</v>
      </c>
      <c r="BY2187" t="s">
        <v>23763</v>
      </c>
      <c r="CA2187" t="s">
        <v>6481</v>
      </c>
      <c r="CB2187" t="s">
        <v>993</v>
      </c>
      <c r="CC2187" s="8" t="str">
        <f>"53204"</f>
        <v>53204</v>
      </c>
      <c r="CD2187" t="s">
        <v>6098</v>
      </c>
      <c r="CE2187" t="s">
        <v>6099</v>
      </c>
      <c r="CF2187" s="12">
        <v>14.8</v>
      </c>
      <c r="CJ2187" t="s">
        <v>135</v>
      </c>
      <c r="CL2187" t="s">
        <v>23767</v>
      </c>
      <c r="CO2187" t="s">
        <v>132</v>
      </c>
      <c r="CP2187" t="s">
        <v>114</v>
      </c>
      <c r="CQ2187" t="s">
        <v>136</v>
      </c>
      <c r="CR2187" t="s">
        <v>114</v>
      </c>
      <c r="CS2187" t="s">
        <v>114</v>
      </c>
      <c r="CT2187" t="s">
        <v>136</v>
      </c>
      <c r="CU2187" t="s">
        <v>114</v>
      </c>
      <c r="CV2187" t="s">
        <v>1534</v>
      </c>
      <c r="CW2187" s="10" t="str">
        <f>"+14149149569"</f>
        <v>+14149149569</v>
      </c>
      <c r="CX2187" t="s">
        <v>23766</v>
      </c>
      <c r="CY2187" t="s">
        <v>132</v>
      </c>
      <c r="CZ2187" t="s">
        <v>137</v>
      </c>
      <c r="DA2187" t="s">
        <v>114</v>
      </c>
      <c r="DB2187" t="s">
        <v>114</v>
      </c>
      <c r="DC2187" t="s">
        <v>136</v>
      </c>
      <c r="DD2187" t="s">
        <v>114</v>
      </c>
    </row>
    <row r="2188" spans="1:113" ht="15" customHeight="1" x14ac:dyDescent="0.25">
      <c r="A2188" t="s">
        <v>6845</v>
      </c>
      <c r="B2188" t="s">
        <v>113</v>
      </c>
      <c r="C2188" s="1">
        <v>45112.868344097224</v>
      </c>
      <c r="D2188" s="1">
        <v>45203</v>
      </c>
      <c r="E2188" t="s">
        <v>114</v>
      </c>
      <c r="F2188" t="s">
        <v>570</v>
      </c>
      <c r="G2188" t="str">
        <f>"47-2061.00"</f>
        <v>47-2061.00</v>
      </c>
      <c r="H2188" t="s">
        <v>570</v>
      </c>
      <c r="I2188">
        <v>3</v>
      </c>
      <c r="K2188" s="1">
        <v>45200</v>
      </c>
      <c r="L2188" s="1">
        <v>45291</v>
      </c>
      <c r="O2188" t="s">
        <v>116</v>
      </c>
      <c r="P2188" t="s">
        <v>6846</v>
      </c>
      <c r="R2188" t="s">
        <v>6847</v>
      </c>
      <c r="T2188" t="s">
        <v>1956</v>
      </c>
      <c r="U2188" t="s">
        <v>892</v>
      </c>
      <c r="V2188" s="8" t="str">
        <f>"59714"</f>
        <v>59714</v>
      </c>
      <c r="W2188" t="s">
        <v>118</v>
      </c>
      <c r="Y2188" s="10">
        <v>14437458081</v>
      </c>
      <c r="AA2188">
        <v>238110</v>
      </c>
      <c r="AB2188" t="s">
        <v>6848</v>
      </c>
      <c r="AC2188" t="s">
        <v>3128</v>
      </c>
      <c r="AE2188" t="s">
        <v>561</v>
      </c>
      <c r="AF2188" t="s">
        <v>6847</v>
      </c>
      <c r="AH2188" t="s">
        <v>1956</v>
      </c>
      <c r="AI2188" t="s">
        <v>892</v>
      </c>
      <c r="AJ2188" s="8" t="str">
        <f>"59714"</f>
        <v>59714</v>
      </c>
      <c r="AK2188" t="s">
        <v>118</v>
      </c>
      <c r="AM2188" s="10">
        <v>14437458081</v>
      </c>
      <c r="AO2188" t="s">
        <v>6849</v>
      </c>
      <c r="AP2188" t="s">
        <v>121</v>
      </c>
      <c r="AQ2188" t="s">
        <v>929</v>
      </c>
      <c r="AR2188" t="s">
        <v>930</v>
      </c>
      <c r="AS2188" t="s">
        <v>931</v>
      </c>
      <c r="AT2188" t="s">
        <v>932</v>
      </c>
      <c r="AU2188" t="s">
        <v>132</v>
      </c>
      <c r="AV2188" t="s">
        <v>933</v>
      </c>
      <c r="AW2188" t="s">
        <v>740</v>
      </c>
      <c r="AX2188" s="8" t="str">
        <f>"50010"</f>
        <v>50010</v>
      </c>
      <c r="AY2188" t="s">
        <v>118</v>
      </c>
      <c r="BA2188" s="10">
        <v>15152324444</v>
      </c>
      <c r="BB2188">
        <v>0</v>
      </c>
      <c r="BC2188" t="s">
        <v>934</v>
      </c>
      <c r="BD2188" t="s">
        <v>935</v>
      </c>
      <c r="BE2188" t="s">
        <v>740</v>
      </c>
      <c r="BF2188" t="s">
        <v>172</v>
      </c>
      <c r="BG2188" t="s">
        <v>892</v>
      </c>
      <c r="BH2188" s="1">
        <v>45109.833333333336</v>
      </c>
      <c r="BI2188">
        <v>40</v>
      </c>
      <c r="BJ2188">
        <v>0</v>
      </c>
      <c r="BK2188">
        <v>7</v>
      </c>
      <c r="BL2188">
        <v>7</v>
      </c>
      <c r="BM2188">
        <v>7</v>
      </c>
      <c r="BN2188">
        <v>7</v>
      </c>
      <c r="BO2188">
        <v>7</v>
      </c>
      <c r="BP2188">
        <v>5</v>
      </c>
      <c r="BQ2188" t="str">
        <f>"7:00 AM"</f>
        <v>7:00 AM</v>
      </c>
      <c r="BR2188" t="str">
        <f>"5:00 PM"</f>
        <v>5:00 PM</v>
      </c>
      <c r="BS2188" t="s">
        <v>131</v>
      </c>
      <c r="BT2188">
        <v>0</v>
      </c>
      <c r="BU2188">
        <v>0</v>
      </c>
      <c r="BV2188" t="s">
        <v>114</v>
      </c>
      <c r="BX2188" t="s">
        <v>6850</v>
      </c>
      <c r="BY2188" t="s">
        <v>6851</v>
      </c>
      <c r="CA2188" t="s">
        <v>891</v>
      </c>
      <c r="CB2188" t="s">
        <v>892</v>
      </c>
      <c r="CC2188" s="8" t="str">
        <f>"59720"</f>
        <v>59720</v>
      </c>
      <c r="CD2188" t="s">
        <v>1957</v>
      </c>
      <c r="CE2188" t="s">
        <v>909</v>
      </c>
      <c r="CF2188" s="12">
        <v>20.82</v>
      </c>
      <c r="CH2188" s="12">
        <v>31.23</v>
      </c>
      <c r="CJ2188" t="s">
        <v>135</v>
      </c>
      <c r="CK2188" t="s">
        <v>2842</v>
      </c>
      <c r="CL2188" t="s">
        <v>6852</v>
      </c>
      <c r="CO2188" t="s">
        <v>132</v>
      </c>
      <c r="CP2188" t="s">
        <v>114</v>
      </c>
      <c r="CQ2188" t="s">
        <v>136</v>
      </c>
      <c r="CR2188" t="s">
        <v>114</v>
      </c>
      <c r="CS2188" t="s">
        <v>136</v>
      </c>
      <c r="CT2188" t="s">
        <v>136</v>
      </c>
      <c r="CU2188" t="s">
        <v>136</v>
      </c>
      <c r="CV2188" t="s">
        <v>6853</v>
      </c>
      <c r="CW2188" s="10" t="str">
        <f>"+14437458081"</f>
        <v>+14437458081</v>
      </c>
      <c r="CX2188" t="s">
        <v>6849</v>
      </c>
      <c r="CY2188" t="s">
        <v>132</v>
      </c>
      <c r="CZ2188" t="s">
        <v>137</v>
      </c>
      <c r="DA2188" t="s">
        <v>114</v>
      </c>
      <c r="DB2188" t="s">
        <v>136</v>
      </c>
      <c r="DC2188" t="s">
        <v>136</v>
      </c>
      <c r="DD2188" t="s">
        <v>114</v>
      </c>
    </row>
    <row r="2189" spans="1:113" ht="15" customHeight="1" x14ac:dyDescent="0.25">
      <c r="A2189" t="s">
        <v>10738</v>
      </c>
      <c r="B2189" t="s">
        <v>113</v>
      </c>
      <c r="C2189" s="1">
        <v>45112.447999189812</v>
      </c>
      <c r="D2189" s="1">
        <v>45203</v>
      </c>
      <c r="E2189" t="s">
        <v>136</v>
      </c>
      <c r="F2189" t="s">
        <v>10739</v>
      </c>
      <c r="G2189" t="str">
        <f>"47-2152.00"</f>
        <v>47-2152.00</v>
      </c>
      <c r="H2189" t="s">
        <v>532</v>
      </c>
      <c r="I2189">
        <v>150</v>
      </c>
      <c r="K2189" s="1">
        <v>45200</v>
      </c>
      <c r="L2189" s="1">
        <v>45322</v>
      </c>
      <c r="O2189" t="s">
        <v>184</v>
      </c>
      <c r="P2189" t="s">
        <v>8918</v>
      </c>
      <c r="R2189" t="s">
        <v>8919</v>
      </c>
      <c r="S2189" t="s">
        <v>8920</v>
      </c>
      <c r="T2189" t="s">
        <v>1264</v>
      </c>
      <c r="U2189" t="s">
        <v>127</v>
      </c>
      <c r="V2189" s="8" t="str">
        <f>"75240"</f>
        <v>75240</v>
      </c>
      <c r="W2189" t="s">
        <v>118</v>
      </c>
      <c r="Y2189" s="10">
        <v>18174559189</v>
      </c>
      <c r="AA2189">
        <v>23899</v>
      </c>
      <c r="AB2189" t="s">
        <v>8921</v>
      </c>
      <c r="AC2189" t="s">
        <v>2449</v>
      </c>
      <c r="AE2189" t="s">
        <v>8922</v>
      </c>
      <c r="AF2189" t="s">
        <v>10740</v>
      </c>
      <c r="AG2189" t="s">
        <v>8920</v>
      </c>
      <c r="AH2189" t="s">
        <v>1264</v>
      </c>
      <c r="AI2189" t="s">
        <v>127</v>
      </c>
      <c r="AJ2189" s="8" t="str">
        <f>"75240"</f>
        <v>75240</v>
      </c>
      <c r="AK2189" t="s">
        <v>118</v>
      </c>
      <c r="AM2189" s="10">
        <v>18174559189</v>
      </c>
      <c r="AO2189" t="s">
        <v>8923</v>
      </c>
      <c r="AP2189" t="s">
        <v>121</v>
      </c>
      <c r="AQ2189" t="s">
        <v>8924</v>
      </c>
      <c r="AR2189" t="s">
        <v>8925</v>
      </c>
      <c r="AS2189" t="s">
        <v>1738</v>
      </c>
      <c r="AT2189" t="s">
        <v>8926</v>
      </c>
      <c r="AU2189" t="s">
        <v>8927</v>
      </c>
      <c r="AV2189" t="s">
        <v>3107</v>
      </c>
      <c r="AW2189" t="s">
        <v>434</v>
      </c>
      <c r="AX2189" s="8" t="str">
        <f>"15222"</f>
        <v>15222</v>
      </c>
      <c r="AY2189" t="s">
        <v>118</v>
      </c>
      <c r="BA2189" s="10">
        <v>14124562821</v>
      </c>
      <c r="BB2189">
        <v>2821</v>
      </c>
      <c r="BC2189" t="s">
        <v>8928</v>
      </c>
      <c r="BD2189" t="s">
        <v>8929</v>
      </c>
      <c r="BE2189" t="s">
        <v>434</v>
      </c>
      <c r="BF2189" t="s">
        <v>10741</v>
      </c>
      <c r="BG2189" t="s">
        <v>127</v>
      </c>
      <c r="BH2189" s="1">
        <v>45111.833333333336</v>
      </c>
      <c r="BI2189">
        <v>40</v>
      </c>
      <c r="BJ2189">
        <v>0</v>
      </c>
      <c r="BK2189">
        <v>8</v>
      </c>
      <c r="BL2189">
        <v>8</v>
      </c>
      <c r="BM2189">
        <v>8</v>
      </c>
      <c r="BN2189">
        <v>8</v>
      </c>
      <c r="BO2189">
        <v>8</v>
      </c>
      <c r="BP2189">
        <v>0</v>
      </c>
      <c r="BQ2189" t="str">
        <f>"7:30 AM"</f>
        <v>7:30 AM</v>
      </c>
      <c r="BR2189" t="str">
        <f>"3:30 PM"</f>
        <v>3:30 PM</v>
      </c>
      <c r="BS2189" t="s">
        <v>131</v>
      </c>
      <c r="BT2189">
        <v>0</v>
      </c>
      <c r="BU2189">
        <v>24</v>
      </c>
      <c r="BV2189" t="s">
        <v>114</v>
      </c>
      <c r="BX2189" s="2" t="s">
        <v>10742</v>
      </c>
      <c r="BY2189" t="s">
        <v>8931</v>
      </c>
      <c r="CA2189" t="s">
        <v>2161</v>
      </c>
      <c r="CB2189" t="s">
        <v>127</v>
      </c>
      <c r="CC2189" s="8" t="str">
        <f>"78409"</f>
        <v>78409</v>
      </c>
      <c r="CD2189" t="s">
        <v>2162</v>
      </c>
      <c r="CE2189" t="s">
        <v>2163</v>
      </c>
      <c r="CF2189" s="12">
        <v>26.34</v>
      </c>
      <c r="CG2189" s="12">
        <v>26.34</v>
      </c>
      <c r="CH2189" s="12">
        <v>39.51</v>
      </c>
      <c r="CI2189" s="12">
        <v>39.51</v>
      </c>
      <c r="CJ2189" t="s">
        <v>135</v>
      </c>
      <c r="CK2189" t="s">
        <v>8932</v>
      </c>
      <c r="CL2189" t="s">
        <v>10743</v>
      </c>
      <c r="CO2189" t="s">
        <v>132</v>
      </c>
      <c r="CP2189" t="s">
        <v>136</v>
      </c>
      <c r="CQ2189" t="s">
        <v>114</v>
      </c>
      <c r="CR2189" t="s">
        <v>136</v>
      </c>
      <c r="CS2189" t="s">
        <v>114</v>
      </c>
      <c r="CT2189" t="s">
        <v>136</v>
      </c>
      <c r="CU2189" t="s">
        <v>114</v>
      </c>
      <c r="CV2189" t="s">
        <v>10744</v>
      </c>
      <c r="CW2189" s="10" t="str">
        <f>"+18174559189"</f>
        <v>+18174559189</v>
      </c>
      <c r="CX2189" t="s">
        <v>8935</v>
      </c>
      <c r="CY2189" t="s">
        <v>132</v>
      </c>
      <c r="CZ2189" t="s">
        <v>137</v>
      </c>
      <c r="DA2189" t="s">
        <v>114</v>
      </c>
      <c r="DB2189" t="s">
        <v>136</v>
      </c>
      <c r="DC2189" t="s">
        <v>136</v>
      </c>
      <c r="DD2189" t="s">
        <v>114</v>
      </c>
    </row>
    <row r="2190" spans="1:113" ht="15" customHeight="1" x14ac:dyDescent="0.25">
      <c r="A2190" t="s">
        <v>8917</v>
      </c>
      <c r="B2190" t="s">
        <v>113</v>
      </c>
      <c r="C2190" s="1">
        <v>45112.444507986111</v>
      </c>
      <c r="D2190" s="1">
        <v>45203</v>
      </c>
      <c r="E2190" t="s">
        <v>136</v>
      </c>
      <c r="F2190" t="s">
        <v>1550</v>
      </c>
      <c r="G2190" t="str">
        <f>"51-4121.00"</f>
        <v>51-4121.00</v>
      </c>
      <c r="H2190" t="s">
        <v>815</v>
      </c>
      <c r="I2190">
        <v>80</v>
      </c>
      <c r="K2190" s="1">
        <v>45200</v>
      </c>
      <c r="L2190" s="1">
        <v>45322</v>
      </c>
      <c r="O2190" t="s">
        <v>184</v>
      </c>
      <c r="P2190" t="s">
        <v>8918</v>
      </c>
      <c r="R2190" t="s">
        <v>8919</v>
      </c>
      <c r="S2190" t="s">
        <v>8920</v>
      </c>
      <c r="T2190" t="s">
        <v>1264</v>
      </c>
      <c r="U2190" t="s">
        <v>127</v>
      </c>
      <c r="V2190" s="8" t="str">
        <f>"75240"</f>
        <v>75240</v>
      </c>
      <c r="W2190" t="s">
        <v>118</v>
      </c>
      <c r="Y2190" s="10">
        <v>18174559189</v>
      </c>
      <c r="AA2190">
        <v>23899</v>
      </c>
      <c r="AB2190" t="s">
        <v>8921</v>
      </c>
      <c r="AC2190" t="s">
        <v>2449</v>
      </c>
      <c r="AE2190" t="s">
        <v>8922</v>
      </c>
      <c r="AF2190" t="s">
        <v>8919</v>
      </c>
      <c r="AG2190" t="s">
        <v>8920</v>
      </c>
      <c r="AH2190" t="s">
        <v>1264</v>
      </c>
      <c r="AI2190" t="s">
        <v>127</v>
      </c>
      <c r="AJ2190" s="8" t="str">
        <f>"75240"</f>
        <v>75240</v>
      </c>
      <c r="AK2190" t="s">
        <v>118</v>
      </c>
      <c r="AM2190" s="10">
        <v>18174559189</v>
      </c>
      <c r="AO2190" t="s">
        <v>8923</v>
      </c>
      <c r="AP2190" t="s">
        <v>121</v>
      </c>
      <c r="AQ2190" t="s">
        <v>8924</v>
      </c>
      <c r="AR2190" t="s">
        <v>8925</v>
      </c>
      <c r="AS2190" t="s">
        <v>1738</v>
      </c>
      <c r="AT2190" t="s">
        <v>8926</v>
      </c>
      <c r="AU2190" t="s">
        <v>8927</v>
      </c>
      <c r="AV2190" t="s">
        <v>3107</v>
      </c>
      <c r="AW2190" t="s">
        <v>434</v>
      </c>
      <c r="AX2190" s="8" t="str">
        <f>"15222"</f>
        <v>15222</v>
      </c>
      <c r="AY2190" t="s">
        <v>118</v>
      </c>
      <c r="BA2190" s="10">
        <v>14124562821</v>
      </c>
      <c r="BB2190">
        <v>2821</v>
      </c>
      <c r="BC2190" t="s">
        <v>8928</v>
      </c>
      <c r="BD2190" t="s">
        <v>8929</v>
      </c>
      <c r="BE2190" t="s">
        <v>434</v>
      </c>
      <c r="BF2190" t="s">
        <v>172</v>
      </c>
      <c r="BG2190" t="s">
        <v>127</v>
      </c>
      <c r="BH2190" s="1">
        <v>45111.833333333336</v>
      </c>
      <c r="BI2190">
        <v>40</v>
      </c>
      <c r="BJ2190">
        <v>0</v>
      </c>
      <c r="BK2190">
        <v>8</v>
      </c>
      <c r="BL2190">
        <v>8</v>
      </c>
      <c r="BM2190">
        <v>8</v>
      </c>
      <c r="BN2190">
        <v>8</v>
      </c>
      <c r="BO2190">
        <v>8</v>
      </c>
      <c r="BP2190">
        <v>0</v>
      </c>
      <c r="BQ2190" t="str">
        <f>"7:30 AM"</f>
        <v>7:30 AM</v>
      </c>
      <c r="BR2190" t="str">
        <f>"3:30 PM"</f>
        <v>3:30 PM</v>
      </c>
      <c r="BS2190" t="s">
        <v>131</v>
      </c>
      <c r="BT2190">
        <v>0</v>
      </c>
      <c r="BU2190">
        <v>24</v>
      </c>
      <c r="BV2190" t="s">
        <v>114</v>
      </c>
      <c r="BX2190" s="2" t="s">
        <v>8930</v>
      </c>
      <c r="BY2190" t="s">
        <v>8931</v>
      </c>
      <c r="CA2190" t="s">
        <v>2161</v>
      </c>
      <c r="CB2190" t="s">
        <v>127</v>
      </c>
      <c r="CC2190" s="8" t="str">
        <f>"78409"</f>
        <v>78409</v>
      </c>
      <c r="CD2190" t="s">
        <v>2162</v>
      </c>
      <c r="CE2190" t="s">
        <v>2163</v>
      </c>
      <c r="CF2190" s="12">
        <v>26.43</v>
      </c>
      <c r="CG2190" s="12">
        <v>26.43</v>
      </c>
      <c r="CH2190" s="12">
        <v>39.65</v>
      </c>
      <c r="CI2190" s="12">
        <v>39.65</v>
      </c>
      <c r="CJ2190" t="s">
        <v>135</v>
      </c>
      <c r="CK2190" t="s">
        <v>8932</v>
      </c>
      <c r="CL2190" t="s">
        <v>8933</v>
      </c>
      <c r="CO2190" t="s">
        <v>132</v>
      </c>
      <c r="CP2190" t="s">
        <v>136</v>
      </c>
      <c r="CQ2190" t="s">
        <v>114</v>
      </c>
      <c r="CR2190" t="s">
        <v>136</v>
      </c>
      <c r="CS2190" t="s">
        <v>114</v>
      </c>
      <c r="CT2190" t="s">
        <v>136</v>
      </c>
      <c r="CU2190" t="s">
        <v>114</v>
      </c>
      <c r="CV2190" t="s">
        <v>8934</v>
      </c>
      <c r="CW2190" s="10" t="str">
        <f>"+18174559189"</f>
        <v>+18174559189</v>
      </c>
      <c r="CX2190" t="s">
        <v>8935</v>
      </c>
      <c r="CY2190" t="s">
        <v>132</v>
      </c>
      <c r="CZ2190" t="s">
        <v>137</v>
      </c>
      <c r="DA2190" t="s">
        <v>114</v>
      </c>
      <c r="DB2190" t="s">
        <v>136</v>
      </c>
      <c r="DC2190" t="s">
        <v>136</v>
      </c>
      <c r="DD2190" t="s">
        <v>114</v>
      </c>
    </row>
    <row r="2191" spans="1:113" ht="15" customHeight="1" x14ac:dyDescent="0.25">
      <c r="A2191" t="s">
        <v>8404</v>
      </c>
      <c r="B2191" t="s">
        <v>113</v>
      </c>
      <c r="C2191" s="1">
        <v>45110.856843981484</v>
      </c>
      <c r="D2191" s="1">
        <v>45203</v>
      </c>
      <c r="E2191" t="s">
        <v>114</v>
      </c>
      <c r="F2191" t="s">
        <v>8405</v>
      </c>
      <c r="G2191" t="str">
        <f>"49-3021.00"</f>
        <v>49-3021.00</v>
      </c>
      <c r="H2191" t="s">
        <v>8406</v>
      </c>
      <c r="I2191">
        <v>1</v>
      </c>
      <c r="K2191" s="1">
        <v>45200</v>
      </c>
      <c r="L2191" s="1">
        <v>45473</v>
      </c>
      <c r="O2191" t="s">
        <v>116</v>
      </c>
      <c r="P2191" t="s">
        <v>8407</v>
      </c>
      <c r="Q2191" t="s">
        <v>8408</v>
      </c>
      <c r="R2191" t="s">
        <v>8409</v>
      </c>
      <c r="T2191" t="s">
        <v>3255</v>
      </c>
      <c r="U2191" t="s">
        <v>127</v>
      </c>
      <c r="V2191" s="8" t="str">
        <f>"75067"</f>
        <v>75067</v>
      </c>
      <c r="W2191" t="s">
        <v>118</v>
      </c>
      <c r="Y2191" s="10">
        <v>14699489500</v>
      </c>
      <c r="AA2191">
        <v>8111</v>
      </c>
      <c r="AB2191" t="s">
        <v>7293</v>
      </c>
      <c r="AC2191" t="s">
        <v>2320</v>
      </c>
      <c r="AD2191" t="s">
        <v>2371</v>
      </c>
      <c r="AE2191" t="s">
        <v>8410</v>
      </c>
      <c r="AF2191" t="s">
        <v>8409</v>
      </c>
      <c r="AH2191" t="s">
        <v>3255</v>
      </c>
      <c r="AI2191" t="s">
        <v>127</v>
      </c>
      <c r="AJ2191" s="8" t="str">
        <f>"75067"</f>
        <v>75067</v>
      </c>
      <c r="AK2191" t="s">
        <v>118</v>
      </c>
      <c r="AM2191" s="10">
        <v>14699489500</v>
      </c>
      <c r="AO2191" t="s">
        <v>8411</v>
      </c>
      <c r="AP2191" t="s">
        <v>121</v>
      </c>
      <c r="AQ2191" t="s">
        <v>273</v>
      </c>
      <c r="AR2191" t="s">
        <v>8412</v>
      </c>
      <c r="AS2191" t="s">
        <v>3318</v>
      </c>
      <c r="AT2191" t="s">
        <v>8413</v>
      </c>
      <c r="AU2191" t="s">
        <v>8414</v>
      </c>
      <c r="AV2191" t="s">
        <v>5539</v>
      </c>
      <c r="AW2191" t="s">
        <v>6049</v>
      </c>
      <c r="AX2191" s="8" t="str">
        <f>"20004"</f>
        <v>20004</v>
      </c>
      <c r="AY2191" t="s">
        <v>118</v>
      </c>
      <c r="BA2191" s="10">
        <v>12026406684</v>
      </c>
      <c r="BC2191" t="s">
        <v>8415</v>
      </c>
      <c r="BD2191" t="s">
        <v>8416</v>
      </c>
      <c r="BE2191" t="s">
        <v>6049</v>
      </c>
      <c r="BF2191" t="s">
        <v>2118</v>
      </c>
      <c r="BG2191" t="s">
        <v>402</v>
      </c>
      <c r="BH2191" s="1">
        <v>45104.833333333336</v>
      </c>
      <c r="BI2191">
        <v>40</v>
      </c>
      <c r="BJ2191">
        <v>0</v>
      </c>
      <c r="BK2191">
        <v>8</v>
      </c>
      <c r="BL2191">
        <v>8</v>
      </c>
      <c r="BM2191">
        <v>8</v>
      </c>
      <c r="BN2191">
        <v>8</v>
      </c>
      <c r="BO2191">
        <v>8</v>
      </c>
      <c r="BP2191">
        <v>0</v>
      </c>
      <c r="BQ2191" t="str">
        <f>"7:30 AM"</f>
        <v>7:30 AM</v>
      </c>
      <c r="BR2191" t="str">
        <f>"5:30 PM"</f>
        <v>5:30 PM</v>
      </c>
      <c r="BS2191" t="s">
        <v>131</v>
      </c>
      <c r="BT2191">
        <v>0</v>
      </c>
      <c r="BU2191">
        <v>6</v>
      </c>
      <c r="BV2191" t="s">
        <v>114</v>
      </c>
      <c r="BX2191" s="2" t="s">
        <v>8417</v>
      </c>
      <c r="BY2191" t="s">
        <v>8418</v>
      </c>
      <c r="CA2191" t="s">
        <v>8419</v>
      </c>
      <c r="CB2191" t="s">
        <v>402</v>
      </c>
      <c r="CC2191" s="8" t="str">
        <f>"95340"</f>
        <v>95340</v>
      </c>
      <c r="CD2191" t="s">
        <v>8420</v>
      </c>
      <c r="CE2191" t="s">
        <v>8421</v>
      </c>
      <c r="CF2191" s="12">
        <v>25.93</v>
      </c>
      <c r="CH2191" s="12">
        <v>38.9</v>
      </c>
      <c r="CJ2191" t="s">
        <v>135</v>
      </c>
      <c r="CL2191" t="s">
        <v>8422</v>
      </c>
      <c r="CO2191" t="s">
        <v>132</v>
      </c>
      <c r="CP2191" t="s">
        <v>114</v>
      </c>
      <c r="CQ2191" t="s">
        <v>136</v>
      </c>
      <c r="CR2191" t="s">
        <v>136</v>
      </c>
      <c r="CS2191" t="s">
        <v>136</v>
      </c>
      <c r="CT2191" t="s">
        <v>136</v>
      </c>
      <c r="CU2191" t="s">
        <v>136</v>
      </c>
      <c r="CV2191" t="s">
        <v>8423</v>
      </c>
      <c r="CW2191" s="10" t="str">
        <f>"N/A"</f>
        <v>N/A</v>
      </c>
      <c r="CX2191" t="s">
        <v>8424</v>
      </c>
      <c r="CY2191" t="s">
        <v>8425</v>
      </c>
      <c r="CZ2191" t="s">
        <v>137</v>
      </c>
      <c r="DA2191" t="s">
        <v>114</v>
      </c>
      <c r="DB2191" t="s">
        <v>136</v>
      </c>
      <c r="DC2191" t="s">
        <v>136</v>
      </c>
      <c r="DD2191" t="s">
        <v>114</v>
      </c>
    </row>
    <row r="2192" spans="1:113" ht="15" customHeight="1" x14ac:dyDescent="0.25">
      <c r="A2192" t="s">
        <v>16048</v>
      </c>
      <c r="B2192" t="s">
        <v>113</v>
      </c>
      <c r="C2192" s="1">
        <v>45110.850831365744</v>
      </c>
      <c r="D2192" s="1">
        <v>45203</v>
      </c>
      <c r="E2192" t="s">
        <v>114</v>
      </c>
      <c r="F2192" t="s">
        <v>8405</v>
      </c>
      <c r="G2192" t="str">
        <f>"49-3021.00"</f>
        <v>49-3021.00</v>
      </c>
      <c r="H2192" t="s">
        <v>8406</v>
      </c>
      <c r="I2192">
        <v>4</v>
      </c>
      <c r="K2192" s="1">
        <v>45200</v>
      </c>
      <c r="L2192" s="1">
        <v>45473</v>
      </c>
      <c r="O2192" t="s">
        <v>116</v>
      </c>
      <c r="P2192" t="s">
        <v>8407</v>
      </c>
      <c r="Q2192" t="s">
        <v>8408</v>
      </c>
      <c r="R2192" t="s">
        <v>8409</v>
      </c>
      <c r="T2192" t="s">
        <v>3255</v>
      </c>
      <c r="U2192" t="s">
        <v>127</v>
      </c>
      <c r="V2192" s="8" t="str">
        <f>"75067"</f>
        <v>75067</v>
      </c>
      <c r="W2192" t="s">
        <v>118</v>
      </c>
      <c r="Y2192" s="10">
        <v>14699489500</v>
      </c>
      <c r="AA2192">
        <v>8111</v>
      </c>
      <c r="AB2192" t="s">
        <v>7293</v>
      </c>
      <c r="AC2192" t="s">
        <v>2320</v>
      </c>
      <c r="AD2192" t="s">
        <v>2371</v>
      </c>
      <c r="AE2192" t="s">
        <v>8410</v>
      </c>
      <c r="AF2192" t="s">
        <v>8409</v>
      </c>
      <c r="AH2192" t="s">
        <v>3255</v>
      </c>
      <c r="AI2192" t="s">
        <v>127</v>
      </c>
      <c r="AJ2192" s="8" t="str">
        <f>"75067"</f>
        <v>75067</v>
      </c>
      <c r="AK2192" t="s">
        <v>118</v>
      </c>
      <c r="AM2192" s="10">
        <v>14699489500</v>
      </c>
      <c r="AO2192" t="s">
        <v>8411</v>
      </c>
      <c r="AP2192" t="s">
        <v>121</v>
      </c>
      <c r="AQ2192" t="s">
        <v>273</v>
      </c>
      <c r="AR2192" t="s">
        <v>8412</v>
      </c>
      <c r="AS2192" t="s">
        <v>3318</v>
      </c>
      <c r="AT2192" t="s">
        <v>8413</v>
      </c>
      <c r="AU2192" t="s">
        <v>8414</v>
      </c>
      <c r="AV2192" t="s">
        <v>10050</v>
      </c>
      <c r="AW2192" t="s">
        <v>6049</v>
      </c>
      <c r="AX2192" s="8" t="str">
        <f>"20004"</f>
        <v>20004</v>
      </c>
      <c r="AY2192" t="s">
        <v>118</v>
      </c>
      <c r="BA2192" s="10">
        <v>12026406684</v>
      </c>
      <c r="BC2192" t="s">
        <v>8415</v>
      </c>
      <c r="BD2192" t="s">
        <v>8416</v>
      </c>
      <c r="BE2192" t="s">
        <v>6049</v>
      </c>
      <c r="BF2192" t="s">
        <v>2118</v>
      </c>
      <c r="BG2192" t="s">
        <v>402</v>
      </c>
      <c r="BH2192" s="1">
        <v>45104.833333333336</v>
      </c>
      <c r="BI2192">
        <v>40</v>
      </c>
      <c r="BJ2192">
        <v>0</v>
      </c>
      <c r="BK2192">
        <v>8</v>
      </c>
      <c r="BL2192">
        <v>8</v>
      </c>
      <c r="BM2192">
        <v>8</v>
      </c>
      <c r="BN2192">
        <v>8</v>
      </c>
      <c r="BO2192">
        <v>8</v>
      </c>
      <c r="BP2192">
        <v>0</v>
      </c>
      <c r="BQ2192" t="str">
        <f>"7:30 AM"</f>
        <v>7:30 AM</v>
      </c>
      <c r="BR2192" t="str">
        <f>"5:30 PM"</f>
        <v>5:30 PM</v>
      </c>
      <c r="BS2192" t="s">
        <v>131</v>
      </c>
      <c r="BT2192">
        <v>0</v>
      </c>
      <c r="BU2192">
        <v>6</v>
      </c>
      <c r="BV2192" t="s">
        <v>114</v>
      </c>
      <c r="BX2192" s="2" t="s">
        <v>16049</v>
      </c>
      <c r="BY2192" t="s">
        <v>16050</v>
      </c>
      <c r="CA2192" t="s">
        <v>16051</v>
      </c>
      <c r="CB2192" t="s">
        <v>402</v>
      </c>
      <c r="CC2192" s="8" t="str">
        <f>"95662"</f>
        <v>95662</v>
      </c>
      <c r="CD2192" t="s">
        <v>7030</v>
      </c>
      <c r="CE2192" t="s">
        <v>728</v>
      </c>
      <c r="CF2192" s="12">
        <v>28.8</v>
      </c>
      <c r="CH2192" s="12">
        <v>43.2</v>
      </c>
      <c r="CJ2192" t="s">
        <v>135</v>
      </c>
      <c r="CL2192" t="s">
        <v>16052</v>
      </c>
      <c r="CO2192" t="s">
        <v>132</v>
      </c>
      <c r="CP2192" t="s">
        <v>114</v>
      </c>
      <c r="CQ2192" t="s">
        <v>136</v>
      </c>
      <c r="CR2192" t="s">
        <v>136</v>
      </c>
      <c r="CS2192" t="s">
        <v>136</v>
      </c>
      <c r="CT2192" t="s">
        <v>136</v>
      </c>
      <c r="CU2192" t="s">
        <v>136</v>
      </c>
      <c r="CV2192" s="2" t="s">
        <v>16053</v>
      </c>
      <c r="CW2192" s="10" t="str">
        <f>"N/A"</f>
        <v>N/A</v>
      </c>
      <c r="CX2192" t="s">
        <v>8424</v>
      </c>
      <c r="CY2192" t="s">
        <v>8425</v>
      </c>
      <c r="CZ2192" t="s">
        <v>137</v>
      </c>
      <c r="DA2192" t="s">
        <v>114</v>
      </c>
      <c r="DB2192" t="s">
        <v>136</v>
      </c>
      <c r="DC2192" t="s">
        <v>136</v>
      </c>
      <c r="DD2192" t="s">
        <v>114</v>
      </c>
    </row>
    <row r="2193" spans="1:113" ht="15" customHeight="1" x14ac:dyDescent="0.25">
      <c r="A2193" t="s">
        <v>15701</v>
      </c>
      <c r="B2193" t="s">
        <v>113</v>
      </c>
      <c r="C2193" s="1">
        <v>45110.847650694443</v>
      </c>
      <c r="D2193" s="1">
        <v>45203</v>
      </c>
      <c r="E2193" t="s">
        <v>114</v>
      </c>
      <c r="F2193" t="s">
        <v>8405</v>
      </c>
      <c r="G2193" t="str">
        <f>"49-3021.00"</f>
        <v>49-3021.00</v>
      </c>
      <c r="H2193" t="s">
        <v>8406</v>
      </c>
      <c r="I2193">
        <v>1</v>
      </c>
      <c r="K2193" s="1">
        <v>45200</v>
      </c>
      <c r="L2193" s="1">
        <v>45473</v>
      </c>
      <c r="O2193" t="s">
        <v>116</v>
      </c>
      <c r="P2193" t="s">
        <v>8407</v>
      </c>
      <c r="Q2193" t="s">
        <v>8408</v>
      </c>
      <c r="R2193" t="s">
        <v>8409</v>
      </c>
      <c r="T2193" t="s">
        <v>3255</v>
      </c>
      <c r="U2193" t="s">
        <v>127</v>
      </c>
      <c r="V2193" s="8" t="str">
        <f>"75067"</f>
        <v>75067</v>
      </c>
      <c r="W2193" t="s">
        <v>118</v>
      </c>
      <c r="Y2193" s="10">
        <v>14699489500</v>
      </c>
      <c r="AA2193">
        <v>8111</v>
      </c>
      <c r="AB2193" t="s">
        <v>7293</v>
      </c>
      <c r="AC2193" t="s">
        <v>2320</v>
      </c>
      <c r="AD2193" t="s">
        <v>2371</v>
      </c>
      <c r="AE2193" t="s">
        <v>8410</v>
      </c>
      <c r="AF2193" t="s">
        <v>8409</v>
      </c>
      <c r="AH2193" t="s">
        <v>3255</v>
      </c>
      <c r="AI2193" t="s">
        <v>127</v>
      </c>
      <c r="AJ2193" s="8" t="str">
        <f>"75067"</f>
        <v>75067</v>
      </c>
      <c r="AK2193" t="s">
        <v>118</v>
      </c>
      <c r="AM2193" s="10">
        <v>14699489500</v>
      </c>
      <c r="AO2193" t="s">
        <v>8411</v>
      </c>
      <c r="AP2193" t="s">
        <v>121</v>
      </c>
      <c r="AQ2193" t="s">
        <v>273</v>
      </c>
      <c r="AR2193" t="s">
        <v>8412</v>
      </c>
      <c r="AS2193" t="s">
        <v>3318</v>
      </c>
      <c r="AT2193" t="s">
        <v>8413</v>
      </c>
      <c r="AU2193" t="s">
        <v>8414</v>
      </c>
      <c r="AV2193" t="s">
        <v>10050</v>
      </c>
      <c r="AW2193" t="s">
        <v>6049</v>
      </c>
      <c r="AX2193" s="8" t="str">
        <f>"20004"</f>
        <v>20004</v>
      </c>
      <c r="AY2193" t="s">
        <v>118</v>
      </c>
      <c r="BA2193" s="10">
        <v>12026406684</v>
      </c>
      <c r="BC2193" t="s">
        <v>8415</v>
      </c>
      <c r="BD2193" t="s">
        <v>8416</v>
      </c>
      <c r="BE2193" t="s">
        <v>6049</v>
      </c>
      <c r="BF2193" t="s">
        <v>2118</v>
      </c>
      <c r="BG2193" t="s">
        <v>402</v>
      </c>
      <c r="BH2193" s="1">
        <v>45104.833333333336</v>
      </c>
      <c r="BI2193">
        <v>40</v>
      </c>
      <c r="BJ2193">
        <v>0</v>
      </c>
      <c r="BK2193">
        <v>8</v>
      </c>
      <c r="BL2193">
        <v>8</v>
      </c>
      <c r="BM2193">
        <v>8</v>
      </c>
      <c r="BN2193">
        <v>8</v>
      </c>
      <c r="BO2193">
        <v>8</v>
      </c>
      <c r="BP2193">
        <v>0</v>
      </c>
      <c r="BQ2193" t="str">
        <f>"7:30 AM"</f>
        <v>7:30 AM</v>
      </c>
      <c r="BR2193" t="str">
        <f>"5:30 PM"</f>
        <v>5:30 PM</v>
      </c>
      <c r="BS2193" t="s">
        <v>131</v>
      </c>
      <c r="BT2193">
        <v>0</v>
      </c>
      <c r="BU2193">
        <v>6</v>
      </c>
      <c r="BV2193" t="s">
        <v>114</v>
      </c>
      <c r="BX2193" s="2" t="s">
        <v>8417</v>
      </c>
      <c r="BY2193" t="s">
        <v>15702</v>
      </c>
      <c r="CA2193" t="s">
        <v>3732</v>
      </c>
      <c r="CB2193" t="s">
        <v>402</v>
      </c>
      <c r="CC2193" s="8" t="str">
        <f>"95678"</f>
        <v>95678</v>
      </c>
      <c r="CD2193" t="s">
        <v>4745</v>
      </c>
      <c r="CE2193" t="s">
        <v>728</v>
      </c>
      <c r="CF2193" s="12">
        <v>28.8</v>
      </c>
      <c r="CH2193" s="12">
        <v>43.2</v>
      </c>
      <c r="CJ2193" t="s">
        <v>135</v>
      </c>
      <c r="CL2193" t="s">
        <v>15703</v>
      </c>
      <c r="CO2193" t="s">
        <v>132</v>
      </c>
      <c r="CP2193" t="s">
        <v>114</v>
      </c>
      <c r="CQ2193" t="s">
        <v>136</v>
      </c>
      <c r="CR2193" t="s">
        <v>136</v>
      </c>
      <c r="CS2193" t="s">
        <v>136</v>
      </c>
      <c r="CT2193" t="s">
        <v>136</v>
      </c>
      <c r="CU2193" t="s">
        <v>136</v>
      </c>
      <c r="CV2193" t="s">
        <v>8423</v>
      </c>
      <c r="CW2193" s="10" t="str">
        <f>"N/A"</f>
        <v>N/A</v>
      </c>
      <c r="CX2193" t="s">
        <v>8424</v>
      </c>
      <c r="CY2193" t="s">
        <v>8425</v>
      </c>
      <c r="CZ2193" t="s">
        <v>137</v>
      </c>
      <c r="DA2193" t="s">
        <v>114</v>
      </c>
      <c r="DB2193" t="s">
        <v>136</v>
      </c>
      <c r="DC2193" t="s">
        <v>136</v>
      </c>
      <c r="DD2193" t="s">
        <v>114</v>
      </c>
    </row>
    <row r="2194" spans="1:113" ht="15" customHeight="1" x14ac:dyDescent="0.25">
      <c r="A2194" t="s">
        <v>19382</v>
      </c>
      <c r="B2194" t="s">
        <v>113</v>
      </c>
      <c r="C2194" s="1">
        <v>45110.833457407411</v>
      </c>
      <c r="D2194" s="1">
        <v>45203</v>
      </c>
      <c r="E2194" t="s">
        <v>114</v>
      </c>
      <c r="F2194" t="s">
        <v>8405</v>
      </c>
      <c r="G2194" t="str">
        <f>"49-3021.00"</f>
        <v>49-3021.00</v>
      </c>
      <c r="H2194" t="s">
        <v>8406</v>
      </c>
      <c r="I2194">
        <v>4</v>
      </c>
      <c r="K2194" s="1">
        <v>45200</v>
      </c>
      <c r="L2194" s="1">
        <v>45473</v>
      </c>
      <c r="O2194" t="s">
        <v>116</v>
      </c>
      <c r="P2194" t="s">
        <v>8407</v>
      </c>
      <c r="Q2194" t="s">
        <v>8408</v>
      </c>
      <c r="R2194" t="s">
        <v>8409</v>
      </c>
      <c r="T2194" t="s">
        <v>3255</v>
      </c>
      <c r="U2194" t="s">
        <v>127</v>
      </c>
      <c r="V2194" s="8" t="str">
        <f>"75067"</f>
        <v>75067</v>
      </c>
      <c r="W2194" t="s">
        <v>118</v>
      </c>
      <c r="Y2194" s="10">
        <v>14699489500</v>
      </c>
      <c r="AA2194">
        <v>8111</v>
      </c>
      <c r="AB2194" t="s">
        <v>7293</v>
      </c>
      <c r="AC2194" t="s">
        <v>2320</v>
      </c>
      <c r="AD2194" t="s">
        <v>2371</v>
      </c>
      <c r="AE2194" t="s">
        <v>8410</v>
      </c>
      <c r="AF2194" t="s">
        <v>8409</v>
      </c>
      <c r="AH2194" t="s">
        <v>3255</v>
      </c>
      <c r="AI2194" t="s">
        <v>127</v>
      </c>
      <c r="AJ2194" s="8" t="str">
        <f>"75067"</f>
        <v>75067</v>
      </c>
      <c r="AK2194" t="s">
        <v>118</v>
      </c>
      <c r="AM2194" s="10">
        <v>14699489500</v>
      </c>
      <c r="AO2194" t="s">
        <v>8411</v>
      </c>
      <c r="AP2194" t="s">
        <v>121</v>
      </c>
      <c r="AQ2194" t="s">
        <v>273</v>
      </c>
      <c r="AR2194" t="s">
        <v>8412</v>
      </c>
      <c r="AS2194" t="s">
        <v>3318</v>
      </c>
      <c r="AT2194" t="s">
        <v>8413</v>
      </c>
      <c r="AU2194" t="s">
        <v>8414</v>
      </c>
      <c r="AV2194" t="s">
        <v>5539</v>
      </c>
      <c r="AW2194" t="s">
        <v>6049</v>
      </c>
      <c r="AX2194" s="8" t="str">
        <f>"20004"</f>
        <v>20004</v>
      </c>
      <c r="AY2194" t="s">
        <v>118</v>
      </c>
      <c r="BA2194" s="10">
        <v>12026406684</v>
      </c>
      <c r="BC2194" t="s">
        <v>8415</v>
      </c>
      <c r="BD2194" t="s">
        <v>8416</v>
      </c>
      <c r="BE2194" t="s">
        <v>6049</v>
      </c>
      <c r="BF2194" t="s">
        <v>2118</v>
      </c>
      <c r="BG2194" t="s">
        <v>402</v>
      </c>
      <c r="BH2194" s="1">
        <v>45104.833333333336</v>
      </c>
      <c r="BI2194">
        <v>40</v>
      </c>
      <c r="BJ2194">
        <v>0</v>
      </c>
      <c r="BK2194">
        <v>8</v>
      </c>
      <c r="BL2194">
        <v>8</v>
      </c>
      <c r="BM2194">
        <v>8</v>
      </c>
      <c r="BN2194">
        <v>8</v>
      </c>
      <c r="BO2194">
        <v>8</v>
      </c>
      <c r="BP2194">
        <v>0</v>
      </c>
      <c r="BQ2194" t="str">
        <f>"7:30 AM"</f>
        <v>7:30 AM</v>
      </c>
      <c r="BR2194" t="str">
        <f>"5:30 PM"</f>
        <v>5:30 PM</v>
      </c>
      <c r="BS2194" t="s">
        <v>131</v>
      </c>
      <c r="BT2194">
        <v>0</v>
      </c>
      <c r="BU2194">
        <v>6</v>
      </c>
      <c r="BV2194" t="s">
        <v>114</v>
      </c>
      <c r="BX2194" s="2" t="s">
        <v>8417</v>
      </c>
      <c r="BY2194" t="s">
        <v>19383</v>
      </c>
      <c r="CA2194" t="s">
        <v>19384</v>
      </c>
      <c r="CB2194" t="s">
        <v>402</v>
      </c>
      <c r="CC2194" s="8" t="str">
        <f>"92056"</f>
        <v>92056</v>
      </c>
      <c r="CD2194" t="s">
        <v>2435</v>
      </c>
      <c r="CE2194" t="s">
        <v>2436</v>
      </c>
      <c r="CF2194" s="12">
        <v>28.76</v>
      </c>
      <c r="CH2194" s="12">
        <v>43.14</v>
      </c>
      <c r="CJ2194" t="s">
        <v>135</v>
      </c>
      <c r="CL2194" t="s">
        <v>19385</v>
      </c>
      <c r="CO2194" t="s">
        <v>132</v>
      </c>
      <c r="CP2194" t="s">
        <v>114</v>
      </c>
      <c r="CQ2194" t="s">
        <v>136</v>
      </c>
      <c r="CR2194" t="s">
        <v>136</v>
      </c>
      <c r="CS2194" t="s">
        <v>136</v>
      </c>
      <c r="CT2194" t="s">
        <v>136</v>
      </c>
      <c r="CU2194" t="s">
        <v>136</v>
      </c>
      <c r="CV2194" s="2" t="s">
        <v>19386</v>
      </c>
      <c r="CW2194" s="10" t="str">
        <f>"N/A"</f>
        <v>N/A</v>
      </c>
      <c r="CX2194" t="s">
        <v>8424</v>
      </c>
      <c r="CY2194" t="s">
        <v>8425</v>
      </c>
      <c r="CZ2194" t="s">
        <v>137</v>
      </c>
      <c r="DA2194" t="s">
        <v>114</v>
      </c>
      <c r="DB2194" t="s">
        <v>136</v>
      </c>
      <c r="DC2194" t="s">
        <v>136</v>
      </c>
      <c r="DD2194" t="s">
        <v>114</v>
      </c>
    </row>
    <row r="2195" spans="1:113" ht="15" customHeight="1" x14ac:dyDescent="0.25">
      <c r="A2195" t="s">
        <v>10060</v>
      </c>
      <c r="B2195" t="s">
        <v>113</v>
      </c>
      <c r="C2195" s="1">
        <v>45110.81367210648</v>
      </c>
      <c r="D2195" s="1">
        <v>45203</v>
      </c>
      <c r="E2195" t="s">
        <v>114</v>
      </c>
      <c r="F2195" t="s">
        <v>8405</v>
      </c>
      <c r="G2195" t="str">
        <f>"49-3021.00"</f>
        <v>49-3021.00</v>
      </c>
      <c r="H2195" t="s">
        <v>8406</v>
      </c>
      <c r="I2195">
        <v>1</v>
      </c>
      <c r="K2195" s="1">
        <v>45200</v>
      </c>
      <c r="L2195" s="1">
        <v>45473</v>
      </c>
      <c r="O2195" t="s">
        <v>116</v>
      </c>
      <c r="P2195" t="s">
        <v>8407</v>
      </c>
      <c r="Q2195" t="s">
        <v>8408</v>
      </c>
      <c r="R2195" t="s">
        <v>8409</v>
      </c>
      <c r="T2195" t="s">
        <v>3255</v>
      </c>
      <c r="U2195" t="s">
        <v>127</v>
      </c>
      <c r="V2195" s="8" t="str">
        <f>"75067"</f>
        <v>75067</v>
      </c>
      <c r="W2195" t="s">
        <v>118</v>
      </c>
      <c r="Y2195" s="10">
        <v>14699489500</v>
      </c>
      <c r="AA2195">
        <v>8111</v>
      </c>
      <c r="AB2195" t="s">
        <v>7293</v>
      </c>
      <c r="AC2195" t="s">
        <v>2320</v>
      </c>
      <c r="AD2195" t="s">
        <v>2371</v>
      </c>
      <c r="AE2195" t="s">
        <v>8410</v>
      </c>
      <c r="AF2195" t="s">
        <v>8409</v>
      </c>
      <c r="AH2195" t="s">
        <v>3255</v>
      </c>
      <c r="AI2195" t="s">
        <v>127</v>
      </c>
      <c r="AJ2195" s="8" t="str">
        <f>"75067"</f>
        <v>75067</v>
      </c>
      <c r="AK2195" t="s">
        <v>118</v>
      </c>
      <c r="AM2195" s="10">
        <v>14699489500</v>
      </c>
      <c r="AO2195" t="s">
        <v>8411</v>
      </c>
      <c r="AP2195" t="s">
        <v>121</v>
      </c>
      <c r="AQ2195" t="s">
        <v>273</v>
      </c>
      <c r="AR2195" t="s">
        <v>8412</v>
      </c>
      <c r="AS2195" t="s">
        <v>3318</v>
      </c>
      <c r="AT2195" t="s">
        <v>10061</v>
      </c>
      <c r="AU2195" t="s">
        <v>8414</v>
      </c>
      <c r="AV2195" t="s">
        <v>5539</v>
      </c>
      <c r="AW2195" t="s">
        <v>6049</v>
      </c>
      <c r="AX2195" s="8" t="str">
        <f>"20004"</f>
        <v>20004</v>
      </c>
      <c r="AY2195" t="s">
        <v>118</v>
      </c>
      <c r="BA2195" s="10">
        <v>12026406684</v>
      </c>
      <c r="BC2195" t="s">
        <v>8415</v>
      </c>
      <c r="BD2195" t="s">
        <v>8416</v>
      </c>
      <c r="BE2195" t="s">
        <v>6049</v>
      </c>
      <c r="BF2195" t="s">
        <v>2118</v>
      </c>
      <c r="BG2195" t="s">
        <v>402</v>
      </c>
      <c r="BH2195" s="1">
        <v>45104.833333333336</v>
      </c>
      <c r="BI2195">
        <v>40</v>
      </c>
      <c r="BJ2195">
        <v>0</v>
      </c>
      <c r="BK2195">
        <v>8</v>
      </c>
      <c r="BL2195">
        <v>8</v>
      </c>
      <c r="BM2195">
        <v>8</v>
      </c>
      <c r="BN2195">
        <v>8</v>
      </c>
      <c r="BO2195">
        <v>8</v>
      </c>
      <c r="BP2195">
        <v>0</v>
      </c>
      <c r="BQ2195" t="str">
        <f>"7:30 AM"</f>
        <v>7:30 AM</v>
      </c>
      <c r="BR2195" t="str">
        <f>"5:30 PM"</f>
        <v>5:30 PM</v>
      </c>
      <c r="BS2195" t="s">
        <v>131</v>
      </c>
      <c r="BT2195">
        <v>0</v>
      </c>
      <c r="BU2195">
        <v>6</v>
      </c>
      <c r="BV2195" t="s">
        <v>114</v>
      </c>
      <c r="BX2195" s="2" t="s">
        <v>8417</v>
      </c>
      <c r="BY2195" t="s">
        <v>10062</v>
      </c>
      <c r="CA2195" t="s">
        <v>10063</v>
      </c>
      <c r="CB2195" t="s">
        <v>402</v>
      </c>
      <c r="CC2195" s="8" t="str">
        <f>"93637"</f>
        <v>93637</v>
      </c>
      <c r="CD2195" t="s">
        <v>4890</v>
      </c>
      <c r="CE2195" t="s">
        <v>4891</v>
      </c>
      <c r="CF2195" s="12">
        <v>25.88</v>
      </c>
      <c r="CH2195" s="12">
        <v>38.82</v>
      </c>
      <c r="CJ2195" t="s">
        <v>135</v>
      </c>
      <c r="CL2195" t="s">
        <v>10064</v>
      </c>
      <c r="CO2195" t="s">
        <v>132</v>
      </c>
      <c r="CP2195" t="s">
        <v>114</v>
      </c>
      <c r="CQ2195" t="s">
        <v>136</v>
      </c>
      <c r="CR2195" t="s">
        <v>136</v>
      </c>
      <c r="CS2195" t="s">
        <v>136</v>
      </c>
      <c r="CT2195" t="s">
        <v>136</v>
      </c>
      <c r="CU2195" t="s">
        <v>136</v>
      </c>
      <c r="CV2195" s="2" t="s">
        <v>10065</v>
      </c>
      <c r="CW2195" s="10" t="str">
        <f>"N/A"</f>
        <v>N/A</v>
      </c>
      <c r="CX2195" t="s">
        <v>8424</v>
      </c>
      <c r="CY2195" t="s">
        <v>8425</v>
      </c>
      <c r="CZ2195" t="s">
        <v>137</v>
      </c>
      <c r="DA2195" t="s">
        <v>114</v>
      </c>
      <c r="DB2195" t="s">
        <v>136</v>
      </c>
      <c r="DC2195" t="s">
        <v>136</v>
      </c>
      <c r="DD2195" t="s">
        <v>114</v>
      </c>
    </row>
    <row r="2196" spans="1:113" ht="15" customHeight="1" x14ac:dyDescent="0.25">
      <c r="A2196" t="s">
        <v>23595</v>
      </c>
      <c r="B2196" t="s">
        <v>113</v>
      </c>
      <c r="C2196" s="1">
        <v>45110.804409722223</v>
      </c>
      <c r="D2196" s="1">
        <v>45203</v>
      </c>
      <c r="E2196" t="s">
        <v>114</v>
      </c>
      <c r="F2196" t="s">
        <v>8405</v>
      </c>
      <c r="G2196" t="str">
        <f>"49-3021.00"</f>
        <v>49-3021.00</v>
      </c>
      <c r="H2196" t="s">
        <v>8406</v>
      </c>
      <c r="I2196">
        <v>1</v>
      </c>
      <c r="K2196" s="1">
        <v>45200</v>
      </c>
      <c r="L2196" s="1">
        <v>45473</v>
      </c>
      <c r="O2196" t="s">
        <v>116</v>
      </c>
      <c r="P2196" t="s">
        <v>8407</v>
      </c>
      <c r="Q2196" t="s">
        <v>8408</v>
      </c>
      <c r="R2196" t="s">
        <v>8409</v>
      </c>
      <c r="T2196" t="s">
        <v>3255</v>
      </c>
      <c r="U2196" t="s">
        <v>127</v>
      </c>
      <c r="V2196" s="8" t="str">
        <f>"75067"</f>
        <v>75067</v>
      </c>
      <c r="W2196" t="s">
        <v>118</v>
      </c>
      <c r="Y2196" s="10">
        <v>14699489500</v>
      </c>
      <c r="AA2196">
        <v>8111</v>
      </c>
      <c r="AB2196" t="s">
        <v>7293</v>
      </c>
      <c r="AC2196" t="s">
        <v>2320</v>
      </c>
      <c r="AD2196" t="s">
        <v>2371</v>
      </c>
      <c r="AE2196" t="s">
        <v>8410</v>
      </c>
      <c r="AF2196" t="s">
        <v>8409</v>
      </c>
      <c r="AH2196" t="s">
        <v>3255</v>
      </c>
      <c r="AI2196" t="s">
        <v>127</v>
      </c>
      <c r="AJ2196" s="8" t="str">
        <f>"75067"</f>
        <v>75067</v>
      </c>
      <c r="AK2196" t="s">
        <v>118</v>
      </c>
      <c r="AM2196" s="10">
        <v>14699489500</v>
      </c>
      <c r="AO2196" t="s">
        <v>8411</v>
      </c>
      <c r="AP2196" t="s">
        <v>121</v>
      </c>
      <c r="AQ2196" t="s">
        <v>273</v>
      </c>
      <c r="AR2196" t="s">
        <v>8412</v>
      </c>
      <c r="AS2196" t="s">
        <v>3318</v>
      </c>
      <c r="AT2196" t="s">
        <v>8413</v>
      </c>
      <c r="AU2196" t="s">
        <v>8414</v>
      </c>
      <c r="AV2196" t="s">
        <v>10050</v>
      </c>
      <c r="AW2196" t="s">
        <v>6049</v>
      </c>
      <c r="AX2196" s="8" t="str">
        <f>"20004"</f>
        <v>20004</v>
      </c>
      <c r="AY2196" t="s">
        <v>118</v>
      </c>
      <c r="BA2196" s="10">
        <v>12026406684</v>
      </c>
      <c r="BC2196" t="s">
        <v>8415</v>
      </c>
      <c r="BD2196" t="s">
        <v>8416</v>
      </c>
      <c r="BE2196" t="s">
        <v>6049</v>
      </c>
      <c r="BF2196" t="s">
        <v>2118</v>
      </c>
      <c r="BG2196" t="s">
        <v>402</v>
      </c>
      <c r="BH2196" s="1">
        <v>45104.833333333336</v>
      </c>
      <c r="BI2196">
        <v>40</v>
      </c>
      <c r="BJ2196">
        <v>0</v>
      </c>
      <c r="BK2196">
        <v>8</v>
      </c>
      <c r="BL2196">
        <v>8</v>
      </c>
      <c r="BM2196">
        <v>8</v>
      </c>
      <c r="BN2196">
        <v>8</v>
      </c>
      <c r="BO2196">
        <v>8</v>
      </c>
      <c r="BP2196">
        <v>0</v>
      </c>
      <c r="BQ2196" t="str">
        <f>"7:30 AM"</f>
        <v>7:30 AM</v>
      </c>
      <c r="BR2196" t="str">
        <f>"5:30 PM"</f>
        <v>5:30 PM</v>
      </c>
      <c r="BS2196" t="s">
        <v>131</v>
      </c>
      <c r="BT2196">
        <v>0</v>
      </c>
      <c r="BU2196">
        <v>6</v>
      </c>
      <c r="BV2196" t="s">
        <v>114</v>
      </c>
      <c r="BX2196" s="2" t="s">
        <v>8417</v>
      </c>
      <c r="BY2196" t="s">
        <v>23596</v>
      </c>
      <c r="CA2196" t="s">
        <v>10118</v>
      </c>
      <c r="CB2196" t="s">
        <v>402</v>
      </c>
      <c r="CC2196" s="8" t="str">
        <f>"93313"</f>
        <v>93313</v>
      </c>
      <c r="CD2196" t="s">
        <v>9751</v>
      </c>
      <c r="CE2196" t="s">
        <v>9752</v>
      </c>
      <c r="CF2196" s="12">
        <v>26.78</v>
      </c>
      <c r="CH2196" s="12">
        <v>40.17</v>
      </c>
      <c r="CJ2196" t="s">
        <v>135</v>
      </c>
      <c r="CL2196" t="s">
        <v>23597</v>
      </c>
      <c r="CO2196" t="s">
        <v>132</v>
      </c>
      <c r="CP2196" t="s">
        <v>114</v>
      </c>
      <c r="CQ2196" t="s">
        <v>136</v>
      </c>
      <c r="CR2196" t="s">
        <v>136</v>
      </c>
      <c r="CS2196" t="s">
        <v>136</v>
      </c>
      <c r="CT2196" t="s">
        <v>136</v>
      </c>
      <c r="CU2196" t="s">
        <v>136</v>
      </c>
      <c r="CV2196" s="2" t="s">
        <v>16053</v>
      </c>
      <c r="CW2196" s="10" t="str">
        <f>"N/A"</f>
        <v>N/A</v>
      </c>
      <c r="CX2196" t="s">
        <v>8424</v>
      </c>
      <c r="CY2196" t="s">
        <v>8425</v>
      </c>
      <c r="CZ2196" t="s">
        <v>137</v>
      </c>
      <c r="DA2196" t="s">
        <v>114</v>
      </c>
      <c r="DB2196" t="s">
        <v>136</v>
      </c>
      <c r="DC2196" t="s">
        <v>136</v>
      </c>
      <c r="DD2196" t="s">
        <v>114</v>
      </c>
    </row>
    <row r="2197" spans="1:113" ht="15" customHeight="1" x14ac:dyDescent="0.25">
      <c r="A2197" t="s">
        <v>18558</v>
      </c>
      <c r="B2197" t="s">
        <v>113</v>
      </c>
      <c r="C2197" s="1">
        <v>45110.789658564812</v>
      </c>
      <c r="D2197" s="1">
        <v>45203</v>
      </c>
      <c r="E2197" t="s">
        <v>114</v>
      </c>
      <c r="F2197" t="s">
        <v>8405</v>
      </c>
      <c r="G2197" t="str">
        <f>"49-3021.00"</f>
        <v>49-3021.00</v>
      </c>
      <c r="H2197" t="s">
        <v>8406</v>
      </c>
      <c r="I2197">
        <v>3</v>
      </c>
      <c r="K2197" s="1">
        <v>45200</v>
      </c>
      <c r="L2197" s="1">
        <v>45473</v>
      </c>
      <c r="O2197" t="s">
        <v>116</v>
      </c>
      <c r="P2197" t="s">
        <v>18559</v>
      </c>
      <c r="Q2197" t="s">
        <v>8408</v>
      </c>
      <c r="R2197" t="s">
        <v>8409</v>
      </c>
      <c r="T2197" t="s">
        <v>3255</v>
      </c>
      <c r="U2197" t="s">
        <v>127</v>
      </c>
      <c r="V2197" s="8" t="str">
        <f>"75067"</f>
        <v>75067</v>
      </c>
      <c r="W2197" t="s">
        <v>118</v>
      </c>
      <c r="Y2197" s="10">
        <v>14699489500</v>
      </c>
      <c r="AA2197">
        <v>8111</v>
      </c>
      <c r="AB2197" t="s">
        <v>7293</v>
      </c>
      <c r="AC2197" t="s">
        <v>2320</v>
      </c>
      <c r="AD2197" t="s">
        <v>2371</v>
      </c>
      <c r="AE2197" t="s">
        <v>8410</v>
      </c>
      <c r="AF2197" t="s">
        <v>8409</v>
      </c>
      <c r="AH2197" t="s">
        <v>3255</v>
      </c>
      <c r="AI2197" t="s">
        <v>127</v>
      </c>
      <c r="AJ2197" s="8" t="str">
        <f>"75067"</f>
        <v>75067</v>
      </c>
      <c r="AK2197" t="s">
        <v>118</v>
      </c>
      <c r="AM2197" s="10">
        <v>14699489500</v>
      </c>
      <c r="AO2197" t="s">
        <v>8411</v>
      </c>
      <c r="AP2197" t="s">
        <v>121</v>
      </c>
      <c r="AQ2197" t="s">
        <v>273</v>
      </c>
      <c r="AR2197" t="s">
        <v>8412</v>
      </c>
      <c r="AS2197" t="s">
        <v>3318</v>
      </c>
      <c r="AT2197" t="s">
        <v>8413</v>
      </c>
      <c r="AU2197" t="s">
        <v>8414</v>
      </c>
      <c r="AV2197" t="s">
        <v>5539</v>
      </c>
      <c r="AW2197" t="s">
        <v>6049</v>
      </c>
      <c r="AX2197" s="8" t="str">
        <f>"20004"</f>
        <v>20004</v>
      </c>
      <c r="AY2197" t="s">
        <v>118</v>
      </c>
      <c r="BA2197" s="10">
        <v>12026406684</v>
      </c>
      <c r="BC2197" t="s">
        <v>8415</v>
      </c>
      <c r="BD2197" t="s">
        <v>8416</v>
      </c>
      <c r="BE2197" t="s">
        <v>6049</v>
      </c>
      <c r="BF2197" t="s">
        <v>2118</v>
      </c>
      <c r="BG2197" t="s">
        <v>402</v>
      </c>
      <c r="BH2197" s="1">
        <v>45104.833333333336</v>
      </c>
      <c r="BI2197">
        <v>50</v>
      </c>
      <c r="BJ2197">
        <v>0</v>
      </c>
      <c r="BK2197">
        <v>10</v>
      </c>
      <c r="BL2197">
        <v>10</v>
      </c>
      <c r="BM2197">
        <v>10</v>
      </c>
      <c r="BN2197">
        <v>10</v>
      </c>
      <c r="BO2197">
        <v>10</v>
      </c>
      <c r="BP2197">
        <v>0</v>
      </c>
      <c r="BQ2197" t="str">
        <f>"7:30 AM"</f>
        <v>7:30 AM</v>
      </c>
      <c r="BR2197" t="str">
        <f>"5:30 PM"</f>
        <v>5:30 PM</v>
      </c>
      <c r="BS2197" t="s">
        <v>131</v>
      </c>
      <c r="BT2197">
        <v>0</v>
      </c>
      <c r="BU2197">
        <v>6</v>
      </c>
      <c r="BV2197" t="s">
        <v>114</v>
      </c>
      <c r="BX2197" s="2" t="s">
        <v>8417</v>
      </c>
      <c r="BY2197" t="s">
        <v>18560</v>
      </c>
      <c r="CA2197" t="s">
        <v>14127</v>
      </c>
      <c r="CB2197" t="s">
        <v>402</v>
      </c>
      <c r="CC2197" s="8" t="str">
        <f>"92801"</f>
        <v>92801</v>
      </c>
      <c r="CD2197" t="s">
        <v>2274</v>
      </c>
      <c r="CE2197" t="s">
        <v>2969</v>
      </c>
      <c r="CF2197" s="12">
        <v>25.77</v>
      </c>
      <c r="CH2197" s="12">
        <v>38.659999999999997</v>
      </c>
      <c r="CJ2197" t="s">
        <v>135</v>
      </c>
      <c r="CL2197" t="s">
        <v>18561</v>
      </c>
      <c r="CO2197" t="s">
        <v>132</v>
      </c>
      <c r="CP2197" t="s">
        <v>114</v>
      </c>
      <c r="CQ2197" t="s">
        <v>136</v>
      </c>
      <c r="CR2197" t="s">
        <v>136</v>
      </c>
      <c r="CS2197" t="s">
        <v>136</v>
      </c>
      <c r="CT2197" t="s">
        <v>136</v>
      </c>
      <c r="CU2197" t="s">
        <v>136</v>
      </c>
      <c r="CV2197" s="2" t="s">
        <v>16053</v>
      </c>
      <c r="CW2197" s="10" t="str">
        <f>"N/A"</f>
        <v>N/A</v>
      </c>
      <c r="CX2197" t="s">
        <v>8424</v>
      </c>
      <c r="CY2197" t="s">
        <v>8425</v>
      </c>
      <c r="CZ2197" t="s">
        <v>137</v>
      </c>
      <c r="DA2197" t="s">
        <v>114</v>
      </c>
      <c r="DB2197" t="s">
        <v>136</v>
      </c>
      <c r="DC2197" t="s">
        <v>136</v>
      </c>
      <c r="DD2197" t="s">
        <v>114</v>
      </c>
    </row>
    <row r="2198" spans="1:113" ht="15" customHeight="1" x14ac:dyDescent="0.25">
      <c r="A2198" t="s">
        <v>23283</v>
      </c>
      <c r="B2198" t="s">
        <v>113</v>
      </c>
      <c r="C2198" s="1">
        <v>45110.635797916664</v>
      </c>
      <c r="D2198" s="1">
        <v>45203</v>
      </c>
      <c r="E2198" t="s">
        <v>114</v>
      </c>
      <c r="F2198" t="s">
        <v>9085</v>
      </c>
      <c r="G2198" t="str">
        <f>"47-3019.00"</f>
        <v>47-3019.00</v>
      </c>
      <c r="H2198" t="s">
        <v>9086</v>
      </c>
      <c r="I2198">
        <v>25</v>
      </c>
      <c r="K2198" s="1">
        <v>45200</v>
      </c>
      <c r="L2198" s="1">
        <v>45473</v>
      </c>
      <c r="O2198" t="s">
        <v>116</v>
      </c>
      <c r="P2198" t="s">
        <v>6181</v>
      </c>
      <c r="Q2198" t="s">
        <v>6182</v>
      </c>
      <c r="R2198" t="s">
        <v>6183</v>
      </c>
      <c r="T2198" t="s">
        <v>3262</v>
      </c>
      <c r="U2198" t="s">
        <v>375</v>
      </c>
      <c r="V2198" s="8" t="str">
        <f>"28017"</f>
        <v>28017</v>
      </c>
      <c r="W2198" t="s">
        <v>118</v>
      </c>
      <c r="Y2198" s="10">
        <v>17042131900</v>
      </c>
      <c r="AA2198">
        <v>2371</v>
      </c>
      <c r="AB2198" t="s">
        <v>6184</v>
      </c>
      <c r="AC2198" t="s">
        <v>6185</v>
      </c>
      <c r="AD2198" t="s">
        <v>6186</v>
      </c>
      <c r="AE2198" t="s">
        <v>629</v>
      </c>
      <c r="AF2198" t="s">
        <v>6183</v>
      </c>
      <c r="AH2198" t="s">
        <v>3262</v>
      </c>
      <c r="AI2198" t="s">
        <v>375</v>
      </c>
      <c r="AJ2198" s="8" t="str">
        <f>"28107"</f>
        <v>28107</v>
      </c>
      <c r="AK2198" t="s">
        <v>118</v>
      </c>
      <c r="AM2198" s="10">
        <v>17042131900</v>
      </c>
      <c r="AO2198" t="s">
        <v>6187</v>
      </c>
      <c r="AP2198" t="s">
        <v>121</v>
      </c>
      <c r="AQ2198" t="s">
        <v>2869</v>
      </c>
      <c r="AR2198" t="s">
        <v>931</v>
      </c>
      <c r="AS2198" t="s">
        <v>6188</v>
      </c>
      <c r="AT2198" t="s">
        <v>6189</v>
      </c>
      <c r="AV2198" t="s">
        <v>3170</v>
      </c>
      <c r="AW2198" t="s">
        <v>2090</v>
      </c>
      <c r="AX2198" s="8" t="str">
        <f>"68512"</f>
        <v>68512</v>
      </c>
      <c r="AY2198" t="s">
        <v>118</v>
      </c>
      <c r="BA2198" s="10">
        <v>14023289899</v>
      </c>
      <c r="BC2198" t="s">
        <v>6190</v>
      </c>
      <c r="BD2198" t="s">
        <v>6191</v>
      </c>
      <c r="BE2198" t="s">
        <v>402</v>
      </c>
      <c r="BF2198" t="s">
        <v>3573</v>
      </c>
      <c r="BG2198" t="s">
        <v>375</v>
      </c>
      <c r="BH2198" s="1">
        <v>45109.833333333336</v>
      </c>
      <c r="BI2198">
        <v>40</v>
      </c>
      <c r="BJ2198">
        <v>0</v>
      </c>
      <c r="BK2198">
        <v>8</v>
      </c>
      <c r="BL2198">
        <v>8</v>
      </c>
      <c r="BM2198">
        <v>8</v>
      </c>
      <c r="BN2198">
        <v>8</v>
      </c>
      <c r="BO2198">
        <v>8</v>
      </c>
      <c r="BP2198">
        <v>0</v>
      </c>
      <c r="BQ2198" t="str">
        <f>"8:00 AM"</f>
        <v>8:00 AM</v>
      </c>
      <c r="BR2198" t="str">
        <f>"5:00 PM"</f>
        <v>5:00 PM</v>
      </c>
      <c r="BS2198" t="s">
        <v>131</v>
      </c>
      <c r="BT2198">
        <v>0</v>
      </c>
      <c r="BU2198">
        <v>0</v>
      </c>
      <c r="BV2198" t="s">
        <v>114</v>
      </c>
      <c r="BX2198" s="2" t="s">
        <v>23284</v>
      </c>
      <c r="BY2198" t="s">
        <v>18092</v>
      </c>
      <c r="CA2198" t="s">
        <v>6192</v>
      </c>
      <c r="CB2198" t="s">
        <v>375</v>
      </c>
      <c r="CC2198" s="8" t="str">
        <f>"27103"</f>
        <v>27103</v>
      </c>
      <c r="CD2198" t="s">
        <v>6193</v>
      </c>
      <c r="CE2198" t="s">
        <v>6194</v>
      </c>
      <c r="CF2198" s="12">
        <v>643.20000000000005</v>
      </c>
      <c r="CG2198" s="12">
        <v>695.2</v>
      </c>
      <c r="CH2198" s="12">
        <v>964.8</v>
      </c>
      <c r="CI2198" s="12">
        <v>1042.8</v>
      </c>
      <c r="CJ2198" t="s">
        <v>5181</v>
      </c>
      <c r="CL2198" t="s">
        <v>9092</v>
      </c>
      <c r="CO2198" t="s">
        <v>132</v>
      </c>
      <c r="CP2198" t="s">
        <v>114</v>
      </c>
      <c r="CQ2198" t="s">
        <v>114</v>
      </c>
      <c r="CR2198" t="s">
        <v>136</v>
      </c>
      <c r="CS2198" t="s">
        <v>136</v>
      </c>
      <c r="CT2198" t="s">
        <v>136</v>
      </c>
      <c r="CU2198" t="s">
        <v>114</v>
      </c>
      <c r="CV2198" t="s">
        <v>6195</v>
      </c>
      <c r="CW2198" s="10" t="str">
        <f>"+17042131900"</f>
        <v>+17042131900</v>
      </c>
      <c r="CX2198" t="s">
        <v>6196</v>
      </c>
      <c r="CY2198" t="s">
        <v>132</v>
      </c>
      <c r="CZ2198" t="s">
        <v>137</v>
      </c>
      <c r="DA2198" t="s">
        <v>114</v>
      </c>
      <c r="DB2198" t="s">
        <v>114</v>
      </c>
      <c r="DC2198" t="s">
        <v>136</v>
      </c>
      <c r="DD2198" t="s">
        <v>114</v>
      </c>
    </row>
    <row r="2199" spans="1:113" ht="15" customHeight="1" x14ac:dyDescent="0.25">
      <c r="A2199" t="s">
        <v>8439</v>
      </c>
      <c r="B2199" t="s">
        <v>113</v>
      </c>
      <c r="C2199" s="1">
        <v>45110.61162546296</v>
      </c>
      <c r="D2199" s="1">
        <v>45203</v>
      </c>
      <c r="E2199" t="s">
        <v>114</v>
      </c>
      <c r="F2199" t="s">
        <v>3245</v>
      </c>
      <c r="G2199" t="str">
        <f>"47-2061.00"</f>
        <v>47-2061.00</v>
      </c>
      <c r="H2199" t="s">
        <v>570</v>
      </c>
      <c r="I2199">
        <v>25</v>
      </c>
      <c r="K2199" s="1">
        <v>45200</v>
      </c>
      <c r="L2199" s="1">
        <v>45473</v>
      </c>
      <c r="O2199" t="s">
        <v>116</v>
      </c>
      <c r="P2199" t="s">
        <v>6181</v>
      </c>
      <c r="Q2199" t="s">
        <v>6182</v>
      </c>
      <c r="R2199" t="s">
        <v>6183</v>
      </c>
      <c r="T2199" t="s">
        <v>3262</v>
      </c>
      <c r="U2199" t="s">
        <v>375</v>
      </c>
      <c r="V2199" s="8" t="str">
        <f>"28017"</f>
        <v>28017</v>
      </c>
      <c r="W2199" t="s">
        <v>118</v>
      </c>
      <c r="Y2199" s="10">
        <v>17042131900</v>
      </c>
      <c r="AA2199">
        <v>2371</v>
      </c>
      <c r="AB2199" t="s">
        <v>6184</v>
      </c>
      <c r="AC2199" t="s">
        <v>6185</v>
      </c>
      <c r="AD2199" t="s">
        <v>6186</v>
      </c>
      <c r="AE2199" t="s">
        <v>629</v>
      </c>
      <c r="AF2199" t="s">
        <v>6183</v>
      </c>
      <c r="AH2199" t="s">
        <v>3262</v>
      </c>
      <c r="AI2199" t="s">
        <v>375</v>
      </c>
      <c r="AJ2199" s="8" t="str">
        <f>"28107"</f>
        <v>28107</v>
      </c>
      <c r="AK2199" t="s">
        <v>118</v>
      </c>
      <c r="AM2199" s="10">
        <v>17042131900</v>
      </c>
      <c r="AO2199" t="s">
        <v>6187</v>
      </c>
      <c r="AP2199" t="s">
        <v>121</v>
      </c>
      <c r="AQ2199" t="s">
        <v>2869</v>
      </c>
      <c r="AR2199" t="s">
        <v>931</v>
      </c>
      <c r="AS2199" t="s">
        <v>6188</v>
      </c>
      <c r="AT2199" t="s">
        <v>6189</v>
      </c>
      <c r="AV2199" t="s">
        <v>3170</v>
      </c>
      <c r="AW2199" t="s">
        <v>2090</v>
      </c>
      <c r="AX2199" s="8" t="str">
        <f>"68512"</f>
        <v>68512</v>
      </c>
      <c r="AY2199" t="s">
        <v>118</v>
      </c>
      <c r="BA2199" s="10">
        <v>14023289899</v>
      </c>
      <c r="BC2199" t="s">
        <v>6190</v>
      </c>
      <c r="BD2199" t="s">
        <v>6191</v>
      </c>
      <c r="BE2199" t="s">
        <v>402</v>
      </c>
      <c r="BF2199" t="s">
        <v>3573</v>
      </c>
      <c r="BG2199" t="s">
        <v>375</v>
      </c>
      <c r="BH2199" s="1">
        <v>45108.833333333336</v>
      </c>
      <c r="BI2199">
        <v>40</v>
      </c>
      <c r="BJ2199">
        <v>0</v>
      </c>
      <c r="BK2199">
        <v>8</v>
      </c>
      <c r="BL2199">
        <v>8</v>
      </c>
      <c r="BM2199">
        <v>8</v>
      </c>
      <c r="BN2199">
        <v>8</v>
      </c>
      <c r="BO2199">
        <v>8</v>
      </c>
      <c r="BP2199">
        <v>0</v>
      </c>
      <c r="BQ2199" t="str">
        <f>"8:00 AM"</f>
        <v>8:00 AM</v>
      </c>
      <c r="BR2199" t="str">
        <f>"5:00 PM"</f>
        <v>5:00 PM</v>
      </c>
      <c r="BS2199" t="s">
        <v>131</v>
      </c>
      <c r="BT2199">
        <v>0</v>
      </c>
      <c r="BU2199">
        <v>3</v>
      </c>
      <c r="BV2199" t="s">
        <v>114</v>
      </c>
      <c r="BX2199" s="2" t="s">
        <v>8440</v>
      </c>
      <c r="BY2199" t="s">
        <v>6183</v>
      </c>
      <c r="CA2199" t="s">
        <v>3262</v>
      </c>
      <c r="CB2199" t="s">
        <v>375</v>
      </c>
      <c r="CC2199" s="8" t="str">
        <f>"28017"</f>
        <v>28017</v>
      </c>
      <c r="CD2199" t="s">
        <v>2939</v>
      </c>
      <c r="CE2199" t="s">
        <v>2940</v>
      </c>
      <c r="CF2199" s="12">
        <v>695.2</v>
      </c>
      <c r="CG2199" s="12">
        <v>923.2</v>
      </c>
      <c r="CH2199" s="12">
        <v>1042.8</v>
      </c>
      <c r="CI2199" s="12">
        <v>1384.8</v>
      </c>
      <c r="CJ2199" t="s">
        <v>5181</v>
      </c>
      <c r="CL2199" t="s">
        <v>8441</v>
      </c>
      <c r="CO2199" t="s">
        <v>132</v>
      </c>
      <c r="CP2199" t="s">
        <v>136</v>
      </c>
      <c r="CQ2199" t="s">
        <v>114</v>
      </c>
      <c r="CR2199" t="s">
        <v>136</v>
      </c>
      <c r="CS2199" t="s">
        <v>136</v>
      </c>
      <c r="CT2199" t="s">
        <v>136</v>
      </c>
      <c r="CU2199" t="s">
        <v>114</v>
      </c>
      <c r="CV2199" t="s">
        <v>8442</v>
      </c>
      <c r="CW2199" s="10" t="str">
        <f>"+17042131900"</f>
        <v>+17042131900</v>
      </c>
      <c r="CX2199" t="s">
        <v>6196</v>
      </c>
      <c r="CY2199" t="s">
        <v>132</v>
      </c>
      <c r="CZ2199" t="s">
        <v>137</v>
      </c>
      <c r="DA2199" t="s">
        <v>114</v>
      </c>
      <c r="DB2199" t="s">
        <v>114</v>
      </c>
      <c r="DC2199" t="s">
        <v>136</v>
      </c>
      <c r="DD2199" t="s">
        <v>114</v>
      </c>
    </row>
    <row r="2200" spans="1:113" ht="15" customHeight="1" x14ac:dyDescent="0.25">
      <c r="A2200" t="s">
        <v>12837</v>
      </c>
      <c r="B2200" t="s">
        <v>113</v>
      </c>
      <c r="C2200" s="1">
        <v>45110.583308912035</v>
      </c>
      <c r="D2200" s="1">
        <v>45203</v>
      </c>
      <c r="E2200" t="s">
        <v>114</v>
      </c>
      <c r="F2200" t="s">
        <v>12838</v>
      </c>
      <c r="G2200" t="str">
        <f>"37-2012.00"</f>
        <v>37-2012.00</v>
      </c>
      <c r="H2200" t="s">
        <v>205</v>
      </c>
      <c r="I2200">
        <v>3</v>
      </c>
      <c r="K2200" s="1">
        <v>45200</v>
      </c>
      <c r="L2200" s="1">
        <v>45412</v>
      </c>
      <c r="O2200" t="s">
        <v>116</v>
      </c>
      <c r="P2200" t="s">
        <v>12839</v>
      </c>
      <c r="R2200" t="s">
        <v>12840</v>
      </c>
      <c r="T2200" t="s">
        <v>7323</v>
      </c>
      <c r="U2200" t="s">
        <v>854</v>
      </c>
      <c r="V2200" s="8" t="str">
        <f>"83404"</f>
        <v>83404</v>
      </c>
      <c r="W2200" t="s">
        <v>118</v>
      </c>
      <c r="Y2200" s="10">
        <v>12085572711</v>
      </c>
      <c r="AA2200">
        <v>622110</v>
      </c>
      <c r="AB2200" t="s">
        <v>12841</v>
      </c>
      <c r="AC2200" t="s">
        <v>12842</v>
      </c>
      <c r="AE2200" t="s">
        <v>12843</v>
      </c>
      <c r="AF2200" t="s">
        <v>12840</v>
      </c>
      <c r="AH2200" t="s">
        <v>7323</v>
      </c>
      <c r="AI2200" t="s">
        <v>854</v>
      </c>
      <c r="AJ2200" s="8" t="str">
        <f>"83404"</f>
        <v>83404</v>
      </c>
      <c r="AK2200" t="s">
        <v>118</v>
      </c>
      <c r="AM2200" s="10">
        <v>12085572711</v>
      </c>
      <c r="AO2200" t="s">
        <v>12844</v>
      </c>
      <c r="AP2200" t="s">
        <v>121</v>
      </c>
      <c r="AQ2200" t="s">
        <v>8716</v>
      </c>
      <c r="AR2200" t="s">
        <v>1963</v>
      </c>
      <c r="AS2200" t="s">
        <v>8717</v>
      </c>
      <c r="AT2200" t="s">
        <v>8718</v>
      </c>
      <c r="AV2200" t="s">
        <v>8719</v>
      </c>
      <c r="AW2200" t="s">
        <v>479</v>
      </c>
      <c r="AX2200" s="8" t="str">
        <f>"97035"</f>
        <v>97035</v>
      </c>
      <c r="AY2200" t="s">
        <v>118</v>
      </c>
      <c r="BA2200" s="10">
        <v>15032102249</v>
      </c>
      <c r="BC2200" t="s">
        <v>8720</v>
      </c>
      <c r="BD2200" t="s">
        <v>8721</v>
      </c>
      <c r="BE2200" t="s">
        <v>479</v>
      </c>
      <c r="BF2200" t="s">
        <v>8722</v>
      </c>
      <c r="BG2200" t="s">
        <v>854</v>
      </c>
      <c r="BH2200" s="1">
        <v>45109.833333333336</v>
      </c>
      <c r="BI2200">
        <v>36</v>
      </c>
      <c r="BJ2200">
        <v>0</v>
      </c>
      <c r="BK2200">
        <v>12</v>
      </c>
      <c r="BL2200">
        <v>12</v>
      </c>
      <c r="BM2200">
        <v>12</v>
      </c>
      <c r="BN2200">
        <v>0</v>
      </c>
      <c r="BO2200">
        <v>0</v>
      </c>
      <c r="BP2200">
        <v>0</v>
      </c>
      <c r="BQ2200" t="str">
        <f>"6:00 AM"</f>
        <v>6:00 AM</v>
      </c>
      <c r="BR2200" t="str">
        <f>"6:00 PM"</f>
        <v>6:00 PM</v>
      </c>
      <c r="BS2200" t="s">
        <v>147</v>
      </c>
      <c r="BT2200">
        <v>0</v>
      </c>
      <c r="BU2200">
        <v>0</v>
      </c>
      <c r="BV2200" t="s">
        <v>114</v>
      </c>
      <c r="BX2200" s="2" t="s">
        <v>12845</v>
      </c>
      <c r="BY2200" t="s">
        <v>12840</v>
      </c>
      <c r="CA2200" t="s">
        <v>7323</v>
      </c>
      <c r="CB2200" t="s">
        <v>854</v>
      </c>
      <c r="CC2200" s="8" t="str">
        <f>"83404"</f>
        <v>83404</v>
      </c>
      <c r="CD2200" t="s">
        <v>5558</v>
      </c>
      <c r="CE2200" t="s">
        <v>5559</v>
      </c>
      <c r="CF2200" s="12">
        <v>12.16</v>
      </c>
      <c r="CH2200" s="12">
        <v>18.239999999999998</v>
      </c>
      <c r="CI2200" s="12">
        <v>18.239999999999998</v>
      </c>
      <c r="CJ2200" t="s">
        <v>135</v>
      </c>
      <c r="CL2200" t="s">
        <v>12846</v>
      </c>
      <c r="CO2200" t="s">
        <v>132</v>
      </c>
      <c r="CP2200" t="s">
        <v>114</v>
      </c>
      <c r="CQ2200" t="s">
        <v>114</v>
      </c>
      <c r="CR2200" t="s">
        <v>136</v>
      </c>
      <c r="CS2200" t="s">
        <v>114</v>
      </c>
      <c r="CT2200" t="s">
        <v>136</v>
      </c>
      <c r="CU2200" t="s">
        <v>136</v>
      </c>
      <c r="CV2200" t="s">
        <v>131</v>
      </c>
      <c r="CW2200" s="10" t="str">
        <f>"+12085572711"</f>
        <v>+12085572711</v>
      </c>
      <c r="CX2200" t="s">
        <v>12847</v>
      </c>
      <c r="CY2200" t="s">
        <v>12848</v>
      </c>
      <c r="CZ2200" t="s">
        <v>137</v>
      </c>
      <c r="DA2200" t="s">
        <v>114</v>
      </c>
      <c r="DB2200" t="s">
        <v>136</v>
      </c>
      <c r="DC2200" t="s">
        <v>136</v>
      </c>
      <c r="DD2200" t="s">
        <v>114</v>
      </c>
    </row>
    <row r="2201" spans="1:113" ht="15" customHeight="1" x14ac:dyDescent="0.25">
      <c r="A2201" t="s">
        <v>977</v>
      </c>
      <c r="B2201" t="s">
        <v>113</v>
      </c>
      <c r="C2201" s="1">
        <v>45110.382448263888</v>
      </c>
      <c r="D2201" s="1">
        <v>45203</v>
      </c>
      <c r="E2201" t="s">
        <v>114</v>
      </c>
      <c r="F2201" t="s">
        <v>978</v>
      </c>
      <c r="G2201" t="str">
        <f>"47-3012.00"</f>
        <v>47-3012.00</v>
      </c>
      <c r="H2201" t="s">
        <v>979</v>
      </c>
      <c r="I2201">
        <v>5</v>
      </c>
      <c r="K2201" s="1">
        <v>45200</v>
      </c>
      <c r="L2201" s="1">
        <v>45504</v>
      </c>
      <c r="O2201" t="s">
        <v>116</v>
      </c>
      <c r="P2201" t="s">
        <v>980</v>
      </c>
      <c r="Q2201" t="s">
        <v>981</v>
      </c>
      <c r="R2201" t="s">
        <v>982</v>
      </c>
      <c r="T2201" t="s">
        <v>983</v>
      </c>
      <c r="U2201" t="s">
        <v>984</v>
      </c>
      <c r="V2201" s="8" t="str">
        <f>"65026"</f>
        <v>65026</v>
      </c>
      <c r="W2201" t="s">
        <v>118</v>
      </c>
      <c r="Y2201" s="10">
        <v>15733927245</v>
      </c>
      <c r="AA2201">
        <v>332323</v>
      </c>
      <c r="AB2201" t="s">
        <v>985</v>
      </c>
      <c r="AC2201" t="s">
        <v>986</v>
      </c>
      <c r="AE2201" t="s">
        <v>987</v>
      </c>
      <c r="AF2201" t="s">
        <v>982</v>
      </c>
      <c r="AH2201" t="s">
        <v>983</v>
      </c>
      <c r="AI2201" t="s">
        <v>984</v>
      </c>
      <c r="AJ2201" s="8" t="str">
        <f>"65026"</f>
        <v>65026</v>
      </c>
      <c r="AK2201" t="s">
        <v>118</v>
      </c>
      <c r="AM2201" s="10">
        <v>15733927245</v>
      </c>
      <c r="AO2201" t="s">
        <v>988</v>
      </c>
      <c r="AP2201" t="s">
        <v>121</v>
      </c>
      <c r="AQ2201" t="s">
        <v>989</v>
      </c>
      <c r="AR2201" t="s">
        <v>244</v>
      </c>
      <c r="AS2201" t="s">
        <v>990</v>
      </c>
      <c r="AT2201" t="s">
        <v>991</v>
      </c>
      <c r="AV2201" t="s">
        <v>992</v>
      </c>
      <c r="AW2201" t="s">
        <v>993</v>
      </c>
      <c r="AX2201" s="8" t="str">
        <f>"54301"</f>
        <v>54301</v>
      </c>
      <c r="AY2201" t="s">
        <v>118</v>
      </c>
      <c r="BA2201" s="10">
        <v>18004140978</v>
      </c>
      <c r="BC2201" t="s">
        <v>994</v>
      </c>
      <c r="BD2201" t="s">
        <v>995</v>
      </c>
      <c r="BE2201" t="s">
        <v>581</v>
      </c>
      <c r="BF2201" t="s">
        <v>996</v>
      </c>
      <c r="BG2201" t="s">
        <v>984</v>
      </c>
      <c r="BH2201" s="1">
        <v>45107.833333333336</v>
      </c>
      <c r="BI2201">
        <v>40</v>
      </c>
      <c r="BJ2201">
        <v>0</v>
      </c>
      <c r="BK2201">
        <v>10</v>
      </c>
      <c r="BL2201">
        <v>10</v>
      </c>
      <c r="BM2201">
        <v>10</v>
      </c>
      <c r="BN2201">
        <v>10</v>
      </c>
      <c r="BO2201">
        <v>0</v>
      </c>
      <c r="BP2201">
        <v>0</v>
      </c>
      <c r="BQ2201" t="str">
        <f>"6:00 AM"</f>
        <v>6:00 AM</v>
      </c>
      <c r="BR2201" t="str">
        <f>"4:30 PM"</f>
        <v>4:30 PM</v>
      </c>
      <c r="BS2201" t="s">
        <v>131</v>
      </c>
      <c r="BT2201">
        <v>0</v>
      </c>
      <c r="BU2201">
        <v>0</v>
      </c>
      <c r="BV2201" t="s">
        <v>114</v>
      </c>
      <c r="BX2201" s="2" t="s">
        <v>997</v>
      </c>
      <c r="BY2201" t="s">
        <v>982</v>
      </c>
      <c r="CA2201" t="s">
        <v>983</v>
      </c>
      <c r="CB2201" t="s">
        <v>984</v>
      </c>
      <c r="CC2201" s="8" t="str">
        <f>"65026"</f>
        <v>65026</v>
      </c>
      <c r="CD2201" t="s">
        <v>480</v>
      </c>
      <c r="CE2201" t="s">
        <v>998</v>
      </c>
      <c r="CF2201" s="12">
        <v>14.43</v>
      </c>
      <c r="CG2201" s="12">
        <v>17</v>
      </c>
      <c r="CH2201" s="12">
        <v>21.65</v>
      </c>
      <c r="CI2201" s="12">
        <v>25.5</v>
      </c>
      <c r="CJ2201" t="s">
        <v>135</v>
      </c>
      <c r="CK2201" t="s">
        <v>999</v>
      </c>
      <c r="CL2201" t="s">
        <v>1000</v>
      </c>
      <c r="CO2201" t="s">
        <v>132</v>
      </c>
      <c r="CP2201" t="s">
        <v>136</v>
      </c>
      <c r="CQ2201" t="s">
        <v>136</v>
      </c>
      <c r="CR2201" t="s">
        <v>136</v>
      </c>
      <c r="CS2201" t="s">
        <v>136</v>
      </c>
      <c r="CT2201" t="s">
        <v>136</v>
      </c>
      <c r="CU2201" t="s">
        <v>136</v>
      </c>
      <c r="CV2201" t="s">
        <v>1001</v>
      </c>
      <c r="CW2201" s="10" t="str">
        <f>"+15733927245"</f>
        <v>+15733927245</v>
      </c>
      <c r="CX2201" t="s">
        <v>988</v>
      </c>
      <c r="CY2201" t="s">
        <v>132</v>
      </c>
      <c r="CZ2201" t="s">
        <v>137</v>
      </c>
      <c r="DA2201" t="s">
        <v>114</v>
      </c>
      <c r="DB2201" t="s">
        <v>136</v>
      </c>
      <c r="DC2201" t="s">
        <v>136</v>
      </c>
      <c r="DD2201" t="s">
        <v>114</v>
      </c>
    </row>
    <row r="2202" spans="1:113" ht="15" customHeight="1" x14ac:dyDescent="0.25">
      <c r="A2202" t="s">
        <v>8330</v>
      </c>
      <c r="B2202" t="s">
        <v>113</v>
      </c>
      <c r="C2202" s="1">
        <v>45110.046390162039</v>
      </c>
      <c r="D2202" s="1">
        <v>45203</v>
      </c>
      <c r="E2202" t="s">
        <v>114</v>
      </c>
      <c r="F2202" t="s">
        <v>8331</v>
      </c>
      <c r="G2202" t="str">
        <f>"47-2061.00"</f>
        <v>47-2061.00</v>
      </c>
      <c r="H2202" t="s">
        <v>570</v>
      </c>
      <c r="I2202">
        <v>5</v>
      </c>
      <c r="K2202" s="1">
        <v>45200</v>
      </c>
      <c r="L2202" s="1">
        <v>45261</v>
      </c>
      <c r="O2202" t="s">
        <v>238</v>
      </c>
      <c r="P2202" t="s">
        <v>8332</v>
      </c>
      <c r="R2202" t="s">
        <v>8333</v>
      </c>
      <c r="T2202" t="s">
        <v>8334</v>
      </c>
      <c r="U2202" t="s">
        <v>740</v>
      </c>
      <c r="V2202" s="8" t="str">
        <f>"51360"</f>
        <v>51360</v>
      </c>
      <c r="W2202" t="s">
        <v>118</v>
      </c>
      <c r="Y2202" s="10">
        <v>17123360777</v>
      </c>
      <c r="AA2202">
        <v>237310</v>
      </c>
      <c r="AB2202" t="s">
        <v>8335</v>
      </c>
      <c r="AC2202" t="s">
        <v>8336</v>
      </c>
      <c r="AE2202" t="s">
        <v>5076</v>
      </c>
      <c r="AF2202" t="s">
        <v>8333</v>
      </c>
      <c r="AH2202" t="s">
        <v>8334</v>
      </c>
      <c r="AI2202" t="s">
        <v>740</v>
      </c>
      <c r="AJ2202" s="8" t="str">
        <f>"51360"</f>
        <v>51360</v>
      </c>
      <c r="AK2202" t="s">
        <v>118</v>
      </c>
      <c r="AM2202" s="10">
        <v>17123360777</v>
      </c>
      <c r="AO2202" t="s">
        <v>8337</v>
      </c>
      <c r="AX2202" s="8" t="str">
        <f>""</f>
        <v/>
      </c>
      <c r="BG2202" t="s">
        <v>740</v>
      </c>
      <c r="BH2202" s="1">
        <v>45106.833333333336</v>
      </c>
      <c r="BI2202">
        <v>35</v>
      </c>
      <c r="BJ2202">
        <v>0</v>
      </c>
      <c r="BK2202">
        <v>7</v>
      </c>
      <c r="BL2202">
        <v>7</v>
      </c>
      <c r="BM2202">
        <v>7</v>
      </c>
      <c r="BN2202">
        <v>7</v>
      </c>
      <c r="BO2202">
        <v>7</v>
      </c>
      <c r="BP2202">
        <v>0</v>
      </c>
      <c r="BQ2202" t="str">
        <f>"7:00 AM"</f>
        <v>7:00 AM</v>
      </c>
      <c r="BR2202" t="str">
        <f>"3:00 PM"</f>
        <v>3:00 PM</v>
      </c>
      <c r="BS2202" t="s">
        <v>131</v>
      </c>
      <c r="BT2202">
        <v>0</v>
      </c>
      <c r="BU2202">
        <v>12</v>
      </c>
      <c r="BV2202" t="s">
        <v>114</v>
      </c>
      <c r="BX2202" s="2" t="s">
        <v>8338</v>
      </c>
      <c r="BY2202" t="s">
        <v>8333</v>
      </c>
      <c r="CA2202" t="s">
        <v>8334</v>
      </c>
      <c r="CB2202" t="s">
        <v>740</v>
      </c>
      <c r="CC2202" s="8" t="str">
        <f>"51360"</f>
        <v>51360</v>
      </c>
      <c r="CD2202" t="s">
        <v>2288</v>
      </c>
      <c r="CE2202" t="s">
        <v>2289</v>
      </c>
      <c r="CF2202" s="12">
        <v>19.46</v>
      </c>
      <c r="CG2202" s="12">
        <v>19.46</v>
      </c>
      <c r="CH2202" s="12">
        <v>29.19</v>
      </c>
      <c r="CI2202" s="12">
        <v>29.19</v>
      </c>
      <c r="CJ2202" t="s">
        <v>135</v>
      </c>
      <c r="CL2202" t="s">
        <v>8339</v>
      </c>
      <c r="CO2202" t="s">
        <v>132</v>
      </c>
      <c r="CP2202" t="s">
        <v>136</v>
      </c>
      <c r="CQ2202" t="s">
        <v>114</v>
      </c>
      <c r="CR2202" t="s">
        <v>136</v>
      </c>
      <c r="CS2202" t="s">
        <v>136</v>
      </c>
      <c r="CT2202" t="s">
        <v>136</v>
      </c>
      <c r="CU2202" t="s">
        <v>114</v>
      </c>
      <c r="CV2202" t="s">
        <v>8340</v>
      </c>
      <c r="CW2202" s="10" t="str">
        <f>"+17123360777"</f>
        <v>+17123360777</v>
      </c>
      <c r="CX2202" t="s">
        <v>8337</v>
      </c>
      <c r="CY2202" t="s">
        <v>8341</v>
      </c>
      <c r="CZ2202" t="s">
        <v>137</v>
      </c>
      <c r="DA2202" t="s">
        <v>114</v>
      </c>
      <c r="DB2202" t="s">
        <v>114</v>
      </c>
      <c r="DC2202" t="s">
        <v>136</v>
      </c>
      <c r="DD2202" t="s">
        <v>114</v>
      </c>
    </row>
    <row r="2203" spans="1:113" ht="15" customHeight="1" x14ac:dyDescent="0.25">
      <c r="A2203" t="s">
        <v>20255</v>
      </c>
      <c r="B2203" t="s">
        <v>113</v>
      </c>
      <c r="C2203" s="1">
        <v>45110.016510532405</v>
      </c>
      <c r="D2203" s="1">
        <v>45203</v>
      </c>
      <c r="E2203" t="s">
        <v>114</v>
      </c>
      <c r="F2203" t="s">
        <v>20256</v>
      </c>
      <c r="G2203" t="str">
        <f>"37-2011.00"</f>
        <v>37-2011.00</v>
      </c>
      <c r="H2203" t="s">
        <v>1089</v>
      </c>
      <c r="I2203">
        <v>3</v>
      </c>
      <c r="K2203" s="1">
        <v>45200</v>
      </c>
      <c r="L2203" s="1">
        <v>45930</v>
      </c>
      <c r="O2203" t="s">
        <v>184</v>
      </c>
      <c r="P2203" t="s">
        <v>20257</v>
      </c>
      <c r="R2203" t="s">
        <v>20258</v>
      </c>
      <c r="T2203" t="s">
        <v>5332</v>
      </c>
      <c r="U2203" t="s">
        <v>402</v>
      </c>
      <c r="V2203" s="8" t="str">
        <f>"90745"</f>
        <v>90745</v>
      </c>
      <c r="W2203" t="s">
        <v>118</v>
      </c>
      <c r="Y2203" s="10">
        <v>17142315700</v>
      </c>
      <c r="AA2203">
        <v>551112</v>
      </c>
      <c r="AB2203" t="s">
        <v>20259</v>
      </c>
      <c r="AC2203" t="s">
        <v>20260</v>
      </c>
      <c r="AE2203" t="s">
        <v>1836</v>
      </c>
      <c r="AF2203" t="s">
        <v>20258</v>
      </c>
      <c r="AH2203" t="s">
        <v>5332</v>
      </c>
      <c r="AI2203" t="s">
        <v>402</v>
      </c>
      <c r="AJ2203" s="8" t="str">
        <f>"90745"</f>
        <v>90745</v>
      </c>
      <c r="AK2203" t="s">
        <v>118</v>
      </c>
      <c r="AM2203" s="10">
        <v>17142315700</v>
      </c>
      <c r="AO2203" t="s">
        <v>20261</v>
      </c>
      <c r="AP2203" t="s">
        <v>121</v>
      </c>
      <c r="AQ2203" t="s">
        <v>217</v>
      </c>
      <c r="AR2203" t="s">
        <v>2139</v>
      </c>
      <c r="AT2203" t="s">
        <v>20262</v>
      </c>
      <c r="AV2203" t="s">
        <v>518</v>
      </c>
      <c r="AW2203" t="s">
        <v>402</v>
      </c>
      <c r="AX2203" s="8" t="str">
        <f>"90010"</f>
        <v>90010</v>
      </c>
      <c r="AY2203" t="s">
        <v>118</v>
      </c>
      <c r="BA2203" s="10">
        <v>12133854646</v>
      </c>
      <c r="BC2203" t="s">
        <v>2140</v>
      </c>
      <c r="BD2203" t="s">
        <v>2141</v>
      </c>
      <c r="BE2203" t="s">
        <v>792</v>
      </c>
      <c r="BF2203" t="s">
        <v>2142</v>
      </c>
      <c r="BG2203" t="s">
        <v>402</v>
      </c>
      <c r="BH2203" s="1">
        <v>45109.833333333336</v>
      </c>
      <c r="BI2203">
        <v>40</v>
      </c>
      <c r="BJ2203">
        <v>0</v>
      </c>
      <c r="BK2203">
        <v>0</v>
      </c>
      <c r="BL2203">
        <v>8</v>
      </c>
      <c r="BM2203">
        <v>8</v>
      </c>
      <c r="BN2203">
        <v>8</v>
      </c>
      <c r="BO2203">
        <v>8</v>
      </c>
      <c r="BP2203">
        <v>8</v>
      </c>
      <c r="BQ2203" t="str">
        <f>"8:30 AM"</f>
        <v>8:30 AM</v>
      </c>
      <c r="BR2203" t="str">
        <f>"5:00 PM"</f>
        <v>5:00 PM</v>
      </c>
      <c r="BS2203" t="s">
        <v>131</v>
      </c>
      <c r="BT2203">
        <v>0</v>
      </c>
      <c r="BU2203">
        <v>0</v>
      </c>
      <c r="BV2203" t="s">
        <v>114</v>
      </c>
      <c r="BX2203" t="s">
        <v>131</v>
      </c>
      <c r="BY2203" t="s">
        <v>20263</v>
      </c>
      <c r="CA2203" t="s">
        <v>5332</v>
      </c>
      <c r="CB2203" t="s">
        <v>402</v>
      </c>
      <c r="CC2203" s="8" t="str">
        <f>"90745"</f>
        <v>90745</v>
      </c>
      <c r="CD2203" t="s">
        <v>2968</v>
      </c>
      <c r="CE2203" t="s">
        <v>2969</v>
      </c>
      <c r="CF2203" s="12">
        <v>17.579999999999998</v>
      </c>
      <c r="CH2203" s="12">
        <v>26.37</v>
      </c>
      <c r="CJ2203" t="s">
        <v>135</v>
      </c>
      <c r="CK2203" t="s">
        <v>20264</v>
      </c>
      <c r="CL2203" t="s">
        <v>20265</v>
      </c>
      <c r="CO2203" t="s">
        <v>132</v>
      </c>
      <c r="CP2203" t="s">
        <v>114</v>
      </c>
      <c r="CQ2203" t="s">
        <v>114</v>
      </c>
      <c r="CR2203" t="s">
        <v>136</v>
      </c>
      <c r="CS2203" t="s">
        <v>136</v>
      </c>
      <c r="CT2203" t="s">
        <v>136</v>
      </c>
      <c r="CU2203" t="s">
        <v>114</v>
      </c>
      <c r="CV2203" t="s">
        <v>20266</v>
      </c>
      <c r="CW2203" s="10" t="str">
        <f>"+17142315700"</f>
        <v>+17142315700</v>
      </c>
      <c r="CX2203" t="s">
        <v>20261</v>
      </c>
      <c r="CY2203" t="s">
        <v>132</v>
      </c>
      <c r="CZ2203" t="s">
        <v>137</v>
      </c>
      <c r="DA2203" t="s">
        <v>114</v>
      </c>
      <c r="DB2203" t="s">
        <v>114</v>
      </c>
      <c r="DC2203" t="s">
        <v>136</v>
      </c>
      <c r="DD2203" t="s">
        <v>114</v>
      </c>
      <c r="DE2203" t="s">
        <v>217</v>
      </c>
      <c r="DF2203" t="s">
        <v>2139</v>
      </c>
      <c r="DH2203" t="s">
        <v>2141</v>
      </c>
      <c r="DI2203" t="s">
        <v>2140</v>
      </c>
    </row>
    <row r="2204" spans="1:113" ht="15" customHeight="1" x14ac:dyDescent="0.25">
      <c r="A2204" t="s">
        <v>21379</v>
      </c>
      <c r="B2204" t="s">
        <v>113</v>
      </c>
      <c r="C2204" s="1">
        <v>45107.704590046298</v>
      </c>
      <c r="D2204" s="1">
        <v>45203</v>
      </c>
      <c r="E2204" t="s">
        <v>114</v>
      </c>
      <c r="F2204" t="s">
        <v>21380</v>
      </c>
      <c r="G2204" t="str">
        <f>"53-3032.00"</f>
        <v>53-3032.00</v>
      </c>
      <c r="H2204" t="s">
        <v>736</v>
      </c>
      <c r="I2204">
        <v>5</v>
      </c>
      <c r="K2204" s="1">
        <v>45182</v>
      </c>
      <c r="L2204" s="1">
        <v>45382</v>
      </c>
      <c r="O2204" t="s">
        <v>116</v>
      </c>
      <c r="P2204" t="s">
        <v>21381</v>
      </c>
      <c r="R2204" t="s">
        <v>21382</v>
      </c>
      <c r="S2204" t="s">
        <v>21383</v>
      </c>
      <c r="T2204" t="s">
        <v>21384</v>
      </c>
      <c r="U2204" t="s">
        <v>140</v>
      </c>
      <c r="V2204" s="8" t="str">
        <f>"33134"</f>
        <v>33134</v>
      </c>
      <c r="W2204" t="s">
        <v>118</v>
      </c>
      <c r="Y2204" s="10">
        <v>13056913535</v>
      </c>
      <c r="AA2204">
        <v>4244</v>
      </c>
      <c r="AB2204" t="s">
        <v>1893</v>
      </c>
      <c r="AC2204" t="s">
        <v>21385</v>
      </c>
      <c r="AE2204" t="s">
        <v>895</v>
      </c>
      <c r="AF2204" t="s">
        <v>21382</v>
      </c>
      <c r="AG2204" t="s">
        <v>21383</v>
      </c>
      <c r="AH2204" t="s">
        <v>21384</v>
      </c>
      <c r="AI2204" t="s">
        <v>140</v>
      </c>
      <c r="AJ2204" s="8" t="str">
        <f>"33134"</f>
        <v>33134</v>
      </c>
      <c r="AK2204" t="s">
        <v>118</v>
      </c>
      <c r="AM2204" s="10">
        <v>13056913535</v>
      </c>
      <c r="AN2204">
        <v>2240</v>
      </c>
      <c r="AO2204" t="s">
        <v>21386</v>
      </c>
      <c r="AP2204" t="s">
        <v>121</v>
      </c>
      <c r="AQ2204" t="s">
        <v>21387</v>
      </c>
      <c r="AR2204" t="s">
        <v>21388</v>
      </c>
      <c r="AT2204" t="s">
        <v>21389</v>
      </c>
      <c r="AU2204" t="s">
        <v>3076</v>
      </c>
      <c r="AV2204" t="s">
        <v>21384</v>
      </c>
      <c r="AW2204" t="s">
        <v>140</v>
      </c>
      <c r="AX2204" s="8" t="str">
        <f>"33134"</f>
        <v>33134</v>
      </c>
      <c r="AY2204" t="s">
        <v>118</v>
      </c>
      <c r="BA2204" s="10">
        <v>17864855232</v>
      </c>
      <c r="BB2204">
        <v>1</v>
      </c>
      <c r="BC2204" t="s">
        <v>21390</v>
      </c>
      <c r="BD2204" t="s">
        <v>21391</v>
      </c>
      <c r="BE2204" t="s">
        <v>140</v>
      </c>
      <c r="BF2204" t="s">
        <v>21392</v>
      </c>
      <c r="BG2204" t="s">
        <v>140</v>
      </c>
      <c r="BH2204" s="1">
        <v>45071.833333333336</v>
      </c>
      <c r="BI2204">
        <v>40</v>
      </c>
      <c r="BJ2204">
        <v>0</v>
      </c>
      <c r="BK2204">
        <v>8</v>
      </c>
      <c r="BL2204">
        <v>8</v>
      </c>
      <c r="BM2204">
        <v>8</v>
      </c>
      <c r="BN2204">
        <v>8</v>
      </c>
      <c r="BO2204">
        <v>8</v>
      </c>
      <c r="BP2204">
        <v>0</v>
      </c>
      <c r="BQ2204" t="str">
        <f>"6:00 AM"</f>
        <v>6:00 AM</v>
      </c>
      <c r="BR2204" t="str">
        <f>"2:00 PM"</f>
        <v>2:00 PM</v>
      </c>
      <c r="BS2204" t="s">
        <v>131</v>
      </c>
      <c r="BT2204">
        <v>0</v>
      </c>
      <c r="BU2204">
        <v>12</v>
      </c>
      <c r="BV2204" t="s">
        <v>114</v>
      </c>
      <c r="BX2204" s="2" t="s">
        <v>21393</v>
      </c>
      <c r="BY2204" t="s">
        <v>21394</v>
      </c>
      <c r="CA2204" t="s">
        <v>1920</v>
      </c>
      <c r="CB2204" t="s">
        <v>140</v>
      </c>
      <c r="CC2204" s="8" t="str">
        <f>"33801"</f>
        <v>33801</v>
      </c>
      <c r="CD2204" t="s">
        <v>938</v>
      </c>
      <c r="CE2204" t="s">
        <v>21395</v>
      </c>
      <c r="CF2204" s="12">
        <v>21.72</v>
      </c>
      <c r="CH2204" s="12">
        <v>32.58</v>
      </c>
      <c r="CJ2204" t="s">
        <v>135</v>
      </c>
      <c r="CL2204" t="s">
        <v>21396</v>
      </c>
      <c r="CO2204" t="s">
        <v>132</v>
      </c>
      <c r="CP2204" t="s">
        <v>136</v>
      </c>
      <c r="CQ2204" t="s">
        <v>136</v>
      </c>
      <c r="CR2204" t="s">
        <v>136</v>
      </c>
      <c r="CS2204" t="s">
        <v>114</v>
      </c>
      <c r="CT2204" t="s">
        <v>136</v>
      </c>
      <c r="CU2204" t="s">
        <v>136</v>
      </c>
      <c r="CV2204" t="s">
        <v>21397</v>
      </c>
      <c r="CW2204" s="10" t="str">
        <f>"+13056913535"</f>
        <v>+13056913535</v>
      </c>
      <c r="CX2204" t="s">
        <v>21398</v>
      </c>
      <c r="CY2204" t="s">
        <v>132</v>
      </c>
      <c r="CZ2204" t="s">
        <v>137</v>
      </c>
      <c r="DA2204" t="s">
        <v>114</v>
      </c>
      <c r="DB2204" t="s">
        <v>114</v>
      </c>
      <c r="DC2204" t="s">
        <v>136</v>
      </c>
      <c r="DD2204" t="s">
        <v>114</v>
      </c>
      <c r="DE2204" t="s">
        <v>21387</v>
      </c>
      <c r="DF2204" t="s">
        <v>21388</v>
      </c>
      <c r="DH2204" t="s">
        <v>21391</v>
      </c>
      <c r="DI2204" t="s">
        <v>21390</v>
      </c>
    </row>
    <row r="2205" spans="1:113" ht="15" customHeight="1" x14ac:dyDescent="0.25">
      <c r="A2205" t="s">
        <v>23702</v>
      </c>
      <c r="B2205" t="s">
        <v>113</v>
      </c>
      <c r="C2205" s="1">
        <v>45120.642414814814</v>
      </c>
      <c r="D2205" s="1">
        <v>45202</v>
      </c>
      <c r="E2205" t="s">
        <v>114</v>
      </c>
      <c r="F2205" t="s">
        <v>4814</v>
      </c>
      <c r="G2205" t="str">
        <f>"53-3032.00"</f>
        <v>53-3032.00</v>
      </c>
      <c r="H2205" t="s">
        <v>736</v>
      </c>
      <c r="I2205">
        <v>3</v>
      </c>
      <c r="K2205" s="1">
        <v>45200</v>
      </c>
      <c r="L2205" s="1">
        <v>45504</v>
      </c>
      <c r="O2205" t="s">
        <v>184</v>
      </c>
      <c r="P2205" t="s">
        <v>23703</v>
      </c>
      <c r="Q2205" t="s">
        <v>23704</v>
      </c>
      <c r="R2205" t="s">
        <v>23705</v>
      </c>
      <c r="T2205" t="s">
        <v>4144</v>
      </c>
      <c r="U2205" t="s">
        <v>127</v>
      </c>
      <c r="V2205" s="8" t="str">
        <f>"76531"</f>
        <v>76531</v>
      </c>
      <c r="W2205" t="s">
        <v>118</v>
      </c>
      <c r="Y2205" s="10">
        <v>12543863647</v>
      </c>
      <c r="AA2205">
        <v>484121</v>
      </c>
      <c r="AB2205" t="s">
        <v>23706</v>
      </c>
      <c r="AC2205" t="s">
        <v>23707</v>
      </c>
      <c r="AE2205" t="s">
        <v>1836</v>
      </c>
      <c r="AF2205" t="s">
        <v>23705</v>
      </c>
      <c r="AH2205" t="s">
        <v>4144</v>
      </c>
      <c r="AI2205" t="s">
        <v>127</v>
      </c>
      <c r="AJ2205" s="8" t="str">
        <f>"76531"</f>
        <v>76531</v>
      </c>
      <c r="AK2205" t="s">
        <v>118</v>
      </c>
      <c r="AM2205" s="10">
        <v>12543863647</v>
      </c>
      <c r="AO2205" t="s">
        <v>23708</v>
      </c>
      <c r="AX2205" s="8" t="str">
        <f>""</f>
        <v/>
      </c>
      <c r="BG2205" t="s">
        <v>127</v>
      </c>
      <c r="BH2205" s="1">
        <v>45199.833333333336</v>
      </c>
      <c r="BI2205">
        <v>40</v>
      </c>
      <c r="BJ2205">
        <v>0</v>
      </c>
      <c r="BK2205">
        <v>8</v>
      </c>
      <c r="BL2205">
        <v>8</v>
      </c>
      <c r="BM2205">
        <v>8</v>
      </c>
      <c r="BN2205">
        <v>8</v>
      </c>
      <c r="BO2205">
        <v>8</v>
      </c>
      <c r="BP2205">
        <v>0</v>
      </c>
      <c r="BQ2205" t="str">
        <f>"7:00 AM"</f>
        <v>7:00 AM</v>
      </c>
      <c r="BR2205" t="str">
        <f>"5:00 PM"</f>
        <v>5:00 PM</v>
      </c>
      <c r="BS2205" t="s">
        <v>131</v>
      </c>
      <c r="BT2205">
        <v>1</v>
      </c>
      <c r="BU2205">
        <v>36</v>
      </c>
      <c r="BV2205" t="s">
        <v>114</v>
      </c>
      <c r="BX2205" t="s">
        <v>23709</v>
      </c>
      <c r="BY2205" t="s">
        <v>23705</v>
      </c>
      <c r="CA2205" t="s">
        <v>4144</v>
      </c>
      <c r="CB2205" t="s">
        <v>127</v>
      </c>
      <c r="CC2205" s="8" t="str">
        <f>"76531"</f>
        <v>76531</v>
      </c>
      <c r="CD2205" t="s">
        <v>4144</v>
      </c>
      <c r="CE2205" t="s">
        <v>619</v>
      </c>
      <c r="CF2205" s="12">
        <v>20.88</v>
      </c>
      <c r="CJ2205" t="s">
        <v>135</v>
      </c>
      <c r="CL2205" t="s">
        <v>23710</v>
      </c>
      <c r="CO2205" t="s">
        <v>132</v>
      </c>
      <c r="CP2205" t="s">
        <v>114</v>
      </c>
      <c r="CQ2205" t="s">
        <v>136</v>
      </c>
      <c r="CR2205" t="s">
        <v>136</v>
      </c>
      <c r="CS2205" t="s">
        <v>136</v>
      </c>
      <c r="CT2205" t="s">
        <v>136</v>
      </c>
      <c r="CU2205" t="s">
        <v>136</v>
      </c>
      <c r="CV2205" t="s">
        <v>23711</v>
      </c>
      <c r="CW2205" s="10" t="str">
        <f>"+12543863647"</f>
        <v>+12543863647</v>
      </c>
      <c r="CX2205" t="s">
        <v>23708</v>
      </c>
      <c r="CY2205" t="s">
        <v>132</v>
      </c>
      <c r="CZ2205" t="s">
        <v>137</v>
      </c>
      <c r="DA2205" t="s">
        <v>114</v>
      </c>
      <c r="DB2205" t="s">
        <v>114</v>
      </c>
      <c r="DC2205" t="s">
        <v>136</v>
      </c>
      <c r="DD2205" t="s">
        <v>114</v>
      </c>
    </row>
    <row r="2206" spans="1:113" ht="15" customHeight="1" x14ac:dyDescent="0.25">
      <c r="A2206" t="s">
        <v>18574</v>
      </c>
      <c r="B2206" t="s">
        <v>113</v>
      </c>
      <c r="C2206" s="1">
        <v>45120.420516666665</v>
      </c>
      <c r="D2206" s="1">
        <v>45202</v>
      </c>
      <c r="E2206" t="s">
        <v>114</v>
      </c>
      <c r="F2206" t="s">
        <v>5366</v>
      </c>
      <c r="G2206" t="str">
        <f>"37-3011.00"</f>
        <v>37-3011.00</v>
      </c>
      <c r="H2206" t="s">
        <v>429</v>
      </c>
      <c r="I2206">
        <v>15</v>
      </c>
      <c r="K2206" s="1">
        <v>45200</v>
      </c>
      <c r="L2206" s="1">
        <v>45249</v>
      </c>
      <c r="O2206" t="s">
        <v>238</v>
      </c>
      <c r="P2206" t="s">
        <v>18575</v>
      </c>
      <c r="R2206" t="s">
        <v>18576</v>
      </c>
      <c r="T2206" t="s">
        <v>5539</v>
      </c>
      <c r="U2206" t="s">
        <v>375</v>
      </c>
      <c r="V2206" s="8" t="str">
        <f>"27889"</f>
        <v>27889</v>
      </c>
      <c r="W2206" t="s">
        <v>118</v>
      </c>
      <c r="Y2206" s="10">
        <v>12529451963</v>
      </c>
      <c r="AA2206">
        <v>56173</v>
      </c>
      <c r="AB2206" t="s">
        <v>18577</v>
      </c>
      <c r="AC2206" t="s">
        <v>18578</v>
      </c>
      <c r="AE2206" t="s">
        <v>561</v>
      </c>
      <c r="AF2206" t="s">
        <v>18576</v>
      </c>
      <c r="AH2206" t="s">
        <v>5539</v>
      </c>
      <c r="AI2206" t="s">
        <v>375</v>
      </c>
      <c r="AJ2206" s="8" t="str">
        <f>"27889"</f>
        <v>27889</v>
      </c>
      <c r="AK2206" t="s">
        <v>118</v>
      </c>
      <c r="AM2206" s="10">
        <v>12529451963</v>
      </c>
      <c r="AO2206" t="s">
        <v>132</v>
      </c>
      <c r="AP2206" t="s">
        <v>248</v>
      </c>
      <c r="AQ2206" t="s">
        <v>18579</v>
      </c>
      <c r="AR2206" t="s">
        <v>1945</v>
      </c>
      <c r="AT2206" t="s">
        <v>579</v>
      </c>
      <c r="AV2206" t="s">
        <v>580</v>
      </c>
      <c r="AW2206" t="s">
        <v>581</v>
      </c>
      <c r="AX2206" s="8" t="str">
        <f>"22903"</f>
        <v>22903</v>
      </c>
      <c r="AY2206" t="s">
        <v>118</v>
      </c>
      <c r="BA2206" s="10">
        <v>14342634300</v>
      </c>
      <c r="BC2206" t="s">
        <v>1874</v>
      </c>
      <c r="BD2206" t="s">
        <v>583</v>
      </c>
      <c r="BG2206" t="s">
        <v>375</v>
      </c>
      <c r="BH2206" s="1">
        <v>45109.833333333336</v>
      </c>
      <c r="BI2206">
        <v>40</v>
      </c>
      <c r="BJ2206">
        <v>0</v>
      </c>
      <c r="BK2206">
        <v>8</v>
      </c>
      <c r="BL2206">
        <v>8</v>
      </c>
      <c r="BM2206">
        <v>8</v>
      </c>
      <c r="BN2206">
        <v>8</v>
      </c>
      <c r="BO2206">
        <v>8</v>
      </c>
      <c r="BP2206">
        <v>0</v>
      </c>
      <c r="BQ2206" t="str">
        <f>"7:00 AM"</f>
        <v>7:00 AM</v>
      </c>
      <c r="BR2206" t="str">
        <f>"4:00 PM"</f>
        <v>4:00 PM</v>
      </c>
      <c r="BS2206" t="s">
        <v>131</v>
      </c>
      <c r="BT2206">
        <v>0</v>
      </c>
      <c r="BU2206">
        <v>0</v>
      </c>
      <c r="BV2206" t="s">
        <v>114</v>
      </c>
      <c r="BX2206" s="2" t="s">
        <v>18580</v>
      </c>
      <c r="BY2206" t="s">
        <v>18581</v>
      </c>
      <c r="CA2206" t="s">
        <v>5539</v>
      </c>
      <c r="CB2206" t="s">
        <v>375</v>
      </c>
      <c r="CC2206" s="8" t="str">
        <f>"27889"</f>
        <v>27889</v>
      </c>
      <c r="CD2206" t="s">
        <v>3136</v>
      </c>
      <c r="CE2206" t="s">
        <v>8851</v>
      </c>
      <c r="CF2206" s="12">
        <v>14.23</v>
      </c>
      <c r="CG2206" s="12">
        <v>14.23</v>
      </c>
      <c r="CH2206" s="12">
        <v>21.35</v>
      </c>
      <c r="CI2206" s="12">
        <v>21.35</v>
      </c>
      <c r="CJ2206" t="s">
        <v>135</v>
      </c>
      <c r="CK2206" t="s">
        <v>590</v>
      </c>
      <c r="CL2206" t="s">
        <v>18582</v>
      </c>
      <c r="CO2206" t="s">
        <v>132</v>
      </c>
      <c r="CP2206" t="s">
        <v>136</v>
      </c>
      <c r="CQ2206" t="s">
        <v>136</v>
      </c>
      <c r="CR2206" t="s">
        <v>136</v>
      </c>
      <c r="CS2206" t="s">
        <v>136</v>
      </c>
      <c r="CT2206" t="s">
        <v>136</v>
      </c>
      <c r="CU2206" t="s">
        <v>136</v>
      </c>
      <c r="CV2206" t="s">
        <v>1875</v>
      </c>
      <c r="CW2206" s="10" t="str">
        <f>"+12529451963"</f>
        <v>+12529451963</v>
      </c>
      <c r="CX2206" t="s">
        <v>132</v>
      </c>
      <c r="CY2206" t="s">
        <v>1954</v>
      </c>
      <c r="CZ2206" t="s">
        <v>137</v>
      </c>
      <c r="DA2206" t="s">
        <v>114</v>
      </c>
      <c r="DB2206" t="s">
        <v>136</v>
      </c>
      <c r="DC2206" t="s">
        <v>136</v>
      </c>
      <c r="DD2206" t="s">
        <v>114</v>
      </c>
      <c r="DE2206" t="s">
        <v>1877</v>
      </c>
      <c r="DF2206" t="s">
        <v>1069</v>
      </c>
      <c r="DH2206" t="s">
        <v>583</v>
      </c>
      <c r="DI2206" t="s">
        <v>1874</v>
      </c>
    </row>
    <row r="2207" spans="1:113" ht="15" customHeight="1" x14ac:dyDescent="0.25">
      <c r="A2207" t="s">
        <v>9156</v>
      </c>
      <c r="B2207" t="s">
        <v>113</v>
      </c>
      <c r="C2207" s="1">
        <v>45113.663007986113</v>
      </c>
      <c r="D2207" s="1">
        <v>45202</v>
      </c>
      <c r="E2207" t="s">
        <v>114</v>
      </c>
      <c r="F2207" t="s">
        <v>1059</v>
      </c>
      <c r="G2207" t="str">
        <f>"35-2014.00"</f>
        <v>35-2014.00</v>
      </c>
      <c r="H2207" t="s">
        <v>154</v>
      </c>
      <c r="I2207">
        <v>10</v>
      </c>
      <c r="K2207" s="1">
        <v>45200</v>
      </c>
      <c r="L2207" s="1">
        <v>45427</v>
      </c>
      <c r="O2207" t="s">
        <v>238</v>
      </c>
      <c r="P2207" t="s">
        <v>9157</v>
      </c>
      <c r="R2207" t="s">
        <v>9158</v>
      </c>
      <c r="T2207" t="s">
        <v>9159</v>
      </c>
      <c r="U2207" t="s">
        <v>117</v>
      </c>
      <c r="V2207" s="8" t="str">
        <f>"60559"</f>
        <v>60559</v>
      </c>
      <c r="W2207" t="s">
        <v>118</v>
      </c>
      <c r="Y2207" s="10">
        <v>16309639999</v>
      </c>
      <c r="AA2207">
        <v>722511</v>
      </c>
      <c r="AB2207" t="s">
        <v>1893</v>
      </c>
      <c r="AC2207" t="s">
        <v>9160</v>
      </c>
      <c r="AE2207" t="s">
        <v>1283</v>
      </c>
      <c r="AF2207" t="s">
        <v>9161</v>
      </c>
      <c r="AH2207" t="s">
        <v>9159</v>
      </c>
      <c r="AI2207" t="s">
        <v>117</v>
      </c>
      <c r="AJ2207" s="8" t="str">
        <f>"60559"</f>
        <v>60559</v>
      </c>
      <c r="AK2207" t="s">
        <v>118</v>
      </c>
      <c r="AM2207" s="10">
        <v>12248489238</v>
      </c>
      <c r="AO2207" t="s">
        <v>9162</v>
      </c>
      <c r="AP2207" t="s">
        <v>121</v>
      </c>
      <c r="AQ2207" t="s">
        <v>9163</v>
      </c>
      <c r="AR2207" t="s">
        <v>1713</v>
      </c>
      <c r="AS2207" t="s">
        <v>2213</v>
      </c>
      <c r="AT2207" t="s">
        <v>9164</v>
      </c>
      <c r="AU2207" t="s">
        <v>9165</v>
      </c>
      <c r="AV2207" t="s">
        <v>8327</v>
      </c>
      <c r="AW2207" t="s">
        <v>117</v>
      </c>
      <c r="AX2207" s="8" t="str">
        <f>"60641"</f>
        <v>60641</v>
      </c>
      <c r="AY2207" t="s">
        <v>118</v>
      </c>
      <c r="BA2207" s="10">
        <v>17737751717</v>
      </c>
      <c r="BC2207" t="s">
        <v>9166</v>
      </c>
      <c r="BD2207" t="s">
        <v>9167</v>
      </c>
      <c r="BE2207" t="s">
        <v>158</v>
      </c>
      <c r="BF2207" t="s">
        <v>9168</v>
      </c>
      <c r="BG2207" t="s">
        <v>117</v>
      </c>
      <c r="BH2207" s="1">
        <v>45112.833333333336</v>
      </c>
      <c r="BI2207">
        <v>40</v>
      </c>
      <c r="BJ2207">
        <v>0</v>
      </c>
      <c r="BK2207">
        <v>8</v>
      </c>
      <c r="BL2207">
        <v>8</v>
      </c>
      <c r="BM2207">
        <v>8</v>
      </c>
      <c r="BN2207">
        <v>8</v>
      </c>
      <c r="BO2207">
        <v>8</v>
      </c>
      <c r="BP2207">
        <v>0</v>
      </c>
      <c r="BQ2207" t="str">
        <f>"9:00 AM"</f>
        <v>9:00 AM</v>
      </c>
      <c r="BR2207" t="str">
        <f>"5:00 PM"</f>
        <v>5:00 PM</v>
      </c>
      <c r="BS2207" t="s">
        <v>131</v>
      </c>
      <c r="BT2207">
        <v>0</v>
      </c>
      <c r="BU2207">
        <v>3</v>
      </c>
      <c r="BV2207" t="s">
        <v>114</v>
      </c>
      <c r="BX2207" t="s">
        <v>132</v>
      </c>
      <c r="BY2207" t="s">
        <v>9161</v>
      </c>
      <c r="CA2207" t="s">
        <v>9159</v>
      </c>
      <c r="CB2207" t="s">
        <v>117</v>
      </c>
      <c r="CC2207" s="8" t="str">
        <f>"60559"</f>
        <v>60559</v>
      </c>
      <c r="CD2207" t="s">
        <v>4862</v>
      </c>
      <c r="CE2207" t="s">
        <v>134</v>
      </c>
      <c r="CF2207" s="12">
        <v>15.85</v>
      </c>
      <c r="CJ2207" t="s">
        <v>135</v>
      </c>
      <c r="CL2207" t="s">
        <v>9169</v>
      </c>
      <c r="CO2207" t="s">
        <v>132</v>
      </c>
      <c r="CP2207" t="s">
        <v>114</v>
      </c>
      <c r="CQ2207" t="s">
        <v>136</v>
      </c>
      <c r="CR2207" t="s">
        <v>114</v>
      </c>
      <c r="CS2207" t="s">
        <v>114</v>
      </c>
      <c r="CT2207" t="s">
        <v>136</v>
      </c>
      <c r="CU2207" t="s">
        <v>114</v>
      </c>
      <c r="CV2207" t="s">
        <v>1534</v>
      </c>
      <c r="CW2207" s="10" t="str">
        <f>"+12248489238"</f>
        <v>+12248489238</v>
      </c>
      <c r="CX2207" t="s">
        <v>9162</v>
      </c>
      <c r="CY2207" t="s">
        <v>132</v>
      </c>
      <c r="CZ2207" t="s">
        <v>137</v>
      </c>
      <c r="DA2207" t="s">
        <v>114</v>
      </c>
      <c r="DB2207" t="s">
        <v>114</v>
      </c>
      <c r="DC2207" t="s">
        <v>136</v>
      </c>
      <c r="DD2207" t="s">
        <v>114</v>
      </c>
    </row>
    <row r="2208" spans="1:113" ht="15" customHeight="1" x14ac:dyDescent="0.25">
      <c r="A2208" t="s">
        <v>16946</v>
      </c>
      <c r="B2208" t="s">
        <v>113</v>
      </c>
      <c r="C2208" s="1">
        <v>45125.741909259261</v>
      </c>
      <c r="D2208" s="1">
        <v>45201</v>
      </c>
      <c r="E2208" t="s">
        <v>114</v>
      </c>
      <c r="F2208" t="s">
        <v>3847</v>
      </c>
      <c r="G2208" t="str">
        <f>"39-2021.00"</f>
        <v>39-2021.00</v>
      </c>
      <c r="H2208" t="s">
        <v>2895</v>
      </c>
      <c r="I2208">
        <v>3</v>
      </c>
      <c r="K2208" s="1">
        <v>45200</v>
      </c>
      <c r="L2208" s="1">
        <v>45504</v>
      </c>
      <c r="O2208" t="s">
        <v>238</v>
      </c>
      <c r="P2208" t="s">
        <v>16947</v>
      </c>
      <c r="R2208" t="s">
        <v>16948</v>
      </c>
      <c r="T2208" t="s">
        <v>3859</v>
      </c>
      <c r="U2208" t="s">
        <v>434</v>
      </c>
      <c r="V2208" s="8" t="str">
        <f>"19120"</f>
        <v>19120</v>
      </c>
      <c r="W2208" t="s">
        <v>118</v>
      </c>
      <c r="Y2208" s="10">
        <v>16095770906</v>
      </c>
      <c r="AA2208">
        <v>711212</v>
      </c>
      <c r="AB2208" t="s">
        <v>2000</v>
      </c>
      <c r="AC2208" t="s">
        <v>1826</v>
      </c>
      <c r="AE2208" t="s">
        <v>3852</v>
      </c>
      <c r="AF2208" t="s">
        <v>16948</v>
      </c>
      <c r="AH2208" t="s">
        <v>3859</v>
      </c>
      <c r="AI2208" t="s">
        <v>434</v>
      </c>
      <c r="AJ2208" s="8" t="str">
        <f>"19120"</f>
        <v>19120</v>
      </c>
      <c r="AK2208" t="s">
        <v>118</v>
      </c>
      <c r="AM2208" s="10">
        <v>16095770906</v>
      </c>
      <c r="AO2208" t="s">
        <v>16949</v>
      </c>
      <c r="AP2208" t="s">
        <v>121</v>
      </c>
      <c r="AQ2208" t="s">
        <v>3854</v>
      </c>
      <c r="AR2208" t="s">
        <v>144</v>
      </c>
      <c r="AS2208" t="s">
        <v>3855</v>
      </c>
      <c r="AT2208" t="s">
        <v>2605</v>
      </c>
      <c r="AU2208" t="s">
        <v>2606</v>
      </c>
      <c r="AV2208" t="s">
        <v>2607</v>
      </c>
      <c r="AW2208" t="s">
        <v>2608</v>
      </c>
      <c r="AX2208" s="8" t="str">
        <f>"73069"</f>
        <v>73069</v>
      </c>
      <c r="AY2208" t="s">
        <v>118</v>
      </c>
      <c r="BA2208" s="10">
        <v>14053642525</v>
      </c>
      <c r="BC2208" t="s">
        <v>2609</v>
      </c>
      <c r="BD2208" t="s">
        <v>2610</v>
      </c>
      <c r="BE2208" t="s">
        <v>2608</v>
      </c>
      <c r="BF2208" t="s">
        <v>2611</v>
      </c>
      <c r="BG2208" t="s">
        <v>434</v>
      </c>
      <c r="BH2208" s="1">
        <v>45124.833333333336</v>
      </c>
      <c r="BI2208">
        <v>56</v>
      </c>
      <c r="BJ2208">
        <v>8</v>
      </c>
      <c r="BK2208">
        <v>8</v>
      </c>
      <c r="BL2208">
        <v>8</v>
      </c>
      <c r="BM2208">
        <v>8</v>
      </c>
      <c r="BN2208">
        <v>8</v>
      </c>
      <c r="BO2208">
        <v>8</v>
      </c>
      <c r="BP2208">
        <v>8</v>
      </c>
      <c r="BQ2208" t="str">
        <f>"5:00 AM"</f>
        <v>5:00 AM</v>
      </c>
      <c r="BR2208" t="str">
        <f>"5:00 PM"</f>
        <v>5:00 PM</v>
      </c>
      <c r="BS2208" t="s">
        <v>131</v>
      </c>
      <c r="BT2208">
        <v>0</v>
      </c>
      <c r="BU2208">
        <v>1</v>
      </c>
      <c r="BV2208" t="s">
        <v>114</v>
      </c>
      <c r="BX2208" s="2" t="s">
        <v>3116</v>
      </c>
      <c r="BY2208" t="s">
        <v>3857</v>
      </c>
      <c r="BZ2208" t="s">
        <v>3858</v>
      </c>
      <c r="CA2208" t="s">
        <v>3859</v>
      </c>
      <c r="CB2208" t="s">
        <v>434</v>
      </c>
      <c r="CC2208" s="8" t="str">
        <f>"19020"</f>
        <v>19020</v>
      </c>
      <c r="CD2208" t="s">
        <v>3073</v>
      </c>
      <c r="CE2208" t="s">
        <v>443</v>
      </c>
      <c r="CF2208" s="12">
        <v>15.44</v>
      </c>
      <c r="CG2208" s="12">
        <v>15.44</v>
      </c>
      <c r="CH2208" s="12">
        <v>23.16</v>
      </c>
      <c r="CI2208" s="12">
        <v>23.16</v>
      </c>
      <c r="CJ2208" t="s">
        <v>135</v>
      </c>
      <c r="CL2208" t="s">
        <v>16950</v>
      </c>
      <c r="CO2208" t="s">
        <v>132</v>
      </c>
      <c r="CP2208" t="s">
        <v>114</v>
      </c>
      <c r="CQ2208" t="s">
        <v>114</v>
      </c>
      <c r="CR2208" t="s">
        <v>136</v>
      </c>
      <c r="CS2208" t="s">
        <v>114</v>
      </c>
      <c r="CT2208" t="s">
        <v>136</v>
      </c>
      <c r="CU2208" t="s">
        <v>136</v>
      </c>
      <c r="CV2208" t="s">
        <v>3861</v>
      </c>
      <c r="CW2208" s="10" t="str">
        <f>"+16095770906"</f>
        <v>+16095770906</v>
      </c>
      <c r="CX2208" t="s">
        <v>16951</v>
      </c>
      <c r="CY2208" t="s">
        <v>132</v>
      </c>
      <c r="CZ2208" t="s">
        <v>137</v>
      </c>
      <c r="DA2208" t="s">
        <v>114</v>
      </c>
      <c r="DB2208" t="s">
        <v>114</v>
      </c>
      <c r="DC2208" t="s">
        <v>136</v>
      </c>
      <c r="DD2208" t="s">
        <v>114</v>
      </c>
    </row>
    <row r="2209" spans="1:113" ht="15" customHeight="1" x14ac:dyDescent="0.25">
      <c r="A2209" t="s">
        <v>12938</v>
      </c>
      <c r="B2209" t="s">
        <v>113</v>
      </c>
      <c r="C2209" s="1">
        <v>45124.798577777779</v>
      </c>
      <c r="D2209" s="1">
        <v>45201</v>
      </c>
      <c r="E2209" t="s">
        <v>114</v>
      </c>
      <c r="F2209" t="s">
        <v>12939</v>
      </c>
      <c r="G2209" t="str">
        <f>"49-9071.00"</f>
        <v>49-9071.00</v>
      </c>
      <c r="H2209" t="s">
        <v>5714</v>
      </c>
      <c r="I2209">
        <v>3</v>
      </c>
      <c r="K2209" s="1">
        <v>45199</v>
      </c>
      <c r="L2209" s="1">
        <v>45443</v>
      </c>
      <c r="O2209" t="s">
        <v>238</v>
      </c>
      <c r="P2209" t="s">
        <v>12940</v>
      </c>
      <c r="R2209" t="s">
        <v>12941</v>
      </c>
      <c r="T2209" t="s">
        <v>12942</v>
      </c>
      <c r="U2209" t="s">
        <v>211</v>
      </c>
      <c r="V2209" s="8" t="str">
        <f>"84116"</f>
        <v>84116</v>
      </c>
      <c r="W2209" t="s">
        <v>118</v>
      </c>
      <c r="Y2209" s="10">
        <v>18013591234</v>
      </c>
      <c r="AA2209">
        <v>6244</v>
      </c>
      <c r="AB2209" t="s">
        <v>12943</v>
      </c>
      <c r="AC2209" t="s">
        <v>5889</v>
      </c>
      <c r="AE2209" t="s">
        <v>3519</v>
      </c>
      <c r="AF2209" t="s">
        <v>12944</v>
      </c>
      <c r="AH2209" t="s">
        <v>12942</v>
      </c>
      <c r="AI2209" t="s">
        <v>211</v>
      </c>
      <c r="AJ2209" s="8" t="str">
        <f>"84116"</f>
        <v>84116</v>
      </c>
      <c r="AK2209" t="s">
        <v>118</v>
      </c>
      <c r="AM2209" s="10">
        <v>18013280972</v>
      </c>
      <c r="AO2209" t="s">
        <v>12945</v>
      </c>
      <c r="AP2209" t="s">
        <v>248</v>
      </c>
      <c r="AQ2209" t="s">
        <v>1473</v>
      </c>
      <c r="AR2209" t="s">
        <v>1474</v>
      </c>
      <c r="AS2209" t="s">
        <v>1475</v>
      </c>
      <c r="AT2209" t="s">
        <v>12946</v>
      </c>
      <c r="AV2209" t="s">
        <v>1477</v>
      </c>
      <c r="AW2209" t="s">
        <v>211</v>
      </c>
      <c r="AX2209" s="8" t="str">
        <f>"84401"</f>
        <v>84401</v>
      </c>
      <c r="AY2209" t="s">
        <v>118</v>
      </c>
      <c r="BA2209" s="10">
        <v>18013932017</v>
      </c>
      <c r="BC2209" t="s">
        <v>1485</v>
      </c>
      <c r="BD2209" t="s">
        <v>1479</v>
      </c>
      <c r="BG2209" t="s">
        <v>211</v>
      </c>
      <c r="BH2209" s="1">
        <v>45123.833333333336</v>
      </c>
      <c r="BI2209">
        <v>45</v>
      </c>
      <c r="BJ2209">
        <v>0</v>
      </c>
      <c r="BK2209">
        <v>9</v>
      </c>
      <c r="BL2209">
        <v>9</v>
      </c>
      <c r="BM2209">
        <v>9</v>
      </c>
      <c r="BN2209">
        <v>9</v>
      </c>
      <c r="BO2209">
        <v>9</v>
      </c>
      <c r="BP2209">
        <v>0</v>
      </c>
      <c r="BQ2209" t="str">
        <f>"8:00 AM"</f>
        <v>8:00 AM</v>
      </c>
      <c r="BR2209" t="str">
        <f>"4:00 PM"</f>
        <v>4:00 PM</v>
      </c>
      <c r="BS2209" t="s">
        <v>131</v>
      </c>
      <c r="BT2209">
        <v>0</v>
      </c>
      <c r="BU2209">
        <v>0</v>
      </c>
      <c r="BV2209" t="s">
        <v>114</v>
      </c>
      <c r="BX2209" t="s">
        <v>1480</v>
      </c>
      <c r="BY2209" t="s">
        <v>12941</v>
      </c>
      <c r="CA2209" t="s">
        <v>12942</v>
      </c>
      <c r="CB2209" t="s">
        <v>211</v>
      </c>
      <c r="CC2209" s="8" t="str">
        <f>"84116"</f>
        <v>84116</v>
      </c>
      <c r="CD2209" t="s">
        <v>1567</v>
      </c>
      <c r="CE2209" t="s">
        <v>1568</v>
      </c>
      <c r="CF2209" s="12">
        <v>24</v>
      </c>
      <c r="CG2209" s="12">
        <v>26</v>
      </c>
      <c r="CH2209" s="12">
        <v>36</v>
      </c>
      <c r="CI2209" s="12">
        <v>49</v>
      </c>
      <c r="CJ2209" t="s">
        <v>135</v>
      </c>
      <c r="CL2209" t="s">
        <v>12947</v>
      </c>
      <c r="CO2209" t="s">
        <v>132</v>
      </c>
      <c r="CP2209" t="s">
        <v>136</v>
      </c>
      <c r="CQ2209" t="s">
        <v>136</v>
      </c>
      <c r="CR2209" t="s">
        <v>136</v>
      </c>
      <c r="CS2209" t="s">
        <v>136</v>
      </c>
      <c r="CT2209" t="s">
        <v>136</v>
      </c>
      <c r="CU2209" t="s">
        <v>136</v>
      </c>
      <c r="CV2209" t="s">
        <v>1480</v>
      </c>
      <c r="CW2209" s="10" t="str">
        <f>"+18013280972"</f>
        <v>+18013280972</v>
      </c>
      <c r="CX2209" t="s">
        <v>12945</v>
      </c>
      <c r="CY2209" t="s">
        <v>132</v>
      </c>
      <c r="CZ2209" t="s">
        <v>137</v>
      </c>
      <c r="DA2209" t="s">
        <v>114</v>
      </c>
      <c r="DB2209" t="s">
        <v>136</v>
      </c>
      <c r="DC2209" t="s">
        <v>136</v>
      </c>
      <c r="DD2209" t="s">
        <v>114</v>
      </c>
      <c r="DE2209" t="s">
        <v>1473</v>
      </c>
      <c r="DF2209" t="s">
        <v>1474</v>
      </c>
      <c r="DH2209" t="s">
        <v>1479</v>
      </c>
      <c r="DI2209" t="s">
        <v>1485</v>
      </c>
    </row>
    <row r="2210" spans="1:113" ht="15" customHeight="1" x14ac:dyDescent="0.25">
      <c r="A2210" t="s">
        <v>15651</v>
      </c>
      <c r="B2210" t="s">
        <v>113</v>
      </c>
      <c r="C2210" s="1">
        <v>45112.831047569445</v>
      </c>
      <c r="D2210" s="1">
        <v>45201</v>
      </c>
      <c r="E2210" t="s">
        <v>114</v>
      </c>
      <c r="F2210" t="s">
        <v>1339</v>
      </c>
      <c r="G2210" t="str">
        <f>"47-2111.00"</f>
        <v>47-2111.00</v>
      </c>
      <c r="H2210" t="s">
        <v>1340</v>
      </c>
      <c r="I2210">
        <v>90</v>
      </c>
      <c r="K2210" s="1">
        <v>45200</v>
      </c>
      <c r="L2210" s="1">
        <v>45504</v>
      </c>
      <c r="O2210" t="s">
        <v>116</v>
      </c>
      <c r="P2210" t="s">
        <v>8318</v>
      </c>
      <c r="R2210" t="s">
        <v>8319</v>
      </c>
      <c r="T2210" t="s">
        <v>6540</v>
      </c>
      <c r="U2210" t="s">
        <v>333</v>
      </c>
      <c r="V2210" s="8" t="str">
        <f>"70363"</f>
        <v>70363</v>
      </c>
      <c r="W2210" t="s">
        <v>118</v>
      </c>
      <c r="Y2210" s="10">
        <v>19856015188</v>
      </c>
      <c r="AA2210">
        <v>336611</v>
      </c>
      <c r="AB2210" t="s">
        <v>8320</v>
      </c>
      <c r="AC2210" t="s">
        <v>8321</v>
      </c>
      <c r="AE2210" t="s">
        <v>8322</v>
      </c>
      <c r="AF2210" t="s">
        <v>8319</v>
      </c>
      <c r="AH2210" t="s">
        <v>6540</v>
      </c>
      <c r="AI2210" t="s">
        <v>333</v>
      </c>
      <c r="AJ2210" s="8" t="str">
        <f>"70363"</f>
        <v>70363</v>
      </c>
      <c r="AK2210" t="s">
        <v>118</v>
      </c>
      <c r="AM2210" s="10">
        <v>19856015188</v>
      </c>
      <c r="AO2210" t="s">
        <v>8323</v>
      </c>
      <c r="AP2210" t="s">
        <v>121</v>
      </c>
      <c r="AQ2210" t="s">
        <v>2614</v>
      </c>
      <c r="AR2210" t="s">
        <v>8324</v>
      </c>
      <c r="AS2210" t="s">
        <v>8325</v>
      </c>
      <c r="AT2210" t="s">
        <v>11735</v>
      </c>
      <c r="AU2210" t="s">
        <v>8326</v>
      </c>
      <c r="AV2210" t="s">
        <v>8327</v>
      </c>
      <c r="AW2210" t="s">
        <v>117</v>
      </c>
      <c r="AX2210" s="8" t="str">
        <f>"60606"</f>
        <v>60606</v>
      </c>
      <c r="AY2210" t="s">
        <v>118</v>
      </c>
      <c r="BA2210" s="10">
        <v>13127226300</v>
      </c>
      <c r="BC2210" t="s">
        <v>8328</v>
      </c>
      <c r="BD2210" t="s">
        <v>8329</v>
      </c>
      <c r="BE2210" t="s">
        <v>127</v>
      </c>
      <c r="BF2210" t="s">
        <v>750</v>
      </c>
      <c r="BG2210" t="s">
        <v>333</v>
      </c>
      <c r="BH2210" s="1">
        <v>45111.833333333336</v>
      </c>
      <c r="BI2210">
        <v>50</v>
      </c>
      <c r="BJ2210">
        <v>0</v>
      </c>
      <c r="BK2210">
        <v>10</v>
      </c>
      <c r="BL2210">
        <v>10</v>
      </c>
      <c r="BM2210">
        <v>10</v>
      </c>
      <c r="BN2210">
        <v>10</v>
      </c>
      <c r="BO2210">
        <v>10</v>
      </c>
      <c r="BP2210">
        <v>0</v>
      </c>
      <c r="BQ2210" t="str">
        <f>"6:00 AM"</f>
        <v>6:00 AM</v>
      </c>
      <c r="BR2210" t="str">
        <f>"4:30 PM"</f>
        <v>4:30 PM</v>
      </c>
      <c r="BS2210" t="s">
        <v>131</v>
      </c>
      <c r="BT2210">
        <v>0</v>
      </c>
      <c r="BU2210">
        <v>12</v>
      </c>
      <c r="BV2210" t="s">
        <v>114</v>
      </c>
      <c r="BX2210" s="2" t="s">
        <v>15652</v>
      </c>
      <c r="BY2210" t="s">
        <v>8319</v>
      </c>
      <c r="CA2210" t="s">
        <v>6540</v>
      </c>
      <c r="CB2210" t="s">
        <v>333</v>
      </c>
      <c r="CC2210" s="8" t="str">
        <f>"70363"</f>
        <v>70363</v>
      </c>
      <c r="CD2210" t="s">
        <v>6546</v>
      </c>
      <c r="CE2210" t="s">
        <v>6547</v>
      </c>
      <c r="CF2210" s="12">
        <v>27.29</v>
      </c>
      <c r="CH2210" s="12">
        <v>40.93</v>
      </c>
      <c r="CJ2210" t="s">
        <v>135</v>
      </c>
      <c r="CK2210" t="s">
        <v>132</v>
      </c>
      <c r="CL2210" t="s">
        <v>15653</v>
      </c>
      <c r="CO2210" t="s">
        <v>132</v>
      </c>
      <c r="CP2210" t="s">
        <v>136</v>
      </c>
      <c r="CQ2210" t="s">
        <v>136</v>
      </c>
      <c r="CR2210" t="s">
        <v>136</v>
      </c>
      <c r="CS2210" t="s">
        <v>114</v>
      </c>
      <c r="CT2210" t="s">
        <v>136</v>
      </c>
      <c r="CU2210" t="s">
        <v>136</v>
      </c>
      <c r="CV2210" t="s">
        <v>15654</v>
      </c>
      <c r="CW2210" s="10" t="str">
        <f>"+19856015188"</f>
        <v>+19856015188</v>
      </c>
      <c r="CX2210" t="s">
        <v>8323</v>
      </c>
      <c r="CY2210" t="s">
        <v>132</v>
      </c>
      <c r="CZ2210" t="s">
        <v>137</v>
      </c>
      <c r="DA2210" t="s">
        <v>114</v>
      </c>
      <c r="DB2210" t="s">
        <v>114</v>
      </c>
      <c r="DC2210" t="s">
        <v>136</v>
      </c>
      <c r="DD2210" t="s">
        <v>114</v>
      </c>
      <c r="DE2210" t="s">
        <v>2614</v>
      </c>
      <c r="DF2210" t="s">
        <v>8324</v>
      </c>
      <c r="DG2210" t="s">
        <v>628</v>
      </c>
      <c r="DH2210" t="s">
        <v>8329</v>
      </c>
      <c r="DI2210" t="s">
        <v>8328</v>
      </c>
    </row>
    <row r="2211" spans="1:113" ht="15" customHeight="1" x14ac:dyDescent="0.25">
      <c r="A2211" t="s">
        <v>11733</v>
      </c>
      <c r="B2211" t="s">
        <v>113</v>
      </c>
      <c r="C2211" s="1">
        <v>45112.727733680556</v>
      </c>
      <c r="D2211" s="1">
        <v>45201</v>
      </c>
      <c r="E2211" t="s">
        <v>114</v>
      </c>
      <c r="F2211" t="s">
        <v>11734</v>
      </c>
      <c r="G2211" t="str">
        <f>"47-2152.00"</f>
        <v>47-2152.00</v>
      </c>
      <c r="H2211" t="s">
        <v>532</v>
      </c>
      <c r="I2211">
        <v>60</v>
      </c>
      <c r="K2211" s="1">
        <v>45200</v>
      </c>
      <c r="L2211" s="1">
        <v>45504</v>
      </c>
      <c r="O2211" t="s">
        <v>116</v>
      </c>
      <c r="P2211" t="s">
        <v>8318</v>
      </c>
      <c r="R2211" t="s">
        <v>8319</v>
      </c>
      <c r="T2211" t="s">
        <v>6540</v>
      </c>
      <c r="U2211" t="s">
        <v>333</v>
      </c>
      <c r="V2211" s="8" t="str">
        <f>"70363"</f>
        <v>70363</v>
      </c>
      <c r="W2211" t="s">
        <v>118</v>
      </c>
      <c r="Y2211" s="10">
        <v>19856015188</v>
      </c>
      <c r="AA2211">
        <v>336611</v>
      </c>
      <c r="AB2211" t="s">
        <v>8321</v>
      </c>
      <c r="AC2211" t="s">
        <v>8320</v>
      </c>
      <c r="AE2211" t="s">
        <v>8322</v>
      </c>
      <c r="AF2211" t="s">
        <v>8319</v>
      </c>
      <c r="AH2211" t="s">
        <v>6540</v>
      </c>
      <c r="AI2211" t="s">
        <v>333</v>
      </c>
      <c r="AJ2211" s="8" t="str">
        <f>"70363"</f>
        <v>70363</v>
      </c>
      <c r="AK2211" t="s">
        <v>118</v>
      </c>
      <c r="AM2211" s="10">
        <v>19856015188</v>
      </c>
      <c r="AO2211" t="s">
        <v>8323</v>
      </c>
      <c r="AP2211" t="s">
        <v>121</v>
      </c>
      <c r="AQ2211" t="s">
        <v>2614</v>
      </c>
      <c r="AR2211" t="s">
        <v>8324</v>
      </c>
      <c r="AS2211" t="s">
        <v>8325</v>
      </c>
      <c r="AT2211" t="s">
        <v>11735</v>
      </c>
      <c r="AU2211" t="s">
        <v>8326</v>
      </c>
      <c r="AV2211" t="s">
        <v>8327</v>
      </c>
      <c r="AW2211" t="s">
        <v>117</v>
      </c>
      <c r="AX2211" s="8" t="str">
        <f>"60606"</f>
        <v>60606</v>
      </c>
      <c r="AY2211" t="s">
        <v>118</v>
      </c>
      <c r="BA2211" s="10">
        <v>13127226300</v>
      </c>
      <c r="BC2211" t="s">
        <v>8328</v>
      </c>
      <c r="BD2211" t="s">
        <v>11736</v>
      </c>
      <c r="BE2211" t="s">
        <v>127</v>
      </c>
      <c r="BF2211" t="s">
        <v>750</v>
      </c>
      <c r="BG2211" t="s">
        <v>333</v>
      </c>
      <c r="BH2211" s="1">
        <v>45111.833333333336</v>
      </c>
      <c r="BI2211">
        <v>50</v>
      </c>
      <c r="BJ2211">
        <v>0</v>
      </c>
      <c r="BK2211">
        <v>10</v>
      </c>
      <c r="BL2211">
        <v>10</v>
      </c>
      <c r="BM2211">
        <v>10</v>
      </c>
      <c r="BN2211">
        <v>10</v>
      </c>
      <c r="BO2211">
        <v>10</v>
      </c>
      <c r="BP2211">
        <v>0</v>
      </c>
      <c r="BQ2211" t="str">
        <f>"6:00 AM"</f>
        <v>6:00 AM</v>
      </c>
      <c r="BR2211" t="str">
        <f>"4:30 PM"</f>
        <v>4:30 PM</v>
      </c>
      <c r="BS2211" t="s">
        <v>131</v>
      </c>
      <c r="BT2211">
        <v>0</v>
      </c>
      <c r="BU2211">
        <v>12</v>
      </c>
      <c r="BV2211" t="s">
        <v>114</v>
      </c>
      <c r="BX2211" s="2" t="s">
        <v>11737</v>
      </c>
      <c r="BY2211" t="s">
        <v>8319</v>
      </c>
      <c r="CA2211" t="s">
        <v>6540</v>
      </c>
      <c r="CB2211" t="s">
        <v>333</v>
      </c>
      <c r="CC2211" s="8" t="str">
        <f>"70363"</f>
        <v>70363</v>
      </c>
      <c r="CD2211" t="s">
        <v>6546</v>
      </c>
      <c r="CE2211" t="s">
        <v>6547</v>
      </c>
      <c r="CF2211" s="12">
        <v>22.5</v>
      </c>
      <c r="CH2211" s="12">
        <v>33.75</v>
      </c>
      <c r="CJ2211" t="s">
        <v>135</v>
      </c>
      <c r="CK2211" t="s">
        <v>132</v>
      </c>
      <c r="CL2211" t="s">
        <v>11738</v>
      </c>
      <c r="CO2211" t="s">
        <v>132</v>
      </c>
      <c r="CP2211" t="s">
        <v>136</v>
      </c>
      <c r="CQ2211" t="s">
        <v>136</v>
      </c>
      <c r="CR2211" t="s">
        <v>136</v>
      </c>
      <c r="CS2211" t="s">
        <v>114</v>
      </c>
      <c r="CT2211" t="s">
        <v>136</v>
      </c>
      <c r="CU2211" t="s">
        <v>136</v>
      </c>
      <c r="CV2211" t="s">
        <v>11739</v>
      </c>
      <c r="CW2211" s="10" t="str">
        <f>"+19856015188"</f>
        <v>+19856015188</v>
      </c>
      <c r="CX2211" t="s">
        <v>8323</v>
      </c>
      <c r="CY2211" t="s">
        <v>132</v>
      </c>
      <c r="CZ2211" t="s">
        <v>137</v>
      </c>
      <c r="DA2211" t="s">
        <v>114</v>
      </c>
      <c r="DB2211" t="s">
        <v>114</v>
      </c>
      <c r="DC2211" t="s">
        <v>136</v>
      </c>
      <c r="DD2211" t="s">
        <v>114</v>
      </c>
      <c r="DE2211" t="s">
        <v>2614</v>
      </c>
      <c r="DF2211" t="s">
        <v>8324</v>
      </c>
      <c r="DG2211" t="s">
        <v>628</v>
      </c>
      <c r="DH2211" t="s">
        <v>8329</v>
      </c>
      <c r="DI2211" t="s">
        <v>8328</v>
      </c>
    </row>
    <row r="2212" spans="1:113" ht="15" customHeight="1" x14ac:dyDescent="0.25">
      <c r="A2212" t="s">
        <v>10718</v>
      </c>
      <c r="B2212" t="s">
        <v>113</v>
      </c>
      <c r="C2212" s="1">
        <v>45112.49649675926</v>
      </c>
      <c r="D2212" s="1">
        <v>45201</v>
      </c>
      <c r="E2212" t="s">
        <v>114</v>
      </c>
      <c r="F2212" t="s">
        <v>10719</v>
      </c>
      <c r="G2212" t="str">
        <f>"49-9098.00"</f>
        <v>49-9098.00</v>
      </c>
      <c r="H2212" t="s">
        <v>945</v>
      </c>
      <c r="I2212">
        <v>5</v>
      </c>
      <c r="K2212" s="1">
        <v>45200</v>
      </c>
      <c r="L2212" s="1">
        <v>45291</v>
      </c>
      <c r="O2212" t="s">
        <v>116</v>
      </c>
      <c r="P2212" t="s">
        <v>10720</v>
      </c>
      <c r="R2212" t="s">
        <v>10721</v>
      </c>
      <c r="T2212" t="s">
        <v>2917</v>
      </c>
      <c r="U2212" t="s">
        <v>2030</v>
      </c>
      <c r="V2212" s="8" t="str">
        <f>"57106"</f>
        <v>57106</v>
      </c>
      <c r="W2212" t="s">
        <v>118</v>
      </c>
      <c r="Y2212" s="10">
        <v>16055500794</v>
      </c>
      <c r="AA2212">
        <v>23822</v>
      </c>
      <c r="AB2212" t="s">
        <v>10722</v>
      </c>
      <c r="AC2212" t="s">
        <v>2094</v>
      </c>
      <c r="AE2212" t="s">
        <v>561</v>
      </c>
      <c r="AF2212" t="s">
        <v>10721</v>
      </c>
      <c r="AH2212" t="s">
        <v>2917</v>
      </c>
      <c r="AI2212" t="s">
        <v>2030</v>
      </c>
      <c r="AJ2212" s="8" t="str">
        <f>"57106"</f>
        <v>57106</v>
      </c>
      <c r="AK2212" t="s">
        <v>118</v>
      </c>
      <c r="AM2212" s="10">
        <v>16055500794</v>
      </c>
      <c r="AO2212" t="s">
        <v>10723</v>
      </c>
      <c r="AP2212" t="s">
        <v>121</v>
      </c>
      <c r="AQ2212" t="s">
        <v>929</v>
      </c>
      <c r="AR2212" t="s">
        <v>930</v>
      </c>
      <c r="AS2212" t="s">
        <v>931</v>
      </c>
      <c r="AT2212" t="s">
        <v>932</v>
      </c>
      <c r="AU2212" t="s">
        <v>132</v>
      </c>
      <c r="AV2212" t="s">
        <v>933</v>
      </c>
      <c r="AW2212" t="s">
        <v>740</v>
      </c>
      <c r="AX2212" s="8" t="str">
        <f>"50010"</f>
        <v>50010</v>
      </c>
      <c r="AY2212" t="s">
        <v>118</v>
      </c>
      <c r="BA2212" s="10">
        <v>15152324444</v>
      </c>
      <c r="BB2212">
        <v>0</v>
      </c>
      <c r="BC2212" t="s">
        <v>934</v>
      </c>
      <c r="BD2212" t="s">
        <v>935</v>
      </c>
      <c r="BE2212" t="s">
        <v>740</v>
      </c>
      <c r="BF2212" t="s">
        <v>172</v>
      </c>
      <c r="BG2212" t="s">
        <v>2030</v>
      </c>
      <c r="BH2212" s="1">
        <v>45106.833333333336</v>
      </c>
      <c r="BI2212">
        <v>40</v>
      </c>
      <c r="BJ2212">
        <v>0</v>
      </c>
      <c r="BK2212">
        <v>8</v>
      </c>
      <c r="BL2212">
        <v>8</v>
      </c>
      <c r="BM2212">
        <v>8</v>
      </c>
      <c r="BN2212">
        <v>8</v>
      </c>
      <c r="BO2212">
        <v>8</v>
      </c>
      <c r="BP2212">
        <v>0</v>
      </c>
      <c r="BQ2212" t="str">
        <f>"7:00 AM"</f>
        <v>7:00 AM</v>
      </c>
      <c r="BR2212" t="str">
        <f>"6:00 PM"</f>
        <v>6:00 PM</v>
      </c>
      <c r="BS2212" t="s">
        <v>131</v>
      </c>
      <c r="BT2212">
        <v>0</v>
      </c>
      <c r="BU2212">
        <v>0</v>
      </c>
      <c r="BV2212" t="s">
        <v>114</v>
      </c>
      <c r="BX2212" s="2" t="s">
        <v>6101</v>
      </c>
      <c r="BY2212" t="s">
        <v>10724</v>
      </c>
      <c r="CA2212" t="s">
        <v>2917</v>
      </c>
      <c r="CB2212" t="s">
        <v>2030</v>
      </c>
      <c r="CC2212" s="8" t="str">
        <f>"57106"</f>
        <v>57106</v>
      </c>
      <c r="CD2212" t="s">
        <v>3161</v>
      </c>
      <c r="CE2212" t="s">
        <v>2151</v>
      </c>
      <c r="CF2212" s="12">
        <v>17.62</v>
      </c>
      <c r="CH2212" s="12">
        <v>26.43</v>
      </c>
      <c r="CJ2212" t="s">
        <v>135</v>
      </c>
      <c r="CK2212" t="s">
        <v>10725</v>
      </c>
      <c r="CL2212" t="s">
        <v>10726</v>
      </c>
      <c r="CO2212" t="s">
        <v>132</v>
      </c>
      <c r="CP2212" t="s">
        <v>114</v>
      </c>
      <c r="CQ2212" t="s">
        <v>136</v>
      </c>
      <c r="CR2212" t="s">
        <v>136</v>
      </c>
      <c r="CS2212" t="s">
        <v>136</v>
      </c>
      <c r="CT2212" t="s">
        <v>136</v>
      </c>
      <c r="CU2212" t="s">
        <v>136</v>
      </c>
      <c r="CV2212" t="s">
        <v>10727</v>
      </c>
      <c r="CW2212" s="10" t="str">
        <f>"+16055500794"</f>
        <v>+16055500794</v>
      </c>
      <c r="CX2212" t="s">
        <v>10723</v>
      </c>
      <c r="CY2212" t="s">
        <v>132</v>
      </c>
      <c r="CZ2212" t="s">
        <v>137</v>
      </c>
      <c r="DA2212" t="s">
        <v>114</v>
      </c>
      <c r="DB2212" t="s">
        <v>136</v>
      </c>
      <c r="DC2212" t="s">
        <v>136</v>
      </c>
      <c r="DD2212" t="s">
        <v>114</v>
      </c>
    </row>
    <row r="2213" spans="1:113" ht="15" customHeight="1" x14ac:dyDescent="0.25">
      <c r="A2213" t="s">
        <v>19137</v>
      </c>
      <c r="B2213" t="s">
        <v>113</v>
      </c>
      <c r="C2213" s="1">
        <v>45112.486630208332</v>
      </c>
      <c r="D2213" s="1">
        <v>45201</v>
      </c>
      <c r="E2213" t="s">
        <v>114</v>
      </c>
      <c r="F2213" t="s">
        <v>11734</v>
      </c>
      <c r="G2213" t="str">
        <f>"47-2152.00"</f>
        <v>47-2152.00</v>
      </c>
      <c r="H2213" t="s">
        <v>532</v>
      </c>
      <c r="I2213">
        <v>141</v>
      </c>
      <c r="K2213" s="1">
        <v>45200</v>
      </c>
      <c r="L2213" s="1">
        <v>46295</v>
      </c>
      <c r="O2213" t="s">
        <v>184</v>
      </c>
      <c r="P2213" t="s">
        <v>19138</v>
      </c>
      <c r="R2213" t="s">
        <v>19139</v>
      </c>
      <c r="T2213" t="s">
        <v>14236</v>
      </c>
      <c r="U2213" t="s">
        <v>127</v>
      </c>
      <c r="V2213" s="8" t="str">
        <f>"78363"</f>
        <v>78363</v>
      </c>
      <c r="W2213" t="s">
        <v>118</v>
      </c>
      <c r="Y2213" s="10">
        <v>19045712819</v>
      </c>
      <c r="AA2213">
        <v>23899</v>
      </c>
      <c r="AB2213" t="s">
        <v>19140</v>
      </c>
      <c r="AC2213" t="s">
        <v>1945</v>
      </c>
      <c r="AE2213" t="s">
        <v>1283</v>
      </c>
      <c r="AF2213" t="s">
        <v>19139</v>
      </c>
      <c r="AH2213" t="s">
        <v>14236</v>
      </c>
      <c r="AI2213" t="s">
        <v>127</v>
      </c>
      <c r="AJ2213" s="8" t="str">
        <f>"78363"</f>
        <v>78363</v>
      </c>
      <c r="AK2213" t="s">
        <v>118</v>
      </c>
      <c r="AM2213" s="10">
        <v>19045712819</v>
      </c>
      <c r="AO2213" t="s">
        <v>19141</v>
      </c>
      <c r="AP2213" t="s">
        <v>121</v>
      </c>
      <c r="AQ2213" t="s">
        <v>8924</v>
      </c>
      <c r="AR2213" t="s">
        <v>8925</v>
      </c>
      <c r="AS2213" t="s">
        <v>1738</v>
      </c>
      <c r="AT2213" t="s">
        <v>8926</v>
      </c>
      <c r="AU2213" t="s">
        <v>8927</v>
      </c>
      <c r="AV2213" t="s">
        <v>3107</v>
      </c>
      <c r="AW2213" t="s">
        <v>434</v>
      </c>
      <c r="AX2213" s="8" t="str">
        <f>"15222"</f>
        <v>15222</v>
      </c>
      <c r="AY2213" t="s">
        <v>118</v>
      </c>
      <c r="BA2213" s="10">
        <v>14124562821</v>
      </c>
      <c r="BB2213">
        <v>2821</v>
      </c>
      <c r="BC2213" t="s">
        <v>8928</v>
      </c>
      <c r="BD2213" t="s">
        <v>8929</v>
      </c>
      <c r="BE2213" t="s">
        <v>434</v>
      </c>
      <c r="BF2213" t="s">
        <v>10741</v>
      </c>
      <c r="BG2213" t="s">
        <v>127</v>
      </c>
      <c r="BH2213" s="1">
        <v>45111.833333333336</v>
      </c>
      <c r="BI2213">
        <v>50</v>
      </c>
      <c r="BJ2213">
        <v>0</v>
      </c>
      <c r="BK2213">
        <v>10</v>
      </c>
      <c r="BL2213">
        <v>10</v>
      </c>
      <c r="BM2213">
        <v>10</v>
      </c>
      <c r="BN2213">
        <v>10</v>
      </c>
      <c r="BO2213">
        <v>10</v>
      </c>
      <c r="BP2213">
        <v>0</v>
      </c>
      <c r="BQ2213" t="str">
        <f>"7:00 AM"</f>
        <v>7:00 AM</v>
      </c>
      <c r="BR2213" t="str">
        <f>"5:30 PM"</f>
        <v>5:30 PM</v>
      </c>
      <c r="BS2213" t="s">
        <v>147</v>
      </c>
      <c r="BT2213">
        <v>0</v>
      </c>
      <c r="BU2213">
        <v>24</v>
      </c>
      <c r="BV2213" t="s">
        <v>114</v>
      </c>
      <c r="BX2213" s="2" t="s">
        <v>19142</v>
      </c>
      <c r="BY2213" t="s">
        <v>4564</v>
      </c>
      <c r="CA2213" t="s">
        <v>2617</v>
      </c>
      <c r="CB2213" t="s">
        <v>127</v>
      </c>
      <c r="CC2213" s="8" t="str">
        <f>"78362"</f>
        <v>78362</v>
      </c>
      <c r="CD2213" t="s">
        <v>2572</v>
      </c>
      <c r="CE2213" t="s">
        <v>2163</v>
      </c>
      <c r="CF2213" s="12">
        <v>26.34</v>
      </c>
      <c r="CG2213" s="12">
        <v>26.34</v>
      </c>
      <c r="CH2213" s="12">
        <v>39.51</v>
      </c>
      <c r="CI2213" s="12">
        <v>39.51</v>
      </c>
      <c r="CJ2213" t="s">
        <v>135</v>
      </c>
      <c r="CK2213" t="s">
        <v>19143</v>
      </c>
      <c r="CL2213" t="s">
        <v>19144</v>
      </c>
      <c r="CO2213" t="s">
        <v>132</v>
      </c>
      <c r="CP2213" t="s">
        <v>114</v>
      </c>
      <c r="CQ2213" t="s">
        <v>114</v>
      </c>
      <c r="CR2213" t="s">
        <v>136</v>
      </c>
      <c r="CS2213" t="s">
        <v>114</v>
      </c>
      <c r="CT2213" t="s">
        <v>136</v>
      </c>
      <c r="CU2213" t="s">
        <v>114</v>
      </c>
      <c r="CV2213" t="s">
        <v>19145</v>
      </c>
      <c r="CW2213" s="10" t="str">
        <f>"+12818678409"</f>
        <v>+12818678409</v>
      </c>
      <c r="CX2213" t="s">
        <v>19146</v>
      </c>
      <c r="CY2213" t="s">
        <v>132</v>
      </c>
      <c r="CZ2213" t="s">
        <v>137</v>
      </c>
      <c r="DA2213" t="s">
        <v>114</v>
      </c>
      <c r="DB2213" t="s">
        <v>136</v>
      </c>
      <c r="DC2213" t="s">
        <v>136</v>
      </c>
      <c r="DD2213" t="s">
        <v>114</v>
      </c>
    </row>
    <row r="2214" spans="1:113" ht="15" customHeight="1" x14ac:dyDescent="0.25">
      <c r="A2214" t="s">
        <v>7638</v>
      </c>
      <c r="B2214" t="s">
        <v>885</v>
      </c>
      <c r="C2214" s="1">
        <v>45260.962842129629</v>
      </c>
      <c r="D2214" s="1">
        <v>45289</v>
      </c>
      <c r="E2214" t="s">
        <v>132</v>
      </c>
      <c r="F2214" t="s">
        <v>3583</v>
      </c>
      <c r="G2214" t="str">
        <f>"47-2061.00"</f>
        <v>47-2061.00</v>
      </c>
      <c r="H2214" t="s">
        <v>570</v>
      </c>
      <c r="I2214">
        <v>49</v>
      </c>
      <c r="J2214">
        <v>46</v>
      </c>
      <c r="K2214" s="1">
        <v>45350</v>
      </c>
      <c r="L2214" s="1">
        <v>45626</v>
      </c>
      <c r="M2214" s="1">
        <v>45350</v>
      </c>
      <c r="N2214" s="1">
        <v>45626</v>
      </c>
      <c r="O2214" t="s">
        <v>116</v>
      </c>
      <c r="P2214" t="s">
        <v>7639</v>
      </c>
      <c r="R2214" t="s">
        <v>7640</v>
      </c>
      <c r="T2214" t="s">
        <v>2013</v>
      </c>
      <c r="U2214" t="s">
        <v>1722</v>
      </c>
      <c r="V2214" s="8" t="str">
        <f>"21230"</f>
        <v>21230</v>
      </c>
      <c r="W2214" t="s">
        <v>118</v>
      </c>
      <c r="Y2214" s="10">
        <v>14102446773</v>
      </c>
      <c r="AA2214">
        <v>23811</v>
      </c>
      <c r="AB2214" t="s">
        <v>7641</v>
      </c>
      <c r="AC2214" t="s">
        <v>6662</v>
      </c>
      <c r="AD2214" t="s">
        <v>5512</v>
      </c>
      <c r="AE2214" t="s">
        <v>1799</v>
      </c>
      <c r="AF2214" t="s">
        <v>7640</v>
      </c>
      <c r="AH2214" t="s">
        <v>2013</v>
      </c>
      <c r="AI2214" t="s">
        <v>1722</v>
      </c>
      <c r="AJ2214" s="8" t="str">
        <f>"21230"</f>
        <v>21230</v>
      </c>
      <c r="AK2214" t="s">
        <v>118</v>
      </c>
      <c r="AM2214" s="10">
        <v>14102446773</v>
      </c>
      <c r="AO2214" t="s">
        <v>7642</v>
      </c>
      <c r="AP2214" t="s">
        <v>248</v>
      </c>
      <c r="AQ2214" t="s">
        <v>3290</v>
      </c>
      <c r="AR2214" t="s">
        <v>2001</v>
      </c>
      <c r="AT2214" t="s">
        <v>3291</v>
      </c>
      <c r="AV2214" t="s">
        <v>3292</v>
      </c>
      <c r="AW2214" t="s">
        <v>402</v>
      </c>
      <c r="AX2214" s="8" t="str">
        <f>"93446"</f>
        <v>93446</v>
      </c>
      <c r="AY2214" t="s">
        <v>118</v>
      </c>
      <c r="AZ2214" t="s">
        <v>3293</v>
      </c>
      <c r="BA2214" s="10">
        <v>13217042589</v>
      </c>
      <c r="BC2214" t="s">
        <v>3294</v>
      </c>
      <c r="BD2214" t="s">
        <v>3295</v>
      </c>
      <c r="BG2214" t="s">
        <v>1722</v>
      </c>
      <c r="BH2214" s="1">
        <v>45238.791666666664</v>
      </c>
      <c r="BI2214">
        <v>42</v>
      </c>
      <c r="BJ2214">
        <v>0</v>
      </c>
      <c r="BK2214">
        <v>7</v>
      </c>
      <c r="BL2214">
        <v>7</v>
      </c>
      <c r="BM2214">
        <v>7</v>
      </c>
      <c r="BN2214">
        <v>7</v>
      </c>
      <c r="BO2214">
        <v>7</v>
      </c>
      <c r="BP2214">
        <v>7</v>
      </c>
      <c r="BQ2214" t="str">
        <f>"7:00 AM"</f>
        <v>7:00 AM</v>
      </c>
      <c r="BR2214" t="str">
        <f>"12:00 PM"</f>
        <v>12:00 PM</v>
      </c>
      <c r="BS2214" t="s">
        <v>131</v>
      </c>
      <c r="BT2214">
        <v>0</v>
      </c>
      <c r="BU2214">
        <v>1</v>
      </c>
      <c r="BV2214" t="s">
        <v>114</v>
      </c>
      <c r="BX2214" s="2" t="s">
        <v>7643</v>
      </c>
      <c r="BY2214" t="s">
        <v>7640</v>
      </c>
      <c r="CA2214" t="s">
        <v>7644</v>
      </c>
      <c r="CB2214" t="s">
        <v>1722</v>
      </c>
      <c r="CC2214" s="8" t="str">
        <f>"21230"</f>
        <v>21230</v>
      </c>
      <c r="CD2214" t="s">
        <v>7645</v>
      </c>
      <c r="CE2214" t="s">
        <v>1992</v>
      </c>
      <c r="CF2214" s="12">
        <v>20.100000000000001</v>
      </c>
      <c r="CG2214" s="12">
        <v>20.100000000000001</v>
      </c>
      <c r="CH2214" s="12">
        <v>30.15</v>
      </c>
      <c r="CI2214" s="12">
        <v>30.15</v>
      </c>
      <c r="CJ2214" t="s">
        <v>135</v>
      </c>
      <c r="CK2214" t="s">
        <v>3300</v>
      </c>
      <c r="CL2214" t="s">
        <v>7646</v>
      </c>
      <c r="CO2214" t="s">
        <v>132</v>
      </c>
      <c r="CP2214" t="s">
        <v>136</v>
      </c>
      <c r="CQ2214" t="s">
        <v>136</v>
      </c>
      <c r="CR2214" t="s">
        <v>136</v>
      </c>
      <c r="CS2214" t="s">
        <v>136</v>
      </c>
      <c r="CT2214" t="s">
        <v>136</v>
      </c>
      <c r="CU2214" t="s">
        <v>136</v>
      </c>
      <c r="CV2214" s="2" t="s">
        <v>7647</v>
      </c>
      <c r="CW2214" s="10" t="str">
        <f>"+14432573029"</f>
        <v>+14432573029</v>
      </c>
      <c r="CX2214" t="s">
        <v>132</v>
      </c>
      <c r="CY2214" t="s">
        <v>7648</v>
      </c>
      <c r="CZ2214" t="s">
        <v>137</v>
      </c>
      <c r="DA2214" t="s">
        <v>114</v>
      </c>
      <c r="DB2214" t="s">
        <v>114</v>
      </c>
      <c r="DC2214" t="s">
        <v>136</v>
      </c>
      <c r="DD2214" t="s">
        <v>114</v>
      </c>
    </row>
    <row r="2215" spans="1:113" ht="15" customHeight="1" x14ac:dyDescent="0.25">
      <c r="A2215" t="s">
        <v>7373</v>
      </c>
      <c r="B2215" t="s">
        <v>885</v>
      </c>
      <c r="C2215" s="1">
        <v>45262.421274652777</v>
      </c>
      <c r="D2215" s="1">
        <v>45288</v>
      </c>
      <c r="E2215" t="s">
        <v>132</v>
      </c>
      <c r="F2215" t="s">
        <v>1595</v>
      </c>
      <c r="G2215" t="str">
        <f>"37-3011.00"</f>
        <v>37-3011.00</v>
      </c>
      <c r="H2215" t="s">
        <v>429</v>
      </c>
      <c r="I2215">
        <v>35</v>
      </c>
      <c r="J2215">
        <v>34</v>
      </c>
      <c r="K2215" s="1">
        <v>45352</v>
      </c>
      <c r="L2215" s="1">
        <v>45597</v>
      </c>
      <c r="M2215" s="1">
        <v>45352</v>
      </c>
      <c r="N2215" s="1">
        <v>45597</v>
      </c>
      <c r="O2215" t="s">
        <v>116</v>
      </c>
      <c r="P2215" t="s">
        <v>7374</v>
      </c>
      <c r="R2215" t="s">
        <v>7375</v>
      </c>
      <c r="S2215" t="s">
        <v>7376</v>
      </c>
      <c r="T2215" t="s">
        <v>3255</v>
      </c>
      <c r="U2215" t="s">
        <v>127</v>
      </c>
      <c r="V2215" s="8" t="str">
        <f>"75057"</f>
        <v>75057</v>
      </c>
      <c r="W2215" t="s">
        <v>118</v>
      </c>
      <c r="X2215" t="s">
        <v>132</v>
      </c>
      <c r="Y2215" s="10">
        <v>19723532252</v>
      </c>
      <c r="AA2215">
        <v>561730</v>
      </c>
      <c r="AB2215" t="s">
        <v>2601</v>
      </c>
      <c r="AC2215" t="s">
        <v>7377</v>
      </c>
      <c r="AD2215" t="s">
        <v>132</v>
      </c>
      <c r="AE2215" t="s">
        <v>629</v>
      </c>
      <c r="AF2215" t="s">
        <v>7375</v>
      </c>
      <c r="AG2215" t="s">
        <v>7376</v>
      </c>
      <c r="AH2215" t="s">
        <v>3255</v>
      </c>
      <c r="AI2215" t="s">
        <v>127</v>
      </c>
      <c r="AJ2215" s="8" t="str">
        <f>"75057"</f>
        <v>75057</v>
      </c>
      <c r="AK2215" t="s">
        <v>118</v>
      </c>
      <c r="AM2215" s="10">
        <v>19723532252</v>
      </c>
      <c r="AO2215" t="s">
        <v>7378</v>
      </c>
      <c r="AP2215" t="s">
        <v>248</v>
      </c>
      <c r="AQ2215" t="s">
        <v>1827</v>
      </c>
      <c r="AR2215" t="s">
        <v>1828</v>
      </c>
      <c r="AS2215" t="s">
        <v>1829</v>
      </c>
      <c r="AT2215" t="s">
        <v>1830</v>
      </c>
      <c r="AU2215" t="s">
        <v>132</v>
      </c>
      <c r="AV2215" t="s">
        <v>1585</v>
      </c>
      <c r="AW2215" t="s">
        <v>127</v>
      </c>
      <c r="AX2215" s="8" t="str">
        <f>"77414"</f>
        <v>77414</v>
      </c>
      <c r="AY2215" t="s">
        <v>118</v>
      </c>
      <c r="BA2215" s="10">
        <v>19793187283</v>
      </c>
      <c r="BC2215" t="s">
        <v>1831</v>
      </c>
      <c r="BD2215" t="s">
        <v>1587</v>
      </c>
      <c r="BG2215" t="s">
        <v>127</v>
      </c>
      <c r="BH2215" s="1">
        <v>45261.791666666664</v>
      </c>
      <c r="BI2215">
        <v>40</v>
      </c>
      <c r="BJ2215">
        <v>0</v>
      </c>
      <c r="BK2215">
        <v>8</v>
      </c>
      <c r="BL2215">
        <v>8</v>
      </c>
      <c r="BM2215">
        <v>8</v>
      </c>
      <c r="BN2215">
        <v>8</v>
      </c>
      <c r="BO2215">
        <v>8</v>
      </c>
      <c r="BP2215">
        <v>0</v>
      </c>
      <c r="BQ2215" t="str">
        <f>"7:00 AM"</f>
        <v>7:00 AM</v>
      </c>
      <c r="BR2215" t="str">
        <f>"4:00 PM"</f>
        <v>4:00 PM</v>
      </c>
      <c r="BS2215" t="s">
        <v>131</v>
      </c>
      <c r="BT2215">
        <v>0</v>
      </c>
      <c r="BU2215">
        <v>0</v>
      </c>
      <c r="BV2215" t="s">
        <v>114</v>
      </c>
      <c r="BX2215" s="2" t="s">
        <v>2641</v>
      </c>
      <c r="BY2215" t="s">
        <v>7375</v>
      </c>
      <c r="BZ2215" t="s">
        <v>132</v>
      </c>
      <c r="CA2215" t="s">
        <v>3255</v>
      </c>
      <c r="CB2215" t="s">
        <v>127</v>
      </c>
      <c r="CC2215" s="8" t="str">
        <f>"75057"</f>
        <v>75057</v>
      </c>
      <c r="CD2215" t="s">
        <v>3259</v>
      </c>
      <c r="CE2215" t="s">
        <v>263</v>
      </c>
      <c r="CF2215" s="12">
        <v>16.86</v>
      </c>
      <c r="CH2215" s="12">
        <v>25.29</v>
      </c>
      <c r="CJ2215" t="s">
        <v>135</v>
      </c>
      <c r="CK2215" t="s">
        <v>132</v>
      </c>
      <c r="CL2215" t="s">
        <v>7379</v>
      </c>
      <c r="CO2215" t="s">
        <v>132</v>
      </c>
      <c r="CP2215" t="s">
        <v>136</v>
      </c>
      <c r="CQ2215" t="s">
        <v>136</v>
      </c>
      <c r="CR2215" t="s">
        <v>136</v>
      </c>
      <c r="CS2215" t="s">
        <v>136</v>
      </c>
      <c r="CT2215" t="s">
        <v>136</v>
      </c>
      <c r="CU2215" t="s">
        <v>114</v>
      </c>
      <c r="CV2215" t="s">
        <v>2225</v>
      </c>
      <c r="CW2215" s="10" t="str">
        <f>"+19723532252"</f>
        <v>+19723532252</v>
      </c>
      <c r="CX2215" t="s">
        <v>7378</v>
      </c>
      <c r="CY2215" t="s">
        <v>132</v>
      </c>
      <c r="CZ2215" t="s">
        <v>137</v>
      </c>
      <c r="DA2215" t="s">
        <v>114</v>
      </c>
      <c r="DB2215" t="s">
        <v>114</v>
      </c>
      <c r="DC2215" t="s">
        <v>136</v>
      </c>
      <c r="DD2215" t="s">
        <v>114</v>
      </c>
    </row>
    <row r="2216" spans="1:113" ht="15" customHeight="1" x14ac:dyDescent="0.25">
      <c r="A2216" t="s">
        <v>21246</v>
      </c>
      <c r="B2216" t="s">
        <v>885</v>
      </c>
      <c r="C2216" s="1">
        <v>45230.811585185184</v>
      </c>
      <c r="D2216" s="1">
        <v>45281</v>
      </c>
      <c r="E2216" t="s">
        <v>132</v>
      </c>
      <c r="F2216" t="s">
        <v>21247</v>
      </c>
      <c r="G2216" t="str">
        <f>"51-3022.00"</f>
        <v>51-3022.00</v>
      </c>
      <c r="H2216" t="s">
        <v>1004</v>
      </c>
      <c r="I2216">
        <v>50</v>
      </c>
      <c r="J2216">
        <v>44</v>
      </c>
      <c r="K2216" s="1">
        <v>45316</v>
      </c>
      <c r="L2216" s="1">
        <v>45620</v>
      </c>
      <c r="M2216" s="1">
        <v>45316</v>
      </c>
      <c r="N2216" s="1">
        <v>45620</v>
      </c>
      <c r="O2216" t="s">
        <v>116</v>
      </c>
      <c r="P2216" t="s">
        <v>17451</v>
      </c>
      <c r="R2216" t="s">
        <v>21248</v>
      </c>
      <c r="S2216" t="s">
        <v>4617</v>
      </c>
      <c r="T2216" t="s">
        <v>3673</v>
      </c>
      <c r="U2216" t="s">
        <v>792</v>
      </c>
      <c r="V2216" s="8" t="str">
        <f>"98109"</f>
        <v>98109</v>
      </c>
      <c r="W2216" t="s">
        <v>118</v>
      </c>
      <c r="Y2216" s="10">
        <v>12067269900</v>
      </c>
      <c r="AA2216">
        <v>31171</v>
      </c>
      <c r="AB2216" t="s">
        <v>2000</v>
      </c>
      <c r="AC2216" t="s">
        <v>17453</v>
      </c>
      <c r="AE2216" t="s">
        <v>17454</v>
      </c>
      <c r="AF2216" t="s">
        <v>21248</v>
      </c>
      <c r="AG2216" t="s">
        <v>4617</v>
      </c>
      <c r="AH2216" t="s">
        <v>3673</v>
      </c>
      <c r="AI2216" t="s">
        <v>792</v>
      </c>
      <c r="AJ2216" s="8" t="str">
        <f>"98109"</f>
        <v>98109</v>
      </c>
      <c r="AK2216" t="s">
        <v>118</v>
      </c>
      <c r="AM2216" s="10">
        <v>12067269900</v>
      </c>
      <c r="AO2216" t="s">
        <v>17455</v>
      </c>
      <c r="AP2216" t="s">
        <v>248</v>
      </c>
      <c r="AQ2216" t="s">
        <v>849</v>
      </c>
      <c r="AR2216" t="s">
        <v>850</v>
      </c>
      <c r="AS2216" t="s">
        <v>132</v>
      </c>
      <c r="AT2216" t="s">
        <v>851</v>
      </c>
      <c r="AU2216" t="s">
        <v>852</v>
      </c>
      <c r="AV2216" t="s">
        <v>853</v>
      </c>
      <c r="AW2216" t="s">
        <v>854</v>
      </c>
      <c r="AX2216" s="8" t="str">
        <f>"83814"</f>
        <v>83814</v>
      </c>
      <c r="AY2216" t="s">
        <v>118</v>
      </c>
      <c r="BA2216" s="10">
        <v>12087772654</v>
      </c>
      <c r="BC2216" t="s">
        <v>855</v>
      </c>
      <c r="BD2216" t="s">
        <v>856</v>
      </c>
      <c r="BG2216" t="s">
        <v>2706</v>
      </c>
      <c r="BH2216" s="1">
        <v>45229.833333333336</v>
      </c>
      <c r="BI2216">
        <v>40</v>
      </c>
      <c r="BJ2216">
        <v>0</v>
      </c>
      <c r="BK2216">
        <v>8</v>
      </c>
      <c r="BL2216">
        <v>8</v>
      </c>
      <c r="BM2216">
        <v>8</v>
      </c>
      <c r="BN2216">
        <v>8</v>
      </c>
      <c r="BO2216">
        <v>8</v>
      </c>
      <c r="BP2216">
        <v>0</v>
      </c>
      <c r="BQ2216" t="str">
        <f>"6:00 AM"</f>
        <v>6:00 AM</v>
      </c>
      <c r="BR2216" t="str">
        <f>"11:00 PM"</f>
        <v>11:00 PM</v>
      </c>
      <c r="BS2216" t="s">
        <v>131</v>
      </c>
      <c r="BT2216">
        <v>0</v>
      </c>
      <c r="BU2216">
        <v>0</v>
      </c>
      <c r="BV2216" t="s">
        <v>114</v>
      </c>
      <c r="BX2216" s="2" t="s">
        <v>21249</v>
      </c>
      <c r="BY2216" t="s">
        <v>21250</v>
      </c>
      <c r="CA2216" t="s">
        <v>2992</v>
      </c>
      <c r="CB2216" t="s">
        <v>2706</v>
      </c>
      <c r="CC2216" s="8" t="str">
        <f>"99615"</f>
        <v>99615</v>
      </c>
      <c r="CD2216" t="s">
        <v>2993</v>
      </c>
      <c r="CE2216" t="s">
        <v>2714</v>
      </c>
      <c r="CF2216" s="12">
        <v>17.149999999999999</v>
      </c>
      <c r="CG2216" s="12">
        <v>19.75</v>
      </c>
      <c r="CH2216" s="12">
        <v>25.73</v>
      </c>
      <c r="CI2216" s="12">
        <v>29.63</v>
      </c>
      <c r="CJ2216" t="s">
        <v>135</v>
      </c>
      <c r="CK2216" t="s">
        <v>1899</v>
      </c>
      <c r="CL2216" t="s">
        <v>21251</v>
      </c>
      <c r="CO2216" t="s">
        <v>132</v>
      </c>
      <c r="CP2216" t="s">
        <v>136</v>
      </c>
      <c r="CQ2216" t="s">
        <v>136</v>
      </c>
      <c r="CR2216" t="s">
        <v>136</v>
      </c>
      <c r="CS2216" t="s">
        <v>136</v>
      </c>
      <c r="CT2216" t="s">
        <v>136</v>
      </c>
      <c r="CU2216" t="s">
        <v>136</v>
      </c>
      <c r="CV2216" t="s">
        <v>21252</v>
      </c>
      <c r="CW2216" s="10" t="str">
        <f>"+12067269900"</f>
        <v>+12067269900</v>
      </c>
      <c r="CX2216" t="s">
        <v>17460</v>
      </c>
      <c r="CY2216" t="s">
        <v>132</v>
      </c>
      <c r="CZ2216" t="s">
        <v>137</v>
      </c>
      <c r="DA2216" t="s">
        <v>114</v>
      </c>
      <c r="DB2216" t="s">
        <v>136</v>
      </c>
      <c r="DC2216" t="s">
        <v>136</v>
      </c>
      <c r="DD2216" t="s">
        <v>114</v>
      </c>
    </row>
    <row r="2217" spans="1:113" ht="15" customHeight="1" x14ac:dyDescent="0.25">
      <c r="A2217" t="s">
        <v>3419</v>
      </c>
      <c r="B2217" t="s">
        <v>885</v>
      </c>
      <c r="C2217" s="1">
        <v>45254.421447916669</v>
      </c>
      <c r="D2217" s="1">
        <v>45279</v>
      </c>
      <c r="E2217" t="s">
        <v>132</v>
      </c>
      <c r="F2217" t="s">
        <v>3420</v>
      </c>
      <c r="G2217" t="str">
        <f>"37-3011.00"</f>
        <v>37-3011.00</v>
      </c>
      <c r="H2217" t="s">
        <v>429</v>
      </c>
      <c r="I2217">
        <v>25</v>
      </c>
      <c r="J2217">
        <v>24</v>
      </c>
      <c r="K2217" s="1">
        <v>45343</v>
      </c>
      <c r="L2217" s="1">
        <v>45626</v>
      </c>
      <c r="M2217" s="1">
        <v>45343</v>
      </c>
      <c r="N2217" s="1">
        <v>45626</v>
      </c>
      <c r="O2217" t="s">
        <v>116</v>
      </c>
      <c r="P2217" t="s">
        <v>3421</v>
      </c>
      <c r="Q2217" t="s">
        <v>3422</v>
      </c>
      <c r="R2217" t="s">
        <v>3423</v>
      </c>
      <c r="S2217" t="s">
        <v>3424</v>
      </c>
      <c r="T2217" t="s">
        <v>3425</v>
      </c>
      <c r="U2217" t="s">
        <v>1691</v>
      </c>
      <c r="V2217" s="8" t="str">
        <f>"29466"</f>
        <v>29466</v>
      </c>
      <c r="W2217" t="s">
        <v>118</v>
      </c>
      <c r="Y2217" s="10">
        <v>18438828100</v>
      </c>
      <c r="AA2217">
        <v>561730</v>
      </c>
      <c r="AB2217" t="s">
        <v>3426</v>
      </c>
      <c r="AC2217" t="s">
        <v>2796</v>
      </c>
      <c r="AD2217" t="s">
        <v>132</v>
      </c>
      <c r="AE2217" t="s">
        <v>1836</v>
      </c>
      <c r="AF2217" t="s">
        <v>3423</v>
      </c>
      <c r="AG2217" t="s">
        <v>3424</v>
      </c>
      <c r="AH2217" t="s">
        <v>3425</v>
      </c>
      <c r="AI2217" t="s">
        <v>1691</v>
      </c>
      <c r="AJ2217" s="8" t="str">
        <f>"29466"</f>
        <v>29466</v>
      </c>
      <c r="AK2217" t="s">
        <v>118</v>
      </c>
      <c r="AM2217" s="10">
        <v>18438828100</v>
      </c>
      <c r="AO2217" t="s">
        <v>3427</v>
      </c>
      <c r="AP2217" t="s">
        <v>248</v>
      </c>
      <c r="AQ2217" t="s">
        <v>3428</v>
      </c>
      <c r="AR2217" t="s">
        <v>3429</v>
      </c>
      <c r="AS2217" t="s">
        <v>132</v>
      </c>
      <c r="AT2217" t="s">
        <v>1584</v>
      </c>
      <c r="AU2217" t="s">
        <v>132</v>
      </c>
      <c r="AV2217" t="s">
        <v>1585</v>
      </c>
      <c r="AW2217" t="s">
        <v>127</v>
      </c>
      <c r="AX2217" s="8" t="str">
        <f>"77414"</f>
        <v>77414</v>
      </c>
      <c r="AY2217" t="s">
        <v>118</v>
      </c>
      <c r="BA2217" s="10">
        <v>19793187279</v>
      </c>
      <c r="BC2217" t="s">
        <v>3430</v>
      </c>
      <c r="BD2217" t="s">
        <v>1587</v>
      </c>
      <c r="BG2217" t="s">
        <v>1691</v>
      </c>
      <c r="BH2217" s="1">
        <v>45253.791666666664</v>
      </c>
      <c r="BI2217">
        <v>45</v>
      </c>
      <c r="BJ2217">
        <v>0</v>
      </c>
      <c r="BK2217">
        <v>9</v>
      </c>
      <c r="BL2217">
        <v>9</v>
      </c>
      <c r="BM2217">
        <v>9</v>
      </c>
      <c r="BN2217">
        <v>9</v>
      </c>
      <c r="BO2217">
        <v>9</v>
      </c>
      <c r="BP2217">
        <v>0</v>
      </c>
      <c r="BQ2217" t="str">
        <f>"7:30 AM"</f>
        <v>7:30 AM</v>
      </c>
      <c r="BR2217" t="str">
        <f>"5:00 PM"</f>
        <v>5:00 PM</v>
      </c>
      <c r="BS2217" t="s">
        <v>131</v>
      </c>
      <c r="BT2217">
        <v>0</v>
      </c>
      <c r="BU2217">
        <v>0</v>
      </c>
      <c r="BV2217" t="s">
        <v>114</v>
      </c>
      <c r="BX2217" s="2" t="s">
        <v>3431</v>
      </c>
      <c r="BY2217" t="s">
        <v>3423</v>
      </c>
      <c r="BZ2217" t="s">
        <v>132</v>
      </c>
      <c r="CA2217" t="s">
        <v>3425</v>
      </c>
      <c r="CB2217" t="s">
        <v>1691</v>
      </c>
      <c r="CC2217" s="8" t="str">
        <f>"29466"</f>
        <v>29466</v>
      </c>
      <c r="CD2217" t="s">
        <v>1868</v>
      </c>
      <c r="CE2217" t="s">
        <v>1869</v>
      </c>
      <c r="CF2217" s="12">
        <v>16.989999999999998</v>
      </c>
      <c r="CG2217" s="12">
        <v>18</v>
      </c>
      <c r="CH2217" s="12">
        <v>25.49</v>
      </c>
      <c r="CI2217" s="12">
        <v>27</v>
      </c>
      <c r="CJ2217" t="s">
        <v>135</v>
      </c>
      <c r="CK2217" t="s">
        <v>3432</v>
      </c>
      <c r="CL2217" t="s">
        <v>3433</v>
      </c>
      <c r="CO2217" t="s">
        <v>132</v>
      </c>
      <c r="CP2217" t="s">
        <v>136</v>
      </c>
      <c r="CQ2217" t="s">
        <v>136</v>
      </c>
      <c r="CR2217" t="s">
        <v>136</v>
      </c>
      <c r="CS2217" t="s">
        <v>136</v>
      </c>
      <c r="CT2217" t="s">
        <v>136</v>
      </c>
      <c r="CU2217" t="s">
        <v>136</v>
      </c>
      <c r="CV2217" s="2" t="s">
        <v>3434</v>
      </c>
      <c r="CW2217" s="10" t="str">
        <f>"+18438828100"</f>
        <v>+18438828100</v>
      </c>
      <c r="CX2217" t="s">
        <v>3435</v>
      </c>
      <c r="CY2217" t="s">
        <v>132</v>
      </c>
      <c r="CZ2217" t="s">
        <v>137</v>
      </c>
      <c r="DA2217" t="s">
        <v>114</v>
      </c>
      <c r="DB2217" t="s">
        <v>114</v>
      </c>
      <c r="DC2217" t="s">
        <v>136</v>
      </c>
      <c r="DD2217" t="s">
        <v>114</v>
      </c>
    </row>
    <row r="2218" spans="1:113" ht="15" customHeight="1" x14ac:dyDescent="0.25">
      <c r="A2218" t="s">
        <v>20057</v>
      </c>
      <c r="B2218" t="s">
        <v>885</v>
      </c>
      <c r="C2218" s="1">
        <v>45250.455990509261</v>
      </c>
      <c r="D2218" s="1">
        <v>45278</v>
      </c>
      <c r="E2218" t="s">
        <v>132</v>
      </c>
      <c r="F2218" t="s">
        <v>2020</v>
      </c>
      <c r="G2218" t="str">
        <f>"37-3011.00"</f>
        <v>37-3011.00</v>
      </c>
      <c r="H2218" t="s">
        <v>429</v>
      </c>
      <c r="I2218">
        <v>50</v>
      </c>
      <c r="J2218">
        <v>48</v>
      </c>
      <c r="K2218" s="1">
        <v>45338</v>
      </c>
      <c r="L2218" s="1">
        <v>45641</v>
      </c>
      <c r="M2218" s="1">
        <v>45338</v>
      </c>
      <c r="N2218" s="1">
        <v>45641</v>
      </c>
      <c r="O2218" t="s">
        <v>116</v>
      </c>
      <c r="P2218" t="s">
        <v>20058</v>
      </c>
      <c r="Q2218" t="s">
        <v>20059</v>
      </c>
      <c r="R2218" t="s">
        <v>20060</v>
      </c>
      <c r="T2218" t="s">
        <v>3569</v>
      </c>
      <c r="U2218" t="s">
        <v>984</v>
      </c>
      <c r="V2218" s="8" t="str">
        <f>"63005"</f>
        <v>63005</v>
      </c>
      <c r="W2218" t="s">
        <v>118</v>
      </c>
      <c r="Y2218" s="10">
        <v>16365198653</v>
      </c>
      <c r="AA2218">
        <v>56173</v>
      </c>
      <c r="AB2218" t="s">
        <v>20061</v>
      </c>
      <c r="AC2218" t="s">
        <v>1555</v>
      </c>
      <c r="AE2218" t="s">
        <v>629</v>
      </c>
      <c r="AF2218" t="s">
        <v>20060</v>
      </c>
      <c r="AH2218" t="s">
        <v>3569</v>
      </c>
      <c r="AI2218" t="s">
        <v>984</v>
      </c>
      <c r="AJ2218" s="8" t="str">
        <f>"63005"</f>
        <v>63005</v>
      </c>
      <c r="AK2218" t="s">
        <v>118</v>
      </c>
      <c r="AM2218" s="10">
        <v>16365198653</v>
      </c>
      <c r="AO2218" t="s">
        <v>20062</v>
      </c>
      <c r="AP2218" t="s">
        <v>121</v>
      </c>
      <c r="AQ2218" t="s">
        <v>4020</v>
      </c>
      <c r="AR2218" t="s">
        <v>2631</v>
      </c>
      <c r="AS2218" t="s">
        <v>3351</v>
      </c>
      <c r="AT2218" t="s">
        <v>8131</v>
      </c>
      <c r="AU2218" t="s">
        <v>167</v>
      </c>
      <c r="AV2218" t="s">
        <v>2848</v>
      </c>
      <c r="AW2218" t="s">
        <v>984</v>
      </c>
      <c r="AX2218" s="8" t="str">
        <f>"63105"</f>
        <v>63105</v>
      </c>
      <c r="AY2218" t="s">
        <v>118</v>
      </c>
      <c r="BA2218" s="10">
        <v>13144801500</v>
      </c>
      <c r="BC2218" t="s">
        <v>7475</v>
      </c>
      <c r="BD2218" t="s">
        <v>8132</v>
      </c>
      <c r="BE2218" t="s">
        <v>984</v>
      </c>
      <c r="BF2218" t="s">
        <v>7476</v>
      </c>
      <c r="BG2218" t="s">
        <v>984</v>
      </c>
      <c r="BH2218" s="1">
        <v>45245.791666666664</v>
      </c>
      <c r="BI2218">
        <v>35</v>
      </c>
      <c r="BJ2218">
        <v>0</v>
      </c>
      <c r="BK2218">
        <v>7</v>
      </c>
      <c r="BL2218">
        <v>7</v>
      </c>
      <c r="BM2218">
        <v>7</v>
      </c>
      <c r="BN2218">
        <v>7</v>
      </c>
      <c r="BO2218">
        <v>7</v>
      </c>
      <c r="BP2218">
        <v>0</v>
      </c>
      <c r="BQ2218" t="str">
        <f>"7:30 AM"</f>
        <v>7:30 AM</v>
      </c>
      <c r="BR2218" t="str">
        <f>"3:30 PM"</f>
        <v>3:30 PM</v>
      </c>
      <c r="BS2218" t="s">
        <v>131</v>
      </c>
      <c r="BT2218">
        <v>0</v>
      </c>
      <c r="BU2218">
        <v>0</v>
      </c>
      <c r="BV2218" t="s">
        <v>114</v>
      </c>
      <c r="BX2218" t="s">
        <v>15325</v>
      </c>
      <c r="BY2218" t="s">
        <v>20063</v>
      </c>
      <c r="CA2218" t="s">
        <v>3569</v>
      </c>
      <c r="CB2218" t="s">
        <v>984</v>
      </c>
      <c r="CC2218" s="8" t="str">
        <f>"63005"</f>
        <v>63005</v>
      </c>
      <c r="CD2218" t="s">
        <v>2851</v>
      </c>
      <c r="CE2218" t="s">
        <v>1856</v>
      </c>
      <c r="CF2218" s="12">
        <v>17.579999999999998</v>
      </c>
      <c r="CG2218" s="12">
        <v>17.579999999999998</v>
      </c>
      <c r="CH2218" s="12">
        <v>26.37</v>
      </c>
      <c r="CI2218" s="12">
        <v>26.37</v>
      </c>
      <c r="CJ2218" t="s">
        <v>135</v>
      </c>
      <c r="CL2218" t="s">
        <v>20064</v>
      </c>
      <c r="CO2218" t="s">
        <v>132</v>
      </c>
      <c r="CP2218" t="s">
        <v>136</v>
      </c>
      <c r="CQ2218" t="s">
        <v>136</v>
      </c>
      <c r="CR2218" t="s">
        <v>136</v>
      </c>
      <c r="CS2218" t="s">
        <v>114</v>
      </c>
      <c r="CT2218" t="s">
        <v>136</v>
      </c>
      <c r="CU2218" t="s">
        <v>114</v>
      </c>
      <c r="CV2218" t="s">
        <v>13970</v>
      </c>
      <c r="CW2218" s="10" t="str">
        <f>"+16365198653"</f>
        <v>+16365198653</v>
      </c>
      <c r="CX2218" t="s">
        <v>20065</v>
      </c>
      <c r="CY2218" t="s">
        <v>132</v>
      </c>
      <c r="CZ2218" t="s">
        <v>137</v>
      </c>
      <c r="DA2218" t="s">
        <v>114</v>
      </c>
      <c r="DB2218" t="s">
        <v>114</v>
      </c>
      <c r="DC2218" t="s">
        <v>136</v>
      </c>
      <c r="DD2218" t="s">
        <v>114</v>
      </c>
    </row>
    <row r="2219" spans="1:113" ht="15" customHeight="1" x14ac:dyDescent="0.25">
      <c r="A2219" t="s">
        <v>17660</v>
      </c>
      <c r="B2219" t="s">
        <v>885</v>
      </c>
      <c r="C2219" s="1">
        <v>45247.361960416667</v>
      </c>
      <c r="D2219" s="1">
        <v>45273</v>
      </c>
      <c r="E2219" t="s">
        <v>132</v>
      </c>
      <c r="F2219" t="s">
        <v>1595</v>
      </c>
      <c r="G2219" t="str">
        <f>"37-3011.00"</f>
        <v>37-3011.00</v>
      </c>
      <c r="H2219" t="s">
        <v>429</v>
      </c>
      <c r="I2219">
        <v>35</v>
      </c>
      <c r="J2219">
        <v>34</v>
      </c>
      <c r="K2219" s="1">
        <v>45337</v>
      </c>
      <c r="L2219" s="1">
        <v>45626</v>
      </c>
      <c r="M2219" s="1">
        <v>45337</v>
      </c>
      <c r="N2219" s="1">
        <v>45626</v>
      </c>
      <c r="O2219" t="s">
        <v>116</v>
      </c>
      <c r="P2219" t="s">
        <v>17661</v>
      </c>
      <c r="R2219" t="s">
        <v>17662</v>
      </c>
      <c r="S2219" t="s">
        <v>17663</v>
      </c>
      <c r="T2219" t="s">
        <v>17664</v>
      </c>
      <c r="U2219" t="s">
        <v>1825</v>
      </c>
      <c r="V2219" s="8" t="str">
        <f>"72916"</f>
        <v>72916</v>
      </c>
      <c r="W2219" t="s">
        <v>118</v>
      </c>
      <c r="Y2219" s="10">
        <v>14796466517</v>
      </c>
      <c r="AA2219">
        <v>56173</v>
      </c>
      <c r="AB2219" t="s">
        <v>17665</v>
      </c>
      <c r="AC2219" t="s">
        <v>560</v>
      </c>
      <c r="AE2219" t="s">
        <v>629</v>
      </c>
      <c r="AF2219" t="s">
        <v>17666</v>
      </c>
      <c r="AG2219" t="s">
        <v>17667</v>
      </c>
      <c r="AH2219" t="s">
        <v>17664</v>
      </c>
      <c r="AI2219" t="s">
        <v>1825</v>
      </c>
      <c r="AJ2219" s="8" t="str">
        <f>"72916"</f>
        <v>72916</v>
      </c>
      <c r="AK2219" t="s">
        <v>118</v>
      </c>
      <c r="AM2219" s="10">
        <v>14796466517</v>
      </c>
      <c r="AO2219" t="s">
        <v>7764</v>
      </c>
      <c r="AP2219" t="s">
        <v>248</v>
      </c>
      <c r="AQ2219" t="s">
        <v>1860</v>
      </c>
      <c r="AR2219" t="s">
        <v>1861</v>
      </c>
      <c r="AS2219" t="s">
        <v>1862</v>
      </c>
      <c r="AT2219" t="s">
        <v>1863</v>
      </c>
      <c r="AU2219" t="s">
        <v>1864</v>
      </c>
      <c r="AV2219" t="s">
        <v>1865</v>
      </c>
      <c r="AW2219" t="s">
        <v>581</v>
      </c>
      <c r="AX2219" s="8" t="str">
        <f>"24521"</f>
        <v>24521</v>
      </c>
      <c r="AY2219" t="s">
        <v>118</v>
      </c>
      <c r="BA2219" s="10">
        <v>14349460035</v>
      </c>
      <c r="BB2219">
        <v>11</v>
      </c>
      <c r="BC2219" t="s">
        <v>1866</v>
      </c>
      <c r="BD2219" t="s">
        <v>1867</v>
      </c>
      <c r="BG2219" t="s">
        <v>1825</v>
      </c>
      <c r="BH2219" s="1">
        <v>45246.791666666664</v>
      </c>
      <c r="BI2219">
        <v>35</v>
      </c>
      <c r="BJ2219">
        <v>0</v>
      </c>
      <c r="BK2219">
        <v>7</v>
      </c>
      <c r="BL2219">
        <v>7</v>
      </c>
      <c r="BM2219">
        <v>7</v>
      </c>
      <c r="BN2219">
        <v>7</v>
      </c>
      <c r="BO2219">
        <v>7</v>
      </c>
      <c r="BP2219">
        <v>0</v>
      </c>
      <c r="BQ2219" t="str">
        <f>"8:00 AM"</f>
        <v>8:00 AM</v>
      </c>
      <c r="BR2219" t="str">
        <f>"5:30 PM"</f>
        <v>5:30 PM</v>
      </c>
      <c r="BS2219" t="s">
        <v>131</v>
      </c>
      <c r="BT2219">
        <v>0</v>
      </c>
      <c r="BU2219">
        <v>0</v>
      </c>
      <c r="BV2219" t="s">
        <v>114</v>
      </c>
      <c r="BX2219" s="2" t="s">
        <v>17668</v>
      </c>
      <c r="BY2219" t="s">
        <v>17669</v>
      </c>
      <c r="CA2219" t="s">
        <v>17670</v>
      </c>
      <c r="CB2219" t="s">
        <v>1825</v>
      </c>
      <c r="CC2219" s="8" t="str">
        <f>"72916"</f>
        <v>72916</v>
      </c>
      <c r="CD2219" t="s">
        <v>17671</v>
      </c>
      <c r="CE2219" t="s">
        <v>17672</v>
      </c>
      <c r="CF2219" s="12">
        <v>15.9</v>
      </c>
      <c r="CG2219" s="12">
        <v>15.9</v>
      </c>
      <c r="CH2219" s="12">
        <v>23.85</v>
      </c>
      <c r="CI2219" s="12">
        <v>23.85</v>
      </c>
      <c r="CJ2219" t="s">
        <v>135</v>
      </c>
      <c r="CK2219" t="s">
        <v>17673</v>
      </c>
      <c r="CL2219" t="s">
        <v>17674</v>
      </c>
      <c r="CO2219" t="s">
        <v>132</v>
      </c>
      <c r="CP2219" t="s">
        <v>136</v>
      </c>
      <c r="CQ2219" t="s">
        <v>136</v>
      </c>
      <c r="CR2219" t="s">
        <v>136</v>
      </c>
      <c r="CS2219" t="s">
        <v>114</v>
      </c>
      <c r="CT2219" t="s">
        <v>136</v>
      </c>
      <c r="CU2219" t="s">
        <v>114</v>
      </c>
      <c r="CV2219" t="s">
        <v>17675</v>
      </c>
      <c r="CW2219" s="10" t="str">
        <f>"+14796466517"</f>
        <v>+14796466517</v>
      </c>
      <c r="CX2219" t="s">
        <v>7764</v>
      </c>
      <c r="CY2219" t="s">
        <v>132</v>
      </c>
      <c r="CZ2219" t="s">
        <v>137</v>
      </c>
      <c r="DA2219" t="s">
        <v>114</v>
      </c>
      <c r="DB2219" t="s">
        <v>136</v>
      </c>
      <c r="DC2219" t="s">
        <v>136</v>
      </c>
      <c r="DD2219" t="s">
        <v>114</v>
      </c>
    </row>
    <row r="2220" spans="1:113" ht="15" customHeight="1" x14ac:dyDescent="0.25">
      <c r="A2220" t="s">
        <v>5758</v>
      </c>
      <c r="B2220" t="s">
        <v>885</v>
      </c>
      <c r="C2220" s="1">
        <v>45201.982177662037</v>
      </c>
      <c r="D2220" s="1">
        <v>45268</v>
      </c>
      <c r="E2220" t="s">
        <v>132</v>
      </c>
      <c r="F2220" t="s">
        <v>5759</v>
      </c>
      <c r="G2220" t="str">
        <f>"47-2073.00"</f>
        <v>47-2073.00</v>
      </c>
      <c r="H2220" t="s">
        <v>5760</v>
      </c>
      <c r="I2220">
        <v>33</v>
      </c>
      <c r="J2220">
        <v>32</v>
      </c>
      <c r="K2220" s="1">
        <v>45278</v>
      </c>
      <c r="L2220" s="1">
        <v>45643</v>
      </c>
      <c r="M2220" s="1">
        <v>45278</v>
      </c>
      <c r="N2220" s="1">
        <v>45643</v>
      </c>
      <c r="O2220" t="s">
        <v>184</v>
      </c>
      <c r="P2220" t="s">
        <v>5761</v>
      </c>
      <c r="R2220" t="s">
        <v>5762</v>
      </c>
      <c r="S2220" t="s">
        <v>5763</v>
      </c>
      <c r="T2220" t="s">
        <v>5764</v>
      </c>
      <c r="U2220" t="s">
        <v>5765</v>
      </c>
      <c r="V2220" s="8" t="str">
        <f>"96921"</f>
        <v>96921</v>
      </c>
      <c r="W2220" t="s">
        <v>118</v>
      </c>
      <c r="Y2220" s="10">
        <v>16716464861</v>
      </c>
      <c r="AA2220">
        <v>236220</v>
      </c>
      <c r="AB2220" t="s">
        <v>5766</v>
      </c>
      <c r="AC2220" t="s">
        <v>1783</v>
      </c>
      <c r="AD2220" t="s">
        <v>150</v>
      </c>
      <c r="AE2220" t="s">
        <v>5767</v>
      </c>
      <c r="AF2220" t="s">
        <v>5762</v>
      </c>
      <c r="AG2220" t="s">
        <v>5763</v>
      </c>
      <c r="AH2220" t="s">
        <v>5764</v>
      </c>
      <c r="AI2220" t="s">
        <v>5765</v>
      </c>
      <c r="AJ2220" s="8" t="str">
        <f>"96921"</f>
        <v>96921</v>
      </c>
      <c r="AK2220" t="s">
        <v>118</v>
      </c>
      <c r="AM2220" s="10">
        <v>16716464861</v>
      </c>
      <c r="AO2220" t="s">
        <v>5768</v>
      </c>
      <c r="AP2220" t="s">
        <v>121</v>
      </c>
      <c r="AQ2220" t="s">
        <v>5769</v>
      </c>
      <c r="AR2220" t="s">
        <v>5770</v>
      </c>
      <c r="AS2220" t="s">
        <v>150</v>
      </c>
      <c r="AT2220" t="s">
        <v>5771</v>
      </c>
      <c r="AU2220" t="s">
        <v>5772</v>
      </c>
      <c r="AV2220" t="s">
        <v>5773</v>
      </c>
      <c r="AW2220" t="s">
        <v>5765</v>
      </c>
      <c r="AX2220" s="8" t="str">
        <f>"96910"</f>
        <v>96910</v>
      </c>
      <c r="AY2220" t="s">
        <v>118</v>
      </c>
      <c r="BA2220" s="10">
        <v>16714779084</v>
      </c>
      <c r="BC2220" t="s">
        <v>5774</v>
      </c>
      <c r="BD2220" t="s">
        <v>5775</v>
      </c>
      <c r="BE2220" t="s">
        <v>5765</v>
      </c>
      <c r="BF2220" t="s">
        <v>5776</v>
      </c>
      <c r="BG2220" t="s">
        <v>5777</v>
      </c>
      <c r="BH2220" s="1">
        <v>45197.833333333336</v>
      </c>
      <c r="BI2220">
        <v>40</v>
      </c>
      <c r="BJ2220">
        <v>0</v>
      </c>
      <c r="BK2220">
        <v>8</v>
      </c>
      <c r="BL2220">
        <v>8</v>
      </c>
      <c r="BM2220">
        <v>8</v>
      </c>
      <c r="BN2220">
        <v>8</v>
      </c>
      <c r="BO2220">
        <v>8</v>
      </c>
      <c r="BP2220">
        <v>0</v>
      </c>
      <c r="BQ2220" t="str">
        <f>"8:00 AM"</f>
        <v>8:00 AM</v>
      </c>
      <c r="BR2220" t="str">
        <f>"4:00 PM"</f>
        <v>4:00 PM</v>
      </c>
      <c r="BS2220" t="s">
        <v>131</v>
      </c>
      <c r="BT2220">
        <v>0</v>
      </c>
      <c r="BU2220">
        <v>12</v>
      </c>
      <c r="BV2220" t="s">
        <v>114</v>
      </c>
      <c r="BX2220" t="s">
        <v>5778</v>
      </c>
      <c r="BY2220" t="s">
        <v>5779</v>
      </c>
      <c r="CA2220" t="s">
        <v>5780</v>
      </c>
      <c r="CB2220" t="s">
        <v>5777</v>
      </c>
      <c r="CC2220" s="8" t="str">
        <f>"96952"</f>
        <v>96952</v>
      </c>
      <c r="CD2220" t="s">
        <v>5781</v>
      </c>
      <c r="CE2220" t="s">
        <v>5782</v>
      </c>
      <c r="CF2220" s="12">
        <v>11.1</v>
      </c>
      <c r="CG2220" s="12">
        <v>11.1</v>
      </c>
      <c r="CH2220" s="12">
        <v>16.649999999999999</v>
      </c>
      <c r="CI2220" s="12">
        <v>16.649999999999999</v>
      </c>
      <c r="CJ2220" t="s">
        <v>135</v>
      </c>
      <c r="CL2220" t="s">
        <v>5783</v>
      </c>
      <c r="CO2220" t="s">
        <v>136</v>
      </c>
      <c r="CP2220" t="s">
        <v>114</v>
      </c>
      <c r="CQ2220" t="s">
        <v>136</v>
      </c>
      <c r="CR2220" t="s">
        <v>136</v>
      </c>
      <c r="CS2220" t="s">
        <v>114</v>
      </c>
      <c r="CT2220" t="s">
        <v>136</v>
      </c>
      <c r="CU2220" t="s">
        <v>136</v>
      </c>
      <c r="CV2220" t="s">
        <v>5784</v>
      </c>
      <c r="CW2220" s="10" t="str">
        <f>"+16706643190"</f>
        <v>+16706643190</v>
      </c>
      <c r="CX2220" t="s">
        <v>132</v>
      </c>
      <c r="CY2220" t="s">
        <v>5785</v>
      </c>
      <c r="CZ2220" t="s">
        <v>137</v>
      </c>
      <c r="DA2220" t="s">
        <v>114</v>
      </c>
      <c r="DB2220" t="s">
        <v>136</v>
      </c>
      <c r="DC2220" t="s">
        <v>136</v>
      </c>
      <c r="DD2220" t="s">
        <v>114</v>
      </c>
      <c r="DE2220" t="s">
        <v>5769</v>
      </c>
      <c r="DF2220" t="s">
        <v>5770</v>
      </c>
      <c r="DG2220" t="s">
        <v>150</v>
      </c>
      <c r="DH2220" t="s">
        <v>5786</v>
      </c>
      <c r="DI2220" t="s">
        <v>5787</v>
      </c>
    </row>
    <row r="2221" spans="1:113" ht="15" customHeight="1" x14ac:dyDescent="0.25">
      <c r="A2221" t="s">
        <v>10946</v>
      </c>
      <c r="B2221" t="s">
        <v>885</v>
      </c>
      <c r="C2221" s="1">
        <v>45233.001490972223</v>
      </c>
      <c r="D2221" s="1">
        <v>45260</v>
      </c>
      <c r="E2221" t="s">
        <v>132</v>
      </c>
      <c r="F2221" t="s">
        <v>1595</v>
      </c>
      <c r="G2221" t="str">
        <f>"37-3011.00"</f>
        <v>37-3011.00</v>
      </c>
      <c r="H2221" t="s">
        <v>429</v>
      </c>
      <c r="I2221">
        <v>35</v>
      </c>
      <c r="J2221">
        <v>34</v>
      </c>
      <c r="K2221" s="1">
        <v>45323</v>
      </c>
      <c r="L2221" s="1">
        <v>45626</v>
      </c>
      <c r="M2221" s="1">
        <v>45323</v>
      </c>
      <c r="N2221" s="1">
        <v>45626</v>
      </c>
      <c r="O2221" t="s">
        <v>116</v>
      </c>
      <c r="P2221" t="s">
        <v>10947</v>
      </c>
      <c r="R2221" t="s">
        <v>10948</v>
      </c>
      <c r="T2221" t="s">
        <v>9450</v>
      </c>
      <c r="U2221" t="s">
        <v>127</v>
      </c>
      <c r="V2221" s="8" t="str">
        <f>"79124"</f>
        <v>79124</v>
      </c>
      <c r="W2221" t="s">
        <v>118</v>
      </c>
      <c r="Y2221" s="10">
        <v>18063734591</v>
      </c>
      <c r="AA2221">
        <v>56173</v>
      </c>
      <c r="AB2221" t="s">
        <v>7568</v>
      </c>
      <c r="AC2221" t="s">
        <v>7309</v>
      </c>
      <c r="AE2221" t="s">
        <v>2405</v>
      </c>
      <c r="AF2221" t="s">
        <v>10948</v>
      </c>
      <c r="AH2221" t="s">
        <v>9450</v>
      </c>
      <c r="AI2221" t="s">
        <v>127</v>
      </c>
      <c r="AJ2221" s="8" t="str">
        <f>"79124"</f>
        <v>79124</v>
      </c>
      <c r="AK2221" t="s">
        <v>118</v>
      </c>
      <c r="AM2221" s="10">
        <v>18063734591</v>
      </c>
      <c r="AO2221" t="s">
        <v>132</v>
      </c>
      <c r="AP2221" t="s">
        <v>248</v>
      </c>
      <c r="AQ2221" t="s">
        <v>2667</v>
      </c>
      <c r="AR2221" t="s">
        <v>2668</v>
      </c>
      <c r="AT2221" t="s">
        <v>1253</v>
      </c>
      <c r="AU2221" t="s">
        <v>852</v>
      </c>
      <c r="AV2221" t="s">
        <v>853</v>
      </c>
      <c r="AW2221" t="s">
        <v>854</v>
      </c>
      <c r="AX2221" s="8" t="str">
        <f>"83814"</f>
        <v>83814</v>
      </c>
      <c r="AY2221" t="s">
        <v>118</v>
      </c>
      <c r="BA2221" s="10">
        <v>12087772654</v>
      </c>
      <c r="BC2221" t="s">
        <v>2669</v>
      </c>
      <c r="BD2221" t="s">
        <v>856</v>
      </c>
      <c r="BG2221" t="s">
        <v>127</v>
      </c>
      <c r="BH2221" s="1">
        <v>45231.833333333336</v>
      </c>
      <c r="BI2221">
        <v>40</v>
      </c>
      <c r="BJ2221">
        <v>0</v>
      </c>
      <c r="BK2221">
        <v>8</v>
      </c>
      <c r="BL2221">
        <v>8</v>
      </c>
      <c r="BM2221">
        <v>8</v>
      </c>
      <c r="BN2221">
        <v>8</v>
      </c>
      <c r="BO2221">
        <v>8</v>
      </c>
      <c r="BP2221">
        <v>0</v>
      </c>
      <c r="BQ2221" t="str">
        <f>"7:00 AM"</f>
        <v>7:00 AM</v>
      </c>
      <c r="BR2221" t="str">
        <f>"4:00 PM"</f>
        <v>4:00 PM</v>
      </c>
      <c r="BS2221" t="s">
        <v>131</v>
      </c>
      <c r="BT2221">
        <v>0</v>
      </c>
      <c r="BU2221">
        <v>0</v>
      </c>
      <c r="BV2221" t="s">
        <v>114</v>
      </c>
      <c r="BX2221" t="s">
        <v>2088</v>
      </c>
      <c r="BY2221" t="s">
        <v>10949</v>
      </c>
      <c r="CA2221" t="s">
        <v>9450</v>
      </c>
      <c r="CB2221" t="s">
        <v>127</v>
      </c>
      <c r="CC2221" s="8" t="str">
        <f>"79124"</f>
        <v>79124</v>
      </c>
      <c r="CD2221" t="s">
        <v>10950</v>
      </c>
      <c r="CE2221" t="s">
        <v>9451</v>
      </c>
      <c r="CF2221" s="12">
        <v>15.51</v>
      </c>
      <c r="CG2221" s="12">
        <v>20</v>
      </c>
      <c r="CH2221" s="12">
        <v>23.27</v>
      </c>
      <c r="CI2221" s="12">
        <v>30</v>
      </c>
      <c r="CJ2221" t="s">
        <v>135</v>
      </c>
      <c r="CK2221" t="s">
        <v>1899</v>
      </c>
      <c r="CL2221" t="s">
        <v>10951</v>
      </c>
      <c r="CO2221" t="s">
        <v>132</v>
      </c>
      <c r="CP2221" t="s">
        <v>136</v>
      </c>
      <c r="CQ2221" t="s">
        <v>136</v>
      </c>
      <c r="CR2221" t="s">
        <v>136</v>
      </c>
      <c r="CS2221" t="s">
        <v>136</v>
      </c>
      <c r="CT2221" t="s">
        <v>136</v>
      </c>
      <c r="CU2221" t="s">
        <v>136</v>
      </c>
      <c r="CV2221" t="s">
        <v>10952</v>
      </c>
      <c r="CW2221" s="10" t="str">
        <f>"+18063734591"</f>
        <v>+18063734591</v>
      </c>
      <c r="CX2221" t="s">
        <v>10953</v>
      </c>
      <c r="CY2221" t="s">
        <v>132</v>
      </c>
      <c r="CZ2221" t="s">
        <v>137</v>
      </c>
      <c r="DA2221" t="s">
        <v>114</v>
      </c>
      <c r="DB2221" t="s">
        <v>136</v>
      </c>
      <c r="DC2221" t="s">
        <v>136</v>
      </c>
      <c r="DD2221" t="s">
        <v>114</v>
      </c>
    </row>
    <row r="2222" spans="1:113" ht="15" customHeight="1" x14ac:dyDescent="0.25">
      <c r="A2222" t="s">
        <v>5907</v>
      </c>
      <c r="B2222" t="s">
        <v>885</v>
      </c>
      <c r="C2222" s="1">
        <v>45177.790766666665</v>
      </c>
      <c r="D2222" s="1">
        <v>45259</v>
      </c>
      <c r="E2222" t="s">
        <v>132</v>
      </c>
      <c r="F2222" t="s">
        <v>5908</v>
      </c>
      <c r="G2222" t="str">
        <f>"37-2011.00"</f>
        <v>37-2011.00</v>
      </c>
      <c r="H2222" t="s">
        <v>1089</v>
      </c>
      <c r="I2222">
        <v>15</v>
      </c>
      <c r="J2222">
        <v>9</v>
      </c>
      <c r="K2222" s="1">
        <v>45252</v>
      </c>
      <c r="L2222" s="1">
        <v>45435</v>
      </c>
      <c r="M2222" s="1">
        <v>45252</v>
      </c>
      <c r="N2222" s="1">
        <v>45435</v>
      </c>
      <c r="O2222" t="s">
        <v>116</v>
      </c>
      <c r="P2222" t="s">
        <v>5909</v>
      </c>
      <c r="R2222" t="s">
        <v>5910</v>
      </c>
      <c r="S2222" t="s">
        <v>3489</v>
      </c>
      <c r="T2222" t="s">
        <v>5911</v>
      </c>
      <c r="U2222" t="s">
        <v>188</v>
      </c>
      <c r="V2222" s="8" t="str">
        <f>"80501"</f>
        <v>80501</v>
      </c>
      <c r="W2222" t="s">
        <v>118</v>
      </c>
      <c r="Y2222" s="10">
        <v>17209558338</v>
      </c>
      <c r="AA2222">
        <v>561720</v>
      </c>
      <c r="AB2222" t="s">
        <v>382</v>
      </c>
      <c r="AC2222" t="s">
        <v>5912</v>
      </c>
      <c r="AE2222" t="s">
        <v>5913</v>
      </c>
      <c r="AF2222" t="s">
        <v>5914</v>
      </c>
      <c r="AH2222" t="s">
        <v>3063</v>
      </c>
      <c r="AI2222" t="s">
        <v>188</v>
      </c>
      <c r="AJ2222" s="8" t="str">
        <f>"80015"</f>
        <v>80015</v>
      </c>
      <c r="AK2222" t="s">
        <v>118</v>
      </c>
      <c r="AM2222" s="10">
        <v>17209558338</v>
      </c>
      <c r="AO2222" t="s">
        <v>5915</v>
      </c>
      <c r="AP2222" t="s">
        <v>121</v>
      </c>
      <c r="AQ2222" t="s">
        <v>5916</v>
      </c>
      <c r="AR2222" t="s">
        <v>5917</v>
      </c>
      <c r="AS2222" t="s">
        <v>2356</v>
      </c>
      <c r="AT2222" t="s">
        <v>5918</v>
      </c>
      <c r="AV2222" t="s">
        <v>3063</v>
      </c>
      <c r="AW2222" t="s">
        <v>188</v>
      </c>
      <c r="AX2222" s="8" t="str">
        <f>"80011"</f>
        <v>80011</v>
      </c>
      <c r="AY2222" t="s">
        <v>118</v>
      </c>
      <c r="BA2222" s="10">
        <v>13039626634</v>
      </c>
      <c r="BC2222" t="s">
        <v>5919</v>
      </c>
      <c r="BD2222" t="s">
        <v>5920</v>
      </c>
      <c r="BE2222" t="s">
        <v>188</v>
      </c>
      <c r="BF2222" t="s">
        <v>831</v>
      </c>
      <c r="BG2222" t="s">
        <v>188</v>
      </c>
      <c r="BH2222" s="1">
        <v>45176.833333333336</v>
      </c>
      <c r="BI2222">
        <v>40</v>
      </c>
      <c r="BJ2222">
        <v>0</v>
      </c>
      <c r="BK2222">
        <v>8</v>
      </c>
      <c r="BL2222">
        <v>8</v>
      </c>
      <c r="BM2222">
        <v>8</v>
      </c>
      <c r="BN2222">
        <v>8</v>
      </c>
      <c r="BO2222">
        <v>8</v>
      </c>
      <c r="BP2222">
        <v>0</v>
      </c>
      <c r="BQ2222" t="str">
        <f>"2:00 PM"</f>
        <v>2:00 PM</v>
      </c>
      <c r="BR2222" t="str">
        <f>"10:30 PM"</f>
        <v>10:30 PM</v>
      </c>
      <c r="BS2222" t="s">
        <v>131</v>
      </c>
      <c r="BT2222">
        <v>0</v>
      </c>
      <c r="BU2222">
        <v>12</v>
      </c>
      <c r="BV2222" t="s">
        <v>114</v>
      </c>
      <c r="BX2222" s="2" t="s">
        <v>5921</v>
      </c>
      <c r="BY2222" t="s">
        <v>5922</v>
      </c>
      <c r="CA2222" t="s">
        <v>5911</v>
      </c>
      <c r="CB2222" t="s">
        <v>188</v>
      </c>
      <c r="CC2222" s="8" t="str">
        <f>"80501"</f>
        <v>80501</v>
      </c>
      <c r="CD2222" t="s">
        <v>5388</v>
      </c>
      <c r="CE2222" t="s">
        <v>5389</v>
      </c>
      <c r="CF2222" s="12">
        <v>18.8</v>
      </c>
      <c r="CH2222" s="12">
        <v>28.2</v>
      </c>
      <c r="CJ2222" t="s">
        <v>135</v>
      </c>
      <c r="CL2222" t="s">
        <v>5923</v>
      </c>
      <c r="CO2222" t="s">
        <v>132</v>
      </c>
      <c r="CP2222" t="s">
        <v>136</v>
      </c>
      <c r="CQ2222" t="s">
        <v>114</v>
      </c>
      <c r="CR2222" t="s">
        <v>136</v>
      </c>
      <c r="CS2222" t="s">
        <v>114</v>
      </c>
      <c r="CT2222" t="s">
        <v>136</v>
      </c>
      <c r="CU2222" t="s">
        <v>114</v>
      </c>
      <c r="CV2222" t="s">
        <v>5924</v>
      </c>
      <c r="CW2222" s="10" t="str">
        <f>"+17209558338"</f>
        <v>+17209558338</v>
      </c>
      <c r="CX2222" t="s">
        <v>5925</v>
      </c>
      <c r="CY2222" t="s">
        <v>132</v>
      </c>
      <c r="CZ2222" t="s">
        <v>137</v>
      </c>
      <c r="DA2222" t="s">
        <v>114</v>
      </c>
      <c r="DB2222" t="s">
        <v>114</v>
      </c>
      <c r="DC2222" t="s">
        <v>136</v>
      </c>
      <c r="DD2222" t="s">
        <v>114</v>
      </c>
      <c r="DE2222" t="s">
        <v>5926</v>
      </c>
      <c r="DF2222" t="s">
        <v>5927</v>
      </c>
      <c r="DH2222" t="s">
        <v>5920</v>
      </c>
      <c r="DI2222" t="s">
        <v>5928</v>
      </c>
    </row>
    <row r="2223" spans="1:113" ht="15" customHeight="1" x14ac:dyDescent="0.25">
      <c r="A2223" t="s">
        <v>14961</v>
      </c>
      <c r="B2223" t="s">
        <v>885</v>
      </c>
      <c r="C2223" s="1">
        <v>45189.645425462964</v>
      </c>
      <c r="D2223" s="1">
        <v>45254</v>
      </c>
      <c r="E2223" t="s">
        <v>132</v>
      </c>
      <c r="F2223" t="s">
        <v>11012</v>
      </c>
      <c r="G2223" t="str">
        <f>"51-3022.00"</f>
        <v>51-3022.00</v>
      </c>
      <c r="H2223" t="s">
        <v>1004</v>
      </c>
      <c r="I2223">
        <v>40</v>
      </c>
      <c r="J2223">
        <v>37</v>
      </c>
      <c r="K2223" s="1">
        <v>45275</v>
      </c>
      <c r="L2223" s="1">
        <v>45473</v>
      </c>
      <c r="M2223" s="1">
        <v>45275</v>
      </c>
      <c r="N2223" s="1">
        <v>45473</v>
      </c>
      <c r="O2223" t="s">
        <v>238</v>
      </c>
      <c r="P2223" t="s">
        <v>9941</v>
      </c>
      <c r="R2223" t="s">
        <v>9942</v>
      </c>
      <c r="S2223" t="s">
        <v>9943</v>
      </c>
      <c r="T2223" t="s">
        <v>9944</v>
      </c>
      <c r="U2223" t="s">
        <v>127</v>
      </c>
      <c r="V2223" s="8" t="str">
        <f>"77592"</f>
        <v>77592</v>
      </c>
      <c r="W2223" t="s">
        <v>118</v>
      </c>
      <c r="Y2223" s="10">
        <v>14099454001</v>
      </c>
      <c r="AA2223">
        <v>424460</v>
      </c>
      <c r="AB2223" t="s">
        <v>11014</v>
      </c>
      <c r="AC2223" t="s">
        <v>11015</v>
      </c>
      <c r="AE2223" t="s">
        <v>120</v>
      </c>
      <c r="AF2223" t="s">
        <v>9942</v>
      </c>
      <c r="AH2223" t="s">
        <v>9944</v>
      </c>
      <c r="AI2223" t="s">
        <v>127</v>
      </c>
      <c r="AJ2223" s="8" t="str">
        <f>"77592"</f>
        <v>77592</v>
      </c>
      <c r="AK2223" t="s">
        <v>118</v>
      </c>
      <c r="AM2223" s="10">
        <v>14099454001</v>
      </c>
      <c r="AO2223" t="s">
        <v>11016</v>
      </c>
      <c r="AP2223" t="s">
        <v>121</v>
      </c>
      <c r="AQ2223" t="s">
        <v>3627</v>
      </c>
      <c r="AR2223" t="s">
        <v>2309</v>
      </c>
      <c r="AS2223" t="s">
        <v>5087</v>
      </c>
      <c r="AT2223" t="s">
        <v>11017</v>
      </c>
      <c r="AV2223" t="s">
        <v>5089</v>
      </c>
      <c r="AW2223" t="s">
        <v>333</v>
      </c>
      <c r="AX2223" s="8" t="str">
        <f>"70535"</f>
        <v>70535</v>
      </c>
      <c r="AY2223" t="s">
        <v>118</v>
      </c>
      <c r="BA2223" s="10">
        <v>13374663722</v>
      </c>
      <c r="BC2223" t="s">
        <v>5090</v>
      </c>
      <c r="BD2223" t="s">
        <v>5091</v>
      </c>
      <c r="BE2223" t="s">
        <v>333</v>
      </c>
      <c r="BF2223" t="s">
        <v>2190</v>
      </c>
      <c r="BG2223" t="s">
        <v>127</v>
      </c>
      <c r="BH2223" s="1">
        <v>45187.833333333336</v>
      </c>
      <c r="BI2223">
        <v>35</v>
      </c>
      <c r="BJ2223">
        <v>0</v>
      </c>
      <c r="BK2223">
        <v>7</v>
      </c>
      <c r="BL2223">
        <v>7</v>
      </c>
      <c r="BM2223">
        <v>7</v>
      </c>
      <c r="BN2223">
        <v>7</v>
      </c>
      <c r="BO2223">
        <v>7</v>
      </c>
      <c r="BP2223">
        <v>0</v>
      </c>
      <c r="BQ2223" t="str">
        <f>"8:00 AM"</f>
        <v>8:00 AM</v>
      </c>
      <c r="BR2223" t="str">
        <f>"4:00 PM"</f>
        <v>4:00 PM</v>
      </c>
      <c r="BS2223" t="s">
        <v>131</v>
      </c>
      <c r="BT2223">
        <v>0</v>
      </c>
      <c r="BU2223">
        <v>2</v>
      </c>
      <c r="BV2223" t="s">
        <v>114</v>
      </c>
      <c r="BX2223" s="2" t="s">
        <v>11018</v>
      </c>
      <c r="BY2223" t="s">
        <v>9942</v>
      </c>
      <c r="CA2223" t="s">
        <v>9944</v>
      </c>
      <c r="CB2223" t="s">
        <v>127</v>
      </c>
      <c r="CC2223" s="8" t="str">
        <f>"77592"</f>
        <v>77592</v>
      </c>
      <c r="CD2223" t="s">
        <v>3280</v>
      </c>
      <c r="CE2223" t="s">
        <v>879</v>
      </c>
      <c r="CF2223" s="12">
        <v>15.44</v>
      </c>
      <c r="CG2223" s="12">
        <v>15.44</v>
      </c>
      <c r="CH2223" s="12">
        <v>23.16</v>
      </c>
      <c r="CI2223" s="12">
        <v>23.16</v>
      </c>
      <c r="CJ2223" t="s">
        <v>135</v>
      </c>
      <c r="CK2223" t="s">
        <v>14962</v>
      </c>
      <c r="CL2223" t="s">
        <v>14963</v>
      </c>
      <c r="CO2223" t="s">
        <v>132</v>
      </c>
      <c r="CP2223" t="s">
        <v>114</v>
      </c>
      <c r="CQ2223" t="s">
        <v>114</v>
      </c>
      <c r="CR2223" t="s">
        <v>136</v>
      </c>
      <c r="CS2223" t="s">
        <v>114</v>
      </c>
      <c r="CT2223" t="s">
        <v>136</v>
      </c>
      <c r="CU2223" t="s">
        <v>136</v>
      </c>
      <c r="CV2223" t="s">
        <v>14964</v>
      </c>
      <c r="CW2223" s="10" t="str">
        <f>"+14099454001"</f>
        <v>+14099454001</v>
      </c>
      <c r="CX2223" t="s">
        <v>14965</v>
      </c>
      <c r="CY2223" t="s">
        <v>132</v>
      </c>
      <c r="CZ2223" t="s">
        <v>137</v>
      </c>
      <c r="DA2223" t="s">
        <v>114</v>
      </c>
      <c r="DB2223" t="s">
        <v>114</v>
      </c>
      <c r="DC2223" t="s">
        <v>136</v>
      </c>
      <c r="DD2223" t="s">
        <v>114</v>
      </c>
    </row>
    <row r="2224" spans="1:113" ht="15" customHeight="1" x14ac:dyDescent="0.25">
      <c r="A2224" t="s">
        <v>5193</v>
      </c>
      <c r="B2224" t="s">
        <v>885</v>
      </c>
      <c r="C2224" s="1">
        <v>45233.493019907408</v>
      </c>
      <c r="D2224" s="1">
        <v>45252</v>
      </c>
      <c r="E2224" t="s">
        <v>132</v>
      </c>
      <c r="F2224" t="s">
        <v>1595</v>
      </c>
      <c r="G2224" t="str">
        <f>"37-3011.00"</f>
        <v>37-3011.00</v>
      </c>
      <c r="H2224" t="s">
        <v>429</v>
      </c>
      <c r="I2224">
        <v>19</v>
      </c>
      <c r="J2224">
        <v>18</v>
      </c>
      <c r="K2224" s="1">
        <v>45323</v>
      </c>
      <c r="L2224" s="1">
        <v>45623</v>
      </c>
      <c r="M2224" s="1">
        <v>45323</v>
      </c>
      <c r="N2224" s="1">
        <v>45623</v>
      </c>
      <c r="O2224" t="s">
        <v>116</v>
      </c>
      <c r="P2224" t="s">
        <v>5194</v>
      </c>
      <c r="R2224" t="s">
        <v>5195</v>
      </c>
      <c r="S2224" t="s">
        <v>5196</v>
      </c>
      <c r="T2224" t="s">
        <v>126</v>
      </c>
      <c r="U2224" t="s">
        <v>127</v>
      </c>
      <c r="V2224" s="8" t="str">
        <f>"78213"</f>
        <v>78213</v>
      </c>
      <c r="W2224" t="s">
        <v>118</v>
      </c>
      <c r="Y2224" s="10">
        <v>12103493263</v>
      </c>
      <c r="AA2224">
        <v>561730</v>
      </c>
      <c r="AB2224" t="s">
        <v>5197</v>
      </c>
      <c r="AC2224" t="s">
        <v>894</v>
      </c>
      <c r="AD2224" t="s">
        <v>132</v>
      </c>
      <c r="AE2224" t="s">
        <v>561</v>
      </c>
      <c r="AF2224" t="s">
        <v>5195</v>
      </c>
      <c r="AG2224" t="s">
        <v>5196</v>
      </c>
      <c r="AH2224" t="s">
        <v>126</v>
      </c>
      <c r="AI2224" t="s">
        <v>127</v>
      </c>
      <c r="AJ2224" s="8" t="str">
        <f>"78213"</f>
        <v>78213</v>
      </c>
      <c r="AK2224" t="s">
        <v>118</v>
      </c>
      <c r="AM2224" s="10">
        <v>12103493263</v>
      </c>
      <c r="AO2224" t="s">
        <v>5198</v>
      </c>
      <c r="AP2224" t="s">
        <v>248</v>
      </c>
      <c r="AQ2224" t="s">
        <v>3428</v>
      </c>
      <c r="AR2224" t="s">
        <v>3429</v>
      </c>
      <c r="AS2224" t="s">
        <v>132</v>
      </c>
      <c r="AT2224" t="s">
        <v>1584</v>
      </c>
      <c r="AU2224" t="s">
        <v>132</v>
      </c>
      <c r="AV2224" t="s">
        <v>1585</v>
      </c>
      <c r="AW2224" t="s">
        <v>127</v>
      </c>
      <c r="AX2224" s="8" t="str">
        <f>"77414"</f>
        <v>77414</v>
      </c>
      <c r="AY2224" t="s">
        <v>118</v>
      </c>
      <c r="BA2224" s="10">
        <v>19793187279</v>
      </c>
      <c r="BC2224" t="s">
        <v>3430</v>
      </c>
      <c r="BD2224" t="s">
        <v>1587</v>
      </c>
      <c r="BG2224" t="s">
        <v>127</v>
      </c>
      <c r="BH2224" s="1">
        <v>45232.833333333336</v>
      </c>
      <c r="BI2224">
        <v>50</v>
      </c>
      <c r="BJ2224">
        <v>0</v>
      </c>
      <c r="BK2224">
        <v>10</v>
      </c>
      <c r="BL2224">
        <v>10</v>
      </c>
      <c r="BM2224">
        <v>10</v>
      </c>
      <c r="BN2224">
        <v>10</v>
      </c>
      <c r="BO2224">
        <v>10</v>
      </c>
      <c r="BP2224">
        <v>0</v>
      </c>
      <c r="BQ2224" t="str">
        <f>"7:00 AM"</f>
        <v>7:00 AM</v>
      </c>
      <c r="BR2224" t="str">
        <f>"5:00 PM"</f>
        <v>5:00 PM</v>
      </c>
      <c r="BS2224" t="s">
        <v>131</v>
      </c>
      <c r="BT2224">
        <v>0</v>
      </c>
      <c r="BU2224">
        <v>0</v>
      </c>
      <c r="BV2224" t="s">
        <v>114</v>
      </c>
      <c r="BX2224" s="2" t="s">
        <v>5199</v>
      </c>
      <c r="BY2224" t="s">
        <v>5195</v>
      </c>
      <c r="BZ2224" t="s">
        <v>5196</v>
      </c>
      <c r="CA2224" t="s">
        <v>126</v>
      </c>
      <c r="CB2224" t="s">
        <v>127</v>
      </c>
      <c r="CC2224" s="8" t="str">
        <f>"78213"</f>
        <v>78213</v>
      </c>
      <c r="CD2224" t="s">
        <v>1941</v>
      </c>
      <c r="CE2224" t="s">
        <v>1287</v>
      </c>
      <c r="CF2224" s="12">
        <v>15.69</v>
      </c>
      <c r="CG2224" s="12">
        <v>22</v>
      </c>
      <c r="CH2224" s="12">
        <v>23.54</v>
      </c>
      <c r="CI2224" s="12">
        <v>33</v>
      </c>
      <c r="CJ2224" t="s">
        <v>135</v>
      </c>
      <c r="CK2224" t="s">
        <v>5200</v>
      </c>
      <c r="CL2224" t="s">
        <v>5201</v>
      </c>
      <c r="CO2224" t="s">
        <v>132</v>
      </c>
      <c r="CP2224" t="s">
        <v>136</v>
      </c>
      <c r="CQ2224" t="s">
        <v>136</v>
      </c>
      <c r="CR2224" t="s">
        <v>136</v>
      </c>
      <c r="CS2224" t="s">
        <v>136</v>
      </c>
      <c r="CT2224" t="s">
        <v>136</v>
      </c>
      <c r="CU2224" t="s">
        <v>136</v>
      </c>
      <c r="CV2224" s="2" t="s">
        <v>5202</v>
      </c>
      <c r="CW2224" s="10" t="str">
        <f>"+12103493263"</f>
        <v>+12103493263</v>
      </c>
      <c r="CX2224" t="s">
        <v>5198</v>
      </c>
      <c r="CY2224" t="s">
        <v>132</v>
      </c>
      <c r="CZ2224" t="s">
        <v>137</v>
      </c>
      <c r="DA2224" t="s">
        <v>114</v>
      </c>
      <c r="DB2224" t="s">
        <v>114</v>
      </c>
      <c r="DC2224" t="s">
        <v>136</v>
      </c>
      <c r="DD2224" t="s">
        <v>114</v>
      </c>
    </row>
    <row r="2225" spans="1:113" ht="15" customHeight="1" x14ac:dyDescent="0.25">
      <c r="A2225" t="s">
        <v>20957</v>
      </c>
      <c r="B2225" t="s">
        <v>885</v>
      </c>
      <c r="C2225" s="1">
        <v>45110.023298842592</v>
      </c>
      <c r="D2225" s="1">
        <v>45245</v>
      </c>
      <c r="E2225" t="s">
        <v>114</v>
      </c>
      <c r="F2225" t="s">
        <v>11485</v>
      </c>
      <c r="G2225" t="str">
        <f>"51-9032.00"</f>
        <v>51-9032.00</v>
      </c>
      <c r="H2225" t="s">
        <v>11486</v>
      </c>
      <c r="I2225">
        <v>8</v>
      </c>
      <c r="J2225">
        <v>7</v>
      </c>
      <c r="K2225" s="1">
        <v>45200</v>
      </c>
      <c r="L2225" s="1">
        <v>45473</v>
      </c>
      <c r="M2225" s="1">
        <v>45200</v>
      </c>
      <c r="N2225" s="1">
        <v>45473</v>
      </c>
      <c r="O2225" t="s">
        <v>238</v>
      </c>
      <c r="P2225" t="s">
        <v>11487</v>
      </c>
      <c r="Q2225" t="s">
        <v>20958</v>
      </c>
      <c r="R2225" t="s">
        <v>11489</v>
      </c>
      <c r="T2225" t="s">
        <v>11490</v>
      </c>
      <c r="U2225" t="s">
        <v>211</v>
      </c>
      <c r="V2225" s="8" t="str">
        <f>"84032"</f>
        <v>84032</v>
      </c>
      <c r="W2225" t="s">
        <v>118</v>
      </c>
      <c r="Y2225" s="10">
        <v>14357774184</v>
      </c>
      <c r="AA2225">
        <v>561330</v>
      </c>
      <c r="AB2225" t="s">
        <v>11491</v>
      </c>
      <c r="AC2225" t="s">
        <v>3625</v>
      </c>
      <c r="AD2225" t="s">
        <v>355</v>
      </c>
      <c r="AE2225" t="s">
        <v>438</v>
      </c>
      <c r="AF2225" t="s">
        <v>11489</v>
      </c>
      <c r="AH2225" t="s">
        <v>11492</v>
      </c>
      <c r="AI2225" t="s">
        <v>211</v>
      </c>
      <c r="AJ2225" s="8" t="str">
        <f>"84032"</f>
        <v>84032</v>
      </c>
      <c r="AK2225" t="s">
        <v>118</v>
      </c>
      <c r="AM2225" s="10">
        <v>14356405872</v>
      </c>
      <c r="AO2225" t="s">
        <v>11493</v>
      </c>
      <c r="AX2225" s="8" t="str">
        <f>""</f>
        <v/>
      </c>
      <c r="BG2225" t="s">
        <v>211</v>
      </c>
      <c r="BH2225" s="1">
        <v>45102.833333333336</v>
      </c>
      <c r="BI2225">
        <v>40</v>
      </c>
      <c r="BJ2225">
        <v>0</v>
      </c>
      <c r="BK2225">
        <v>8</v>
      </c>
      <c r="BL2225">
        <v>8</v>
      </c>
      <c r="BM2225">
        <v>8</v>
      </c>
      <c r="BN2225">
        <v>8</v>
      </c>
      <c r="BO2225">
        <v>8</v>
      </c>
      <c r="BP2225">
        <v>0</v>
      </c>
      <c r="BQ2225" t="str">
        <f>"7:00 AM"</f>
        <v>7:00 AM</v>
      </c>
      <c r="BR2225" t="str">
        <f>"6:00 PM"</f>
        <v>6:00 PM</v>
      </c>
      <c r="BS2225" t="s">
        <v>131</v>
      </c>
      <c r="BT2225">
        <v>0</v>
      </c>
      <c r="BU2225">
        <v>0</v>
      </c>
      <c r="BV2225" t="s">
        <v>114</v>
      </c>
      <c r="BX2225" t="s">
        <v>20959</v>
      </c>
      <c r="BY2225" t="s">
        <v>20960</v>
      </c>
      <c r="CA2225" t="s">
        <v>4892</v>
      </c>
      <c r="CB2225" t="s">
        <v>211</v>
      </c>
      <c r="CC2225" s="8" t="str">
        <f>"84061"</f>
        <v>84061</v>
      </c>
      <c r="CD2225" t="s">
        <v>228</v>
      </c>
      <c r="CE2225" t="s">
        <v>229</v>
      </c>
      <c r="CF2225" s="12">
        <v>20.45</v>
      </c>
      <c r="CG2225" s="12">
        <v>20.45</v>
      </c>
      <c r="CH2225" s="12">
        <v>30.68</v>
      </c>
      <c r="CI2225" s="12">
        <v>30.68</v>
      </c>
      <c r="CJ2225" t="s">
        <v>135</v>
      </c>
      <c r="CK2225" t="s">
        <v>20961</v>
      </c>
      <c r="CL2225" t="s">
        <v>20962</v>
      </c>
      <c r="CO2225" t="s">
        <v>132</v>
      </c>
      <c r="CP2225" t="s">
        <v>136</v>
      </c>
      <c r="CQ2225" t="s">
        <v>114</v>
      </c>
      <c r="CR2225" t="s">
        <v>136</v>
      </c>
      <c r="CS2225" t="s">
        <v>136</v>
      </c>
      <c r="CT2225" t="s">
        <v>136</v>
      </c>
      <c r="CU2225" t="s">
        <v>114</v>
      </c>
      <c r="CV2225" t="s">
        <v>20963</v>
      </c>
      <c r="CW2225" s="10" t="str">
        <f>"+14356405872"</f>
        <v>+14356405872</v>
      </c>
      <c r="CX2225" t="s">
        <v>11493</v>
      </c>
      <c r="CY2225" t="s">
        <v>132</v>
      </c>
      <c r="CZ2225" t="s">
        <v>137</v>
      </c>
      <c r="DA2225" t="s">
        <v>114</v>
      </c>
      <c r="DB2225" t="s">
        <v>114</v>
      </c>
      <c r="DC2225" t="s">
        <v>136</v>
      </c>
      <c r="DD2225" t="s">
        <v>114</v>
      </c>
    </row>
    <row r="2226" spans="1:113" ht="15" customHeight="1" x14ac:dyDescent="0.25">
      <c r="A2226" t="s">
        <v>18349</v>
      </c>
      <c r="B2226" t="s">
        <v>885</v>
      </c>
      <c r="C2226" s="1">
        <v>45202.314913888891</v>
      </c>
      <c r="D2226" s="1">
        <v>45244</v>
      </c>
      <c r="E2226" t="s">
        <v>132</v>
      </c>
      <c r="F2226" t="s">
        <v>236</v>
      </c>
      <c r="G2226" t="str">
        <f>"39-3091.00"</f>
        <v>39-3091.00</v>
      </c>
      <c r="H2226" t="s">
        <v>237</v>
      </c>
      <c r="I2226">
        <v>132</v>
      </c>
      <c r="J2226">
        <v>130</v>
      </c>
      <c r="K2226" s="1">
        <v>45292</v>
      </c>
      <c r="L2226" s="1">
        <v>45596</v>
      </c>
      <c r="M2226" s="1">
        <v>45292</v>
      </c>
      <c r="N2226" s="1">
        <v>45596</v>
      </c>
      <c r="O2226" t="s">
        <v>238</v>
      </c>
      <c r="P2226" t="s">
        <v>18350</v>
      </c>
      <c r="R2226" t="s">
        <v>18351</v>
      </c>
      <c r="T2226" t="s">
        <v>587</v>
      </c>
      <c r="U2226" t="s">
        <v>1154</v>
      </c>
      <c r="V2226" s="8" t="str">
        <f>"39272"</f>
        <v>39272</v>
      </c>
      <c r="W2226" t="s">
        <v>118</v>
      </c>
      <c r="Y2226" s="10">
        <v>16013711188</v>
      </c>
      <c r="AA2226">
        <v>71399</v>
      </c>
      <c r="AB2226" t="s">
        <v>10084</v>
      </c>
      <c r="AC2226" t="s">
        <v>4234</v>
      </c>
      <c r="AE2226" t="s">
        <v>1799</v>
      </c>
      <c r="AF2226" t="s">
        <v>18351</v>
      </c>
      <c r="AH2226" t="s">
        <v>587</v>
      </c>
      <c r="AI2226" t="s">
        <v>1154</v>
      </c>
      <c r="AJ2226" s="8" t="str">
        <f>"39272"</f>
        <v>39272</v>
      </c>
      <c r="AK2226" t="s">
        <v>118</v>
      </c>
      <c r="AM2226" s="10">
        <v>17657609135</v>
      </c>
      <c r="AO2226" t="s">
        <v>10086</v>
      </c>
      <c r="AP2226" t="s">
        <v>248</v>
      </c>
      <c r="AQ2226" t="s">
        <v>249</v>
      </c>
      <c r="AR2226" t="s">
        <v>250</v>
      </c>
      <c r="AS2226" t="s">
        <v>251</v>
      </c>
      <c r="AT2226" t="s">
        <v>252</v>
      </c>
      <c r="AU2226" t="s">
        <v>253</v>
      </c>
      <c r="AV2226" t="s">
        <v>254</v>
      </c>
      <c r="AW2226" t="s">
        <v>127</v>
      </c>
      <c r="AX2226" s="8" t="str">
        <f>"78550"</f>
        <v>78550</v>
      </c>
      <c r="AY2226" t="s">
        <v>118</v>
      </c>
      <c r="BA2226" s="10">
        <v>19564408720</v>
      </c>
      <c r="BB2226" s="3" t="s">
        <v>256</v>
      </c>
      <c r="BC2226" t="s">
        <v>257</v>
      </c>
      <c r="BD2226" t="s">
        <v>258</v>
      </c>
      <c r="BG2226" t="s">
        <v>140</v>
      </c>
      <c r="BH2226" s="1">
        <v>45201.833333333336</v>
      </c>
      <c r="BI2226">
        <v>40</v>
      </c>
      <c r="BJ2226">
        <v>8</v>
      </c>
      <c r="BK2226">
        <v>0</v>
      </c>
      <c r="BL2226">
        <v>0</v>
      </c>
      <c r="BM2226">
        <v>8</v>
      </c>
      <c r="BN2226">
        <v>8</v>
      </c>
      <c r="BO2226">
        <v>8</v>
      </c>
      <c r="BP2226">
        <v>8</v>
      </c>
      <c r="BQ2226" t="str">
        <f>"1:00 PM"</f>
        <v>1:00 PM</v>
      </c>
      <c r="BR2226" t="str">
        <f>"10:00 PM"</f>
        <v>10:00 PM</v>
      </c>
      <c r="BS2226" t="s">
        <v>131</v>
      </c>
      <c r="BT2226">
        <v>0</v>
      </c>
      <c r="BU2226">
        <v>0</v>
      </c>
      <c r="BV2226" t="s">
        <v>114</v>
      </c>
      <c r="BX2226" s="2" t="s">
        <v>259</v>
      </c>
      <c r="BY2226" t="s">
        <v>18352</v>
      </c>
      <c r="CA2226" t="s">
        <v>5064</v>
      </c>
      <c r="CB2226" t="s">
        <v>140</v>
      </c>
      <c r="CC2226" s="8" t="str">
        <f>"33534"</f>
        <v>33534</v>
      </c>
      <c r="CD2226" t="s">
        <v>781</v>
      </c>
      <c r="CE2226" t="s">
        <v>467</v>
      </c>
      <c r="CF2226" s="12">
        <v>10.06</v>
      </c>
      <c r="CG2226" s="12">
        <v>14.32</v>
      </c>
      <c r="CJ2226" t="s">
        <v>135</v>
      </c>
      <c r="CK2226" t="s">
        <v>264</v>
      </c>
      <c r="CL2226" t="s">
        <v>18353</v>
      </c>
      <c r="CO2226" t="s">
        <v>132</v>
      </c>
      <c r="CP2226" t="s">
        <v>136</v>
      </c>
      <c r="CQ2226" t="s">
        <v>136</v>
      </c>
      <c r="CR2226" t="s">
        <v>114</v>
      </c>
      <c r="CS2226" t="s">
        <v>136</v>
      </c>
      <c r="CT2226" t="s">
        <v>136</v>
      </c>
      <c r="CU2226" t="s">
        <v>136</v>
      </c>
      <c r="CV2226" t="s">
        <v>266</v>
      </c>
      <c r="CW2226" s="10" t="str">
        <f>"+17654333038"</f>
        <v>+17654333038</v>
      </c>
      <c r="CX2226" t="s">
        <v>10086</v>
      </c>
      <c r="CY2226" t="s">
        <v>132</v>
      </c>
      <c r="CZ2226" t="s">
        <v>137</v>
      </c>
      <c r="DA2226" t="s">
        <v>114</v>
      </c>
      <c r="DB2226" t="s">
        <v>136</v>
      </c>
      <c r="DC2226" t="s">
        <v>136</v>
      </c>
      <c r="DD2226" t="s">
        <v>114</v>
      </c>
    </row>
    <row r="2227" spans="1:113" ht="15" customHeight="1" x14ac:dyDescent="0.25">
      <c r="A2227" t="s">
        <v>20820</v>
      </c>
      <c r="B2227" t="s">
        <v>885</v>
      </c>
      <c r="C2227" s="1">
        <v>45202.313783680554</v>
      </c>
      <c r="D2227" s="1">
        <v>45244</v>
      </c>
      <c r="E2227" t="s">
        <v>132</v>
      </c>
      <c r="F2227" t="s">
        <v>236</v>
      </c>
      <c r="G2227" t="str">
        <f>"39-3091.00"</f>
        <v>39-3091.00</v>
      </c>
      <c r="H2227" t="s">
        <v>237</v>
      </c>
      <c r="I2227">
        <v>132</v>
      </c>
      <c r="J2227">
        <v>130</v>
      </c>
      <c r="K2227" s="1">
        <v>45292</v>
      </c>
      <c r="L2227" s="1">
        <v>45596</v>
      </c>
      <c r="M2227" s="1">
        <v>45292</v>
      </c>
      <c r="N2227" s="1">
        <v>45596</v>
      </c>
      <c r="O2227" t="s">
        <v>238</v>
      </c>
      <c r="P2227" t="s">
        <v>20821</v>
      </c>
      <c r="R2227" t="s">
        <v>20822</v>
      </c>
      <c r="T2227" t="s">
        <v>19847</v>
      </c>
      <c r="U2227" t="s">
        <v>117</v>
      </c>
      <c r="V2227" s="8" t="str">
        <f>"60169"</f>
        <v>60169</v>
      </c>
      <c r="W2227" t="s">
        <v>118</v>
      </c>
      <c r="Y2227" s="10">
        <v>18478852100</v>
      </c>
      <c r="AA2227">
        <v>71399</v>
      </c>
      <c r="AB2227" t="s">
        <v>10084</v>
      </c>
      <c r="AC2227" t="s">
        <v>4234</v>
      </c>
      <c r="AE2227" t="s">
        <v>1799</v>
      </c>
      <c r="AF2227" t="s">
        <v>20822</v>
      </c>
      <c r="AH2227" t="s">
        <v>19847</v>
      </c>
      <c r="AI2227" t="s">
        <v>117</v>
      </c>
      <c r="AJ2227" s="8" t="str">
        <f>"60169"</f>
        <v>60169</v>
      </c>
      <c r="AK2227" t="s">
        <v>118</v>
      </c>
      <c r="AM2227" s="10">
        <v>17657609135</v>
      </c>
      <c r="AO2227" t="s">
        <v>10086</v>
      </c>
      <c r="AP2227" t="s">
        <v>248</v>
      </c>
      <c r="AQ2227" t="s">
        <v>249</v>
      </c>
      <c r="AR2227" t="s">
        <v>250</v>
      </c>
      <c r="AS2227" t="s">
        <v>251</v>
      </c>
      <c r="AT2227" t="s">
        <v>252</v>
      </c>
      <c r="AU2227" t="s">
        <v>253</v>
      </c>
      <c r="AV2227" t="s">
        <v>254</v>
      </c>
      <c r="AW2227" t="s">
        <v>127</v>
      </c>
      <c r="AX2227" s="8" t="str">
        <f>"78550"</f>
        <v>78550</v>
      </c>
      <c r="AY2227" t="s">
        <v>118</v>
      </c>
      <c r="BA2227" s="10">
        <v>19564408720</v>
      </c>
      <c r="BB2227" s="3" t="s">
        <v>256</v>
      </c>
      <c r="BC2227" t="s">
        <v>257</v>
      </c>
      <c r="BD2227" t="s">
        <v>258</v>
      </c>
      <c r="BG2227" t="s">
        <v>140</v>
      </c>
      <c r="BH2227" s="1">
        <v>45201.833333333336</v>
      </c>
      <c r="BI2227">
        <v>40</v>
      </c>
      <c r="BJ2227">
        <v>8</v>
      </c>
      <c r="BK2227">
        <v>0</v>
      </c>
      <c r="BL2227">
        <v>0</v>
      </c>
      <c r="BM2227">
        <v>8</v>
      </c>
      <c r="BN2227">
        <v>8</v>
      </c>
      <c r="BO2227">
        <v>8</v>
      </c>
      <c r="BP2227">
        <v>8</v>
      </c>
      <c r="BQ2227" t="str">
        <f>"1:00 PM"</f>
        <v>1:00 PM</v>
      </c>
      <c r="BR2227" t="str">
        <f>"10:00 PM"</f>
        <v>10:00 PM</v>
      </c>
      <c r="BS2227" t="s">
        <v>131</v>
      </c>
      <c r="BT2227">
        <v>0</v>
      </c>
      <c r="BU2227">
        <v>0</v>
      </c>
      <c r="BV2227" t="s">
        <v>114</v>
      </c>
      <c r="BX2227" s="2" t="s">
        <v>259</v>
      </c>
      <c r="BY2227" t="s">
        <v>18352</v>
      </c>
      <c r="CA2227" t="s">
        <v>5064</v>
      </c>
      <c r="CB2227" t="s">
        <v>140</v>
      </c>
      <c r="CC2227" s="8" t="str">
        <f>"33534"</f>
        <v>33534</v>
      </c>
      <c r="CD2227" t="s">
        <v>781</v>
      </c>
      <c r="CE2227" t="s">
        <v>467</v>
      </c>
      <c r="CF2227" s="12">
        <v>10.38</v>
      </c>
      <c r="CG2227" s="12">
        <v>15.35</v>
      </c>
      <c r="CJ2227" t="s">
        <v>135</v>
      </c>
      <c r="CK2227" t="s">
        <v>264</v>
      </c>
      <c r="CL2227" t="s">
        <v>20823</v>
      </c>
      <c r="CO2227" t="s">
        <v>132</v>
      </c>
      <c r="CP2227" t="s">
        <v>136</v>
      </c>
      <c r="CQ2227" t="s">
        <v>136</v>
      </c>
      <c r="CR2227" t="s">
        <v>114</v>
      </c>
      <c r="CS2227" t="s">
        <v>136</v>
      </c>
      <c r="CT2227" t="s">
        <v>136</v>
      </c>
      <c r="CU2227" t="s">
        <v>136</v>
      </c>
      <c r="CV2227" t="s">
        <v>266</v>
      </c>
      <c r="CW2227" s="10" t="str">
        <f>"+17654333038"</f>
        <v>+17654333038</v>
      </c>
      <c r="CX2227" t="s">
        <v>10086</v>
      </c>
      <c r="CY2227" t="s">
        <v>132</v>
      </c>
      <c r="CZ2227" t="s">
        <v>137</v>
      </c>
      <c r="DA2227" t="s">
        <v>114</v>
      </c>
      <c r="DB2227" t="s">
        <v>136</v>
      </c>
      <c r="DC2227" t="s">
        <v>136</v>
      </c>
      <c r="DD2227" t="s">
        <v>114</v>
      </c>
    </row>
    <row r="2228" spans="1:113" ht="15" customHeight="1" x14ac:dyDescent="0.25">
      <c r="A2228" t="s">
        <v>23578</v>
      </c>
      <c r="B2228" t="s">
        <v>885</v>
      </c>
      <c r="C2228" s="1">
        <v>45202.30965625</v>
      </c>
      <c r="D2228" s="1">
        <v>45244</v>
      </c>
      <c r="E2228" t="s">
        <v>132</v>
      </c>
      <c r="F2228" t="s">
        <v>236</v>
      </c>
      <c r="G2228" t="str">
        <f>"39-3091.00"</f>
        <v>39-3091.00</v>
      </c>
      <c r="H2228" t="s">
        <v>237</v>
      </c>
      <c r="I2228">
        <v>159</v>
      </c>
      <c r="J2228">
        <v>158</v>
      </c>
      <c r="K2228" s="1">
        <v>45292</v>
      </c>
      <c r="L2228" s="1">
        <v>45596</v>
      </c>
      <c r="M2228" s="1">
        <v>45292</v>
      </c>
      <c r="N2228" s="1">
        <v>45596</v>
      </c>
      <c r="O2228" t="s">
        <v>238</v>
      </c>
      <c r="P2228" t="s">
        <v>23579</v>
      </c>
      <c r="R2228" t="s">
        <v>23580</v>
      </c>
      <c r="T2228" t="s">
        <v>19847</v>
      </c>
      <c r="U2228" t="s">
        <v>117</v>
      </c>
      <c r="V2228" s="8" t="str">
        <f>"60169"</f>
        <v>60169</v>
      </c>
      <c r="W2228" t="s">
        <v>118</v>
      </c>
      <c r="Y2228" s="10">
        <v>18478852100</v>
      </c>
      <c r="AA2228">
        <v>711190</v>
      </c>
      <c r="AB2228" t="s">
        <v>10084</v>
      </c>
      <c r="AC2228" t="s">
        <v>4234</v>
      </c>
      <c r="AE2228" t="s">
        <v>1799</v>
      </c>
      <c r="AF2228" t="s">
        <v>20822</v>
      </c>
      <c r="AH2228" t="s">
        <v>19847</v>
      </c>
      <c r="AI2228" t="s">
        <v>117</v>
      </c>
      <c r="AJ2228" s="8" t="str">
        <f>"60169"</f>
        <v>60169</v>
      </c>
      <c r="AK2228" t="s">
        <v>118</v>
      </c>
      <c r="AM2228" s="10">
        <v>17657609135</v>
      </c>
      <c r="AO2228" t="s">
        <v>10086</v>
      </c>
      <c r="AP2228" t="s">
        <v>248</v>
      </c>
      <c r="AQ2228" t="s">
        <v>249</v>
      </c>
      <c r="AR2228" t="s">
        <v>250</v>
      </c>
      <c r="AS2228" t="s">
        <v>251</v>
      </c>
      <c r="AT2228" t="s">
        <v>252</v>
      </c>
      <c r="AU2228" t="s">
        <v>253</v>
      </c>
      <c r="AV2228" t="s">
        <v>254</v>
      </c>
      <c r="AW2228" t="s">
        <v>127</v>
      </c>
      <c r="AX2228" s="8" t="str">
        <f>"78550"</f>
        <v>78550</v>
      </c>
      <c r="AY2228" t="s">
        <v>118</v>
      </c>
      <c r="BA2228" s="10">
        <v>19564408720</v>
      </c>
      <c r="BB2228" s="3" t="s">
        <v>256</v>
      </c>
      <c r="BC2228" t="s">
        <v>257</v>
      </c>
      <c r="BD2228" t="s">
        <v>258</v>
      </c>
      <c r="BG2228" t="s">
        <v>127</v>
      </c>
      <c r="BH2228" s="1">
        <v>45201.833333333336</v>
      </c>
      <c r="BI2228">
        <v>40</v>
      </c>
      <c r="BJ2228">
        <v>8</v>
      </c>
      <c r="BK2228">
        <v>0</v>
      </c>
      <c r="BL2228">
        <v>0</v>
      </c>
      <c r="BM2228">
        <v>8</v>
      </c>
      <c r="BN2228">
        <v>8</v>
      </c>
      <c r="BO2228">
        <v>8</v>
      </c>
      <c r="BP2228">
        <v>8</v>
      </c>
      <c r="BQ2228" t="str">
        <f>"1:00 PM"</f>
        <v>1:00 PM</v>
      </c>
      <c r="BR2228" t="str">
        <f>"10:00 PM"</f>
        <v>10:00 PM</v>
      </c>
      <c r="BS2228" t="s">
        <v>131</v>
      </c>
      <c r="BT2228">
        <v>0</v>
      </c>
      <c r="BU2228">
        <v>0</v>
      </c>
      <c r="BV2228" t="s">
        <v>114</v>
      </c>
      <c r="BX2228" s="2" t="s">
        <v>259</v>
      </c>
      <c r="BY2228" t="s">
        <v>23581</v>
      </c>
      <c r="CA2228" t="s">
        <v>3042</v>
      </c>
      <c r="CB2228" t="s">
        <v>127</v>
      </c>
      <c r="CC2228" s="8" t="str">
        <f>"78589"</f>
        <v>78589</v>
      </c>
      <c r="CD2228" t="s">
        <v>4188</v>
      </c>
      <c r="CE2228" t="s">
        <v>4189</v>
      </c>
      <c r="CF2228" s="12">
        <v>10.1</v>
      </c>
      <c r="CG2228" s="12">
        <v>15.1</v>
      </c>
      <c r="CJ2228" t="s">
        <v>135</v>
      </c>
      <c r="CK2228" t="s">
        <v>264</v>
      </c>
      <c r="CL2228" t="s">
        <v>23582</v>
      </c>
      <c r="CO2228" t="s">
        <v>132</v>
      </c>
      <c r="CP2228" t="s">
        <v>136</v>
      </c>
      <c r="CQ2228" t="s">
        <v>136</v>
      </c>
      <c r="CR2228" t="s">
        <v>114</v>
      </c>
      <c r="CS2228" t="s">
        <v>136</v>
      </c>
      <c r="CT2228" t="s">
        <v>136</v>
      </c>
      <c r="CU2228" t="s">
        <v>136</v>
      </c>
      <c r="CV2228" t="s">
        <v>266</v>
      </c>
      <c r="CW2228" s="10" t="str">
        <f>"+17654333038"</f>
        <v>+17654333038</v>
      </c>
      <c r="CX2228" t="s">
        <v>10086</v>
      </c>
      <c r="CY2228" t="s">
        <v>132</v>
      </c>
      <c r="CZ2228" t="s">
        <v>137</v>
      </c>
      <c r="DA2228" t="s">
        <v>114</v>
      </c>
      <c r="DB2228" t="s">
        <v>136</v>
      </c>
      <c r="DC2228" t="s">
        <v>136</v>
      </c>
      <c r="DD2228" t="s">
        <v>114</v>
      </c>
    </row>
    <row r="2229" spans="1:113" ht="15" customHeight="1" x14ac:dyDescent="0.25">
      <c r="A2229" t="s">
        <v>12916</v>
      </c>
      <c r="B2229" t="s">
        <v>885</v>
      </c>
      <c r="C2229" s="1">
        <v>45177.522528935187</v>
      </c>
      <c r="D2229" s="1">
        <v>45244</v>
      </c>
      <c r="E2229" t="s">
        <v>132</v>
      </c>
      <c r="F2229" t="s">
        <v>1689</v>
      </c>
      <c r="G2229" t="str">
        <f>"37-2012.00"</f>
        <v>37-2012.00</v>
      </c>
      <c r="H2229" t="s">
        <v>205</v>
      </c>
      <c r="I2229">
        <v>10</v>
      </c>
      <c r="J2229">
        <v>8</v>
      </c>
      <c r="K2229" s="1">
        <v>45265</v>
      </c>
      <c r="L2229" s="1">
        <v>45402</v>
      </c>
      <c r="M2229" s="1">
        <v>45265</v>
      </c>
      <c r="N2229" s="1">
        <v>45402</v>
      </c>
      <c r="O2229" t="s">
        <v>116</v>
      </c>
      <c r="P2229" t="s">
        <v>11718</v>
      </c>
      <c r="Q2229" t="s">
        <v>12917</v>
      </c>
      <c r="R2229" t="s">
        <v>11719</v>
      </c>
      <c r="T2229" t="s">
        <v>4782</v>
      </c>
      <c r="U2229" t="s">
        <v>188</v>
      </c>
      <c r="V2229" s="8" t="str">
        <f>"81611"</f>
        <v>81611</v>
      </c>
      <c r="W2229" t="s">
        <v>118</v>
      </c>
      <c r="Y2229" s="10">
        <v>19709206397</v>
      </c>
      <c r="AA2229">
        <v>71392</v>
      </c>
      <c r="AB2229" t="s">
        <v>11720</v>
      </c>
      <c r="AC2229" t="s">
        <v>4199</v>
      </c>
      <c r="AE2229" t="s">
        <v>12918</v>
      </c>
      <c r="AF2229" t="s">
        <v>11721</v>
      </c>
      <c r="AH2229" t="s">
        <v>4782</v>
      </c>
      <c r="AI2229" t="s">
        <v>188</v>
      </c>
      <c r="AJ2229" s="8" t="str">
        <f>"81611"</f>
        <v>81611</v>
      </c>
      <c r="AK2229" t="s">
        <v>118</v>
      </c>
      <c r="AM2229" s="10">
        <v>19709206397</v>
      </c>
      <c r="AO2229" t="s">
        <v>11722</v>
      </c>
      <c r="AP2229" t="s">
        <v>121</v>
      </c>
      <c r="AQ2229" t="s">
        <v>3974</v>
      </c>
      <c r="AR2229" t="s">
        <v>3975</v>
      </c>
      <c r="AS2229" t="s">
        <v>1829</v>
      </c>
      <c r="AT2229" t="s">
        <v>12919</v>
      </c>
      <c r="AU2229" t="s">
        <v>11724</v>
      </c>
      <c r="AV2229" t="s">
        <v>773</v>
      </c>
      <c r="AW2229" t="s">
        <v>140</v>
      </c>
      <c r="AX2229" s="8" t="str">
        <f>"33602"</f>
        <v>33602</v>
      </c>
      <c r="AY2229" t="s">
        <v>118</v>
      </c>
      <c r="BA2229" s="10">
        <v>18132217267</v>
      </c>
      <c r="BC2229" t="s">
        <v>11725</v>
      </c>
      <c r="BD2229" t="s">
        <v>11726</v>
      </c>
      <c r="BE2229" t="s">
        <v>140</v>
      </c>
      <c r="BF2229" t="s">
        <v>3229</v>
      </c>
      <c r="BG2229" t="s">
        <v>188</v>
      </c>
      <c r="BH2229" s="1">
        <v>45173.833333333336</v>
      </c>
      <c r="BI2229">
        <v>40</v>
      </c>
      <c r="BJ2229">
        <v>0</v>
      </c>
      <c r="BK2229">
        <v>8</v>
      </c>
      <c r="BL2229">
        <v>8</v>
      </c>
      <c r="BM2229">
        <v>8</v>
      </c>
      <c r="BN2229">
        <v>8</v>
      </c>
      <c r="BO2229">
        <v>8</v>
      </c>
      <c r="BP2229">
        <v>0</v>
      </c>
      <c r="BQ2229" t="str">
        <f>"8:00 AM"</f>
        <v>8:00 AM</v>
      </c>
      <c r="BR2229" t="str">
        <f>"4:30 PM"</f>
        <v>4:30 PM</v>
      </c>
      <c r="BS2229" t="s">
        <v>131</v>
      </c>
      <c r="BT2229">
        <v>0</v>
      </c>
      <c r="BU2229">
        <v>3</v>
      </c>
      <c r="BV2229" t="s">
        <v>114</v>
      </c>
      <c r="BX2229" s="2" t="s">
        <v>11727</v>
      </c>
      <c r="BY2229" t="s">
        <v>12920</v>
      </c>
      <c r="CA2229" t="s">
        <v>4782</v>
      </c>
      <c r="CB2229" t="s">
        <v>188</v>
      </c>
      <c r="CC2229" s="8" t="str">
        <f>"81611"</f>
        <v>81611</v>
      </c>
      <c r="CD2229" t="s">
        <v>4789</v>
      </c>
      <c r="CE2229" t="s">
        <v>1038</v>
      </c>
      <c r="CF2229" s="12">
        <v>23</v>
      </c>
      <c r="CH2229" s="12">
        <v>34.5</v>
      </c>
      <c r="CJ2229" t="s">
        <v>135</v>
      </c>
      <c r="CK2229" t="s">
        <v>11728</v>
      </c>
      <c r="CL2229" t="s">
        <v>12921</v>
      </c>
      <c r="CO2229" t="s">
        <v>132</v>
      </c>
      <c r="CP2229" t="s">
        <v>136</v>
      </c>
      <c r="CQ2229" t="s">
        <v>114</v>
      </c>
      <c r="CR2229" t="s">
        <v>136</v>
      </c>
      <c r="CS2229" t="s">
        <v>136</v>
      </c>
      <c r="CT2229" t="s">
        <v>136</v>
      </c>
      <c r="CU2229" t="s">
        <v>136</v>
      </c>
      <c r="CV2229" t="s">
        <v>12922</v>
      </c>
      <c r="CW2229" s="10" t="str">
        <f>"+19709206397"</f>
        <v>+19709206397</v>
      </c>
      <c r="CX2229" t="s">
        <v>132</v>
      </c>
      <c r="CY2229" t="s">
        <v>11731</v>
      </c>
      <c r="CZ2229" t="s">
        <v>137</v>
      </c>
      <c r="DA2229" t="s">
        <v>114</v>
      </c>
      <c r="DB2229" t="s">
        <v>136</v>
      </c>
      <c r="DC2229" t="s">
        <v>136</v>
      </c>
      <c r="DD2229" t="s">
        <v>114</v>
      </c>
      <c r="DE2229" t="s">
        <v>6362</v>
      </c>
      <c r="DF2229" t="s">
        <v>6363</v>
      </c>
      <c r="DH2229" t="s">
        <v>11726</v>
      </c>
      <c r="DI2229" t="s">
        <v>6364</v>
      </c>
    </row>
    <row r="2230" spans="1:113" ht="15" customHeight="1" x14ac:dyDescent="0.25">
      <c r="A2230" t="s">
        <v>12080</v>
      </c>
      <c r="B2230" t="s">
        <v>885</v>
      </c>
      <c r="C2230" s="1">
        <v>45145.84834733796</v>
      </c>
      <c r="D2230" s="1">
        <v>45244</v>
      </c>
      <c r="E2230" t="s">
        <v>114</v>
      </c>
      <c r="F2230" t="s">
        <v>1305</v>
      </c>
      <c r="G2230" t="str">
        <f>"35-2014.00"</f>
        <v>35-2014.00</v>
      </c>
      <c r="H2230" t="s">
        <v>154</v>
      </c>
      <c r="I2230">
        <v>29</v>
      </c>
      <c r="J2230">
        <v>27</v>
      </c>
      <c r="K2230" s="1">
        <v>45231</v>
      </c>
      <c r="L2230" s="1">
        <v>45406</v>
      </c>
      <c r="M2230" s="1">
        <v>45231</v>
      </c>
      <c r="N2230" s="1">
        <v>45406</v>
      </c>
      <c r="O2230" t="s">
        <v>116</v>
      </c>
      <c r="P2230" t="s">
        <v>12081</v>
      </c>
      <c r="R2230" t="s">
        <v>12082</v>
      </c>
      <c r="S2230" t="s">
        <v>4617</v>
      </c>
      <c r="T2230" t="s">
        <v>8327</v>
      </c>
      <c r="U2230" t="s">
        <v>117</v>
      </c>
      <c r="V2230" s="8" t="str">
        <f>"60611"</f>
        <v>60611</v>
      </c>
      <c r="W2230" t="s">
        <v>118</v>
      </c>
      <c r="Y2230" s="10">
        <v>13126648200</v>
      </c>
      <c r="AA2230">
        <v>72231</v>
      </c>
      <c r="AB2230" t="s">
        <v>12083</v>
      </c>
      <c r="AC2230" t="s">
        <v>160</v>
      </c>
      <c r="AE2230" t="s">
        <v>12084</v>
      </c>
      <c r="AF2230" t="s">
        <v>12082</v>
      </c>
      <c r="AG2230" t="s">
        <v>4617</v>
      </c>
      <c r="AH2230" t="s">
        <v>8327</v>
      </c>
      <c r="AI2230" t="s">
        <v>117</v>
      </c>
      <c r="AJ2230" s="8" t="str">
        <f>"60611"</f>
        <v>60611</v>
      </c>
      <c r="AK2230" t="s">
        <v>118</v>
      </c>
      <c r="AM2230" s="10">
        <v>13126648200</v>
      </c>
      <c r="AO2230" t="s">
        <v>12085</v>
      </c>
      <c r="AP2230" t="s">
        <v>121</v>
      </c>
      <c r="AQ2230" t="s">
        <v>1675</v>
      </c>
      <c r="AR2230" t="s">
        <v>1676</v>
      </c>
      <c r="AS2230" t="s">
        <v>1677</v>
      </c>
      <c r="AT2230" t="s">
        <v>1678</v>
      </c>
      <c r="AU2230" t="s">
        <v>296</v>
      </c>
      <c r="AV2230" t="s">
        <v>1679</v>
      </c>
      <c r="AW2230" t="s">
        <v>402</v>
      </c>
      <c r="AX2230" s="8" t="str">
        <f>"91361"</f>
        <v>91361</v>
      </c>
      <c r="AY2230" t="s">
        <v>118</v>
      </c>
      <c r="BA2230" s="10">
        <v>18052611393</v>
      </c>
      <c r="BC2230" t="s">
        <v>1680</v>
      </c>
      <c r="BD2230" t="s">
        <v>1681</v>
      </c>
      <c r="BE2230" t="s">
        <v>140</v>
      </c>
      <c r="BF2230" t="s">
        <v>146</v>
      </c>
      <c r="BG2230" t="s">
        <v>188</v>
      </c>
      <c r="BH2230" s="1">
        <v>45102.833333333336</v>
      </c>
      <c r="BI2230">
        <v>35</v>
      </c>
      <c r="BJ2230">
        <v>5</v>
      </c>
      <c r="BK2230">
        <v>5</v>
      </c>
      <c r="BL2230">
        <v>5</v>
      </c>
      <c r="BM2230">
        <v>5</v>
      </c>
      <c r="BN2230">
        <v>5</v>
      </c>
      <c r="BO2230">
        <v>5</v>
      </c>
      <c r="BP2230">
        <v>5</v>
      </c>
      <c r="BQ2230" t="str">
        <f>"7:00 AM"</f>
        <v>7:00 AM</v>
      </c>
      <c r="BR2230" t="str">
        <f>"2:00 PM"</f>
        <v>2:00 PM</v>
      </c>
      <c r="BS2230" t="s">
        <v>131</v>
      </c>
      <c r="BT2230">
        <v>0</v>
      </c>
      <c r="BU2230">
        <v>12</v>
      </c>
      <c r="BV2230" t="s">
        <v>114</v>
      </c>
      <c r="BX2230" s="2" t="s">
        <v>12086</v>
      </c>
      <c r="BY2230" t="s">
        <v>12087</v>
      </c>
      <c r="CA2230" t="s">
        <v>12088</v>
      </c>
      <c r="CB2230" t="s">
        <v>188</v>
      </c>
      <c r="CC2230" s="8" t="str">
        <f>"80482"</f>
        <v>80482</v>
      </c>
      <c r="CD2230" t="s">
        <v>5722</v>
      </c>
      <c r="CE2230" t="s">
        <v>1038</v>
      </c>
      <c r="CF2230" s="12">
        <v>17.510000000000002</v>
      </c>
      <c r="CG2230" s="12">
        <v>23</v>
      </c>
      <c r="CH2230" s="12">
        <v>26.27</v>
      </c>
      <c r="CI2230" s="12">
        <v>34.5</v>
      </c>
      <c r="CJ2230" t="s">
        <v>135</v>
      </c>
      <c r="CK2230" t="s">
        <v>12089</v>
      </c>
      <c r="CL2230" t="s">
        <v>12090</v>
      </c>
      <c r="CO2230" t="s">
        <v>132</v>
      </c>
      <c r="CP2230" t="s">
        <v>114</v>
      </c>
      <c r="CQ2230" t="s">
        <v>136</v>
      </c>
      <c r="CR2230" t="s">
        <v>136</v>
      </c>
      <c r="CS2230" t="s">
        <v>136</v>
      </c>
      <c r="CT2230" t="s">
        <v>136</v>
      </c>
      <c r="CU2230" t="s">
        <v>136</v>
      </c>
      <c r="CV2230" s="2" t="s">
        <v>12091</v>
      </c>
      <c r="CW2230" s="10" t="str">
        <f>"N/A"</f>
        <v>N/A</v>
      </c>
      <c r="CX2230" t="s">
        <v>12092</v>
      </c>
      <c r="CY2230" t="s">
        <v>12093</v>
      </c>
      <c r="CZ2230" t="s">
        <v>137</v>
      </c>
      <c r="DA2230" t="s">
        <v>114</v>
      </c>
      <c r="DB2230" t="s">
        <v>114</v>
      </c>
      <c r="DC2230" t="s">
        <v>136</v>
      </c>
      <c r="DD2230" t="s">
        <v>114</v>
      </c>
    </row>
    <row r="2231" spans="1:113" ht="15" customHeight="1" x14ac:dyDescent="0.25">
      <c r="A2231" t="s">
        <v>23828</v>
      </c>
      <c r="B2231" t="s">
        <v>885</v>
      </c>
      <c r="C2231" s="1">
        <v>45187.543362847224</v>
      </c>
      <c r="D2231" s="1">
        <v>45243</v>
      </c>
      <c r="E2231" t="s">
        <v>132</v>
      </c>
      <c r="F2231" t="s">
        <v>3075</v>
      </c>
      <c r="G2231" t="str">
        <f>"35-2014.00"</f>
        <v>35-2014.00</v>
      </c>
      <c r="H2231" t="s">
        <v>154</v>
      </c>
      <c r="I2231">
        <v>15</v>
      </c>
      <c r="J2231">
        <v>11</v>
      </c>
      <c r="K2231" s="1">
        <v>45275</v>
      </c>
      <c r="L2231" s="1">
        <v>45397</v>
      </c>
      <c r="M2231" s="1">
        <v>45275</v>
      </c>
      <c r="N2231" s="1">
        <v>45397</v>
      </c>
      <c r="O2231" t="s">
        <v>116</v>
      </c>
      <c r="P2231" t="s">
        <v>4780</v>
      </c>
      <c r="R2231" t="s">
        <v>4781</v>
      </c>
      <c r="T2231" t="s">
        <v>4782</v>
      </c>
      <c r="U2231" t="s">
        <v>188</v>
      </c>
      <c r="V2231" s="8" t="str">
        <f>"81611"</f>
        <v>81611</v>
      </c>
      <c r="W2231" t="s">
        <v>118</v>
      </c>
      <c r="X2231" t="s">
        <v>132</v>
      </c>
      <c r="Y2231" s="10">
        <v>19703007000</v>
      </c>
      <c r="AA2231">
        <v>71392</v>
      </c>
      <c r="AB2231" t="s">
        <v>4020</v>
      </c>
      <c r="AC2231" t="s">
        <v>3249</v>
      </c>
      <c r="AE2231" t="s">
        <v>4783</v>
      </c>
      <c r="AF2231" t="s">
        <v>4784</v>
      </c>
      <c r="AH2231" t="s">
        <v>4782</v>
      </c>
      <c r="AI2231" t="s">
        <v>188</v>
      </c>
      <c r="AJ2231" s="8" t="str">
        <f>"81611"</f>
        <v>81611</v>
      </c>
      <c r="AK2231" t="s">
        <v>118</v>
      </c>
      <c r="AM2231" s="10">
        <v>19703007680</v>
      </c>
      <c r="AO2231" t="s">
        <v>4785</v>
      </c>
      <c r="AP2231" t="s">
        <v>121</v>
      </c>
      <c r="AQ2231" t="s">
        <v>2357</v>
      </c>
      <c r="AR2231" t="s">
        <v>250</v>
      </c>
      <c r="AS2231" t="s">
        <v>1714</v>
      </c>
      <c r="AT2231" t="s">
        <v>2358</v>
      </c>
      <c r="AU2231" t="s">
        <v>2359</v>
      </c>
      <c r="AV2231" t="s">
        <v>2360</v>
      </c>
      <c r="AW2231" t="s">
        <v>158</v>
      </c>
      <c r="AX2231" s="8" t="str">
        <f>"48304"</f>
        <v>48304</v>
      </c>
      <c r="AY2231" t="s">
        <v>118</v>
      </c>
      <c r="AZ2231" t="s">
        <v>2361</v>
      </c>
      <c r="BA2231" s="10">
        <v>12482030583</v>
      </c>
      <c r="BC2231" t="s">
        <v>2362</v>
      </c>
      <c r="BD2231" t="s">
        <v>2363</v>
      </c>
      <c r="BE2231" t="s">
        <v>158</v>
      </c>
      <c r="BF2231" t="s">
        <v>2364</v>
      </c>
      <c r="BG2231" t="s">
        <v>188</v>
      </c>
      <c r="BH2231" s="1">
        <v>45183.833333333336</v>
      </c>
      <c r="BI2231">
        <v>40</v>
      </c>
      <c r="BJ2231">
        <v>0</v>
      </c>
      <c r="BK2231">
        <v>8</v>
      </c>
      <c r="BL2231">
        <v>8</v>
      </c>
      <c r="BM2231">
        <v>8</v>
      </c>
      <c r="BN2231">
        <v>8</v>
      </c>
      <c r="BO2231">
        <v>8</v>
      </c>
      <c r="BP2231">
        <v>0</v>
      </c>
      <c r="BQ2231" t="str">
        <f>"8:00 AM"</f>
        <v>8:00 AM</v>
      </c>
      <c r="BR2231" t="str">
        <f>"5:00 PM"</f>
        <v>5:00 PM</v>
      </c>
      <c r="BS2231" t="s">
        <v>131</v>
      </c>
      <c r="BT2231">
        <v>0</v>
      </c>
      <c r="BU2231">
        <v>0</v>
      </c>
      <c r="BV2231" t="s">
        <v>114</v>
      </c>
      <c r="BX2231" s="2" t="s">
        <v>23829</v>
      </c>
      <c r="BY2231" t="s">
        <v>4787</v>
      </c>
      <c r="CA2231" t="s">
        <v>4788</v>
      </c>
      <c r="CB2231" t="s">
        <v>188</v>
      </c>
      <c r="CC2231" s="8" t="str">
        <f>"81615"</f>
        <v>81615</v>
      </c>
      <c r="CD2231" t="s">
        <v>4789</v>
      </c>
      <c r="CE2231" t="s">
        <v>1038</v>
      </c>
      <c r="CF2231" s="12">
        <v>23</v>
      </c>
      <c r="CG2231" s="12">
        <v>23</v>
      </c>
      <c r="CH2231" s="12">
        <v>23</v>
      </c>
      <c r="CI2231" s="12">
        <v>34.5</v>
      </c>
      <c r="CJ2231" t="s">
        <v>135</v>
      </c>
      <c r="CK2231" t="s">
        <v>4790</v>
      </c>
      <c r="CL2231" t="s">
        <v>23830</v>
      </c>
      <c r="CO2231" t="s">
        <v>132</v>
      </c>
      <c r="CP2231" t="s">
        <v>136</v>
      </c>
      <c r="CQ2231" t="s">
        <v>136</v>
      </c>
      <c r="CR2231" t="s">
        <v>136</v>
      </c>
      <c r="CS2231" t="s">
        <v>136</v>
      </c>
      <c r="CT2231" t="s">
        <v>136</v>
      </c>
      <c r="CU2231" t="s">
        <v>136</v>
      </c>
      <c r="CV2231" t="s">
        <v>23831</v>
      </c>
      <c r="CW2231" s="10" t="str">
        <f>"+19703007700"</f>
        <v>+19703007700</v>
      </c>
      <c r="CX2231" t="s">
        <v>132</v>
      </c>
      <c r="CY2231" t="s">
        <v>4793</v>
      </c>
      <c r="CZ2231" t="s">
        <v>137</v>
      </c>
      <c r="DA2231" t="s">
        <v>114</v>
      </c>
      <c r="DB2231" t="s">
        <v>114</v>
      </c>
      <c r="DC2231" t="s">
        <v>136</v>
      </c>
      <c r="DD2231" t="s">
        <v>114</v>
      </c>
    </row>
    <row r="2232" spans="1:113" ht="15" customHeight="1" x14ac:dyDescent="0.25">
      <c r="A2232" t="s">
        <v>4778</v>
      </c>
      <c r="B2232" t="s">
        <v>885</v>
      </c>
      <c r="C2232" s="1">
        <v>45187.542566666663</v>
      </c>
      <c r="D2232" s="1">
        <v>45243</v>
      </c>
      <c r="E2232" t="s">
        <v>132</v>
      </c>
      <c r="F2232" t="s">
        <v>4779</v>
      </c>
      <c r="G2232" t="str">
        <f>"35-2014.00"</f>
        <v>35-2014.00</v>
      </c>
      <c r="H2232" t="s">
        <v>154</v>
      </c>
      <c r="I2232">
        <v>15</v>
      </c>
      <c r="J2232">
        <v>12</v>
      </c>
      <c r="K2232" s="1">
        <v>45275</v>
      </c>
      <c r="L2232" s="1">
        <v>45397</v>
      </c>
      <c r="M2232" s="1">
        <v>45275</v>
      </c>
      <c r="N2232" s="1">
        <v>45397</v>
      </c>
      <c r="O2232" t="s">
        <v>116</v>
      </c>
      <c r="P2232" t="s">
        <v>4780</v>
      </c>
      <c r="R2232" t="s">
        <v>4781</v>
      </c>
      <c r="T2232" t="s">
        <v>4782</v>
      </c>
      <c r="U2232" t="s">
        <v>188</v>
      </c>
      <c r="V2232" s="8" t="str">
        <f>"81611"</f>
        <v>81611</v>
      </c>
      <c r="W2232" t="s">
        <v>118</v>
      </c>
      <c r="X2232" t="s">
        <v>132</v>
      </c>
      <c r="Y2232" s="10">
        <v>19703007000</v>
      </c>
      <c r="AA2232">
        <v>71392</v>
      </c>
      <c r="AB2232" t="s">
        <v>4020</v>
      </c>
      <c r="AC2232" t="s">
        <v>3249</v>
      </c>
      <c r="AE2232" t="s">
        <v>4783</v>
      </c>
      <c r="AF2232" t="s">
        <v>4784</v>
      </c>
      <c r="AH2232" t="s">
        <v>4782</v>
      </c>
      <c r="AI2232" t="s">
        <v>188</v>
      </c>
      <c r="AJ2232" s="8" t="str">
        <f>"81611"</f>
        <v>81611</v>
      </c>
      <c r="AK2232" t="s">
        <v>118</v>
      </c>
      <c r="AM2232" s="10">
        <v>19703007680</v>
      </c>
      <c r="AO2232" t="s">
        <v>4785</v>
      </c>
      <c r="AP2232" t="s">
        <v>121</v>
      </c>
      <c r="AQ2232" t="s">
        <v>2357</v>
      </c>
      <c r="AR2232" t="s">
        <v>250</v>
      </c>
      <c r="AS2232" t="s">
        <v>1714</v>
      </c>
      <c r="AT2232" t="s">
        <v>2358</v>
      </c>
      <c r="AU2232" t="s">
        <v>2359</v>
      </c>
      <c r="AV2232" t="s">
        <v>2360</v>
      </c>
      <c r="AW2232" t="s">
        <v>158</v>
      </c>
      <c r="AX2232" s="8" t="str">
        <f>"48304"</f>
        <v>48304</v>
      </c>
      <c r="AY2232" t="s">
        <v>118</v>
      </c>
      <c r="AZ2232" t="s">
        <v>2361</v>
      </c>
      <c r="BA2232" s="10">
        <v>12482030583</v>
      </c>
      <c r="BC2232" t="s">
        <v>2362</v>
      </c>
      <c r="BD2232" t="s">
        <v>2363</v>
      </c>
      <c r="BE2232" t="s">
        <v>158</v>
      </c>
      <c r="BF2232" t="s">
        <v>2364</v>
      </c>
      <c r="BG2232" t="s">
        <v>188</v>
      </c>
      <c r="BH2232" s="1">
        <v>45182.833333333336</v>
      </c>
      <c r="BI2232">
        <v>40</v>
      </c>
      <c r="BJ2232">
        <v>0</v>
      </c>
      <c r="BK2232">
        <v>8</v>
      </c>
      <c r="BL2232">
        <v>8</v>
      </c>
      <c r="BM2232">
        <v>8</v>
      </c>
      <c r="BN2232">
        <v>8</v>
      </c>
      <c r="BO2232">
        <v>8</v>
      </c>
      <c r="BP2232">
        <v>0</v>
      </c>
      <c r="BQ2232" t="str">
        <f>"8:00 AM"</f>
        <v>8:00 AM</v>
      </c>
      <c r="BR2232" t="str">
        <f>"5:00 PM"</f>
        <v>5:00 PM</v>
      </c>
      <c r="BS2232" t="s">
        <v>131</v>
      </c>
      <c r="BT2232">
        <v>0</v>
      </c>
      <c r="BU2232">
        <v>0</v>
      </c>
      <c r="BV2232" t="s">
        <v>114</v>
      </c>
      <c r="BX2232" s="2" t="s">
        <v>4786</v>
      </c>
      <c r="BY2232" t="s">
        <v>4787</v>
      </c>
      <c r="CA2232" t="s">
        <v>4788</v>
      </c>
      <c r="CB2232" t="s">
        <v>188</v>
      </c>
      <c r="CC2232" s="8" t="str">
        <f>"81615"</f>
        <v>81615</v>
      </c>
      <c r="CD2232" t="s">
        <v>4789</v>
      </c>
      <c r="CE2232" t="s">
        <v>1038</v>
      </c>
      <c r="CF2232" s="12">
        <v>25</v>
      </c>
      <c r="CG2232" s="12">
        <v>25</v>
      </c>
      <c r="CH2232" s="12">
        <v>37.5</v>
      </c>
      <c r="CI2232" s="12">
        <v>37.5</v>
      </c>
      <c r="CJ2232" t="s">
        <v>135</v>
      </c>
      <c r="CK2232" t="s">
        <v>4790</v>
      </c>
      <c r="CL2232" t="s">
        <v>4791</v>
      </c>
      <c r="CO2232" t="s">
        <v>132</v>
      </c>
      <c r="CP2232" t="s">
        <v>136</v>
      </c>
      <c r="CQ2232" t="s">
        <v>136</v>
      </c>
      <c r="CR2232" t="s">
        <v>136</v>
      </c>
      <c r="CS2232" t="s">
        <v>136</v>
      </c>
      <c r="CT2232" t="s">
        <v>136</v>
      </c>
      <c r="CU2232" t="s">
        <v>136</v>
      </c>
      <c r="CV2232" t="s">
        <v>4792</v>
      </c>
      <c r="CW2232" s="10" t="str">
        <f>"+19703007700"</f>
        <v>+19703007700</v>
      </c>
      <c r="CX2232" t="s">
        <v>132</v>
      </c>
      <c r="CY2232" t="s">
        <v>4793</v>
      </c>
      <c r="CZ2232" t="s">
        <v>137</v>
      </c>
      <c r="DA2232" t="s">
        <v>114</v>
      </c>
      <c r="DB2232" t="s">
        <v>114</v>
      </c>
      <c r="DC2232" t="s">
        <v>136</v>
      </c>
      <c r="DD2232" t="s">
        <v>114</v>
      </c>
    </row>
    <row r="2233" spans="1:113" ht="15" customHeight="1" x14ac:dyDescent="0.25">
      <c r="A2233" t="s">
        <v>17261</v>
      </c>
      <c r="B2233" t="s">
        <v>885</v>
      </c>
      <c r="C2233" s="1">
        <v>45197.720823263888</v>
      </c>
      <c r="D2233" s="1">
        <v>45238</v>
      </c>
      <c r="E2233" t="s">
        <v>132</v>
      </c>
      <c r="F2233" t="s">
        <v>4846</v>
      </c>
      <c r="G2233" t="str">
        <f>"37-3011.00"</f>
        <v>37-3011.00</v>
      </c>
      <c r="H2233" t="s">
        <v>429</v>
      </c>
      <c r="I2233">
        <v>36</v>
      </c>
      <c r="J2233">
        <v>35</v>
      </c>
      <c r="K2233" s="1">
        <v>45279</v>
      </c>
      <c r="L2233" s="1">
        <v>45579</v>
      </c>
      <c r="M2233" s="1">
        <v>45279</v>
      </c>
      <c r="N2233" s="1">
        <v>45579</v>
      </c>
      <c r="O2233" t="s">
        <v>116</v>
      </c>
      <c r="P2233" t="s">
        <v>17262</v>
      </c>
      <c r="R2233" t="s">
        <v>17263</v>
      </c>
      <c r="S2233" t="s">
        <v>17264</v>
      </c>
      <c r="T2233" t="s">
        <v>17265</v>
      </c>
      <c r="U2233" t="s">
        <v>558</v>
      </c>
      <c r="V2233" s="8" t="str">
        <f>"85203"</f>
        <v>85203</v>
      </c>
      <c r="W2233" t="s">
        <v>118</v>
      </c>
      <c r="Y2233" s="10">
        <v>14809466261</v>
      </c>
      <c r="AA2233">
        <v>5617</v>
      </c>
      <c r="AB2233" t="s">
        <v>17266</v>
      </c>
      <c r="AC2233" t="s">
        <v>708</v>
      </c>
      <c r="AD2233" t="s">
        <v>3052</v>
      </c>
      <c r="AE2233" t="s">
        <v>2729</v>
      </c>
      <c r="AF2233" t="s">
        <v>17263</v>
      </c>
      <c r="AG2233" t="s">
        <v>17264</v>
      </c>
      <c r="AH2233" t="s">
        <v>17265</v>
      </c>
      <c r="AI2233" t="s">
        <v>558</v>
      </c>
      <c r="AJ2233" s="8" t="str">
        <f>"85203"</f>
        <v>85203</v>
      </c>
      <c r="AK2233" t="s">
        <v>118</v>
      </c>
      <c r="AM2233" s="10">
        <v>14809466261</v>
      </c>
      <c r="AO2233" t="s">
        <v>17267</v>
      </c>
      <c r="AP2233" t="s">
        <v>248</v>
      </c>
      <c r="AQ2233" t="s">
        <v>13683</v>
      </c>
      <c r="AR2233" t="s">
        <v>3496</v>
      </c>
      <c r="AT2233" t="s">
        <v>13684</v>
      </c>
      <c r="AU2233" t="s">
        <v>13685</v>
      </c>
      <c r="AV2233" t="s">
        <v>2960</v>
      </c>
      <c r="AW2233" t="s">
        <v>558</v>
      </c>
      <c r="AX2233" s="8" t="str">
        <f>"85048"</f>
        <v>85048</v>
      </c>
      <c r="AY2233" t="s">
        <v>118</v>
      </c>
      <c r="BA2233" s="10">
        <v>14809411885</v>
      </c>
      <c r="BC2233" t="s">
        <v>13686</v>
      </c>
      <c r="BD2233" t="s">
        <v>13687</v>
      </c>
      <c r="BG2233" t="s">
        <v>558</v>
      </c>
      <c r="BH2233" s="1">
        <v>45188.833333333336</v>
      </c>
      <c r="BI2233">
        <v>40</v>
      </c>
      <c r="BJ2233">
        <v>0</v>
      </c>
      <c r="BK2233">
        <v>8</v>
      </c>
      <c r="BL2233">
        <v>8</v>
      </c>
      <c r="BM2233">
        <v>8</v>
      </c>
      <c r="BN2233">
        <v>8</v>
      </c>
      <c r="BO2233">
        <v>8</v>
      </c>
      <c r="BP2233">
        <v>0</v>
      </c>
      <c r="BQ2233" t="str">
        <f>"6:00 AM"</f>
        <v>6:00 AM</v>
      </c>
      <c r="BR2233" t="str">
        <f>"2:30 PM"</f>
        <v>2:30 PM</v>
      </c>
      <c r="BS2233" t="s">
        <v>131</v>
      </c>
      <c r="BT2233">
        <v>0</v>
      </c>
      <c r="BU2233">
        <v>3</v>
      </c>
      <c r="BV2233" t="s">
        <v>114</v>
      </c>
      <c r="BX2233" s="2" t="s">
        <v>15644</v>
      </c>
      <c r="BY2233" t="s">
        <v>17268</v>
      </c>
      <c r="BZ2233" t="s">
        <v>17264</v>
      </c>
      <c r="CA2233" t="s">
        <v>17265</v>
      </c>
      <c r="CB2233" t="s">
        <v>558</v>
      </c>
      <c r="CC2233" s="8" t="str">
        <f>"85203"</f>
        <v>85203</v>
      </c>
      <c r="CD2233" t="s">
        <v>1391</v>
      </c>
      <c r="CE2233" t="s">
        <v>565</v>
      </c>
      <c r="CF2233" s="12">
        <v>17.309999999999999</v>
      </c>
      <c r="CG2233" s="12">
        <v>17.309999999999999</v>
      </c>
      <c r="CH2233" s="12">
        <v>25.97</v>
      </c>
      <c r="CI2233" s="12">
        <v>25.97</v>
      </c>
      <c r="CJ2233" t="s">
        <v>135</v>
      </c>
      <c r="CK2233" t="s">
        <v>13690</v>
      </c>
      <c r="CL2233" t="s">
        <v>17269</v>
      </c>
      <c r="CO2233" t="s">
        <v>132</v>
      </c>
      <c r="CP2233" t="s">
        <v>136</v>
      </c>
      <c r="CQ2233" t="s">
        <v>136</v>
      </c>
      <c r="CR2233" t="s">
        <v>136</v>
      </c>
      <c r="CS2233" t="s">
        <v>114</v>
      </c>
      <c r="CT2233" t="s">
        <v>136</v>
      </c>
      <c r="CU2233" t="s">
        <v>114</v>
      </c>
      <c r="CV2233" t="s">
        <v>14159</v>
      </c>
      <c r="CW2233" s="10" t="str">
        <f>"+14809466261"</f>
        <v>+14809466261</v>
      </c>
      <c r="CX2233" t="s">
        <v>17267</v>
      </c>
      <c r="CY2233" t="s">
        <v>132</v>
      </c>
      <c r="CZ2233" t="s">
        <v>137</v>
      </c>
      <c r="DA2233" t="s">
        <v>114</v>
      </c>
      <c r="DB2233" t="s">
        <v>136</v>
      </c>
      <c r="DC2233" t="s">
        <v>136</v>
      </c>
      <c r="DD2233" t="s">
        <v>114</v>
      </c>
    </row>
    <row r="2234" spans="1:113" ht="15" customHeight="1" x14ac:dyDescent="0.25">
      <c r="A2234" t="s">
        <v>4358</v>
      </c>
      <c r="B2234" t="s">
        <v>885</v>
      </c>
      <c r="C2234" s="1">
        <v>45169.718871527781</v>
      </c>
      <c r="D2234" s="1">
        <v>45232</v>
      </c>
      <c r="E2234" t="s">
        <v>114</v>
      </c>
      <c r="F2234" t="s">
        <v>4359</v>
      </c>
      <c r="G2234" t="str">
        <f>"39-9011.00"</f>
        <v>39-9011.00</v>
      </c>
      <c r="H2234" t="s">
        <v>183</v>
      </c>
      <c r="I2234">
        <v>10</v>
      </c>
      <c r="J2234">
        <v>9</v>
      </c>
      <c r="K2234" s="1">
        <v>45259</v>
      </c>
      <c r="L2234" s="1">
        <v>45390</v>
      </c>
      <c r="M2234" s="1">
        <v>45259</v>
      </c>
      <c r="N2234" s="1">
        <v>45390</v>
      </c>
      <c r="O2234" t="s">
        <v>238</v>
      </c>
      <c r="P2234" t="s">
        <v>4360</v>
      </c>
      <c r="Q2234" t="s">
        <v>4361</v>
      </c>
      <c r="R2234" t="s">
        <v>4362</v>
      </c>
      <c r="S2234" t="s">
        <v>4363</v>
      </c>
      <c r="T2234" t="s">
        <v>210</v>
      </c>
      <c r="U2234" t="s">
        <v>211</v>
      </c>
      <c r="V2234" s="8" t="str">
        <f>"84060"</f>
        <v>84060</v>
      </c>
      <c r="W2234" t="s">
        <v>118</v>
      </c>
      <c r="Y2234" s="10">
        <v>14356456653</v>
      </c>
      <c r="AA2234">
        <v>72111</v>
      </c>
      <c r="AB2234" t="s">
        <v>4364</v>
      </c>
      <c r="AC2234" t="s">
        <v>4365</v>
      </c>
      <c r="AE2234" t="s">
        <v>2016</v>
      </c>
      <c r="AF2234" t="s">
        <v>4366</v>
      </c>
      <c r="AG2234" t="s">
        <v>4362</v>
      </c>
      <c r="AH2234" t="s">
        <v>210</v>
      </c>
      <c r="AI2234" t="s">
        <v>211</v>
      </c>
      <c r="AJ2234" s="8" t="str">
        <f>"84060"</f>
        <v>84060</v>
      </c>
      <c r="AK2234" t="s">
        <v>118</v>
      </c>
      <c r="AM2234" s="10">
        <v>14356456653</v>
      </c>
      <c r="AO2234" t="s">
        <v>4367</v>
      </c>
      <c r="AP2234" t="s">
        <v>121</v>
      </c>
      <c r="AQ2234" t="s">
        <v>1675</v>
      </c>
      <c r="AR2234" t="s">
        <v>1676</v>
      </c>
      <c r="AS2234" t="s">
        <v>1677</v>
      </c>
      <c r="AT2234" t="s">
        <v>1678</v>
      </c>
      <c r="AU2234" t="s">
        <v>296</v>
      </c>
      <c r="AV2234" t="s">
        <v>1679</v>
      </c>
      <c r="AW2234" t="s">
        <v>402</v>
      </c>
      <c r="AX2234" s="8" t="str">
        <f>"91361"</f>
        <v>91361</v>
      </c>
      <c r="AY2234" t="s">
        <v>118</v>
      </c>
      <c r="BA2234" s="10">
        <v>18052611393</v>
      </c>
      <c r="BC2234" t="s">
        <v>1680</v>
      </c>
      <c r="BD2234" t="s">
        <v>1681</v>
      </c>
      <c r="BE2234" t="s">
        <v>140</v>
      </c>
      <c r="BF2234" t="s">
        <v>146</v>
      </c>
      <c r="BG2234" t="s">
        <v>211</v>
      </c>
      <c r="BH2234" s="1">
        <v>45158.833333333336</v>
      </c>
      <c r="BI2234">
        <v>35</v>
      </c>
      <c r="BJ2234">
        <v>5</v>
      </c>
      <c r="BK2234">
        <v>5</v>
      </c>
      <c r="BL2234">
        <v>5</v>
      </c>
      <c r="BM2234">
        <v>5</v>
      </c>
      <c r="BN2234">
        <v>5</v>
      </c>
      <c r="BO2234">
        <v>5</v>
      </c>
      <c r="BP2234">
        <v>5</v>
      </c>
      <c r="BQ2234" t="str">
        <f>"8:00 AM"</f>
        <v>8:00 AM</v>
      </c>
      <c r="BR2234" t="str">
        <f>"4:30 PM"</f>
        <v>4:30 PM</v>
      </c>
      <c r="BS2234" t="s">
        <v>131</v>
      </c>
      <c r="BT2234">
        <v>0</v>
      </c>
      <c r="BU2234">
        <v>6</v>
      </c>
      <c r="BV2234" t="s">
        <v>114</v>
      </c>
      <c r="BX2234" s="2" t="s">
        <v>4368</v>
      </c>
      <c r="BY2234" t="s">
        <v>4362</v>
      </c>
      <c r="CA2234" t="s">
        <v>210</v>
      </c>
      <c r="CB2234" t="s">
        <v>211</v>
      </c>
      <c r="CC2234" s="8" t="str">
        <f>"84060"</f>
        <v>84060</v>
      </c>
      <c r="CD2234" t="s">
        <v>228</v>
      </c>
      <c r="CE2234" t="s">
        <v>229</v>
      </c>
      <c r="CF2234" s="12">
        <v>12.78</v>
      </c>
      <c r="CG2234" s="12">
        <v>22.32</v>
      </c>
      <c r="CH2234" s="12">
        <v>19.170000000000002</v>
      </c>
      <c r="CI2234" s="12">
        <v>33.479999999999997</v>
      </c>
      <c r="CJ2234" t="s">
        <v>135</v>
      </c>
      <c r="CK2234" t="s">
        <v>4369</v>
      </c>
      <c r="CL2234" t="s">
        <v>4370</v>
      </c>
      <c r="CO2234" t="s">
        <v>132</v>
      </c>
      <c r="CP2234" t="s">
        <v>114</v>
      </c>
      <c r="CQ2234" t="s">
        <v>114</v>
      </c>
      <c r="CR2234" t="s">
        <v>136</v>
      </c>
      <c r="CS2234" t="s">
        <v>136</v>
      </c>
      <c r="CT2234" t="s">
        <v>136</v>
      </c>
      <c r="CU2234" t="s">
        <v>136</v>
      </c>
      <c r="CV2234" s="2" t="s">
        <v>4371</v>
      </c>
      <c r="CW2234" s="10" t="str">
        <f>"+14356456655"</f>
        <v>+14356456655</v>
      </c>
      <c r="CX2234" t="s">
        <v>4372</v>
      </c>
      <c r="CY2234" t="s">
        <v>132</v>
      </c>
      <c r="CZ2234" t="s">
        <v>137</v>
      </c>
      <c r="DA2234" t="s">
        <v>114</v>
      </c>
      <c r="DB2234" t="s">
        <v>114</v>
      </c>
      <c r="DC2234" t="s">
        <v>136</v>
      </c>
      <c r="DD2234" t="s">
        <v>114</v>
      </c>
    </row>
    <row r="2235" spans="1:113" ht="15" customHeight="1" x14ac:dyDescent="0.25">
      <c r="A2235" t="s">
        <v>16972</v>
      </c>
      <c r="B2235" t="s">
        <v>885</v>
      </c>
      <c r="C2235" s="1">
        <v>45169.688556365742</v>
      </c>
      <c r="D2235" s="1">
        <v>45229</v>
      </c>
      <c r="E2235" t="s">
        <v>114</v>
      </c>
      <c r="F2235" t="s">
        <v>3754</v>
      </c>
      <c r="G2235" t="str">
        <f>"35-2021.00"</f>
        <v>35-2021.00</v>
      </c>
      <c r="H2235" t="s">
        <v>2303</v>
      </c>
      <c r="I2235">
        <v>8</v>
      </c>
      <c r="J2235">
        <v>6</v>
      </c>
      <c r="K2235" s="1">
        <v>45250</v>
      </c>
      <c r="L2235" s="1">
        <v>45402</v>
      </c>
      <c r="M2235" s="1">
        <v>45250</v>
      </c>
      <c r="N2235" s="1">
        <v>45402</v>
      </c>
      <c r="O2235" t="s">
        <v>116</v>
      </c>
      <c r="P2235" t="s">
        <v>11718</v>
      </c>
      <c r="Q2235" t="s">
        <v>16973</v>
      </c>
      <c r="R2235" t="s">
        <v>11719</v>
      </c>
      <c r="T2235" t="s">
        <v>4782</v>
      </c>
      <c r="U2235" t="s">
        <v>188</v>
      </c>
      <c r="V2235" s="8" t="str">
        <f>"81611"</f>
        <v>81611</v>
      </c>
      <c r="W2235" t="s">
        <v>118</v>
      </c>
      <c r="Y2235" s="10">
        <v>19709206397</v>
      </c>
      <c r="AA2235">
        <v>71392</v>
      </c>
      <c r="AB2235" t="s">
        <v>11720</v>
      </c>
      <c r="AC2235" t="s">
        <v>4199</v>
      </c>
      <c r="AE2235" t="s">
        <v>12918</v>
      </c>
      <c r="AF2235" t="s">
        <v>11721</v>
      </c>
      <c r="AH2235" t="s">
        <v>4782</v>
      </c>
      <c r="AI2235" t="s">
        <v>188</v>
      </c>
      <c r="AJ2235" s="8" t="str">
        <f>"81611"</f>
        <v>81611</v>
      </c>
      <c r="AK2235" t="s">
        <v>118</v>
      </c>
      <c r="AM2235" s="10">
        <v>19709206397</v>
      </c>
      <c r="AO2235" t="s">
        <v>11722</v>
      </c>
      <c r="AP2235" t="s">
        <v>121</v>
      </c>
      <c r="AQ2235" t="s">
        <v>3974</v>
      </c>
      <c r="AR2235" t="s">
        <v>3975</v>
      </c>
      <c r="AS2235" t="s">
        <v>1829</v>
      </c>
      <c r="AT2235" t="s">
        <v>11723</v>
      </c>
      <c r="AU2235" t="s">
        <v>11724</v>
      </c>
      <c r="AV2235" t="s">
        <v>773</v>
      </c>
      <c r="AW2235" t="s">
        <v>140</v>
      </c>
      <c r="AX2235" s="8" t="str">
        <f>"33602"</f>
        <v>33602</v>
      </c>
      <c r="AY2235" t="s">
        <v>118</v>
      </c>
      <c r="BA2235" s="10">
        <v>18132217267</v>
      </c>
      <c r="BC2235" t="s">
        <v>11725</v>
      </c>
      <c r="BD2235" t="s">
        <v>11726</v>
      </c>
      <c r="BE2235" t="s">
        <v>140</v>
      </c>
      <c r="BF2235" t="s">
        <v>3229</v>
      </c>
      <c r="BG2235" t="s">
        <v>188</v>
      </c>
      <c r="BH2235" s="1">
        <v>45168.833333333336</v>
      </c>
      <c r="BI2235">
        <v>40</v>
      </c>
      <c r="BJ2235">
        <v>0</v>
      </c>
      <c r="BK2235">
        <v>8</v>
      </c>
      <c r="BL2235">
        <v>8</v>
      </c>
      <c r="BM2235">
        <v>8</v>
      </c>
      <c r="BN2235">
        <v>8</v>
      </c>
      <c r="BO2235">
        <v>8</v>
      </c>
      <c r="BP2235">
        <v>0</v>
      </c>
      <c r="BQ2235" t="str">
        <f>"6:00 AM"</f>
        <v>6:00 AM</v>
      </c>
      <c r="BR2235" t="str">
        <f>"2:30 PM"</f>
        <v>2:30 PM</v>
      </c>
      <c r="BS2235" t="s">
        <v>131</v>
      </c>
      <c r="BT2235">
        <v>0</v>
      </c>
      <c r="BU2235">
        <v>3</v>
      </c>
      <c r="BV2235" t="s">
        <v>114</v>
      </c>
      <c r="BX2235" s="2" t="s">
        <v>16974</v>
      </c>
      <c r="BY2235" t="s">
        <v>11721</v>
      </c>
      <c r="CA2235" t="s">
        <v>4782</v>
      </c>
      <c r="CB2235" t="s">
        <v>188</v>
      </c>
      <c r="CC2235" s="8" t="str">
        <f>"81611"</f>
        <v>81611</v>
      </c>
      <c r="CD2235" t="s">
        <v>4789</v>
      </c>
      <c r="CE2235" t="s">
        <v>1038</v>
      </c>
      <c r="CF2235" s="12">
        <v>21</v>
      </c>
      <c r="CH2235" s="12">
        <v>31.5</v>
      </c>
      <c r="CJ2235" t="s">
        <v>135</v>
      </c>
      <c r="CK2235" t="s">
        <v>16975</v>
      </c>
      <c r="CL2235" t="s">
        <v>16976</v>
      </c>
      <c r="CO2235" t="s">
        <v>132</v>
      </c>
      <c r="CP2235" t="s">
        <v>114</v>
      </c>
      <c r="CQ2235" t="s">
        <v>114</v>
      </c>
      <c r="CR2235" t="s">
        <v>136</v>
      </c>
      <c r="CS2235" t="s">
        <v>136</v>
      </c>
      <c r="CT2235" t="s">
        <v>136</v>
      </c>
      <c r="CU2235" t="s">
        <v>136</v>
      </c>
      <c r="CV2235" t="s">
        <v>16977</v>
      </c>
      <c r="CW2235" s="10" t="str">
        <f>"+19709458638"</f>
        <v>+19709458638</v>
      </c>
      <c r="CX2235" t="s">
        <v>132</v>
      </c>
      <c r="CY2235" t="s">
        <v>11731</v>
      </c>
      <c r="CZ2235" t="s">
        <v>137</v>
      </c>
      <c r="DA2235" t="s">
        <v>114</v>
      </c>
      <c r="DB2235" t="s">
        <v>136</v>
      </c>
      <c r="DC2235" t="s">
        <v>136</v>
      </c>
      <c r="DD2235" t="s">
        <v>114</v>
      </c>
      <c r="DE2235" t="s">
        <v>6362</v>
      </c>
      <c r="DF2235" t="s">
        <v>6363</v>
      </c>
      <c r="DH2235" t="s">
        <v>11726</v>
      </c>
      <c r="DI2235" t="s">
        <v>11732</v>
      </c>
    </row>
    <row r="2236" spans="1:113" ht="15" customHeight="1" x14ac:dyDescent="0.25">
      <c r="A2236" t="s">
        <v>11716</v>
      </c>
      <c r="B2236" t="s">
        <v>885</v>
      </c>
      <c r="C2236" s="1">
        <v>45169.677261921293</v>
      </c>
      <c r="D2236" s="1">
        <v>45229</v>
      </c>
      <c r="E2236" t="s">
        <v>114</v>
      </c>
      <c r="F2236" t="s">
        <v>11717</v>
      </c>
      <c r="G2236" t="str">
        <f>"37-2012.00"</f>
        <v>37-2012.00</v>
      </c>
      <c r="H2236" t="s">
        <v>205</v>
      </c>
      <c r="I2236">
        <v>15</v>
      </c>
      <c r="J2236">
        <v>13</v>
      </c>
      <c r="K2236" s="1">
        <v>45250</v>
      </c>
      <c r="L2236" s="1">
        <v>45402</v>
      </c>
      <c r="M2236" s="1">
        <v>45250</v>
      </c>
      <c r="N2236" s="1">
        <v>45402</v>
      </c>
      <c r="O2236" t="s">
        <v>116</v>
      </c>
      <c r="P2236" t="s">
        <v>11718</v>
      </c>
      <c r="R2236" t="s">
        <v>11719</v>
      </c>
      <c r="T2236" t="s">
        <v>4782</v>
      </c>
      <c r="U2236" t="s">
        <v>188</v>
      </c>
      <c r="V2236" s="8" t="str">
        <f>"81611"</f>
        <v>81611</v>
      </c>
      <c r="W2236" t="s">
        <v>118</v>
      </c>
      <c r="Y2236" s="10">
        <v>19709206397</v>
      </c>
      <c r="AA2236">
        <v>71392</v>
      </c>
      <c r="AB2236" t="s">
        <v>11720</v>
      </c>
      <c r="AC2236" t="s">
        <v>4199</v>
      </c>
      <c r="AE2236" t="s">
        <v>1104</v>
      </c>
      <c r="AF2236" t="s">
        <v>11721</v>
      </c>
      <c r="AH2236" t="s">
        <v>4782</v>
      </c>
      <c r="AI2236" t="s">
        <v>188</v>
      </c>
      <c r="AJ2236" s="8" t="str">
        <f>"81611"</f>
        <v>81611</v>
      </c>
      <c r="AK2236" t="s">
        <v>118</v>
      </c>
      <c r="AM2236" s="10">
        <v>19709206397</v>
      </c>
      <c r="AO2236" t="s">
        <v>11722</v>
      </c>
      <c r="AP2236" t="s">
        <v>121</v>
      </c>
      <c r="AQ2236" t="s">
        <v>3974</v>
      </c>
      <c r="AR2236" t="s">
        <v>3975</v>
      </c>
      <c r="AS2236" t="s">
        <v>1829</v>
      </c>
      <c r="AT2236" t="s">
        <v>11723</v>
      </c>
      <c r="AU2236" t="s">
        <v>11724</v>
      </c>
      <c r="AV2236" t="s">
        <v>773</v>
      </c>
      <c r="AW2236" t="s">
        <v>140</v>
      </c>
      <c r="AX2236" s="8" t="str">
        <f>"33602"</f>
        <v>33602</v>
      </c>
      <c r="AY2236" t="s">
        <v>118</v>
      </c>
      <c r="BA2236" s="10">
        <v>18132217267</v>
      </c>
      <c r="BC2236" t="s">
        <v>11725</v>
      </c>
      <c r="BD2236" t="s">
        <v>11726</v>
      </c>
      <c r="BE2236" t="s">
        <v>140</v>
      </c>
      <c r="BF2236" t="s">
        <v>3229</v>
      </c>
      <c r="BG2236" t="s">
        <v>188</v>
      </c>
      <c r="BH2236" s="1">
        <v>45168.833333333336</v>
      </c>
      <c r="BI2236">
        <v>40</v>
      </c>
      <c r="BJ2236">
        <v>0</v>
      </c>
      <c r="BK2236">
        <v>8</v>
      </c>
      <c r="BL2236">
        <v>8</v>
      </c>
      <c r="BM2236">
        <v>8</v>
      </c>
      <c r="BN2236">
        <v>8</v>
      </c>
      <c r="BO2236">
        <v>8</v>
      </c>
      <c r="BP2236">
        <v>0</v>
      </c>
      <c r="BQ2236" t="str">
        <f>"8:00 AM"</f>
        <v>8:00 AM</v>
      </c>
      <c r="BR2236" t="str">
        <f>"4:30 PM"</f>
        <v>4:30 PM</v>
      </c>
      <c r="BS2236" t="s">
        <v>131</v>
      </c>
      <c r="BT2236">
        <v>0</v>
      </c>
      <c r="BU2236">
        <v>3</v>
      </c>
      <c r="BV2236" t="s">
        <v>114</v>
      </c>
      <c r="BX2236" s="2" t="s">
        <v>11727</v>
      </c>
      <c r="BY2236" t="s">
        <v>11721</v>
      </c>
      <c r="CA2236" t="s">
        <v>4782</v>
      </c>
      <c r="CB2236" t="s">
        <v>188</v>
      </c>
      <c r="CC2236" s="8" t="str">
        <f>"81611"</f>
        <v>81611</v>
      </c>
      <c r="CD2236" t="s">
        <v>4789</v>
      </c>
      <c r="CE2236" t="s">
        <v>1038</v>
      </c>
      <c r="CF2236" s="12">
        <v>23</v>
      </c>
      <c r="CH2236" s="12">
        <v>34.5</v>
      </c>
      <c r="CJ2236" t="s">
        <v>135</v>
      </c>
      <c r="CK2236" t="s">
        <v>11728</v>
      </c>
      <c r="CL2236" t="s">
        <v>11729</v>
      </c>
      <c r="CO2236" t="s">
        <v>132</v>
      </c>
      <c r="CP2236" t="s">
        <v>136</v>
      </c>
      <c r="CQ2236" t="s">
        <v>114</v>
      </c>
      <c r="CR2236" t="s">
        <v>136</v>
      </c>
      <c r="CS2236" t="s">
        <v>136</v>
      </c>
      <c r="CT2236" t="s">
        <v>136</v>
      </c>
      <c r="CU2236" t="s">
        <v>136</v>
      </c>
      <c r="CV2236" s="2" t="s">
        <v>11730</v>
      </c>
      <c r="CW2236" s="10" t="str">
        <f>"+19709206397"</f>
        <v>+19709206397</v>
      </c>
      <c r="CX2236" t="s">
        <v>132</v>
      </c>
      <c r="CY2236" t="s">
        <v>11731</v>
      </c>
      <c r="CZ2236" t="s">
        <v>137</v>
      </c>
      <c r="DA2236" t="s">
        <v>114</v>
      </c>
      <c r="DB2236" t="s">
        <v>136</v>
      </c>
      <c r="DC2236" t="s">
        <v>136</v>
      </c>
      <c r="DD2236" t="s">
        <v>114</v>
      </c>
      <c r="DE2236" t="s">
        <v>6362</v>
      </c>
      <c r="DF2236" t="s">
        <v>6363</v>
      </c>
      <c r="DH2236" t="s">
        <v>11726</v>
      </c>
      <c r="DI2236" t="s">
        <v>11732</v>
      </c>
    </row>
    <row r="2237" spans="1:113" ht="15" customHeight="1" x14ac:dyDescent="0.25">
      <c r="A2237" t="s">
        <v>18366</v>
      </c>
      <c r="B2237" t="s">
        <v>885</v>
      </c>
      <c r="C2237" s="1">
        <v>45110.023722106482</v>
      </c>
      <c r="D2237" s="1">
        <v>45229</v>
      </c>
      <c r="E2237" t="s">
        <v>114</v>
      </c>
      <c r="F2237" t="s">
        <v>8751</v>
      </c>
      <c r="G2237" t="str">
        <f>"47-2022.00"</f>
        <v>47-2022.00</v>
      </c>
      <c r="H2237" t="s">
        <v>311</v>
      </c>
      <c r="I2237">
        <v>8</v>
      </c>
      <c r="J2237">
        <v>7</v>
      </c>
      <c r="K2237" s="1">
        <v>45200</v>
      </c>
      <c r="L2237" s="1">
        <v>45930</v>
      </c>
      <c r="M2237" s="1">
        <v>45200</v>
      </c>
      <c r="N2237" s="1">
        <v>45930</v>
      </c>
      <c r="O2237" t="s">
        <v>184</v>
      </c>
      <c r="P2237" t="s">
        <v>11487</v>
      </c>
      <c r="Q2237" t="s">
        <v>18198</v>
      </c>
      <c r="R2237" t="s">
        <v>11489</v>
      </c>
      <c r="T2237" t="s">
        <v>11490</v>
      </c>
      <c r="U2237" t="s">
        <v>211</v>
      </c>
      <c r="V2237" s="8" t="str">
        <f>"84032"</f>
        <v>84032</v>
      </c>
      <c r="W2237" t="s">
        <v>118</v>
      </c>
      <c r="Y2237" s="10">
        <v>14356543334</v>
      </c>
      <c r="AA2237">
        <v>561330</v>
      </c>
      <c r="AB2237" t="s">
        <v>11491</v>
      </c>
      <c r="AC2237" t="s">
        <v>3625</v>
      </c>
      <c r="AD2237" t="s">
        <v>355</v>
      </c>
      <c r="AE2237" t="s">
        <v>438</v>
      </c>
      <c r="AF2237" t="s">
        <v>11489</v>
      </c>
      <c r="AH2237" t="s">
        <v>11492</v>
      </c>
      <c r="AI2237" t="s">
        <v>211</v>
      </c>
      <c r="AJ2237" s="8" t="str">
        <f>"84032"</f>
        <v>84032</v>
      </c>
      <c r="AK2237" t="s">
        <v>118</v>
      </c>
      <c r="AM2237" s="10">
        <v>14356405872</v>
      </c>
      <c r="AO2237" t="s">
        <v>11493</v>
      </c>
      <c r="AX2237" s="8" t="str">
        <f>""</f>
        <v/>
      </c>
      <c r="BG2237" t="s">
        <v>211</v>
      </c>
      <c r="BH2237" s="1">
        <v>45102.833333333336</v>
      </c>
      <c r="BI2237">
        <v>40</v>
      </c>
      <c r="BJ2237">
        <v>0</v>
      </c>
      <c r="BK2237">
        <v>8</v>
      </c>
      <c r="BL2237">
        <v>8</v>
      </c>
      <c r="BM2237">
        <v>8</v>
      </c>
      <c r="BN2237">
        <v>8</v>
      </c>
      <c r="BO2237">
        <v>8</v>
      </c>
      <c r="BP2237">
        <v>0</v>
      </c>
      <c r="BQ2237" t="str">
        <f>"7:00 AM"</f>
        <v>7:00 AM</v>
      </c>
      <c r="BR2237" t="str">
        <f>"6:00 PM"</f>
        <v>6:00 PM</v>
      </c>
      <c r="BS2237" t="s">
        <v>131</v>
      </c>
      <c r="BT2237">
        <v>0</v>
      </c>
      <c r="BU2237">
        <v>0</v>
      </c>
      <c r="BV2237" t="s">
        <v>114</v>
      </c>
      <c r="BX2237" s="2" t="s">
        <v>18367</v>
      </c>
      <c r="BY2237" t="s">
        <v>11495</v>
      </c>
      <c r="CA2237" t="s">
        <v>11490</v>
      </c>
      <c r="CB2237" t="s">
        <v>211</v>
      </c>
      <c r="CC2237" s="8" t="str">
        <f>"84032"</f>
        <v>84032</v>
      </c>
      <c r="CD2237" t="s">
        <v>11496</v>
      </c>
      <c r="CE2237" t="s">
        <v>229</v>
      </c>
      <c r="CF2237" s="12">
        <v>22.54</v>
      </c>
      <c r="CG2237" s="12">
        <v>22.54</v>
      </c>
      <c r="CH2237" s="12">
        <v>33.81</v>
      </c>
      <c r="CI2237" s="12">
        <v>33.81</v>
      </c>
      <c r="CJ2237" t="s">
        <v>135</v>
      </c>
      <c r="CL2237" t="s">
        <v>18368</v>
      </c>
      <c r="CO2237" t="s">
        <v>132</v>
      </c>
      <c r="CP2237" t="s">
        <v>136</v>
      </c>
      <c r="CQ2237" t="s">
        <v>114</v>
      </c>
      <c r="CR2237" t="s">
        <v>136</v>
      </c>
      <c r="CS2237" t="s">
        <v>136</v>
      </c>
      <c r="CT2237" t="s">
        <v>136</v>
      </c>
      <c r="CU2237" t="s">
        <v>114</v>
      </c>
      <c r="CV2237" t="s">
        <v>17143</v>
      </c>
      <c r="CW2237" s="10" t="str">
        <f>"+14356405872"</f>
        <v>+14356405872</v>
      </c>
      <c r="CX2237" t="s">
        <v>11493</v>
      </c>
      <c r="CY2237" t="s">
        <v>132</v>
      </c>
      <c r="CZ2237" t="s">
        <v>137</v>
      </c>
      <c r="DA2237" t="s">
        <v>114</v>
      </c>
      <c r="DB2237" t="s">
        <v>114</v>
      </c>
      <c r="DC2237" t="s">
        <v>136</v>
      </c>
      <c r="DD2237" t="s">
        <v>114</v>
      </c>
    </row>
    <row r="2238" spans="1:113" ht="15" customHeight="1" x14ac:dyDescent="0.25">
      <c r="A2238" t="s">
        <v>23685</v>
      </c>
      <c r="B2238" t="s">
        <v>885</v>
      </c>
      <c r="C2238" s="1">
        <v>45110.004173726855</v>
      </c>
      <c r="D2238" s="1">
        <v>45225</v>
      </c>
      <c r="E2238" t="s">
        <v>114</v>
      </c>
      <c r="F2238" t="s">
        <v>2738</v>
      </c>
      <c r="G2238" t="str">
        <f>"37-3011.00"</f>
        <v>37-3011.00</v>
      </c>
      <c r="H2238" t="s">
        <v>429</v>
      </c>
      <c r="I2238">
        <v>10</v>
      </c>
      <c r="J2238">
        <v>7</v>
      </c>
      <c r="K2238" s="1">
        <v>45200</v>
      </c>
      <c r="L2238" s="1">
        <v>45275</v>
      </c>
      <c r="M2238" s="1">
        <v>45200</v>
      </c>
      <c r="N2238" s="1">
        <v>45275</v>
      </c>
      <c r="O2238" t="s">
        <v>238</v>
      </c>
      <c r="P2238" t="s">
        <v>23686</v>
      </c>
      <c r="R2238" t="s">
        <v>23687</v>
      </c>
      <c r="T2238" t="s">
        <v>23688</v>
      </c>
      <c r="U2238" t="s">
        <v>158</v>
      </c>
      <c r="V2238" s="8" t="str">
        <f>"48419"</f>
        <v>48419</v>
      </c>
      <c r="W2238" t="s">
        <v>118</v>
      </c>
      <c r="Y2238" s="10">
        <v>18104047607</v>
      </c>
      <c r="AA2238">
        <v>561730</v>
      </c>
      <c r="AB2238" t="s">
        <v>23689</v>
      </c>
      <c r="AC2238" t="s">
        <v>4883</v>
      </c>
      <c r="AD2238" t="s">
        <v>141</v>
      </c>
      <c r="AE2238" t="s">
        <v>654</v>
      </c>
      <c r="AF2238" t="s">
        <v>23687</v>
      </c>
      <c r="AH2238" t="s">
        <v>23688</v>
      </c>
      <c r="AI2238" t="s">
        <v>158</v>
      </c>
      <c r="AJ2238" s="8" t="str">
        <f>"48419"</f>
        <v>48419</v>
      </c>
      <c r="AK2238" t="s">
        <v>118</v>
      </c>
      <c r="AM2238" s="10">
        <v>18104047607</v>
      </c>
      <c r="AO2238" t="s">
        <v>15322</v>
      </c>
      <c r="AP2238" t="s">
        <v>121</v>
      </c>
      <c r="AQ2238" t="s">
        <v>2173</v>
      </c>
      <c r="AR2238" t="s">
        <v>2174</v>
      </c>
      <c r="AS2238" t="s">
        <v>1829</v>
      </c>
      <c r="AT2238" t="s">
        <v>2175</v>
      </c>
      <c r="AV2238" t="s">
        <v>2176</v>
      </c>
      <c r="AW2238" t="s">
        <v>386</v>
      </c>
      <c r="AX2238" s="8" t="str">
        <f>"37110"</f>
        <v>37110</v>
      </c>
      <c r="AY2238" t="s">
        <v>118</v>
      </c>
      <c r="BA2238" s="10">
        <v>19312747811</v>
      </c>
      <c r="BC2238" t="s">
        <v>2177</v>
      </c>
      <c r="BD2238" t="s">
        <v>2178</v>
      </c>
      <c r="BE2238" t="s">
        <v>386</v>
      </c>
      <c r="BF2238" t="s">
        <v>2179</v>
      </c>
      <c r="BG2238" t="s">
        <v>158</v>
      </c>
      <c r="BH2238" s="1">
        <v>45109.833333333336</v>
      </c>
      <c r="BI2238">
        <v>40</v>
      </c>
      <c r="BJ2238">
        <v>0</v>
      </c>
      <c r="BK2238">
        <v>8</v>
      </c>
      <c r="BL2238">
        <v>8</v>
      </c>
      <c r="BM2238">
        <v>8</v>
      </c>
      <c r="BN2238">
        <v>8</v>
      </c>
      <c r="BO2238">
        <v>8</v>
      </c>
      <c r="BP2238">
        <v>0</v>
      </c>
      <c r="BQ2238" t="str">
        <f>"7:00 AM"</f>
        <v>7:00 AM</v>
      </c>
      <c r="BR2238" t="str">
        <f>"4:00 PM"</f>
        <v>4:00 PM</v>
      </c>
      <c r="BS2238" t="s">
        <v>131</v>
      </c>
      <c r="BT2238">
        <v>0</v>
      </c>
      <c r="BU2238">
        <v>3</v>
      </c>
      <c r="BV2238" t="s">
        <v>114</v>
      </c>
      <c r="BX2238" s="2" t="s">
        <v>23690</v>
      </c>
      <c r="BY2238" t="s">
        <v>23687</v>
      </c>
      <c r="CA2238" t="s">
        <v>23688</v>
      </c>
      <c r="CB2238" t="s">
        <v>158</v>
      </c>
      <c r="CC2238" s="8" t="str">
        <f>"48419"</f>
        <v>48419</v>
      </c>
      <c r="CD2238" t="s">
        <v>15323</v>
      </c>
      <c r="CE2238" t="s">
        <v>9793</v>
      </c>
      <c r="CF2238" s="12">
        <v>16.62</v>
      </c>
      <c r="CH2238" s="12">
        <v>24.93</v>
      </c>
      <c r="CJ2238" t="s">
        <v>135</v>
      </c>
      <c r="CK2238" t="s">
        <v>2181</v>
      </c>
      <c r="CL2238" t="s">
        <v>23691</v>
      </c>
      <c r="CO2238" t="s">
        <v>132</v>
      </c>
      <c r="CP2238" t="s">
        <v>136</v>
      </c>
      <c r="CQ2238" t="s">
        <v>136</v>
      </c>
      <c r="CR2238" t="s">
        <v>136</v>
      </c>
      <c r="CS2238" t="s">
        <v>114</v>
      </c>
      <c r="CT2238" t="s">
        <v>136</v>
      </c>
      <c r="CU2238" t="s">
        <v>114</v>
      </c>
      <c r="CV2238" t="s">
        <v>132</v>
      </c>
      <c r="CW2238" s="10" t="str">
        <f>"+18104047607"</f>
        <v>+18104047607</v>
      </c>
      <c r="CX2238" t="s">
        <v>23692</v>
      </c>
      <c r="CY2238" t="s">
        <v>132</v>
      </c>
      <c r="CZ2238" t="s">
        <v>137</v>
      </c>
      <c r="DA2238" t="s">
        <v>114</v>
      </c>
      <c r="DB2238" t="s">
        <v>114</v>
      </c>
      <c r="DC2238" t="s">
        <v>136</v>
      </c>
      <c r="DD2238" t="s">
        <v>114</v>
      </c>
    </row>
    <row r="2239" spans="1:113" ht="15" customHeight="1" x14ac:dyDescent="0.25">
      <c r="A2239" t="s">
        <v>14555</v>
      </c>
      <c r="B2239" t="s">
        <v>885</v>
      </c>
      <c r="C2239" s="1">
        <v>45165.617465277777</v>
      </c>
      <c r="D2239" s="1">
        <v>45224</v>
      </c>
      <c r="E2239" t="s">
        <v>114</v>
      </c>
      <c r="F2239" t="s">
        <v>2866</v>
      </c>
      <c r="G2239" t="str">
        <f>"35-9021.00"</f>
        <v>35-9021.00</v>
      </c>
      <c r="H2239" t="s">
        <v>501</v>
      </c>
      <c r="I2239">
        <v>15</v>
      </c>
      <c r="J2239">
        <v>14</v>
      </c>
      <c r="K2239" s="1">
        <v>45254</v>
      </c>
      <c r="L2239" s="1">
        <v>45396</v>
      </c>
      <c r="M2239" s="1">
        <v>45254</v>
      </c>
      <c r="N2239" s="1">
        <v>45396</v>
      </c>
      <c r="O2239" t="s">
        <v>116</v>
      </c>
      <c r="P2239" t="s">
        <v>11902</v>
      </c>
      <c r="Q2239" t="s">
        <v>11903</v>
      </c>
      <c r="R2239" t="s">
        <v>11904</v>
      </c>
      <c r="T2239" t="s">
        <v>11905</v>
      </c>
      <c r="U2239" t="s">
        <v>188</v>
      </c>
      <c r="V2239" s="8" t="str">
        <f>"80487"</f>
        <v>80487</v>
      </c>
      <c r="W2239" t="s">
        <v>118</v>
      </c>
      <c r="Y2239" s="10">
        <v>19708715138</v>
      </c>
      <c r="AA2239">
        <v>72111</v>
      </c>
      <c r="AB2239" t="s">
        <v>2008</v>
      </c>
      <c r="AC2239" t="s">
        <v>957</v>
      </c>
      <c r="AE2239" t="s">
        <v>9003</v>
      </c>
      <c r="AF2239" t="s">
        <v>11904</v>
      </c>
      <c r="AH2239" t="s">
        <v>11905</v>
      </c>
      <c r="AI2239" t="s">
        <v>188</v>
      </c>
      <c r="AJ2239" s="8" t="str">
        <f>"80487"</f>
        <v>80487</v>
      </c>
      <c r="AK2239" t="s">
        <v>118</v>
      </c>
      <c r="AM2239" s="10">
        <v>19708715138</v>
      </c>
      <c r="AO2239" t="s">
        <v>11906</v>
      </c>
      <c r="AP2239" t="s">
        <v>121</v>
      </c>
      <c r="AQ2239" t="s">
        <v>1675</v>
      </c>
      <c r="AR2239" t="s">
        <v>1676</v>
      </c>
      <c r="AS2239" t="s">
        <v>1677</v>
      </c>
      <c r="AT2239" t="s">
        <v>1678</v>
      </c>
      <c r="AU2239" t="s">
        <v>296</v>
      </c>
      <c r="AV2239" t="s">
        <v>1679</v>
      </c>
      <c r="AW2239" t="s">
        <v>402</v>
      </c>
      <c r="AX2239" s="8" t="str">
        <f>"91361"</f>
        <v>91361</v>
      </c>
      <c r="AY2239" t="s">
        <v>118</v>
      </c>
      <c r="BA2239" s="10">
        <v>18052611393</v>
      </c>
      <c r="BC2239" t="s">
        <v>1680</v>
      </c>
      <c r="BD2239" t="s">
        <v>1681</v>
      </c>
      <c r="BE2239" t="s">
        <v>140</v>
      </c>
      <c r="BF2239" t="s">
        <v>146</v>
      </c>
      <c r="BG2239" t="s">
        <v>188</v>
      </c>
      <c r="BH2239" s="1">
        <v>45164.833333333336</v>
      </c>
      <c r="BI2239">
        <v>35</v>
      </c>
      <c r="BJ2239">
        <v>5</v>
      </c>
      <c r="BK2239">
        <v>5</v>
      </c>
      <c r="BL2239">
        <v>5</v>
      </c>
      <c r="BM2239">
        <v>5</v>
      </c>
      <c r="BN2239">
        <v>5</v>
      </c>
      <c r="BO2239">
        <v>5</v>
      </c>
      <c r="BP2239">
        <v>5</v>
      </c>
      <c r="BQ2239" t="str">
        <f>"7:00 AM"</f>
        <v>7:00 AM</v>
      </c>
      <c r="BR2239" t="str">
        <f>"11:00 PM"</f>
        <v>11:00 PM</v>
      </c>
      <c r="BS2239" t="s">
        <v>131</v>
      </c>
      <c r="BT2239">
        <v>0</v>
      </c>
      <c r="BU2239">
        <v>0</v>
      </c>
      <c r="BV2239" t="s">
        <v>114</v>
      </c>
      <c r="BX2239" s="2" t="s">
        <v>14556</v>
      </c>
      <c r="BY2239" t="s">
        <v>11904</v>
      </c>
      <c r="CA2239" t="s">
        <v>11905</v>
      </c>
      <c r="CB2239" t="s">
        <v>188</v>
      </c>
      <c r="CC2239" s="8" t="str">
        <f>"80487"</f>
        <v>80487</v>
      </c>
      <c r="CD2239" t="s">
        <v>11908</v>
      </c>
      <c r="CE2239" t="s">
        <v>1038</v>
      </c>
      <c r="CF2239" s="12">
        <v>14.96</v>
      </c>
      <c r="CG2239" s="12">
        <v>21</v>
      </c>
      <c r="CH2239" s="12">
        <v>22.44</v>
      </c>
      <c r="CI2239" s="12">
        <v>31.5</v>
      </c>
      <c r="CJ2239" t="s">
        <v>135</v>
      </c>
      <c r="CK2239" t="s">
        <v>14557</v>
      </c>
      <c r="CL2239" t="s">
        <v>14558</v>
      </c>
      <c r="CO2239" t="s">
        <v>132</v>
      </c>
      <c r="CP2239" t="s">
        <v>114</v>
      </c>
      <c r="CQ2239" t="s">
        <v>136</v>
      </c>
      <c r="CR2239" t="s">
        <v>136</v>
      </c>
      <c r="CS2239" t="s">
        <v>136</v>
      </c>
      <c r="CT2239" t="s">
        <v>136</v>
      </c>
      <c r="CU2239" t="s">
        <v>136</v>
      </c>
      <c r="CV2239" s="2" t="s">
        <v>14559</v>
      </c>
      <c r="CW2239" s="10" t="str">
        <f>"+19708715138"</f>
        <v>+19708715138</v>
      </c>
      <c r="CX2239" t="s">
        <v>11906</v>
      </c>
      <c r="CY2239" t="s">
        <v>132</v>
      </c>
      <c r="CZ2239" t="s">
        <v>137</v>
      </c>
      <c r="DA2239" t="s">
        <v>114</v>
      </c>
      <c r="DB2239" t="s">
        <v>114</v>
      </c>
      <c r="DC2239" t="s">
        <v>136</v>
      </c>
      <c r="DD2239" t="s">
        <v>114</v>
      </c>
    </row>
    <row r="2240" spans="1:113" ht="15" customHeight="1" x14ac:dyDescent="0.25">
      <c r="A2240" t="s">
        <v>17270</v>
      </c>
      <c r="B2240" t="s">
        <v>885</v>
      </c>
      <c r="C2240" s="1">
        <v>45155.603448032409</v>
      </c>
      <c r="D2240" s="1">
        <v>45224</v>
      </c>
      <c r="E2240" t="s">
        <v>114</v>
      </c>
      <c r="F2240" t="s">
        <v>17271</v>
      </c>
      <c r="G2240" t="str">
        <f>"35-2014.00"</f>
        <v>35-2014.00</v>
      </c>
      <c r="H2240" t="s">
        <v>154</v>
      </c>
      <c r="I2240">
        <v>7</v>
      </c>
      <c r="J2240">
        <v>6</v>
      </c>
      <c r="K2240" s="1">
        <v>45231</v>
      </c>
      <c r="L2240" s="1">
        <v>45413</v>
      </c>
      <c r="M2240" s="1">
        <v>45231</v>
      </c>
      <c r="N2240" s="1">
        <v>45413</v>
      </c>
      <c r="O2240" t="s">
        <v>116</v>
      </c>
      <c r="P2240" t="s">
        <v>11846</v>
      </c>
      <c r="R2240" t="s">
        <v>11847</v>
      </c>
      <c r="T2240" t="s">
        <v>8434</v>
      </c>
      <c r="U2240" t="s">
        <v>140</v>
      </c>
      <c r="V2240" s="8" t="str">
        <f>"34972"</f>
        <v>34972</v>
      </c>
      <c r="W2240" t="s">
        <v>118</v>
      </c>
      <c r="Y2240" s="10">
        <v>18633571619</v>
      </c>
      <c r="AA2240">
        <v>722511</v>
      </c>
      <c r="AB2240" t="s">
        <v>17272</v>
      </c>
      <c r="AC2240" t="s">
        <v>2733</v>
      </c>
      <c r="AE2240" t="s">
        <v>561</v>
      </c>
      <c r="AF2240" t="s">
        <v>11847</v>
      </c>
      <c r="AH2240" t="s">
        <v>8434</v>
      </c>
      <c r="AI2240" t="s">
        <v>140</v>
      </c>
      <c r="AJ2240" s="8" t="str">
        <f>"34972"</f>
        <v>34972</v>
      </c>
      <c r="AK2240" t="s">
        <v>118</v>
      </c>
      <c r="AM2240" s="10">
        <v>18633571619</v>
      </c>
      <c r="AO2240" t="s">
        <v>11852</v>
      </c>
      <c r="AP2240" t="s">
        <v>121</v>
      </c>
      <c r="AQ2240" t="s">
        <v>5567</v>
      </c>
      <c r="AR2240" t="s">
        <v>11853</v>
      </c>
      <c r="AS2240" t="s">
        <v>2356</v>
      </c>
      <c r="AT2240" t="s">
        <v>11854</v>
      </c>
      <c r="AU2240" t="s">
        <v>11855</v>
      </c>
      <c r="AV2240" t="s">
        <v>11856</v>
      </c>
      <c r="AW2240" t="s">
        <v>222</v>
      </c>
      <c r="AX2240" s="8" t="str">
        <f>"02108"</f>
        <v>02108</v>
      </c>
      <c r="AY2240" t="s">
        <v>118</v>
      </c>
      <c r="BA2240" s="10">
        <v>16172272915</v>
      </c>
      <c r="BC2240" t="s">
        <v>11857</v>
      </c>
      <c r="BD2240" t="s">
        <v>11858</v>
      </c>
      <c r="BE2240" t="s">
        <v>222</v>
      </c>
      <c r="BF2240" t="s">
        <v>11859</v>
      </c>
      <c r="BG2240" t="s">
        <v>140</v>
      </c>
      <c r="BH2240" s="1">
        <v>45154.833333333336</v>
      </c>
      <c r="BI2240">
        <v>40</v>
      </c>
      <c r="BJ2240">
        <v>0</v>
      </c>
      <c r="BK2240">
        <v>8</v>
      </c>
      <c r="BL2240">
        <v>0</v>
      </c>
      <c r="BM2240">
        <v>8</v>
      </c>
      <c r="BN2240">
        <v>8</v>
      </c>
      <c r="BO2240">
        <v>8</v>
      </c>
      <c r="BP2240">
        <v>8</v>
      </c>
      <c r="BQ2240" t="str">
        <f>"10:00 AM"</f>
        <v>10:00 AM</v>
      </c>
      <c r="BR2240" t="str">
        <f>"6:00 PM"</f>
        <v>6:00 PM</v>
      </c>
      <c r="BS2240" t="s">
        <v>131</v>
      </c>
      <c r="BT2240">
        <v>0</v>
      </c>
      <c r="BU2240">
        <v>0</v>
      </c>
      <c r="BV2240" t="s">
        <v>114</v>
      </c>
      <c r="BX2240" t="s">
        <v>1789</v>
      </c>
      <c r="BY2240" t="s">
        <v>17273</v>
      </c>
      <c r="CA2240" t="s">
        <v>17274</v>
      </c>
      <c r="CB2240" t="s">
        <v>140</v>
      </c>
      <c r="CC2240" s="8" t="str">
        <f>"34972"</f>
        <v>34972</v>
      </c>
      <c r="CD2240" t="s">
        <v>8435</v>
      </c>
      <c r="CE2240" t="s">
        <v>304</v>
      </c>
      <c r="CF2240" s="12">
        <v>17</v>
      </c>
      <c r="CG2240" s="12">
        <v>17</v>
      </c>
      <c r="CH2240" s="12">
        <v>25.5</v>
      </c>
      <c r="CI2240" s="12">
        <v>25.5</v>
      </c>
      <c r="CJ2240" t="s">
        <v>135</v>
      </c>
      <c r="CK2240" t="s">
        <v>17275</v>
      </c>
      <c r="CL2240" t="s">
        <v>17276</v>
      </c>
      <c r="CO2240" t="s">
        <v>132</v>
      </c>
      <c r="CP2240" t="s">
        <v>114</v>
      </c>
      <c r="CQ2240" t="s">
        <v>114</v>
      </c>
      <c r="CR2240" t="s">
        <v>136</v>
      </c>
      <c r="CS2240" t="s">
        <v>136</v>
      </c>
      <c r="CT2240" t="s">
        <v>136</v>
      </c>
      <c r="CU2240" t="s">
        <v>136</v>
      </c>
      <c r="CV2240" t="s">
        <v>4093</v>
      </c>
      <c r="CW2240" s="10" t="str">
        <f>"+18638012757"</f>
        <v>+18638012757</v>
      </c>
      <c r="CX2240" t="s">
        <v>11862</v>
      </c>
      <c r="CY2240" t="s">
        <v>132</v>
      </c>
      <c r="CZ2240" t="s">
        <v>137</v>
      </c>
      <c r="DA2240" t="s">
        <v>114</v>
      </c>
      <c r="DB2240" t="s">
        <v>114</v>
      </c>
      <c r="DC2240" t="s">
        <v>136</v>
      </c>
      <c r="DD2240" t="s">
        <v>114</v>
      </c>
    </row>
    <row r="2241" spans="1:113" ht="15" customHeight="1" x14ac:dyDescent="0.25">
      <c r="A2241" t="s">
        <v>16721</v>
      </c>
      <c r="B2241" t="s">
        <v>885</v>
      </c>
      <c r="C2241" s="1">
        <v>45171.02460300926</v>
      </c>
      <c r="D2241" s="1">
        <v>45222</v>
      </c>
      <c r="E2241" t="s">
        <v>132</v>
      </c>
      <c r="F2241" t="s">
        <v>5631</v>
      </c>
      <c r="G2241" t="str">
        <f>"47-4051.00"</f>
        <v>47-4051.00</v>
      </c>
      <c r="H2241" t="s">
        <v>5632</v>
      </c>
      <c r="I2241">
        <v>28</v>
      </c>
      <c r="J2241">
        <v>27</v>
      </c>
      <c r="K2241" s="1">
        <v>45261</v>
      </c>
      <c r="L2241" s="1">
        <v>45564</v>
      </c>
      <c r="M2241" s="1">
        <v>45261</v>
      </c>
      <c r="N2241" s="1">
        <v>45564</v>
      </c>
      <c r="O2241" t="s">
        <v>116</v>
      </c>
      <c r="P2241" t="s">
        <v>16722</v>
      </c>
      <c r="R2241" t="s">
        <v>16723</v>
      </c>
      <c r="T2241" t="s">
        <v>16724</v>
      </c>
      <c r="U2241" t="s">
        <v>375</v>
      </c>
      <c r="V2241" s="8" t="str">
        <f>"28012"</f>
        <v>28012</v>
      </c>
      <c r="W2241" t="s">
        <v>118</v>
      </c>
      <c r="Y2241" s="10">
        <v>17047186669</v>
      </c>
      <c r="AA2241">
        <v>56173</v>
      </c>
      <c r="AB2241" t="s">
        <v>16725</v>
      </c>
      <c r="AC2241" t="s">
        <v>8136</v>
      </c>
      <c r="AE2241" t="s">
        <v>629</v>
      </c>
      <c r="AF2241" t="s">
        <v>16723</v>
      </c>
      <c r="AH2241" t="s">
        <v>16724</v>
      </c>
      <c r="AI2241" t="s">
        <v>375</v>
      </c>
      <c r="AJ2241" s="8" t="str">
        <f>"28012"</f>
        <v>28012</v>
      </c>
      <c r="AK2241" t="s">
        <v>118</v>
      </c>
      <c r="AM2241" s="10">
        <v>17047186669</v>
      </c>
      <c r="AO2241" t="s">
        <v>16726</v>
      </c>
      <c r="AP2241" t="s">
        <v>248</v>
      </c>
      <c r="AQ2241" t="s">
        <v>849</v>
      </c>
      <c r="AR2241" t="s">
        <v>850</v>
      </c>
      <c r="AS2241" t="s">
        <v>132</v>
      </c>
      <c r="AT2241" t="s">
        <v>851</v>
      </c>
      <c r="AU2241" t="s">
        <v>852</v>
      </c>
      <c r="AV2241" t="s">
        <v>853</v>
      </c>
      <c r="AW2241" t="s">
        <v>854</v>
      </c>
      <c r="AX2241" s="8" t="str">
        <f>"83814"</f>
        <v>83814</v>
      </c>
      <c r="AY2241" t="s">
        <v>118</v>
      </c>
      <c r="BA2241" s="10">
        <v>12087772654</v>
      </c>
      <c r="BC2241" t="s">
        <v>855</v>
      </c>
      <c r="BD2241" t="s">
        <v>856</v>
      </c>
      <c r="BG2241" t="s">
        <v>375</v>
      </c>
      <c r="BH2241" s="1">
        <v>45169.833333333336</v>
      </c>
      <c r="BI2241">
        <v>40</v>
      </c>
      <c r="BJ2241">
        <v>0</v>
      </c>
      <c r="BK2241">
        <v>8</v>
      </c>
      <c r="BL2241">
        <v>8</v>
      </c>
      <c r="BM2241">
        <v>8</v>
      </c>
      <c r="BN2241">
        <v>8</v>
      </c>
      <c r="BO2241">
        <v>8</v>
      </c>
      <c r="BP2241">
        <v>0</v>
      </c>
      <c r="BQ2241" t="str">
        <f>"7:00 AM"</f>
        <v>7:00 AM</v>
      </c>
      <c r="BR2241" t="str">
        <f>"10:00 PM"</f>
        <v>10:00 PM</v>
      </c>
      <c r="BS2241" t="s">
        <v>131</v>
      </c>
      <c r="BT2241">
        <v>0</v>
      </c>
      <c r="BU2241">
        <v>0</v>
      </c>
      <c r="BV2241" t="s">
        <v>114</v>
      </c>
      <c r="BX2241" s="2" t="s">
        <v>7200</v>
      </c>
      <c r="BY2241" t="s">
        <v>16727</v>
      </c>
      <c r="CA2241" t="s">
        <v>16728</v>
      </c>
      <c r="CB2241" t="s">
        <v>375</v>
      </c>
      <c r="CC2241" s="8" t="str">
        <f>"28056"</f>
        <v>28056</v>
      </c>
      <c r="CD2241" t="s">
        <v>3393</v>
      </c>
      <c r="CE2241" t="s">
        <v>2940</v>
      </c>
      <c r="CF2241" s="12">
        <v>15.93</v>
      </c>
      <c r="CG2241" s="12">
        <v>21.14</v>
      </c>
      <c r="CH2241" s="12">
        <v>23.9</v>
      </c>
      <c r="CI2241" s="12">
        <v>31.71</v>
      </c>
      <c r="CJ2241" t="s">
        <v>135</v>
      </c>
      <c r="CK2241" t="s">
        <v>2793</v>
      </c>
      <c r="CL2241" t="s">
        <v>16729</v>
      </c>
      <c r="CO2241" t="s">
        <v>132</v>
      </c>
      <c r="CP2241" t="s">
        <v>136</v>
      </c>
      <c r="CQ2241" t="s">
        <v>136</v>
      </c>
      <c r="CR2241" t="s">
        <v>136</v>
      </c>
      <c r="CS2241" t="s">
        <v>136</v>
      </c>
      <c r="CT2241" t="s">
        <v>136</v>
      </c>
      <c r="CU2241" t="s">
        <v>136</v>
      </c>
      <c r="CV2241" t="s">
        <v>1040</v>
      </c>
      <c r="CW2241" s="10" t="str">
        <f>"+17047181414"</f>
        <v>+17047181414</v>
      </c>
      <c r="CX2241" t="s">
        <v>16726</v>
      </c>
      <c r="CY2241" t="s">
        <v>132</v>
      </c>
      <c r="CZ2241" t="s">
        <v>137</v>
      </c>
      <c r="DA2241" t="s">
        <v>114</v>
      </c>
      <c r="DB2241" t="s">
        <v>136</v>
      </c>
      <c r="DC2241" t="s">
        <v>136</v>
      </c>
      <c r="DD2241" t="s">
        <v>114</v>
      </c>
    </row>
    <row r="2242" spans="1:113" ht="15" customHeight="1" x14ac:dyDescent="0.25">
      <c r="A2242" t="s">
        <v>16928</v>
      </c>
      <c r="B2242" t="s">
        <v>885</v>
      </c>
      <c r="C2242" s="1">
        <v>45155.523748495369</v>
      </c>
      <c r="D2242" s="1">
        <v>45222</v>
      </c>
      <c r="E2242" t="s">
        <v>114</v>
      </c>
      <c r="F2242" t="s">
        <v>16929</v>
      </c>
      <c r="G2242" t="str">
        <f>"37-3011.00"</f>
        <v>37-3011.00</v>
      </c>
      <c r="H2242" t="s">
        <v>429</v>
      </c>
      <c r="I2242">
        <v>185</v>
      </c>
      <c r="J2242">
        <v>184</v>
      </c>
      <c r="K2242" s="1">
        <v>45245</v>
      </c>
      <c r="L2242" s="1">
        <v>45473</v>
      </c>
      <c r="M2242" s="1">
        <v>45245</v>
      </c>
      <c r="N2242" s="1">
        <v>45473</v>
      </c>
      <c r="O2242" t="s">
        <v>238</v>
      </c>
      <c r="P2242" t="s">
        <v>16930</v>
      </c>
      <c r="R2242" t="s">
        <v>16931</v>
      </c>
      <c r="T2242" t="s">
        <v>10889</v>
      </c>
      <c r="U2242" t="s">
        <v>1691</v>
      </c>
      <c r="V2242" s="8" t="str">
        <f>"29550"</f>
        <v>29550</v>
      </c>
      <c r="W2242" t="s">
        <v>118</v>
      </c>
      <c r="Y2242" s="10">
        <v>18433357508</v>
      </c>
      <c r="AA2242">
        <v>56173</v>
      </c>
      <c r="AB2242" t="s">
        <v>16932</v>
      </c>
      <c r="AC2242" t="s">
        <v>957</v>
      </c>
      <c r="AD2242" t="s">
        <v>132</v>
      </c>
      <c r="AE2242" t="s">
        <v>9382</v>
      </c>
      <c r="AF2242" t="s">
        <v>16931</v>
      </c>
      <c r="AH2242" t="s">
        <v>10889</v>
      </c>
      <c r="AI2242" t="s">
        <v>1691</v>
      </c>
      <c r="AJ2242" s="8" t="str">
        <f>"29550"</f>
        <v>29550</v>
      </c>
      <c r="AK2242" t="s">
        <v>118</v>
      </c>
      <c r="AM2242" s="10">
        <v>18433357508</v>
      </c>
      <c r="AO2242" t="s">
        <v>16933</v>
      </c>
      <c r="AP2242" t="s">
        <v>248</v>
      </c>
      <c r="AQ2242" t="s">
        <v>1030</v>
      </c>
      <c r="AR2242" t="s">
        <v>1031</v>
      </c>
      <c r="AS2242" t="s">
        <v>132</v>
      </c>
      <c r="AT2242" t="s">
        <v>1032</v>
      </c>
      <c r="AU2242" t="s">
        <v>852</v>
      </c>
      <c r="AV2242" t="s">
        <v>1033</v>
      </c>
      <c r="AW2242" t="s">
        <v>854</v>
      </c>
      <c r="AX2242" s="8" t="str">
        <f>"83814"</f>
        <v>83814</v>
      </c>
      <c r="AY2242" t="s">
        <v>118</v>
      </c>
      <c r="BA2242" s="10">
        <v>12087772654</v>
      </c>
      <c r="BC2242" t="s">
        <v>1034</v>
      </c>
      <c r="BD2242" t="s">
        <v>856</v>
      </c>
      <c r="BG2242" t="s">
        <v>1691</v>
      </c>
      <c r="BH2242" s="1">
        <v>45126.833333333336</v>
      </c>
      <c r="BI2242">
        <v>40</v>
      </c>
      <c r="BJ2242">
        <v>0</v>
      </c>
      <c r="BK2242">
        <v>8</v>
      </c>
      <c r="BL2242">
        <v>8</v>
      </c>
      <c r="BM2242">
        <v>8</v>
      </c>
      <c r="BN2242">
        <v>8</v>
      </c>
      <c r="BO2242">
        <v>8</v>
      </c>
      <c r="BP2242">
        <v>0</v>
      </c>
      <c r="BQ2242" t="str">
        <f>"8:00 AM"</f>
        <v>8:00 AM</v>
      </c>
      <c r="BR2242" t="str">
        <f>"5:00 PM"</f>
        <v>5:00 PM</v>
      </c>
      <c r="BS2242" t="s">
        <v>131</v>
      </c>
      <c r="BT2242">
        <v>0</v>
      </c>
      <c r="BU2242">
        <v>0</v>
      </c>
      <c r="BV2242" t="s">
        <v>114</v>
      </c>
      <c r="BX2242" s="2" t="s">
        <v>16934</v>
      </c>
      <c r="BY2242" t="s">
        <v>16935</v>
      </c>
      <c r="CA2242" t="s">
        <v>10889</v>
      </c>
      <c r="CB2242" t="s">
        <v>1691</v>
      </c>
      <c r="CC2242" s="8" t="str">
        <f>"29550"</f>
        <v>29550</v>
      </c>
      <c r="CD2242" t="s">
        <v>3497</v>
      </c>
      <c r="CE2242" t="s">
        <v>4991</v>
      </c>
      <c r="CF2242" s="12">
        <v>14.66</v>
      </c>
      <c r="CH2242" s="12">
        <v>21.99</v>
      </c>
      <c r="CJ2242" t="s">
        <v>135</v>
      </c>
      <c r="CK2242" t="s">
        <v>132</v>
      </c>
      <c r="CL2242" t="s">
        <v>16936</v>
      </c>
      <c r="CO2242" t="s">
        <v>132</v>
      </c>
      <c r="CP2242" t="s">
        <v>136</v>
      </c>
      <c r="CQ2242" t="s">
        <v>136</v>
      </c>
      <c r="CR2242" t="s">
        <v>136</v>
      </c>
      <c r="CS2242" t="s">
        <v>136</v>
      </c>
      <c r="CT2242" t="s">
        <v>136</v>
      </c>
      <c r="CU2242" t="s">
        <v>136</v>
      </c>
      <c r="CV2242" t="s">
        <v>16937</v>
      </c>
      <c r="CW2242" s="10" t="str">
        <f>"+18433357508"</f>
        <v>+18433357508</v>
      </c>
      <c r="CX2242" t="s">
        <v>16938</v>
      </c>
      <c r="CY2242" t="s">
        <v>132</v>
      </c>
      <c r="CZ2242" t="s">
        <v>137</v>
      </c>
      <c r="DA2242" t="s">
        <v>114</v>
      </c>
      <c r="DB2242" t="s">
        <v>136</v>
      </c>
      <c r="DC2242" t="s">
        <v>136</v>
      </c>
      <c r="DD2242" t="s">
        <v>114</v>
      </c>
    </row>
    <row r="2243" spans="1:113" ht="15" customHeight="1" x14ac:dyDescent="0.25">
      <c r="A2243" t="s">
        <v>19310</v>
      </c>
      <c r="B2243" t="s">
        <v>885</v>
      </c>
      <c r="C2243" s="1">
        <v>45160.391167939815</v>
      </c>
      <c r="D2243" s="1">
        <v>45217</v>
      </c>
      <c r="E2243" t="s">
        <v>114</v>
      </c>
      <c r="F2243" t="s">
        <v>2715</v>
      </c>
      <c r="G2243" t="str">
        <f>"39-3091.00"</f>
        <v>39-3091.00</v>
      </c>
      <c r="H2243" t="s">
        <v>237</v>
      </c>
      <c r="I2243">
        <v>45</v>
      </c>
      <c r="J2243">
        <v>44</v>
      </c>
      <c r="K2243" s="1">
        <v>45250</v>
      </c>
      <c r="L2243" s="1">
        <v>45555</v>
      </c>
      <c r="M2243" s="1">
        <v>45250</v>
      </c>
      <c r="N2243" s="1">
        <v>45555</v>
      </c>
      <c r="O2243" t="s">
        <v>238</v>
      </c>
      <c r="P2243" t="s">
        <v>19311</v>
      </c>
      <c r="R2243" t="s">
        <v>19312</v>
      </c>
      <c r="T2243" t="s">
        <v>19313</v>
      </c>
      <c r="U2243" t="s">
        <v>127</v>
      </c>
      <c r="V2243" s="8" t="str">
        <f>"76148"</f>
        <v>76148</v>
      </c>
      <c r="W2243" t="s">
        <v>118</v>
      </c>
      <c r="Y2243" s="10">
        <v>18178329832</v>
      </c>
      <c r="Z2243">
        <v>0</v>
      </c>
      <c r="AA2243">
        <v>71399</v>
      </c>
      <c r="AB2243" t="s">
        <v>19314</v>
      </c>
      <c r="AC2243" t="s">
        <v>2009</v>
      </c>
      <c r="AE2243" t="s">
        <v>629</v>
      </c>
      <c r="AF2243" t="s">
        <v>19312</v>
      </c>
      <c r="AH2243" t="s">
        <v>19313</v>
      </c>
      <c r="AI2243" t="s">
        <v>127</v>
      </c>
      <c r="AJ2243" s="8" t="str">
        <f>"76148"</f>
        <v>76148</v>
      </c>
      <c r="AK2243" t="s">
        <v>118</v>
      </c>
      <c r="AM2243" s="10">
        <v>18178329832</v>
      </c>
      <c r="AN2243">
        <v>0</v>
      </c>
      <c r="AO2243" t="s">
        <v>19315</v>
      </c>
      <c r="AP2243" t="s">
        <v>121</v>
      </c>
      <c r="AQ2243" t="s">
        <v>1718</v>
      </c>
      <c r="AR2243" t="s">
        <v>708</v>
      </c>
      <c r="AS2243" t="s">
        <v>1719</v>
      </c>
      <c r="AT2243" t="s">
        <v>1720</v>
      </c>
      <c r="AU2243" t="s">
        <v>799</v>
      </c>
      <c r="AV2243" t="s">
        <v>1721</v>
      </c>
      <c r="AW2243" t="s">
        <v>1722</v>
      </c>
      <c r="AX2243" s="8" t="str">
        <f>"21401"</f>
        <v>21401</v>
      </c>
      <c r="AY2243" t="s">
        <v>118</v>
      </c>
      <c r="BA2243" s="10">
        <v>14105739955</v>
      </c>
      <c r="BB2243">
        <v>0</v>
      </c>
      <c r="BC2243" t="s">
        <v>1723</v>
      </c>
      <c r="BD2243" t="s">
        <v>1724</v>
      </c>
      <c r="BE2243" t="s">
        <v>1722</v>
      </c>
      <c r="BF2243" t="s">
        <v>1725</v>
      </c>
      <c r="BG2243" t="s">
        <v>127</v>
      </c>
      <c r="BH2243" s="1">
        <v>45155.833333333336</v>
      </c>
      <c r="BI2243">
        <v>35</v>
      </c>
      <c r="BJ2243">
        <v>7</v>
      </c>
      <c r="BK2243">
        <v>0</v>
      </c>
      <c r="BL2243">
        <v>0</v>
      </c>
      <c r="BM2243">
        <v>7</v>
      </c>
      <c r="BN2243">
        <v>7</v>
      </c>
      <c r="BO2243">
        <v>7</v>
      </c>
      <c r="BP2243">
        <v>7</v>
      </c>
      <c r="BQ2243" t="str">
        <f>"4:00 PM"</f>
        <v>4:00 PM</v>
      </c>
      <c r="BR2243" t="str">
        <f>"11:00 PM"</f>
        <v>11:00 PM</v>
      </c>
      <c r="BS2243" t="s">
        <v>131</v>
      </c>
      <c r="BT2243">
        <v>0</v>
      </c>
      <c r="BU2243">
        <v>0</v>
      </c>
      <c r="BV2243" t="s">
        <v>114</v>
      </c>
      <c r="BX2243" s="2" t="s">
        <v>19316</v>
      </c>
      <c r="BY2243" t="s">
        <v>19317</v>
      </c>
      <c r="CA2243" t="s">
        <v>9622</v>
      </c>
      <c r="CB2243" t="s">
        <v>127</v>
      </c>
      <c r="CC2243" s="8" t="str">
        <f>"75052"</f>
        <v>75052</v>
      </c>
      <c r="CD2243" t="s">
        <v>262</v>
      </c>
      <c r="CE2243" t="s">
        <v>263</v>
      </c>
      <c r="CF2243" s="12">
        <v>10.039999999999999</v>
      </c>
      <c r="CG2243" s="12">
        <v>15.62</v>
      </c>
      <c r="CH2243" s="12">
        <v>15.06</v>
      </c>
      <c r="CI2243" s="12">
        <v>23.43</v>
      </c>
      <c r="CJ2243" t="s">
        <v>135</v>
      </c>
      <c r="CK2243" t="s">
        <v>4224</v>
      </c>
      <c r="CL2243" t="s">
        <v>19318</v>
      </c>
      <c r="CO2243" t="s">
        <v>132</v>
      </c>
      <c r="CP2243" t="s">
        <v>136</v>
      </c>
      <c r="CQ2243" t="s">
        <v>114</v>
      </c>
      <c r="CR2243" t="s">
        <v>114</v>
      </c>
      <c r="CS2243" t="s">
        <v>136</v>
      </c>
      <c r="CT2243" t="s">
        <v>136</v>
      </c>
      <c r="CU2243" t="s">
        <v>136</v>
      </c>
      <c r="CV2243" t="s">
        <v>19319</v>
      </c>
      <c r="CW2243" s="10" t="str">
        <f>"+18178329832"</f>
        <v>+18178329832</v>
      </c>
      <c r="CX2243" t="s">
        <v>19320</v>
      </c>
      <c r="CY2243" t="s">
        <v>132</v>
      </c>
      <c r="CZ2243" t="s">
        <v>137</v>
      </c>
      <c r="DA2243" t="s">
        <v>114</v>
      </c>
      <c r="DB2243" t="s">
        <v>136</v>
      </c>
      <c r="DC2243" t="s">
        <v>136</v>
      </c>
      <c r="DD2243" t="s">
        <v>114</v>
      </c>
    </row>
    <row r="2244" spans="1:113" ht="15" customHeight="1" x14ac:dyDescent="0.25">
      <c r="A2244" t="s">
        <v>15467</v>
      </c>
      <c r="B2244" t="s">
        <v>885</v>
      </c>
      <c r="C2244" s="1">
        <v>45148.595950462965</v>
      </c>
      <c r="D2244" s="1">
        <v>45216</v>
      </c>
      <c r="E2244" t="s">
        <v>114</v>
      </c>
      <c r="F2244" t="s">
        <v>15468</v>
      </c>
      <c r="G2244" t="str">
        <f>"37-2012.00"</f>
        <v>37-2012.00</v>
      </c>
      <c r="H2244" t="s">
        <v>205</v>
      </c>
      <c r="I2244">
        <v>30</v>
      </c>
      <c r="J2244">
        <v>26</v>
      </c>
      <c r="K2244" s="1">
        <v>45231</v>
      </c>
      <c r="L2244" s="1">
        <v>45412</v>
      </c>
      <c r="M2244" s="1">
        <v>45231</v>
      </c>
      <c r="N2244" s="1">
        <v>45412</v>
      </c>
      <c r="O2244" t="s">
        <v>116</v>
      </c>
      <c r="P2244" t="s">
        <v>155</v>
      </c>
      <c r="R2244" t="s">
        <v>156</v>
      </c>
      <c r="T2244" t="s">
        <v>157</v>
      </c>
      <c r="U2244" t="s">
        <v>158</v>
      </c>
      <c r="V2244" s="8" t="str">
        <f>"49713"</f>
        <v>49713</v>
      </c>
      <c r="W2244" t="s">
        <v>118</v>
      </c>
      <c r="Y2244" s="10">
        <v>18556887024</v>
      </c>
      <c r="AA2244">
        <v>721110</v>
      </c>
      <c r="AB2244" t="s">
        <v>159</v>
      </c>
      <c r="AC2244" t="s">
        <v>160</v>
      </c>
      <c r="AE2244" t="s">
        <v>161</v>
      </c>
      <c r="AF2244" t="s">
        <v>156</v>
      </c>
      <c r="AH2244" t="s">
        <v>157</v>
      </c>
      <c r="AI2244" t="s">
        <v>158</v>
      </c>
      <c r="AJ2244" s="8" t="str">
        <f>"49713"</f>
        <v>49713</v>
      </c>
      <c r="AK2244" t="s">
        <v>118</v>
      </c>
      <c r="AM2244" s="10">
        <v>12315496095</v>
      </c>
      <c r="AO2244" t="s">
        <v>162</v>
      </c>
      <c r="AP2244" t="s">
        <v>121</v>
      </c>
      <c r="AQ2244" t="s">
        <v>163</v>
      </c>
      <c r="AR2244" t="s">
        <v>164</v>
      </c>
      <c r="AS2244" t="s">
        <v>165</v>
      </c>
      <c r="AT2244" t="s">
        <v>166</v>
      </c>
      <c r="AU2244" t="s">
        <v>167</v>
      </c>
      <c r="AV2244" t="s">
        <v>168</v>
      </c>
      <c r="AW2244" t="s">
        <v>169</v>
      </c>
      <c r="AX2244" s="8" t="str">
        <f>"55402"</f>
        <v>55402</v>
      </c>
      <c r="AY2244" t="s">
        <v>118</v>
      </c>
      <c r="BA2244" s="10">
        <v>16124927165</v>
      </c>
      <c r="BC2244" t="s">
        <v>170</v>
      </c>
      <c r="BD2244" t="s">
        <v>171</v>
      </c>
      <c r="BE2244" t="s">
        <v>169</v>
      </c>
      <c r="BF2244" t="s">
        <v>172</v>
      </c>
      <c r="BG2244" t="s">
        <v>158</v>
      </c>
      <c r="BH2244" s="1">
        <v>45147.833333333336</v>
      </c>
      <c r="BI2244">
        <v>35</v>
      </c>
      <c r="BJ2244">
        <v>7</v>
      </c>
      <c r="BK2244">
        <v>7</v>
      </c>
      <c r="BL2244">
        <v>7</v>
      </c>
      <c r="BM2244">
        <v>7</v>
      </c>
      <c r="BN2244">
        <v>7</v>
      </c>
      <c r="BO2244">
        <v>0</v>
      </c>
      <c r="BP2244">
        <v>0</v>
      </c>
      <c r="BQ2244" t="str">
        <f>"8:00 AM"</f>
        <v>8:00 AM</v>
      </c>
      <c r="BR2244" t="str">
        <f>"6:00 PM"</f>
        <v>6:00 PM</v>
      </c>
      <c r="BS2244" t="s">
        <v>131</v>
      </c>
      <c r="BT2244">
        <v>0</v>
      </c>
      <c r="BU2244">
        <v>0</v>
      </c>
      <c r="BV2244" t="s">
        <v>114</v>
      </c>
      <c r="BX2244" s="2" t="s">
        <v>15469</v>
      </c>
      <c r="BY2244" t="s">
        <v>156</v>
      </c>
      <c r="CA2244" t="s">
        <v>157</v>
      </c>
      <c r="CB2244" t="s">
        <v>158</v>
      </c>
      <c r="CC2244" s="8" t="str">
        <f>"49713"</f>
        <v>49713</v>
      </c>
      <c r="CD2244" t="s">
        <v>174</v>
      </c>
      <c r="CE2244" t="s">
        <v>175</v>
      </c>
      <c r="CF2244" s="12">
        <v>16</v>
      </c>
      <c r="CH2244" s="12">
        <v>24</v>
      </c>
      <c r="CJ2244" t="s">
        <v>135</v>
      </c>
      <c r="CK2244" t="s">
        <v>176</v>
      </c>
      <c r="CL2244" t="s">
        <v>15470</v>
      </c>
      <c r="CO2244" t="s">
        <v>132</v>
      </c>
      <c r="CP2244" t="s">
        <v>114</v>
      </c>
      <c r="CQ2244" t="s">
        <v>136</v>
      </c>
      <c r="CR2244" t="s">
        <v>136</v>
      </c>
      <c r="CS2244" t="s">
        <v>136</v>
      </c>
      <c r="CT2244" t="s">
        <v>136</v>
      </c>
      <c r="CU2244" t="s">
        <v>136</v>
      </c>
      <c r="CV2244" s="2" t="s">
        <v>178</v>
      </c>
      <c r="CW2244" s="10" t="str">
        <f>"N/A"</f>
        <v>N/A</v>
      </c>
      <c r="CX2244" t="s">
        <v>179</v>
      </c>
      <c r="CY2244" t="s">
        <v>15471</v>
      </c>
      <c r="CZ2244" t="s">
        <v>137</v>
      </c>
      <c r="DA2244" t="s">
        <v>114</v>
      </c>
      <c r="DB2244" t="s">
        <v>136</v>
      </c>
      <c r="DC2244" t="s">
        <v>136</v>
      </c>
      <c r="DD2244" t="s">
        <v>114</v>
      </c>
    </row>
    <row r="2245" spans="1:113" ht="15" customHeight="1" x14ac:dyDescent="0.25">
      <c r="A2245" t="s">
        <v>14592</v>
      </c>
      <c r="B2245" t="s">
        <v>885</v>
      </c>
      <c r="C2245" s="1">
        <v>45145.564875925927</v>
      </c>
      <c r="D2245" s="1">
        <v>45216</v>
      </c>
      <c r="E2245" t="s">
        <v>136</v>
      </c>
      <c r="F2245" t="s">
        <v>153</v>
      </c>
      <c r="G2245" t="str">
        <f>"35-2014.00"</f>
        <v>35-2014.00</v>
      </c>
      <c r="H2245" t="s">
        <v>154</v>
      </c>
      <c r="I2245">
        <v>15</v>
      </c>
      <c r="J2245">
        <v>14</v>
      </c>
      <c r="K2245" s="1">
        <v>45231</v>
      </c>
      <c r="L2245" s="1">
        <v>45402</v>
      </c>
      <c r="M2245" s="1">
        <v>45231</v>
      </c>
      <c r="N2245" s="1">
        <v>45402</v>
      </c>
      <c r="O2245" t="s">
        <v>116</v>
      </c>
      <c r="P2245" t="s">
        <v>887</v>
      </c>
      <c r="Q2245" t="s">
        <v>14593</v>
      </c>
      <c r="R2245" t="s">
        <v>14594</v>
      </c>
      <c r="T2245" t="s">
        <v>5823</v>
      </c>
      <c r="U2245" t="s">
        <v>211</v>
      </c>
      <c r="V2245" s="8" t="str">
        <f>"84121"</f>
        <v>84121</v>
      </c>
      <c r="W2245" t="s">
        <v>118</v>
      </c>
      <c r="Y2245" s="10">
        <v>18015324731</v>
      </c>
      <c r="AA2245">
        <v>721110</v>
      </c>
      <c r="AB2245" t="s">
        <v>14595</v>
      </c>
      <c r="AC2245" t="s">
        <v>990</v>
      </c>
      <c r="AE2245" t="s">
        <v>3156</v>
      </c>
      <c r="AF2245" t="s">
        <v>14594</v>
      </c>
      <c r="AH2245" t="s">
        <v>5823</v>
      </c>
      <c r="AI2245" t="s">
        <v>211</v>
      </c>
      <c r="AJ2245" s="8" t="str">
        <f>"84121"</f>
        <v>84121</v>
      </c>
      <c r="AK2245" t="s">
        <v>118</v>
      </c>
      <c r="AM2245" s="10">
        <v>18015324731</v>
      </c>
      <c r="AO2245" t="s">
        <v>14596</v>
      </c>
      <c r="AP2245" t="s">
        <v>121</v>
      </c>
      <c r="AQ2245" t="s">
        <v>898</v>
      </c>
      <c r="AR2245" t="s">
        <v>3877</v>
      </c>
      <c r="AT2245" t="s">
        <v>900</v>
      </c>
      <c r="AU2245" t="s">
        <v>14597</v>
      </c>
      <c r="AV2245" t="s">
        <v>902</v>
      </c>
      <c r="AW2245" t="s">
        <v>903</v>
      </c>
      <c r="AX2245" s="8" t="str">
        <f>"04101"</f>
        <v>04101</v>
      </c>
      <c r="AY2245" t="s">
        <v>118</v>
      </c>
      <c r="BA2245" s="10">
        <v>12077913206</v>
      </c>
      <c r="BC2245" t="s">
        <v>904</v>
      </c>
      <c r="BD2245" t="s">
        <v>905</v>
      </c>
      <c r="BE2245" t="s">
        <v>903</v>
      </c>
      <c r="BF2245" t="s">
        <v>906</v>
      </c>
      <c r="BG2245" t="s">
        <v>211</v>
      </c>
      <c r="BH2245" s="1">
        <v>45144.833333333336</v>
      </c>
      <c r="BI2245">
        <v>35</v>
      </c>
      <c r="BJ2245">
        <v>0</v>
      </c>
      <c r="BK2245">
        <v>7</v>
      </c>
      <c r="BL2245">
        <v>7</v>
      </c>
      <c r="BM2245">
        <v>7</v>
      </c>
      <c r="BN2245">
        <v>7</v>
      </c>
      <c r="BO2245">
        <v>7</v>
      </c>
      <c r="BP2245">
        <v>0</v>
      </c>
      <c r="BQ2245" t="str">
        <f>"6:00 AM"</f>
        <v>6:00 AM</v>
      </c>
      <c r="BR2245" t="str">
        <f>"1:00 PM"</f>
        <v>1:00 PM</v>
      </c>
      <c r="BS2245" t="s">
        <v>131</v>
      </c>
      <c r="BT2245">
        <v>0</v>
      </c>
      <c r="BU2245">
        <v>3</v>
      </c>
      <c r="BV2245" t="s">
        <v>114</v>
      </c>
      <c r="BX2245" s="2" t="s">
        <v>14598</v>
      </c>
      <c r="BY2245" t="s">
        <v>14599</v>
      </c>
      <c r="CA2245" t="s">
        <v>1563</v>
      </c>
      <c r="CB2245" t="s">
        <v>211</v>
      </c>
      <c r="CC2245" s="8" t="str">
        <f>"84121"</f>
        <v>84121</v>
      </c>
      <c r="CD2245" t="s">
        <v>1567</v>
      </c>
      <c r="CE2245" t="s">
        <v>1568</v>
      </c>
      <c r="CF2245" s="12">
        <v>15.2</v>
      </c>
      <c r="CG2245" s="12">
        <v>15.2</v>
      </c>
      <c r="CH2245" s="12">
        <v>22.8</v>
      </c>
      <c r="CI2245" s="12">
        <v>22.8</v>
      </c>
      <c r="CJ2245" t="s">
        <v>135</v>
      </c>
      <c r="CK2245" t="s">
        <v>14600</v>
      </c>
      <c r="CL2245" t="s">
        <v>14601</v>
      </c>
      <c r="CO2245" t="s">
        <v>132</v>
      </c>
      <c r="CP2245" t="s">
        <v>136</v>
      </c>
      <c r="CQ2245" t="s">
        <v>136</v>
      </c>
      <c r="CR2245" t="s">
        <v>136</v>
      </c>
      <c r="CS2245" t="s">
        <v>136</v>
      </c>
      <c r="CT2245" t="s">
        <v>136</v>
      </c>
      <c r="CU2245" t="s">
        <v>114</v>
      </c>
      <c r="CV2245" t="s">
        <v>1570</v>
      </c>
      <c r="CW2245" s="10" t="str">
        <f>"+18015264360"</f>
        <v>+18015264360</v>
      </c>
      <c r="CX2245" t="s">
        <v>14596</v>
      </c>
      <c r="CY2245" t="s">
        <v>132</v>
      </c>
      <c r="CZ2245" t="s">
        <v>137</v>
      </c>
      <c r="DA2245" t="s">
        <v>114</v>
      </c>
      <c r="DB2245" t="s">
        <v>114</v>
      </c>
      <c r="DC2245" t="s">
        <v>136</v>
      </c>
      <c r="DD2245" t="s">
        <v>114</v>
      </c>
    </row>
    <row r="2246" spans="1:113" ht="15" customHeight="1" x14ac:dyDescent="0.25">
      <c r="A2246" t="s">
        <v>18610</v>
      </c>
      <c r="B2246" t="s">
        <v>885</v>
      </c>
      <c r="C2246" s="1">
        <v>45141.019014467594</v>
      </c>
      <c r="D2246" s="1">
        <v>45215</v>
      </c>
      <c r="E2246" t="s">
        <v>114</v>
      </c>
      <c r="F2246" t="s">
        <v>1059</v>
      </c>
      <c r="G2246" t="str">
        <f>"35-2014.00"</f>
        <v>35-2014.00</v>
      </c>
      <c r="H2246" t="s">
        <v>154</v>
      </c>
      <c r="I2246">
        <v>17</v>
      </c>
      <c r="J2246">
        <v>16</v>
      </c>
      <c r="K2246" s="1">
        <v>45231</v>
      </c>
      <c r="L2246" s="1">
        <v>45413</v>
      </c>
      <c r="M2246" s="1">
        <v>45231</v>
      </c>
      <c r="N2246" s="1">
        <v>45413</v>
      </c>
      <c r="O2246" t="s">
        <v>238</v>
      </c>
      <c r="P2246" t="s">
        <v>14462</v>
      </c>
      <c r="Q2246" t="s">
        <v>14463</v>
      </c>
      <c r="R2246" t="s">
        <v>14464</v>
      </c>
      <c r="T2246" t="s">
        <v>14465</v>
      </c>
      <c r="U2246" t="s">
        <v>211</v>
      </c>
      <c r="V2246" s="8" t="str">
        <f>"84121"</f>
        <v>84121</v>
      </c>
      <c r="W2246" t="s">
        <v>118</v>
      </c>
      <c r="Y2246" s="10">
        <v>18015365755</v>
      </c>
      <c r="AA2246">
        <v>72111</v>
      </c>
      <c r="AB2246" t="s">
        <v>14466</v>
      </c>
      <c r="AC2246" t="s">
        <v>14467</v>
      </c>
      <c r="AE2246" t="s">
        <v>14468</v>
      </c>
      <c r="AF2246" t="s">
        <v>14464</v>
      </c>
      <c r="AH2246" t="s">
        <v>14465</v>
      </c>
      <c r="AI2246" t="s">
        <v>211</v>
      </c>
      <c r="AJ2246" s="8" t="str">
        <f>"84121"</f>
        <v>84121</v>
      </c>
      <c r="AK2246" t="s">
        <v>118</v>
      </c>
      <c r="AM2246" s="10">
        <v>18015365760</v>
      </c>
      <c r="AO2246" t="s">
        <v>14469</v>
      </c>
      <c r="AP2246" t="s">
        <v>121</v>
      </c>
      <c r="AQ2246" t="s">
        <v>1675</v>
      </c>
      <c r="AR2246" t="s">
        <v>1676</v>
      </c>
      <c r="AS2246" t="s">
        <v>1677</v>
      </c>
      <c r="AT2246" t="s">
        <v>1678</v>
      </c>
      <c r="AU2246" t="s">
        <v>296</v>
      </c>
      <c r="AV2246" t="s">
        <v>1679</v>
      </c>
      <c r="AW2246" t="s">
        <v>402</v>
      </c>
      <c r="AX2246" s="8" t="str">
        <f>"91361"</f>
        <v>91361</v>
      </c>
      <c r="AY2246" t="s">
        <v>118</v>
      </c>
      <c r="BA2246" s="10">
        <v>18052611393</v>
      </c>
      <c r="BC2246" t="s">
        <v>1680</v>
      </c>
      <c r="BD2246" t="s">
        <v>1681</v>
      </c>
      <c r="BE2246" t="s">
        <v>140</v>
      </c>
      <c r="BF2246" t="s">
        <v>146</v>
      </c>
      <c r="BG2246" t="s">
        <v>211</v>
      </c>
      <c r="BH2246" s="1">
        <v>45131.833333333336</v>
      </c>
      <c r="BI2246">
        <v>35</v>
      </c>
      <c r="BJ2246">
        <v>5</v>
      </c>
      <c r="BK2246">
        <v>5</v>
      </c>
      <c r="BL2246">
        <v>5</v>
      </c>
      <c r="BM2246">
        <v>5</v>
      </c>
      <c r="BN2246">
        <v>5</v>
      </c>
      <c r="BO2246">
        <v>5</v>
      </c>
      <c r="BP2246">
        <v>5</v>
      </c>
      <c r="BQ2246" t="str">
        <f>"6:00 AM"</f>
        <v>6:00 AM</v>
      </c>
      <c r="BR2246" t="str">
        <f>"11:00 PM"</f>
        <v>11:00 PM</v>
      </c>
      <c r="BS2246" t="s">
        <v>147</v>
      </c>
      <c r="BT2246">
        <v>0</v>
      </c>
      <c r="BU2246">
        <v>12</v>
      </c>
      <c r="BV2246" t="s">
        <v>114</v>
      </c>
      <c r="BX2246" s="2" t="s">
        <v>18611</v>
      </c>
      <c r="BY2246" t="s">
        <v>14471</v>
      </c>
      <c r="CA2246" t="s">
        <v>5823</v>
      </c>
      <c r="CB2246" t="s">
        <v>211</v>
      </c>
      <c r="CC2246" s="8" t="str">
        <f>"84121"</f>
        <v>84121</v>
      </c>
      <c r="CD2246" t="s">
        <v>1567</v>
      </c>
      <c r="CE2246" t="s">
        <v>1568</v>
      </c>
      <c r="CF2246" s="12">
        <v>15.2</v>
      </c>
      <c r="CG2246" s="12">
        <v>21.25</v>
      </c>
      <c r="CH2246" s="12">
        <v>22.8</v>
      </c>
      <c r="CI2246" s="12">
        <v>31.88</v>
      </c>
      <c r="CJ2246" t="s">
        <v>135</v>
      </c>
      <c r="CK2246" t="s">
        <v>11376</v>
      </c>
      <c r="CL2246" t="s">
        <v>18612</v>
      </c>
      <c r="CO2246" t="s">
        <v>132</v>
      </c>
      <c r="CP2246" t="s">
        <v>114</v>
      </c>
      <c r="CQ2246" t="s">
        <v>136</v>
      </c>
      <c r="CR2246" t="s">
        <v>136</v>
      </c>
      <c r="CS2246" t="s">
        <v>136</v>
      </c>
      <c r="CT2246" t="s">
        <v>136</v>
      </c>
      <c r="CU2246" t="s">
        <v>114</v>
      </c>
      <c r="CV2246" s="2" t="s">
        <v>18613</v>
      </c>
      <c r="CW2246" s="10" t="str">
        <f>"+18015365760"</f>
        <v>+18015365760</v>
      </c>
      <c r="CX2246" t="s">
        <v>14469</v>
      </c>
      <c r="CY2246" t="s">
        <v>132</v>
      </c>
      <c r="CZ2246" t="s">
        <v>137</v>
      </c>
      <c r="DA2246" t="s">
        <v>114</v>
      </c>
      <c r="DB2246" t="s">
        <v>114</v>
      </c>
      <c r="DC2246" t="s">
        <v>136</v>
      </c>
      <c r="DD2246" t="s">
        <v>114</v>
      </c>
    </row>
    <row r="2247" spans="1:113" ht="15" customHeight="1" x14ac:dyDescent="0.25">
      <c r="A2247" t="s">
        <v>4030</v>
      </c>
      <c r="B2247" t="s">
        <v>885</v>
      </c>
      <c r="C2247" s="1">
        <v>45141.509014120369</v>
      </c>
      <c r="D2247" s="1">
        <v>45212</v>
      </c>
      <c r="E2247" t="s">
        <v>114</v>
      </c>
      <c r="F2247" t="s">
        <v>1247</v>
      </c>
      <c r="G2247" t="str">
        <f>"45-4011.00"</f>
        <v>45-4011.00</v>
      </c>
      <c r="H2247" t="s">
        <v>842</v>
      </c>
      <c r="I2247">
        <v>45</v>
      </c>
      <c r="J2247">
        <v>44</v>
      </c>
      <c r="K2247" s="1">
        <v>45231</v>
      </c>
      <c r="L2247" s="1">
        <v>45382</v>
      </c>
      <c r="M2247" s="1">
        <v>45231</v>
      </c>
      <c r="N2247" s="1">
        <v>45382</v>
      </c>
      <c r="O2247" t="s">
        <v>238</v>
      </c>
      <c r="P2247" t="s">
        <v>4031</v>
      </c>
      <c r="R2247" t="s">
        <v>4032</v>
      </c>
      <c r="T2247" t="s">
        <v>4033</v>
      </c>
      <c r="U2247" t="s">
        <v>333</v>
      </c>
      <c r="V2247" s="8" t="str">
        <f>"71112"</f>
        <v>71112</v>
      </c>
      <c r="W2247" t="s">
        <v>118</v>
      </c>
      <c r="Y2247" s="10">
        <v>13185491767</v>
      </c>
      <c r="AA2247">
        <v>11531</v>
      </c>
      <c r="AB2247" t="s">
        <v>4034</v>
      </c>
      <c r="AC2247" t="s">
        <v>4035</v>
      </c>
      <c r="AE2247" t="s">
        <v>629</v>
      </c>
      <c r="AF2247" t="s">
        <v>4032</v>
      </c>
      <c r="AH2247" t="s">
        <v>4033</v>
      </c>
      <c r="AI2247" t="s">
        <v>333</v>
      </c>
      <c r="AJ2247" s="8" t="str">
        <f>"71112"</f>
        <v>71112</v>
      </c>
      <c r="AK2247" t="s">
        <v>118</v>
      </c>
      <c r="AM2247" s="10">
        <v>13185491767</v>
      </c>
      <c r="AO2247" t="s">
        <v>4036</v>
      </c>
      <c r="AP2247" t="s">
        <v>248</v>
      </c>
      <c r="AQ2247" t="s">
        <v>3008</v>
      </c>
      <c r="AR2247" t="s">
        <v>3009</v>
      </c>
      <c r="AS2247" t="s">
        <v>132</v>
      </c>
      <c r="AT2247" t="s">
        <v>1032</v>
      </c>
      <c r="AU2247" t="s">
        <v>852</v>
      </c>
      <c r="AV2247" t="s">
        <v>853</v>
      </c>
      <c r="AW2247" t="s">
        <v>854</v>
      </c>
      <c r="AX2247" s="8" t="str">
        <f>"83814"</f>
        <v>83814</v>
      </c>
      <c r="AY2247" t="s">
        <v>118</v>
      </c>
      <c r="BA2247" s="10">
        <v>12087772654</v>
      </c>
      <c r="BC2247" t="s">
        <v>4037</v>
      </c>
      <c r="BD2247" t="s">
        <v>856</v>
      </c>
      <c r="BG2247" t="s">
        <v>333</v>
      </c>
      <c r="BH2247" s="1">
        <v>45140.833333333336</v>
      </c>
      <c r="BI2247">
        <v>35</v>
      </c>
      <c r="BJ2247">
        <v>0</v>
      </c>
      <c r="BK2247">
        <v>7</v>
      </c>
      <c r="BL2247">
        <v>7</v>
      </c>
      <c r="BM2247">
        <v>7</v>
      </c>
      <c r="BN2247">
        <v>7</v>
      </c>
      <c r="BO2247">
        <v>7</v>
      </c>
      <c r="BP2247">
        <v>0</v>
      </c>
      <c r="BQ2247" t="str">
        <f>"8:00 AM"</f>
        <v>8:00 AM</v>
      </c>
      <c r="BR2247" t="str">
        <f>"3:00 PM"</f>
        <v>3:00 PM</v>
      </c>
      <c r="BS2247" t="s">
        <v>131</v>
      </c>
      <c r="BT2247">
        <v>0</v>
      </c>
      <c r="BU2247">
        <v>0</v>
      </c>
      <c r="BV2247" t="s">
        <v>114</v>
      </c>
      <c r="BX2247" s="2" t="s">
        <v>4038</v>
      </c>
      <c r="BY2247" t="s">
        <v>4039</v>
      </c>
      <c r="CA2247" t="s">
        <v>4033</v>
      </c>
      <c r="CB2247" t="s">
        <v>333</v>
      </c>
      <c r="CC2247" s="8" t="str">
        <f>"71112"</f>
        <v>71112</v>
      </c>
      <c r="CD2247" t="s">
        <v>4040</v>
      </c>
      <c r="CE2247" t="s">
        <v>2751</v>
      </c>
      <c r="CF2247" s="12">
        <v>16.2</v>
      </c>
      <c r="CG2247" s="12">
        <v>18.899999999999999</v>
      </c>
      <c r="CH2247" s="12">
        <v>24.3</v>
      </c>
      <c r="CI2247" s="12">
        <v>28.35</v>
      </c>
      <c r="CJ2247" t="s">
        <v>135</v>
      </c>
      <c r="CK2247" t="s">
        <v>4041</v>
      </c>
      <c r="CL2247" t="s">
        <v>4042</v>
      </c>
      <c r="CO2247" t="s">
        <v>132</v>
      </c>
      <c r="CP2247" t="s">
        <v>136</v>
      </c>
      <c r="CQ2247" t="s">
        <v>136</v>
      </c>
      <c r="CR2247" t="s">
        <v>136</v>
      </c>
      <c r="CS2247" t="s">
        <v>136</v>
      </c>
      <c r="CT2247" t="s">
        <v>136</v>
      </c>
      <c r="CU2247" t="s">
        <v>136</v>
      </c>
      <c r="CV2247" t="s">
        <v>1040</v>
      </c>
      <c r="CW2247" s="10" t="str">
        <f>"+13185491767"</f>
        <v>+13185491767</v>
      </c>
      <c r="CX2247" t="s">
        <v>4036</v>
      </c>
      <c r="CY2247" t="s">
        <v>132</v>
      </c>
      <c r="CZ2247" t="s">
        <v>137</v>
      </c>
      <c r="DA2247" t="s">
        <v>114</v>
      </c>
      <c r="DB2247" t="s">
        <v>114</v>
      </c>
      <c r="DC2247" t="s">
        <v>136</v>
      </c>
      <c r="DD2247" t="s">
        <v>114</v>
      </c>
    </row>
    <row r="2248" spans="1:113" ht="15" customHeight="1" x14ac:dyDescent="0.25">
      <c r="A2248" t="s">
        <v>884</v>
      </c>
      <c r="B2248" t="s">
        <v>885</v>
      </c>
      <c r="C2248" s="1">
        <v>45146.658347337965</v>
      </c>
      <c r="D2248" s="1">
        <v>45211</v>
      </c>
      <c r="E2248" t="s">
        <v>136</v>
      </c>
      <c r="F2248" t="s">
        <v>886</v>
      </c>
      <c r="G2248" t="str">
        <f>"35-2014.00"</f>
        <v>35-2014.00</v>
      </c>
      <c r="H2248" t="s">
        <v>154</v>
      </c>
      <c r="I2248">
        <v>70</v>
      </c>
      <c r="J2248">
        <v>69</v>
      </c>
      <c r="K2248" s="1">
        <v>45231</v>
      </c>
      <c r="L2248" s="1">
        <v>45407</v>
      </c>
      <c r="M2248" s="1">
        <v>45231</v>
      </c>
      <c r="N2248" s="1">
        <v>45407</v>
      </c>
      <c r="O2248" t="s">
        <v>238</v>
      </c>
      <c r="P2248" t="s">
        <v>887</v>
      </c>
      <c r="Q2248" t="s">
        <v>888</v>
      </c>
      <c r="R2248" t="s">
        <v>889</v>
      </c>
      <c r="S2248" t="s">
        <v>890</v>
      </c>
      <c r="T2248" t="s">
        <v>891</v>
      </c>
      <c r="U2248" t="s">
        <v>892</v>
      </c>
      <c r="V2248" s="8" t="str">
        <f>"59716"</f>
        <v>59716</v>
      </c>
      <c r="W2248" t="s">
        <v>118</v>
      </c>
      <c r="X2248" t="s">
        <v>132</v>
      </c>
      <c r="Y2248" s="10">
        <v>14069955823</v>
      </c>
      <c r="AA2248">
        <v>721110</v>
      </c>
      <c r="AB2248" t="s">
        <v>893</v>
      </c>
      <c r="AC2248" t="s">
        <v>894</v>
      </c>
      <c r="AE2248" t="s">
        <v>895</v>
      </c>
      <c r="AF2248" t="s">
        <v>889</v>
      </c>
      <c r="AG2248" t="s">
        <v>890</v>
      </c>
      <c r="AH2248" t="s">
        <v>896</v>
      </c>
      <c r="AI2248" t="s">
        <v>892</v>
      </c>
      <c r="AJ2248" s="8" t="str">
        <f>"59716"</f>
        <v>59716</v>
      </c>
      <c r="AK2248" t="s">
        <v>118</v>
      </c>
      <c r="AM2248" s="10">
        <v>14069955823</v>
      </c>
      <c r="AO2248" t="s">
        <v>897</v>
      </c>
      <c r="AP2248" t="s">
        <v>121</v>
      </c>
      <c r="AQ2248" t="s">
        <v>898</v>
      </c>
      <c r="AR2248" t="s">
        <v>899</v>
      </c>
      <c r="AT2248" t="s">
        <v>900</v>
      </c>
      <c r="AU2248" t="s">
        <v>901</v>
      </c>
      <c r="AV2248" t="s">
        <v>902</v>
      </c>
      <c r="AW2248" t="s">
        <v>903</v>
      </c>
      <c r="AX2248" s="8" t="str">
        <f>"04101"</f>
        <v>04101</v>
      </c>
      <c r="AY2248" t="s">
        <v>118</v>
      </c>
      <c r="BA2248" s="10">
        <v>12077913260</v>
      </c>
      <c r="BC2248" t="s">
        <v>904</v>
      </c>
      <c r="BD2248" t="s">
        <v>905</v>
      </c>
      <c r="BE2248" t="s">
        <v>903</v>
      </c>
      <c r="BF2248" t="s">
        <v>906</v>
      </c>
      <c r="BG2248" t="s">
        <v>892</v>
      </c>
      <c r="BH2248" s="1">
        <v>45145.833333333336</v>
      </c>
      <c r="BI2248">
        <v>35</v>
      </c>
      <c r="BJ2248">
        <v>0</v>
      </c>
      <c r="BK2248">
        <v>7</v>
      </c>
      <c r="BL2248">
        <v>7</v>
      </c>
      <c r="BM2248">
        <v>7</v>
      </c>
      <c r="BN2248">
        <v>7</v>
      </c>
      <c r="BO2248">
        <v>7</v>
      </c>
      <c r="BP2248">
        <v>0</v>
      </c>
      <c r="BQ2248" t="str">
        <f>"6:00 AM"</f>
        <v>6:00 AM</v>
      </c>
      <c r="BR2248" t="str">
        <f>"1:00 PM"</f>
        <v>1:00 PM</v>
      </c>
      <c r="BS2248" t="s">
        <v>131</v>
      </c>
      <c r="BT2248">
        <v>0</v>
      </c>
      <c r="BU2248">
        <v>3</v>
      </c>
      <c r="BV2248" t="s">
        <v>114</v>
      </c>
      <c r="BX2248" s="2" t="s">
        <v>907</v>
      </c>
      <c r="BY2248" t="s">
        <v>889</v>
      </c>
      <c r="CA2248" t="s">
        <v>891</v>
      </c>
      <c r="CB2248" t="s">
        <v>892</v>
      </c>
      <c r="CC2248" s="8" t="str">
        <f>"59716"</f>
        <v>59716</v>
      </c>
      <c r="CD2248" t="s">
        <v>908</v>
      </c>
      <c r="CE2248" t="s">
        <v>909</v>
      </c>
      <c r="CF2248" s="12">
        <v>14.15</v>
      </c>
      <c r="CG2248" s="12">
        <v>14.15</v>
      </c>
      <c r="CH2248" s="12">
        <v>21.23</v>
      </c>
      <c r="CI2248" s="12">
        <v>21.23</v>
      </c>
      <c r="CJ2248" t="s">
        <v>135</v>
      </c>
      <c r="CK2248" t="s">
        <v>910</v>
      </c>
      <c r="CL2248" t="s">
        <v>911</v>
      </c>
      <c r="CO2248" t="s">
        <v>132</v>
      </c>
      <c r="CP2248" t="s">
        <v>114</v>
      </c>
      <c r="CQ2248" t="s">
        <v>136</v>
      </c>
      <c r="CR2248" t="s">
        <v>136</v>
      </c>
      <c r="CS2248" t="s">
        <v>136</v>
      </c>
      <c r="CT2248" t="s">
        <v>136</v>
      </c>
      <c r="CU2248" t="s">
        <v>136</v>
      </c>
      <c r="CV2248" s="2" t="s">
        <v>912</v>
      </c>
      <c r="CW2248" s="10" t="str">
        <f>"+14065829200"</f>
        <v>+14065829200</v>
      </c>
      <c r="CX2248" t="s">
        <v>913</v>
      </c>
      <c r="CY2248" t="s">
        <v>132</v>
      </c>
      <c r="CZ2248" t="s">
        <v>137</v>
      </c>
      <c r="DA2248" t="s">
        <v>114</v>
      </c>
      <c r="DB2248" t="s">
        <v>114</v>
      </c>
      <c r="DC2248" t="s">
        <v>136</v>
      </c>
      <c r="DD2248" t="s">
        <v>114</v>
      </c>
    </row>
    <row r="2249" spans="1:113" ht="15" customHeight="1" x14ac:dyDescent="0.25">
      <c r="A2249" t="s">
        <v>3948</v>
      </c>
      <c r="B2249" t="s">
        <v>885</v>
      </c>
      <c r="C2249" s="1">
        <v>45142.328597453707</v>
      </c>
      <c r="D2249" s="1">
        <v>45210</v>
      </c>
      <c r="E2249" t="s">
        <v>136</v>
      </c>
      <c r="F2249" t="s">
        <v>3949</v>
      </c>
      <c r="G2249" t="str">
        <f>"53-7064.00"</f>
        <v>53-7064.00</v>
      </c>
      <c r="H2249" t="s">
        <v>3138</v>
      </c>
      <c r="I2249">
        <v>30</v>
      </c>
      <c r="J2249">
        <v>28</v>
      </c>
      <c r="K2249" s="1">
        <v>45231</v>
      </c>
      <c r="L2249" s="1">
        <v>45504</v>
      </c>
      <c r="M2249" s="1">
        <v>45231</v>
      </c>
      <c r="N2249" s="1">
        <v>45504</v>
      </c>
      <c r="O2249" t="s">
        <v>238</v>
      </c>
      <c r="P2249" t="s">
        <v>3950</v>
      </c>
      <c r="Q2249" t="s">
        <v>3951</v>
      </c>
      <c r="R2249" t="s">
        <v>3952</v>
      </c>
      <c r="S2249" t="s">
        <v>3953</v>
      </c>
      <c r="T2249" t="s">
        <v>3954</v>
      </c>
      <c r="U2249" t="s">
        <v>903</v>
      </c>
      <c r="V2249" s="8" t="str">
        <f>"04736"</f>
        <v>04736</v>
      </c>
      <c r="W2249" t="s">
        <v>118</v>
      </c>
      <c r="Y2249" s="10">
        <v>12074988108</v>
      </c>
      <c r="Z2249">
        <v>13</v>
      </c>
      <c r="AA2249">
        <v>115114</v>
      </c>
      <c r="AB2249" t="s">
        <v>3955</v>
      </c>
      <c r="AC2249" t="s">
        <v>894</v>
      </c>
      <c r="AD2249" t="s">
        <v>150</v>
      </c>
      <c r="AE2249" t="s">
        <v>3956</v>
      </c>
      <c r="AF2249" t="s">
        <v>3952</v>
      </c>
      <c r="AG2249" t="s">
        <v>3953</v>
      </c>
      <c r="AH2249" t="s">
        <v>3954</v>
      </c>
      <c r="AI2249" t="s">
        <v>903</v>
      </c>
      <c r="AJ2249" s="8" t="str">
        <f>"04736"</f>
        <v>04736</v>
      </c>
      <c r="AK2249" t="s">
        <v>118</v>
      </c>
      <c r="AM2249" s="10">
        <v>12074988108</v>
      </c>
      <c r="AN2249">
        <v>13</v>
      </c>
      <c r="AO2249" t="s">
        <v>3957</v>
      </c>
      <c r="AX2249" s="8" t="str">
        <f>""</f>
        <v/>
      </c>
      <c r="BG2249" t="s">
        <v>903</v>
      </c>
      <c r="BH2249" s="1">
        <v>45141.833333333336</v>
      </c>
      <c r="BI2249">
        <v>60</v>
      </c>
      <c r="BJ2249">
        <v>6</v>
      </c>
      <c r="BK2249">
        <v>9</v>
      </c>
      <c r="BL2249">
        <v>9</v>
      </c>
      <c r="BM2249">
        <v>9</v>
      </c>
      <c r="BN2249">
        <v>9</v>
      </c>
      <c r="BO2249">
        <v>9</v>
      </c>
      <c r="BP2249">
        <v>9</v>
      </c>
      <c r="BQ2249" t="str">
        <f>"7:00 AM"</f>
        <v>7:00 AM</v>
      </c>
      <c r="BR2249" t="str">
        <f>"5:00 PM"</f>
        <v>5:00 PM</v>
      </c>
      <c r="BS2249" t="s">
        <v>131</v>
      </c>
      <c r="BT2249">
        <v>3</v>
      </c>
      <c r="BU2249">
        <v>3</v>
      </c>
      <c r="BV2249" t="s">
        <v>114</v>
      </c>
      <c r="BX2249" t="s">
        <v>1480</v>
      </c>
      <c r="BY2249" t="s">
        <v>3958</v>
      </c>
      <c r="BZ2249" t="s">
        <v>3959</v>
      </c>
      <c r="CA2249" t="s">
        <v>3954</v>
      </c>
      <c r="CB2249" t="s">
        <v>903</v>
      </c>
      <c r="CC2249" s="8" t="str">
        <f>"04736"</f>
        <v>04736</v>
      </c>
      <c r="CD2249" t="s">
        <v>3960</v>
      </c>
      <c r="CE2249" t="s">
        <v>2771</v>
      </c>
      <c r="CF2249" s="12">
        <v>14.15</v>
      </c>
      <c r="CG2249" s="12">
        <v>14.15</v>
      </c>
      <c r="CH2249" s="12">
        <v>21.23</v>
      </c>
      <c r="CI2249" s="12">
        <v>21.23</v>
      </c>
      <c r="CJ2249" t="s">
        <v>135</v>
      </c>
      <c r="CK2249" t="s">
        <v>1480</v>
      </c>
      <c r="CL2249" t="s">
        <v>3961</v>
      </c>
      <c r="CO2249" t="s">
        <v>132</v>
      </c>
      <c r="CP2249" t="s">
        <v>114</v>
      </c>
      <c r="CQ2249" t="s">
        <v>136</v>
      </c>
      <c r="CR2249" t="s">
        <v>136</v>
      </c>
      <c r="CS2249" t="s">
        <v>136</v>
      </c>
      <c r="CT2249" t="s">
        <v>136</v>
      </c>
      <c r="CU2249" t="s">
        <v>136</v>
      </c>
      <c r="CV2249" s="2" t="s">
        <v>3962</v>
      </c>
      <c r="CW2249" s="10" t="str">
        <f>"+12074988108"</f>
        <v>+12074988108</v>
      </c>
      <c r="CX2249" t="s">
        <v>3957</v>
      </c>
      <c r="CY2249" t="s">
        <v>132</v>
      </c>
      <c r="CZ2249" t="s">
        <v>137</v>
      </c>
      <c r="DA2249" t="s">
        <v>114</v>
      </c>
      <c r="DB2249" t="s">
        <v>114</v>
      </c>
      <c r="DC2249" t="s">
        <v>136</v>
      </c>
      <c r="DD2249" t="s">
        <v>114</v>
      </c>
    </row>
    <row r="2250" spans="1:113" ht="15" customHeight="1" x14ac:dyDescent="0.25">
      <c r="A2250" t="s">
        <v>22521</v>
      </c>
      <c r="B2250" t="s">
        <v>885</v>
      </c>
      <c r="C2250" s="1">
        <v>45141.685659722221</v>
      </c>
      <c r="D2250" s="1">
        <v>45204</v>
      </c>
      <c r="E2250" t="s">
        <v>136</v>
      </c>
      <c r="F2250" t="s">
        <v>1059</v>
      </c>
      <c r="G2250" t="str">
        <f>"35-2014.00"</f>
        <v>35-2014.00</v>
      </c>
      <c r="H2250" t="s">
        <v>154</v>
      </c>
      <c r="I2250">
        <v>35</v>
      </c>
      <c r="J2250">
        <v>34</v>
      </c>
      <c r="K2250" s="1">
        <v>45231</v>
      </c>
      <c r="L2250" s="1">
        <v>45410</v>
      </c>
      <c r="M2250" s="1">
        <v>45231</v>
      </c>
      <c r="N2250" s="1">
        <v>45410</v>
      </c>
      <c r="O2250" t="s">
        <v>116</v>
      </c>
      <c r="P2250" t="s">
        <v>8997</v>
      </c>
      <c r="Q2250" t="s">
        <v>8998</v>
      </c>
      <c r="R2250" t="s">
        <v>8999</v>
      </c>
      <c r="T2250" t="s">
        <v>9000</v>
      </c>
      <c r="U2250" t="s">
        <v>211</v>
      </c>
      <c r="V2250" s="8" t="str">
        <f>"84092"</f>
        <v>84092</v>
      </c>
      <c r="W2250" t="s">
        <v>118</v>
      </c>
      <c r="Y2250" s="10">
        <v>18019478240</v>
      </c>
      <c r="AA2250">
        <v>721110</v>
      </c>
      <c r="AB2250" t="s">
        <v>9001</v>
      </c>
      <c r="AC2250" t="s">
        <v>9002</v>
      </c>
      <c r="AE2250" t="s">
        <v>9003</v>
      </c>
      <c r="AF2250" t="s">
        <v>22522</v>
      </c>
      <c r="AH2250" t="s">
        <v>9000</v>
      </c>
      <c r="AI2250" t="s">
        <v>211</v>
      </c>
      <c r="AJ2250" s="8" t="str">
        <f>"84092"</f>
        <v>84092</v>
      </c>
      <c r="AK2250" t="s">
        <v>118</v>
      </c>
      <c r="AM2250" s="10">
        <v>18019478240</v>
      </c>
      <c r="AO2250" t="s">
        <v>9004</v>
      </c>
      <c r="AP2250" t="s">
        <v>121</v>
      </c>
      <c r="AQ2250" t="s">
        <v>276</v>
      </c>
      <c r="AR2250" t="s">
        <v>277</v>
      </c>
      <c r="AS2250" t="s">
        <v>278</v>
      </c>
      <c r="AT2250" t="s">
        <v>279</v>
      </c>
      <c r="AU2250" t="s">
        <v>280</v>
      </c>
      <c r="AV2250" t="s">
        <v>281</v>
      </c>
      <c r="AW2250" t="s">
        <v>222</v>
      </c>
      <c r="AX2250" s="8" t="str">
        <f>"01701"</f>
        <v>01701</v>
      </c>
      <c r="AY2250" t="s">
        <v>118</v>
      </c>
      <c r="BA2250" s="10">
        <v>16179399444</v>
      </c>
      <c r="BC2250" t="s">
        <v>282</v>
      </c>
      <c r="BD2250" t="s">
        <v>283</v>
      </c>
      <c r="BE2250" t="s">
        <v>222</v>
      </c>
      <c r="BF2250" t="s">
        <v>284</v>
      </c>
      <c r="BG2250" t="s">
        <v>211</v>
      </c>
      <c r="BH2250" s="1">
        <v>45140.833333333336</v>
      </c>
      <c r="BI2250">
        <v>35</v>
      </c>
      <c r="BJ2250">
        <v>0</v>
      </c>
      <c r="BK2250">
        <v>7</v>
      </c>
      <c r="BL2250">
        <v>7</v>
      </c>
      <c r="BM2250">
        <v>7</v>
      </c>
      <c r="BN2250">
        <v>7</v>
      </c>
      <c r="BO2250">
        <v>7</v>
      </c>
      <c r="BP2250">
        <v>0</v>
      </c>
      <c r="BQ2250" t="str">
        <f>"5:00 AM"</f>
        <v>5:00 AM</v>
      </c>
      <c r="BR2250" t="str">
        <f>"12:00 PM"</f>
        <v>12:00 PM</v>
      </c>
      <c r="BS2250" t="s">
        <v>131</v>
      </c>
      <c r="BT2250">
        <v>0</v>
      </c>
      <c r="BU2250">
        <v>6</v>
      </c>
      <c r="BV2250" t="s">
        <v>114</v>
      </c>
      <c r="BX2250" s="2" t="s">
        <v>15129</v>
      </c>
      <c r="BY2250" t="s">
        <v>8999</v>
      </c>
      <c r="CA2250" t="s">
        <v>9000</v>
      </c>
      <c r="CB2250" t="s">
        <v>211</v>
      </c>
      <c r="CC2250" s="8" t="str">
        <f>"84092"</f>
        <v>84092</v>
      </c>
      <c r="CD2250" t="s">
        <v>1567</v>
      </c>
      <c r="CE2250" t="s">
        <v>1568</v>
      </c>
      <c r="CF2250" s="12">
        <v>19.5</v>
      </c>
      <c r="CG2250" s="12">
        <v>23.5</v>
      </c>
      <c r="CH2250" s="12">
        <v>29.25</v>
      </c>
      <c r="CI2250" s="12">
        <v>35.25</v>
      </c>
      <c r="CJ2250" t="s">
        <v>135</v>
      </c>
      <c r="CK2250" t="s">
        <v>22523</v>
      </c>
      <c r="CL2250" t="s">
        <v>22524</v>
      </c>
      <c r="CO2250" t="s">
        <v>132</v>
      </c>
      <c r="CP2250" t="s">
        <v>114</v>
      </c>
      <c r="CQ2250" t="s">
        <v>136</v>
      </c>
      <c r="CR2250" t="s">
        <v>136</v>
      </c>
      <c r="CS2250" t="s">
        <v>136</v>
      </c>
      <c r="CT2250" t="s">
        <v>136</v>
      </c>
      <c r="CU2250" t="s">
        <v>114</v>
      </c>
      <c r="CV2250" s="2" t="s">
        <v>9007</v>
      </c>
      <c r="CW2250" s="10" t="str">
        <f>"+18019478240"</f>
        <v>+18019478240</v>
      </c>
      <c r="CX2250" t="s">
        <v>9004</v>
      </c>
      <c r="CY2250" t="s">
        <v>132</v>
      </c>
      <c r="CZ2250" t="s">
        <v>137</v>
      </c>
      <c r="DA2250" t="s">
        <v>114</v>
      </c>
      <c r="DB2250" t="s">
        <v>114</v>
      </c>
      <c r="DC2250" t="s">
        <v>136</v>
      </c>
      <c r="DD2250" t="s">
        <v>114</v>
      </c>
    </row>
    <row r="2251" spans="1:113" ht="15" customHeight="1" x14ac:dyDescent="0.25">
      <c r="A2251" t="s">
        <v>21922</v>
      </c>
      <c r="B2251" t="s">
        <v>885</v>
      </c>
      <c r="C2251" s="1">
        <v>45118.423208912034</v>
      </c>
      <c r="D2251" s="1">
        <v>45204</v>
      </c>
      <c r="E2251" t="s">
        <v>114</v>
      </c>
      <c r="F2251" t="s">
        <v>4734</v>
      </c>
      <c r="G2251" t="str">
        <f>"35-2012.00"</f>
        <v>35-2012.00</v>
      </c>
      <c r="H2251" t="s">
        <v>7839</v>
      </c>
      <c r="I2251">
        <v>60</v>
      </c>
      <c r="J2251">
        <v>59</v>
      </c>
      <c r="K2251" s="1">
        <v>45200</v>
      </c>
      <c r="L2251" s="1">
        <v>45427</v>
      </c>
      <c r="M2251" s="1">
        <v>45200</v>
      </c>
      <c r="N2251" s="1">
        <v>45427</v>
      </c>
      <c r="O2251" t="s">
        <v>116</v>
      </c>
      <c r="P2251" t="s">
        <v>21923</v>
      </c>
      <c r="R2251" t="s">
        <v>21924</v>
      </c>
      <c r="T2251" t="s">
        <v>13926</v>
      </c>
      <c r="U2251" t="s">
        <v>581</v>
      </c>
      <c r="V2251" s="8" t="str">
        <f>"22807"</f>
        <v>22807</v>
      </c>
      <c r="W2251" t="s">
        <v>118</v>
      </c>
      <c r="Y2251" s="10">
        <v>15405683595</v>
      </c>
      <c r="AA2251">
        <v>72231</v>
      </c>
      <c r="AB2251" t="s">
        <v>21925</v>
      </c>
      <c r="AC2251" t="s">
        <v>2947</v>
      </c>
      <c r="AE2251" t="s">
        <v>161</v>
      </c>
      <c r="AF2251" t="s">
        <v>21924</v>
      </c>
      <c r="AH2251" t="s">
        <v>13926</v>
      </c>
      <c r="AI2251" t="s">
        <v>581</v>
      </c>
      <c r="AJ2251" s="8" t="str">
        <f>"22807"</f>
        <v>22807</v>
      </c>
      <c r="AK2251" t="s">
        <v>118</v>
      </c>
      <c r="AM2251" s="10">
        <v>15405683595</v>
      </c>
      <c r="AO2251" t="s">
        <v>132</v>
      </c>
      <c r="AP2251" t="s">
        <v>248</v>
      </c>
      <c r="AQ2251" t="s">
        <v>577</v>
      </c>
      <c r="AR2251" t="s">
        <v>578</v>
      </c>
      <c r="AT2251" t="s">
        <v>579</v>
      </c>
      <c r="AV2251" t="s">
        <v>580</v>
      </c>
      <c r="AW2251" t="s">
        <v>581</v>
      </c>
      <c r="AX2251" s="8" t="str">
        <f>"22903"</f>
        <v>22903</v>
      </c>
      <c r="AY2251" t="s">
        <v>118</v>
      </c>
      <c r="BA2251" s="10">
        <v>14342634300</v>
      </c>
      <c r="BC2251" t="s">
        <v>6249</v>
      </c>
      <c r="BD2251" t="s">
        <v>583</v>
      </c>
      <c r="BG2251" t="s">
        <v>581</v>
      </c>
      <c r="BH2251" s="1">
        <v>45117.833333333336</v>
      </c>
      <c r="BI2251">
        <v>40</v>
      </c>
      <c r="BJ2251">
        <v>0</v>
      </c>
      <c r="BK2251">
        <v>8</v>
      </c>
      <c r="BL2251">
        <v>8</v>
      </c>
      <c r="BM2251">
        <v>8</v>
      </c>
      <c r="BN2251">
        <v>8</v>
      </c>
      <c r="BO2251">
        <v>8</v>
      </c>
      <c r="BP2251">
        <v>0</v>
      </c>
      <c r="BQ2251" t="str">
        <f>"6:00 AM"</f>
        <v>6:00 AM</v>
      </c>
      <c r="BR2251" t="str">
        <f>"2:30 PM"</f>
        <v>2:30 PM</v>
      </c>
      <c r="BS2251" t="s">
        <v>131</v>
      </c>
      <c r="BT2251">
        <v>0</v>
      </c>
      <c r="BU2251">
        <v>3</v>
      </c>
      <c r="BV2251" t="s">
        <v>114</v>
      </c>
      <c r="BX2251" s="2" t="s">
        <v>21926</v>
      </c>
      <c r="BY2251" t="s">
        <v>21927</v>
      </c>
      <c r="CA2251" t="s">
        <v>13926</v>
      </c>
      <c r="CB2251" t="s">
        <v>581</v>
      </c>
      <c r="CC2251" s="8" t="str">
        <f>"22807"</f>
        <v>22807</v>
      </c>
      <c r="CD2251" t="s">
        <v>21928</v>
      </c>
      <c r="CE2251" t="s">
        <v>11821</v>
      </c>
      <c r="CF2251" s="12">
        <v>16.059999999999999</v>
      </c>
      <c r="CG2251" s="12">
        <v>17</v>
      </c>
      <c r="CH2251" s="12">
        <v>24.09</v>
      </c>
      <c r="CI2251" s="12">
        <v>25.5</v>
      </c>
      <c r="CJ2251" t="s">
        <v>135</v>
      </c>
      <c r="CK2251" t="s">
        <v>590</v>
      </c>
      <c r="CL2251" t="s">
        <v>21929</v>
      </c>
      <c r="CO2251" t="s">
        <v>132</v>
      </c>
      <c r="CP2251" t="s">
        <v>136</v>
      </c>
      <c r="CQ2251" t="s">
        <v>114</v>
      </c>
      <c r="CR2251" t="s">
        <v>136</v>
      </c>
      <c r="CS2251" t="s">
        <v>114</v>
      </c>
      <c r="CT2251" t="s">
        <v>136</v>
      </c>
      <c r="CU2251" t="s">
        <v>136</v>
      </c>
      <c r="CV2251" t="s">
        <v>21930</v>
      </c>
      <c r="CW2251" s="10" t="str">
        <f>"N/A"</f>
        <v>N/A</v>
      </c>
      <c r="CX2251" t="s">
        <v>21931</v>
      </c>
      <c r="CY2251" t="s">
        <v>3471</v>
      </c>
      <c r="CZ2251" t="s">
        <v>137</v>
      </c>
      <c r="DA2251" t="s">
        <v>114</v>
      </c>
      <c r="DB2251" t="s">
        <v>136</v>
      </c>
      <c r="DC2251" t="s">
        <v>136</v>
      </c>
      <c r="DD2251" t="s">
        <v>114</v>
      </c>
      <c r="DE2251" t="s">
        <v>5698</v>
      </c>
      <c r="DF2251" t="s">
        <v>3175</v>
      </c>
      <c r="DH2251" t="s">
        <v>583</v>
      </c>
      <c r="DI2251" t="s">
        <v>6249</v>
      </c>
    </row>
    <row r="2252" spans="1:113" ht="15" customHeight="1" x14ac:dyDescent="0.25">
      <c r="A2252" t="s">
        <v>19521</v>
      </c>
      <c r="B2252" t="s">
        <v>885</v>
      </c>
      <c r="C2252" s="1">
        <v>45141.344606134262</v>
      </c>
      <c r="D2252" s="1">
        <v>45202</v>
      </c>
      <c r="E2252" t="s">
        <v>114</v>
      </c>
      <c r="F2252" t="s">
        <v>19522</v>
      </c>
      <c r="G2252" t="str">
        <f>"51-3022.00"</f>
        <v>51-3022.00</v>
      </c>
      <c r="H2252" t="s">
        <v>1004</v>
      </c>
      <c r="I2252">
        <v>25</v>
      </c>
      <c r="J2252">
        <v>24</v>
      </c>
      <c r="K2252" s="1">
        <v>45231</v>
      </c>
      <c r="L2252" s="1">
        <v>45458</v>
      </c>
      <c r="M2252" s="1">
        <v>45231</v>
      </c>
      <c r="N2252" s="1">
        <v>45458</v>
      </c>
      <c r="O2252" t="s">
        <v>238</v>
      </c>
      <c r="P2252" t="s">
        <v>19523</v>
      </c>
      <c r="R2252" t="s">
        <v>19524</v>
      </c>
      <c r="T2252" t="s">
        <v>19525</v>
      </c>
      <c r="U2252" t="s">
        <v>127</v>
      </c>
      <c r="V2252" s="8" t="str">
        <f>"77539"</f>
        <v>77539</v>
      </c>
      <c r="W2252" t="s">
        <v>118</v>
      </c>
      <c r="Y2252" s="10">
        <v>12813393622</v>
      </c>
      <c r="AA2252">
        <v>31171</v>
      </c>
      <c r="AB2252" t="s">
        <v>16186</v>
      </c>
      <c r="AC2252" t="s">
        <v>1783</v>
      </c>
      <c r="AE2252" t="s">
        <v>629</v>
      </c>
      <c r="AF2252" t="s">
        <v>19524</v>
      </c>
      <c r="AH2252" t="s">
        <v>19525</v>
      </c>
      <c r="AI2252" t="s">
        <v>127</v>
      </c>
      <c r="AJ2252" s="8" t="str">
        <f>"77539"</f>
        <v>77539</v>
      </c>
      <c r="AK2252" t="s">
        <v>118</v>
      </c>
      <c r="AM2252" s="10">
        <v>12813393622</v>
      </c>
      <c r="AO2252" t="s">
        <v>19526</v>
      </c>
      <c r="AP2252" t="s">
        <v>248</v>
      </c>
      <c r="AQ2252" t="s">
        <v>1860</v>
      </c>
      <c r="AR2252" t="s">
        <v>1861</v>
      </c>
      <c r="AS2252" t="s">
        <v>1862</v>
      </c>
      <c r="AT2252" t="s">
        <v>1863</v>
      </c>
      <c r="AU2252" t="s">
        <v>1864</v>
      </c>
      <c r="AV2252" t="s">
        <v>1865</v>
      </c>
      <c r="AW2252" t="s">
        <v>581</v>
      </c>
      <c r="AX2252" s="8" t="str">
        <f>"24521"</f>
        <v>24521</v>
      </c>
      <c r="AY2252" t="s">
        <v>118</v>
      </c>
      <c r="BA2252" s="10">
        <v>14349460035</v>
      </c>
      <c r="BB2252">
        <v>11</v>
      </c>
      <c r="BC2252" t="s">
        <v>1866</v>
      </c>
      <c r="BD2252" t="s">
        <v>1867</v>
      </c>
      <c r="BG2252" t="s">
        <v>127</v>
      </c>
      <c r="BH2252" s="1">
        <v>45140.833333333336</v>
      </c>
      <c r="BI2252">
        <v>35</v>
      </c>
      <c r="BJ2252">
        <v>0</v>
      </c>
      <c r="BK2252">
        <v>7</v>
      </c>
      <c r="BL2252">
        <v>7</v>
      </c>
      <c r="BM2252">
        <v>7</v>
      </c>
      <c r="BN2252">
        <v>7</v>
      </c>
      <c r="BO2252">
        <v>7</v>
      </c>
      <c r="BP2252">
        <v>0</v>
      </c>
      <c r="BQ2252" t="str">
        <f>"5:00 AM"</f>
        <v>5:00 AM</v>
      </c>
      <c r="BR2252" t="str">
        <f>"1:00 PM"</f>
        <v>1:00 PM</v>
      </c>
      <c r="BS2252" t="s">
        <v>131</v>
      </c>
      <c r="BT2252">
        <v>0</v>
      </c>
      <c r="BU2252">
        <v>0</v>
      </c>
      <c r="BV2252" t="s">
        <v>114</v>
      </c>
      <c r="BX2252" s="2" t="s">
        <v>19527</v>
      </c>
      <c r="BY2252" t="s">
        <v>19528</v>
      </c>
      <c r="CA2252" t="s">
        <v>19525</v>
      </c>
      <c r="CB2252" t="s">
        <v>127</v>
      </c>
      <c r="CC2252" s="8" t="str">
        <f>"77539"</f>
        <v>77539</v>
      </c>
      <c r="CD2252" t="s">
        <v>3280</v>
      </c>
      <c r="CE2252" t="s">
        <v>879</v>
      </c>
      <c r="CF2252" s="12">
        <v>15.07</v>
      </c>
      <c r="CG2252" s="12">
        <v>15.07</v>
      </c>
      <c r="CH2252" s="12">
        <v>22.61</v>
      </c>
      <c r="CI2252" s="12">
        <v>22.61</v>
      </c>
      <c r="CJ2252" t="s">
        <v>135</v>
      </c>
      <c r="CK2252" t="s">
        <v>7291</v>
      </c>
      <c r="CL2252" t="s">
        <v>19529</v>
      </c>
      <c r="CO2252" t="s">
        <v>132</v>
      </c>
      <c r="CP2252" t="s">
        <v>114</v>
      </c>
      <c r="CQ2252" t="s">
        <v>114</v>
      </c>
      <c r="CR2252" t="s">
        <v>136</v>
      </c>
      <c r="CS2252" t="s">
        <v>114</v>
      </c>
      <c r="CT2252" t="s">
        <v>136</v>
      </c>
      <c r="CU2252" t="s">
        <v>114</v>
      </c>
      <c r="CV2252" s="2" t="s">
        <v>19530</v>
      </c>
      <c r="CW2252" s="10" t="str">
        <f>"+18322438280"</f>
        <v>+18322438280</v>
      </c>
      <c r="CX2252" t="s">
        <v>132</v>
      </c>
      <c r="CY2252" t="s">
        <v>3190</v>
      </c>
      <c r="CZ2252" t="s">
        <v>137</v>
      </c>
      <c r="DA2252" t="s">
        <v>114</v>
      </c>
      <c r="DB2252" t="s">
        <v>114</v>
      </c>
      <c r="DC2252" t="s">
        <v>136</v>
      </c>
      <c r="DD2252" t="s">
        <v>114</v>
      </c>
    </row>
    <row r="2253" spans="1:113" ht="15" customHeight="1" x14ac:dyDescent="0.25">
      <c r="A2253" t="s">
        <v>24006</v>
      </c>
      <c r="B2253" t="s">
        <v>3875</v>
      </c>
      <c r="C2253" s="1">
        <v>45273.579485532406</v>
      </c>
      <c r="D2253" s="1">
        <v>45281</v>
      </c>
      <c r="E2253" t="s">
        <v>132</v>
      </c>
      <c r="F2253" t="s">
        <v>24007</v>
      </c>
      <c r="G2253" t="str">
        <f>"35-2012.00"</f>
        <v>35-2012.00</v>
      </c>
      <c r="H2253" t="s">
        <v>7839</v>
      </c>
      <c r="I2253">
        <v>8</v>
      </c>
      <c r="K2253" s="1">
        <v>45333</v>
      </c>
      <c r="L2253" s="1">
        <v>45585</v>
      </c>
      <c r="O2253" t="s">
        <v>116</v>
      </c>
      <c r="P2253" t="s">
        <v>24008</v>
      </c>
      <c r="Q2253" t="s">
        <v>24009</v>
      </c>
      <c r="R2253" t="s">
        <v>24010</v>
      </c>
      <c r="T2253" t="s">
        <v>4656</v>
      </c>
      <c r="U2253" t="s">
        <v>127</v>
      </c>
      <c r="V2253" s="8" t="str">
        <f>"75407"</f>
        <v>75407</v>
      </c>
      <c r="W2253" t="s">
        <v>118</v>
      </c>
      <c r="Y2253" s="10">
        <v>19727362273</v>
      </c>
      <c r="AA2253">
        <v>813110</v>
      </c>
      <c r="AB2253" t="s">
        <v>24011</v>
      </c>
      <c r="AC2253" t="s">
        <v>9625</v>
      </c>
      <c r="AD2253" t="s">
        <v>1829</v>
      </c>
      <c r="AE2253" t="s">
        <v>24012</v>
      </c>
      <c r="AF2253" t="s">
        <v>24010</v>
      </c>
      <c r="AH2253" t="s">
        <v>4656</v>
      </c>
      <c r="AI2253" t="s">
        <v>127</v>
      </c>
      <c r="AJ2253" s="8" t="str">
        <f>"75407"</f>
        <v>75407</v>
      </c>
      <c r="AK2253" t="s">
        <v>118</v>
      </c>
      <c r="AM2253" s="10">
        <v>19727362273</v>
      </c>
      <c r="AO2253" t="s">
        <v>24013</v>
      </c>
      <c r="AX2253" s="8" t="str">
        <f>""</f>
        <v/>
      </c>
      <c r="BG2253" t="s">
        <v>127</v>
      </c>
      <c r="BH2253" s="1">
        <v>45250.791666666664</v>
      </c>
      <c r="BI2253">
        <v>40</v>
      </c>
      <c r="BJ2253">
        <v>8</v>
      </c>
      <c r="BK2253">
        <v>0</v>
      </c>
      <c r="BL2253">
        <v>0</v>
      </c>
      <c r="BM2253">
        <v>8</v>
      </c>
      <c r="BN2253">
        <v>8</v>
      </c>
      <c r="BO2253">
        <v>8</v>
      </c>
      <c r="BP2253">
        <v>8</v>
      </c>
      <c r="BQ2253" t="str">
        <f>"5:30 AM"</f>
        <v>5:30 AM</v>
      </c>
      <c r="BR2253" t="str">
        <f>"2:30 PM"</f>
        <v>2:30 PM</v>
      </c>
      <c r="BS2253" t="s">
        <v>131</v>
      </c>
      <c r="BT2253">
        <v>0</v>
      </c>
      <c r="BU2253">
        <v>3</v>
      </c>
      <c r="BV2253" t="s">
        <v>114</v>
      </c>
      <c r="BX2253" t="s">
        <v>132</v>
      </c>
      <c r="BY2253" t="s">
        <v>24014</v>
      </c>
      <c r="CA2253" t="s">
        <v>4656</v>
      </c>
      <c r="CB2253" t="s">
        <v>127</v>
      </c>
      <c r="CC2253" s="8" t="str">
        <f>"75407"</f>
        <v>75407</v>
      </c>
      <c r="CD2253" t="s">
        <v>1177</v>
      </c>
      <c r="CE2253" t="s">
        <v>263</v>
      </c>
      <c r="CF2253" s="12">
        <v>14</v>
      </c>
      <c r="CG2253" s="12">
        <v>15</v>
      </c>
      <c r="CJ2253" t="s">
        <v>135</v>
      </c>
      <c r="CK2253" t="s">
        <v>24015</v>
      </c>
      <c r="CL2253" t="s">
        <v>24016</v>
      </c>
      <c r="CO2253" t="s">
        <v>136</v>
      </c>
      <c r="CP2253" t="s">
        <v>114</v>
      </c>
      <c r="CQ2253" t="s">
        <v>136</v>
      </c>
      <c r="CR2253" t="s">
        <v>114</v>
      </c>
      <c r="CS2253" t="s">
        <v>136</v>
      </c>
      <c r="CT2253" t="s">
        <v>136</v>
      </c>
      <c r="CU2253" t="s">
        <v>136</v>
      </c>
      <c r="CV2253" t="s">
        <v>24017</v>
      </c>
      <c r="CW2253" s="10" t="str">
        <f>"+19727362273"</f>
        <v>+19727362273</v>
      </c>
      <c r="CX2253" t="s">
        <v>24013</v>
      </c>
      <c r="CY2253" t="s">
        <v>132</v>
      </c>
      <c r="CZ2253" t="s">
        <v>137</v>
      </c>
      <c r="DA2253" t="s">
        <v>114</v>
      </c>
      <c r="DB2253" t="s">
        <v>114</v>
      </c>
      <c r="DC2253" t="s">
        <v>136</v>
      </c>
      <c r="DD2253" t="s">
        <v>114</v>
      </c>
    </row>
    <row r="2254" spans="1:113" ht="15" customHeight="1" x14ac:dyDescent="0.25">
      <c r="A2254" t="s">
        <v>7583</v>
      </c>
      <c r="B2254" t="s">
        <v>3875</v>
      </c>
      <c r="C2254" s="1">
        <v>45264.973090740743</v>
      </c>
      <c r="D2254" s="1">
        <v>45272</v>
      </c>
      <c r="E2254" t="s">
        <v>132</v>
      </c>
      <c r="F2254" t="s">
        <v>7584</v>
      </c>
      <c r="G2254" t="str">
        <f>"37-2011.00"</f>
        <v>37-2011.00</v>
      </c>
      <c r="H2254" t="s">
        <v>1089</v>
      </c>
      <c r="I2254">
        <v>15</v>
      </c>
      <c r="K2254" s="1">
        <v>45264</v>
      </c>
      <c r="L2254" s="1">
        <v>45382</v>
      </c>
      <c r="O2254" t="s">
        <v>238</v>
      </c>
      <c r="P2254" t="s">
        <v>7585</v>
      </c>
      <c r="Q2254" t="s">
        <v>7586</v>
      </c>
      <c r="R2254" t="s">
        <v>7587</v>
      </c>
      <c r="S2254" t="s">
        <v>7588</v>
      </c>
      <c r="T2254" t="s">
        <v>7589</v>
      </c>
      <c r="U2254" t="s">
        <v>117</v>
      </c>
      <c r="V2254" s="8" t="str">
        <f>"60411"</f>
        <v>60411</v>
      </c>
      <c r="W2254" t="s">
        <v>118</v>
      </c>
      <c r="Y2254" s="10">
        <v>17087996228</v>
      </c>
      <c r="AA2254">
        <v>561730</v>
      </c>
      <c r="AB2254" t="s">
        <v>7590</v>
      </c>
      <c r="AC2254" t="s">
        <v>2009</v>
      </c>
      <c r="AE2254" t="s">
        <v>629</v>
      </c>
      <c r="AF2254" t="s">
        <v>7587</v>
      </c>
      <c r="AH2254" t="s">
        <v>7591</v>
      </c>
      <c r="AI2254" t="s">
        <v>117</v>
      </c>
      <c r="AJ2254" s="8" t="str">
        <f>"60411"</f>
        <v>60411</v>
      </c>
      <c r="AK2254" t="s">
        <v>118</v>
      </c>
      <c r="AM2254" s="10">
        <v>17087996228</v>
      </c>
      <c r="AO2254" t="s">
        <v>7592</v>
      </c>
      <c r="AP2254" t="s">
        <v>121</v>
      </c>
      <c r="AQ2254" t="s">
        <v>929</v>
      </c>
      <c r="AR2254" t="s">
        <v>930</v>
      </c>
      <c r="AS2254" t="s">
        <v>931</v>
      </c>
      <c r="AT2254" t="s">
        <v>932</v>
      </c>
      <c r="AU2254" t="s">
        <v>132</v>
      </c>
      <c r="AV2254" t="s">
        <v>933</v>
      </c>
      <c r="AW2254" t="s">
        <v>740</v>
      </c>
      <c r="AX2254" s="8" t="str">
        <f>"50010"</f>
        <v>50010</v>
      </c>
      <c r="AY2254" t="s">
        <v>118</v>
      </c>
      <c r="BA2254" s="10">
        <v>15152324444</v>
      </c>
      <c r="BB2254">
        <v>0</v>
      </c>
      <c r="BC2254" t="s">
        <v>934</v>
      </c>
      <c r="BD2254" t="s">
        <v>935</v>
      </c>
      <c r="BE2254" t="s">
        <v>740</v>
      </c>
      <c r="BF2254" t="s">
        <v>172</v>
      </c>
      <c r="BG2254" t="s">
        <v>117</v>
      </c>
      <c r="BH2254" s="1">
        <v>45263.791666666664</v>
      </c>
      <c r="BI2254">
        <v>48</v>
      </c>
      <c r="BJ2254">
        <v>0</v>
      </c>
      <c r="BK2254">
        <v>8</v>
      </c>
      <c r="BL2254">
        <v>8</v>
      </c>
      <c r="BM2254">
        <v>8</v>
      </c>
      <c r="BN2254">
        <v>8</v>
      </c>
      <c r="BO2254">
        <v>8</v>
      </c>
      <c r="BP2254">
        <v>8</v>
      </c>
      <c r="BQ2254" t="str">
        <f>"9:00 AM"</f>
        <v>9:00 AM</v>
      </c>
      <c r="BR2254" t="str">
        <f>"5:00 PM"</f>
        <v>5:00 PM</v>
      </c>
      <c r="BS2254" t="s">
        <v>131</v>
      </c>
      <c r="BT2254">
        <v>0</v>
      </c>
      <c r="BU2254">
        <v>0</v>
      </c>
      <c r="BV2254" t="s">
        <v>114</v>
      </c>
      <c r="BX2254" s="2" t="s">
        <v>7593</v>
      </c>
      <c r="BY2254" t="s">
        <v>7594</v>
      </c>
      <c r="CA2254" t="s">
        <v>7591</v>
      </c>
      <c r="CB2254" t="s">
        <v>117</v>
      </c>
      <c r="CC2254" s="8" t="str">
        <f>"60411"</f>
        <v>60411</v>
      </c>
      <c r="CD2254" t="s">
        <v>5756</v>
      </c>
      <c r="CE2254" t="s">
        <v>134</v>
      </c>
      <c r="CF2254" s="12">
        <v>17.399999999999999</v>
      </c>
      <c r="CJ2254" t="s">
        <v>135</v>
      </c>
      <c r="CK2254" t="s">
        <v>7595</v>
      </c>
      <c r="CL2254" t="s">
        <v>7596</v>
      </c>
      <c r="CO2254" t="s">
        <v>136</v>
      </c>
      <c r="CP2254" t="s">
        <v>114</v>
      </c>
      <c r="CQ2254" t="s">
        <v>114</v>
      </c>
      <c r="CR2254" t="s">
        <v>114</v>
      </c>
      <c r="CS2254" t="s">
        <v>136</v>
      </c>
      <c r="CT2254" t="s">
        <v>136</v>
      </c>
      <c r="CU2254" t="s">
        <v>114</v>
      </c>
      <c r="CV2254">
        <v>0</v>
      </c>
      <c r="CW2254" s="10" t="str">
        <f>"+17087996228"</f>
        <v>+17087996228</v>
      </c>
      <c r="CX2254" t="s">
        <v>7592</v>
      </c>
      <c r="CY2254" t="s">
        <v>132</v>
      </c>
      <c r="CZ2254" t="s">
        <v>137</v>
      </c>
      <c r="DA2254" t="s">
        <v>114</v>
      </c>
      <c r="DB2254" t="s">
        <v>136</v>
      </c>
      <c r="DC2254" t="s">
        <v>136</v>
      </c>
      <c r="DD2254" t="s">
        <v>114</v>
      </c>
    </row>
    <row r="2255" spans="1:113" ht="15" customHeight="1" x14ac:dyDescent="0.25">
      <c r="A2255" t="s">
        <v>12718</v>
      </c>
      <c r="B2255" t="s">
        <v>3875</v>
      </c>
      <c r="C2255" s="1">
        <v>45258.761107175924</v>
      </c>
      <c r="D2255" s="1">
        <v>45266</v>
      </c>
      <c r="E2255" t="s">
        <v>132</v>
      </c>
      <c r="F2255" t="s">
        <v>9815</v>
      </c>
      <c r="G2255" t="str">
        <f>"31-1122.00"</f>
        <v>31-1122.00</v>
      </c>
      <c r="H2255" t="s">
        <v>8076</v>
      </c>
      <c r="I2255">
        <v>1</v>
      </c>
      <c r="K2255" s="1">
        <v>45333</v>
      </c>
      <c r="L2255" s="1">
        <v>45697</v>
      </c>
      <c r="O2255" t="s">
        <v>184</v>
      </c>
      <c r="P2255" t="s">
        <v>12719</v>
      </c>
      <c r="R2255" t="s">
        <v>12720</v>
      </c>
      <c r="T2255" t="s">
        <v>12721</v>
      </c>
      <c r="U2255" t="s">
        <v>402</v>
      </c>
      <c r="V2255" s="8" t="str">
        <f>"94542"</f>
        <v>94542</v>
      </c>
      <c r="W2255" t="s">
        <v>118</v>
      </c>
      <c r="Y2255" s="10">
        <v>15103035317</v>
      </c>
      <c r="AA2255">
        <v>623210</v>
      </c>
      <c r="AB2255" t="s">
        <v>4804</v>
      </c>
      <c r="AC2255" t="s">
        <v>12722</v>
      </c>
      <c r="AD2255" t="s">
        <v>12723</v>
      </c>
      <c r="AE2255" t="s">
        <v>12724</v>
      </c>
      <c r="AF2255" t="s">
        <v>12720</v>
      </c>
      <c r="AH2255" t="s">
        <v>12721</v>
      </c>
      <c r="AI2255" t="s">
        <v>402</v>
      </c>
      <c r="AJ2255" s="8" t="str">
        <f>"94542"</f>
        <v>94542</v>
      </c>
      <c r="AK2255" t="s">
        <v>118</v>
      </c>
      <c r="AM2255" s="10">
        <v>15103035317</v>
      </c>
      <c r="AO2255" t="s">
        <v>12725</v>
      </c>
      <c r="AX2255" s="8" t="str">
        <f>""</f>
        <v/>
      </c>
      <c r="BG2255" t="s">
        <v>402</v>
      </c>
      <c r="BH2255" s="1">
        <v>45257.791666666664</v>
      </c>
      <c r="BI2255">
        <v>40</v>
      </c>
      <c r="BJ2255">
        <v>0</v>
      </c>
      <c r="BK2255">
        <v>0</v>
      </c>
      <c r="BL2255">
        <v>8</v>
      </c>
      <c r="BM2255">
        <v>8</v>
      </c>
      <c r="BN2255">
        <v>8</v>
      </c>
      <c r="BO2255">
        <v>8</v>
      </c>
      <c r="BP2255">
        <v>8</v>
      </c>
      <c r="BQ2255" t="str">
        <f>"7:00 AM"</f>
        <v>7:00 AM</v>
      </c>
      <c r="BR2255" t="str">
        <f>"3:00 PM"</f>
        <v>3:00 PM</v>
      </c>
      <c r="BS2255" t="s">
        <v>147</v>
      </c>
      <c r="BT2255">
        <v>6</v>
      </c>
      <c r="BU2255">
        <v>6</v>
      </c>
      <c r="BV2255" t="s">
        <v>114</v>
      </c>
      <c r="BX2255" s="2" t="s">
        <v>12726</v>
      </c>
      <c r="BY2255" t="s">
        <v>12727</v>
      </c>
      <c r="CA2255" t="s">
        <v>12728</v>
      </c>
      <c r="CB2255" t="s">
        <v>402</v>
      </c>
      <c r="CC2255" s="8" t="str">
        <f>"94542"</f>
        <v>94542</v>
      </c>
      <c r="CD2255" t="s">
        <v>3633</v>
      </c>
      <c r="CE2255" t="s">
        <v>2737</v>
      </c>
      <c r="CF2255" s="12">
        <v>12</v>
      </c>
      <c r="CG2255" s="12">
        <v>18</v>
      </c>
      <c r="CH2255" s="12">
        <v>18</v>
      </c>
      <c r="CI2255" s="12">
        <v>27</v>
      </c>
      <c r="CJ2255" t="s">
        <v>135</v>
      </c>
      <c r="CK2255" t="s">
        <v>796</v>
      </c>
      <c r="CL2255" t="s">
        <v>12729</v>
      </c>
      <c r="CO2255" t="s">
        <v>136</v>
      </c>
      <c r="CP2255" t="s">
        <v>114</v>
      </c>
      <c r="CQ2255" t="s">
        <v>136</v>
      </c>
      <c r="CR2255" t="s">
        <v>136</v>
      </c>
      <c r="CS2255" t="s">
        <v>136</v>
      </c>
      <c r="CT2255" t="s">
        <v>136</v>
      </c>
      <c r="CU2255" t="s">
        <v>136</v>
      </c>
      <c r="CV2255" t="s">
        <v>12730</v>
      </c>
      <c r="CW2255" s="10" t="str">
        <f>"+15103035317"</f>
        <v>+15103035317</v>
      </c>
      <c r="CX2255" t="s">
        <v>12725</v>
      </c>
      <c r="CY2255" t="s">
        <v>132</v>
      </c>
      <c r="CZ2255" t="s">
        <v>137</v>
      </c>
      <c r="DA2255" t="s">
        <v>114</v>
      </c>
      <c r="DB2255" t="s">
        <v>114</v>
      </c>
      <c r="DC2255" t="s">
        <v>136</v>
      </c>
      <c r="DD2255" t="s">
        <v>114</v>
      </c>
    </row>
    <row r="2256" spans="1:113" ht="15" customHeight="1" x14ac:dyDescent="0.25">
      <c r="A2256" t="s">
        <v>12523</v>
      </c>
      <c r="B2256" t="s">
        <v>3875</v>
      </c>
      <c r="C2256" s="1">
        <v>45256.785053472224</v>
      </c>
      <c r="D2256" s="1">
        <v>45261</v>
      </c>
      <c r="E2256" t="s">
        <v>132</v>
      </c>
      <c r="F2256" t="s">
        <v>12524</v>
      </c>
      <c r="G2256" t="str">
        <f>"31-1121.00"</f>
        <v>31-1121.00</v>
      </c>
      <c r="H2256" t="s">
        <v>5179</v>
      </c>
      <c r="I2256">
        <v>1</v>
      </c>
      <c r="K2256" s="1">
        <v>45261</v>
      </c>
      <c r="L2256" s="1">
        <v>46357</v>
      </c>
      <c r="O2256" t="s">
        <v>184</v>
      </c>
      <c r="P2256" t="s">
        <v>12525</v>
      </c>
      <c r="R2256" t="s">
        <v>12526</v>
      </c>
      <c r="T2256" t="s">
        <v>12527</v>
      </c>
      <c r="U2256" t="s">
        <v>358</v>
      </c>
      <c r="V2256" s="8" t="str">
        <f>"11561"</f>
        <v>11561</v>
      </c>
      <c r="W2256" t="s">
        <v>118</v>
      </c>
      <c r="Y2256" s="10">
        <v>12153474369</v>
      </c>
      <c r="AA2256">
        <v>624120</v>
      </c>
      <c r="AB2256" t="s">
        <v>12528</v>
      </c>
      <c r="AC2256" t="s">
        <v>12529</v>
      </c>
      <c r="AE2256" t="s">
        <v>5983</v>
      </c>
      <c r="AF2256" t="s">
        <v>12526</v>
      </c>
      <c r="AH2256" t="s">
        <v>12527</v>
      </c>
      <c r="AI2256" t="s">
        <v>358</v>
      </c>
      <c r="AJ2256" s="8" t="str">
        <f>"11561"</f>
        <v>11561</v>
      </c>
      <c r="AK2256" t="s">
        <v>118</v>
      </c>
      <c r="AM2256" s="10">
        <v>12153474369</v>
      </c>
      <c r="AO2256" t="s">
        <v>12530</v>
      </c>
      <c r="AX2256" s="8" t="str">
        <f>""</f>
        <v/>
      </c>
      <c r="BG2256" t="s">
        <v>358</v>
      </c>
      <c r="BH2256" s="1">
        <v>45250.791666666664</v>
      </c>
      <c r="BI2256">
        <v>50</v>
      </c>
      <c r="BJ2256">
        <v>0</v>
      </c>
      <c r="BK2256">
        <v>10</v>
      </c>
      <c r="BL2256">
        <v>10</v>
      </c>
      <c r="BM2256">
        <v>10</v>
      </c>
      <c r="BN2256">
        <v>10</v>
      </c>
      <c r="BO2256">
        <v>10</v>
      </c>
      <c r="BP2256">
        <v>0</v>
      </c>
      <c r="BQ2256" t="str">
        <f>"8:00 AM"</f>
        <v>8:00 AM</v>
      </c>
      <c r="BR2256" t="str">
        <f>"6:00 PM"</f>
        <v>6:00 PM</v>
      </c>
      <c r="BS2256" t="s">
        <v>147</v>
      </c>
      <c r="BT2256">
        <v>0</v>
      </c>
      <c r="BU2256">
        <v>0</v>
      </c>
      <c r="BV2256" t="s">
        <v>114</v>
      </c>
      <c r="BX2256" s="2" t="s">
        <v>12531</v>
      </c>
      <c r="BY2256" t="s">
        <v>12526</v>
      </c>
      <c r="CA2256" t="s">
        <v>12527</v>
      </c>
      <c r="CB2256" t="s">
        <v>358</v>
      </c>
      <c r="CC2256" s="8" t="str">
        <f>"11561"</f>
        <v>11561</v>
      </c>
      <c r="CD2256" t="s">
        <v>2352</v>
      </c>
      <c r="CE2256" t="s">
        <v>1418</v>
      </c>
      <c r="CF2256" s="12">
        <v>15</v>
      </c>
      <c r="CJ2256" t="s">
        <v>135</v>
      </c>
      <c r="CL2256" t="s">
        <v>12532</v>
      </c>
      <c r="CO2256" t="s">
        <v>136</v>
      </c>
      <c r="CP2256" t="s">
        <v>114</v>
      </c>
      <c r="CQ2256" t="s">
        <v>114</v>
      </c>
      <c r="CR2256" t="s">
        <v>114</v>
      </c>
      <c r="CS2256" t="s">
        <v>136</v>
      </c>
      <c r="CT2256" t="s">
        <v>136</v>
      </c>
      <c r="CU2256" t="s">
        <v>136</v>
      </c>
      <c r="CV2256" t="s">
        <v>131</v>
      </c>
      <c r="CW2256" s="10" t="str">
        <f>"+12153474369"</f>
        <v>+12153474369</v>
      </c>
      <c r="CX2256" t="s">
        <v>12530</v>
      </c>
      <c r="CY2256" t="s">
        <v>132</v>
      </c>
      <c r="CZ2256" t="s">
        <v>137</v>
      </c>
      <c r="DA2256" t="s">
        <v>114</v>
      </c>
      <c r="DB2256" t="s">
        <v>114</v>
      </c>
      <c r="DC2256" t="s">
        <v>136</v>
      </c>
      <c r="DD2256" t="s">
        <v>114</v>
      </c>
    </row>
    <row r="2257" spans="1:113" ht="15" customHeight="1" x14ac:dyDescent="0.25">
      <c r="A2257" t="s">
        <v>12894</v>
      </c>
      <c r="B2257" t="s">
        <v>3875</v>
      </c>
      <c r="C2257" s="1">
        <v>45226.567815740738</v>
      </c>
      <c r="D2257" s="1">
        <v>45236</v>
      </c>
      <c r="E2257" t="s">
        <v>132</v>
      </c>
      <c r="F2257" t="s">
        <v>12895</v>
      </c>
      <c r="G2257" t="str">
        <f>"11-9021.00"</f>
        <v>11-9021.00</v>
      </c>
      <c r="H2257" t="s">
        <v>648</v>
      </c>
      <c r="I2257">
        <v>1</v>
      </c>
      <c r="K2257" s="1">
        <v>45306</v>
      </c>
      <c r="L2257" s="1">
        <v>45550</v>
      </c>
      <c r="O2257" t="s">
        <v>184</v>
      </c>
      <c r="P2257" t="s">
        <v>12896</v>
      </c>
      <c r="R2257" t="s">
        <v>12897</v>
      </c>
      <c r="S2257" t="s">
        <v>12898</v>
      </c>
      <c r="T2257" t="s">
        <v>2442</v>
      </c>
      <c r="U2257" t="s">
        <v>854</v>
      </c>
      <c r="V2257" s="8" t="str">
        <f>"83611"</f>
        <v>83611</v>
      </c>
      <c r="W2257" t="s">
        <v>118</v>
      </c>
      <c r="Y2257" s="10">
        <v>12089942954</v>
      </c>
      <c r="AA2257">
        <v>236115</v>
      </c>
      <c r="AB2257" t="s">
        <v>12899</v>
      </c>
      <c r="AC2257" t="s">
        <v>1328</v>
      </c>
      <c r="AD2257" t="s">
        <v>1738</v>
      </c>
      <c r="AE2257" t="s">
        <v>12900</v>
      </c>
      <c r="AF2257" t="s">
        <v>12897</v>
      </c>
      <c r="AG2257" t="s">
        <v>12898</v>
      </c>
      <c r="AH2257" t="s">
        <v>2442</v>
      </c>
      <c r="AI2257" t="s">
        <v>854</v>
      </c>
      <c r="AJ2257" s="8" t="str">
        <f>"83611"</f>
        <v>83611</v>
      </c>
      <c r="AK2257" t="s">
        <v>118</v>
      </c>
      <c r="AM2257" s="10">
        <v>12089955203</v>
      </c>
      <c r="AO2257" t="s">
        <v>12901</v>
      </c>
      <c r="AX2257" s="8" t="str">
        <f>""</f>
        <v/>
      </c>
      <c r="BG2257" t="s">
        <v>854</v>
      </c>
      <c r="BH2257" s="1">
        <v>45225.833333333336</v>
      </c>
      <c r="BI2257">
        <v>40</v>
      </c>
      <c r="BJ2257">
        <v>0</v>
      </c>
      <c r="BK2257">
        <v>8</v>
      </c>
      <c r="BL2257">
        <v>8</v>
      </c>
      <c r="BM2257">
        <v>8</v>
      </c>
      <c r="BN2257">
        <v>8</v>
      </c>
      <c r="BO2257">
        <v>8</v>
      </c>
      <c r="BP2257">
        <v>0</v>
      </c>
      <c r="BQ2257" t="str">
        <f>"9:00 AM"</f>
        <v>9:00 AM</v>
      </c>
      <c r="BR2257" t="str">
        <f>"5:00 PM"</f>
        <v>5:00 PM</v>
      </c>
      <c r="BS2257" t="s">
        <v>5177</v>
      </c>
      <c r="BT2257">
        <v>0</v>
      </c>
      <c r="BU2257">
        <v>6</v>
      </c>
      <c r="BV2257" t="s">
        <v>114</v>
      </c>
      <c r="BX2257" s="2" t="s">
        <v>12902</v>
      </c>
      <c r="BY2257" t="s">
        <v>12897</v>
      </c>
      <c r="CA2257" t="s">
        <v>2442</v>
      </c>
      <c r="CB2257" t="s">
        <v>854</v>
      </c>
      <c r="CC2257" s="8" t="str">
        <f>"83611"</f>
        <v>83611</v>
      </c>
      <c r="CD2257" t="s">
        <v>7288</v>
      </c>
      <c r="CE2257" t="s">
        <v>7289</v>
      </c>
      <c r="CF2257" s="12">
        <v>18</v>
      </c>
      <c r="CG2257" s="12">
        <v>23</v>
      </c>
      <c r="CJ2257" t="s">
        <v>135</v>
      </c>
      <c r="CK2257" t="s">
        <v>132</v>
      </c>
      <c r="CL2257" t="s">
        <v>12903</v>
      </c>
      <c r="CO2257" t="s">
        <v>136</v>
      </c>
      <c r="CP2257" t="s">
        <v>136</v>
      </c>
      <c r="CQ2257" t="s">
        <v>136</v>
      </c>
      <c r="CR2257" t="s">
        <v>114</v>
      </c>
      <c r="CS2257" t="s">
        <v>136</v>
      </c>
      <c r="CT2257" t="s">
        <v>136</v>
      </c>
      <c r="CU2257" t="s">
        <v>114</v>
      </c>
      <c r="CV2257" t="s">
        <v>131</v>
      </c>
      <c r="CW2257" s="10" t="str">
        <f>"+12089955203"</f>
        <v>+12089955203</v>
      </c>
      <c r="CX2257" t="s">
        <v>12901</v>
      </c>
      <c r="CY2257" t="s">
        <v>132</v>
      </c>
      <c r="CZ2257" t="s">
        <v>137</v>
      </c>
      <c r="DA2257" t="s">
        <v>114</v>
      </c>
      <c r="DB2257" t="s">
        <v>114</v>
      </c>
      <c r="DC2257" t="s">
        <v>136</v>
      </c>
      <c r="DD2257" t="s">
        <v>114</v>
      </c>
    </row>
    <row r="2258" spans="1:113" ht="15" customHeight="1" x14ac:dyDescent="0.25">
      <c r="A2258" t="s">
        <v>13142</v>
      </c>
      <c r="B2258" t="s">
        <v>3875</v>
      </c>
      <c r="C2258" s="1">
        <v>45230.50416527778</v>
      </c>
      <c r="D2258" s="1">
        <v>45233</v>
      </c>
      <c r="E2258" t="s">
        <v>132</v>
      </c>
      <c r="F2258" t="s">
        <v>3245</v>
      </c>
      <c r="G2258" t="str">
        <f>"47-3019.00"</f>
        <v>47-3019.00</v>
      </c>
      <c r="H2258" t="s">
        <v>9086</v>
      </c>
      <c r="I2258">
        <v>8</v>
      </c>
      <c r="K2258" s="1">
        <v>45231</v>
      </c>
      <c r="L2258" s="1">
        <v>45350</v>
      </c>
      <c r="O2258" t="s">
        <v>238</v>
      </c>
      <c r="P2258" t="s">
        <v>13143</v>
      </c>
      <c r="Q2258" t="s">
        <v>13143</v>
      </c>
      <c r="R2258" t="s">
        <v>13144</v>
      </c>
      <c r="S2258" t="s">
        <v>13145</v>
      </c>
      <c r="T2258" t="s">
        <v>13146</v>
      </c>
      <c r="U2258" t="s">
        <v>2262</v>
      </c>
      <c r="V2258" s="8" t="str">
        <f>"06002"</f>
        <v>06002</v>
      </c>
      <c r="W2258" t="s">
        <v>118</v>
      </c>
      <c r="Y2258" s="10">
        <v>18607948739</v>
      </c>
      <c r="AA2258">
        <v>236118</v>
      </c>
      <c r="AB2258" t="s">
        <v>13147</v>
      </c>
      <c r="AC2258" t="s">
        <v>5235</v>
      </c>
      <c r="AE2258" t="s">
        <v>561</v>
      </c>
      <c r="AF2258" t="s">
        <v>13144</v>
      </c>
      <c r="AG2258" t="s">
        <v>13148</v>
      </c>
      <c r="AH2258" t="s">
        <v>13146</v>
      </c>
      <c r="AI2258" t="s">
        <v>2262</v>
      </c>
      <c r="AJ2258" s="8" t="str">
        <f>"06002"</f>
        <v>06002</v>
      </c>
      <c r="AK2258" t="s">
        <v>118</v>
      </c>
      <c r="AM2258" s="10">
        <v>18607948739</v>
      </c>
      <c r="AO2258" t="s">
        <v>13149</v>
      </c>
      <c r="AX2258" s="8" t="str">
        <f>""</f>
        <v/>
      </c>
      <c r="BG2258" t="s">
        <v>2262</v>
      </c>
      <c r="BH2258" s="1">
        <v>45229.833333333336</v>
      </c>
      <c r="BI2258">
        <v>45</v>
      </c>
      <c r="BJ2258">
        <v>0</v>
      </c>
      <c r="BK2258">
        <v>8</v>
      </c>
      <c r="BL2258">
        <v>8</v>
      </c>
      <c r="BM2258">
        <v>8</v>
      </c>
      <c r="BN2258">
        <v>8</v>
      </c>
      <c r="BO2258">
        <v>8</v>
      </c>
      <c r="BP2258">
        <v>5</v>
      </c>
      <c r="BQ2258" t="str">
        <f>"9:00 AM"</f>
        <v>9:00 AM</v>
      </c>
      <c r="BR2258" t="str">
        <f>"5:00 PM"</f>
        <v>5:00 PM</v>
      </c>
      <c r="BS2258" t="s">
        <v>131</v>
      </c>
      <c r="BT2258">
        <v>6</v>
      </c>
      <c r="BU2258">
        <v>3</v>
      </c>
      <c r="BV2258" t="s">
        <v>114</v>
      </c>
      <c r="BX2258" t="s">
        <v>13150</v>
      </c>
      <c r="BY2258" t="s">
        <v>13144</v>
      </c>
      <c r="BZ2258" t="s">
        <v>5434</v>
      </c>
      <c r="CA2258" t="s">
        <v>13146</v>
      </c>
      <c r="CB2258" t="s">
        <v>2262</v>
      </c>
      <c r="CC2258" s="8" t="str">
        <f>"06002"</f>
        <v>06002</v>
      </c>
      <c r="CD2258" t="s">
        <v>2268</v>
      </c>
      <c r="CE2258" t="s">
        <v>2269</v>
      </c>
      <c r="CF2258" s="12">
        <v>15</v>
      </c>
      <c r="CG2258" s="12">
        <v>15.5</v>
      </c>
      <c r="CJ2258" t="s">
        <v>135</v>
      </c>
      <c r="CK2258" t="s">
        <v>796</v>
      </c>
      <c r="CL2258" t="s">
        <v>13151</v>
      </c>
      <c r="CO2258" t="s">
        <v>136</v>
      </c>
      <c r="CP2258" t="s">
        <v>136</v>
      </c>
      <c r="CQ2258" t="s">
        <v>136</v>
      </c>
      <c r="CR2258" t="s">
        <v>114</v>
      </c>
      <c r="CS2258" t="s">
        <v>136</v>
      </c>
      <c r="CT2258" t="s">
        <v>136</v>
      </c>
      <c r="CU2258" t="s">
        <v>136</v>
      </c>
      <c r="CV2258" t="s">
        <v>13152</v>
      </c>
      <c r="CW2258" s="10" t="str">
        <f>"+18607948739"</f>
        <v>+18607948739</v>
      </c>
      <c r="CX2258" t="s">
        <v>13149</v>
      </c>
      <c r="CY2258" t="s">
        <v>13153</v>
      </c>
      <c r="CZ2258" t="s">
        <v>137</v>
      </c>
      <c r="DA2258" t="s">
        <v>114</v>
      </c>
      <c r="DB2258" t="s">
        <v>114</v>
      </c>
      <c r="DC2258" t="s">
        <v>136</v>
      </c>
      <c r="DD2258" t="s">
        <v>114</v>
      </c>
    </row>
    <row r="2259" spans="1:113" ht="15" customHeight="1" x14ac:dyDescent="0.25">
      <c r="A2259" t="s">
        <v>12953</v>
      </c>
      <c r="B2259" t="s">
        <v>3875</v>
      </c>
      <c r="C2259" s="1">
        <v>45218.668391898151</v>
      </c>
      <c r="D2259" s="1">
        <v>45232</v>
      </c>
      <c r="E2259" t="s">
        <v>132</v>
      </c>
      <c r="F2259" t="s">
        <v>12954</v>
      </c>
      <c r="G2259" t="str">
        <f>"47-2141.00"</f>
        <v>47-2141.00</v>
      </c>
      <c r="H2259" t="s">
        <v>5569</v>
      </c>
      <c r="I2259">
        <v>4</v>
      </c>
      <c r="K2259" s="1">
        <v>45261</v>
      </c>
      <c r="L2259" s="1">
        <v>45376</v>
      </c>
      <c r="O2259" t="s">
        <v>116</v>
      </c>
      <c r="P2259" t="s">
        <v>12955</v>
      </c>
      <c r="R2259" t="s">
        <v>3237</v>
      </c>
      <c r="S2259" t="s">
        <v>3076</v>
      </c>
      <c r="T2259" t="s">
        <v>3238</v>
      </c>
      <c r="U2259" t="s">
        <v>222</v>
      </c>
      <c r="V2259" s="8" t="str">
        <f>"02169"</f>
        <v>02169</v>
      </c>
      <c r="W2259" t="s">
        <v>118</v>
      </c>
      <c r="Y2259" s="10">
        <v>12075579208</v>
      </c>
      <c r="AA2259">
        <v>236220</v>
      </c>
      <c r="AB2259" t="s">
        <v>3239</v>
      </c>
      <c r="AC2259" t="s">
        <v>1212</v>
      </c>
      <c r="AE2259" t="s">
        <v>3876</v>
      </c>
      <c r="AF2259" t="s">
        <v>3237</v>
      </c>
      <c r="AG2259" t="s">
        <v>3076</v>
      </c>
      <c r="AH2259" t="s">
        <v>3238</v>
      </c>
      <c r="AI2259" t="s">
        <v>222</v>
      </c>
      <c r="AJ2259" s="8" t="str">
        <f>"02169"</f>
        <v>02169</v>
      </c>
      <c r="AK2259" t="s">
        <v>118</v>
      </c>
      <c r="AM2259" s="10">
        <v>12075579208</v>
      </c>
      <c r="AO2259" t="s">
        <v>3241</v>
      </c>
      <c r="AP2259" t="s">
        <v>121</v>
      </c>
      <c r="AQ2259" t="s">
        <v>898</v>
      </c>
      <c r="AR2259" t="s">
        <v>3877</v>
      </c>
      <c r="AT2259" t="s">
        <v>900</v>
      </c>
      <c r="AU2259" t="s">
        <v>901</v>
      </c>
      <c r="AV2259" t="s">
        <v>902</v>
      </c>
      <c r="AW2259" t="s">
        <v>903</v>
      </c>
      <c r="AX2259" s="8" t="str">
        <f>"04101"</f>
        <v>04101</v>
      </c>
      <c r="AY2259" t="s">
        <v>118</v>
      </c>
      <c r="BA2259" s="10">
        <v>12077913260</v>
      </c>
      <c r="BC2259" t="s">
        <v>904</v>
      </c>
      <c r="BD2259" t="s">
        <v>905</v>
      </c>
      <c r="BE2259" t="s">
        <v>903</v>
      </c>
      <c r="BF2259" t="s">
        <v>906</v>
      </c>
      <c r="BG2259" t="s">
        <v>903</v>
      </c>
      <c r="BH2259" s="1">
        <v>45217.833333333336</v>
      </c>
      <c r="BI2259">
        <v>35</v>
      </c>
      <c r="BJ2259">
        <v>0</v>
      </c>
      <c r="BK2259">
        <v>7</v>
      </c>
      <c r="BL2259">
        <v>7</v>
      </c>
      <c r="BM2259">
        <v>7</v>
      </c>
      <c r="BN2259">
        <v>7</v>
      </c>
      <c r="BO2259">
        <v>7</v>
      </c>
      <c r="BP2259">
        <v>0</v>
      </c>
      <c r="BQ2259" t="str">
        <f>"7:00 AM"</f>
        <v>7:00 AM</v>
      </c>
      <c r="BR2259" t="str">
        <f>"2:00 PM"</f>
        <v>2:00 PM</v>
      </c>
      <c r="BS2259" t="s">
        <v>131</v>
      </c>
      <c r="BT2259">
        <v>0</v>
      </c>
      <c r="BU2259">
        <v>0</v>
      </c>
      <c r="BV2259" t="s">
        <v>114</v>
      </c>
      <c r="BX2259" t="s">
        <v>12956</v>
      </c>
      <c r="BY2259" t="s">
        <v>12957</v>
      </c>
      <c r="CA2259" t="s">
        <v>2182</v>
      </c>
      <c r="CB2259" t="s">
        <v>903</v>
      </c>
      <c r="CC2259" s="8" t="str">
        <f>"04090"</f>
        <v>04090</v>
      </c>
      <c r="CD2259" t="s">
        <v>2184</v>
      </c>
      <c r="CE2259" t="s">
        <v>2185</v>
      </c>
      <c r="CF2259" s="12">
        <v>23.17</v>
      </c>
      <c r="CG2259" s="12">
        <v>23.17</v>
      </c>
      <c r="CH2259" s="12">
        <v>34.76</v>
      </c>
      <c r="CI2259" s="12">
        <v>34.76</v>
      </c>
      <c r="CJ2259" t="s">
        <v>135</v>
      </c>
      <c r="CK2259" t="s">
        <v>3243</v>
      </c>
      <c r="CL2259" t="s">
        <v>12958</v>
      </c>
      <c r="CO2259" t="s">
        <v>136</v>
      </c>
      <c r="CP2259" t="s">
        <v>136</v>
      </c>
      <c r="CQ2259" t="s">
        <v>114</v>
      </c>
      <c r="CR2259" t="s">
        <v>136</v>
      </c>
      <c r="CS2259" t="s">
        <v>136</v>
      </c>
      <c r="CT2259" t="s">
        <v>136</v>
      </c>
      <c r="CU2259" t="s">
        <v>136</v>
      </c>
      <c r="CV2259" t="s">
        <v>3243</v>
      </c>
      <c r="CW2259" s="10" t="str">
        <f>"+12076455800"</f>
        <v>+12076455800</v>
      </c>
      <c r="CX2259" t="s">
        <v>3244</v>
      </c>
      <c r="CY2259" t="s">
        <v>4111</v>
      </c>
      <c r="CZ2259" t="s">
        <v>137</v>
      </c>
      <c r="DA2259" t="s">
        <v>114</v>
      </c>
      <c r="DB2259" t="s">
        <v>114</v>
      </c>
      <c r="DC2259" t="s">
        <v>136</v>
      </c>
      <c r="DD2259" t="s">
        <v>114</v>
      </c>
    </row>
    <row r="2260" spans="1:113" ht="15" customHeight="1" x14ac:dyDescent="0.25">
      <c r="A2260" t="s">
        <v>21842</v>
      </c>
      <c r="B2260" t="s">
        <v>3875</v>
      </c>
      <c r="C2260" s="1">
        <v>45217.573741782406</v>
      </c>
      <c r="D2260" s="1">
        <v>45232</v>
      </c>
      <c r="E2260" t="s">
        <v>132</v>
      </c>
      <c r="F2260" t="s">
        <v>21843</v>
      </c>
      <c r="G2260" t="str">
        <f>"11-3120, 11-2020"</f>
        <v>11-3120, 11-2020</v>
      </c>
      <c r="H2260" t="s">
        <v>21844</v>
      </c>
      <c r="I2260">
        <v>1</v>
      </c>
      <c r="K2260" s="1">
        <v>45242</v>
      </c>
      <c r="L2260" s="1">
        <v>46338</v>
      </c>
      <c r="O2260" t="s">
        <v>3248</v>
      </c>
      <c r="P2260" t="s">
        <v>21845</v>
      </c>
      <c r="Q2260" t="s">
        <v>21846</v>
      </c>
      <c r="R2260" t="s">
        <v>21847</v>
      </c>
      <c r="T2260" t="s">
        <v>14269</v>
      </c>
      <c r="U2260" t="s">
        <v>479</v>
      </c>
      <c r="V2260" s="8" t="str">
        <f>"97734-9612"</f>
        <v>97734-9612</v>
      </c>
      <c r="Y2260" s="10" t="s">
        <v>21848</v>
      </c>
      <c r="AA2260">
        <v>721</v>
      </c>
      <c r="AB2260" t="s">
        <v>21849</v>
      </c>
      <c r="AC2260" t="s">
        <v>1826</v>
      </c>
      <c r="AD2260" t="s">
        <v>250</v>
      </c>
      <c r="AE2260" t="s">
        <v>561</v>
      </c>
      <c r="AF2260" t="s">
        <v>21847</v>
      </c>
      <c r="AH2260" t="s">
        <v>14269</v>
      </c>
      <c r="AI2260" t="s">
        <v>479</v>
      </c>
      <c r="AJ2260" s="8" t="str">
        <f>"97734-9612"</f>
        <v>97734-9612</v>
      </c>
      <c r="AM2260" s="10" t="s">
        <v>21848</v>
      </c>
      <c r="AO2260" t="s">
        <v>18869</v>
      </c>
      <c r="AX2260" s="8" t="str">
        <f>""</f>
        <v/>
      </c>
      <c r="BG2260" t="s">
        <v>479</v>
      </c>
      <c r="BH2260" s="1">
        <v>45162.833333333336</v>
      </c>
      <c r="BQ2260" t="str">
        <f>"8:00 AM"</f>
        <v>8:00 AM</v>
      </c>
      <c r="BR2260" t="str">
        <f>"5:00 PM"</f>
        <v>5:00 PM</v>
      </c>
      <c r="BS2260" t="s">
        <v>6093</v>
      </c>
      <c r="BT2260">
        <v>0</v>
      </c>
      <c r="BU2260">
        <v>36</v>
      </c>
      <c r="BV2260" t="s">
        <v>136</v>
      </c>
      <c r="BW2260">
        <v>10</v>
      </c>
      <c r="BX2260" t="s">
        <v>21850</v>
      </c>
      <c r="BY2260" t="s">
        <v>21847</v>
      </c>
      <c r="CA2260" t="s">
        <v>14269</v>
      </c>
      <c r="CB2260" t="s">
        <v>479</v>
      </c>
      <c r="CC2260" s="8" t="str">
        <f>"97734-9612"</f>
        <v>97734-9612</v>
      </c>
      <c r="CE2260" t="s">
        <v>131</v>
      </c>
      <c r="CF2260" s="12">
        <v>13.2</v>
      </c>
      <c r="CG2260" s="12">
        <v>16.5</v>
      </c>
      <c r="CJ2260" t="s">
        <v>135</v>
      </c>
      <c r="CL2260" t="s">
        <v>1789</v>
      </c>
      <c r="CO2260" t="s">
        <v>132</v>
      </c>
      <c r="CP2260" t="s">
        <v>114</v>
      </c>
      <c r="CQ2260" t="s">
        <v>136</v>
      </c>
      <c r="CR2260" t="s">
        <v>136</v>
      </c>
      <c r="CS2260" t="s">
        <v>136</v>
      </c>
      <c r="CT2260" t="s">
        <v>136</v>
      </c>
      <c r="CU2260" t="s">
        <v>136</v>
      </c>
      <c r="CV2260" t="s">
        <v>131</v>
      </c>
      <c r="CW2260" s="10" t="str">
        <f>"503-975-7734"</f>
        <v>503-975-7734</v>
      </c>
      <c r="CX2260" t="s">
        <v>21851</v>
      </c>
      <c r="CY2260" t="s">
        <v>1789</v>
      </c>
      <c r="CZ2260" t="s">
        <v>137</v>
      </c>
      <c r="DA2260" t="s">
        <v>136</v>
      </c>
      <c r="DB2260" t="s">
        <v>114</v>
      </c>
      <c r="DC2260" t="s">
        <v>136</v>
      </c>
      <c r="DD2260" t="s">
        <v>136</v>
      </c>
      <c r="DE2260" t="s">
        <v>21852</v>
      </c>
    </row>
    <row r="2261" spans="1:113" ht="15" customHeight="1" x14ac:dyDescent="0.25">
      <c r="A2261" t="s">
        <v>20770</v>
      </c>
      <c r="B2261" t="s">
        <v>3875</v>
      </c>
      <c r="C2261" s="1">
        <v>45218.68098020833</v>
      </c>
      <c r="D2261" s="1">
        <v>45231</v>
      </c>
      <c r="E2261" t="s">
        <v>132</v>
      </c>
      <c r="F2261" t="s">
        <v>18899</v>
      </c>
      <c r="G2261" t="str">
        <f>"49-9071.00"</f>
        <v>49-9071.00</v>
      </c>
      <c r="H2261" t="s">
        <v>5714</v>
      </c>
      <c r="I2261">
        <v>7</v>
      </c>
      <c r="K2261" s="1">
        <v>45261</v>
      </c>
      <c r="L2261" s="1">
        <v>45376</v>
      </c>
      <c r="O2261" t="s">
        <v>116</v>
      </c>
      <c r="P2261" t="s">
        <v>12955</v>
      </c>
      <c r="R2261" t="s">
        <v>7516</v>
      </c>
      <c r="S2261" t="s">
        <v>3076</v>
      </c>
      <c r="T2261" t="s">
        <v>3238</v>
      </c>
      <c r="U2261" t="s">
        <v>222</v>
      </c>
      <c r="V2261" s="8" t="str">
        <f>"02169"</f>
        <v>02169</v>
      </c>
      <c r="W2261" t="s">
        <v>118</v>
      </c>
      <c r="Y2261" s="10">
        <v>12075579208</v>
      </c>
      <c r="AA2261">
        <v>236220</v>
      </c>
      <c r="AB2261" t="s">
        <v>3239</v>
      </c>
      <c r="AC2261" t="s">
        <v>1212</v>
      </c>
      <c r="AE2261" t="s">
        <v>3876</v>
      </c>
      <c r="AF2261" t="s">
        <v>3237</v>
      </c>
      <c r="AG2261" t="s">
        <v>3076</v>
      </c>
      <c r="AH2261" t="s">
        <v>3238</v>
      </c>
      <c r="AI2261" t="s">
        <v>222</v>
      </c>
      <c r="AJ2261" s="8" t="str">
        <f>"02169"</f>
        <v>02169</v>
      </c>
      <c r="AK2261" t="s">
        <v>118</v>
      </c>
      <c r="AM2261" s="10">
        <v>12075579208</v>
      </c>
      <c r="AO2261" t="s">
        <v>3241</v>
      </c>
      <c r="AP2261" t="s">
        <v>121</v>
      </c>
      <c r="AQ2261" t="s">
        <v>898</v>
      </c>
      <c r="AR2261" t="s">
        <v>3877</v>
      </c>
      <c r="AT2261" t="s">
        <v>900</v>
      </c>
      <c r="AU2261" t="s">
        <v>3878</v>
      </c>
      <c r="AV2261" t="s">
        <v>13773</v>
      </c>
      <c r="AW2261" t="s">
        <v>903</v>
      </c>
      <c r="AX2261" s="8" t="str">
        <f>"04101"</f>
        <v>04101</v>
      </c>
      <c r="AY2261" t="s">
        <v>118</v>
      </c>
      <c r="BA2261" s="10">
        <v>12077913260</v>
      </c>
      <c r="BC2261" t="s">
        <v>904</v>
      </c>
      <c r="BD2261" t="s">
        <v>905</v>
      </c>
      <c r="BE2261" t="s">
        <v>903</v>
      </c>
      <c r="BF2261" t="s">
        <v>906</v>
      </c>
      <c r="BG2261" t="s">
        <v>903</v>
      </c>
      <c r="BH2261" s="1">
        <v>45217.833333333336</v>
      </c>
      <c r="BI2261">
        <v>35</v>
      </c>
      <c r="BJ2261">
        <v>0</v>
      </c>
      <c r="BK2261">
        <v>7</v>
      </c>
      <c r="BL2261">
        <v>7</v>
      </c>
      <c r="BM2261">
        <v>7</v>
      </c>
      <c r="BN2261">
        <v>7</v>
      </c>
      <c r="BO2261">
        <v>7</v>
      </c>
      <c r="BP2261">
        <v>0</v>
      </c>
      <c r="BQ2261" t="str">
        <f>"7:00 AM"</f>
        <v>7:00 AM</v>
      </c>
      <c r="BR2261" t="str">
        <f>"2:00 PM"</f>
        <v>2:00 PM</v>
      </c>
      <c r="BS2261" t="s">
        <v>131</v>
      </c>
      <c r="BT2261">
        <v>0</v>
      </c>
      <c r="BU2261">
        <v>0</v>
      </c>
      <c r="BV2261" t="s">
        <v>114</v>
      </c>
      <c r="BX2261" t="s">
        <v>12956</v>
      </c>
      <c r="BY2261" t="s">
        <v>20771</v>
      </c>
      <c r="CA2261" t="s">
        <v>902</v>
      </c>
      <c r="CB2261" t="s">
        <v>903</v>
      </c>
      <c r="CC2261" s="8" t="str">
        <f>"04102"</f>
        <v>04102</v>
      </c>
      <c r="CD2261" t="s">
        <v>3599</v>
      </c>
      <c r="CE2261" t="s">
        <v>3078</v>
      </c>
      <c r="CF2261" s="12">
        <v>23.65</v>
      </c>
      <c r="CG2261" s="12">
        <v>23.65</v>
      </c>
      <c r="CH2261" s="12">
        <v>35.479999999999997</v>
      </c>
      <c r="CI2261" s="12">
        <v>35.479999999999997</v>
      </c>
      <c r="CJ2261" t="s">
        <v>135</v>
      </c>
      <c r="CK2261" t="s">
        <v>3243</v>
      </c>
      <c r="CL2261" t="s">
        <v>20772</v>
      </c>
      <c r="CO2261" t="s">
        <v>136</v>
      </c>
      <c r="CP2261" t="s">
        <v>136</v>
      </c>
      <c r="CQ2261" t="s">
        <v>114</v>
      </c>
      <c r="CR2261" t="s">
        <v>136</v>
      </c>
      <c r="CS2261" t="s">
        <v>136</v>
      </c>
      <c r="CT2261" t="s">
        <v>136</v>
      </c>
      <c r="CU2261" t="s">
        <v>136</v>
      </c>
      <c r="CV2261" t="s">
        <v>3243</v>
      </c>
      <c r="CW2261" s="10" t="str">
        <f>"+12076237981"</f>
        <v>+12076237981</v>
      </c>
      <c r="CX2261" t="s">
        <v>3244</v>
      </c>
      <c r="CY2261" t="s">
        <v>4111</v>
      </c>
      <c r="CZ2261" t="s">
        <v>137</v>
      </c>
      <c r="DA2261" t="s">
        <v>114</v>
      </c>
      <c r="DB2261" t="s">
        <v>114</v>
      </c>
      <c r="DC2261" t="s">
        <v>136</v>
      </c>
      <c r="DD2261" t="s">
        <v>114</v>
      </c>
    </row>
    <row r="2262" spans="1:113" ht="15" customHeight="1" x14ac:dyDescent="0.25">
      <c r="A2262" t="s">
        <v>22653</v>
      </c>
      <c r="B2262" t="s">
        <v>3875</v>
      </c>
      <c r="C2262" s="1">
        <v>45211.743605671298</v>
      </c>
      <c r="D2262" s="1">
        <v>45231</v>
      </c>
      <c r="E2262" t="s">
        <v>132</v>
      </c>
      <c r="F2262" t="s">
        <v>8386</v>
      </c>
      <c r="G2262" t="str">
        <f>"43-4081.00"</f>
        <v>43-4081.00</v>
      </c>
      <c r="H2262" t="s">
        <v>952</v>
      </c>
      <c r="I2262">
        <v>4</v>
      </c>
      <c r="K2262" s="1">
        <v>45261</v>
      </c>
      <c r="L2262" s="1">
        <v>45366</v>
      </c>
      <c r="O2262" t="s">
        <v>116</v>
      </c>
      <c r="P2262" t="s">
        <v>3236</v>
      </c>
      <c r="R2262" t="s">
        <v>3237</v>
      </c>
      <c r="S2262" t="s">
        <v>3076</v>
      </c>
      <c r="T2262" t="s">
        <v>3238</v>
      </c>
      <c r="U2262" t="s">
        <v>222</v>
      </c>
      <c r="V2262" s="8" t="str">
        <f>"02171"</f>
        <v>02171</v>
      </c>
      <c r="W2262" t="s">
        <v>118</v>
      </c>
      <c r="Y2262" s="10">
        <v>16177703722</v>
      </c>
      <c r="AA2262">
        <v>721110</v>
      </c>
      <c r="AB2262" t="s">
        <v>3239</v>
      </c>
      <c r="AC2262" t="s">
        <v>1212</v>
      </c>
      <c r="AE2262" t="s">
        <v>3876</v>
      </c>
      <c r="AF2262" t="s">
        <v>7516</v>
      </c>
      <c r="AG2262" t="s">
        <v>3076</v>
      </c>
      <c r="AH2262" t="s">
        <v>3238</v>
      </c>
      <c r="AI2262" t="s">
        <v>222</v>
      </c>
      <c r="AJ2262" s="8" t="str">
        <f>"02171"</f>
        <v>02171</v>
      </c>
      <c r="AK2262" t="s">
        <v>118</v>
      </c>
      <c r="AM2262" s="10">
        <v>12075579208</v>
      </c>
      <c r="AO2262" t="s">
        <v>3241</v>
      </c>
      <c r="AP2262" t="s">
        <v>121</v>
      </c>
      <c r="AQ2262" t="s">
        <v>898</v>
      </c>
      <c r="AR2262" t="s">
        <v>3877</v>
      </c>
      <c r="AT2262" t="s">
        <v>900</v>
      </c>
      <c r="AU2262" t="s">
        <v>3878</v>
      </c>
      <c r="AV2262" t="s">
        <v>902</v>
      </c>
      <c r="AW2262" t="s">
        <v>903</v>
      </c>
      <c r="AX2262" s="8" t="str">
        <f>"04101"</f>
        <v>04101</v>
      </c>
      <c r="AY2262" t="s">
        <v>118</v>
      </c>
      <c r="BA2262" s="10">
        <v>12077913260</v>
      </c>
      <c r="BC2262" t="s">
        <v>904</v>
      </c>
      <c r="BD2262" t="s">
        <v>905</v>
      </c>
      <c r="BE2262" t="s">
        <v>903</v>
      </c>
      <c r="BF2262" t="s">
        <v>906</v>
      </c>
      <c r="BG2262" t="s">
        <v>903</v>
      </c>
      <c r="BH2262" s="1">
        <v>45210.833333333336</v>
      </c>
      <c r="BI2262">
        <v>40</v>
      </c>
      <c r="BJ2262">
        <v>0</v>
      </c>
      <c r="BK2262">
        <v>8</v>
      </c>
      <c r="BL2262">
        <v>8</v>
      </c>
      <c r="BM2262">
        <v>8</v>
      </c>
      <c r="BN2262">
        <v>8</v>
      </c>
      <c r="BO2262">
        <v>8</v>
      </c>
      <c r="BP2262">
        <v>0</v>
      </c>
      <c r="BQ2262" t="str">
        <f>"7:00 AM"</f>
        <v>7:00 AM</v>
      </c>
      <c r="BR2262" t="str">
        <f>"3:00 PM"</f>
        <v>3:00 PM</v>
      </c>
      <c r="BS2262" t="s">
        <v>131</v>
      </c>
      <c r="BT2262">
        <v>0</v>
      </c>
      <c r="BU2262">
        <v>0</v>
      </c>
      <c r="BV2262" t="s">
        <v>114</v>
      </c>
      <c r="BX2262" t="s">
        <v>22654</v>
      </c>
      <c r="BY2262" t="s">
        <v>7517</v>
      </c>
      <c r="CA2262" t="s">
        <v>7518</v>
      </c>
      <c r="CB2262" t="s">
        <v>903</v>
      </c>
      <c r="CC2262" s="8" t="str">
        <f>"03907"</f>
        <v>03907</v>
      </c>
      <c r="CD2262" t="s">
        <v>5996</v>
      </c>
      <c r="CE2262" t="s">
        <v>2185</v>
      </c>
      <c r="CF2262" s="12">
        <v>14.26</v>
      </c>
      <c r="CG2262" s="12">
        <v>14.26</v>
      </c>
      <c r="CH2262" s="12">
        <v>21.39</v>
      </c>
      <c r="CI2262" s="12">
        <v>21.39</v>
      </c>
      <c r="CJ2262" t="s">
        <v>135</v>
      </c>
      <c r="CK2262" t="s">
        <v>22655</v>
      </c>
      <c r="CL2262" t="s">
        <v>22656</v>
      </c>
      <c r="CO2262" t="s">
        <v>136</v>
      </c>
      <c r="CP2262" t="s">
        <v>136</v>
      </c>
      <c r="CQ2262" t="s">
        <v>114</v>
      </c>
      <c r="CR2262" t="s">
        <v>136</v>
      </c>
      <c r="CS2262" t="s">
        <v>136</v>
      </c>
      <c r="CT2262" t="s">
        <v>136</v>
      </c>
      <c r="CU2262" t="s">
        <v>136</v>
      </c>
      <c r="CV2262" t="s">
        <v>6590</v>
      </c>
      <c r="CW2262" s="10" t="str">
        <f>"+12076237981"</f>
        <v>+12076237981</v>
      </c>
      <c r="CX2262" t="s">
        <v>3244</v>
      </c>
      <c r="CY2262" t="s">
        <v>3884</v>
      </c>
      <c r="CZ2262" t="s">
        <v>137</v>
      </c>
      <c r="DA2262" t="s">
        <v>114</v>
      </c>
      <c r="DB2262" t="s">
        <v>114</v>
      </c>
      <c r="DC2262" t="s">
        <v>136</v>
      </c>
      <c r="DD2262" t="s">
        <v>114</v>
      </c>
    </row>
    <row r="2263" spans="1:113" ht="15" customHeight="1" x14ac:dyDescent="0.25">
      <c r="A2263" t="s">
        <v>8385</v>
      </c>
      <c r="B2263" t="s">
        <v>3875</v>
      </c>
      <c r="C2263" s="1">
        <v>45211.735714814815</v>
      </c>
      <c r="D2263" s="1">
        <v>45231</v>
      </c>
      <c r="E2263" t="s">
        <v>132</v>
      </c>
      <c r="F2263" t="s">
        <v>8386</v>
      </c>
      <c r="G2263" t="str">
        <f>"43-4081.00"</f>
        <v>43-4081.00</v>
      </c>
      <c r="H2263" t="s">
        <v>952</v>
      </c>
      <c r="I2263">
        <v>2</v>
      </c>
      <c r="K2263" s="1">
        <v>45261</v>
      </c>
      <c r="L2263" s="1">
        <v>45366</v>
      </c>
      <c r="O2263" t="s">
        <v>116</v>
      </c>
      <c r="P2263" t="s">
        <v>3236</v>
      </c>
      <c r="R2263" t="s">
        <v>3237</v>
      </c>
      <c r="S2263" t="s">
        <v>3076</v>
      </c>
      <c r="T2263" t="s">
        <v>3238</v>
      </c>
      <c r="U2263" t="s">
        <v>222</v>
      </c>
      <c r="V2263" s="8" t="str">
        <f>"02171"</f>
        <v>02171</v>
      </c>
      <c r="W2263" t="s">
        <v>118</v>
      </c>
      <c r="Y2263" s="10">
        <v>16177703722</v>
      </c>
      <c r="AA2263">
        <v>72111</v>
      </c>
      <c r="AB2263" t="s">
        <v>3239</v>
      </c>
      <c r="AC2263" t="s">
        <v>1212</v>
      </c>
      <c r="AE2263" t="s">
        <v>3876</v>
      </c>
      <c r="AF2263" t="s">
        <v>7516</v>
      </c>
      <c r="AG2263" t="s">
        <v>3076</v>
      </c>
      <c r="AH2263" t="s">
        <v>3238</v>
      </c>
      <c r="AI2263" t="s">
        <v>222</v>
      </c>
      <c r="AJ2263" s="8" t="str">
        <f>"02171"</f>
        <v>02171</v>
      </c>
      <c r="AK2263" t="s">
        <v>118</v>
      </c>
      <c r="AM2263" s="10">
        <v>12075579208</v>
      </c>
      <c r="AO2263" t="s">
        <v>3241</v>
      </c>
      <c r="AP2263" t="s">
        <v>121</v>
      </c>
      <c r="AQ2263" t="s">
        <v>898</v>
      </c>
      <c r="AR2263" t="s">
        <v>3877</v>
      </c>
      <c r="AT2263" t="s">
        <v>900</v>
      </c>
      <c r="AU2263" t="s">
        <v>3878</v>
      </c>
      <c r="AV2263" t="s">
        <v>902</v>
      </c>
      <c r="AW2263" t="s">
        <v>903</v>
      </c>
      <c r="AX2263" s="8" t="str">
        <f>"04101"</f>
        <v>04101</v>
      </c>
      <c r="AY2263" t="s">
        <v>118</v>
      </c>
      <c r="BA2263" s="10">
        <v>12077913260</v>
      </c>
      <c r="BC2263" t="s">
        <v>904</v>
      </c>
      <c r="BD2263" t="s">
        <v>905</v>
      </c>
      <c r="BE2263" t="s">
        <v>903</v>
      </c>
      <c r="BF2263" t="s">
        <v>906</v>
      </c>
      <c r="BG2263" t="s">
        <v>903</v>
      </c>
      <c r="BH2263" s="1">
        <v>45210.833333333336</v>
      </c>
      <c r="BI2263">
        <v>40</v>
      </c>
      <c r="BJ2263">
        <v>0</v>
      </c>
      <c r="BK2263">
        <v>8</v>
      </c>
      <c r="BL2263">
        <v>8</v>
      </c>
      <c r="BM2263">
        <v>8</v>
      </c>
      <c r="BN2263">
        <v>8</v>
      </c>
      <c r="BO2263">
        <v>8</v>
      </c>
      <c r="BP2263">
        <v>0</v>
      </c>
      <c r="BQ2263" t="str">
        <f>"7:00 AM"</f>
        <v>7:00 AM</v>
      </c>
      <c r="BR2263" t="str">
        <f>"3:00 PM"</f>
        <v>3:00 PM</v>
      </c>
      <c r="BS2263" t="s">
        <v>131</v>
      </c>
      <c r="BT2263">
        <v>0</v>
      </c>
      <c r="BU2263">
        <v>0</v>
      </c>
      <c r="BV2263" t="s">
        <v>114</v>
      </c>
      <c r="BX2263" t="s">
        <v>8387</v>
      </c>
      <c r="BY2263" t="s">
        <v>3880</v>
      </c>
      <c r="CA2263" t="s">
        <v>3881</v>
      </c>
      <c r="CB2263" t="s">
        <v>903</v>
      </c>
      <c r="CC2263" s="8" t="str">
        <f>"03909"</f>
        <v>03909</v>
      </c>
      <c r="CD2263" t="s">
        <v>2222</v>
      </c>
      <c r="CE2263" t="s">
        <v>2196</v>
      </c>
      <c r="CF2263" s="12">
        <v>14.01</v>
      </c>
      <c r="CG2263" s="12">
        <v>14.01</v>
      </c>
      <c r="CH2263" s="12">
        <v>21.02</v>
      </c>
      <c r="CI2263" s="12">
        <v>21.02</v>
      </c>
      <c r="CJ2263" t="s">
        <v>135</v>
      </c>
      <c r="CK2263" t="s">
        <v>6590</v>
      </c>
      <c r="CL2263" t="s">
        <v>8388</v>
      </c>
      <c r="CO2263" t="s">
        <v>136</v>
      </c>
      <c r="CP2263" t="s">
        <v>114</v>
      </c>
      <c r="CQ2263" t="s">
        <v>114</v>
      </c>
      <c r="CR2263" t="s">
        <v>136</v>
      </c>
      <c r="CS2263" t="s">
        <v>136</v>
      </c>
      <c r="CT2263" t="s">
        <v>136</v>
      </c>
      <c r="CU2263" t="s">
        <v>136</v>
      </c>
      <c r="CV2263" t="s">
        <v>3243</v>
      </c>
      <c r="CW2263" s="10" t="str">
        <f>"+12076237981"</f>
        <v>+12076237981</v>
      </c>
      <c r="CX2263" t="s">
        <v>3244</v>
      </c>
      <c r="CY2263" t="s">
        <v>3884</v>
      </c>
      <c r="CZ2263" t="s">
        <v>137</v>
      </c>
      <c r="DA2263" t="s">
        <v>114</v>
      </c>
      <c r="DB2263" t="s">
        <v>114</v>
      </c>
      <c r="DC2263" t="s">
        <v>136</v>
      </c>
      <c r="DD2263" t="s">
        <v>114</v>
      </c>
    </row>
    <row r="2264" spans="1:113" ht="15" customHeight="1" x14ac:dyDescent="0.25">
      <c r="A2264" t="s">
        <v>19488</v>
      </c>
      <c r="B2264" t="s">
        <v>3875</v>
      </c>
      <c r="C2264" s="1">
        <v>45208.832817939816</v>
      </c>
      <c r="D2264" s="1">
        <v>45230</v>
      </c>
      <c r="E2264" t="s">
        <v>132</v>
      </c>
      <c r="F2264" t="s">
        <v>2479</v>
      </c>
      <c r="G2264" t="str">
        <f>"51-3011.00"</f>
        <v>51-3011.00</v>
      </c>
      <c r="H2264" t="s">
        <v>9458</v>
      </c>
      <c r="I2264">
        <v>1</v>
      </c>
      <c r="K2264" s="1">
        <v>45261</v>
      </c>
      <c r="L2264" s="1">
        <v>45396</v>
      </c>
      <c r="O2264" t="s">
        <v>238</v>
      </c>
      <c r="P2264" t="s">
        <v>19489</v>
      </c>
      <c r="Q2264" t="s">
        <v>19490</v>
      </c>
      <c r="R2264" t="s">
        <v>19491</v>
      </c>
      <c r="T2264" t="s">
        <v>13962</v>
      </c>
      <c r="U2264" t="s">
        <v>188</v>
      </c>
      <c r="V2264" s="8" t="str">
        <f>"81147"</f>
        <v>81147</v>
      </c>
      <c r="W2264" t="s">
        <v>118</v>
      </c>
      <c r="Y2264" s="10">
        <v>19702646970</v>
      </c>
      <c r="AA2264">
        <v>713920</v>
      </c>
      <c r="AB2264" t="s">
        <v>19492</v>
      </c>
      <c r="AC2264" t="s">
        <v>19493</v>
      </c>
      <c r="AD2264" t="s">
        <v>4877</v>
      </c>
      <c r="AE2264" t="s">
        <v>2872</v>
      </c>
      <c r="AF2264" t="s">
        <v>19494</v>
      </c>
      <c r="AH2264" t="s">
        <v>19495</v>
      </c>
      <c r="AI2264" t="s">
        <v>2903</v>
      </c>
      <c r="AJ2264" s="8" t="str">
        <f>"87504"</f>
        <v>87504</v>
      </c>
      <c r="AK2264" t="s">
        <v>118</v>
      </c>
      <c r="AM2264" s="10">
        <v>15059848737</v>
      </c>
      <c r="AO2264" t="s">
        <v>19496</v>
      </c>
      <c r="AX2264" s="8" t="str">
        <f>""</f>
        <v/>
      </c>
      <c r="BG2264" t="s">
        <v>188</v>
      </c>
      <c r="BH2264" s="1">
        <v>45207.833333333336</v>
      </c>
      <c r="BI2264">
        <v>40</v>
      </c>
      <c r="BJ2264">
        <v>8</v>
      </c>
      <c r="BK2264">
        <v>0</v>
      </c>
      <c r="BL2264">
        <v>0</v>
      </c>
      <c r="BM2264">
        <v>8</v>
      </c>
      <c r="BN2264">
        <v>8</v>
      </c>
      <c r="BO2264">
        <v>8</v>
      </c>
      <c r="BP2264">
        <v>8</v>
      </c>
      <c r="BQ2264" t="str">
        <f>"7:00 AM"</f>
        <v>7:00 AM</v>
      </c>
      <c r="BR2264" t="str">
        <f>"4:00 PM"</f>
        <v>4:00 PM</v>
      </c>
      <c r="BS2264" t="s">
        <v>131</v>
      </c>
      <c r="BT2264">
        <v>12</v>
      </c>
      <c r="BU2264">
        <v>12</v>
      </c>
      <c r="BV2264" t="s">
        <v>114</v>
      </c>
      <c r="BX2264" t="s">
        <v>19497</v>
      </c>
      <c r="BY2264" t="s">
        <v>19498</v>
      </c>
      <c r="CA2264" t="s">
        <v>13962</v>
      </c>
      <c r="CB2264" t="s">
        <v>188</v>
      </c>
      <c r="CC2264" s="8" t="str">
        <f>"81147"</f>
        <v>81147</v>
      </c>
      <c r="CD2264" t="s">
        <v>13963</v>
      </c>
      <c r="CE2264" t="s">
        <v>4724</v>
      </c>
      <c r="CF2264" s="12">
        <v>18</v>
      </c>
      <c r="CG2264" s="12">
        <v>20</v>
      </c>
      <c r="CH2264" s="12">
        <v>27</v>
      </c>
      <c r="CI2264" s="12">
        <v>30</v>
      </c>
      <c r="CJ2264" t="s">
        <v>135</v>
      </c>
      <c r="CK2264" t="s">
        <v>19499</v>
      </c>
      <c r="CL2264" t="s">
        <v>19500</v>
      </c>
      <c r="CO2264" t="s">
        <v>136</v>
      </c>
      <c r="CP2264" t="s">
        <v>114</v>
      </c>
      <c r="CQ2264" t="s">
        <v>114</v>
      </c>
      <c r="CR2264" t="s">
        <v>136</v>
      </c>
      <c r="CS2264" t="s">
        <v>136</v>
      </c>
      <c r="CT2264" t="s">
        <v>136</v>
      </c>
      <c r="CU2264" t="s">
        <v>114</v>
      </c>
      <c r="CV2264" s="2" t="s">
        <v>19501</v>
      </c>
      <c r="CW2264" s="10" t="str">
        <f>"N/A"</f>
        <v>N/A</v>
      </c>
      <c r="CX2264" t="s">
        <v>19502</v>
      </c>
      <c r="CY2264" t="s">
        <v>19503</v>
      </c>
      <c r="CZ2264" t="s">
        <v>137</v>
      </c>
      <c r="DA2264" t="s">
        <v>114</v>
      </c>
      <c r="DB2264" t="s">
        <v>114</v>
      </c>
      <c r="DC2264" t="s">
        <v>136</v>
      </c>
      <c r="DD2264" t="s">
        <v>114</v>
      </c>
    </row>
    <row r="2265" spans="1:113" ht="15" customHeight="1" x14ac:dyDescent="0.25">
      <c r="A2265" t="s">
        <v>14495</v>
      </c>
      <c r="B2265" t="s">
        <v>3875</v>
      </c>
      <c r="C2265" s="1">
        <v>45211.7143005787</v>
      </c>
      <c r="D2265" s="1">
        <v>45229</v>
      </c>
      <c r="E2265" t="s">
        <v>132</v>
      </c>
      <c r="F2265" t="s">
        <v>293</v>
      </c>
      <c r="G2265" t="str">
        <f>"37-2012.00"</f>
        <v>37-2012.00</v>
      </c>
      <c r="H2265" t="s">
        <v>205</v>
      </c>
      <c r="I2265">
        <v>15</v>
      </c>
      <c r="K2265" s="1">
        <v>45261</v>
      </c>
      <c r="L2265" s="1">
        <v>45366</v>
      </c>
      <c r="O2265" t="s">
        <v>116</v>
      </c>
      <c r="P2265" t="s">
        <v>3236</v>
      </c>
      <c r="R2265" t="s">
        <v>3237</v>
      </c>
      <c r="S2265" t="s">
        <v>3076</v>
      </c>
      <c r="T2265" t="s">
        <v>3238</v>
      </c>
      <c r="U2265" t="s">
        <v>222</v>
      </c>
      <c r="V2265" s="8" t="str">
        <f>"02171"</f>
        <v>02171</v>
      </c>
      <c r="W2265" t="s">
        <v>118</v>
      </c>
      <c r="Y2265" s="10">
        <v>16177703722</v>
      </c>
      <c r="AA2265">
        <v>72111</v>
      </c>
      <c r="AB2265" t="s">
        <v>14496</v>
      </c>
      <c r="AC2265" t="s">
        <v>1212</v>
      </c>
      <c r="AE2265" t="s">
        <v>3876</v>
      </c>
      <c r="AF2265" t="s">
        <v>3237</v>
      </c>
      <c r="AG2265" t="s">
        <v>3076</v>
      </c>
      <c r="AH2265" t="s">
        <v>3238</v>
      </c>
      <c r="AI2265" t="s">
        <v>222</v>
      </c>
      <c r="AJ2265" s="8" t="str">
        <f>"02171"</f>
        <v>02171</v>
      </c>
      <c r="AK2265" t="s">
        <v>118</v>
      </c>
      <c r="AM2265" s="10">
        <v>12075579208</v>
      </c>
      <c r="AO2265" t="s">
        <v>3241</v>
      </c>
      <c r="AP2265" t="s">
        <v>121</v>
      </c>
      <c r="AQ2265" t="s">
        <v>898</v>
      </c>
      <c r="AR2265" t="s">
        <v>899</v>
      </c>
      <c r="AT2265" t="s">
        <v>900</v>
      </c>
      <c r="AU2265" t="s">
        <v>901</v>
      </c>
      <c r="AV2265" t="s">
        <v>902</v>
      </c>
      <c r="AW2265" t="s">
        <v>903</v>
      </c>
      <c r="AX2265" s="8" t="str">
        <f>"04101"</f>
        <v>04101</v>
      </c>
      <c r="AY2265" t="s">
        <v>118</v>
      </c>
      <c r="BA2265" s="10">
        <v>12077913260</v>
      </c>
      <c r="BC2265" t="s">
        <v>904</v>
      </c>
      <c r="BD2265" t="s">
        <v>905</v>
      </c>
      <c r="BE2265" t="s">
        <v>903</v>
      </c>
      <c r="BF2265" t="s">
        <v>906</v>
      </c>
      <c r="BG2265" t="s">
        <v>903</v>
      </c>
      <c r="BH2265" s="1">
        <v>45210.833333333336</v>
      </c>
      <c r="BI2265">
        <v>35</v>
      </c>
      <c r="BJ2265">
        <v>0</v>
      </c>
      <c r="BK2265">
        <v>7</v>
      </c>
      <c r="BL2265">
        <v>7</v>
      </c>
      <c r="BM2265">
        <v>7</v>
      </c>
      <c r="BN2265">
        <v>7</v>
      </c>
      <c r="BO2265">
        <v>7</v>
      </c>
      <c r="BP2265">
        <v>0</v>
      </c>
      <c r="BQ2265" t="str">
        <f>"8:00 AM"</f>
        <v>8:00 AM</v>
      </c>
      <c r="BR2265" t="str">
        <f>"3:00 PM"</f>
        <v>3:00 PM</v>
      </c>
      <c r="BS2265" t="s">
        <v>131</v>
      </c>
      <c r="BT2265">
        <v>0</v>
      </c>
      <c r="BU2265">
        <v>0</v>
      </c>
      <c r="BV2265" t="s">
        <v>114</v>
      </c>
      <c r="BX2265" t="s">
        <v>3879</v>
      </c>
      <c r="BY2265" t="s">
        <v>7517</v>
      </c>
      <c r="CA2265" t="s">
        <v>7518</v>
      </c>
      <c r="CB2265" t="s">
        <v>903</v>
      </c>
      <c r="CC2265" s="8" t="str">
        <f>"03907"</f>
        <v>03907</v>
      </c>
      <c r="CD2265" t="s">
        <v>5996</v>
      </c>
      <c r="CE2265" t="s">
        <v>2185</v>
      </c>
      <c r="CF2265" s="12">
        <v>13.75</v>
      </c>
      <c r="CG2265" s="12">
        <v>13.75</v>
      </c>
      <c r="CH2265" s="12">
        <v>20.63</v>
      </c>
      <c r="CI2265" s="12">
        <v>20.63</v>
      </c>
      <c r="CJ2265" t="s">
        <v>135</v>
      </c>
      <c r="CK2265" t="s">
        <v>14497</v>
      </c>
      <c r="CL2265" t="s">
        <v>14498</v>
      </c>
      <c r="CO2265" t="s">
        <v>136</v>
      </c>
      <c r="CP2265" t="s">
        <v>136</v>
      </c>
      <c r="CQ2265" t="s">
        <v>114</v>
      </c>
      <c r="CR2265" t="s">
        <v>136</v>
      </c>
      <c r="CS2265" t="s">
        <v>136</v>
      </c>
      <c r="CT2265" t="s">
        <v>136</v>
      </c>
      <c r="CU2265" t="s">
        <v>136</v>
      </c>
      <c r="CV2265" t="s">
        <v>3243</v>
      </c>
      <c r="CW2265" s="10" t="str">
        <f>"+12076237981"</f>
        <v>+12076237981</v>
      </c>
      <c r="CX2265" t="s">
        <v>3244</v>
      </c>
      <c r="CY2265" t="s">
        <v>3884</v>
      </c>
      <c r="CZ2265" t="s">
        <v>137</v>
      </c>
      <c r="DA2265" t="s">
        <v>114</v>
      </c>
      <c r="DB2265" t="s">
        <v>114</v>
      </c>
      <c r="DC2265" t="s">
        <v>136</v>
      </c>
      <c r="DD2265" t="s">
        <v>114</v>
      </c>
    </row>
    <row r="2266" spans="1:113" ht="15" customHeight="1" x14ac:dyDescent="0.25">
      <c r="A2266" t="s">
        <v>21465</v>
      </c>
      <c r="B2266" t="s">
        <v>3875</v>
      </c>
      <c r="C2266" s="1">
        <v>45211.708807407405</v>
      </c>
      <c r="D2266" s="1">
        <v>45229</v>
      </c>
      <c r="E2266" t="s">
        <v>132</v>
      </c>
      <c r="F2266" t="s">
        <v>293</v>
      </c>
      <c r="G2266" t="str">
        <f>"37-2012.00"</f>
        <v>37-2012.00</v>
      </c>
      <c r="H2266" t="s">
        <v>205</v>
      </c>
      <c r="I2266">
        <v>5</v>
      </c>
      <c r="K2266" s="1">
        <v>45261</v>
      </c>
      <c r="L2266" s="1">
        <v>45366</v>
      </c>
      <c r="O2266" t="s">
        <v>116</v>
      </c>
      <c r="P2266" t="s">
        <v>3236</v>
      </c>
      <c r="R2266" t="s">
        <v>3237</v>
      </c>
      <c r="S2266" t="s">
        <v>3076</v>
      </c>
      <c r="T2266" t="s">
        <v>3238</v>
      </c>
      <c r="U2266" t="s">
        <v>222</v>
      </c>
      <c r="V2266" s="8" t="str">
        <f>"02171"</f>
        <v>02171</v>
      </c>
      <c r="W2266" t="s">
        <v>118</v>
      </c>
      <c r="Y2266" s="10">
        <v>16177703722</v>
      </c>
      <c r="AA2266">
        <v>72111</v>
      </c>
      <c r="AB2266" t="s">
        <v>3239</v>
      </c>
      <c r="AC2266" t="s">
        <v>1212</v>
      </c>
      <c r="AE2266" t="s">
        <v>3876</v>
      </c>
      <c r="AF2266" t="s">
        <v>3237</v>
      </c>
      <c r="AG2266" t="s">
        <v>3076</v>
      </c>
      <c r="AH2266" t="s">
        <v>3238</v>
      </c>
      <c r="AI2266" t="s">
        <v>222</v>
      </c>
      <c r="AJ2266" s="8" t="str">
        <f>"02171"</f>
        <v>02171</v>
      </c>
      <c r="AK2266" t="s">
        <v>118</v>
      </c>
      <c r="AM2266" s="10">
        <v>12075579208</v>
      </c>
      <c r="AO2266" t="s">
        <v>3241</v>
      </c>
      <c r="AP2266" t="s">
        <v>121</v>
      </c>
      <c r="AQ2266" t="s">
        <v>898</v>
      </c>
      <c r="AR2266" t="s">
        <v>899</v>
      </c>
      <c r="AT2266" t="s">
        <v>900</v>
      </c>
      <c r="AU2266" t="s">
        <v>901</v>
      </c>
      <c r="AV2266" t="s">
        <v>902</v>
      </c>
      <c r="AW2266" t="s">
        <v>903</v>
      </c>
      <c r="AX2266" s="8" t="str">
        <f>"04101"</f>
        <v>04101</v>
      </c>
      <c r="AY2266" t="s">
        <v>118</v>
      </c>
      <c r="BA2266" s="10">
        <v>12077913260</v>
      </c>
      <c r="BC2266" t="s">
        <v>904</v>
      </c>
      <c r="BD2266" t="s">
        <v>905</v>
      </c>
      <c r="BE2266" t="s">
        <v>903</v>
      </c>
      <c r="BF2266" t="s">
        <v>906</v>
      </c>
      <c r="BG2266" t="s">
        <v>903</v>
      </c>
      <c r="BH2266" s="1">
        <v>45210.833333333336</v>
      </c>
      <c r="BI2266">
        <v>35</v>
      </c>
      <c r="BJ2266">
        <v>0</v>
      </c>
      <c r="BK2266">
        <v>7</v>
      </c>
      <c r="BL2266">
        <v>7</v>
      </c>
      <c r="BM2266">
        <v>7</v>
      </c>
      <c r="BN2266">
        <v>7</v>
      </c>
      <c r="BO2266">
        <v>7</v>
      </c>
      <c r="BP2266">
        <v>0</v>
      </c>
      <c r="BQ2266" t="str">
        <f>"8:00 AM"</f>
        <v>8:00 AM</v>
      </c>
      <c r="BR2266" t="str">
        <f>"3:00 PM"</f>
        <v>3:00 PM</v>
      </c>
      <c r="BS2266" t="s">
        <v>131</v>
      </c>
      <c r="BT2266">
        <v>0</v>
      </c>
      <c r="BU2266">
        <v>0</v>
      </c>
      <c r="BV2266" t="s">
        <v>114</v>
      </c>
      <c r="BX2266" t="s">
        <v>3879</v>
      </c>
      <c r="BY2266" t="s">
        <v>3880</v>
      </c>
      <c r="CA2266" t="s">
        <v>3881</v>
      </c>
      <c r="CB2266" t="s">
        <v>903</v>
      </c>
      <c r="CC2266" s="8" t="str">
        <f>"03909"</f>
        <v>03909</v>
      </c>
      <c r="CD2266" t="s">
        <v>2222</v>
      </c>
      <c r="CE2266" t="s">
        <v>2196</v>
      </c>
      <c r="CF2266" s="12">
        <v>14.11</v>
      </c>
      <c r="CG2266" s="12">
        <v>14.11</v>
      </c>
      <c r="CH2266" s="12">
        <v>21.17</v>
      </c>
      <c r="CI2266" s="12">
        <v>21.17</v>
      </c>
      <c r="CJ2266" t="s">
        <v>135</v>
      </c>
      <c r="CK2266" t="s">
        <v>6590</v>
      </c>
      <c r="CL2266" t="s">
        <v>21466</v>
      </c>
      <c r="CO2266" t="s">
        <v>136</v>
      </c>
      <c r="CP2266" t="s">
        <v>114</v>
      </c>
      <c r="CQ2266" t="s">
        <v>114</v>
      </c>
      <c r="CR2266" t="s">
        <v>136</v>
      </c>
      <c r="CS2266" t="s">
        <v>136</v>
      </c>
      <c r="CT2266" t="s">
        <v>136</v>
      </c>
      <c r="CU2266" t="s">
        <v>136</v>
      </c>
      <c r="CV2266" t="s">
        <v>6590</v>
      </c>
      <c r="CW2266" s="10" t="str">
        <f>"+12076237981"</f>
        <v>+12076237981</v>
      </c>
      <c r="CX2266" t="s">
        <v>3244</v>
      </c>
      <c r="CY2266" t="s">
        <v>3884</v>
      </c>
      <c r="CZ2266" t="s">
        <v>137</v>
      </c>
      <c r="DA2266" t="s">
        <v>114</v>
      </c>
      <c r="DB2266" t="s">
        <v>114</v>
      </c>
      <c r="DC2266" t="s">
        <v>136</v>
      </c>
      <c r="DD2266" t="s">
        <v>114</v>
      </c>
    </row>
    <row r="2267" spans="1:113" ht="15" customHeight="1" x14ac:dyDescent="0.25">
      <c r="A2267" t="s">
        <v>18138</v>
      </c>
      <c r="B2267" t="s">
        <v>3875</v>
      </c>
      <c r="C2267" s="1">
        <v>45211.703307754629</v>
      </c>
      <c r="D2267" s="1">
        <v>45229</v>
      </c>
      <c r="E2267" t="s">
        <v>132</v>
      </c>
      <c r="F2267" t="s">
        <v>1059</v>
      </c>
      <c r="G2267" t="str">
        <f>"35-2014.00"</f>
        <v>35-2014.00</v>
      </c>
      <c r="H2267" t="s">
        <v>154</v>
      </c>
      <c r="I2267">
        <v>3</v>
      </c>
      <c r="K2267" s="1">
        <v>45261</v>
      </c>
      <c r="L2267" s="1">
        <v>45366</v>
      </c>
      <c r="O2267" t="s">
        <v>116</v>
      </c>
      <c r="P2267" t="s">
        <v>3236</v>
      </c>
      <c r="R2267" t="s">
        <v>3237</v>
      </c>
      <c r="S2267" t="s">
        <v>3076</v>
      </c>
      <c r="T2267" t="s">
        <v>3238</v>
      </c>
      <c r="U2267" t="s">
        <v>222</v>
      </c>
      <c r="V2267" s="8" t="str">
        <f>"02171"</f>
        <v>02171</v>
      </c>
      <c r="W2267" t="s">
        <v>118</v>
      </c>
      <c r="Y2267" s="10">
        <v>16177703722</v>
      </c>
      <c r="AA2267">
        <v>72111</v>
      </c>
      <c r="AB2267" t="s">
        <v>3239</v>
      </c>
      <c r="AC2267" t="s">
        <v>1212</v>
      </c>
      <c r="AE2267" t="s">
        <v>3876</v>
      </c>
      <c r="AF2267" t="s">
        <v>3237</v>
      </c>
      <c r="AG2267" t="s">
        <v>3076</v>
      </c>
      <c r="AH2267" t="s">
        <v>3238</v>
      </c>
      <c r="AI2267" t="s">
        <v>222</v>
      </c>
      <c r="AJ2267" s="8" t="str">
        <f>"02171"</f>
        <v>02171</v>
      </c>
      <c r="AK2267" t="s">
        <v>118</v>
      </c>
      <c r="AM2267" s="10">
        <v>12075579208</v>
      </c>
      <c r="AO2267" t="s">
        <v>3241</v>
      </c>
      <c r="AP2267" t="s">
        <v>121</v>
      </c>
      <c r="AQ2267" t="s">
        <v>898</v>
      </c>
      <c r="AR2267" t="s">
        <v>3877</v>
      </c>
      <c r="AT2267" t="s">
        <v>900</v>
      </c>
      <c r="AU2267" t="s">
        <v>3878</v>
      </c>
      <c r="AV2267" t="s">
        <v>902</v>
      </c>
      <c r="AW2267" t="s">
        <v>903</v>
      </c>
      <c r="AX2267" s="8" t="str">
        <f>"04101"</f>
        <v>04101</v>
      </c>
      <c r="AY2267" t="s">
        <v>118</v>
      </c>
      <c r="BA2267" s="10">
        <v>12077913260</v>
      </c>
      <c r="BC2267" t="s">
        <v>904</v>
      </c>
      <c r="BD2267" t="s">
        <v>905</v>
      </c>
      <c r="BE2267" t="s">
        <v>903</v>
      </c>
      <c r="BF2267" t="s">
        <v>906</v>
      </c>
      <c r="BG2267" t="s">
        <v>903</v>
      </c>
      <c r="BH2267" s="1">
        <v>45210.833333333336</v>
      </c>
      <c r="BI2267">
        <v>35</v>
      </c>
      <c r="BJ2267">
        <v>0</v>
      </c>
      <c r="BK2267">
        <v>7</v>
      </c>
      <c r="BL2267">
        <v>7</v>
      </c>
      <c r="BM2267">
        <v>7</v>
      </c>
      <c r="BN2267">
        <v>7</v>
      </c>
      <c r="BO2267">
        <v>7</v>
      </c>
      <c r="BP2267">
        <v>0</v>
      </c>
      <c r="BQ2267" t="str">
        <f>"8:00 AM"</f>
        <v>8:00 AM</v>
      </c>
      <c r="BR2267" t="str">
        <f>"3:00 PM"</f>
        <v>3:00 PM</v>
      </c>
      <c r="BS2267" t="s">
        <v>131</v>
      </c>
      <c r="BT2267">
        <v>0</v>
      </c>
      <c r="BU2267">
        <v>0</v>
      </c>
      <c r="BV2267" t="s">
        <v>114</v>
      </c>
      <c r="BX2267" t="s">
        <v>3879</v>
      </c>
      <c r="BY2267" t="s">
        <v>7517</v>
      </c>
      <c r="CA2267" t="s">
        <v>7518</v>
      </c>
      <c r="CB2267" t="s">
        <v>903</v>
      </c>
      <c r="CC2267" s="8" t="str">
        <f>"03907"</f>
        <v>03907</v>
      </c>
      <c r="CD2267" t="s">
        <v>5996</v>
      </c>
      <c r="CE2267" t="s">
        <v>2185</v>
      </c>
      <c r="CF2267" s="12">
        <v>15.28</v>
      </c>
      <c r="CG2267" s="12">
        <v>15.28</v>
      </c>
      <c r="CH2267" s="12">
        <v>22.92</v>
      </c>
      <c r="CI2267" s="12">
        <v>22.92</v>
      </c>
      <c r="CJ2267" t="s">
        <v>135</v>
      </c>
      <c r="CK2267" t="s">
        <v>14497</v>
      </c>
      <c r="CL2267" t="s">
        <v>18139</v>
      </c>
      <c r="CO2267" t="s">
        <v>136</v>
      </c>
      <c r="CP2267" t="s">
        <v>136</v>
      </c>
      <c r="CQ2267" t="s">
        <v>114</v>
      </c>
      <c r="CR2267" t="s">
        <v>136</v>
      </c>
      <c r="CS2267" t="s">
        <v>136</v>
      </c>
      <c r="CT2267" t="s">
        <v>136</v>
      </c>
      <c r="CU2267" t="s">
        <v>136</v>
      </c>
      <c r="CV2267" t="s">
        <v>6590</v>
      </c>
      <c r="CW2267" s="10" t="str">
        <f>"+12076237981"</f>
        <v>+12076237981</v>
      </c>
      <c r="CX2267" t="s">
        <v>3244</v>
      </c>
      <c r="CY2267" t="s">
        <v>3884</v>
      </c>
      <c r="CZ2267" t="s">
        <v>137</v>
      </c>
      <c r="DA2267" t="s">
        <v>114</v>
      </c>
      <c r="DB2267" t="s">
        <v>114</v>
      </c>
      <c r="DC2267" t="s">
        <v>136</v>
      </c>
      <c r="DD2267" t="s">
        <v>114</v>
      </c>
    </row>
    <row r="2268" spans="1:113" ht="15" customHeight="1" x14ac:dyDescent="0.25">
      <c r="A2268" t="s">
        <v>3874</v>
      </c>
      <c r="B2268" t="s">
        <v>3875</v>
      </c>
      <c r="C2268" s="1">
        <v>45211.697923495369</v>
      </c>
      <c r="D2268" s="1">
        <v>45229</v>
      </c>
      <c r="E2268" t="s">
        <v>132</v>
      </c>
      <c r="F2268" t="s">
        <v>1059</v>
      </c>
      <c r="G2268" t="str">
        <f>"35-2014.00"</f>
        <v>35-2014.00</v>
      </c>
      <c r="H2268" t="s">
        <v>154</v>
      </c>
      <c r="I2268">
        <v>1</v>
      </c>
      <c r="K2268" s="1">
        <v>45261</v>
      </c>
      <c r="L2268" s="1">
        <v>45366</v>
      </c>
      <c r="O2268" t="s">
        <v>116</v>
      </c>
      <c r="P2268" t="s">
        <v>3236</v>
      </c>
      <c r="R2268" t="s">
        <v>3237</v>
      </c>
      <c r="S2268" t="s">
        <v>3076</v>
      </c>
      <c r="T2268" t="s">
        <v>3238</v>
      </c>
      <c r="U2268" t="s">
        <v>222</v>
      </c>
      <c r="V2268" s="8" t="str">
        <f>"02171"</f>
        <v>02171</v>
      </c>
      <c r="W2268" t="s">
        <v>118</v>
      </c>
      <c r="Y2268" s="10">
        <v>16177703722</v>
      </c>
      <c r="AA2268">
        <v>72111</v>
      </c>
      <c r="AB2268" t="s">
        <v>3239</v>
      </c>
      <c r="AC2268" t="s">
        <v>1212</v>
      </c>
      <c r="AE2268" t="s">
        <v>3876</v>
      </c>
      <c r="AF2268" t="s">
        <v>3237</v>
      </c>
      <c r="AG2268" t="s">
        <v>3076</v>
      </c>
      <c r="AH2268" t="s">
        <v>3238</v>
      </c>
      <c r="AI2268" t="s">
        <v>222</v>
      </c>
      <c r="AJ2268" s="8" t="str">
        <f>"02171"</f>
        <v>02171</v>
      </c>
      <c r="AK2268" t="s">
        <v>118</v>
      </c>
      <c r="AM2268" s="10">
        <v>12075579208</v>
      </c>
      <c r="AO2268" t="s">
        <v>3241</v>
      </c>
      <c r="AP2268" t="s">
        <v>121</v>
      </c>
      <c r="AQ2268" t="s">
        <v>898</v>
      </c>
      <c r="AR2268" t="s">
        <v>3877</v>
      </c>
      <c r="AT2268" t="s">
        <v>900</v>
      </c>
      <c r="AU2268" t="s">
        <v>3878</v>
      </c>
      <c r="AV2268" t="s">
        <v>902</v>
      </c>
      <c r="AW2268" t="s">
        <v>903</v>
      </c>
      <c r="AX2268" s="8" t="str">
        <f>"04101"</f>
        <v>04101</v>
      </c>
      <c r="AY2268" t="s">
        <v>118</v>
      </c>
      <c r="BA2268" s="10">
        <v>12077913260</v>
      </c>
      <c r="BC2268" t="s">
        <v>904</v>
      </c>
      <c r="BD2268" t="s">
        <v>905</v>
      </c>
      <c r="BE2268" t="s">
        <v>903</v>
      </c>
      <c r="BF2268" t="s">
        <v>906</v>
      </c>
      <c r="BG2268" t="s">
        <v>903</v>
      </c>
      <c r="BH2268" s="1">
        <v>45210.833333333336</v>
      </c>
      <c r="BI2268">
        <v>35</v>
      </c>
      <c r="BJ2268">
        <v>0</v>
      </c>
      <c r="BK2268">
        <v>7</v>
      </c>
      <c r="BL2268">
        <v>7</v>
      </c>
      <c r="BM2268">
        <v>7</v>
      </c>
      <c r="BN2268">
        <v>7</v>
      </c>
      <c r="BO2268">
        <v>7</v>
      </c>
      <c r="BP2268">
        <v>0</v>
      </c>
      <c r="BQ2268" t="str">
        <f>"8:00 AM"</f>
        <v>8:00 AM</v>
      </c>
      <c r="BR2268" t="str">
        <f>"3:00 PM"</f>
        <v>3:00 PM</v>
      </c>
      <c r="BS2268" t="s">
        <v>131</v>
      </c>
      <c r="BT2268">
        <v>0</v>
      </c>
      <c r="BU2268">
        <v>0</v>
      </c>
      <c r="BV2268" t="s">
        <v>114</v>
      </c>
      <c r="BX2268" t="s">
        <v>3879</v>
      </c>
      <c r="BY2268" t="s">
        <v>3880</v>
      </c>
      <c r="CA2268" t="s">
        <v>3881</v>
      </c>
      <c r="CB2268" t="s">
        <v>903</v>
      </c>
      <c r="CC2268" s="8" t="str">
        <f>"03909"</f>
        <v>03909</v>
      </c>
      <c r="CD2268" t="s">
        <v>2222</v>
      </c>
      <c r="CE2268" t="s">
        <v>2196</v>
      </c>
      <c r="CF2268" s="12">
        <v>15.2</v>
      </c>
      <c r="CG2268" s="12">
        <v>15.2</v>
      </c>
      <c r="CH2268" s="12">
        <v>22.8</v>
      </c>
      <c r="CI2268" s="12">
        <v>22.8</v>
      </c>
      <c r="CJ2268" t="s">
        <v>135</v>
      </c>
      <c r="CK2268" t="s">
        <v>3882</v>
      </c>
      <c r="CL2268" t="s">
        <v>3883</v>
      </c>
      <c r="CO2268" t="s">
        <v>136</v>
      </c>
      <c r="CP2268" t="s">
        <v>114</v>
      </c>
      <c r="CQ2268" t="s">
        <v>114</v>
      </c>
      <c r="CR2268" t="s">
        <v>136</v>
      </c>
      <c r="CS2268" t="s">
        <v>136</v>
      </c>
      <c r="CT2268" t="s">
        <v>136</v>
      </c>
      <c r="CU2268" t="s">
        <v>136</v>
      </c>
      <c r="CV2268" t="s">
        <v>3243</v>
      </c>
      <c r="CW2268" s="10" t="str">
        <f>"+12076237981"</f>
        <v>+12076237981</v>
      </c>
      <c r="CX2268" t="s">
        <v>3244</v>
      </c>
      <c r="CY2268" t="s">
        <v>3884</v>
      </c>
      <c r="CZ2268" t="s">
        <v>137</v>
      </c>
      <c r="DA2268" t="s">
        <v>114</v>
      </c>
      <c r="DB2268" t="s">
        <v>114</v>
      </c>
      <c r="DC2268" t="s">
        <v>136</v>
      </c>
      <c r="DD2268" t="s">
        <v>114</v>
      </c>
    </row>
    <row r="2269" spans="1:113" ht="15" customHeight="1" x14ac:dyDescent="0.25">
      <c r="A2269" t="s">
        <v>9124</v>
      </c>
      <c r="B2269" t="s">
        <v>3875</v>
      </c>
      <c r="C2269" s="1">
        <v>45200.566870949071</v>
      </c>
      <c r="D2269" s="1">
        <v>45224</v>
      </c>
      <c r="E2269" t="s">
        <v>132</v>
      </c>
      <c r="F2269" t="s">
        <v>1397</v>
      </c>
      <c r="G2269" t="str">
        <f>"39-9011.01"</f>
        <v>39-9011.01</v>
      </c>
      <c r="H2269" t="s">
        <v>1488</v>
      </c>
      <c r="I2269">
        <v>1</v>
      </c>
      <c r="K2269" s="1">
        <v>45207</v>
      </c>
      <c r="L2269" s="1">
        <v>45901</v>
      </c>
      <c r="O2269" t="s">
        <v>184</v>
      </c>
      <c r="P2269" t="s">
        <v>9125</v>
      </c>
      <c r="Q2269" t="s">
        <v>9126</v>
      </c>
      <c r="R2269" t="s">
        <v>9127</v>
      </c>
      <c r="T2269" t="s">
        <v>9128</v>
      </c>
      <c r="U2269" t="s">
        <v>434</v>
      </c>
      <c r="V2269" s="8" t="str">
        <f>"17543"</f>
        <v>17543</v>
      </c>
      <c r="W2269" t="s">
        <v>118</v>
      </c>
      <c r="Y2269" s="10">
        <v>14436697695</v>
      </c>
      <c r="AA2269">
        <v>423910</v>
      </c>
      <c r="AB2269" t="s">
        <v>9129</v>
      </c>
      <c r="AC2269" t="s">
        <v>1559</v>
      </c>
      <c r="AE2269" t="s">
        <v>561</v>
      </c>
      <c r="AF2269" t="s">
        <v>9130</v>
      </c>
      <c r="AH2269" t="s">
        <v>9128</v>
      </c>
      <c r="AI2269" t="s">
        <v>434</v>
      </c>
      <c r="AJ2269" s="8" t="str">
        <f>"17543"</f>
        <v>17543</v>
      </c>
      <c r="AK2269" t="s">
        <v>118</v>
      </c>
      <c r="AM2269" s="10">
        <v>14436697695</v>
      </c>
      <c r="AO2269" t="s">
        <v>9131</v>
      </c>
      <c r="AX2269" s="8" t="str">
        <f>""</f>
        <v/>
      </c>
      <c r="BG2269" t="s">
        <v>434</v>
      </c>
      <c r="BH2269" s="1">
        <v>44645.833333333336</v>
      </c>
      <c r="BI2269">
        <v>50</v>
      </c>
      <c r="BJ2269">
        <v>0</v>
      </c>
      <c r="BK2269">
        <v>10</v>
      </c>
      <c r="BL2269">
        <v>10</v>
      </c>
      <c r="BM2269">
        <v>10</v>
      </c>
      <c r="BN2269">
        <v>10</v>
      </c>
      <c r="BO2269">
        <v>10</v>
      </c>
      <c r="BP2269">
        <v>0</v>
      </c>
      <c r="BQ2269" t="str">
        <f>"6:30 AM"</f>
        <v>6:30 AM</v>
      </c>
      <c r="BR2269" t="str">
        <f>"5:30 PM"</f>
        <v>5:30 PM</v>
      </c>
      <c r="BS2269" t="s">
        <v>147</v>
      </c>
      <c r="BT2269">
        <v>6</v>
      </c>
      <c r="BU2269">
        <v>6</v>
      </c>
      <c r="BV2269" t="s">
        <v>114</v>
      </c>
      <c r="BX2269" s="2" t="s">
        <v>9132</v>
      </c>
      <c r="BY2269" t="s">
        <v>9133</v>
      </c>
      <c r="CA2269" t="s">
        <v>9128</v>
      </c>
      <c r="CB2269" t="s">
        <v>434</v>
      </c>
      <c r="CC2269" s="8" t="str">
        <f>"17543"</f>
        <v>17543</v>
      </c>
      <c r="CD2269" t="s">
        <v>2655</v>
      </c>
      <c r="CE2269" t="s">
        <v>2656</v>
      </c>
      <c r="CF2269" s="12">
        <v>500</v>
      </c>
      <c r="CG2269" s="12">
        <v>1000</v>
      </c>
      <c r="CH2269" s="12">
        <v>20</v>
      </c>
      <c r="CI2269" s="12">
        <v>40</v>
      </c>
      <c r="CJ2269" t="s">
        <v>5181</v>
      </c>
      <c r="CL2269" t="s">
        <v>9134</v>
      </c>
      <c r="CO2269" t="s">
        <v>136</v>
      </c>
      <c r="CP2269" t="s">
        <v>114</v>
      </c>
      <c r="CQ2269" t="s">
        <v>114</v>
      </c>
      <c r="CR2269" t="s">
        <v>136</v>
      </c>
      <c r="CS2269" t="s">
        <v>136</v>
      </c>
      <c r="CT2269" t="s">
        <v>136</v>
      </c>
      <c r="CU2269" t="s">
        <v>136</v>
      </c>
      <c r="CV2269" s="2" t="s">
        <v>9135</v>
      </c>
      <c r="CW2269" s="10" t="str">
        <f>"+14436697695"</f>
        <v>+14436697695</v>
      </c>
      <c r="CX2269" t="s">
        <v>9131</v>
      </c>
      <c r="CY2269" t="s">
        <v>132</v>
      </c>
      <c r="CZ2269" t="s">
        <v>137</v>
      </c>
      <c r="DA2269" t="s">
        <v>114</v>
      </c>
      <c r="DB2269" t="s">
        <v>114</v>
      </c>
      <c r="DC2269" t="s">
        <v>136</v>
      </c>
      <c r="DD2269" t="s">
        <v>114</v>
      </c>
    </row>
    <row r="2270" spans="1:113" ht="15" customHeight="1" x14ac:dyDescent="0.25">
      <c r="A2270" t="s">
        <v>10700</v>
      </c>
      <c r="B2270" t="s">
        <v>3875</v>
      </c>
      <c r="C2270" s="1">
        <v>45181.731609953706</v>
      </c>
      <c r="D2270" s="1">
        <v>45217</v>
      </c>
      <c r="E2270" t="s">
        <v>132</v>
      </c>
      <c r="F2270" t="s">
        <v>1973</v>
      </c>
      <c r="G2270" t="str">
        <f>"35-2011.00"</f>
        <v>35-2011.00</v>
      </c>
      <c r="H2270" t="s">
        <v>138</v>
      </c>
      <c r="I2270">
        <v>20</v>
      </c>
      <c r="K2270" s="1">
        <v>45231</v>
      </c>
      <c r="L2270" s="1">
        <v>45504</v>
      </c>
      <c r="O2270" t="s">
        <v>238</v>
      </c>
      <c r="P2270" t="s">
        <v>3805</v>
      </c>
      <c r="R2270" t="s">
        <v>3806</v>
      </c>
      <c r="T2270" t="s">
        <v>3807</v>
      </c>
      <c r="U2270" t="s">
        <v>222</v>
      </c>
      <c r="V2270" s="8" t="str">
        <f>"02645"</f>
        <v>02645</v>
      </c>
      <c r="W2270" t="s">
        <v>118</v>
      </c>
      <c r="Y2270" s="10">
        <v>17747221810</v>
      </c>
      <c r="AA2270">
        <v>722513</v>
      </c>
      <c r="AB2270" t="s">
        <v>3808</v>
      </c>
      <c r="AC2270" t="s">
        <v>3809</v>
      </c>
      <c r="AE2270" t="s">
        <v>3519</v>
      </c>
      <c r="AF2270" t="s">
        <v>3810</v>
      </c>
      <c r="AH2270" t="s">
        <v>3807</v>
      </c>
      <c r="AI2270" t="s">
        <v>222</v>
      </c>
      <c r="AJ2270" s="8" t="str">
        <f>"02645"</f>
        <v>02645</v>
      </c>
      <c r="AK2270" t="s">
        <v>118</v>
      </c>
      <c r="AM2270" s="10">
        <v>17747221810</v>
      </c>
      <c r="AO2270" t="s">
        <v>3811</v>
      </c>
      <c r="AX2270" s="8" t="str">
        <f>""</f>
        <v/>
      </c>
      <c r="BG2270" t="s">
        <v>222</v>
      </c>
      <c r="BH2270" s="1">
        <v>45180.833333333336</v>
      </c>
      <c r="BI2270">
        <v>40</v>
      </c>
      <c r="BJ2270">
        <v>4</v>
      </c>
      <c r="BK2270">
        <v>4</v>
      </c>
      <c r="BL2270">
        <v>8</v>
      </c>
      <c r="BM2270">
        <v>8</v>
      </c>
      <c r="BN2270">
        <v>8</v>
      </c>
      <c r="BO2270">
        <v>4</v>
      </c>
      <c r="BP2270">
        <v>4</v>
      </c>
      <c r="BQ2270" t="str">
        <f>"7:00 PM"</f>
        <v>7:00 PM</v>
      </c>
      <c r="BR2270" t="str">
        <f>"3:00 PM"</f>
        <v>3:00 PM</v>
      </c>
      <c r="BS2270" t="s">
        <v>131</v>
      </c>
      <c r="BT2270">
        <v>0</v>
      </c>
      <c r="BU2270">
        <v>0</v>
      </c>
      <c r="BV2270" t="s">
        <v>114</v>
      </c>
      <c r="BX2270" t="s">
        <v>1480</v>
      </c>
      <c r="BY2270" t="s">
        <v>3812</v>
      </c>
      <c r="CA2270" t="s">
        <v>3813</v>
      </c>
      <c r="CB2270" t="s">
        <v>222</v>
      </c>
      <c r="CC2270" s="8" t="str">
        <f>"02660"</f>
        <v>02660</v>
      </c>
      <c r="CD2270" t="s">
        <v>3119</v>
      </c>
      <c r="CE2270" t="s">
        <v>2322</v>
      </c>
      <c r="CF2270" s="12">
        <v>15.5</v>
      </c>
      <c r="CG2270" s="12">
        <v>16</v>
      </c>
      <c r="CJ2270" t="s">
        <v>135</v>
      </c>
      <c r="CK2270" t="s">
        <v>132</v>
      </c>
      <c r="CL2270" t="s">
        <v>3815</v>
      </c>
      <c r="CO2270" t="s">
        <v>136</v>
      </c>
      <c r="CP2270" t="s">
        <v>136</v>
      </c>
      <c r="CQ2270" t="s">
        <v>114</v>
      </c>
      <c r="CR2270" t="s">
        <v>114</v>
      </c>
      <c r="CS2270" t="s">
        <v>114</v>
      </c>
      <c r="CT2270" t="s">
        <v>114</v>
      </c>
      <c r="CU2270" t="s">
        <v>114</v>
      </c>
      <c r="CV2270" t="s">
        <v>10701</v>
      </c>
      <c r="CW2270" s="10" t="str">
        <f>"+18622169262"</f>
        <v>+18622169262</v>
      </c>
      <c r="CX2270" t="s">
        <v>3821</v>
      </c>
      <c r="CY2270" t="s">
        <v>132</v>
      </c>
      <c r="CZ2270" t="s">
        <v>137</v>
      </c>
      <c r="DA2270" t="s">
        <v>114</v>
      </c>
      <c r="DB2270" t="s">
        <v>114</v>
      </c>
      <c r="DC2270" t="s">
        <v>136</v>
      </c>
      <c r="DD2270" t="s">
        <v>114</v>
      </c>
      <c r="DE2270" t="s">
        <v>3818</v>
      </c>
      <c r="DF2270" t="s">
        <v>3819</v>
      </c>
      <c r="DH2270" t="s">
        <v>10702</v>
      </c>
      <c r="DI2270" t="s">
        <v>3821</v>
      </c>
    </row>
    <row r="2271" spans="1:113" ht="15" customHeight="1" x14ac:dyDescent="0.25">
      <c r="A2271" t="s">
        <v>20237</v>
      </c>
      <c r="B2271" t="s">
        <v>3875</v>
      </c>
      <c r="C2271" s="1">
        <v>45178.715159953703</v>
      </c>
      <c r="D2271" s="1">
        <v>45217</v>
      </c>
      <c r="E2271" t="s">
        <v>132</v>
      </c>
      <c r="F2271" t="s">
        <v>20238</v>
      </c>
      <c r="G2271" t="str">
        <f>"35-3031.00"</f>
        <v>35-3031.00</v>
      </c>
      <c r="H2271" t="s">
        <v>347</v>
      </c>
      <c r="I2271">
        <v>2</v>
      </c>
      <c r="K2271" s="1">
        <v>45200</v>
      </c>
      <c r="L2271" s="1">
        <v>46295</v>
      </c>
      <c r="O2271" t="s">
        <v>184</v>
      </c>
      <c r="P2271" t="s">
        <v>20239</v>
      </c>
      <c r="Q2271" t="s">
        <v>20240</v>
      </c>
      <c r="R2271" t="s">
        <v>20241</v>
      </c>
      <c r="S2271" t="s">
        <v>9589</v>
      </c>
      <c r="T2271" t="s">
        <v>2311</v>
      </c>
      <c r="U2271" t="s">
        <v>892</v>
      </c>
      <c r="V2271" s="8" t="str">
        <f>"59718"</f>
        <v>59718</v>
      </c>
      <c r="W2271" t="s">
        <v>118</v>
      </c>
      <c r="Y2271" s="10">
        <v>14064041766</v>
      </c>
      <c r="AA2271">
        <v>722511</v>
      </c>
      <c r="AB2271" t="s">
        <v>20242</v>
      </c>
      <c r="AC2271" t="s">
        <v>20243</v>
      </c>
      <c r="AE2271" t="s">
        <v>5129</v>
      </c>
      <c r="AF2271" t="s">
        <v>20241</v>
      </c>
      <c r="AG2271" t="s">
        <v>9589</v>
      </c>
      <c r="AH2271" t="s">
        <v>2311</v>
      </c>
      <c r="AI2271" t="s">
        <v>892</v>
      </c>
      <c r="AJ2271" s="8" t="str">
        <f>"59718"</f>
        <v>59718</v>
      </c>
      <c r="AK2271" t="s">
        <v>118</v>
      </c>
      <c r="AM2271" s="10">
        <v>14065815587</v>
      </c>
      <c r="AO2271" t="s">
        <v>20244</v>
      </c>
      <c r="AX2271" s="8" t="str">
        <f>""</f>
        <v/>
      </c>
      <c r="BG2271" t="s">
        <v>892</v>
      </c>
      <c r="BH2271" s="1">
        <v>45166.833333333336</v>
      </c>
      <c r="BI2271">
        <v>66</v>
      </c>
      <c r="BJ2271">
        <v>10</v>
      </c>
      <c r="BK2271">
        <v>11</v>
      </c>
      <c r="BL2271">
        <v>0</v>
      </c>
      <c r="BM2271">
        <v>11</v>
      </c>
      <c r="BN2271">
        <v>11</v>
      </c>
      <c r="BO2271">
        <v>12</v>
      </c>
      <c r="BP2271">
        <v>11</v>
      </c>
      <c r="BQ2271" t="str">
        <f>"10:30 AM"</f>
        <v>10:30 AM</v>
      </c>
      <c r="BR2271" t="str">
        <f>"9:30 PM"</f>
        <v>9:30 PM</v>
      </c>
      <c r="BS2271" t="s">
        <v>131</v>
      </c>
      <c r="BT2271">
        <v>0</v>
      </c>
      <c r="BU2271">
        <v>0</v>
      </c>
      <c r="BV2271" t="s">
        <v>114</v>
      </c>
      <c r="BX2271" t="s">
        <v>132</v>
      </c>
      <c r="BY2271" t="s">
        <v>20241</v>
      </c>
      <c r="BZ2271" t="s">
        <v>9589</v>
      </c>
      <c r="CA2271" t="s">
        <v>2311</v>
      </c>
      <c r="CB2271" t="s">
        <v>892</v>
      </c>
      <c r="CC2271" s="8" t="str">
        <f>"59718"</f>
        <v>59718</v>
      </c>
      <c r="CD2271" t="s">
        <v>1957</v>
      </c>
      <c r="CE2271" t="s">
        <v>909</v>
      </c>
      <c r="CF2271" s="12">
        <v>12</v>
      </c>
      <c r="CG2271" s="12">
        <v>14</v>
      </c>
      <c r="CJ2271" t="s">
        <v>135</v>
      </c>
      <c r="CK2271" t="s">
        <v>20245</v>
      </c>
      <c r="CL2271" t="s">
        <v>20246</v>
      </c>
      <c r="CO2271" t="s">
        <v>136</v>
      </c>
      <c r="CP2271" t="s">
        <v>114</v>
      </c>
      <c r="CQ2271" t="s">
        <v>114</v>
      </c>
      <c r="CR2271" t="s">
        <v>114</v>
      </c>
      <c r="CS2271" t="s">
        <v>136</v>
      </c>
      <c r="CT2271" t="s">
        <v>114</v>
      </c>
      <c r="CU2271" t="s">
        <v>136</v>
      </c>
      <c r="CV2271" t="s">
        <v>131</v>
      </c>
      <c r="CW2271" s="10" t="str">
        <f>"N/A"</f>
        <v>N/A</v>
      </c>
      <c r="CX2271" t="s">
        <v>20244</v>
      </c>
      <c r="CY2271" t="s">
        <v>20247</v>
      </c>
      <c r="CZ2271" t="s">
        <v>137</v>
      </c>
      <c r="DA2271" t="s">
        <v>114</v>
      </c>
      <c r="DB2271" t="s">
        <v>114</v>
      </c>
      <c r="DC2271" t="s">
        <v>136</v>
      </c>
      <c r="DD2271" t="s">
        <v>114</v>
      </c>
      <c r="DE2271" t="s">
        <v>20242</v>
      </c>
      <c r="DF2271" t="s">
        <v>20243</v>
      </c>
      <c r="DH2271" t="s">
        <v>20239</v>
      </c>
      <c r="DI2271" t="s">
        <v>20244</v>
      </c>
    </row>
    <row r="2272" spans="1:113" ht="15" customHeight="1" x14ac:dyDescent="0.25">
      <c r="A2272" t="s">
        <v>23832</v>
      </c>
      <c r="B2272" t="s">
        <v>3875</v>
      </c>
      <c r="C2272" s="1">
        <v>45176.589954976851</v>
      </c>
      <c r="D2272" s="1">
        <v>45217</v>
      </c>
      <c r="E2272" t="s">
        <v>132</v>
      </c>
      <c r="F2272" t="s">
        <v>23833</v>
      </c>
      <c r="G2272" t="str">
        <f>"49-9071.00"</f>
        <v>49-9071.00</v>
      </c>
      <c r="H2272" t="s">
        <v>5714</v>
      </c>
      <c r="I2272">
        <v>1</v>
      </c>
      <c r="K2272" s="1">
        <v>45201</v>
      </c>
      <c r="L2272" s="1">
        <v>45457</v>
      </c>
      <c r="O2272" t="s">
        <v>184</v>
      </c>
      <c r="P2272" t="s">
        <v>23834</v>
      </c>
      <c r="Q2272" t="s">
        <v>23834</v>
      </c>
      <c r="R2272" t="s">
        <v>23835</v>
      </c>
      <c r="T2272" t="s">
        <v>23836</v>
      </c>
      <c r="U2272" t="s">
        <v>434</v>
      </c>
      <c r="V2272" s="8" t="str">
        <f>"15120"</f>
        <v>15120</v>
      </c>
      <c r="W2272" t="s">
        <v>118</v>
      </c>
      <c r="Y2272" s="10">
        <v>14124614613</v>
      </c>
      <c r="AA2272">
        <v>236220</v>
      </c>
      <c r="AB2272" t="s">
        <v>23837</v>
      </c>
      <c r="AC2272" t="s">
        <v>23838</v>
      </c>
      <c r="AD2272" t="s">
        <v>2709</v>
      </c>
      <c r="AE2272" t="s">
        <v>561</v>
      </c>
      <c r="AF2272" t="s">
        <v>23835</v>
      </c>
      <c r="AH2272" t="s">
        <v>23836</v>
      </c>
      <c r="AI2272" t="s">
        <v>434</v>
      </c>
      <c r="AJ2272" s="8" t="str">
        <f>"15120"</f>
        <v>15120</v>
      </c>
      <c r="AK2272" t="s">
        <v>118</v>
      </c>
      <c r="AM2272" s="10">
        <v>14122666404</v>
      </c>
      <c r="AO2272" t="s">
        <v>23839</v>
      </c>
      <c r="AX2272" s="8" t="str">
        <f>""</f>
        <v/>
      </c>
      <c r="BG2272" t="s">
        <v>434</v>
      </c>
      <c r="BH2272" s="1">
        <v>45172.833333333336</v>
      </c>
      <c r="BI2272">
        <v>40</v>
      </c>
      <c r="BJ2272">
        <v>0</v>
      </c>
      <c r="BK2272">
        <v>8</v>
      </c>
      <c r="BL2272">
        <v>8</v>
      </c>
      <c r="BM2272">
        <v>8</v>
      </c>
      <c r="BN2272">
        <v>8</v>
      </c>
      <c r="BO2272">
        <v>8</v>
      </c>
      <c r="BP2272">
        <v>0</v>
      </c>
      <c r="BQ2272" t="str">
        <f>"7:00 AM"</f>
        <v>7:00 AM</v>
      </c>
      <c r="BR2272" t="str">
        <f>"3:00 PM"</f>
        <v>3:00 PM</v>
      </c>
      <c r="BS2272" t="s">
        <v>147</v>
      </c>
      <c r="BT2272">
        <v>1</v>
      </c>
      <c r="BU2272">
        <v>60</v>
      </c>
      <c r="BV2272" t="s">
        <v>136</v>
      </c>
      <c r="BW2272">
        <v>1</v>
      </c>
      <c r="BX2272" s="2" t="s">
        <v>23840</v>
      </c>
      <c r="BY2272" t="s">
        <v>23835</v>
      </c>
      <c r="CA2272" t="s">
        <v>23836</v>
      </c>
      <c r="CB2272" t="s">
        <v>434</v>
      </c>
      <c r="CC2272" s="8" t="str">
        <f>"15120"</f>
        <v>15120</v>
      </c>
      <c r="CD2272" t="s">
        <v>1886</v>
      </c>
      <c r="CE2272" t="s">
        <v>1887</v>
      </c>
      <c r="CF2272" s="12">
        <v>11</v>
      </c>
      <c r="CG2272" s="12">
        <v>20</v>
      </c>
      <c r="CH2272" s="12">
        <v>15.5</v>
      </c>
      <c r="CI2272" s="12">
        <v>30</v>
      </c>
      <c r="CJ2272" t="s">
        <v>135</v>
      </c>
      <c r="CL2272" t="s">
        <v>23841</v>
      </c>
      <c r="CO2272" t="s">
        <v>136</v>
      </c>
      <c r="CP2272" t="s">
        <v>114</v>
      </c>
      <c r="CQ2272" t="s">
        <v>114</v>
      </c>
      <c r="CR2272" t="s">
        <v>136</v>
      </c>
      <c r="CS2272" t="s">
        <v>136</v>
      </c>
      <c r="CT2272" t="s">
        <v>136</v>
      </c>
      <c r="CU2272" t="s">
        <v>114</v>
      </c>
      <c r="CV2272" t="s">
        <v>5547</v>
      </c>
      <c r="CW2272" s="10" t="str">
        <f>"N/A"</f>
        <v>N/A</v>
      </c>
      <c r="CX2272" t="s">
        <v>23842</v>
      </c>
      <c r="CY2272" t="s">
        <v>23843</v>
      </c>
      <c r="CZ2272" t="s">
        <v>137</v>
      </c>
      <c r="DA2272" t="s">
        <v>114</v>
      </c>
      <c r="DB2272" t="s">
        <v>114</v>
      </c>
      <c r="DC2272" t="s">
        <v>136</v>
      </c>
      <c r="DD2272" t="s">
        <v>114</v>
      </c>
    </row>
    <row r="2273" spans="1:113" ht="15" customHeight="1" x14ac:dyDescent="0.25">
      <c r="A2273" t="s">
        <v>4043</v>
      </c>
      <c r="B2273" t="s">
        <v>3875</v>
      </c>
      <c r="C2273" s="1">
        <v>45175.88685451389</v>
      </c>
      <c r="D2273" s="1">
        <v>45216</v>
      </c>
      <c r="E2273" t="s">
        <v>132</v>
      </c>
      <c r="F2273" t="s">
        <v>153</v>
      </c>
      <c r="G2273" t="str">
        <f>"35-2014.00"</f>
        <v>35-2014.00</v>
      </c>
      <c r="H2273" t="s">
        <v>154</v>
      </c>
      <c r="I2273">
        <v>1</v>
      </c>
      <c r="K2273" s="1">
        <v>45176</v>
      </c>
      <c r="L2273" s="1">
        <v>45230</v>
      </c>
      <c r="O2273" t="s">
        <v>238</v>
      </c>
      <c r="P2273" t="s">
        <v>4044</v>
      </c>
      <c r="Q2273" t="s">
        <v>4045</v>
      </c>
      <c r="R2273" t="s">
        <v>4046</v>
      </c>
      <c r="T2273" t="s">
        <v>4047</v>
      </c>
      <c r="U2273" t="s">
        <v>903</v>
      </c>
      <c r="V2273" s="8" t="str">
        <f>"04562"</f>
        <v>04562</v>
      </c>
      <c r="W2273" t="s">
        <v>118</v>
      </c>
      <c r="Y2273" s="10">
        <v>12078375001</v>
      </c>
      <c r="AA2273">
        <v>722511</v>
      </c>
      <c r="AB2273" t="s">
        <v>4048</v>
      </c>
      <c r="AC2273" t="s">
        <v>2787</v>
      </c>
      <c r="AD2273" t="s">
        <v>2188</v>
      </c>
      <c r="AE2273" t="s">
        <v>561</v>
      </c>
      <c r="AF2273" t="s">
        <v>4046</v>
      </c>
      <c r="AH2273" t="s">
        <v>4047</v>
      </c>
      <c r="AI2273" t="s">
        <v>903</v>
      </c>
      <c r="AJ2273" s="8" t="str">
        <f>"04562"</f>
        <v>04562</v>
      </c>
      <c r="AK2273" t="s">
        <v>118</v>
      </c>
      <c r="AM2273" s="10">
        <v>12078375001</v>
      </c>
      <c r="AO2273" t="s">
        <v>4049</v>
      </c>
      <c r="AX2273" s="8" t="str">
        <f>""</f>
        <v/>
      </c>
      <c r="BG2273" t="s">
        <v>903</v>
      </c>
      <c r="BH2273" s="1">
        <v>45174.833333333336</v>
      </c>
      <c r="BI2273">
        <v>55</v>
      </c>
      <c r="BJ2273">
        <v>11</v>
      </c>
      <c r="BK2273">
        <v>11</v>
      </c>
      <c r="BL2273">
        <v>0</v>
      </c>
      <c r="BM2273">
        <v>0</v>
      </c>
      <c r="BN2273">
        <v>11</v>
      </c>
      <c r="BO2273">
        <v>11</v>
      </c>
      <c r="BP2273">
        <v>11</v>
      </c>
      <c r="BQ2273" t="str">
        <f>"10:00 AM"</f>
        <v>10:00 AM</v>
      </c>
      <c r="BR2273" t="str">
        <f>"9:00 PM"</f>
        <v>9:00 PM</v>
      </c>
      <c r="BS2273" t="s">
        <v>131</v>
      </c>
      <c r="BT2273">
        <v>0</v>
      </c>
      <c r="BU2273">
        <v>0</v>
      </c>
      <c r="BV2273" t="s">
        <v>114</v>
      </c>
      <c r="BX2273" t="s">
        <v>132</v>
      </c>
      <c r="BY2273" t="s">
        <v>4046</v>
      </c>
      <c r="CA2273" t="s">
        <v>4047</v>
      </c>
      <c r="CB2273" t="s">
        <v>903</v>
      </c>
      <c r="CC2273" s="8" t="str">
        <f>"04562"</f>
        <v>04562</v>
      </c>
      <c r="CD2273" t="s">
        <v>4050</v>
      </c>
      <c r="CE2273" t="s">
        <v>2185</v>
      </c>
      <c r="CF2273" s="12">
        <v>20</v>
      </c>
      <c r="CG2273" s="12">
        <v>25</v>
      </c>
      <c r="CH2273" s="12">
        <v>30</v>
      </c>
      <c r="CI2273" s="12">
        <v>37.5</v>
      </c>
      <c r="CL2273" t="s">
        <v>4051</v>
      </c>
      <c r="CO2273" t="s">
        <v>136</v>
      </c>
      <c r="CP2273" t="s">
        <v>114</v>
      </c>
      <c r="CQ2273" t="s">
        <v>114</v>
      </c>
      <c r="CR2273" t="s">
        <v>136</v>
      </c>
      <c r="CS2273" t="s">
        <v>136</v>
      </c>
      <c r="CT2273" t="s">
        <v>136</v>
      </c>
      <c r="CU2273" t="s">
        <v>136</v>
      </c>
      <c r="CV2273" t="s">
        <v>4052</v>
      </c>
      <c r="CW2273" s="10" t="str">
        <f>"+12078375001"</f>
        <v>+12078375001</v>
      </c>
      <c r="CX2273" t="s">
        <v>4049</v>
      </c>
      <c r="CY2273" t="s">
        <v>132</v>
      </c>
      <c r="CZ2273" t="s">
        <v>137</v>
      </c>
      <c r="DA2273" t="s">
        <v>114</v>
      </c>
      <c r="DB2273" t="s">
        <v>114</v>
      </c>
      <c r="DC2273" t="s">
        <v>136</v>
      </c>
      <c r="DD2273" t="s">
        <v>114</v>
      </c>
    </row>
    <row r="2274" spans="1:113" ht="15" customHeight="1" x14ac:dyDescent="0.25">
      <c r="A2274" t="s">
        <v>23534</v>
      </c>
      <c r="B2274" t="s">
        <v>3875</v>
      </c>
      <c r="C2274" s="1">
        <v>45099.851035532411</v>
      </c>
      <c r="D2274" s="1">
        <v>45204</v>
      </c>
      <c r="E2274" t="s">
        <v>114</v>
      </c>
      <c r="F2274" t="s">
        <v>6051</v>
      </c>
      <c r="G2274" t="str">
        <f>"35-3031.00"</f>
        <v>35-3031.00</v>
      </c>
      <c r="H2274" t="s">
        <v>347</v>
      </c>
      <c r="I2274">
        <v>8</v>
      </c>
      <c r="K2274" s="1">
        <v>44879</v>
      </c>
      <c r="L2274" s="1">
        <v>45107</v>
      </c>
      <c r="O2274" t="s">
        <v>238</v>
      </c>
      <c r="P2274" t="s">
        <v>23535</v>
      </c>
      <c r="R2274" t="s">
        <v>23536</v>
      </c>
      <c r="T2274" t="s">
        <v>17550</v>
      </c>
      <c r="U2274" t="s">
        <v>127</v>
      </c>
      <c r="V2274" s="8" t="str">
        <f>"75751"</f>
        <v>75751</v>
      </c>
      <c r="W2274" t="s">
        <v>118</v>
      </c>
      <c r="Y2274" s="10" t="s">
        <v>23537</v>
      </c>
      <c r="AA2274">
        <v>722511</v>
      </c>
      <c r="AB2274" t="s">
        <v>23538</v>
      </c>
      <c r="AC2274" t="s">
        <v>23539</v>
      </c>
      <c r="AE2274" t="s">
        <v>654</v>
      </c>
      <c r="AF2274" t="s">
        <v>23540</v>
      </c>
      <c r="AH2274" t="s">
        <v>17550</v>
      </c>
      <c r="AI2274" t="s">
        <v>127</v>
      </c>
      <c r="AJ2274" s="8" t="str">
        <f>"75751"</f>
        <v>75751</v>
      </c>
      <c r="AK2274" t="s">
        <v>118</v>
      </c>
      <c r="AM2274" s="10" t="s">
        <v>23541</v>
      </c>
      <c r="AO2274" t="s">
        <v>23542</v>
      </c>
      <c r="AP2274" t="s">
        <v>248</v>
      </c>
      <c r="AQ2274" t="s">
        <v>23543</v>
      </c>
      <c r="AR2274" t="s">
        <v>13634</v>
      </c>
      <c r="AT2274" t="s">
        <v>23544</v>
      </c>
      <c r="AV2274" t="s">
        <v>2560</v>
      </c>
      <c r="AW2274" t="s">
        <v>558</v>
      </c>
      <c r="AX2274" s="8" t="str">
        <f>"85208"</f>
        <v>85208</v>
      </c>
      <c r="AY2274" t="s">
        <v>118</v>
      </c>
      <c r="BA2274" s="10" t="s">
        <v>23545</v>
      </c>
      <c r="BC2274" t="s">
        <v>23546</v>
      </c>
      <c r="BD2274" t="s">
        <v>23547</v>
      </c>
      <c r="BE2274" t="s">
        <v>475</v>
      </c>
      <c r="BF2274" t="s">
        <v>132</v>
      </c>
      <c r="BG2274" t="s">
        <v>127</v>
      </c>
      <c r="BH2274" s="1">
        <v>44976.791666666664</v>
      </c>
      <c r="BI2274">
        <v>40</v>
      </c>
      <c r="BJ2274">
        <v>8</v>
      </c>
      <c r="BK2274">
        <v>8</v>
      </c>
      <c r="BL2274">
        <v>8</v>
      </c>
      <c r="BM2274">
        <v>8</v>
      </c>
      <c r="BN2274">
        <v>8</v>
      </c>
      <c r="BO2274">
        <v>8</v>
      </c>
      <c r="BP2274">
        <v>8</v>
      </c>
      <c r="BQ2274" t="str">
        <f>"11:00 AM"</f>
        <v>11:00 AM</v>
      </c>
      <c r="BR2274" t="str">
        <f>"10:00 PM"</f>
        <v>10:00 PM</v>
      </c>
      <c r="BS2274" t="s">
        <v>131</v>
      </c>
      <c r="BT2274">
        <v>2</v>
      </c>
      <c r="BU2274">
        <v>0</v>
      </c>
      <c r="BV2274" t="s">
        <v>114</v>
      </c>
      <c r="BX2274" s="2" t="s">
        <v>23548</v>
      </c>
      <c r="BY2274" t="s">
        <v>23540</v>
      </c>
      <c r="CA2274" t="s">
        <v>17550</v>
      </c>
      <c r="CB2274" t="s">
        <v>127</v>
      </c>
      <c r="CC2274" s="8" t="str">
        <f>"75751"</f>
        <v>75751</v>
      </c>
      <c r="CD2274" t="s">
        <v>8085</v>
      </c>
      <c r="CE2274" t="s">
        <v>2876</v>
      </c>
      <c r="CF2274" s="12">
        <v>10.78</v>
      </c>
      <c r="CG2274" s="12">
        <v>15</v>
      </c>
      <c r="CH2274" s="12">
        <v>17</v>
      </c>
      <c r="CI2274" s="12">
        <v>25</v>
      </c>
      <c r="CJ2274" t="s">
        <v>135</v>
      </c>
      <c r="CL2274" t="s">
        <v>23549</v>
      </c>
      <c r="CO2274" t="s">
        <v>132</v>
      </c>
      <c r="CP2274" t="s">
        <v>114</v>
      </c>
      <c r="CQ2274" t="s">
        <v>114</v>
      </c>
      <c r="CR2274" t="s">
        <v>136</v>
      </c>
      <c r="CS2274" t="s">
        <v>136</v>
      </c>
      <c r="CT2274" t="s">
        <v>136</v>
      </c>
      <c r="CU2274" t="s">
        <v>114</v>
      </c>
      <c r="CV2274" t="s">
        <v>23550</v>
      </c>
      <c r="CW2274" s="10" t="str">
        <f>"903-386-9251"</f>
        <v>903-386-9251</v>
      </c>
      <c r="CX2274" t="s">
        <v>23546</v>
      </c>
      <c r="CY2274" t="s">
        <v>23546</v>
      </c>
      <c r="CZ2274" t="s">
        <v>137</v>
      </c>
      <c r="DA2274" t="s">
        <v>114</v>
      </c>
      <c r="DB2274" t="s">
        <v>114</v>
      </c>
      <c r="DC2274" t="s">
        <v>136</v>
      </c>
      <c r="DD2274" t="s">
        <v>136</v>
      </c>
      <c r="DE2274" t="s">
        <v>23543</v>
      </c>
      <c r="DF2274" t="s">
        <v>13634</v>
      </c>
      <c r="DH2274" t="s">
        <v>23551</v>
      </c>
      <c r="DI2274" t="s">
        <v>23546</v>
      </c>
    </row>
    <row r="2275" spans="1:113" ht="15" customHeight="1" x14ac:dyDescent="0.25">
      <c r="A2275" t="s">
        <v>14261</v>
      </c>
      <c r="B2275" t="s">
        <v>3875</v>
      </c>
      <c r="C2275" s="1">
        <v>45162.529925000003</v>
      </c>
      <c r="D2275" s="1">
        <v>45202</v>
      </c>
      <c r="E2275" t="s">
        <v>136</v>
      </c>
      <c r="F2275" t="s">
        <v>14262</v>
      </c>
      <c r="G2275" t="str">
        <f>"27-2022.00"</f>
        <v>27-2022.00</v>
      </c>
      <c r="H2275" t="s">
        <v>14263</v>
      </c>
      <c r="I2275">
        <v>4</v>
      </c>
      <c r="K2275" s="1">
        <v>45174</v>
      </c>
      <c r="L2275" s="1">
        <v>45443</v>
      </c>
      <c r="O2275" t="s">
        <v>116</v>
      </c>
      <c r="P2275" t="s">
        <v>14264</v>
      </c>
      <c r="Q2275" t="s">
        <v>14265</v>
      </c>
      <c r="R2275" t="s">
        <v>14266</v>
      </c>
      <c r="T2275" t="s">
        <v>14267</v>
      </c>
      <c r="U2275" t="s">
        <v>222</v>
      </c>
      <c r="V2275" s="8" t="str">
        <f>"02482"</f>
        <v>02482</v>
      </c>
      <c r="W2275" t="s">
        <v>118</v>
      </c>
      <c r="Y2275" s="10">
        <v>16179169957</v>
      </c>
      <c r="AA2275">
        <v>713940</v>
      </c>
      <c r="AB2275" t="s">
        <v>14268</v>
      </c>
      <c r="AC2275" t="s">
        <v>3145</v>
      </c>
      <c r="AD2275" t="s">
        <v>14269</v>
      </c>
      <c r="AE2275" t="s">
        <v>561</v>
      </c>
      <c r="AF2275" t="s">
        <v>14266</v>
      </c>
      <c r="AH2275" t="s">
        <v>14267</v>
      </c>
      <c r="AI2275" t="s">
        <v>222</v>
      </c>
      <c r="AJ2275" s="8" t="str">
        <f>"02482"</f>
        <v>02482</v>
      </c>
      <c r="AK2275" t="s">
        <v>118</v>
      </c>
      <c r="AM2275" s="10">
        <v>17175867896</v>
      </c>
      <c r="AO2275" t="s">
        <v>14270</v>
      </c>
      <c r="AX2275" s="8" t="str">
        <f>""</f>
        <v/>
      </c>
      <c r="BG2275" t="s">
        <v>222</v>
      </c>
      <c r="BH2275" s="1">
        <v>45153.833333333336</v>
      </c>
      <c r="BI2275">
        <v>41</v>
      </c>
      <c r="BJ2275">
        <v>5</v>
      </c>
      <c r="BK2275">
        <v>6</v>
      </c>
      <c r="BL2275">
        <v>6</v>
      </c>
      <c r="BM2275">
        <v>6</v>
      </c>
      <c r="BN2275">
        <v>6</v>
      </c>
      <c r="BO2275">
        <v>6</v>
      </c>
      <c r="BP2275">
        <v>6</v>
      </c>
      <c r="BQ2275" t="str">
        <f>"2:30 PM"</f>
        <v>2:30 PM</v>
      </c>
      <c r="BR2275" t="str">
        <f>"9:30 PM"</f>
        <v>9:30 PM</v>
      </c>
      <c r="BS2275" t="s">
        <v>131</v>
      </c>
      <c r="BT2275">
        <v>0</v>
      </c>
      <c r="BU2275">
        <v>0</v>
      </c>
      <c r="BV2275" t="s">
        <v>114</v>
      </c>
      <c r="BX2275" t="s">
        <v>14271</v>
      </c>
      <c r="BY2275" t="s">
        <v>14266</v>
      </c>
      <c r="CA2275" t="s">
        <v>14272</v>
      </c>
      <c r="CB2275" t="s">
        <v>222</v>
      </c>
      <c r="CC2275" s="8" t="str">
        <f>"02482"</f>
        <v>02482</v>
      </c>
      <c r="CD2275" t="s">
        <v>3651</v>
      </c>
      <c r="CE2275" t="s">
        <v>2399</v>
      </c>
      <c r="CF2275" s="12">
        <v>17</v>
      </c>
      <c r="CG2275" s="12">
        <v>20</v>
      </c>
      <c r="CH2275" s="12">
        <v>25.5</v>
      </c>
      <c r="CI2275" s="12">
        <v>30</v>
      </c>
      <c r="CK2275" t="s">
        <v>131</v>
      </c>
      <c r="CL2275" t="s">
        <v>14273</v>
      </c>
      <c r="CM2275" t="s">
        <v>14274</v>
      </c>
      <c r="CO2275" t="s">
        <v>136</v>
      </c>
      <c r="CP2275" t="s">
        <v>114</v>
      </c>
      <c r="CQ2275" t="s">
        <v>114</v>
      </c>
      <c r="CR2275" t="s">
        <v>136</v>
      </c>
      <c r="CS2275" t="s">
        <v>136</v>
      </c>
      <c r="CT2275" t="s">
        <v>136</v>
      </c>
      <c r="CU2275" t="s">
        <v>114</v>
      </c>
      <c r="CV2275" t="s">
        <v>131</v>
      </c>
      <c r="CW2275" s="10" t="str">
        <f>"+16179169957"</f>
        <v>+16179169957</v>
      </c>
      <c r="CX2275" t="s">
        <v>14275</v>
      </c>
      <c r="CY2275" t="s">
        <v>14276</v>
      </c>
      <c r="CZ2275" t="s">
        <v>137</v>
      </c>
      <c r="DA2275" t="s">
        <v>114</v>
      </c>
      <c r="DB2275" t="s">
        <v>114</v>
      </c>
      <c r="DC2275" t="s">
        <v>136</v>
      </c>
      <c r="DD2275" t="s">
        <v>114</v>
      </c>
    </row>
    <row r="2276" spans="1:113" ht="15" customHeight="1" x14ac:dyDescent="0.25">
      <c r="A2276" t="s">
        <v>13263</v>
      </c>
      <c r="B2276" t="s">
        <v>3875</v>
      </c>
      <c r="C2276" s="1">
        <v>45160.698291435183</v>
      </c>
      <c r="D2276" s="1">
        <v>45201</v>
      </c>
      <c r="E2276" t="s">
        <v>114</v>
      </c>
      <c r="F2276" t="s">
        <v>13264</v>
      </c>
      <c r="G2276" t="str">
        <f>"53-3032.00"</f>
        <v>53-3032.00</v>
      </c>
      <c r="H2276" t="s">
        <v>736</v>
      </c>
      <c r="I2276">
        <v>2</v>
      </c>
      <c r="K2276" s="1">
        <v>45230</v>
      </c>
      <c r="L2276" s="1">
        <v>45597</v>
      </c>
      <c r="O2276" t="s">
        <v>184</v>
      </c>
      <c r="P2276" t="s">
        <v>13265</v>
      </c>
      <c r="R2276" t="s">
        <v>13266</v>
      </c>
      <c r="T2276" t="s">
        <v>13267</v>
      </c>
      <c r="U2276" t="s">
        <v>1776</v>
      </c>
      <c r="V2276" s="8" t="str">
        <f>"08846"</f>
        <v>08846</v>
      </c>
      <c r="W2276" t="s">
        <v>118</v>
      </c>
      <c r="Y2276" s="10">
        <v>19089226936</v>
      </c>
      <c r="AA2276">
        <v>48412</v>
      </c>
      <c r="AB2276" t="s">
        <v>13268</v>
      </c>
      <c r="AC2276" t="s">
        <v>13269</v>
      </c>
      <c r="AD2276" t="s">
        <v>13270</v>
      </c>
      <c r="AE2276" t="s">
        <v>13271</v>
      </c>
      <c r="AF2276" t="s">
        <v>13272</v>
      </c>
      <c r="AH2276" t="s">
        <v>1775</v>
      </c>
      <c r="AI2276" t="s">
        <v>1776</v>
      </c>
      <c r="AJ2276" s="8" t="str">
        <f>"08034"</f>
        <v>08034</v>
      </c>
      <c r="AK2276" t="s">
        <v>118</v>
      </c>
      <c r="AM2276" s="10">
        <v>17033095387</v>
      </c>
      <c r="AO2276" t="s">
        <v>13273</v>
      </c>
      <c r="AX2276" s="8" t="str">
        <f>""</f>
        <v/>
      </c>
      <c r="BG2276" t="s">
        <v>1776</v>
      </c>
      <c r="BH2276" s="1">
        <v>45158.833333333336</v>
      </c>
      <c r="BI2276">
        <v>40</v>
      </c>
      <c r="BJ2276">
        <v>0</v>
      </c>
      <c r="BK2276">
        <v>7</v>
      </c>
      <c r="BL2276">
        <v>8</v>
      </c>
      <c r="BM2276">
        <v>5</v>
      </c>
      <c r="BN2276">
        <v>7</v>
      </c>
      <c r="BO2276">
        <v>7</v>
      </c>
      <c r="BP2276">
        <v>6</v>
      </c>
      <c r="BQ2276" t="str">
        <f>"8:00 AM"</f>
        <v>8:00 AM</v>
      </c>
      <c r="BR2276" t="str">
        <f>"5:00 PM"</f>
        <v>5:00 PM</v>
      </c>
      <c r="BS2276" t="s">
        <v>147</v>
      </c>
      <c r="BT2276">
        <v>2</v>
      </c>
      <c r="BU2276">
        <v>24</v>
      </c>
      <c r="BV2276" t="s">
        <v>114</v>
      </c>
      <c r="BX2276" s="2" t="s">
        <v>13274</v>
      </c>
      <c r="BY2276" t="s">
        <v>13275</v>
      </c>
      <c r="CA2276" t="s">
        <v>3359</v>
      </c>
      <c r="CB2276" t="s">
        <v>1776</v>
      </c>
      <c r="CC2276" s="8" t="str">
        <f>"08846"</f>
        <v>08846</v>
      </c>
      <c r="CD2276" t="s">
        <v>3359</v>
      </c>
      <c r="CE2276" t="s">
        <v>1418</v>
      </c>
      <c r="CF2276" s="12">
        <v>21.33</v>
      </c>
      <c r="CG2276" s="12">
        <v>29.43</v>
      </c>
      <c r="CJ2276" t="s">
        <v>135</v>
      </c>
      <c r="CK2276" t="s">
        <v>13276</v>
      </c>
      <c r="CL2276" t="s">
        <v>13277</v>
      </c>
      <c r="CO2276" t="s">
        <v>136</v>
      </c>
      <c r="CP2276" t="s">
        <v>136</v>
      </c>
      <c r="CQ2276" t="s">
        <v>136</v>
      </c>
      <c r="CR2276" t="s">
        <v>114</v>
      </c>
      <c r="CS2276" t="s">
        <v>136</v>
      </c>
      <c r="CT2276" t="s">
        <v>136</v>
      </c>
      <c r="CU2276" t="s">
        <v>136</v>
      </c>
      <c r="CV2276" s="2" t="s">
        <v>13278</v>
      </c>
      <c r="CW2276" s="10" t="str">
        <f>"+19089226936"</f>
        <v>+19089226936</v>
      </c>
      <c r="CX2276" t="s">
        <v>13279</v>
      </c>
      <c r="CY2276" t="s">
        <v>13280</v>
      </c>
      <c r="CZ2276" t="s">
        <v>137</v>
      </c>
      <c r="DA2276" t="s">
        <v>114</v>
      </c>
      <c r="DB2276" t="s">
        <v>114</v>
      </c>
      <c r="DC2276" t="s">
        <v>136</v>
      </c>
      <c r="DD2276" t="s">
        <v>114</v>
      </c>
      <c r="DE2276" t="s">
        <v>13270</v>
      </c>
      <c r="DF2276" t="s">
        <v>5904</v>
      </c>
      <c r="DG2276" t="s">
        <v>150</v>
      </c>
      <c r="DH2276" t="s">
        <v>13265</v>
      </c>
      <c r="DI2276" t="s">
        <v>13280</v>
      </c>
    </row>
    <row r="2277" spans="1:113" ht="15" customHeight="1" x14ac:dyDescent="0.25">
      <c r="A2277" t="s">
        <v>22842</v>
      </c>
      <c r="B2277" t="s">
        <v>368</v>
      </c>
      <c r="C2277" s="1">
        <v>45278.609613541666</v>
      </c>
      <c r="D2277" s="1">
        <v>45291</v>
      </c>
      <c r="E2277" t="s">
        <v>132</v>
      </c>
      <c r="F2277" t="s">
        <v>449</v>
      </c>
      <c r="G2277" t="str">
        <f>"37-2012.00"</f>
        <v>37-2012.00</v>
      </c>
      <c r="H2277" t="s">
        <v>205</v>
      </c>
      <c r="I2277">
        <v>100</v>
      </c>
      <c r="K2277" s="1">
        <v>45364</v>
      </c>
      <c r="L2277" s="1">
        <v>45595</v>
      </c>
      <c r="O2277" t="s">
        <v>238</v>
      </c>
      <c r="P2277" t="s">
        <v>19999</v>
      </c>
      <c r="Q2277" t="s">
        <v>20000</v>
      </c>
      <c r="R2277" t="s">
        <v>20001</v>
      </c>
      <c r="S2277" t="s">
        <v>132</v>
      </c>
      <c r="T2277" t="s">
        <v>20002</v>
      </c>
      <c r="U2277" t="s">
        <v>1776</v>
      </c>
      <c r="V2277" s="8" t="str">
        <f>"08225"</f>
        <v>08225</v>
      </c>
      <c r="W2277" t="s">
        <v>118</v>
      </c>
      <c r="X2277" t="s">
        <v>132</v>
      </c>
      <c r="Y2277" s="10">
        <v>16094371257</v>
      </c>
      <c r="AA2277">
        <v>561720</v>
      </c>
      <c r="AB2277" t="s">
        <v>20003</v>
      </c>
      <c r="AC2277" t="s">
        <v>20004</v>
      </c>
      <c r="AD2277" t="s">
        <v>20005</v>
      </c>
      <c r="AE2277" t="s">
        <v>654</v>
      </c>
      <c r="AF2277" t="s">
        <v>20001</v>
      </c>
      <c r="AG2277" t="s">
        <v>132</v>
      </c>
      <c r="AH2277" t="s">
        <v>20002</v>
      </c>
      <c r="AI2277" t="s">
        <v>1776</v>
      </c>
      <c r="AJ2277" s="8" t="str">
        <f>"08225"</f>
        <v>08225</v>
      </c>
      <c r="AK2277" t="s">
        <v>118</v>
      </c>
      <c r="AM2277" s="10">
        <v>16094371257</v>
      </c>
      <c r="AO2277" t="s">
        <v>20006</v>
      </c>
      <c r="AX2277" s="8" t="str">
        <f>""</f>
        <v/>
      </c>
      <c r="BG2277" t="s">
        <v>1776</v>
      </c>
      <c r="BH2277" s="1">
        <v>45277.791666666664</v>
      </c>
      <c r="BI2277">
        <v>40</v>
      </c>
      <c r="BJ2277">
        <v>8</v>
      </c>
      <c r="BK2277">
        <v>8</v>
      </c>
      <c r="BL2277">
        <v>8</v>
      </c>
      <c r="BM2277">
        <v>8</v>
      </c>
      <c r="BN2277">
        <v>8</v>
      </c>
      <c r="BO2277">
        <v>0</v>
      </c>
      <c r="BP2277">
        <v>0</v>
      </c>
      <c r="BQ2277" t="str">
        <f>"9:00 AM"</f>
        <v>9:00 AM</v>
      </c>
      <c r="BR2277" t="str">
        <f>"5:00 PM"</f>
        <v>5:00 PM</v>
      </c>
      <c r="BS2277" t="s">
        <v>131</v>
      </c>
      <c r="BT2277">
        <v>0</v>
      </c>
      <c r="BU2277">
        <v>0</v>
      </c>
      <c r="BV2277" t="s">
        <v>114</v>
      </c>
      <c r="BX2277" t="s">
        <v>475</v>
      </c>
      <c r="BY2277" t="s">
        <v>20007</v>
      </c>
      <c r="BZ2277" t="s">
        <v>132</v>
      </c>
      <c r="CA2277" t="s">
        <v>20008</v>
      </c>
      <c r="CB2277" t="s">
        <v>1776</v>
      </c>
      <c r="CC2277" s="8" t="str">
        <f>"08401"</f>
        <v>08401</v>
      </c>
      <c r="CD2277" t="s">
        <v>8088</v>
      </c>
      <c r="CE2277" t="s">
        <v>8089</v>
      </c>
      <c r="CF2277" s="12">
        <v>15.41</v>
      </c>
      <c r="CG2277" s="12">
        <v>15.41</v>
      </c>
      <c r="CH2277" s="12">
        <v>23.11</v>
      </c>
      <c r="CI2277" s="12">
        <v>23.11</v>
      </c>
      <c r="CJ2277" t="s">
        <v>135</v>
      </c>
      <c r="CL2277" t="s">
        <v>20009</v>
      </c>
      <c r="CO2277" t="s">
        <v>132</v>
      </c>
      <c r="CP2277" t="s">
        <v>114</v>
      </c>
      <c r="CQ2277" t="s">
        <v>114</v>
      </c>
      <c r="CR2277" t="s">
        <v>136</v>
      </c>
      <c r="CS2277" t="s">
        <v>114</v>
      </c>
      <c r="CT2277" t="s">
        <v>136</v>
      </c>
      <c r="CU2277" t="s">
        <v>114</v>
      </c>
      <c r="CV2277" t="s">
        <v>22843</v>
      </c>
      <c r="CW2277" s="10" t="str">
        <f>"+19299220466"</f>
        <v>+19299220466</v>
      </c>
      <c r="CX2277" t="s">
        <v>22844</v>
      </c>
      <c r="CY2277" t="s">
        <v>22844</v>
      </c>
      <c r="CZ2277" t="s">
        <v>137</v>
      </c>
      <c r="DA2277" t="s">
        <v>114</v>
      </c>
      <c r="DB2277" t="s">
        <v>114</v>
      </c>
      <c r="DC2277" t="s">
        <v>136</v>
      </c>
      <c r="DD2277" t="s">
        <v>114</v>
      </c>
    </row>
    <row r="2278" spans="1:113" ht="15" customHeight="1" x14ac:dyDescent="0.25">
      <c r="A2278" t="s">
        <v>15245</v>
      </c>
      <c r="B2278" t="s">
        <v>368</v>
      </c>
      <c r="C2278" s="1">
        <v>45275.692075810184</v>
      </c>
      <c r="D2278" s="1">
        <v>45290</v>
      </c>
      <c r="E2278" t="s">
        <v>132</v>
      </c>
      <c r="F2278" t="s">
        <v>15089</v>
      </c>
      <c r="G2278" t="str">
        <f>"53-7051.00"</f>
        <v>53-7051.00</v>
      </c>
      <c r="H2278" t="s">
        <v>2209</v>
      </c>
      <c r="I2278">
        <v>4</v>
      </c>
      <c r="K2278" s="1">
        <v>45355</v>
      </c>
      <c r="L2278" s="1">
        <v>45657</v>
      </c>
      <c r="O2278" t="s">
        <v>116</v>
      </c>
      <c r="P2278" t="s">
        <v>15246</v>
      </c>
      <c r="R2278" t="s">
        <v>15247</v>
      </c>
      <c r="T2278" t="s">
        <v>320</v>
      </c>
      <c r="U2278" t="s">
        <v>127</v>
      </c>
      <c r="V2278" s="8" t="str">
        <f>"78736"</f>
        <v>78736</v>
      </c>
      <c r="W2278" t="s">
        <v>118</v>
      </c>
      <c r="Y2278" s="10">
        <v>15129060200</v>
      </c>
      <c r="AA2278">
        <v>56173</v>
      </c>
      <c r="AB2278" t="s">
        <v>9813</v>
      </c>
      <c r="AC2278" t="s">
        <v>8523</v>
      </c>
      <c r="AD2278" t="s">
        <v>132</v>
      </c>
      <c r="AE2278" t="s">
        <v>120</v>
      </c>
      <c r="AF2278" t="s">
        <v>15248</v>
      </c>
      <c r="AH2278" t="s">
        <v>320</v>
      </c>
      <c r="AI2278" t="s">
        <v>127</v>
      </c>
      <c r="AJ2278" s="8" t="str">
        <f>"78736"</f>
        <v>78736</v>
      </c>
      <c r="AK2278" t="s">
        <v>118</v>
      </c>
      <c r="AM2278" s="10">
        <v>15129060200</v>
      </c>
      <c r="AO2278" t="s">
        <v>15249</v>
      </c>
      <c r="AP2278" t="s">
        <v>121</v>
      </c>
      <c r="AQ2278" t="s">
        <v>10709</v>
      </c>
      <c r="AR2278" t="s">
        <v>10710</v>
      </c>
      <c r="AS2278" t="s">
        <v>4494</v>
      </c>
      <c r="AT2278" t="s">
        <v>991</v>
      </c>
      <c r="AV2278" t="s">
        <v>992</v>
      </c>
      <c r="AW2278" t="s">
        <v>993</v>
      </c>
      <c r="AX2278" s="8" t="str">
        <f>"54301"</f>
        <v>54301</v>
      </c>
      <c r="AY2278" t="s">
        <v>118</v>
      </c>
      <c r="BA2278" s="10">
        <v>19202649475</v>
      </c>
      <c r="BC2278" t="s">
        <v>10711</v>
      </c>
      <c r="BD2278" t="s">
        <v>995</v>
      </c>
      <c r="BE2278" t="s">
        <v>402</v>
      </c>
      <c r="BF2278" t="s">
        <v>4644</v>
      </c>
      <c r="BG2278" t="s">
        <v>127</v>
      </c>
      <c r="BH2278" s="1">
        <v>45274.791666666664</v>
      </c>
      <c r="BI2278">
        <v>40</v>
      </c>
      <c r="BJ2278">
        <v>0</v>
      </c>
      <c r="BK2278">
        <v>8</v>
      </c>
      <c r="BL2278">
        <v>8</v>
      </c>
      <c r="BM2278">
        <v>8</v>
      </c>
      <c r="BN2278">
        <v>8</v>
      </c>
      <c r="BO2278">
        <v>8</v>
      </c>
      <c r="BP2278">
        <v>0</v>
      </c>
      <c r="BQ2278" t="str">
        <f>"8:00 AM"</f>
        <v>8:00 AM</v>
      </c>
      <c r="BR2278" t="str">
        <f>"5:00 PM"</f>
        <v>5:00 PM</v>
      </c>
      <c r="BS2278" t="s">
        <v>131</v>
      </c>
      <c r="BT2278">
        <v>0</v>
      </c>
      <c r="BU2278">
        <v>0</v>
      </c>
      <c r="BV2278" t="s">
        <v>114</v>
      </c>
      <c r="BX2278" s="2" t="s">
        <v>15250</v>
      </c>
      <c r="BY2278" t="s">
        <v>15248</v>
      </c>
      <c r="CA2278" t="s">
        <v>320</v>
      </c>
      <c r="CB2278" t="s">
        <v>127</v>
      </c>
      <c r="CC2278" s="8" t="str">
        <f>"78736"</f>
        <v>78736</v>
      </c>
      <c r="CD2278" t="s">
        <v>323</v>
      </c>
      <c r="CE2278" t="s">
        <v>324</v>
      </c>
      <c r="CF2278" s="12">
        <v>19.73</v>
      </c>
      <c r="CH2278" s="12">
        <v>29.6</v>
      </c>
      <c r="CJ2278" t="s">
        <v>135</v>
      </c>
      <c r="CK2278" t="s">
        <v>15095</v>
      </c>
      <c r="CL2278" t="s">
        <v>15251</v>
      </c>
      <c r="CO2278" t="s">
        <v>132</v>
      </c>
      <c r="CP2278" t="s">
        <v>114</v>
      </c>
      <c r="CQ2278" t="s">
        <v>136</v>
      </c>
      <c r="CR2278" t="s">
        <v>136</v>
      </c>
      <c r="CS2278" t="s">
        <v>136</v>
      </c>
      <c r="CT2278" t="s">
        <v>136</v>
      </c>
      <c r="CU2278" t="s">
        <v>136</v>
      </c>
      <c r="CV2278" t="s">
        <v>15097</v>
      </c>
      <c r="CW2278" s="10" t="str">
        <f>"+15129060200"</f>
        <v>+15129060200</v>
      </c>
      <c r="CX2278" t="s">
        <v>15252</v>
      </c>
      <c r="CY2278" t="s">
        <v>132</v>
      </c>
      <c r="CZ2278" t="s">
        <v>137</v>
      </c>
      <c r="DA2278" t="s">
        <v>114</v>
      </c>
      <c r="DB2278" t="s">
        <v>114</v>
      </c>
      <c r="DC2278" t="s">
        <v>136</v>
      </c>
      <c r="DD2278" t="s">
        <v>114</v>
      </c>
    </row>
    <row r="2279" spans="1:113" ht="15" customHeight="1" x14ac:dyDescent="0.25">
      <c r="A2279" t="s">
        <v>15088</v>
      </c>
      <c r="B2279" t="s">
        <v>368</v>
      </c>
      <c r="C2279" s="1">
        <v>45275.687323148151</v>
      </c>
      <c r="D2279" s="1">
        <v>45290</v>
      </c>
      <c r="E2279" t="s">
        <v>132</v>
      </c>
      <c r="F2279" t="s">
        <v>15089</v>
      </c>
      <c r="G2279" t="str">
        <f>"53-7051.00"</f>
        <v>53-7051.00</v>
      </c>
      <c r="H2279" t="s">
        <v>2209</v>
      </c>
      <c r="I2279">
        <v>4</v>
      </c>
      <c r="K2279" s="1">
        <v>45355</v>
      </c>
      <c r="L2279" s="1">
        <v>45657</v>
      </c>
      <c r="O2279" t="s">
        <v>116</v>
      </c>
      <c r="P2279" t="s">
        <v>15090</v>
      </c>
      <c r="R2279" t="s">
        <v>15091</v>
      </c>
      <c r="T2279" t="s">
        <v>15092</v>
      </c>
      <c r="U2279" t="s">
        <v>127</v>
      </c>
      <c r="V2279" s="8" t="str">
        <f>"78154"</f>
        <v>78154</v>
      </c>
      <c r="W2279" t="s">
        <v>118</v>
      </c>
      <c r="Y2279" s="10">
        <v>15129143963</v>
      </c>
      <c r="AA2279">
        <v>56173</v>
      </c>
      <c r="AB2279" t="s">
        <v>9813</v>
      </c>
      <c r="AC2279" t="s">
        <v>8523</v>
      </c>
      <c r="AD2279" t="s">
        <v>132</v>
      </c>
      <c r="AE2279" t="s">
        <v>120</v>
      </c>
      <c r="AF2279" t="s">
        <v>15091</v>
      </c>
      <c r="AH2279" t="s">
        <v>15092</v>
      </c>
      <c r="AI2279" t="s">
        <v>127</v>
      </c>
      <c r="AJ2279" s="8" t="str">
        <f>"78154"</f>
        <v>78154</v>
      </c>
      <c r="AK2279" t="s">
        <v>118</v>
      </c>
      <c r="AM2279" s="10">
        <v>12109031003</v>
      </c>
      <c r="AO2279" t="s">
        <v>15093</v>
      </c>
      <c r="AP2279" t="s">
        <v>121</v>
      </c>
      <c r="AQ2279" t="s">
        <v>10709</v>
      </c>
      <c r="AR2279" t="s">
        <v>10710</v>
      </c>
      <c r="AS2279" t="s">
        <v>4494</v>
      </c>
      <c r="AT2279" t="s">
        <v>991</v>
      </c>
      <c r="AV2279" t="s">
        <v>992</v>
      </c>
      <c r="AW2279" t="s">
        <v>993</v>
      </c>
      <c r="AX2279" s="8" t="str">
        <f>"54301"</f>
        <v>54301</v>
      </c>
      <c r="AY2279" t="s">
        <v>118</v>
      </c>
      <c r="BA2279" s="10">
        <v>19202649475</v>
      </c>
      <c r="BC2279" t="s">
        <v>10711</v>
      </c>
      <c r="BD2279" t="s">
        <v>995</v>
      </c>
      <c r="BE2279" t="s">
        <v>402</v>
      </c>
      <c r="BF2279" t="s">
        <v>4644</v>
      </c>
      <c r="BG2279" t="s">
        <v>127</v>
      </c>
      <c r="BH2279" s="1">
        <v>45274.791666666664</v>
      </c>
      <c r="BI2279">
        <v>40</v>
      </c>
      <c r="BJ2279">
        <v>0</v>
      </c>
      <c r="BK2279">
        <v>8</v>
      </c>
      <c r="BL2279">
        <v>8</v>
      </c>
      <c r="BM2279">
        <v>8</v>
      </c>
      <c r="BN2279">
        <v>8</v>
      </c>
      <c r="BO2279">
        <v>8</v>
      </c>
      <c r="BP2279">
        <v>0</v>
      </c>
      <c r="BQ2279" t="str">
        <f>"8:00 AM"</f>
        <v>8:00 AM</v>
      </c>
      <c r="BR2279" t="str">
        <f>"5:00 PM"</f>
        <v>5:00 PM</v>
      </c>
      <c r="BS2279" t="s">
        <v>131</v>
      </c>
      <c r="BT2279">
        <v>0</v>
      </c>
      <c r="BU2279">
        <v>0</v>
      </c>
      <c r="BV2279" t="s">
        <v>114</v>
      </c>
      <c r="BX2279" s="2" t="s">
        <v>15094</v>
      </c>
      <c r="BY2279" t="s">
        <v>15091</v>
      </c>
      <c r="CA2279" t="s">
        <v>15092</v>
      </c>
      <c r="CB2279" t="s">
        <v>127</v>
      </c>
      <c r="CC2279" s="8" t="str">
        <f>"78154"</f>
        <v>78154</v>
      </c>
      <c r="CD2279" t="s">
        <v>1286</v>
      </c>
      <c r="CE2279" t="s">
        <v>1287</v>
      </c>
      <c r="CF2279" s="12">
        <v>18.850000000000001</v>
      </c>
      <c r="CH2279" s="12">
        <v>28.28</v>
      </c>
      <c r="CJ2279" t="s">
        <v>135</v>
      </c>
      <c r="CK2279" t="s">
        <v>15095</v>
      </c>
      <c r="CL2279" t="s">
        <v>15096</v>
      </c>
      <c r="CO2279" t="s">
        <v>132</v>
      </c>
      <c r="CP2279" t="s">
        <v>114</v>
      </c>
      <c r="CQ2279" t="s">
        <v>136</v>
      </c>
      <c r="CR2279" t="s">
        <v>136</v>
      </c>
      <c r="CS2279" t="s">
        <v>136</v>
      </c>
      <c r="CT2279" t="s">
        <v>136</v>
      </c>
      <c r="CU2279" t="s">
        <v>136</v>
      </c>
      <c r="CV2279" t="s">
        <v>15097</v>
      </c>
      <c r="CW2279" s="10" t="str">
        <f>"+15129143963"</f>
        <v>+15129143963</v>
      </c>
      <c r="CX2279" t="s">
        <v>15098</v>
      </c>
      <c r="CY2279" t="s">
        <v>132</v>
      </c>
      <c r="CZ2279" t="s">
        <v>137</v>
      </c>
      <c r="DA2279" t="s">
        <v>114</v>
      </c>
      <c r="DB2279" t="s">
        <v>114</v>
      </c>
      <c r="DC2279" t="s">
        <v>136</v>
      </c>
      <c r="DD2279" t="s">
        <v>114</v>
      </c>
    </row>
    <row r="2280" spans="1:113" ht="15" customHeight="1" x14ac:dyDescent="0.25">
      <c r="A2280" t="s">
        <v>12540</v>
      </c>
      <c r="B2280" t="s">
        <v>368</v>
      </c>
      <c r="C2280" s="1">
        <v>45247.447144791666</v>
      </c>
      <c r="D2280" s="1">
        <v>45290</v>
      </c>
      <c r="E2280" t="s">
        <v>132</v>
      </c>
      <c r="F2280" t="s">
        <v>2744</v>
      </c>
      <c r="G2280" t="str">
        <f>"37-3011.00"</f>
        <v>37-3011.00</v>
      </c>
      <c r="H2280" t="s">
        <v>429</v>
      </c>
      <c r="I2280">
        <v>45</v>
      </c>
      <c r="K2280" s="1">
        <v>45337</v>
      </c>
      <c r="L2280" s="1">
        <v>45640</v>
      </c>
      <c r="O2280" t="s">
        <v>238</v>
      </c>
      <c r="P2280" t="s">
        <v>12541</v>
      </c>
      <c r="R2280" t="s">
        <v>12542</v>
      </c>
      <c r="T2280" t="s">
        <v>12543</v>
      </c>
      <c r="U2280" t="s">
        <v>984</v>
      </c>
      <c r="V2280" s="8" t="str">
        <f>"64116"</f>
        <v>64116</v>
      </c>
      <c r="W2280" t="s">
        <v>118</v>
      </c>
      <c r="Y2280" s="10">
        <v>18164360748</v>
      </c>
      <c r="AA2280">
        <v>56173</v>
      </c>
      <c r="AB2280" t="s">
        <v>12544</v>
      </c>
      <c r="AC2280" t="s">
        <v>12545</v>
      </c>
      <c r="AD2280" t="s">
        <v>475</v>
      </c>
      <c r="AE2280" t="s">
        <v>12546</v>
      </c>
      <c r="AF2280" t="s">
        <v>12547</v>
      </c>
      <c r="AH2280" t="s">
        <v>12548</v>
      </c>
      <c r="AI2280" t="s">
        <v>984</v>
      </c>
      <c r="AJ2280" s="8" t="str">
        <f>"64116"</f>
        <v>64116</v>
      </c>
      <c r="AK2280" t="s">
        <v>118</v>
      </c>
      <c r="AM2280" s="10">
        <v>18164360748</v>
      </c>
      <c r="AO2280" t="s">
        <v>12549</v>
      </c>
      <c r="AP2280" t="s">
        <v>248</v>
      </c>
      <c r="AQ2280" t="s">
        <v>5168</v>
      </c>
      <c r="AR2280" t="s">
        <v>2187</v>
      </c>
      <c r="AS2280" t="s">
        <v>628</v>
      </c>
      <c r="AT2280" t="s">
        <v>5169</v>
      </c>
      <c r="AV2280" t="s">
        <v>5170</v>
      </c>
      <c r="AW2280" t="s">
        <v>581</v>
      </c>
      <c r="AX2280" s="8" t="str">
        <f>"23505"</f>
        <v>23505</v>
      </c>
      <c r="AY2280" t="s">
        <v>118</v>
      </c>
      <c r="BA2280" s="10">
        <v>18043019607</v>
      </c>
      <c r="BC2280" t="s">
        <v>5171</v>
      </c>
      <c r="BD2280" t="s">
        <v>5172</v>
      </c>
      <c r="BG2280" t="s">
        <v>984</v>
      </c>
      <c r="BH2280" s="1">
        <v>45243.791666666664</v>
      </c>
      <c r="BI2280">
        <v>40</v>
      </c>
      <c r="BJ2280">
        <v>0</v>
      </c>
      <c r="BK2280">
        <v>8</v>
      </c>
      <c r="BL2280">
        <v>8</v>
      </c>
      <c r="BM2280">
        <v>8</v>
      </c>
      <c r="BN2280">
        <v>8</v>
      </c>
      <c r="BO2280">
        <v>8</v>
      </c>
      <c r="BP2280">
        <v>0</v>
      </c>
      <c r="BQ2280" t="str">
        <f>"7:00 AM"</f>
        <v>7:00 AM</v>
      </c>
      <c r="BR2280" t="str">
        <f>"4:00 PM"</f>
        <v>4:00 PM</v>
      </c>
      <c r="BS2280" t="s">
        <v>131</v>
      </c>
      <c r="BT2280">
        <v>0</v>
      </c>
      <c r="BU2280">
        <v>3</v>
      </c>
      <c r="BV2280" t="s">
        <v>114</v>
      </c>
      <c r="BX2280" t="s">
        <v>12550</v>
      </c>
      <c r="BY2280" t="s">
        <v>12542</v>
      </c>
      <c r="CA2280" t="s">
        <v>12548</v>
      </c>
      <c r="CB2280" t="s">
        <v>984</v>
      </c>
      <c r="CC2280" s="8" t="str">
        <f>"64120"</f>
        <v>64120</v>
      </c>
      <c r="CD2280" t="s">
        <v>859</v>
      </c>
      <c r="CE2280" t="s">
        <v>2431</v>
      </c>
      <c r="CF2280" s="12">
        <v>17.47</v>
      </c>
      <c r="CG2280" s="12">
        <v>17.47</v>
      </c>
      <c r="CH2280" s="12">
        <v>26.21</v>
      </c>
      <c r="CI2280" s="12">
        <v>26.21</v>
      </c>
      <c r="CJ2280" t="s">
        <v>135</v>
      </c>
      <c r="CK2280" t="s">
        <v>12551</v>
      </c>
      <c r="CL2280" t="s">
        <v>12552</v>
      </c>
      <c r="CO2280" t="s">
        <v>132</v>
      </c>
      <c r="CP2280" t="s">
        <v>114</v>
      </c>
      <c r="CQ2280" t="s">
        <v>136</v>
      </c>
      <c r="CR2280" t="s">
        <v>136</v>
      </c>
      <c r="CS2280" t="s">
        <v>114</v>
      </c>
      <c r="CT2280" t="s">
        <v>136</v>
      </c>
      <c r="CU2280" t="s">
        <v>114</v>
      </c>
      <c r="CV2280" t="s">
        <v>5173</v>
      </c>
      <c r="CW2280" s="10" t="str">
        <f>"+18164360748"</f>
        <v>+18164360748</v>
      </c>
      <c r="CX2280" t="s">
        <v>12553</v>
      </c>
      <c r="CY2280" t="s">
        <v>132</v>
      </c>
      <c r="CZ2280" t="s">
        <v>137</v>
      </c>
      <c r="DA2280" t="s">
        <v>114</v>
      </c>
      <c r="DB2280" t="s">
        <v>136</v>
      </c>
      <c r="DC2280" t="s">
        <v>136</v>
      </c>
      <c r="DD2280" t="s">
        <v>114</v>
      </c>
      <c r="DE2280" t="s">
        <v>5168</v>
      </c>
      <c r="DF2280" t="s">
        <v>2187</v>
      </c>
      <c r="DG2280" t="s">
        <v>628</v>
      </c>
      <c r="DH2280" t="s">
        <v>5172</v>
      </c>
      <c r="DI2280" t="s">
        <v>5171</v>
      </c>
    </row>
    <row r="2281" spans="1:113" ht="15" customHeight="1" x14ac:dyDescent="0.25">
      <c r="A2281" t="s">
        <v>15270</v>
      </c>
      <c r="B2281" t="s">
        <v>368</v>
      </c>
      <c r="C2281" s="1">
        <v>45247.42762303241</v>
      </c>
      <c r="D2281" s="1">
        <v>45290</v>
      </c>
      <c r="E2281" t="s">
        <v>132</v>
      </c>
      <c r="F2281" t="s">
        <v>2744</v>
      </c>
      <c r="G2281" t="str">
        <f>"37-3011.00"</f>
        <v>37-3011.00</v>
      </c>
      <c r="H2281" t="s">
        <v>429</v>
      </c>
      <c r="I2281">
        <v>10</v>
      </c>
      <c r="K2281" s="1">
        <v>45337</v>
      </c>
      <c r="L2281" s="1">
        <v>45640</v>
      </c>
      <c r="O2281" t="s">
        <v>238</v>
      </c>
      <c r="P2281" t="s">
        <v>15271</v>
      </c>
      <c r="R2281" t="s">
        <v>15272</v>
      </c>
      <c r="S2281" t="s">
        <v>3492</v>
      </c>
      <c r="T2281" t="s">
        <v>2260</v>
      </c>
      <c r="U2281" t="s">
        <v>188</v>
      </c>
      <c r="V2281" s="8" t="str">
        <f>"80840"</f>
        <v>80840</v>
      </c>
      <c r="W2281" t="s">
        <v>118</v>
      </c>
      <c r="Y2281" s="10">
        <v>18164364194</v>
      </c>
      <c r="AA2281">
        <v>56173</v>
      </c>
      <c r="AB2281" t="s">
        <v>3368</v>
      </c>
      <c r="AC2281" t="s">
        <v>4967</v>
      </c>
      <c r="AE2281" t="s">
        <v>15273</v>
      </c>
      <c r="AF2281" t="s">
        <v>15272</v>
      </c>
      <c r="AG2281" t="s">
        <v>3492</v>
      </c>
      <c r="AH2281" t="s">
        <v>2260</v>
      </c>
      <c r="AI2281" t="s">
        <v>188</v>
      </c>
      <c r="AJ2281" s="8" t="str">
        <f>"80840"</f>
        <v>80840</v>
      </c>
      <c r="AK2281" t="s">
        <v>118</v>
      </c>
      <c r="AM2281" s="10">
        <v>18164364194</v>
      </c>
      <c r="AO2281" t="s">
        <v>12553</v>
      </c>
      <c r="AP2281" t="s">
        <v>248</v>
      </c>
      <c r="AQ2281" t="s">
        <v>5168</v>
      </c>
      <c r="AR2281" t="s">
        <v>2187</v>
      </c>
      <c r="AS2281" t="s">
        <v>628</v>
      </c>
      <c r="AT2281" t="s">
        <v>5169</v>
      </c>
      <c r="AV2281" t="s">
        <v>5170</v>
      </c>
      <c r="AW2281" t="s">
        <v>581</v>
      </c>
      <c r="AX2281" s="8" t="str">
        <f>"23505"</f>
        <v>23505</v>
      </c>
      <c r="AY2281" t="s">
        <v>118</v>
      </c>
      <c r="BA2281" s="10">
        <v>18043019607</v>
      </c>
      <c r="BC2281" t="s">
        <v>5171</v>
      </c>
      <c r="BD2281" t="s">
        <v>5172</v>
      </c>
      <c r="BG2281" t="s">
        <v>188</v>
      </c>
      <c r="BH2281" s="1">
        <v>45243.791666666664</v>
      </c>
      <c r="BI2281">
        <v>40</v>
      </c>
      <c r="BJ2281">
        <v>0</v>
      </c>
      <c r="BK2281">
        <v>8</v>
      </c>
      <c r="BL2281">
        <v>8</v>
      </c>
      <c r="BM2281">
        <v>8</v>
      </c>
      <c r="BN2281">
        <v>8</v>
      </c>
      <c r="BO2281">
        <v>8</v>
      </c>
      <c r="BP2281">
        <v>0</v>
      </c>
      <c r="BQ2281" t="str">
        <f>"7:00 AM"</f>
        <v>7:00 AM</v>
      </c>
      <c r="BR2281" t="str">
        <f>"4:00 PM"</f>
        <v>4:00 PM</v>
      </c>
      <c r="BS2281" t="s">
        <v>131</v>
      </c>
      <c r="BT2281">
        <v>0</v>
      </c>
      <c r="BU2281">
        <v>3</v>
      </c>
      <c r="BV2281" t="s">
        <v>114</v>
      </c>
      <c r="BX2281" t="s">
        <v>12550</v>
      </c>
      <c r="BY2281" t="s">
        <v>15272</v>
      </c>
      <c r="BZ2281" t="s">
        <v>3492</v>
      </c>
      <c r="CA2281" t="s">
        <v>15274</v>
      </c>
      <c r="CB2281" t="s">
        <v>188</v>
      </c>
      <c r="CC2281" s="8" t="str">
        <f>"80840"</f>
        <v>80840</v>
      </c>
      <c r="CD2281" t="s">
        <v>714</v>
      </c>
      <c r="CE2281" t="s">
        <v>2261</v>
      </c>
      <c r="CF2281" s="12">
        <v>20.18</v>
      </c>
      <c r="CG2281" s="12">
        <v>20.18</v>
      </c>
      <c r="CH2281" s="12">
        <v>30.27</v>
      </c>
      <c r="CI2281" s="12">
        <v>30.27</v>
      </c>
      <c r="CJ2281" t="s">
        <v>135</v>
      </c>
      <c r="CK2281" t="s">
        <v>12551</v>
      </c>
      <c r="CL2281" t="s">
        <v>15275</v>
      </c>
      <c r="CO2281" t="s">
        <v>132</v>
      </c>
      <c r="CP2281" t="s">
        <v>114</v>
      </c>
      <c r="CQ2281" t="s">
        <v>136</v>
      </c>
      <c r="CR2281" t="s">
        <v>136</v>
      </c>
      <c r="CS2281" t="s">
        <v>114</v>
      </c>
      <c r="CT2281" t="s">
        <v>136</v>
      </c>
      <c r="CU2281" t="s">
        <v>114</v>
      </c>
      <c r="CV2281" t="s">
        <v>5173</v>
      </c>
      <c r="CW2281" s="10" t="str">
        <f>"+17195726970"</f>
        <v>+17195726970</v>
      </c>
      <c r="CX2281" t="s">
        <v>12553</v>
      </c>
      <c r="CY2281" t="s">
        <v>132</v>
      </c>
      <c r="CZ2281" t="s">
        <v>137</v>
      </c>
      <c r="DA2281" t="s">
        <v>114</v>
      </c>
      <c r="DB2281" t="s">
        <v>136</v>
      </c>
      <c r="DC2281" t="s">
        <v>136</v>
      </c>
      <c r="DD2281" t="s">
        <v>114</v>
      </c>
      <c r="DE2281" t="s">
        <v>5168</v>
      </c>
      <c r="DF2281" t="s">
        <v>2187</v>
      </c>
      <c r="DG2281" t="s">
        <v>628</v>
      </c>
      <c r="DH2281" t="s">
        <v>5172</v>
      </c>
      <c r="DI2281" t="s">
        <v>5171</v>
      </c>
    </row>
    <row r="2282" spans="1:113" ht="15" customHeight="1" x14ac:dyDescent="0.25">
      <c r="A2282" t="s">
        <v>5155</v>
      </c>
      <c r="B2282" t="s">
        <v>368</v>
      </c>
      <c r="C2282" s="1">
        <v>45210.363098958333</v>
      </c>
      <c r="D2282" s="1">
        <v>45290</v>
      </c>
      <c r="E2282" t="s">
        <v>132</v>
      </c>
      <c r="F2282" t="s">
        <v>5156</v>
      </c>
      <c r="G2282" t="str">
        <f>"51-2041.00"</f>
        <v>51-2041.00</v>
      </c>
      <c r="H2282" t="s">
        <v>2613</v>
      </c>
      <c r="I2282">
        <v>50</v>
      </c>
      <c r="K2282" s="1">
        <v>45292</v>
      </c>
      <c r="L2282" s="1">
        <v>45443</v>
      </c>
      <c r="O2282" t="s">
        <v>184</v>
      </c>
      <c r="P2282" t="s">
        <v>5157</v>
      </c>
      <c r="R2282" t="s">
        <v>5158</v>
      </c>
      <c r="T2282" t="s">
        <v>5159</v>
      </c>
      <c r="U2282" t="s">
        <v>1427</v>
      </c>
      <c r="V2282" s="8" t="str">
        <f>"19940"</f>
        <v>19940</v>
      </c>
      <c r="W2282" t="s">
        <v>118</v>
      </c>
      <c r="Y2282" s="10">
        <v>13028460613</v>
      </c>
      <c r="AA2282">
        <v>332312</v>
      </c>
      <c r="AB2282" t="s">
        <v>5160</v>
      </c>
      <c r="AC2282" t="s">
        <v>5161</v>
      </c>
      <c r="AE2282" t="s">
        <v>3876</v>
      </c>
      <c r="AF2282" t="s">
        <v>5158</v>
      </c>
      <c r="AH2282" t="s">
        <v>5159</v>
      </c>
      <c r="AI2282" t="s">
        <v>1427</v>
      </c>
      <c r="AJ2282" s="8" t="str">
        <f>"19940"</f>
        <v>19940</v>
      </c>
      <c r="AK2282" t="s">
        <v>118</v>
      </c>
      <c r="AM2282" s="10">
        <v>13028460613</v>
      </c>
      <c r="AO2282" t="s">
        <v>5162</v>
      </c>
      <c r="AP2282" t="s">
        <v>121</v>
      </c>
      <c r="AQ2282" t="s">
        <v>513</v>
      </c>
      <c r="AR2282" t="s">
        <v>514</v>
      </c>
      <c r="AS2282" t="s">
        <v>515</v>
      </c>
      <c r="AT2282" t="s">
        <v>516</v>
      </c>
      <c r="AU2282" t="s">
        <v>517</v>
      </c>
      <c r="AV2282" t="s">
        <v>518</v>
      </c>
      <c r="AW2282" t="s">
        <v>402</v>
      </c>
      <c r="AX2282" s="8" t="str">
        <f>"90071"</f>
        <v>90071</v>
      </c>
      <c r="AY2282" t="s">
        <v>118</v>
      </c>
      <c r="BA2282" s="10">
        <v>13108203322</v>
      </c>
      <c r="BC2282" t="s">
        <v>519</v>
      </c>
      <c r="BD2282" t="s">
        <v>520</v>
      </c>
      <c r="BE2282" t="s">
        <v>188</v>
      </c>
      <c r="BF2282" t="s">
        <v>172</v>
      </c>
      <c r="BG2282" t="s">
        <v>1722</v>
      </c>
      <c r="BH2282" s="1">
        <v>45201.833333333336</v>
      </c>
      <c r="BI2282">
        <v>40</v>
      </c>
      <c r="BJ2282">
        <v>0</v>
      </c>
      <c r="BK2282">
        <v>8</v>
      </c>
      <c r="BL2282">
        <v>8</v>
      </c>
      <c r="BM2282">
        <v>8</v>
      </c>
      <c r="BN2282">
        <v>8</v>
      </c>
      <c r="BO2282">
        <v>8</v>
      </c>
      <c r="BP2282">
        <v>0</v>
      </c>
      <c r="BQ2282" t="str">
        <f>"7:00 AM"</f>
        <v>7:00 AM</v>
      </c>
      <c r="BR2282" t="str">
        <f>"4:00 PM"</f>
        <v>4:00 PM</v>
      </c>
      <c r="BS2282" t="s">
        <v>131</v>
      </c>
      <c r="BT2282">
        <v>0</v>
      </c>
      <c r="BU2282">
        <v>24</v>
      </c>
      <c r="BV2282" t="s">
        <v>114</v>
      </c>
      <c r="BX2282" s="2" t="s">
        <v>5163</v>
      </c>
      <c r="BY2282" t="s">
        <v>5164</v>
      </c>
      <c r="CA2282" t="s">
        <v>5165</v>
      </c>
      <c r="CB2282" t="s">
        <v>1722</v>
      </c>
      <c r="CC2282" s="8" t="str">
        <f>"21632"</f>
        <v>21632</v>
      </c>
      <c r="CD2282" t="s">
        <v>2501</v>
      </c>
      <c r="CE2282" t="s">
        <v>2219</v>
      </c>
      <c r="CF2282" s="12">
        <v>25.53</v>
      </c>
      <c r="CH2282" s="12">
        <v>38.299999999999997</v>
      </c>
      <c r="CJ2282" t="s">
        <v>135</v>
      </c>
      <c r="CK2282" t="s">
        <v>132</v>
      </c>
      <c r="CL2282" t="s">
        <v>5166</v>
      </c>
      <c r="CO2282" t="s">
        <v>132</v>
      </c>
      <c r="CP2282" t="s">
        <v>114</v>
      </c>
      <c r="CQ2282" t="s">
        <v>114</v>
      </c>
      <c r="CR2282" t="s">
        <v>136</v>
      </c>
      <c r="CS2282" t="s">
        <v>114</v>
      </c>
      <c r="CT2282" t="s">
        <v>136</v>
      </c>
      <c r="CU2282" t="s">
        <v>136</v>
      </c>
      <c r="CV2282" t="s">
        <v>131</v>
      </c>
      <c r="CW2282" s="10" t="str">
        <f>"+13028460613"</f>
        <v>+13028460613</v>
      </c>
      <c r="CX2282" t="s">
        <v>5162</v>
      </c>
      <c r="CY2282" t="s">
        <v>132</v>
      </c>
      <c r="CZ2282" t="s">
        <v>137</v>
      </c>
      <c r="DA2282" t="s">
        <v>114</v>
      </c>
      <c r="DB2282" t="s">
        <v>114</v>
      </c>
      <c r="DC2282" t="s">
        <v>136</v>
      </c>
      <c r="DD2282" t="s">
        <v>114</v>
      </c>
      <c r="DE2282" t="s">
        <v>527</v>
      </c>
      <c r="DF2282" t="s">
        <v>528</v>
      </c>
      <c r="DG2282" t="s">
        <v>732</v>
      </c>
      <c r="DH2282" t="s">
        <v>520</v>
      </c>
      <c r="DI2282" t="s">
        <v>529</v>
      </c>
    </row>
    <row r="2283" spans="1:113" ht="15" customHeight="1" x14ac:dyDescent="0.25">
      <c r="A2283" t="s">
        <v>23088</v>
      </c>
      <c r="B2283" t="s">
        <v>368</v>
      </c>
      <c r="C2283" s="1">
        <v>45289.298023611111</v>
      </c>
      <c r="D2283" s="1">
        <v>45289</v>
      </c>
      <c r="E2283" t="s">
        <v>132</v>
      </c>
      <c r="F2283" t="s">
        <v>2536</v>
      </c>
      <c r="G2283" t="str">
        <f>"45-4011.00"</f>
        <v>45-4011.00</v>
      </c>
      <c r="H2283" t="s">
        <v>842</v>
      </c>
      <c r="I2283">
        <v>195</v>
      </c>
      <c r="K2283" s="1">
        <v>45379</v>
      </c>
      <c r="L2283" s="1">
        <v>45459</v>
      </c>
      <c r="O2283" t="s">
        <v>238</v>
      </c>
      <c r="P2283" t="s">
        <v>2537</v>
      </c>
      <c r="R2283" t="s">
        <v>2538</v>
      </c>
      <c r="T2283" t="s">
        <v>2539</v>
      </c>
      <c r="U2283" t="s">
        <v>854</v>
      </c>
      <c r="V2283" s="8" t="str">
        <f>"83814"</f>
        <v>83814</v>
      </c>
      <c r="W2283" t="s">
        <v>118</v>
      </c>
      <c r="Y2283" s="10">
        <v>12087650880</v>
      </c>
      <c r="AA2283">
        <v>11531</v>
      </c>
      <c r="AB2283" t="s">
        <v>2540</v>
      </c>
      <c r="AC2283" t="s">
        <v>2541</v>
      </c>
      <c r="AE2283" t="s">
        <v>2542</v>
      </c>
      <c r="AF2283" t="s">
        <v>2543</v>
      </c>
      <c r="AH2283" t="s">
        <v>2544</v>
      </c>
      <c r="AI2283" t="s">
        <v>854</v>
      </c>
      <c r="AJ2283" s="8" t="str">
        <f>"83814"</f>
        <v>83814</v>
      </c>
      <c r="AK2283" t="s">
        <v>118</v>
      </c>
      <c r="AM2283" s="10">
        <v>12087650880</v>
      </c>
      <c r="AO2283" t="s">
        <v>2545</v>
      </c>
      <c r="AP2283" t="s">
        <v>248</v>
      </c>
      <c r="AQ2283" t="s">
        <v>2546</v>
      </c>
      <c r="AR2283" t="s">
        <v>2547</v>
      </c>
      <c r="AT2283" t="s">
        <v>2548</v>
      </c>
      <c r="AV2283" t="s">
        <v>2544</v>
      </c>
      <c r="AW2283" t="s">
        <v>854</v>
      </c>
      <c r="AX2283" s="8" t="str">
        <f>"83815"</f>
        <v>83815</v>
      </c>
      <c r="AY2283" t="s">
        <v>118</v>
      </c>
      <c r="BA2283" s="10">
        <v>12089303246</v>
      </c>
      <c r="BC2283" t="s">
        <v>2549</v>
      </c>
      <c r="BD2283" t="s">
        <v>2550</v>
      </c>
      <c r="BG2283" t="s">
        <v>854</v>
      </c>
      <c r="BH2283" s="1">
        <v>45286.791666666664</v>
      </c>
      <c r="BI2283">
        <v>35</v>
      </c>
      <c r="BJ2283">
        <v>0</v>
      </c>
      <c r="BK2283">
        <v>7</v>
      </c>
      <c r="BL2283">
        <v>7</v>
      </c>
      <c r="BM2283">
        <v>7</v>
      </c>
      <c r="BN2283">
        <v>7</v>
      </c>
      <c r="BO2283">
        <v>7</v>
      </c>
      <c r="BP2283">
        <v>0</v>
      </c>
      <c r="BQ2283" t="str">
        <f>"7:00 AM"</f>
        <v>7:00 AM</v>
      </c>
      <c r="BR2283" t="str">
        <f>"3:30 PM"</f>
        <v>3:30 PM</v>
      </c>
      <c r="BS2283" t="s">
        <v>131</v>
      </c>
      <c r="BT2283">
        <v>0</v>
      </c>
      <c r="BU2283">
        <v>0</v>
      </c>
      <c r="BV2283" t="s">
        <v>114</v>
      </c>
      <c r="BX2283" t="s">
        <v>23089</v>
      </c>
      <c r="BY2283" t="s">
        <v>2551</v>
      </c>
      <c r="CA2283" t="s">
        <v>2539</v>
      </c>
      <c r="CB2283" t="s">
        <v>854</v>
      </c>
      <c r="CC2283" s="8" t="str">
        <f>"83814"</f>
        <v>83814</v>
      </c>
      <c r="CD2283" t="s">
        <v>2552</v>
      </c>
      <c r="CE2283" t="s">
        <v>2553</v>
      </c>
      <c r="CF2283" s="12">
        <v>15.39</v>
      </c>
      <c r="CG2283" s="12">
        <v>24.44</v>
      </c>
      <c r="CH2283" s="12">
        <v>23.09</v>
      </c>
      <c r="CI2283" s="12">
        <v>36.659999999999997</v>
      </c>
      <c r="CJ2283" t="s">
        <v>135</v>
      </c>
      <c r="CK2283" t="s">
        <v>2554</v>
      </c>
      <c r="CL2283" t="s">
        <v>2555</v>
      </c>
      <c r="CO2283" t="s">
        <v>132</v>
      </c>
      <c r="CP2283" t="s">
        <v>136</v>
      </c>
      <c r="CQ2283" t="s">
        <v>136</v>
      </c>
      <c r="CR2283" t="s">
        <v>136</v>
      </c>
      <c r="CS2283" t="s">
        <v>136</v>
      </c>
      <c r="CT2283" t="s">
        <v>136</v>
      </c>
      <c r="CU2283" t="s">
        <v>136</v>
      </c>
      <c r="CV2283" t="s">
        <v>2556</v>
      </c>
      <c r="CW2283" s="10" t="str">
        <f>"+12087650880"</f>
        <v>+12087650880</v>
      </c>
      <c r="CX2283" t="s">
        <v>2557</v>
      </c>
      <c r="CY2283" t="s">
        <v>132</v>
      </c>
      <c r="CZ2283" t="s">
        <v>137</v>
      </c>
      <c r="DA2283" t="s">
        <v>114</v>
      </c>
      <c r="DB2283" t="s">
        <v>114</v>
      </c>
      <c r="DC2283" t="s">
        <v>136</v>
      </c>
      <c r="DD2283" t="s">
        <v>114</v>
      </c>
    </row>
    <row r="2284" spans="1:113" ht="15" customHeight="1" x14ac:dyDescent="0.25">
      <c r="A2284" t="s">
        <v>7997</v>
      </c>
      <c r="B2284" t="s">
        <v>368</v>
      </c>
      <c r="C2284" s="1">
        <v>45274.478745370368</v>
      </c>
      <c r="D2284" s="1">
        <v>45287</v>
      </c>
      <c r="E2284" t="s">
        <v>132</v>
      </c>
      <c r="F2284" t="s">
        <v>7998</v>
      </c>
      <c r="G2284" t="str">
        <f>"53-7064.00"</f>
        <v>53-7064.00</v>
      </c>
      <c r="H2284" t="s">
        <v>3138</v>
      </c>
      <c r="I2284">
        <v>15</v>
      </c>
      <c r="K2284" s="1">
        <v>45364</v>
      </c>
      <c r="L2284" s="1">
        <v>45611</v>
      </c>
      <c r="O2284" t="s">
        <v>116</v>
      </c>
      <c r="P2284" t="s">
        <v>7999</v>
      </c>
      <c r="Q2284" t="s">
        <v>8000</v>
      </c>
      <c r="R2284" t="s">
        <v>8001</v>
      </c>
      <c r="T2284" t="s">
        <v>2721</v>
      </c>
      <c r="U2284" t="s">
        <v>993</v>
      </c>
      <c r="V2284" s="8" t="str">
        <f>"53718"</f>
        <v>53718</v>
      </c>
      <c r="W2284" t="s">
        <v>118</v>
      </c>
      <c r="Y2284" s="10">
        <v>16082239809</v>
      </c>
      <c r="AA2284">
        <v>31181</v>
      </c>
      <c r="AB2284" t="s">
        <v>8002</v>
      </c>
      <c r="AC2284" t="s">
        <v>8003</v>
      </c>
      <c r="AE2284" t="s">
        <v>654</v>
      </c>
      <c r="AF2284" t="s">
        <v>8004</v>
      </c>
      <c r="AH2284" t="s">
        <v>908</v>
      </c>
      <c r="AI2284" t="s">
        <v>993</v>
      </c>
      <c r="AJ2284" s="8" t="str">
        <f>"53718"</f>
        <v>53718</v>
      </c>
      <c r="AK2284" t="s">
        <v>118</v>
      </c>
      <c r="AM2284" s="10">
        <v>16082239808</v>
      </c>
      <c r="AN2284">
        <v>24</v>
      </c>
      <c r="AO2284" t="s">
        <v>8005</v>
      </c>
      <c r="AP2284" t="s">
        <v>248</v>
      </c>
      <c r="AQ2284" t="s">
        <v>3602</v>
      </c>
      <c r="AR2284" t="s">
        <v>3603</v>
      </c>
      <c r="AS2284" t="s">
        <v>2709</v>
      </c>
      <c r="AT2284" t="s">
        <v>3604</v>
      </c>
      <c r="AU2284" t="s">
        <v>2846</v>
      </c>
      <c r="AV2284" t="s">
        <v>3605</v>
      </c>
      <c r="AW2284" t="s">
        <v>543</v>
      </c>
      <c r="AX2284" s="8" t="str">
        <f>"44053"</f>
        <v>44053</v>
      </c>
      <c r="AY2284" t="s">
        <v>118</v>
      </c>
      <c r="BA2284" s="10">
        <v>14409874000</v>
      </c>
      <c r="BC2284" t="s">
        <v>3606</v>
      </c>
      <c r="BD2284" t="s">
        <v>3607</v>
      </c>
      <c r="BG2284" t="s">
        <v>993</v>
      </c>
      <c r="BH2284" s="1">
        <v>45273.791666666664</v>
      </c>
      <c r="BI2284">
        <v>40</v>
      </c>
      <c r="BJ2284">
        <v>0</v>
      </c>
      <c r="BK2284">
        <v>8</v>
      </c>
      <c r="BL2284">
        <v>8</v>
      </c>
      <c r="BM2284">
        <v>8</v>
      </c>
      <c r="BN2284">
        <v>8</v>
      </c>
      <c r="BO2284">
        <v>8</v>
      </c>
      <c r="BP2284">
        <v>0</v>
      </c>
      <c r="BQ2284" t="str">
        <f>"2:00 PM"</f>
        <v>2:00 PM</v>
      </c>
      <c r="BR2284" t="str">
        <f>"11:00 PM"</f>
        <v>11:00 PM</v>
      </c>
      <c r="BS2284" t="s">
        <v>131</v>
      </c>
      <c r="BT2284">
        <v>0</v>
      </c>
      <c r="BU2284">
        <v>0</v>
      </c>
      <c r="BV2284" t="s">
        <v>114</v>
      </c>
      <c r="BX2284" s="2" t="s">
        <v>8006</v>
      </c>
      <c r="BY2284" t="s">
        <v>8004</v>
      </c>
      <c r="CA2284" t="s">
        <v>908</v>
      </c>
      <c r="CB2284" t="s">
        <v>993</v>
      </c>
      <c r="CC2284" s="8" t="str">
        <f>"53718"</f>
        <v>53718</v>
      </c>
      <c r="CD2284" t="s">
        <v>8007</v>
      </c>
      <c r="CE2284" t="s">
        <v>2768</v>
      </c>
      <c r="CF2284" s="12">
        <v>16.05</v>
      </c>
      <c r="CG2284" s="12">
        <v>16.05</v>
      </c>
      <c r="CH2284" s="12">
        <v>24.08</v>
      </c>
      <c r="CI2284" s="12">
        <v>24.08</v>
      </c>
      <c r="CJ2284" t="s">
        <v>135</v>
      </c>
      <c r="CK2284" t="s">
        <v>8008</v>
      </c>
      <c r="CL2284" t="s">
        <v>8009</v>
      </c>
      <c r="CO2284" t="s">
        <v>132</v>
      </c>
      <c r="CP2284" t="s">
        <v>114</v>
      </c>
      <c r="CQ2284" t="s">
        <v>136</v>
      </c>
      <c r="CR2284" t="s">
        <v>136</v>
      </c>
      <c r="CS2284" t="s">
        <v>136</v>
      </c>
      <c r="CT2284" t="s">
        <v>136</v>
      </c>
      <c r="CU2284" t="s">
        <v>136</v>
      </c>
      <c r="CV2284" s="2" t="s">
        <v>8010</v>
      </c>
      <c r="CW2284" s="10" t="str">
        <f>"+16082239808"</f>
        <v>+16082239808</v>
      </c>
      <c r="CX2284" t="s">
        <v>8011</v>
      </c>
      <c r="CY2284" t="s">
        <v>132</v>
      </c>
      <c r="CZ2284" t="s">
        <v>137</v>
      </c>
      <c r="DA2284" t="s">
        <v>114</v>
      </c>
      <c r="DB2284" t="s">
        <v>136</v>
      </c>
      <c r="DC2284" t="s">
        <v>136</v>
      </c>
      <c r="DD2284" t="s">
        <v>114</v>
      </c>
    </row>
    <row r="2285" spans="1:113" ht="15" customHeight="1" x14ac:dyDescent="0.25">
      <c r="A2285" t="s">
        <v>7977</v>
      </c>
      <c r="B2285" t="s">
        <v>368</v>
      </c>
      <c r="C2285" s="1">
        <v>45266.81200208333</v>
      </c>
      <c r="D2285" s="1">
        <v>45287</v>
      </c>
      <c r="E2285" t="s">
        <v>132</v>
      </c>
      <c r="F2285" t="s">
        <v>7978</v>
      </c>
      <c r="G2285" t="str">
        <f>"47-4031.00"</f>
        <v>47-4031.00</v>
      </c>
      <c r="H2285" t="s">
        <v>5788</v>
      </c>
      <c r="I2285">
        <v>15</v>
      </c>
      <c r="K2285" s="1">
        <v>45341</v>
      </c>
      <c r="L2285" s="1">
        <v>46435</v>
      </c>
      <c r="O2285" t="s">
        <v>184</v>
      </c>
      <c r="P2285" t="s">
        <v>7979</v>
      </c>
      <c r="Q2285" t="s">
        <v>7980</v>
      </c>
      <c r="R2285" t="s">
        <v>7981</v>
      </c>
      <c r="T2285" t="s">
        <v>7982</v>
      </c>
      <c r="U2285" t="s">
        <v>188</v>
      </c>
      <c r="V2285" s="8" t="str">
        <f>"80446"</f>
        <v>80446</v>
      </c>
      <c r="W2285" t="s">
        <v>118</v>
      </c>
      <c r="X2285" t="s">
        <v>796</v>
      </c>
      <c r="Y2285" s="10">
        <v>13034352000</v>
      </c>
      <c r="AA2285">
        <v>11211</v>
      </c>
      <c r="AB2285" t="s">
        <v>7983</v>
      </c>
      <c r="AC2285" t="s">
        <v>5055</v>
      </c>
      <c r="AD2285" t="s">
        <v>796</v>
      </c>
      <c r="AE2285" t="s">
        <v>561</v>
      </c>
      <c r="AF2285" t="s">
        <v>7984</v>
      </c>
      <c r="AH2285" t="s">
        <v>2604</v>
      </c>
      <c r="AI2285" t="s">
        <v>188</v>
      </c>
      <c r="AJ2285" s="8" t="str">
        <f>"81625"</f>
        <v>81625</v>
      </c>
      <c r="AK2285" t="s">
        <v>118</v>
      </c>
      <c r="AM2285" s="10">
        <v>13034352000</v>
      </c>
      <c r="AO2285" t="s">
        <v>7985</v>
      </c>
      <c r="AP2285" t="s">
        <v>121</v>
      </c>
      <c r="AQ2285" t="s">
        <v>7986</v>
      </c>
      <c r="AR2285" t="s">
        <v>7987</v>
      </c>
      <c r="AS2285" t="s">
        <v>7988</v>
      </c>
      <c r="AT2285" t="s">
        <v>7989</v>
      </c>
      <c r="AU2285" t="s">
        <v>7990</v>
      </c>
      <c r="AV2285" t="s">
        <v>2836</v>
      </c>
      <c r="AW2285" t="s">
        <v>543</v>
      </c>
      <c r="AX2285" s="8" t="str">
        <f>"44114"</f>
        <v>44114</v>
      </c>
      <c r="AY2285" t="s">
        <v>118</v>
      </c>
      <c r="BA2285" s="10">
        <v>12163636285</v>
      </c>
      <c r="BC2285" t="s">
        <v>7991</v>
      </c>
      <c r="BD2285" t="s">
        <v>7992</v>
      </c>
      <c r="BE2285" t="s">
        <v>543</v>
      </c>
      <c r="BF2285" t="s">
        <v>6446</v>
      </c>
      <c r="BG2285" t="s">
        <v>188</v>
      </c>
      <c r="BH2285" s="1">
        <v>45265.791666666664</v>
      </c>
      <c r="BI2285">
        <v>40</v>
      </c>
      <c r="BJ2285">
        <v>0</v>
      </c>
      <c r="BK2285">
        <v>8</v>
      </c>
      <c r="BL2285">
        <v>8</v>
      </c>
      <c r="BM2285">
        <v>8</v>
      </c>
      <c r="BN2285">
        <v>8</v>
      </c>
      <c r="BO2285">
        <v>8</v>
      </c>
      <c r="BP2285">
        <v>0</v>
      </c>
      <c r="BQ2285" t="str">
        <f>"7:30 AM"</f>
        <v>7:30 AM</v>
      </c>
      <c r="BR2285" t="str">
        <f>"3:30 PM"</f>
        <v>3:30 PM</v>
      </c>
      <c r="BS2285" t="s">
        <v>131</v>
      </c>
      <c r="BT2285">
        <v>0</v>
      </c>
      <c r="BU2285">
        <v>0</v>
      </c>
      <c r="BV2285" t="s">
        <v>114</v>
      </c>
      <c r="BX2285" t="s">
        <v>131</v>
      </c>
      <c r="BY2285" t="s">
        <v>7993</v>
      </c>
      <c r="CA2285" t="s">
        <v>7994</v>
      </c>
      <c r="CB2285" t="s">
        <v>188</v>
      </c>
      <c r="CC2285" s="8" t="str">
        <f>"80468"</f>
        <v>80468</v>
      </c>
      <c r="CD2285" t="s">
        <v>5722</v>
      </c>
      <c r="CE2285" t="s">
        <v>1038</v>
      </c>
      <c r="CF2285" s="12">
        <v>20.13</v>
      </c>
      <c r="CJ2285" t="s">
        <v>135</v>
      </c>
      <c r="CL2285" t="s">
        <v>7995</v>
      </c>
      <c r="CO2285" t="s">
        <v>132</v>
      </c>
      <c r="CP2285" t="s">
        <v>136</v>
      </c>
      <c r="CQ2285" t="s">
        <v>114</v>
      </c>
      <c r="CR2285" t="s">
        <v>114</v>
      </c>
      <c r="CS2285" t="s">
        <v>136</v>
      </c>
      <c r="CT2285" t="s">
        <v>136</v>
      </c>
      <c r="CU2285" t="s">
        <v>114</v>
      </c>
      <c r="CV2285" t="s">
        <v>1480</v>
      </c>
      <c r="CW2285" s="10" t="str">
        <f>"+13034352000"</f>
        <v>+13034352000</v>
      </c>
      <c r="CX2285" t="s">
        <v>7985</v>
      </c>
      <c r="CY2285" t="s">
        <v>132</v>
      </c>
      <c r="CZ2285" t="s">
        <v>137</v>
      </c>
      <c r="DA2285" t="s">
        <v>114</v>
      </c>
      <c r="DB2285" t="s">
        <v>114</v>
      </c>
      <c r="DC2285" t="s">
        <v>136</v>
      </c>
      <c r="DD2285" t="s">
        <v>114</v>
      </c>
      <c r="DE2285" t="s">
        <v>7986</v>
      </c>
      <c r="DF2285" t="s">
        <v>7987</v>
      </c>
      <c r="DG2285" t="s">
        <v>5973</v>
      </c>
      <c r="DH2285" t="s">
        <v>7992</v>
      </c>
      <c r="DI2285" t="s">
        <v>7996</v>
      </c>
    </row>
    <row r="2286" spans="1:113" ht="15" customHeight="1" x14ac:dyDescent="0.25">
      <c r="A2286" t="s">
        <v>3744</v>
      </c>
      <c r="B2286" t="s">
        <v>368</v>
      </c>
      <c r="C2286" s="1">
        <v>45265.722433912037</v>
      </c>
      <c r="D2286" s="1">
        <v>45287</v>
      </c>
      <c r="E2286" t="s">
        <v>132</v>
      </c>
      <c r="F2286" t="s">
        <v>2376</v>
      </c>
      <c r="G2286" t="str">
        <f>"51-3023.00"</f>
        <v>51-3023.00</v>
      </c>
      <c r="H2286" t="s">
        <v>2377</v>
      </c>
      <c r="I2286">
        <v>25</v>
      </c>
      <c r="K2286" s="1">
        <v>45352</v>
      </c>
      <c r="L2286" s="1">
        <v>45626</v>
      </c>
      <c r="O2286" t="s">
        <v>116</v>
      </c>
      <c r="P2286" t="s">
        <v>2378</v>
      </c>
      <c r="R2286" t="s">
        <v>2379</v>
      </c>
      <c r="T2286" t="s">
        <v>2380</v>
      </c>
      <c r="U2286" t="s">
        <v>375</v>
      </c>
      <c r="V2286" s="8" t="str">
        <f>"27344"</f>
        <v>27344</v>
      </c>
      <c r="W2286" t="s">
        <v>118</v>
      </c>
      <c r="Y2286" s="10">
        <v>19196636664</v>
      </c>
      <c r="AA2286">
        <v>311615</v>
      </c>
      <c r="AB2286" t="s">
        <v>2381</v>
      </c>
      <c r="AC2286" t="s">
        <v>2382</v>
      </c>
      <c r="AE2286" t="s">
        <v>2383</v>
      </c>
      <c r="AF2286" t="s">
        <v>2379</v>
      </c>
      <c r="AH2286" t="s">
        <v>2380</v>
      </c>
      <c r="AI2286" t="s">
        <v>375</v>
      </c>
      <c r="AJ2286" s="8" t="str">
        <f>"27344"</f>
        <v>27344</v>
      </c>
      <c r="AK2286" t="s">
        <v>118</v>
      </c>
      <c r="AM2286" s="10">
        <v>19196636664</v>
      </c>
      <c r="AO2286" t="s">
        <v>2384</v>
      </c>
      <c r="AP2286" t="s">
        <v>121</v>
      </c>
      <c r="AQ2286" t="s">
        <v>2173</v>
      </c>
      <c r="AR2286" t="s">
        <v>2174</v>
      </c>
      <c r="AS2286" t="s">
        <v>1829</v>
      </c>
      <c r="AT2286" t="s">
        <v>2175</v>
      </c>
      <c r="AV2286" t="s">
        <v>2176</v>
      </c>
      <c r="AW2286" t="s">
        <v>386</v>
      </c>
      <c r="AX2286" s="8" t="str">
        <f>"37110"</f>
        <v>37110</v>
      </c>
      <c r="AY2286" t="s">
        <v>118</v>
      </c>
      <c r="BA2286" s="10">
        <v>19312747811</v>
      </c>
      <c r="BC2286" t="s">
        <v>2177</v>
      </c>
      <c r="BD2286" t="s">
        <v>2178</v>
      </c>
      <c r="BE2286" t="s">
        <v>386</v>
      </c>
      <c r="BF2286" t="s">
        <v>2179</v>
      </c>
      <c r="BG2286" t="s">
        <v>375</v>
      </c>
      <c r="BH2286" s="1">
        <v>45261.791666666664</v>
      </c>
      <c r="BI2286">
        <v>40</v>
      </c>
      <c r="BJ2286">
        <v>0</v>
      </c>
      <c r="BK2286">
        <v>8</v>
      </c>
      <c r="BL2286">
        <v>8</v>
      </c>
      <c r="BM2286">
        <v>8</v>
      </c>
      <c r="BN2286">
        <v>8</v>
      </c>
      <c r="BO2286">
        <v>8</v>
      </c>
      <c r="BP2286">
        <v>0</v>
      </c>
      <c r="BQ2286" t="str">
        <f>"7:00 AM"</f>
        <v>7:00 AM</v>
      </c>
      <c r="BR2286" t="str">
        <f>"4:00 PM"</f>
        <v>4:00 PM</v>
      </c>
      <c r="BS2286" t="s">
        <v>131</v>
      </c>
      <c r="BT2286">
        <v>0</v>
      </c>
      <c r="BU2286">
        <v>0</v>
      </c>
      <c r="BV2286" t="s">
        <v>114</v>
      </c>
      <c r="BX2286" s="2" t="s">
        <v>3745</v>
      </c>
      <c r="BY2286" t="s">
        <v>2379</v>
      </c>
      <c r="CA2286" t="s">
        <v>2380</v>
      </c>
      <c r="CB2286" t="s">
        <v>375</v>
      </c>
      <c r="CC2286" s="8" t="str">
        <f>"27344"</f>
        <v>27344</v>
      </c>
      <c r="CD2286" t="s">
        <v>2385</v>
      </c>
      <c r="CE2286" t="s">
        <v>2386</v>
      </c>
      <c r="CF2286" s="12">
        <v>16.37</v>
      </c>
      <c r="CH2286" s="12">
        <v>24.56</v>
      </c>
      <c r="CJ2286" t="s">
        <v>135</v>
      </c>
      <c r="CK2286" t="s">
        <v>2181</v>
      </c>
      <c r="CL2286" t="s">
        <v>2387</v>
      </c>
      <c r="CO2286" t="s">
        <v>132</v>
      </c>
      <c r="CP2286" t="s">
        <v>114</v>
      </c>
      <c r="CQ2286" t="s">
        <v>136</v>
      </c>
      <c r="CR2286" t="s">
        <v>136</v>
      </c>
      <c r="CS2286" t="s">
        <v>114</v>
      </c>
      <c r="CT2286" t="s">
        <v>136</v>
      </c>
      <c r="CU2286" t="s">
        <v>114</v>
      </c>
      <c r="CV2286" t="s">
        <v>1480</v>
      </c>
      <c r="CW2286" s="10" t="str">
        <f>"+19196636664"</f>
        <v>+19196636664</v>
      </c>
      <c r="CX2286" t="s">
        <v>2384</v>
      </c>
      <c r="CY2286" t="s">
        <v>132</v>
      </c>
      <c r="CZ2286" t="s">
        <v>137</v>
      </c>
      <c r="DA2286" t="s">
        <v>114</v>
      </c>
      <c r="DB2286" t="s">
        <v>114</v>
      </c>
      <c r="DC2286" t="s">
        <v>136</v>
      </c>
      <c r="DD2286" t="s">
        <v>114</v>
      </c>
    </row>
    <row r="2287" spans="1:113" ht="15" customHeight="1" x14ac:dyDescent="0.25">
      <c r="A2287" t="s">
        <v>14760</v>
      </c>
      <c r="B2287" t="s">
        <v>368</v>
      </c>
      <c r="C2287" s="1">
        <v>45262.598279745369</v>
      </c>
      <c r="D2287" s="1">
        <v>45287</v>
      </c>
      <c r="E2287" t="s">
        <v>132</v>
      </c>
      <c r="F2287" t="s">
        <v>3583</v>
      </c>
      <c r="G2287" t="str">
        <f>"47-2061.00"</f>
        <v>47-2061.00</v>
      </c>
      <c r="H2287" t="s">
        <v>570</v>
      </c>
      <c r="I2287">
        <v>25</v>
      </c>
      <c r="K2287" s="1">
        <v>45352</v>
      </c>
      <c r="L2287" s="1">
        <v>45595</v>
      </c>
      <c r="O2287" t="s">
        <v>238</v>
      </c>
      <c r="P2287" t="s">
        <v>14761</v>
      </c>
      <c r="R2287" t="s">
        <v>14762</v>
      </c>
      <c r="S2287" t="s">
        <v>1763</v>
      </c>
      <c r="T2287" t="s">
        <v>587</v>
      </c>
      <c r="U2287" t="s">
        <v>386</v>
      </c>
      <c r="V2287" s="8" t="str">
        <f>"38305"</f>
        <v>38305</v>
      </c>
      <c r="W2287" t="s">
        <v>118</v>
      </c>
      <c r="Y2287" s="10">
        <v>17314231870</v>
      </c>
      <c r="AA2287">
        <v>238110</v>
      </c>
      <c r="AB2287" t="s">
        <v>14763</v>
      </c>
      <c r="AC2287" t="s">
        <v>217</v>
      </c>
      <c r="AE2287" t="s">
        <v>438</v>
      </c>
      <c r="AF2287" t="s">
        <v>14762</v>
      </c>
      <c r="AG2287" t="s">
        <v>1763</v>
      </c>
      <c r="AH2287" t="s">
        <v>587</v>
      </c>
      <c r="AI2287" t="s">
        <v>386</v>
      </c>
      <c r="AJ2287" s="8" t="str">
        <f>"38305"</f>
        <v>38305</v>
      </c>
      <c r="AK2287" t="s">
        <v>118</v>
      </c>
      <c r="AM2287" s="10">
        <v>17315718094</v>
      </c>
      <c r="AO2287" t="s">
        <v>14764</v>
      </c>
      <c r="AP2287" t="s">
        <v>121</v>
      </c>
      <c r="AQ2287" t="s">
        <v>2173</v>
      </c>
      <c r="AR2287" t="s">
        <v>2174</v>
      </c>
      <c r="AS2287" t="s">
        <v>1829</v>
      </c>
      <c r="AT2287" t="s">
        <v>2175</v>
      </c>
      <c r="AV2287" t="s">
        <v>2176</v>
      </c>
      <c r="AW2287" t="s">
        <v>386</v>
      </c>
      <c r="AX2287" s="8" t="str">
        <f>"37110"</f>
        <v>37110</v>
      </c>
      <c r="AY2287" t="s">
        <v>118</v>
      </c>
      <c r="BA2287" s="10">
        <v>19312747811</v>
      </c>
      <c r="BC2287" t="s">
        <v>2177</v>
      </c>
      <c r="BD2287" t="s">
        <v>2178</v>
      </c>
      <c r="BE2287" t="s">
        <v>386</v>
      </c>
      <c r="BF2287" t="s">
        <v>2179</v>
      </c>
      <c r="BG2287" t="s">
        <v>386</v>
      </c>
      <c r="BH2287" s="1">
        <v>45261.791666666664</v>
      </c>
      <c r="BI2287">
        <v>40</v>
      </c>
      <c r="BJ2287">
        <v>0</v>
      </c>
      <c r="BK2287">
        <v>8</v>
      </c>
      <c r="BL2287">
        <v>8</v>
      </c>
      <c r="BM2287">
        <v>8</v>
      </c>
      <c r="BN2287">
        <v>8</v>
      </c>
      <c r="BO2287">
        <v>8</v>
      </c>
      <c r="BP2287">
        <v>0</v>
      </c>
      <c r="BQ2287" t="str">
        <f>"7:00 AM"</f>
        <v>7:00 AM</v>
      </c>
      <c r="BR2287" t="str">
        <f>"4:00 PM"</f>
        <v>4:00 PM</v>
      </c>
      <c r="BS2287" t="s">
        <v>131</v>
      </c>
      <c r="BT2287">
        <v>0</v>
      </c>
      <c r="BU2287">
        <v>3</v>
      </c>
      <c r="BV2287" t="s">
        <v>114</v>
      </c>
      <c r="BX2287" s="2" t="s">
        <v>14765</v>
      </c>
      <c r="BY2287" t="s">
        <v>14762</v>
      </c>
      <c r="BZ2287" t="s">
        <v>1763</v>
      </c>
      <c r="CA2287" t="s">
        <v>587</v>
      </c>
      <c r="CB2287" t="s">
        <v>386</v>
      </c>
      <c r="CC2287" s="8" t="str">
        <f>"38305"</f>
        <v>38305</v>
      </c>
      <c r="CD2287" t="s">
        <v>908</v>
      </c>
      <c r="CE2287" t="s">
        <v>2180</v>
      </c>
      <c r="CF2287" s="12">
        <v>18.27</v>
      </c>
      <c r="CH2287" s="12">
        <v>27.41</v>
      </c>
      <c r="CJ2287" t="s">
        <v>135</v>
      </c>
      <c r="CK2287" t="s">
        <v>2181</v>
      </c>
      <c r="CL2287" t="s">
        <v>14766</v>
      </c>
      <c r="CO2287" t="s">
        <v>132</v>
      </c>
      <c r="CP2287" t="s">
        <v>136</v>
      </c>
      <c r="CQ2287" t="s">
        <v>136</v>
      </c>
      <c r="CR2287" t="s">
        <v>136</v>
      </c>
      <c r="CS2287" t="s">
        <v>114</v>
      </c>
      <c r="CT2287" t="s">
        <v>136</v>
      </c>
      <c r="CU2287" t="s">
        <v>114</v>
      </c>
      <c r="CV2287" t="s">
        <v>1480</v>
      </c>
      <c r="CW2287" s="10" t="str">
        <f>"+17314231870"</f>
        <v>+17314231870</v>
      </c>
      <c r="CX2287" t="s">
        <v>14764</v>
      </c>
      <c r="CY2287" t="s">
        <v>132</v>
      </c>
      <c r="CZ2287" t="s">
        <v>137</v>
      </c>
      <c r="DA2287" t="s">
        <v>114</v>
      </c>
      <c r="DB2287" t="s">
        <v>114</v>
      </c>
      <c r="DC2287" t="s">
        <v>136</v>
      </c>
      <c r="DD2287" t="s">
        <v>114</v>
      </c>
    </row>
    <row r="2288" spans="1:113" ht="15" customHeight="1" x14ac:dyDescent="0.25">
      <c r="A2288" t="s">
        <v>22380</v>
      </c>
      <c r="B2288" t="s">
        <v>368</v>
      </c>
      <c r="C2288" s="1">
        <v>45262.564901388891</v>
      </c>
      <c r="D2288" s="1">
        <v>45287</v>
      </c>
      <c r="E2288" t="s">
        <v>132</v>
      </c>
      <c r="F2288" t="s">
        <v>2738</v>
      </c>
      <c r="G2288" t="str">
        <f>"37-3011.00"</f>
        <v>37-3011.00</v>
      </c>
      <c r="H2288" t="s">
        <v>429</v>
      </c>
      <c r="I2288">
        <v>12</v>
      </c>
      <c r="K2288" s="1">
        <v>45352</v>
      </c>
      <c r="L2288" s="1">
        <v>45595</v>
      </c>
      <c r="O2288" t="s">
        <v>238</v>
      </c>
      <c r="P2288" t="s">
        <v>22354</v>
      </c>
      <c r="R2288" t="s">
        <v>22355</v>
      </c>
      <c r="T2288" t="s">
        <v>22356</v>
      </c>
      <c r="U2288" t="s">
        <v>550</v>
      </c>
      <c r="V2288" s="8" t="str">
        <f>"30542"</f>
        <v>30542</v>
      </c>
      <c r="W2288" t="s">
        <v>118</v>
      </c>
      <c r="Y2288" s="10">
        <v>17709652245</v>
      </c>
      <c r="AA2288">
        <v>56173</v>
      </c>
      <c r="AB2288" t="s">
        <v>14888</v>
      </c>
      <c r="AC2288" t="s">
        <v>355</v>
      </c>
      <c r="AE2288" t="s">
        <v>654</v>
      </c>
      <c r="AF2288" t="s">
        <v>22355</v>
      </c>
      <c r="AH2288" t="s">
        <v>22356</v>
      </c>
      <c r="AI2288" t="s">
        <v>550</v>
      </c>
      <c r="AJ2288" s="8" t="str">
        <f>"30542"</f>
        <v>30542</v>
      </c>
      <c r="AK2288" t="s">
        <v>118</v>
      </c>
      <c r="AM2288" s="10">
        <v>17709652245</v>
      </c>
      <c r="AO2288" t="s">
        <v>22357</v>
      </c>
      <c r="AP2288" t="s">
        <v>121</v>
      </c>
      <c r="AQ2288" t="s">
        <v>2173</v>
      </c>
      <c r="AR2288" t="s">
        <v>2174</v>
      </c>
      <c r="AS2288" t="s">
        <v>1829</v>
      </c>
      <c r="AT2288" t="s">
        <v>2175</v>
      </c>
      <c r="AV2288" t="s">
        <v>2176</v>
      </c>
      <c r="AW2288" t="s">
        <v>386</v>
      </c>
      <c r="AX2288" s="8" t="str">
        <f>"37110"</f>
        <v>37110</v>
      </c>
      <c r="AY2288" t="s">
        <v>118</v>
      </c>
      <c r="BA2288" s="10">
        <v>19312747811</v>
      </c>
      <c r="BC2288" t="s">
        <v>2177</v>
      </c>
      <c r="BD2288" t="s">
        <v>2178</v>
      </c>
      <c r="BE2288" t="s">
        <v>386</v>
      </c>
      <c r="BF2288" t="s">
        <v>2179</v>
      </c>
      <c r="BG2288" t="s">
        <v>550</v>
      </c>
      <c r="BH2288" s="1">
        <v>45261.791666666664</v>
      </c>
      <c r="BI2288">
        <v>40</v>
      </c>
      <c r="BJ2288">
        <v>0</v>
      </c>
      <c r="BK2288">
        <v>8</v>
      </c>
      <c r="BL2288">
        <v>8</v>
      </c>
      <c r="BM2288">
        <v>8</v>
      </c>
      <c r="BN2288">
        <v>8</v>
      </c>
      <c r="BO2288">
        <v>8</v>
      </c>
      <c r="BP2288">
        <v>0</v>
      </c>
      <c r="BQ2288" t="str">
        <f>"7:00 AM"</f>
        <v>7:00 AM</v>
      </c>
      <c r="BR2288" t="str">
        <f>"4:00 PM"</f>
        <v>4:00 PM</v>
      </c>
      <c r="BS2288" t="s">
        <v>131</v>
      </c>
      <c r="BT2288">
        <v>0</v>
      </c>
      <c r="BU2288">
        <v>0</v>
      </c>
      <c r="BV2288" t="s">
        <v>114</v>
      </c>
      <c r="BX2288" s="2" t="s">
        <v>22381</v>
      </c>
      <c r="BY2288" t="s">
        <v>22358</v>
      </c>
      <c r="CA2288" t="s">
        <v>22356</v>
      </c>
      <c r="CB2288" t="s">
        <v>550</v>
      </c>
      <c r="CC2288" s="8" t="str">
        <f>"30542"</f>
        <v>30542</v>
      </c>
      <c r="CD2288" t="s">
        <v>5435</v>
      </c>
      <c r="CE2288" t="s">
        <v>5436</v>
      </c>
      <c r="CF2288" s="12">
        <v>17.07</v>
      </c>
      <c r="CH2288" s="12">
        <v>25.61</v>
      </c>
      <c r="CJ2288" t="s">
        <v>135</v>
      </c>
      <c r="CK2288" t="s">
        <v>22382</v>
      </c>
      <c r="CL2288" t="s">
        <v>22359</v>
      </c>
      <c r="CO2288" t="s">
        <v>132</v>
      </c>
      <c r="CP2288" t="s">
        <v>136</v>
      </c>
      <c r="CQ2288" t="s">
        <v>136</v>
      </c>
      <c r="CR2288" t="s">
        <v>136</v>
      </c>
      <c r="CS2288" t="s">
        <v>114</v>
      </c>
      <c r="CT2288" t="s">
        <v>136</v>
      </c>
      <c r="CU2288" t="s">
        <v>114</v>
      </c>
      <c r="CV2288" t="s">
        <v>1480</v>
      </c>
      <c r="CW2288" s="10" t="str">
        <f>"+17709652245"</f>
        <v>+17709652245</v>
      </c>
      <c r="CX2288" t="s">
        <v>22357</v>
      </c>
      <c r="CY2288" t="s">
        <v>132</v>
      </c>
      <c r="CZ2288" t="s">
        <v>137</v>
      </c>
      <c r="DA2288" t="s">
        <v>114</v>
      </c>
      <c r="DB2288" t="s">
        <v>114</v>
      </c>
      <c r="DC2288" t="s">
        <v>136</v>
      </c>
      <c r="DD2288" t="s">
        <v>114</v>
      </c>
    </row>
    <row r="2289" spans="1:108" ht="15" customHeight="1" x14ac:dyDescent="0.25">
      <c r="A2289" t="s">
        <v>23120</v>
      </c>
      <c r="B2289" t="s">
        <v>368</v>
      </c>
      <c r="C2289" s="1">
        <v>45262.421917245367</v>
      </c>
      <c r="D2289" s="1">
        <v>45287</v>
      </c>
      <c r="E2289" t="s">
        <v>132</v>
      </c>
      <c r="F2289" t="s">
        <v>1595</v>
      </c>
      <c r="G2289" t="str">
        <f>"37-3011.00"</f>
        <v>37-3011.00</v>
      </c>
      <c r="H2289" t="s">
        <v>429</v>
      </c>
      <c r="I2289">
        <v>2</v>
      </c>
      <c r="K2289" s="1">
        <v>45352</v>
      </c>
      <c r="L2289" s="1">
        <v>45641</v>
      </c>
      <c r="O2289" t="s">
        <v>238</v>
      </c>
      <c r="P2289" t="s">
        <v>12742</v>
      </c>
      <c r="R2289" t="s">
        <v>12743</v>
      </c>
      <c r="S2289" t="s">
        <v>12744</v>
      </c>
      <c r="T2289" t="s">
        <v>12745</v>
      </c>
      <c r="U2289" t="s">
        <v>1776</v>
      </c>
      <c r="V2289" s="8" t="str">
        <f>"07641"</f>
        <v>07641</v>
      </c>
      <c r="W2289" t="s">
        <v>118</v>
      </c>
      <c r="X2289" t="s">
        <v>132</v>
      </c>
      <c r="Y2289" s="10">
        <v>12013878497</v>
      </c>
      <c r="AA2289">
        <v>561730</v>
      </c>
      <c r="AB2289" t="s">
        <v>12746</v>
      </c>
      <c r="AC2289" t="s">
        <v>278</v>
      </c>
      <c r="AD2289" t="s">
        <v>132</v>
      </c>
      <c r="AE2289" t="s">
        <v>629</v>
      </c>
      <c r="AF2289" t="s">
        <v>12743</v>
      </c>
      <c r="AG2289" t="s">
        <v>12744</v>
      </c>
      <c r="AH2289" t="s">
        <v>12745</v>
      </c>
      <c r="AI2289" t="s">
        <v>1776</v>
      </c>
      <c r="AJ2289" s="8" t="str">
        <f>"07641"</f>
        <v>07641</v>
      </c>
      <c r="AK2289" t="s">
        <v>118</v>
      </c>
      <c r="AM2289" s="10">
        <v>12013878497</v>
      </c>
      <c r="AO2289" t="s">
        <v>12747</v>
      </c>
      <c r="AP2289" t="s">
        <v>248</v>
      </c>
      <c r="AQ2289" t="s">
        <v>1827</v>
      </c>
      <c r="AR2289" t="s">
        <v>1828</v>
      </c>
      <c r="AS2289" t="s">
        <v>1829</v>
      </c>
      <c r="AT2289" t="s">
        <v>1830</v>
      </c>
      <c r="AU2289" t="s">
        <v>132</v>
      </c>
      <c r="AV2289" t="s">
        <v>1585</v>
      </c>
      <c r="AW2289" t="s">
        <v>127</v>
      </c>
      <c r="AX2289" s="8" t="str">
        <f>"77414"</f>
        <v>77414</v>
      </c>
      <c r="AY2289" t="s">
        <v>118</v>
      </c>
      <c r="BA2289" s="10">
        <v>19793187283</v>
      </c>
      <c r="BC2289" t="s">
        <v>1831</v>
      </c>
      <c r="BD2289" t="s">
        <v>1587</v>
      </c>
      <c r="BG2289" t="s">
        <v>1776</v>
      </c>
      <c r="BH2289" s="1">
        <v>45261.791666666664</v>
      </c>
      <c r="BI2289">
        <v>40</v>
      </c>
      <c r="BJ2289">
        <v>0</v>
      </c>
      <c r="BK2289">
        <v>8</v>
      </c>
      <c r="BL2289">
        <v>8</v>
      </c>
      <c r="BM2289">
        <v>8</v>
      </c>
      <c r="BN2289">
        <v>8</v>
      </c>
      <c r="BO2289">
        <v>8</v>
      </c>
      <c r="BP2289">
        <v>0</v>
      </c>
      <c r="BQ2289" t="str">
        <f>"7:30 AM"</f>
        <v>7:30 AM</v>
      </c>
      <c r="BR2289" t="str">
        <f>"4:30 PM"</f>
        <v>4:30 PM</v>
      </c>
      <c r="BS2289" t="s">
        <v>131</v>
      </c>
      <c r="BT2289">
        <v>0</v>
      </c>
      <c r="BU2289">
        <v>0</v>
      </c>
      <c r="BV2289" t="s">
        <v>114</v>
      </c>
      <c r="BX2289" s="2" t="s">
        <v>12748</v>
      </c>
      <c r="BY2289" t="s">
        <v>12749</v>
      </c>
      <c r="BZ2289" t="s">
        <v>132</v>
      </c>
      <c r="CA2289" t="s">
        <v>12750</v>
      </c>
      <c r="CB2289" t="s">
        <v>1776</v>
      </c>
      <c r="CC2289" s="8" t="str">
        <f>"07670"</f>
        <v>07670</v>
      </c>
      <c r="CD2289" t="s">
        <v>6043</v>
      </c>
      <c r="CE2289" t="s">
        <v>1418</v>
      </c>
      <c r="CF2289" s="12">
        <v>20.81</v>
      </c>
      <c r="CH2289" s="12">
        <v>31.22</v>
      </c>
      <c r="CJ2289" t="s">
        <v>135</v>
      </c>
      <c r="CK2289" t="s">
        <v>12751</v>
      </c>
      <c r="CL2289" t="s">
        <v>12752</v>
      </c>
      <c r="CO2289" t="s">
        <v>132</v>
      </c>
      <c r="CP2289" t="s">
        <v>136</v>
      </c>
      <c r="CQ2289" t="s">
        <v>136</v>
      </c>
      <c r="CR2289" t="s">
        <v>136</v>
      </c>
      <c r="CS2289" t="s">
        <v>136</v>
      </c>
      <c r="CT2289" t="s">
        <v>136</v>
      </c>
      <c r="CU2289" t="s">
        <v>114</v>
      </c>
      <c r="CV2289" t="s">
        <v>2225</v>
      </c>
      <c r="CW2289" s="10" t="str">
        <f>"+12013878497"</f>
        <v>+12013878497</v>
      </c>
      <c r="CX2289" t="s">
        <v>12747</v>
      </c>
      <c r="CY2289" t="s">
        <v>132</v>
      </c>
      <c r="CZ2289" t="s">
        <v>137</v>
      </c>
      <c r="DA2289" t="s">
        <v>114</v>
      </c>
      <c r="DB2289" t="s">
        <v>114</v>
      </c>
      <c r="DC2289" t="s">
        <v>136</v>
      </c>
      <c r="DD2289" t="s">
        <v>114</v>
      </c>
    </row>
    <row r="2290" spans="1:108" ht="15" customHeight="1" x14ac:dyDescent="0.25">
      <c r="A2290" t="s">
        <v>12640</v>
      </c>
      <c r="B2290" t="s">
        <v>368</v>
      </c>
      <c r="C2290" s="1">
        <v>45262.051314930555</v>
      </c>
      <c r="D2290" s="1">
        <v>45287</v>
      </c>
      <c r="E2290" t="s">
        <v>132</v>
      </c>
      <c r="F2290" t="s">
        <v>12641</v>
      </c>
      <c r="G2290" t="str">
        <f>"53-7062.00"</f>
        <v>53-7062.00</v>
      </c>
      <c r="H2290" t="s">
        <v>2078</v>
      </c>
      <c r="I2290">
        <v>6</v>
      </c>
      <c r="K2290" s="1">
        <v>45352</v>
      </c>
      <c r="L2290" s="1">
        <v>45641</v>
      </c>
      <c r="O2290" t="s">
        <v>238</v>
      </c>
      <c r="P2290" t="s">
        <v>12642</v>
      </c>
      <c r="R2290" t="s">
        <v>12643</v>
      </c>
      <c r="T2290" t="s">
        <v>357</v>
      </c>
      <c r="U2290" t="s">
        <v>358</v>
      </c>
      <c r="V2290" s="8" t="str">
        <f>"11590"</f>
        <v>11590</v>
      </c>
      <c r="W2290" t="s">
        <v>118</v>
      </c>
      <c r="Y2290" s="10">
        <v>15163341229</v>
      </c>
      <c r="AA2290">
        <v>324121</v>
      </c>
      <c r="AB2290" t="s">
        <v>12644</v>
      </c>
      <c r="AC2290" t="s">
        <v>3064</v>
      </c>
      <c r="AE2290" t="s">
        <v>654</v>
      </c>
      <c r="AF2290" t="s">
        <v>12645</v>
      </c>
      <c r="AH2290" t="s">
        <v>357</v>
      </c>
      <c r="AI2290" t="s">
        <v>358</v>
      </c>
      <c r="AJ2290" s="8" t="str">
        <f>"11590"</f>
        <v>11590</v>
      </c>
      <c r="AK2290" t="s">
        <v>118</v>
      </c>
      <c r="AM2290" s="10">
        <v>15163341229</v>
      </c>
      <c r="AO2290" t="s">
        <v>132</v>
      </c>
      <c r="AP2290" t="s">
        <v>248</v>
      </c>
      <c r="AQ2290" t="s">
        <v>354</v>
      </c>
      <c r="AR2290" t="s">
        <v>355</v>
      </c>
      <c r="AT2290" t="s">
        <v>356</v>
      </c>
      <c r="AV2290" t="s">
        <v>357</v>
      </c>
      <c r="AW2290" t="s">
        <v>358</v>
      </c>
      <c r="AX2290" s="8" t="str">
        <f>"11590"</f>
        <v>11590</v>
      </c>
      <c r="AY2290" t="s">
        <v>118</v>
      </c>
      <c r="BA2290" s="10">
        <v>15163307168</v>
      </c>
      <c r="BC2290" t="s">
        <v>359</v>
      </c>
      <c r="BD2290" t="s">
        <v>360</v>
      </c>
      <c r="BG2290" t="s">
        <v>358</v>
      </c>
      <c r="BH2290" s="1">
        <v>45222.833333333336</v>
      </c>
      <c r="BI2290">
        <v>40</v>
      </c>
      <c r="BJ2290">
        <v>0</v>
      </c>
      <c r="BK2290">
        <v>8</v>
      </c>
      <c r="BL2290">
        <v>8</v>
      </c>
      <c r="BM2290">
        <v>8</v>
      </c>
      <c r="BN2290">
        <v>8</v>
      </c>
      <c r="BO2290">
        <v>8</v>
      </c>
      <c r="BP2290">
        <v>0</v>
      </c>
      <c r="BQ2290" t="str">
        <f>"8:00 AM"</f>
        <v>8:00 AM</v>
      </c>
      <c r="BR2290" t="str">
        <f>"5:00 PM"</f>
        <v>5:00 PM</v>
      </c>
      <c r="BS2290" t="s">
        <v>131</v>
      </c>
      <c r="BT2290">
        <v>0</v>
      </c>
      <c r="BU2290">
        <v>1</v>
      </c>
      <c r="BV2290" t="s">
        <v>114</v>
      </c>
      <c r="BX2290" t="s">
        <v>12646</v>
      </c>
      <c r="BY2290" t="s">
        <v>12647</v>
      </c>
      <c r="CA2290" t="s">
        <v>357</v>
      </c>
      <c r="CB2290" t="s">
        <v>358</v>
      </c>
      <c r="CC2290" s="8" t="str">
        <f>"11590"</f>
        <v>11590</v>
      </c>
      <c r="CD2290" t="s">
        <v>2352</v>
      </c>
      <c r="CE2290" t="s">
        <v>1418</v>
      </c>
      <c r="CF2290" s="12">
        <v>19.399999999999999</v>
      </c>
      <c r="CG2290" s="12">
        <v>19.399999999999999</v>
      </c>
      <c r="CH2290" s="12">
        <v>29.1</v>
      </c>
      <c r="CI2290" s="12">
        <v>29.1</v>
      </c>
      <c r="CJ2290" t="s">
        <v>135</v>
      </c>
      <c r="CK2290" t="s">
        <v>132</v>
      </c>
      <c r="CL2290" t="s">
        <v>12648</v>
      </c>
      <c r="CO2290" t="s">
        <v>132</v>
      </c>
      <c r="CP2290" t="s">
        <v>114</v>
      </c>
      <c r="CQ2290" t="s">
        <v>114</v>
      </c>
      <c r="CR2290" t="s">
        <v>136</v>
      </c>
      <c r="CS2290" t="s">
        <v>114</v>
      </c>
      <c r="CT2290" t="s">
        <v>136</v>
      </c>
      <c r="CU2290" t="s">
        <v>114</v>
      </c>
      <c r="CV2290" t="s">
        <v>1480</v>
      </c>
      <c r="CW2290" s="10" t="str">
        <f>"+15163341229"</f>
        <v>+15163341229</v>
      </c>
      <c r="CX2290" t="s">
        <v>12649</v>
      </c>
      <c r="CY2290" t="s">
        <v>132</v>
      </c>
      <c r="CZ2290" t="s">
        <v>137</v>
      </c>
      <c r="DA2290" t="s">
        <v>114</v>
      </c>
      <c r="DB2290" t="s">
        <v>114</v>
      </c>
      <c r="DC2290" t="s">
        <v>136</v>
      </c>
      <c r="DD2290" t="s">
        <v>114</v>
      </c>
    </row>
    <row r="2291" spans="1:108" ht="15" customHeight="1" x14ac:dyDescent="0.25">
      <c r="A2291" t="s">
        <v>20129</v>
      </c>
      <c r="B2291" t="s">
        <v>368</v>
      </c>
      <c r="C2291" s="1">
        <v>45286.001731365737</v>
      </c>
      <c r="D2291" s="1">
        <v>45286</v>
      </c>
      <c r="E2291" t="s">
        <v>132</v>
      </c>
      <c r="F2291" t="s">
        <v>1247</v>
      </c>
      <c r="G2291" t="str">
        <f>"45-4011.00"</f>
        <v>45-4011.00</v>
      </c>
      <c r="H2291" t="s">
        <v>842</v>
      </c>
      <c r="I2291">
        <v>40</v>
      </c>
      <c r="K2291" s="1">
        <v>45376</v>
      </c>
      <c r="L2291" s="1">
        <v>45597</v>
      </c>
      <c r="O2291" t="s">
        <v>116</v>
      </c>
      <c r="P2291" t="s">
        <v>20130</v>
      </c>
      <c r="R2291" t="s">
        <v>20131</v>
      </c>
      <c r="T2291" t="s">
        <v>2906</v>
      </c>
      <c r="U2291" t="s">
        <v>479</v>
      </c>
      <c r="V2291" s="8" t="str">
        <f>"97504"</f>
        <v>97504</v>
      </c>
      <c r="W2291" t="s">
        <v>118</v>
      </c>
      <c r="Y2291" s="10">
        <v>15418403980</v>
      </c>
      <c r="AA2291">
        <v>11531</v>
      </c>
      <c r="AB2291" t="s">
        <v>1893</v>
      </c>
      <c r="AC2291" t="s">
        <v>2580</v>
      </c>
      <c r="AE2291" t="s">
        <v>629</v>
      </c>
      <c r="AF2291" t="s">
        <v>20131</v>
      </c>
      <c r="AH2291" t="s">
        <v>2906</v>
      </c>
      <c r="AI2291" t="s">
        <v>479</v>
      </c>
      <c r="AJ2291" s="8" t="str">
        <f>"97504"</f>
        <v>97504</v>
      </c>
      <c r="AK2291" t="s">
        <v>118</v>
      </c>
      <c r="AM2291" s="10">
        <v>15418403980</v>
      </c>
      <c r="AO2291" t="s">
        <v>20132</v>
      </c>
      <c r="AP2291" t="s">
        <v>248</v>
      </c>
      <c r="AQ2291" t="s">
        <v>2741</v>
      </c>
      <c r="AR2291" t="s">
        <v>2742</v>
      </c>
      <c r="AS2291" t="s">
        <v>132</v>
      </c>
      <c r="AT2291" t="s">
        <v>1253</v>
      </c>
      <c r="AU2291" t="s">
        <v>852</v>
      </c>
      <c r="AV2291" t="s">
        <v>853</v>
      </c>
      <c r="AW2291" t="s">
        <v>854</v>
      </c>
      <c r="AX2291" s="8" t="str">
        <f>"83814"</f>
        <v>83814</v>
      </c>
      <c r="AY2291" t="s">
        <v>118</v>
      </c>
      <c r="BA2291" s="10">
        <v>12087772654</v>
      </c>
      <c r="BC2291" t="s">
        <v>2743</v>
      </c>
      <c r="BD2291" t="s">
        <v>856</v>
      </c>
      <c r="BG2291" t="s">
        <v>479</v>
      </c>
      <c r="BH2291" s="1">
        <v>45284.791666666664</v>
      </c>
      <c r="BI2291">
        <v>40</v>
      </c>
      <c r="BJ2291">
        <v>0</v>
      </c>
      <c r="BK2291">
        <v>8</v>
      </c>
      <c r="BL2291">
        <v>8</v>
      </c>
      <c r="BM2291">
        <v>8</v>
      </c>
      <c r="BN2291">
        <v>8</v>
      </c>
      <c r="BO2291">
        <v>8</v>
      </c>
      <c r="BP2291">
        <v>0</v>
      </c>
      <c r="BQ2291" t="str">
        <f>"7:00 AM"</f>
        <v>7:00 AM</v>
      </c>
      <c r="BR2291" t="str">
        <f>"3:30 PM"</f>
        <v>3:30 PM</v>
      </c>
      <c r="BS2291" t="s">
        <v>131</v>
      </c>
      <c r="BT2291">
        <v>0</v>
      </c>
      <c r="BU2291">
        <v>3</v>
      </c>
      <c r="BV2291" t="s">
        <v>114</v>
      </c>
      <c r="BX2291" t="s">
        <v>20133</v>
      </c>
      <c r="BY2291" t="s">
        <v>20134</v>
      </c>
      <c r="CA2291" t="s">
        <v>2906</v>
      </c>
      <c r="CB2291" t="s">
        <v>479</v>
      </c>
      <c r="CC2291" s="8" t="str">
        <f>"97504"</f>
        <v>97504</v>
      </c>
      <c r="CD2291" t="s">
        <v>859</v>
      </c>
      <c r="CE2291" t="s">
        <v>860</v>
      </c>
      <c r="CF2291" s="12">
        <v>12.21</v>
      </c>
      <c r="CG2291" s="12">
        <v>24.44</v>
      </c>
      <c r="CH2291" s="12">
        <v>18.32</v>
      </c>
      <c r="CI2291" s="12">
        <v>36.659999999999997</v>
      </c>
      <c r="CJ2291" t="s">
        <v>135</v>
      </c>
      <c r="CK2291" t="s">
        <v>861</v>
      </c>
      <c r="CL2291" t="s">
        <v>20135</v>
      </c>
      <c r="CO2291" t="s">
        <v>132</v>
      </c>
      <c r="CP2291" t="s">
        <v>136</v>
      </c>
      <c r="CQ2291" t="s">
        <v>136</v>
      </c>
      <c r="CR2291" t="s">
        <v>136</v>
      </c>
      <c r="CS2291" t="s">
        <v>136</v>
      </c>
      <c r="CT2291" t="s">
        <v>136</v>
      </c>
      <c r="CU2291" t="s">
        <v>136</v>
      </c>
      <c r="CV2291" t="s">
        <v>1040</v>
      </c>
      <c r="CW2291" s="10" t="str">
        <f>"+15416464072"</f>
        <v>+15416464072</v>
      </c>
      <c r="CX2291" t="s">
        <v>20136</v>
      </c>
      <c r="CY2291" t="s">
        <v>132</v>
      </c>
      <c r="CZ2291" t="s">
        <v>137</v>
      </c>
      <c r="DA2291" t="s">
        <v>114</v>
      </c>
      <c r="DB2291" t="s">
        <v>136</v>
      </c>
      <c r="DC2291" t="s">
        <v>136</v>
      </c>
      <c r="DD2291" t="s">
        <v>114</v>
      </c>
    </row>
    <row r="2292" spans="1:108" ht="15" customHeight="1" x14ac:dyDescent="0.25">
      <c r="A2292" t="s">
        <v>7541</v>
      </c>
      <c r="B2292" t="s">
        <v>368</v>
      </c>
      <c r="C2292" s="1">
        <v>45262.527524999998</v>
      </c>
      <c r="D2292" s="1">
        <v>45281</v>
      </c>
      <c r="E2292" t="s">
        <v>132</v>
      </c>
      <c r="F2292" t="s">
        <v>1961</v>
      </c>
      <c r="G2292" t="str">
        <f>"37-3011.00"</f>
        <v>37-3011.00</v>
      </c>
      <c r="H2292" t="s">
        <v>429</v>
      </c>
      <c r="I2292">
        <v>15</v>
      </c>
      <c r="K2292" s="1">
        <v>45352</v>
      </c>
      <c r="L2292" s="1">
        <v>45597</v>
      </c>
      <c r="O2292" t="s">
        <v>238</v>
      </c>
      <c r="P2292" t="s">
        <v>7542</v>
      </c>
      <c r="Q2292" t="s">
        <v>7543</v>
      </c>
      <c r="R2292" t="s">
        <v>7544</v>
      </c>
      <c r="T2292" t="s">
        <v>3608</v>
      </c>
      <c r="U2292" t="s">
        <v>550</v>
      </c>
      <c r="V2292" s="8" t="str">
        <f>"31901"</f>
        <v>31901</v>
      </c>
      <c r="W2292" t="s">
        <v>118</v>
      </c>
      <c r="Y2292" s="10">
        <v>17062217602</v>
      </c>
      <c r="AA2292">
        <v>561730</v>
      </c>
      <c r="AB2292" t="s">
        <v>7545</v>
      </c>
      <c r="AC2292" t="s">
        <v>2350</v>
      </c>
      <c r="AE2292" t="s">
        <v>438</v>
      </c>
      <c r="AF2292" t="s">
        <v>7544</v>
      </c>
      <c r="AH2292" t="s">
        <v>3608</v>
      </c>
      <c r="AI2292" t="s">
        <v>550</v>
      </c>
      <c r="AJ2292" s="8" t="str">
        <f>"31901"</f>
        <v>31901</v>
      </c>
      <c r="AK2292" t="s">
        <v>118</v>
      </c>
      <c r="AM2292" s="10">
        <v>17062217602</v>
      </c>
      <c r="AO2292" t="s">
        <v>7546</v>
      </c>
      <c r="AP2292" t="s">
        <v>248</v>
      </c>
      <c r="AQ2292" t="s">
        <v>3602</v>
      </c>
      <c r="AR2292" t="s">
        <v>3603</v>
      </c>
      <c r="AS2292" t="s">
        <v>2709</v>
      </c>
      <c r="AT2292" t="s">
        <v>3604</v>
      </c>
      <c r="AU2292" t="s">
        <v>2846</v>
      </c>
      <c r="AV2292" t="s">
        <v>3605</v>
      </c>
      <c r="AW2292" t="s">
        <v>543</v>
      </c>
      <c r="AX2292" s="8" t="str">
        <f>"44053"</f>
        <v>44053</v>
      </c>
      <c r="AY2292" t="s">
        <v>118</v>
      </c>
      <c r="BA2292" s="10">
        <v>14409874000</v>
      </c>
      <c r="BC2292" t="s">
        <v>3606</v>
      </c>
      <c r="BD2292" t="s">
        <v>3607</v>
      </c>
      <c r="BG2292" t="s">
        <v>550</v>
      </c>
      <c r="BH2292" s="1">
        <v>45261.791666666664</v>
      </c>
      <c r="BI2292">
        <v>35</v>
      </c>
      <c r="BJ2292">
        <v>0</v>
      </c>
      <c r="BK2292">
        <v>7</v>
      </c>
      <c r="BL2292">
        <v>7</v>
      </c>
      <c r="BM2292">
        <v>7</v>
      </c>
      <c r="BN2292">
        <v>7</v>
      </c>
      <c r="BO2292">
        <v>7</v>
      </c>
      <c r="BP2292">
        <v>0</v>
      </c>
      <c r="BQ2292" t="str">
        <f>"7:00 AM"</f>
        <v>7:00 AM</v>
      </c>
      <c r="BR2292" t="str">
        <f>"3:00 PM"</f>
        <v>3:00 PM</v>
      </c>
      <c r="BS2292" t="s">
        <v>131</v>
      </c>
      <c r="BT2292">
        <v>0</v>
      </c>
      <c r="BU2292">
        <v>0</v>
      </c>
      <c r="BV2292" t="s">
        <v>114</v>
      </c>
      <c r="BX2292" s="2" t="s">
        <v>5881</v>
      </c>
      <c r="BY2292" t="s">
        <v>7544</v>
      </c>
      <c r="CA2292" t="s">
        <v>3608</v>
      </c>
      <c r="CB2292" t="s">
        <v>550</v>
      </c>
      <c r="CC2292" s="8" t="str">
        <f>"31901"</f>
        <v>31901</v>
      </c>
      <c r="CD2292" t="s">
        <v>1242</v>
      </c>
      <c r="CE2292" t="s">
        <v>1243</v>
      </c>
      <c r="CF2292" s="12">
        <v>15.78</v>
      </c>
      <c r="CG2292" s="12">
        <v>15.78</v>
      </c>
      <c r="CH2292" s="12">
        <v>23.67</v>
      </c>
      <c r="CI2292" s="12">
        <v>23.67</v>
      </c>
      <c r="CJ2292" t="s">
        <v>135</v>
      </c>
      <c r="CK2292" t="s">
        <v>3611</v>
      </c>
      <c r="CL2292" t="s">
        <v>7547</v>
      </c>
      <c r="CO2292" t="s">
        <v>132</v>
      </c>
      <c r="CP2292" t="s">
        <v>136</v>
      </c>
      <c r="CQ2292" t="s">
        <v>136</v>
      </c>
      <c r="CR2292" t="s">
        <v>136</v>
      </c>
      <c r="CS2292" t="s">
        <v>136</v>
      </c>
      <c r="CT2292" t="s">
        <v>136</v>
      </c>
      <c r="CU2292" t="s">
        <v>136</v>
      </c>
      <c r="CV2292" t="s">
        <v>3612</v>
      </c>
      <c r="CW2292" s="10" t="str">
        <f>"+17062217602"</f>
        <v>+17062217602</v>
      </c>
      <c r="CX2292" t="s">
        <v>7546</v>
      </c>
      <c r="CY2292" t="s">
        <v>132</v>
      </c>
      <c r="CZ2292" t="s">
        <v>137</v>
      </c>
      <c r="DA2292" t="s">
        <v>114</v>
      </c>
      <c r="DB2292" t="s">
        <v>136</v>
      </c>
      <c r="DC2292" t="s">
        <v>136</v>
      </c>
      <c r="DD2292" t="s">
        <v>114</v>
      </c>
    </row>
    <row r="2293" spans="1:108" ht="15" customHeight="1" x14ac:dyDescent="0.25">
      <c r="A2293" t="s">
        <v>12259</v>
      </c>
      <c r="B2293" t="s">
        <v>368</v>
      </c>
      <c r="C2293" s="1">
        <v>45262.506312962963</v>
      </c>
      <c r="D2293" s="1">
        <v>45281</v>
      </c>
      <c r="E2293" t="s">
        <v>132</v>
      </c>
      <c r="F2293" t="s">
        <v>1961</v>
      </c>
      <c r="G2293" t="str">
        <f>"37-3011.00"</f>
        <v>37-3011.00</v>
      </c>
      <c r="H2293" t="s">
        <v>429</v>
      </c>
      <c r="I2293">
        <v>6</v>
      </c>
      <c r="K2293" s="1">
        <v>45352</v>
      </c>
      <c r="L2293" s="1">
        <v>45611</v>
      </c>
      <c r="O2293" t="s">
        <v>238</v>
      </c>
      <c r="P2293" t="s">
        <v>12260</v>
      </c>
      <c r="R2293" t="s">
        <v>12261</v>
      </c>
      <c r="T2293" t="s">
        <v>12262</v>
      </c>
      <c r="U2293" t="s">
        <v>211</v>
      </c>
      <c r="V2293" s="8" t="str">
        <f>"84660"</f>
        <v>84660</v>
      </c>
      <c r="W2293" t="s">
        <v>118</v>
      </c>
      <c r="Y2293" s="10">
        <v>18018047325</v>
      </c>
      <c r="AA2293">
        <v>561730</v>
      </c>
      <c r="AB2293" t="s">
        <v>12263</v>
      </c>
      <c r="AC2293" t="s">
        <v>7459</v>
      </c>
      <c r="AD2293" t="s">
        <v>12264</v>
      </c>
      <c r="AE2293" t="s">
        <v>12265</v>
      </c>
      <c r="AF2293" t="s">
        <v>12261</v>
      </c>
      <c r="AH2293" t="s">
        <v>12262</v>
      </c>
      <c r="AI2293" t="s">
        <v>211</v>
      </c>
      <c r="AJ2293" s="8" t="str">
        <f>"84660"</f>
        <v>84660</v>
      </c>
      <c r="AK2293" t="s">
        <v>118</v>
      </c>
      <c r="AM2293" s="10">
        <v>18018047325</v>
      </c>
      <c r="AO2293" t="s">
        <v>12266</v>
      </c>
      <c r="AP2293" t="s">
        <v>248</v>
      </c>
      <c r="AQ2293" t="s">
        <v>3602</v>
      </c>
      <c r="AR2293" t="s">
        <v>3603</v>
      </c>
      <c r="AS2293" t="s">
        <v>2709</v>
      </c>
      <c r="AT2293" t="s">
        <v>3604</v>
      </c>
      <c r="AU2293" t="s">
        <v>2846</v>
      </c>
      <c r="AV2293" t="s">
        <v>3605</v>
      </c>
      <c r="AW2293" t="s">
        <v>543</v>
      </c>
      <c r="AX2293" s="8" t="str">
        <f>"44053"</f>
        <v>44053</v>
      </c>
      <c r="AY2293" t="s">
        <v>118</v>
      </c>
      <c r="BA2293" s="10">
        <v>14409874000</v>
      </c>
      <c r="BC2293" t="s">
        <v>3606</v>
      </c>
      <c r="BD2293" t="s">
        <v>3607</v>
      </c>
      <c r="BG2293" t="s">
        <v>211</v>
      </c>
      <c r="BH2293" s="1">
        <v>45261.791666666664</v>
      </c>
      <c r="BI2293">
        <v>35</v>
      </c>
      <c r="BJ2293">
        <v>0</v>
      </c>
      <c r="BK2293">
        <v>7</v>
      </c>
      <c r="BL2293">
        <v>7</v>
      </c>
      <c r="BM2293">
        <v>7</v>
      </c>
      <c r="BN2293">
        <v>7</v>
      </c>
      <c r="BO2293">
        <v>7</v>
      </c>
      <c r="BP2293">
        <v>0</v>
      </c>
      <c r="BQ2293" t="str">
        <f>"7:00 AM"</f>
        <v>7:00 AM</v>
      </c>
      <c r="BR2293" t="str">
        <f>"3:00 AM"</f>
        <v>3:00 AM</v>
      </c>
      <c r="BS2293" t="s">
        <v>131</v>
      </c>
      <c r="BT2293">
        <v>0</v>
      </c>
      <c r="BU2293">
        <v>0</v>
      </c>
      <c r="BV2293" t="s">
        <v>114</v>
      </c>
      <c r="BX2293" s="2" t="s">
        <v>12267</v>
      </c>
      <c r="BY2293" t="s">
        <v>12261</v>
      </c>
      <c r="CA2293" t="s">
        <v>12262</v>
      </c>
      <c r="CB2293" t="s">
        <v>211</v>
      </c>
      <c r="CC2293" s="8" t="str">
        <f>"84660"</f>
        <v>84660</v>
      </c>
      <c r="CD2293" t="s">
        <v>2468</v>
      </c>
      <c r="CE2293" t="s">
        <v>2469</v>
      </c>
      <c r="CF2293" s="12">
        <v>18.3</v>
      </c>
      <c r="CG2293" s="12">
        <v>18.3</v>
      </c>
      <c r="CH2293" s="12">
        <v>27.45</v>
      </c>
      <c r="CI2293" s="12">
        <v>27.45</v>
      </c>
      <c r="CJ2293" t="s">
        <v>135</v>
      </c>
      <c r="CK2293" t="s">
        <v>12268</v>
      </c>
      <c r="CL2293" t="s">
        <v>12269</v>
      </c>
      <c r="CO2293" t="s">
        <v>132</v>
      </c>
      <c r="CP2293" t="s">
        <v>136</v>
      </c>
      <c r="CQ2293" t="s">
        <v>136</v>
      </c>
      <c r="CR2293" t="s">
        <v>136</v>
      </c>
      <c r="CS2293" t="s">
        <v>136</v>
      </c>
      <c r="CT2293" t="s">
        <v>136</v>
      </c>
      <c r="CU2293" t="s">
        <v>136</v>
      </c>
      <c r="CV2293" t="s">
        <v>3612</v>
      </c>
      <c r="CW2293" s="10" t="str">
        <f>"+18018047325"</f>
        <v>+18018047325</v>
      </c>
      <c r="CX2293" t="s">
        <v>12266</v>
      </c>
      <c r="CY2293" t="s">
        <v>132</v>
      </c>
      <c r="CZ2293" t="s">
        <v>137</v>
      </c>
      <c r="DA2293" t="s">
        <v>114</v>
      </c>
      <c r="DB2293" t="s">
        <v>136</v>
      </c>
      <c r="DC2293" t="s">
        <v>136</v>
      </c>
      <c r="DD2293" t="s">
        <v>114</v>
      </c>
    </row>
    <row r="2294" spans="1:108" ht="15" customHeight="1" x14ac:dyDescent="0.25">
      <c r="A2294" t="s">
        <v>11000</v>
      </c>
      <c r="B2294" t="s">
        <v>368</v>
      </c>
      <c r="C2294" s="1">
        <v>45262.440286458332</v>
      </c>
      <c r="D2294" s="1">
        <v>45281</v>
      </c>
      <c r="E2294" t="s">
        <v>132</v>
      </c>
      <c r="F2294" t="s">
        <v>9747</v>
      </c>
      <c r="G2294" t="str">
        <f>"47-2031.00"</f>
        <v>47-2031.00</v>
      </c>
      <c r="H2294" t="s">
        <v>115</v>
      </c>
      <c r="I2294">
        <v>8</v>
      </c>
      <c r="K2294" s="1">
        <v>45352</v>
      </c>
      <c r="L2294" s="1">
        <v>45646</v>
      </c>
      <c r="O2294" t="s">
        <v>116</v>
      </c>
      <c r="P2294" t="s">
        <v>11001</v>
      </c>
      <c r="Q2294" t="s">
        <v>11002</v>
      </c>
      <c r="R2294" t="s">
        <v>11003</v>
      </c>
      <c r="S2294" t="s">
        <v>132</v>
      </c>
      <c r="T2294" t="s">
        <v>2402</v>
      </c>
      <c r="U2294" t="s">
        <v>127</v>
      </c>
      <c r="V2294" s="8" t="str">
        <f>"79414"</f>
        <v>79414</v>
      </c>
      <c r="W2294" t="s">
        <v>118</v>
      </c>
      <c r="Y2294" s="10">
        <v>18067891109</v>
      </c>
      <c r="AA2294">
        <v>236115</v>
      </c>
      <c r="AB2294" t="s">
        <v>11004</v>
      </c>
      <c r="AC2294" t="s">
        <v>6232</v>
      </c>
      <c r="AD2294" t="s">
        <v>132</v>
      </c>
      <c r="AE2294" t="s">
        <v>561</v>
      </c>
      <c r="AF2294" t="s">
        <v>11003</v>
      </c>
      <c r="AG2294" t="s">
        <v>132</v>
      </c>
      <c r="AH2294" t="s">
        <v>2402</v>
      </c>
      <c r="AI2294" t="s">
        <v>127</v>
      </c>
      <c r="AJ2294" s="8" t="str">
        <f>"79414"</f>
        <v>79414</v>
      </c>
      <c r="AK2294" t="s">
        <v>118</v>
      </c>
      <c r="AM2294" s="10">
        <v>18067891109</v>
      </c>
      <c r="AO2294" t="s">
        <v>11005</v>
      </c>
      <c r="AP2294" t="s">
        <v>248</v>
      </c>
      <c r="AQ2294" t="s">
        <v>1820</v>
      </c>
      <c r="AR2294" t="s">
        <v>1828</v>
      </c>
      <c r="AS2294" t="s">
        <v>132</v>
      </c>
      <c r="AT2294" t="s">
        <v>1584</v>
      </c>
      <c r="AU2294" t="s">
        <v>132</v>
      </c>
      <c r="AV2294" t="s">
        <v>1585</v>
      </c>
      <c r="AW2294" t="s">
        <v>127</v>
      </c>
      <c r="AX2294" s="8" t="str">
        <f>"77414"</f>
        <v>77414</v>
      </c>
      <c r="AY2294" t="s">
        <v>118</v>
      </c>
      <c r="BA2294" s="10">
        <v>19793187285</v>
      </c>
      <c r="BC2294" t="s">
        <v>2430</v>
      </c>
      <c r="BD2294" t="s">
        <v>1587</v>
      </c>
      <c r="BG2294" t="s">
        <v>127</v>
      </c>
      <c r="BH2294" s="1">
        <v>45261.791666666664</v>
      </c>
      <c r="BI2294">
        <v>40</v>
      </c>
      <c r="BJ2294">
        <v>0</v>
      </c>
      <c r="BK2294">
        <v>8</v>
      </c>
      <c r="BL2294">
        <v>8</v>
      </c>
      <c r="BM2294">
        <v>8</v>
      </c>
      <c r="BN2294">
        <v>8</v>
      </c>
      <c r="BO2294">
        <v>8</v>
      </c>
      <c r="BP2294">
        <v>0</v>
      </c>
      <c r="BQ2294" t="str">
        <f>"8:00 AM"</f>
        <v>8:00 AM</v>
      </c>
      <c r="BR2294" t="str">
        <f>"6:00 PM"</f>
        <v>6:00 PM</v>
      </c>
      <c r="BS2294" t="s">
        <v>131</v>
      </c>
      <c r="BT2294">
        <v>0</v>
      </c>
      <c r="BU2294">
        <v>0</v>
      </c>
      <c r="BV2294" t="s">
        <v>114</v>
      </c>
      <c r="BX2294" s="2" t="s">
        <v>11006</v>
      </c>
      <c r="BY2294" t="s">
        <v>11007</v>
      </c>
      <c r="BZ2294" t="s">
        <v>132</v>
      </c>
      <c r="CA2294" t="s">
        <v>2402</v>
      </c>
      <c r="CB2294" t="s">
        <v>127</v>
      </c>
      <c r="CC2294" s="8" t="str">
        <f>"79414"</f>
        <v>79414</v>
      </c>
      <c r="CD2294" t="s">
        <v>2407</v>
      </c>
      <c r="CE2294" t="s">
        <v>2408</v>
      </c>
      <c r="CF2294" s="12">
        <v>20.77</v>
      </c>
      <c r="CG2294" s="12">
        <v>23</v>
      </c>
      <c r="CH2294" s="12">
        <v>31.16</v>
      </c>
      <c r="CI2294" s="12">
        <v>34.5</v>
      </c>
      <c r="CJ2294" t="s">
        <v>135</v>
      </c>
      <c r="CK2294" t="s">
        <v>11008</v>
      </c>
      <c r="CL2294" t="s">
        <v>11009</v>
      </c>
      <c r="CO2294" t="s">
        <v>132</v>
      </c>
      <c r="CP2294" t="s">
        <v>136</v>
      </c>
      <c r="CQ2294" t="s">
        <v>136</v>
      </c>
      <c r="CR2294" t="s">
        <v>136</v>
      </c>
      <c r="CS2294" t="s">
        <v>136</v>
      </c>
      <c r="CT2294" t="s">
        <v>136</v>
      </c>
      <c r="CU2294" t="s">
        <v>136</v>
      </c>
      <c r="CV2294" t="s">
        <v>11010</v>
      </c>
      <c r="CW2294" s="10" t="str">
        <f>"+18067891109"</f>
        <v>+18067891109</v>
      </c>
      <c r="CX2294" t="s">
        <v>11005</v>
      </c>
      <c r="CY2294" t="s">
        <v>132</v>
      </c>
      <c r="CZ2294" t="s">
        <v>137</v>
      </c>
      <c r="DA2294" t="s">
        <v>114</v>
      </c>
      <c r="DB2294" t="s">
        <v>114</v>
      </c>
      <c r="DC2294" t="s">
        <v>136</v>
      </c>
      <c r="DD2294" t="s">
        <v>114</v>
      </c>
    </row>
    <row r="2295" spans="1:108" ht="15" customHeight="1" x14ac:dyDescent="0.25">
      <c r="A2295" t="s">
        <v>17740</v>
      </c>
      <c r="B2295" t="s">
        <v>368</v>
      </c>
      <c r="C2295" s="1">
        <v>45279.495465740743</v>
      </c>
      <c r="D2295" s="1">
        <v>45280</v>
      </c>
      <c r="E2295" t="s">
        <v>132</v>
      </c>
      <c r="F2295" t="s">
        <v>685</v>
      </c>
      <c r="G2295" t="str">
        <f>"39-3091.00"</f>
        <v>39-3091.00</v>
      </c>
      <c r="H2295" t="s">
        <v>237</v>
      </c>
      <c r="I2295">
        <v>10</v>
      </c>
      <c r="K2295" s="1">
        <v>45369</v>
      </c>
      <c r="L2295" s="1">
        <v>45606</v>
      </c>
      <c r="O2295" t="s">
        <v>238</v>
      </c>
      <c r="P2295" t="s">
        <v>8108</v>
      </c>
      <c r="R2295" t="s">
        <v>8109</v>
      </c>
      <c r="T2295" t="s">
        <v>6061</v>
      </c>
      <c r="U2295" t="s">
        <v>158</v>
      </c>
      <c r="V2295" s="8" t="str">
        <f>"49097"</f>
        <v>49097</v>
      </c>
      <c r="W2295" t="s">
        <v>118</v>
      </c>
      <c r="Y2295" s="10">
        <v>12696493943</v>
      </c>
      <c r="Z2295" s="3" t="s">
        <v>256</v>
      </c>
      <c r="AA2295">
        <v>71399</v>
      </c>
      <c r="AB2295" t="s">
        <v>8110</v>
      </c>
      <c r="AC2295" t="s">
        <v>8111</v>
      </c>
      <c r="AE2295" t="s">
        <v>561</v>
      </c>
      <c r="AF2295" t="s">
        <v>8109</v>
      </c>
      <c r="AH2295" t="s">
        <v>6061</v>
      </c>
      <c r="AI2295" t="s">
        <v>158</v>
      </c>
      <c r="AJ2295" s="8" t="str">
        <f>"49097"</f>
        <v>49097</v>
      </c>
      <c r="AK2295" t="s">
        <v>118</v>
      </c>
      <c r="AM2295" s="10">
        <v>12698065549</v>
      </c>
      <c r="AN2295" s="3" t="s">
        <v>256</v>
      </c>
      <c r="AO2295" t="s">
        <v>8112</v>
      </c>
      <c r="AP2295" t="s">
        <v>248</v>
      </c>
      <c r="AQ2295" t="s">
        <v>249</v>
      </c>
      <c r="AR2295" t="s">
        <v>250</v>
      </c>
      <c r="AS2295" t="s">
        <v>251</v>
      </c>
      <c r="AT2295" t="s">
        <v>252</v>
      </c>
      <c r="AU2295" t="s">
        <v>253</v>
      </c>
      <c r="AV2295" t="s">
        <v>254</v>
      </c>
      <c r="AW2295" t="s">
        <v>127</v>
      </c>
      <c r="AX2295" s="8" t="str">
        <f>"78550"</f>
        <v>78550</v>
      </c>
      <c r="AY2295" t="s">
        <v>118</v>
      </c>
      <c r="AZ2295" t="s">
        <v>255</v>
      </c>
      <c r="BA2295" s="10">
        <v>19564408720</v>
      </c>
      <c r="BB2295" s="3" t="s">
        <v>256</v>
      </c>
      <c r="BC2295" t="s">
        <v>338</v>
      </c>
      <c r="BD2295" t="s">
        <v>258</v>
      </c>
      <c r="BG2295" t="s">
        <v>158</v>
      </c>
      <c r="BH2295" s="1">
        <v>45278.791666666664</v>
      </c>
      <c r="BI2295">
        <v>40</v>
      </c>
      <c r="BJ2295">
        <v>8</v>
      </c>
      <c r="BK2295">
        <v>0</v>
      </c>
      <c r="BL2295">
        <v>0</v>
      </c>
      <c r="BM2295">
        <v>8</v>
      </c>
      <c r="BN2295">
        <v>8</v>
      </c>
      <c r="BO2295">
        <v>8</v>
      </c>
      <c r="BP2295">
        <v>8</v>
      </c>
      <c r="BQ2295" t="str">
        <f>"1:00 PM"</f>
        <v>1:00 PM</v>
      </c>
      <c r="BR2295" t="str">
        <f>"10:00 PM"</f>
        <v>10:00 PM</v>
      </c>
      <c r="BS2295" t="s">
        <v>131</v>
      </c>
      <c r="BT2295">
        <v>0</v>
      </c>
      <c r="BU2295">
        <v>0</v>
      </c>
      <c r="BV2295" t="s">
        <v>114</v>
      </c>
      <c r="BX2295" s="2" t="s">
        <v>339</v>
      </c>
      <c r="BY2295" t="s">
        <v>8109</v>
      </c>
      <c r="CA2295" t="s">
        <v>6061</v>
      </c>
      <c r="CB2295" t="s">
        <v>158</v>
      </c>
      <c r="CC2295" s="8" t="str">
        <f>"49097"</f>
        <v>49097</v>
      </c>
      <c r="CD2295" t="s">
        <v>8113</v>
      </c>
      <c r="CE2295" t="s">
        <v>8114</v>
      </c>
      <c r="CF2295" s="12">
        <v>10.64</v>
      </c>
      <c r="CG2295" s="12">
        <v>13.24</v>
      </c>
      <c r="CJ2295" t="s">
        <v>135</v>
      </c>
      <c r="CK2295" t="s">
        <v>342</v>
      </c>
      <c r="CL2295" t="s">
        <v>8115</v>
      </c>
      <c r="CO2295" t="s">
        <v>132</v>
      </c>
      <c r="CP2295" t="s">
        <v>136</v>
      </c>
      <c r="CQ2295" t="s">
        <v>136</v>
      </c>
      <c r="CR2295" t="s">
        <v>114</v>
      </c>
      <c r="CS2295" t="s">
        <v>136</v>
      </c>
      <c r="CT2295" t="s">
        <v>136</v>
      </c>
      <c r="CU2295" t="s">
        <v>136</v>
      </c>
      <c r="CV2295" t="s">
        <v>344</v>
      </c>
      <c r="CW2295" s="10" t="str">
        <f>"+12696493943"</f>
        <v>+12696493943</v>
      </c>
      <c r="CX2295" t="s">
        <v>8116</v>
      </c>
      <c r="CY2295" t="s">
        <v>132</v>
      </c>
      <c r="CZ2295" t="s">
        <v>137</v>
      </c>
      <c r="DA2295" t="s">
        <v>114</v>
      </c>
      <c r="DB2295" t="s">
        <v>136</v>
      </c>
      <c r="DC2295" t="s">
        <v>136</v>
      </c>
      <c r="DD2295" t="s">
        <v>114</v>
      </c>
    </row>
    <row r="2296" spans="1:108" ht="15" customHeight="1" x14ac:dyDescent="0.25">
      <c r="A2296" t="s">
        <v>8254</v>
      </c>
      <c r="B2296" t="s">
        <v>368</v>
      </c>
      <c r="C2296" s="1">
        <v>45264.879666666668</v>
      </c>
      <c r="D2296" s="1">
        <v>45279</v>
      </c>
      <c r="E2296" t="s">
        <v>132</v>
      </c>
      <c r="F2296" t="s">
        <v>8255</v>
      </c>
      <c r="G2296" t="str">
        <f>"35-9011.00"</f>
        <v>35-9011.00</v>
      </c>
      <c r="H2296" t="s">
        <v>1512</v>
      </c>
      <c r="I2296">
        <v>15</v>
      </c>
      <c r="K2296" s="1">
        <v>45352</v>
      </c>
      <c r="L2296" s="1">
        <v>45549</v>
      </c>
      <c r="O2296" t="s">
        <v>116</v>
      </c>
      <c r="P2296" t="s">
        <v>8256</v>
      </c>
      <c r="R2296" t="s">
        <v>8257</v>
      </c>
      <c r="T2296" t="s">
        <v>8258</v>
      </c>
      <c r="U2296" t="s">
        <v>140</v>
      </c>
      <c r="V2296" s="8" t="str">
        <f>"32569"</f>
        <v>32569</v>
      </c>
      <c r="W2296" t="s">
        <v>118</v>
      </c>
      <c r="Y2296" s="10">
        <v>18508128931</v>
      </c>
      <c r="AA2296">
        <v>72251</v>
      </c>
      <c r="AB2296" t="s">
        <v>3723</v>
      </c>
      <c r="AC2296" t="s">
        <v>8259</v>
      </c>
      <c r="AE2296" t="s">
        <v>1836</v>
      </c>
      <c r="AF2296" t="s">
        <v>8260</v>
      </c>
      <c r="AH2296" t="s">
        <v>8261</v>
      </c>
      <c r="AI2296" t="s">
        <v>140</v>
      </c>
      <c r="AJ2296" s="8" t="str">
        <f>"32569"</f>
        <v>32569</v>
      </c>
      <c r="AK2296" t="s">
        <v>118</v>
      </c>
      <c r="AM2296" s="10">
        <v>18508128931</v>
      </c>
      <c r="AO2296" t="s">
        <v>8262</v>
      </c>
      <c r="AP2296" t="s">
        <v>121</v>
      </c>
      <c r="AQ2296" t="s">
        <v>1771</v>
      </c>
      <c r="AR2296" t="s">
        <v>1772</v>
      </c>
      <c r="AS2296" t="s">
        <v>1410</v>
      </c>
      <c r="AT2296" t="s">
        <v>1773</v>
      </c>
      <c r="AU2296" t="s">
        <v>1774</v>
      </c>
      <c r="AV2296" t="s">
        <v>1775</v>
      </c>
      <c r="AW2296" t="s">
        <v>1776</v>
      </c>
      <c r="AX2296" s="8" t="str">
        <f>"08034"</f>
        <v>08034</v>
      </c>
      <c r="AY2296" t="s">
        <v>118</v>
      </c>
      <c r="AZ2296" t="s">
        <v>1777</v>
      </c>
      <c r="BA2296" s="10">
        <v>18562819750</v>
      </c>
      <c r="BC2296" t="s">
        <v>1778</v>
      </c>
      <c r="BD2296" t="s">
        <v>1779</v>
      </c>
      <c r="BE2296" t="s">
        <v>1776</v>
      </c>
      <c r="BF2296" t="s">
        <v>1780</v>
      </c>
      <c r="BG2296" t="s">
        <v>140</v>
      </c>
      <c r="BH2296" s="1">
        <v>45249.791666666664</v>
      </c>
      <c r="BI2296">
        <v>35</v>
      </c>
      <c r="BJ2296">
        <v>0</v>
      </c>
      <c r="BK2296">
        <v>7</v>
      </c>
      <c r="BL2296">
        <v>7</v>
      </c>
      <c r="BM2296">
        <v>7</v>
      </c>
      <c r="BN2296">
        <v>7</v>
      </c>
      <c r="BO2296">
        <v>7</v>
      </c>
      <c r="BP2296">
        <v>0</v>
      </c>
      <c r="BQ2296" t="str">
        <f>"9:00 AM"</f>
        <v>9:00 AM</v>
      </c>
      <c r="BR2296" t="str">
        <f>"5:00 PM"</f>
        <v>5:00 PM</v>
      </c>
      <c r="BS2296" t="s">
        <v>131</v>
      </c>
      <c r="BT2296">
        <v>0</v>
      </c>
      <c r="BU2296">
        <v>0</v>
      </c>
      <c r="BV2296" t="s">
        <v>114</v>
      </c>
      <c r="BX2296" s="2" t="s">
        <v>8263</v>
      </c>
      <c r="BY2296" t="s">
        <v>8260</v>
      </c>
      <c r="CA2296" t="s">
        <v>8261</v>
      </c>
      <c r="CB2296" t="s">
        <v>140</v>
      </c>
      <c r="CC2296" s="8" t="str">
        <f>"32569"</f>
        <v>32569</v>
      </c>
      <c r="CD2296" t="s">
        <v>5061</v>
      </c>
      <c r="CE2296" t="s">
        <v>3314</v>
      </c>
      <c r="CF2296" s="12">
        <v>13.4</v>
      </c>
      <c r="CG2296" s="12">
        <v>13.4</v>
      </c>
      <c r="CH2296" s="12">
        <v>20.100000000000001</v>
      </c>
      <c r="CI2296" s="12">
        <v>20.100000000000001</v>
      </c>
      <c r="CJ2296" t="s">
        <v>135</v>
      </c>
      <c r="CK2296" t="s">
        <v>1782</v>
      </c>
      <c r="CL2296" t="s">
        <v>8264</v>
      </c>
      <c r="CO2296" t="s">
        <v>132</v>
      </c>
      <c r="CP2296" t="s">
        <v>114</v>
      </c>
      <c r="CQ2296" t="s">
        <v>114</v>
      </c>
      <c r="CR2296" t="s">
        <v>136</v>
      </c>
      <c r="CS2296" t="s">
        <v>136</v>
      </c>
      <c r="CT2296" t="s">
        <v>136</v>
      </c>
      <c r="CU2296" t="s">
        <v>136</v>
      </c>
      <c r="CV2296" t="s">
        <v>8265</v>
      </c>
      <c r="CW2296" s="10" t="str">
        <f>"+18508128931"</f>
        <v>+18508128931</v>
      </c>
      <c r="CX2296" t="s">
        <v>8262</v>
      </c>
      <c r="CY2296" t="s">
        <v>132</v>
      </c>
      <c r="CZ2296" t="s">
        <v>137</v>
      </c>
      <c r="DA2296" t="s">
        <v>114</v>
      </c>
      <c r="DB2296" t="s">
        <v>114</v>
      </c>
      <c r="DC2296" t="s">
        <v>136</v>
      </c>
      <c r="DD2296" t="s">
        <v>114</v>
      </c>
    </row>
    <row r="2297" spans="1:108" ht="15" customHeight="1" x14ac:dyDescent="0.25">
      <c r="A2297" t="s">
        <v>1878</v>
      </c>
      <c r="B2297" t="s">
        <v>368</v>
      </c>
      <c r="C2297" s="1">
        <v>45262.006030092591</v>
      </c>
      <c r="D2297" s="1">
        <v>45279</v>
      </c>
      <c r="E2297" t="s">
        <v>132</v>
      </c>
      <c r="F2297" t="s">
        <v>1879</v>
      </c>
      <c r="G2297" t="str">
        <f>"37-2012.00"</f>
        <v>37-2012.00</v>
      </c>
      <c r="H2297" t="s">
        <v>205</v>
      </c>
      <c r="I2297">
        <v>10</v>
      </c>
      <c r="K2297" s="1">
        <v>45352</v>
      </c>
      <c r="L2297" s="1">
        <v>45597</v>
      </c>
      <c r="O2297" t="s">
        <v>116</v>
      </c>
      <c r="P2297" t="s">
        <v>1880</v>
      </c>
      <c r="R2297" t="s">
        <v>1881</v>
      </c>
      <c r="T2297" t="s">
        <v>1882</v>
      </c>
      <c r="U2297" t="s">
        <v>434</v>
      </c>
      <c r="V2297" s="8" t="str">
        <f>"15139"</f>
        <v>15139</v>
      </c>
      <c r="W2297" t="s">
        <v>118</v>
      </c>
      <c r="Y2297" s="10">
        <v>14128288000</v>
      </c>
      <c r="AA2297">
        <v>713910</v>
      </c>
      <c r="AB2297" t="s">
        <v>1883</v>
      </c>
      <c r="AC2297" t="s">
        <v>1884</v>
      </c>
      <c r="AE2297" t="s">
        <v>1885</v>
      </c>
      <c r="AF2297" t="s">
        <v>1881</v>
      </c>
      <c r="AH2297" t="s">
        <v>1882</v>
      </c>
      <c r="AI2297" t="s">
        <v>434</v>
      </c>
      <c r="AJ2297" s="8" t="str">
        <f>"15139"</f>
        <v>15139</v>
      </c>
      <c r="AK2297" t="s">
        <v>118</v>
      </c>
      <c r="AM2297" s="10">
        <v>14128288000</v>
      </c>
      <c r="AO2297" t="s">
        <v>132</v>
      </c>
      <c r="AP2297" t="s">
        <v>248</v>
      </c>
      <c r="AQ2297" t="s">
        <v>354</v>
      </c>
      <c r="AR2297" t="s">
        <v>355</v>
      </c>
      <c r="AT2297" t="s">
        <v>356</v>
      </c>
      <c r="AV2297" t="s">
        <v>357</v>
      </c>
      <c r="AW2297" t="s">
        <v>358</v>
      </c>
      <c r="AX2297" s="8" t="str">
        <f>"11590"</f>
        <v>11590</v>
      </c>
      <c r="AY2297" t="s">
        <v>118</v>
      </c>
      <c r="BA2297" s="10">
        <v>15163307168</v>
      </c>
      <c r="BC2297" t="s">
        <v>359</v>
      </c>
      <c r="BD2297" t="s">
        <v>360</v>
      </c>
      <c r="BG2297" t="s">
        <v>434</v>
      </c>
      <c r="BH2297" s="1">
        <v>45260.791666666664</v>
      </c>
      <c r="BI2297">
        <v>40</v>
      </c>
      <c r="BJ2297">
        <v>8</v>
      </c>
      <c r="BK2297">
        <v>0</v>
      </c>
      <c r="BL2297">
        <v>8</v>
      </c>
      <c r="BM2297">
        <v>0</v>
      </c>
      <c r="BN2297">
        <v>8</v>
      </c>
      <c r="BO2297">
        <v>8</v>
      </c>
      <c r="BP2297">
        <v>8</v>
      </c>
      <c r="BQ2297" t="str">
        <f>"8:00 AM"</f>
        <v>8:00 AM</v>
      </c>
      <c r="BR2297" t="str">
        <f>"8:00 PM"</f>
        <v>8:00 PM</v>
      </c>
      <c r="BS2297" t="s">
        <v>131</v>
      </c>
      <c r="BT2297">
        <v>0</v>
      </c>
      <c r="BU2297">
        <v>0</v>
      </c>
      <c r="BV2297" t="s">
        <v>114</v>
      </c>
      <c r="BX2297" t="s">
        <v>796</v>
      </c>
      <c r="BY2297" t="s">
        <v>1881</v>
      </c>
      <c r="CA2297" t="s">
        <v>1882</v>
      </c>
      <c r="CB2297" t="s">
        <v>434</v>
      </c>
      <c r="CC2297" s="8" t="str">
        <f>"15139"</f>
        <v>15139</v>
      </c>
      <c r="CD2297" t="s">
        <v>1886</v>
      </c>
      <c r="CE2297" t="s">
        <v>1887</v>
      </c>
      <c r="CF2297" s="12">
        <v>14.29</v>
      </c>
      <c r="CG2297" s="12">
        <v>17</v>
      </c>
      <c r="CH2297" s="12">
        <v>21.44</v>
      </c>
      <c r="CI2297" s="12">
        <v>25.5</v>
      </c>
      <c r="CJ2297" t="s">
        <v>135</v>
      </c>
      <c r="CL2297" t="s">
        <v>1888</v>
      </c>
      <c r="CO2297" t="s">
        <v>132</v>
      </c>
      <c r="CP2297" t="s">
        <v>114</v>
      </c>
      <c r="CQ2297" t="s">
        <v>114</v>
      </c>
      <c r="CR2297" t="s">
        <v>136</v>
      </c>
      <c r="CS2297" t="s">
        <v>114</v>
      </c>
      <c r="CT2297" t="s">
        <v>136</v>
      </c>
      <c r="CU2297" t="s">
        <v>136</v>
      </c>
      <c r="CV2297" t="s">
        <v>1889</v>
      </c>
      <c r="CW2297" s="10" t="str">
        <f>"+14128288000"</f>
        <v>+14128288000</v>
      </c>
      <c r="CX2297" t="s">
        <v>1890</v>
      </c>
      <c r="CY2297" t="s">
        <v>132</v>
      </c>
      <c r="CZ2297" t="s">
        <v>137</v>
      </c>
      <c r="DA2297" t="s">
        <v>114</v>
      </c>
      <c r="DB2297" t="s">
        <v>114</v>
      </c>
      <c r="DC2297" t="s">
        <v>136</v>
      </c>
      <c r="DD2297" t="s">
        <v>114</v>
      </c>
    </row>
    <row r="2298" spans="1:108" ht="15" customHeight="1" x14ac:dyDescent="0.25">
      <c r="A2298" t="s">
        <v>2681</v>
      </c>
      <c r="B2298" t="s">
        <v>368</v>
      </c>
      <c r="C2298" s="1">
        <v>45262.00180972222</v>
      </c>
      <c r="D2298" s="1">
        <v>45279</v>
      </c>
      <c r="E2298" t="s">
        <v>132</v>
      </c>
      <c r="F2298" t="s">
        <v>1961</v>
      </c>
      <c r="G2298" t="str">
        <f>"37-3011.00"</f>
        <v>37-3011.00</v>
      </c>
      <c r="H2298" t="s">
        <v>429</v>
      </c>
      <c r="I2298">
        <v>35</v>
      </c>
      <c r="K2298" s="1">
        <v>45352</v>
      </c>
      <c r="L2298" s="1">
        <v>45596</v>
      </c>
      <c r="O2298" t="s">
        <v>184</v>
      </c>
      <c r="P2298" t="s">
        <v>2682</v>
      </c>
      <c r="Q2298" t="s">
        <v>2683</v>
      </c>
      <c r="R2298" t="s">
        <v>2684</v>
      </c>
      <c r="S2298" t="s">
        <v>2685</v>
      </c>
      <c r="T2298" t="s">
        <v>2686</v>
      </c>
      <c r="U2298" t="s">
        <v>1776</v>
      </c>
      <c r="V2298" s="8" t="str">
        <f>"07924"</f>
        <v>07924</v>
      </c>
      <c r="W2298" t="s">
        <v>118</v>
      </c>
      <c r="Y2298" s="10">
        <v>19085025253</v>
      </c>
      <c r="AA2298">
        <v>713910</v>
      </c>
      <c r="AB2298" t="s">
        <v>2687</v>
      </c>
      <c r="AC2298" t="s">
        <v>2688</v>
      </c>
      <c r="AE2298" t="s">
        <v>438</v>
      </c>
      <c r="AF2298" t="s">
        <v>2684</v>
      </c>
      <c r="AG2298" t="s">
        <v>2685</v>
      </c>
      <c r="AH2298" t="s">
        <v>2686</v>
      </c>
      <c r="AI2298" t="s">
        <v>1776</v>
      </c>
      <c r="AJ2298" s="8" t="str">
        <f>"07924"</f>
        <v>07924</v>
      </c>
      <c r="AK2298" t="s">
        <v>118</v>
      </c>
      <c r="AM2298" s="10">
        <v>19085025253</v>
      </c>
      <c r="AO2298" t="s">
        <v>132</v>
      </c>
      <c r="AP2298" t="s">
        <v>248</v>
      </c>
      <c r="AQ2298" t="s">
        <v>354</v>
      </c>
      <c r="AR2298" t="s">
        <v>355</v>
      </c>
      <c r="AT2298" t="s">
        <v>356</v>
      </c>
      <c r="AV2298" t="s">
        <v>357</v>
      </c>
      <c r="AW2298" t="s">
        <v>358</v>
      </c>
      <c r="AX2298" s="8" t="str">
        <f>"11590"</f>
        <v>11590</v>
      </c>
      <c r="AY2298" t="s">
        <v>118</v>
      </c>
      <c r="BA2298" s="10">
        <v>15163307168</v>
      </c>
      <c r="BC2298" t="s">
        <v>359</v>
      </c>
      <c r="BD2298" t="s">
        <v>360</v>
      </c>
      <c r="BG2298" t="s">
        <v>140</v>
      </c>
      <c r="BH2298" s="1">
        <v>45260.791666666664</v>
      </c>
      <c r="BI2298">
        <v>40</v>
      </c>
      <c r="BJ2298">
        <v>0</v>
      </c>
      <c r="BK2298">
        <v>8</v>
      </c>
      <c r="BL2298">
        <v>8</v>
      </c>
      <c r="BM2298">
        <v>8</v>
      </c>
      <c r="BN2298">
        <v>8</v>
      </c>
      <c r="BO2298">
        <v>8</v>
      </c>
      <c r="BP2298">
        <v>0</v>
      </c>
      <c r="BQ2298" t="str">
        <f>"7:00 AM"</f>
        <v>7:00 AM</v>
      </c>
      <c r="BR2298" t="str">
        <f>"4:00 PM"</f>
        <v>4:00 PM</v>
      </c>
      <c r="BS2298" t="s">
        <v>131</v>
      </c>
      <c r="BT2298">
        <v>0</v>
      </c>
      <c r="BU2298">
        <v>0</v>
      </c>
      <c r="BV2298" t="s">
        <v>114</v>
      </c>
      <c r="BX2298" t="s">
        <v>1789</v>
      </c>
      <c r="BY2298" t="s">
        <v>2689</v>
      </c>
      <c r="CA2298" t="s">
        <v>2690</v>
      </c>
      <c r="CB2298" t="s">
        <v>140</v>
      </c>
      <c r="CC2298" s="8" t="str">
        <f>"33428"</f>
        <v>33428</v>
      </c>
      <c r="CD2298" t="s">
        <v>767</v>
      </c>
      <c r="CE2298" t="s">
        <v>149</v>
      </c>
      <c r="CF2298" s="12">
        <v>16.61</v>
      </c>
      <c r="CG2298" s="12">
        <v>19</v>
      </c>
      <c r="CH2298" s="12">
        <v>24.92</v>
      </c>
      <c r="CI2298" s="12">
        <v>28.5</v>
      </c>
      <c r="CJ2298" t="s">
        <v>135</v>
      </c>
      <c r="CK2298" t="s">
        <v>2197</v>
      </c>
      <c r="CL2298" t="s">
        <v>2691</v>
      </c>
      <c r="CO2298" t="s">
        <v>132</v>
      </c>
      <c r="CP2298" t="s">
        <v>114</v>
      </c>
      <c r="CQ2298" t="s">
        <v>114</v>
      </c>
      <c r="CR2298" t="s">
        <v>136</v>
      </c>
      <c r="CS2298" t="s">
        <v>114</v>
      </c>
      <c r="CT2298" t="s">
        <v>136</v>
      </c>
      <c r="CU2298" t="s">
        <v>136</v>
      </c>
      <c r="CV2298" t="s">
        <v>2692</v>
      </c>
      <c r="CW2298" s="10" t="str">
        <f>"+19085025253"</f>
        <v>+19085025253</v>
      </c>
      <c r="CX2298" t="s">
        <v>2693</v>
      </c>
      <c r="CY2298" t="s">
        <v>132</v>
      </c>
      <c r="CZ2298" t="s">
        <v>137</v>
      </c>
      <c r="DA2298" t="s">
        <v>114</v>
      </c>
      <c r="DB2298" t="s">
        <v>114</v>
      </c>
      <c r="DC2298" t="s">
        <v>136</v>
      </c>
      <c r="DD2298" t="s">
        <v>114</v>
      </c>
    </row>
    <row r="2299" spans="1:108" ht="15" customHeight="1" x14ac:dyDescent="0.25">
      <c r="A2299" t="s">
        <v>17945</v>
      </c>
      <c r="B2299" t="s">
        <v>368</v>
      </c>
      <c r="C2299" s="1">
        <v>45264.883562152776</v>
      </c>
      <c r="D2299" s="1">
        <v>45278</v>
      </c>
      <c r="E2299" t="s">
        <v>132</v>
      </c>
      <c r="F2299" t="s">
        <v>13964</v>
      </c>
      <c r="G2299" t="str">
        <f>"37-2012.00"</f>
        <v>37-2012.00</v>
      </c>
      <c r="H2299" t="s">
        <v>205</v>
      </c>
      <c r="I2299">
        <v>20</v>
      </c>
      <c r="K2299" s="1">
        <v>45352</v>
      </c>
      <c r="L2299" s="1">
        <v>45579</v>
      </c>
      <c r="O2299" t="s">
        <v>116</v>
      </c>
      <c r="P2299" t="s">
        <v>17946</v>
      </c>
      <c r="R2299" t="s">
        <v>8260</v>
      </c>
      <c r="T2299" t="s">
        <v>8261</v>
      </c>
      <c r="U2299" t="s">
        <v>140</v>
      </c>
      <c r="V2299" s="8" t="str">
        <f>"32569"</f>
        <v>32569</v>
      </c>
      <c r="W2299" t="s">
        <v>118</v>
      </c>
      <c r="Y2299" s="10">
        <v>18508128931</v>
      </c>
      <c r="AA2299">
        <v>561720</v>
      </c>
      <c r="AB2299" t="s">
        <v>3723</v>
      </c>
      <c r="AC2299" t="s">
        <v>8259</v>
      </c>
      <c r="AE2299" t="s">
        <v>1836</v>
      </c>
      <c r="AF2299" t="s">
        <v>17947</v>
      </c>
      <c r="AH2299" t="s">
        <v>8261</v>
      </c>
      <c r="AI2299" t="s">
        <v>140</v>
      </c>
      <c r="AJ2299" s="8" t="str">
        <f>"32569"</f>
        <v>32569</v>
      </c>
      <c r="AK2299" t="s">
        <v>118</v>
      </c>
      <c r="AM2299" s="10">
        <v>18508128931</v>
      </c>
      <c r="AO2299" t="s">
        <v>8262</v>
      </c>
      <c r="AP2299" t="s">
        <v>121</v>
      </c>
      <c r="AQ2299" t="s">
        <v>1771</v>
      </c>
      <c r="AR2299" t="s">
        <v>1772</v>
      </c>
      <c r="AS2299" t="s">
        <v>1410</v>
      </c>
      <c r="AT2299" t="s">
        <v>1773</v>
      </c>
      <c r="AU2299" t="s">
        <v>1774</v>
      </c>
      <c r="AV2299" t="s">
        <v>1775</v>
      </c>
      <c r="AW2299" t="s">
        <v>1776</v>
      </c>
      <c r="AX2299" s="8" t="str">
        <f>"08034"</f>
        <v>08034</v>
      </c>
      <c r="AY2299" t="s">
        <v>118</v>
      </c>
      <c r="AZ2299" t="s">
        <v>1777</v>
      </c>
      <c r="BA2299" s="10">
        <v>18562819750</v>
      </c>
      <c r="BC2299" t="s">
        <v>1778</v>
      </c>
      <c r="BD2299" t="s">
        <v>1779</v>
      </c>
      <c r="BE2299" t="s">
        <v>1776</v>
      </c>
      <c r="BF2299" t="s">
        <v>1780</v>
      </c>
      <c r="BG2299" t="s">
        <v>140</v>
      </c>
      <c r="BH2299" s="1">
        <v>45260.791666666664</v>
      </c>
      <c r="BI2299">
        <v>35</v>
      </c>
      <c r="BJ2299">
        <v>0</v>
      </c>
      <c r="BK2299">
        <v>7</v>
      </c>
      <c r="BL2299">
        <v>7</v>
      </c>
      <c r="BM2299">
        <v>7</v>
      </c>
      <c r="BN2299">
        <v>7</v>
      </c>
      <c r="BO2299">
        <v>7</v>
      </c>
      <c r="BP2299">
        <v>0</v>
      </c>
      <c r="BQ2299" t="str">
        <f>"8:00 AM"</f>
        <v>8:00 AM</v>
      </c>
      <c r="BR2299" t="str">
        <f>"4:00 PM"</f>
        <v>4:00 PM</v>
      </c>
      <c r="BS2299" t="s">
        <v>131</v>
      </c>
      <c r="BT2299">
        <v>0</v>
      </c>
      <c r="BU2299">
        <v>0</v>
      </c>
      <c r="BV2299" t="s">
        <v>114</v>
      </c>
      <c r="BX2299" s="2" t="s">
        <v>17948</v>
      </c>
      <c r="BY2299" t="s">
        <v>17949</v>
      </c>
      <c r="CA2299" t="s">
        <v>8020</v>
      </c>
      <c r="CB2299" t="s">
        <v>140</v>
      </c>
      <c r="CC2299" s="8" t="str">
        <f>"32648"</f>
        <v>32648</v>
      </c>
      <c r="CD2299" t="s">
        <v>5061</v>
      </c>
      <c r="CE2299" t="s">
        <v>3314</v>
      </c>
      <c r="CF2299" s="12">
        <v>14.14</v>
      </c>
      <c r="CG2299" s="12">
        <v>14.14</v>
      </c>
      <c r="CH2299" s="12">
        <v>21.21</v>
      </c>
      <c r="CI2299" s="12">
        <v>21.21</v>
      </c>
      <c r="CJ2299" t="s">
        <v>135</v>
      </c>
      <c r="CK2299" t="s">
        <v>1782</v>
      </c>
      <c r="CL2299" t="s">
        <v>17950</v>
      </c>
      <c r="CO2299" t="s">
        <v>132</v>
      </c>
      <c r="CP2299" t="s">
        <v>114</v>
      </c>
      <c r="CQ2299" t="s">
        <v>114</v>
      </c>
      <c r="CR2299" t="s">
        <v>136</v>
      </c>
      <c r="CS2299" t="s">
        <v>136</v>
      </c>
      <c r="CT2299" t="s">
        <v>136</v>
      </c>
      <c r="CU2299" t="s">
        <v>136</v>
      </c>
      <c r="CV2299" t="s">
        <v>8265</v>
      </c>
      <c r="CW2299" s="10" t="str">
        <f>"+18508128931"</f>
        <v>+18508128931</v>
      </c>
      <c r="CX2299" t="s">
        <v>8262</v>
      </c>
      <c r="CY2299" t="s">
        <v>132</v>
      </c>
      <c r="CZ2299" t="s">
        <v>137</v>
      </c>
      <c r="DA2299" t="s">
        <v>114</v>
      </c>
      <c r="DB2299" t="s">
        <v>114</v>
      </c>
      <c r="DC2299" t="s">
        <v>136</v>
      </c>
      <c r="DD2299" t="s">
        <v>114</v>
      </c>
    </row>
    <row r="2300" spans="1:108" ht="15" customHeight="1" x14ac:dyDescent="0.25">
      <c r="A2300" t="s">
        <v>11058</v>
      </c>
      <c r="B2300" t="s">
        <v>368</v>
      </c>
      <c r="C2300" s="1">
        <v>45187.629294791666</v>
      </c>
      <c r="D2300" s="1">
        <v>45278</v>
      </c>
      <c r="E2300" t="s">
        <v>132</v>
      </c>
      <c r="F2300" t="s">
        <v>11059</v>
      </c>
      <c r="G2300" t="str">
        <f>"39-1013.00"</f>
        <v>39-1013.00</v>
      </c>
      <c r="H2300" t="s">
        <v>11060</v>
      </c>
      <c r="I2300">
        <v>1</v>
      </c>
      <c r="K2300" s="1">
        <v>45264</v>
      </c>
      <c r="L2300" s="1">
        <v>45504</v>
      </c>
      <c r="O2300" t="s">
        <v>116</v>
      </c>
      <c r="P2300" t="s">
        <v>3214</v>
      </c>
      <c r="Q2300" t="s">
        <v>3215</v>
      </c>
      <c r="R2300" t="s">
        <v>3216</v>
      </c>
      <c r="T2300" t="s">
        <v>3217</v>
      </c>
      <c r="U2300" t="s">
        <v>3218</v>
      </c>
      <c r="V2300" s="8" t="str">
        <f>"00820"</f>
        <v>00820</v>
      </c>
      <c r="W2300" t="s">
        <v>118</v>
      </c>
      <c r="X2300" t="s">
        <v>3219</v>
      </c>
      <c r="Y2300" s="10">
        <v>13407737529</v>
      </c>
      <c r="AA2300">
        <v>713210</v>
      </c>
      <c r="AB2300" t="s">
        <v>3220</v>
      </c>
      <c r="AC2300" t="s">
        <v>3221</v>
      </c>
      <c r="AE2300" t="s">
        <v>405</v>
      </c>
      <c r="AF2300" t="s">
        <v>3216</v>
      </c>
      <c r="AH2300" t="s">
        <v>3217</v>
      </c>
      <c r="AI2300" t="s">
        <v>3218</v>
      </c>
      <c r="AJ2300" s="8" t="str">
        <f>"00820"</f>
        <v>00820</v>
      </c>
      <c r="AK2300" t="s">
        <v>118</v>
      </c>
      <c r="AL2300" t="s">
        <v>3219</v>
      </c>
      <c r="AM2300" s="10">
        <v>18505180828</v>
      </c>
      <c r="AO2300" t="s">
        <v>3223</v>
      </c>
      <c r="AP2300" t="s">
        <v>121</v>
      </c>
      <c r="AQ2300" t="s">
        <v>846</v>
      </c>
      <c r="AR2300" t="s">
        <v>3224</v>
      </c>
      <c r="AT2300" t="s">
        <v>3225</v>
      </c>
      <c r="AV2300" t="s">
        <v>3226</v>
      </c>
      <c r="AW2300" t="s">
        <v>140</v>
      </c>
      <c r="AX2300" s="8" t="str">
        <f>"33030"</f>
        <v>33030</v>
      </c>
      <c r="AY2300" t="s">
        <v>118</v>
      </c>
      <c r="BA2300" s="10">
        <v>17864291511</v>
      </c>
      <c r="BC2300" t="s">
        <v>3227</v>
      </c>
      <c r="BD2300" t="s">
        <v>3228</v>
      </c>
      <c r="BE2300" t="s">
        <v>140</v>
      </c>
      <c r="BF2300" t="s">
        <v>3229</v>
      </c>
      <c r="BG2300" t="s">
        <v>3218</v>
      </c>
      <c r="BH2300" s="1">
        <v>45165.833333333336</v>
      </c>
      <c r="BI2300">
        <v>40</v>
      </c>
      <c r="BJ2300">
        <v>8</v>
      </c>
      <c r="BK2300">
        <v>0</v>
      </c>
      <c r="BL2300">
        <v>0</v>
      </c>
      <c r="BM2300">
        <v>8</v>
      </c>
      <c r="BN2300">
        <v>8</v>
      </c>
      <c r="BO2300">
        <v>8</v>
      </c>
      <c r="BP2300">
        <v>8</v>
      </c>
      <c r="BQ2300" t="str">
        <f>"4:00 PM"</f>
        <v>4:00 PM</v>
      </c>
      <c r="BR2300" t="str">
        <f>"1:00 AM"</f>
        <v>1:00 AM</v>
      </c>
      <c r="BS2300" t="s">
        <v>147</v>
      </c>
      <c r="BT2300">
        <v>4</v>
      </c>
      <c r="BU2300">
        <v>24</v>
      </c>
      <c r="BV2300" t="s">
        <v>136</v>
      </c>
      <c r="BW2300">
        <v>10</v>
      </c>
      <c r="BX2300" s="2" t="s">
        <v>11061</v>
      </c>
      <c r="BY2300" t="s">
        <v>3216</v>
      </c>
      <c r="CA2300" t="s">
        <v>3217</v>
      </c>
      <c r="CB2300" t="s">
        <v>3218</v>
      </c>
      <c r="CC2300" s="8" t="str">
        <f>"00820"</f>
        <v>00820</v>
      </c>
      <c r="CD2300" t="s">
        <v>3231</v>
      </c>
      <c r="CE2300" t="s">
        <v>3232</v>
      </c>
      <c r="CF2300" s="12">
        <v>27.11</v>
      </c>
      <c r="CG2300" s="12">
        <v>27.11</v>
      </c>
      <c r="CH2300" s="12">
        <v>40.659999999999997</v>
      </c>
      <c r="CI2300" s="12">
        <v>40.659999999999997</v>
      </c>
      <c r="CJ2300" t="s">
        <v>135</v>
      </c>
      <c r="CK2300" t="s">
        <v>9668</v>
      </c>
      <c r="CL2300" t="s">
        <v>11062</v>
      </c>
      <c r="CO2300" t="s">
        <v>132</v>
      </c>
      <c r="CP2300" t="s">
        <v>114</v>
      </c>
      <c r="CQ2300" t="s">
        <v>136</v>
      </c>
      <c r="CR2300" t="s">
        <v>136</v>
      </c>
      <c r="CS2300" t="s">
        <v>136</v>
      </c>
      <c r="CT2300" t="s">
        <v>136</v>
      </c>
      <c r="CU2300" t="s">
        <v>136</v>
      </c>
      <c r="CV2300" t="s">
        <v>11063</v>
      </c>
      <c r="CW2300" s="10" t="str">
        <f>"+13407737529"</f>
        <v>+13407737529</v>
      </c>
      <c r="CX2300" t="s">
        <v>3235</v>
      </c>
      <c r="CY2300" t="s">
        <v>132</v>
      </c>
      <c r="CZ2300" t="s">
        <v>137</v>
      </c>
      <c r="DA2300" t="s">
        <v>114</v>
      </c>
      <c r="DB2300" t="s">
        <v>136</v>
      </c>
      <c r="DC2300" t="s">
        <v>136</v>
      </c>
      <c r="DD2300" t="s">
        <v>114</v>
      </c>
    </row>
    <row r="2301" spans="1:108" ht="15" customHeight="1" x14ac:dyDescent="0.25">
      <c r="A2301" t="s">
        <v>21157</v>
      </c>
      <c r="B2301" t="s">
        <v>368</v>
      </c>
      <c r="C2301" s="1">
        <v>45187.624636458335</v>
      </c>
      <c r="D2301" s="1">
        <v>45278</v>
      </c>
      <c r="E2301" t="s">
        <v>132</v>
      </c>
      <c r="F2301" t="s">
        <v>21158</v>
      </c>
      <c r="G2301" t="str">
        <f>"35-3031.00"</f>
        <v>35-3031.00</v>
      </c>
      <c r="H2301" t="s">
        <v>347</v>
      </c>
      <c r="I2301">
        <v>1</v>
      </c>
      <c r="K2301" s="1">
        <v>45264</v>
      </c>
      <c r="L2301" s="1">
        <v>45504</v>
      </c>
      <c r="O2301" t="s">
        <v>116</v>
      </c>
      <c r="P2301" t="s">
        <v>3214</v>
      </c>
      <c r="Q2301" t="s">
        <v>3215</v>
      </c>
      <c r="R2301" t="s">
        <v>3216</v>
      </c>
      <c r="T2301" t="s">
        <v>3217</v>
      </c>
      <c r="U2301" t="s">
        <v>3218</v>
      </c>
      <c r="V2301" s="8" t="str">
        <f>"00820"</f>
        <v>00820</v>
      </c>
      <c r="W2301" t="s">
        <v>118</v>
      </c>
      <c r="X2301" t="s">
        <v>3219</v>
      </c>
      <c r="Y2301" s="10">
        <v>13407737529</v>
      </c>
      <c r="AA2301">
        <v>713210</v>
      </c>
      <c r="AB2301" t="s">
        <v>3220</v>
      </c>
      <c r="AC2301" t="s">
        <v>3221</v>
      </c>
      <c r="AE2301" t="s">
        <v>405</v>
      </c>
      <c r="AF2301" t="s">
        <v>3216</v>
      </c>
      <c r="AH2301" t="s">
        <v>3217</v>
      </c>
      <c r="AI2301" t="s">
        <v>3218</v>
      </c>
      <c r="AJ2301" s="8" t="str">
        <f>"00820"</f>
        <v>00820</v>
      </c>
      <c r="AK2301" t="s">
        <v>118</v>
      </c>
      <c r="AL2301" t="s">
        <v>3219</v>
      </c>
      <c r="AM2301" s="10">
        <v>18505180828</v>
      </c>
      <c r="AO2301" t="s">
        <v>3223</v>
      </c>
      <c r="AP2301" t="s">
        <v>121</v>
      </c>
      <c r="AQ2301" t="s">
        <v>846</v>
      </c>
      <c r="AR2301" t="s">
        <v>3224</v>
      </c>
      <c r="AT2301" t="s">
        <v>3225</v>
      </c>
      <c r="AV2301" t="s">
        <v>3226</v>
      </c>
      <c r="AW2301" t="s">
        <v>140</v>
      </c>
      <c r="AX2301" s="8" t="str">
        <f>"33030"</f>
        <v>33030</v>
      </c>
      <c r="AY2301" t="s">
        <v>118</v>
      </c>
      <c r="BA2301" s="10">
        <v>17864291511</v>
      </c>
      <c r="BC2301" t="s">
        <v>3227</v>
      </c>
      <c r="BD2301" t="s">
        <v>3228</v>
      </c>
      <c r="BE2301" t="s">
        <v>140</v>
      </c>
      <c r="BF2301" t="s">
        <v>3229</v>
      </c>
      <c r="BG2301" t="s">
        <v>3218</v>
      </c>
      <c r="BH2301" s="1">
        <v>45165.833333333336</v>
      </c>
      <c r="BI2301">
        <v>40</v>
      </c>
      <c r="BJ2301">
        <v>8</v>
      </c>
      <c r="BK2301">
        <v>0</v>
      </c>
      <c r="BL2301">
        <v>0</v>
      </c>
      <c r="BM2301">
        <v>8</v>
      </c>
      <c r="BN2301">
        <v>8</v>
      </c>
      <c r="BO2301">
        <v>8</v>
      </c>
      <c r="BP2301">
        <v>8</v>
      </c>
      <c r="BQ2301" t="str">
        <f>"4:00 PM"</f>
        <v>4:00 PM</v>
      </c>
      <c r="BR2301" t="str">
        <f>"1:00 AM"</f>
        <v>1:00 AM</v>
      </c>
      <c r="BS2301" t="s">
        <v>147</v>
      </c>
      <c r="BT2301">
        <v>0</v>
      </c>
      <c r="BU2301">
        <v>12</v>
      </c>
      <c r="BV2301" t="s">
        <v>114</v>
      </c>
      <c r="BX2301" s="2" t="s">
        <v>21159</v>
      </c>
      <c r="BY2301" t="s">
        <v>3216</v>
      </c>
      <c r="CA2301" t="s">
        <v>3217</v>
      </c>
      <c r="CB2301" t="s">
        <v>3218</v>
      </c>
      <c r="CC2301" s="8" t="str">
        <f>"00820"</f>
        <v>00820</v>
      </c>
      <c r="CD2301" t="s">
        <v>3231</v>
      </c>
      <c r="CE2301" t="s">
        <v>3232</v>
      </c>
      <c r="CF2301" s="12">
        <v>18.149999999999999</v>
      </c>
      <c r="CG2301" s="12">
        <v>18.149999999999999</v>
      </c>
      <c r="CH2301" s="12">
        <v>27.22</v>
      </c>
      <c r="CI2301" s="12">
        <v>27.22</v>
      </c>
      <c r="CJ2301" t="s">
        <v>135</v>
      </c>
      <c r="CL2301" t="s">
        <v>21160</v>
      </c>
      <c r="CO2301" t="s">
        <v>132</v>
      </c>
      <c r="CP2301" t="s">
        <v>114</v>
      </c>
      <c r="CQ2301" t="s">
        <v>136</v>
      </c>
      <c r="CR2301" t="s">
        <v>136</v>
      </c>
      <c r="CS2301" t="s">
        <v>136</v>
      </c>
      <c r="CT2301" t="s">
        <v>136</v>
      </c>
      <c r="CU2301" t="s">
        <v>136</v>
      </c>
      <c r="CV2301" s="2" t="s">
        <v>21161</v>
      </c>
      <c r="CW2301" s="10" t="str">
        <f>"+13407737529"</f>
        <v>+13407737529</v>
      </c>
      <c r="CX2301" t="s">
        <v>3235</v>
      </c>
      <c r="CY2301" t="s">
        <v>132</v>
      </c>
      <c r="CZ2301" t="s">
        <v>137</v>
      </c>
      <c r="DA2301" t="s">
        <v>114</v>
      </c>
      <c r="DB2301" t="s">
        <v>136</v>
      </c>
      <c r="DC2301" t="s">
        <v>136</v>
      </c>
      <c r="DD2301" t="s">
        <v>114</v>
      </c>
    </row>
    <row r="2302" spans="1:108" ht="15" customHeight="1" x14ac:dyDescent="0.25">
      <c r="A2302" t="s">
        <v>16114</v>
      </c>
      <c r="B2302" t="s">
        <v>368</v>
      </c>
      <c r="C2302" s="1">
        <v>45266.465642592593</v>
      </c>
      <c r="D2302" s="1">
        <v>45276</v>
      </c>
      <c r="E2302" t="s">
        <v>132</v>
      </c>
      <c r="F2302" t="s">
        <v>11283</v>
      </c>
      <c r="G2302" t="str">
        <f>"37-3011.00"</f>
        <v>37-3011.00</v>
      </c>
      <c r="H2302" t="s">
        <v>429</v>
      </c>
      <c r="I2302">
        <v>40</v>
      </c>
      <c r="K2302" s="1">
        <v>45323</v>
      </c>
      <c r="L2302" s="1">
        <v>45626</v>
      </c>
      <c r="O2302" t="s">
        <v>116</v>
      </c>
      <c r="P2302" t="s">
        <v>16115</v>
      </c>
      <c r="Q2302" t="s">
        <v>16116</v>
      </c>
      <c r="R2302" t="s">
        <v>16117</v>
      </c>
      <c r="T2302" t="s">
        <v>16118</v>
      </c>
      <c r="U2302" t="s">
        <v>1434</v>
      </c>
      <c r="V2302" s="8" t="str">
        <f>"40358"</f>
        <v>40358</v>
      </c>
      <c r="W2302" t="s">
        <v>118</v>
      </c>
      <c r="Y2302" s="10">
        <v>16066742971</v>
      </c>
      <c r="AA2302">
        <v>56173</v>
      </c>
      <c r="AB2302" t="s">
        <v>16119</v>
      </c>
      <c r="AC2302" t="s">
        <v>9534</v>
      </c>
      <c r="AE2302" t="s">
        <v>1792</v>
      </c>
      <c r="AF2302" t="s">
        <v>16117</v>
      </c>
      <c r="AH2302" t="s">
        <v>16118</v>
      </c>
      <c r="AI2302" t="s">
        <v>1434</v>
      </c>
      <c r="AJ2302" s="8" t="str">
        <f>"40358"</f>
        <v>40358</v>
      </c>
      <c r="AK2302" t="s">
        <v>118</v>
      </c>
      <c r="AM2302" s="10">
        <v>16066742971</v>
      </c>
      <c r="AO2302" t="s">
        <v>16120</v>
      </c>
      <c r="AP2302" t="s">
        <v>121</v>
      </c>
      <c r="AQ2302" t="s">
        <v>4169</v>
      </c>
      <c r="AR2302" t="s">
        <v>4170</v>
      </c>
      <c r="AS2302" t="s">
        <v>1738</v>
      </c>
      <c r="AT2302" t="s">
        <v>4171</v>
      </c>
      <c r="AU2302" t="s">
        <v>4172</v>
      </c>
      <c r="AV2302" t="s">
        <v>4173</v>
      </c>
      <c r="AW2302" t="s">
        <v>854</v>
      </c>
      <c r="AX2302" s="8" t="str">
        <f>"83670"</f>
        <v>83670</v>
      </c>
      <c r="AY2302" t="s">
        <v>118</v>
      </c>
      <c r="BA2302" s="10">
        <v>12083984969</v>
      </c>
      <c r="BC2302" t="s">
        <v>4174</v>
      </c>
      <c r="BD2302" t="s">
        <v>4175</v>
      </c>
      <c r="BE2302" t="s">
        <v>127</v>
      </c>
      <c r="BF2302" t="s">
        <v>750</v>
      </c>
      <c r="BG2302" t="s">
        <v>1434</v>
      </c>
      <c r="BH2302" s="1">
        <v>45264.791666666664</v>
      </c>
      <c r="BI2302">
        <v>40</v>
      </c>
      <c r="BJ2302">
        <v>0</v>
      </c>
      <c r="BK2302">
        <v>8</v>
      </c>
      <c r="BL2302">
        <v>8</v>
      </c>
      <c r="BM2302">
        <v>8</v>
      </c>
      <c r="BN2302">
        <v>8</v>
      </c>
      <c r="BO2302">
        <v>8</v>
      </c>
      <c r="BP2302">
        <v>0</v>
      </c>
      <c r="BQ2302" t="str">
        <f>"7:00 AM"</f>
        <v>7:00 AM</v>
      </c>
      <c r="BR2302" t="str">
        <f>"4:30 PM"</f>
        <v>4:30 PM</v>
      </c>
      <c r="BS2302" t="s">
        <v>131</v>
      </c>
      <c r="BT2302">
        <v>0</v>
      </c>
      <c r="BU2302">
        <v>0</v>
      </c>
      <c r="BV2302" t="s">
        <v>114</v>
      </c>
      <c r="BX2302" s="2" t="s">
        <v>16121</v>
      </c>
      <c r="BY2302" t="s">
        <v>16117</v>
      </c>
      <c r="CA2302" t="s">
        <v>16118</v>
      </c>
      <c r="CB2302" t="s">
        <v>1434</v>
      </c>
      <c r="CC2302" s="8" t="str">
        <f>"40358"</f>
        <v>40358</v>
      </c>
      <c r="CD2302" t="s">
        <v>5426</v>
      </c>
      <c r="CE2302" t="s">
        <v>3299</v>
      </c>
      <c r="CF2302" s="12">
        <v>13.94</v>
      </c>
      <c r="CG2302" s="12">
        <v>13.94</v>
      </c>
      <c r="CH2302" s="12">
        <v>20.91</v>
      </c>
      <c r="CI2302" s="12">
        <v>20.91</v>
      </c>
      <c r="CJ2302" t="s">
        <v>135</v>
      </c>
      <c r="CL2302" t="s">
        <v>16122</v>
      </c>
      <c r="CO2302" t="s">
        <v>136</v>
      </c>
      <c r="CP2302" t="s">
        <v>136</v>
      </c>
      <c r="CQ2302" t="s">
        <v>136</v>
      </c>
      <c r="CR2302" t="s">
        <v>136</v>
      </c>
      <c r="CS2302" t="s">
        <v>114</v>
      </c>
      <c r="CT2302" t="s">
        <v>136</v>
      </c>
      <c r="CU2302" t="s">
        <v>136</v>
      </c>
      <c r="CV2302" t="s">
        <v>16123</v>
      </c>
      <c r="CW2302" s="10" t="str">
        <f>"+16062103312"</f>
        <v>+16062103312</v>
      </c>
      <c r="CX2302" t="s">
        <v>16120</v>
      </c>
      <c r="CY2302" t="s">
        <v>132</v>
      </c>
      <c r="CZ2302" t="s">
        <v>137</v>
      </c>
      <c r="DA2302" t="s">
        <v>114</v>
      </c>
      <c r="DB2302" t="s">
        <v>114</v>
      </c>
      <c r="DC2302" t="s">
        <v>136</v>
      </c>
      <c r="DD2302" t="s">
        <v>114</v>
      </c>
    </row>
    <row r="2303" spans="1:108" ht="15" customHeight="1" x14ac:dyDescent="0.25">
      <c r="A2303" t="s">
        <v>15316</v>
      </c>
      <c r="B2303" t="s">
        <v>368</v>
      </c>
      <c r="C2303" s="1">
        <v>45187.630620138887</v>
      </c>
      <c r="D2303" s="1">
        <v>45275</v>
      </c>
      <c r="E2303" t="s">
        <v>132</v>
      </c>
      <c r="F2303" t="s">
        <v>15317</v>
      </c>
      <c r="G2303" t="str">
        <f>"39-1013.00"</f>
        <v>39-1013.00</v>
      </c>
      <c r="H2303" t="s">
        <v>11060</v>
      </c>
      <c r="I2303">
        <v>1</v>
      </c>
      <c r="K2303" s="1">
        <v>45264</v>
      </c>
      <c r="L2303" s="1">
        <v>45504</v>
      </c>
      <c r="O2303" t="s">
        <v>116</v>
      </c>
      <c r="P2303" t="s">
        <v>3214</v>
      </c>
      <c r="Q2303" t="s">
        <v>3215</v>
      </c>
      <c r="R2303" t="s">
        <v>3216</v>
      </c>
      <c r="T2303" t="s">
        <v>3217</v>
      </c>
      <c r="U2303" t="s">
        <v>3218</v>
      </c>
      <c r="V2303" s="8" t="str">
        <f>"00820"</f>
        <v>00820</v>
      </c>
      <c r="W2303" t="s">
        <v>118</v>
      </c>
      <c r="X2303" t="s">
        <v>3219</v>
      </c>
      <c r="Y2303" s="10">
        <v>13407737529</v>
      </c>
      <c r="AA2303">
        <v>713210</v>
      </c>
      <c r="AB2303" t="s">
        <v>3220</v>
      </c>
      <c r="AC2303" t="s">
        <v>3221</v>
      </c>
      <c r="AE2303" t="s">
        <v>405</v>
      </c>
      <c r="AF2303" t="s">
        <v>3216</v>
      </c>
      <c r="AH2303" t="s">
        <v>3217</v>
      </c>
      <c r="AI2303" t="s">
        <v>3218</v>
      </c>
      <c r="AJ2303" s="8" t="str">
        <f>"00820"</f>
        <v>00820</v>
      </c>
      <c r="AK2303" t="s">
        <v>118</v>
      </c>
      <c r="AL2303" t="s">
        <v>3219</v>
      </c>
      <c r="AM2303" s="10">
        <v>18505180828</v>
      </c>
      <c r="AO2303" t="s">
        <v>3223</v>
      </c>
      <c r="AP2303" t="s">
        <v>121</v>
      </c>
      <c r="AQ2303" t="s">
        <v>846</v>
      </c>
      <c r="AR2303" t="s">
        <v>3224</v>
      </c>
      <c r="AT2303" t="s">
        <v>3225</v>
      </c>
      <c r="AV2303" t="s">
        <v>3226</v>
      </c>
      <c r="AW2303" t="s">
        <v>140</v>
      </c>
      <c r="AX2303" s="8" t="str">
        <f>"33030"</f>
        <v>33030</v>
      </c>
      <c r="AY2303" t="s">
        <v>118</v>
      </c>
      <c r="BA2303" s="10">
        <v>17864291511</v>
      </c>
      <c r="BC2303" t="s">
        <v>3227</v>
      </c>
      <c r="BD2303" t="s">
        <v>3228</v>
      </c>
      <c r="BE2303" t="s">
        <v>140</v>
      </c>
      <c r="BF2303" t="s">
        <v>3229</v>
      </c>
      <c r="BG2303" t="s">
        <v>3218</v>
      </c>
      <c r="BH2303" s="1">
        <v>45165.833333333336</v>
      </c>
      <c r="BI2303">
        <v>40</v>
      </c>
      <c r="BJ2303">
        <v>8</v>
      </c>
      <c r="BK2303">
        <v>0</v>
      </c>
      <c r="BL2303">
        <v>0</v>
      </c>
      <c r="BM2303">
        <v>8</v>
      </c>
      <c r="BN2303">
        <v>8</v>
      </c>
      <c r="BO2303">
        <v>8</v>
      </c>
      <c r="BP2303">
        <v>8</v>
      </c>
      <c r="BQ2303" t="str">
        <f>"4:00 PM"</f>
        <v>4:00 PM</v>
      </c>
      <c r="BR2303" t="str">
        <f>"1:00 AM"</f>
        <v>1:00 AM</v>
      </c>
      <c r="BS2303" t="s">
        <v>147</v>
      </c>
      <c r="BT2303">
        <v>0</v>
      </c>
      <c r="BU2303">
        <v>12</v>
      </c>
      <c r="BV2303" t="s">
        <v>136</v>
      </c>
      <c r="BW2303">
        <v>2</v>
      </c>
      <c r="BX2303" s="2" t="s">
        <v>15318</v>
      </c>
      <c r="BY2303" t="s">
        <v>3216</v>
      </c>
      <c r="CA2303" t="s">
        <v>3217</v>
      </c>
      <c r="CB2303" t="s">
        <v>3218</v>
      </c>
      <c r="CC2303" s="8" t="str">
        <f>"00820"</f>
        <v>00820</v>
      </c>
      <c r="CD2303" t="s">
        <v>3231</v>
      </c>
      <c r="CE2303" t="s">
        <v>3232</v>
      </c>
      <c r="CF2303" s="12">
        <v>27.11</v>
      </c>
      <c r="CG2303" s="12">
        <v>27.11</v>
      </c>
      <c r="CH2303" s="12">
        <v>40.659999999999997</v>
      </c>
      <c r="CI2303" s="12">
        <v>40.659999999999997</v>
      </c>
      <c r="CJ2303" t="s">
        <v>135</v>
      </c>
      <c r="CL2303" t="s">
        <v>15319</v>
      </c>
      <c r="CO2303" t="s">
        <v>132</v>
      </c>
      <c r="CP2303" t="s">
        <v>114</v>
      </c>
      <c r="CQ2303" t="s">
        <v>136</v>
      </c>
      <c r="CR2303" t="s">
        <v>136</v>
      </c>
      <c r="CS2303" t="s">
        <v>136</v>
      </c>
      <c r="CT2303" t="s">
        <v>136</v>
      </c>
      <c r="CU2303" t="s">
        <v>136</v>
      </c>
      <c r="CV2303" s="2" t="s">
        <v>15320</v>
      </c>
      <c r="CW2303" s="10" t="str">
        <f>"+13407737529"</f>
        <v>+13407737529</v>
      </c>
      <c r="CX2303" t="s">
        <v>3235</v>
      </c>
      <c r="CY2303" t="s">
        <v>132</v>
      </c>
      <c r="CZ2303" t="s">
        <v>137</v>
      </c>
      <c r="DA2303" t="s">
        <v>114</v>
      </c>
      <c r="DB2303" t="s">
        <v>136</v>
      </c>
      <c r="DC2303" t="s">
        <v>136</v>
      </c>
      <c r="DD2303" t="s">
        <v>114</v>
      </c>
    </row>
    <row r="2304" spans="1:108" ht="15" customHeight="1" x14ac:dyDescent="0.25">
      <c r="A2304" t="s">
        <v>9664</v>
      </c>
      <c r="B2304" t="s">
        <v>368</v>
      </c>
      <c r="C2304" s="1">
        <v>45187.627242824077</v>
      </c>
      <c r="D2304" s="1">
        <v>45275</v>
      </c>
      <c r="E2304" t="s">
        <v>132</v>
      </c>
      <c r="F2304" t="s">
        <v>9665</v>
      </c>
      <c r="G2304" t="str">
        <f>"35-2014.00"</f>
        <v>35-2014.00</v>
      </c>
      <c r="H2304" t="s">
        <v>154</v>
      </c>
      <c r="I2304">
        <v>1</v>
      </c>
      <c r="K2304" s="1">
        <v>45264</v>
      </c>
      <c r="L2304" s="1">
        <v>45504</v>
      </c>
      <c r="O2304" t="s">
        <v>116</v>
      </c>
      <c r="P2304" t="s">
        <v>3214</v>
      </c>
      <c r="Q2304" t="s">
        <v>3215</v>
      </c>
      <c r="R2304" t="s">
        <v>3216</v>
      </c>
      <c r="T2304" t="s">
        <v>3217</v>
      </c>
      <c r="U2304" t="s">
        <v>3218</v>
      </c>
      <c r="V2304" s="8" t="str">
        <f>"00820"</f>
        <v>00820</v>
      </c>
      <c r="W2304" t="s">
        <v>118</v>
      </c>
      <c r="X2304" t="s">
        <v>3219</v>
      </c>
      <c r="Y2304" s="10">
        <v>13407737529</v>
      </c>
      <c r="AA2304">
        <v>71321</v>
      </c>
      <c r="AB2304" t="s">
        <v>3220</v>
      </c>
      <c r="AC2304" t="s">
        <v>3221</v>
      </c>
      <c r="AE2304" t="s">
        <v>405</v>
      </c>
      <c r="AF2304" t="s">
        <v>3216</v>
      </c>
      <c r="AH2304" t="s">
        <v>3217</v>
      </c>
      <c r="AI2304" t="s">
        <v>3218</v>
      </c>
      <c r="AJ2304" s="8" t="str">
        <f>"00820"</f>
        <v>00820</v>
      </c>
      <c r="AK2304" t="s">
        <v>118</v>
      </c>
      <c r="AL2304" t="s">
        <v>3219</v>
      </c>
      <c r="AM2304" s="10">
        <v>18505180828</v>
      </c>
      <c r="AO2304" t="s">
        <v>3223</v>
      </c>
      <c r="AP2304" t="s">
        <v>121</v>
      </c>
      <c r="AQ2304" t="s">
        <v>846</v>
      </c>
      <c r="AR2304" t="s">
        <v>3224</v>
      </c>
      <c r="AT2304" t="s">
        <v>3225</v>
      </c>
      <c r="AV2304" t="s">
        <v>3226</v>
      </c>
      <c r="AW2304" t="s">
        <v>140</v>
      </c>
      <c r="AX2304" s="8" t="str">
        <f>"33030"</f>
        <v>33030</v>
      </c>
      <c r="AY2304" t="s">
        <v>118</v>
      </c>
      <c r="BA2304" s="10">
        <v>17864291511</v>
      </c>
      <c r="BC2304" t="s">
        <v>3227</v>
      </c>
      <c r="BD2304" t="s">
        <v>9666</v>
      </c>
      <c r="BE2304" t="s">
        <v>140</v>
      </c>
      <c r="BF2304" t="s">
        <v>3229</v>
      </c>
      <c r="BG2304" t="s">
        <v>3218</v>
      </c>
      <c r="BH2304" s="1">
        <v>45165.833333333336</v>
      </c>
      <c r="BI2304">
        <v>40</v>
      </c>
      <c r="BJ2304">
        <v>8</v>
      </c>
      <c r="BK2304">
        <v>0</v>
      </c>
      <c r="BL2304">
        <v>0</v>
      </c>
      <c r="BM2304">
        <v>8</v>
      </c>
      <c r="BN2304">
        <v>8</v>
      </c>
      <c r="BO2304">
        <v>8</v>
      </c>
      <c r="BP2304">
        <v>8</v>
      </c>
      <c r="BQ2304" t="str">
        <f>"4:00 PM"</f>
        <v>4:00 PM</v>
      </c>
      <c r="BR2304" t="str">
        <f>"1:00 AM"</f>
        <v>1:00 AM</v>
      </c>
      <c r="BS2304" t="s">
        <v>147</v>
      </c>
      <c r="BT2304">
        <v>0</v>
      </c>
      <c r="BU2304">
        <v>12</v>
      </c>
      <c r="BV2304" t="s">
        <v>114</v>
      </c>
      <c r="BX2304" s="2" t="s">
        <v>9667</v>
      </c>
      <c r="BY2304" t="s">
        <v>3216</v>
      </c>
      <c r="CA2304" t="s">
        <v>3217</v>
      </c>
      <c r="CB2304" t="s">
        <v>3218</v>
      </c>
      <c r="CC2304" s="8" t="str">
        <f>"00820"</f>
        <v>00820</v>
      </c>
      <c r="CD2304" t="s">
        <v>3231</v>
      </c>
      <c r="CE2304" t="s">
        <v>3232</v>
      </c>
      <c r="CF2304" s="12">
        <v>15.62</v>
      </c>
      <c r="CG2304" s="12">
        <v>15.62</v>
      </c>
      <c r="CH2304" s="12">
        <v>23.43</v>
      </c>
      <c r="CI2304" s="12">
        <v>23.43</v>
      </c>
      <c r="CJ2304" t="s">
        <v>135</v>
      </c>
      <c r="CK2304" t="s">
        <v>9668</v>
      </c>
      <c r="CL2304" t="s">
        <v>9669</v>
      </c>
      <c r="CO2304" t="s">
        <v>132</v>
      </c>
      <c r="CP2304" t="s">
        <v>114</v>
      </c>
      <c r="CQ2304" t="s">
        <v>136</v>
      </c>
      <c r="CR2304" t="s">
        <v>136</v>
      </c>
      <c r="CS2304" t="s">
        <v>136</v>
      </c>
      <c r="CT2304" t="s">
        <v>136</v>
      </c>
      <c r="CU2304" t="s">
        <v>136</v>
      </c>
      <c r="CV2304" t="s">
        <v>9670</v>
      </c>
      <c r="CW2304" s="10" t="str">
        <f>"+13407737529"</f>
        <v>+13407737529</v>
      </c>
      <c r="CX2304" t="s">
        <v>3235</v>
      </c>
      <c r="CY2304" t="s">
        <v>132</v>
      </c>
      <c r="CZ2304" t="s">
        <v>137</v>
      </c>
      <c r="DA2304" t="s">
        <v>114</v>
      </c>
      <c r="DB2304" t="s">
        <v>136</v>
      </c>
      <c r="DC2304" t="s">
        <v>136</v>
      </c>
      <c r="DD2304" t="s">
        <v>114</v>
      </c>
    </row>
    <row r="2305" spans="1:113" ht="15" customHeight="1" x14ac:dyDescent="0.25">
      <c r="A2305" t="s">
        <v>3212</v>
      </c>
      <c r="B2305" t="s">
        <v>368</v>
      </c>
      <c r="C2305" s="1">
        <v>45187.623214004627</v>
      </c>
      <c r="D2305" s="1">
        <v>45275</v>
      </c>
      <c r="E2305" t="s">
        <v>132</v>
      </c>
      <c r="F2305" t="s">
        <v>3213</v>
      </c>
      <c r="G2305" t="str">
        <f>"35-3011.00"</f>
        <v>35-3011.00</v>
      </c>
      <c r="H2305" t="s">
        <v>2902</v>
      </c>
      <c r="I2305">
        <v>1</v>
      </c>
      <c r="K2305" s="1">
        <v>45264</v>
      </c>
      <c r="L2305" s="1">
        <v>45504</v>
      </c>
      <c r="O2305" t="s">
        <v>116</v>
      </c>
      <c r="P2305" t="s">
        <v>3214</v>
      </c>
      <c r="Q2305" t="s">
        <v>3215</v>
      </c>
      <c r="R2305" t="s">
        <v>3216</v>
      </c>
      <c r="T2305" t="s">
        <v>3217</v>
      </c>
      <c r="U2305" t="s">
        <v>3218</v>
      </c>
      <c r="V2305" s="8" t="str">
        <f>"00820"</f>
        <v>00820</v>
      </c>
      <c r="W2305" t="s">
        <v>118</v>
      </c>
      <c r="X2305" t="s">
        <v>3219</v>
      </c>
      <c r="Y2305" s="10">
        <v>13407737529</v>
      </c>
      <c r="AA2305">
        <v>713210</v>
      </c>
      <c r="AB2305" t="s">
        <v>3220</v>
      </c>
      <c r="AC2305" t="s">
        <v>3221</v>
      </c>
      <c r="AE2305" t="s">
        <v>405</v>
      </c>
      <c r="AF2305" t="s">
        <v>3216</v>
      </c>
      <c r="AH2305" t="s">
        <v>3222</v>
      </c>
      <c r="AI2305" t="s">
        <v>3218</v>
      </c>
      <c r="AJ2305" s="8" t="str">
        <f>"00820"</f>
        <v>00820</v>
      </c>
      <c r="AK2305" t="s">
        <v>118</v>
      </c>
      <c r="AL2305" t="s">
        <v>3219</v>
      </c>
      <c r="AM2305" s="10">
        <v>18505180828</v>
      </c>
      <c r="AO2305" t="s">
        <v>3223</v>
      </c>
      <c r="AP2305" t="s">
        <v>121</v>
      </c>
      <c r="AQ2305" t="s">
        <v>846</v>
      </c>
      <c r="AR2305" t="s">
        <v>3224</v>
      </c>
      <c r="AT2305" t="s">
        <v>3225</v>
      </c>
      <c r="AV2305" t="s">
        <v>3226</v>
      </c>
      <c r="AW2305" t="s">
        <v>140</v>
      </c>
      <c r="AX2305" s="8" t="str">
        <f>"33030"</f>
        <v>33030</v>
      </c>
      <c r="AY2305" t="s">
        <v>118</v>
      </c>
      <c r="BA2305" s="10">
        <v>17864291511</v>
      </c>
      <c r="BC2305" t="s">
        <v>3227</v>
      </c>
      <c r="BD2305" t="s">
        <v>3228</v>
      </c>
      <c r="BE2305" t="s">
        <v>140</v>
      </c>
      <c r="BF2305" t="s">
        <v>3229</v>
      </c>
      <c r="BG2305" t="s">
        <v>3218</v>
      </c>
      <c r="BH2305" s="1">
        <v>45165.833333333336</v>
      </c>
      <c r="BI2305">
        <v>40</v>
      </c>
      <c r="BJ2305">
        <v>8</v>
      </c>
      <c r="BK2305">
        <v>0</v>
      </c>
      <c r="BL2305">
        <v>0</v>
      </c>
      <c r="BM2305">
        <v>8</v>
      </c>
      <c r="BN2305">
        <v>8</v>
      </c>
      <c r="BO2305">
        <v>8</v>
      </c>
      <c r="BP2305">
        <v>8</v>
      </c>
      <c r="BQ2305" t="str">
        <f>"4:00 PM"</f>
        <v>4:00 PM</v>
      </c>
      <c r="BR2305" t="str">
        <f>"1:00 AM"</f>
        <v>1:00 AM</v>
      </c>
      <c r="BS2305" t="s">
        <v>147</v>
      </c>
      <c r="BT2305">
        <v>0</v>
      </c>
      <c r="BU2305">
        <v>12</v>
      </c>
      <c r="BV2305" t="s">
        <v>114</v>
      </c>
      <c r="BX2305" s="2" t="s">
        <v>3230</v>
      </c>
      <c r="BY2305" t="s">
        <v>3216</v>
      </c>
      <c r="CA2305" t="s">
        <v>3217</v>
      </c>
      <c r="CB2305" t="s">
        <v>3218</v>
      </c>
      <c r="CC2305" s="8" t="str">
        <f>"00820"</f>
        <v>00820</v>
      </c>
      <c r="CD2305" t="s">
        <v>3231</v>
      </c>
      <c r="CE2305" t="s">
        <v>3232</v>
      </c>
      <c r="CF2305" s="12">
        <v>16.579999999999998</v>
      </c>
      <c r="CG2305" s="12">
        <v>16.579999999999998</v>
      </c>
      <c r="CH2305" s="12">
        <v>24.87</v>
      </c>
      <c r="CI2305" s="12">
        <v>24.87</v>
      </c>
      <c r="CJ2305" t="s">
        <v>135</v>
      </c>
      <c r="CL2305" t="s">
        <v>3233</v>
      </c>
      <c r="CO2305" t="s">
        <v>132</v>
      </c>
      <c r="CP2305" t="s">
        <v>114</v>
      </c>
      <c r="CQ2305" t="s">
        <v>136</v>
      </c>
      <c r="CR2305" t="s">
        <v>136</v>
      </c>
      <c r="CS2305" t="s">
        <v>136</v>
      </c>
      <c r="CT2305" t="s">
        <v>136</v>
      </c>
      <c r="CU2305" t="s">
        <v>136</v>
      </c>
      <c r="CV2305" t="s">
        <v>3234</v>
      </c>
      <c r="CW2305" s="10" t="str">
        <f>"+13407737529"</f>
        <v>+13407737529</v>
      </c>
      <c r="CX2305" t="s">
        <v>3235</v>
      </c>
      <c r="CY2305" t="s">
        <v>132</v>
      </c>
      <c r="CZ2305" t="s">
        <v>137</v>
      </c>
      <c r="DA2305" t="s">
        <v>114</v>
      </c>
      <c r="DB2305" t="s">
        <v>136</v>
      </c>
      <c r="DC2305" t="s">
        <v>136</v>
      </c>
      <c r="DD2305" t="s">
        <v>114</v>
      </c>
    </row>
    <row r="2306" spans="1:113" ht="15" customHeight="1" x14ac:dyDescent="0.25">
      <c r="A2306" t="s">
        <v>14782</v>
      </c>
      <c r="B2306" t="s">
        <v>368</v>
      </c>
      <c r="C2306" s="1">
        <v>45265.828717129632</v>
      </c>
      <c r="D2306" s="1">
        <v>45274</v>
      </c>
      <c r="E2306" t="s">
        <v>132</v>
      </c>
      <c r="F2306" t="s">
        <v>1993</v>
      </c>
      <c r="G2306" t="str">
        <f>"37-3011.00"</f>
        <v>37-3011.00</v>
      </c>
      <c r="H2306" t="s">
        <v>429</v>
      </c>
      <c r="I2306">
        <v>18</v>
      </c>
      <c r="K2306" s="1">
        <v>45340</v>
      </c>
      <c r="L2306" s="1">
        <v>45641</v>
      </c>
      <c r="O2306" t="s">
        <v>238</v>
      </c>
      <c r="P2306" t="s">
        <v>14783</v>
      </c>
      <c r="R2306" t="s">
        <v>14784</v>
      </c>
      <c r="T2306" t="s">
        <v>2871</v>
      </c>
      <c r="U2306" t="s">
        <v>792</v>
      </c>
      <c r="V2306" s="8" t="str">
        <f>"98302"</f>
        <v>98302</v>
      </c>
      <c r="W2306" t="s">
        <v>118</v>
      </c>
      <c r="Y2306" s="10">
        <v>12533957370</v>
      </c>
      <c r="AA2306">
        <v>56173</v>
      </c>
      <c r="AB2306" t="s">
        <v>14785</v>
      </c>
      <c r="AC2306" t="s">
        <v>14786</v>
      </c>
      <c r="AE2306" t="s">
        <v>561</v>
      </c>
      <c r="AF2306" t="s">
        <v>14787</v>
      </c>
      <c r="AH2306" t="s">
        <v>14788</v>
      </c>
      <c r="AI2306" t="s">
        <v>792</v>
      </c>
      <c r="AJ2306" s="8" t="str">
        <f>"98032"</f>
        <v>98032</v>
      </c>
      <c r="AK2306" t="s">
        <v>118</v>
      </c>
      <c r="AM2306" s="10">
        <v>12533957370</v>
      </c>
      <c r="AO2306" t="s">
        <v>132</v>
      </c>
      <c r="AP2306" t="s">
        <v>248</v>
      </c>
      <c r="AQ2306" t="s">
        <v>10956</v>
      </c>
      <c r="AR2306" t="s">
        <v>10957</v>
      </c>
      <c r="AT2306" t="s">
        <v>14789</v>
      </c>
      <c r="AU2306" t="s">
        <v>799</v>
      </c>
      <c r="AV2306" t="s">
        <v>800</v>
      </c>
      <c r="AW2306" t="s">
        <v>792</v>
      </c>
      <c r="AX2306" s="8" t="str">
        <f>"98516"</f>
        <v>98516</v>
      </c>
      <c r="AY2306" t="s">
        <v>118</v>
      </c>
      <c r="BA2306" s="10">
        <v>13604558064</v>
      </c>
      <c r="BB2306">
        <v>110</v>
      </c>
      <c r="BC2306" t="s">
        <v>801</v>
      </c>
      <c r="BD2306" t="s">
        <v>7040</v>
      </c>
      <c r="BG2306" t="s">
        <v>792</v>
      </c>
      <c r="BH2306" s="1">
        <v>45264.791666666664</v>
      </c>
      <c r="BI2306">
        <v>40</v>
      </c>
      <c r="BJ2306">
        <v>0</v>
      </c>
      <c r="BK2306">
        <v>8</v>
      </c>
      <c r="BL2306">
        <v>8</v>
      </c>
      <c r="BM2306">
        <v>8</v>
      </c>
      <c r="BN2306">
        <v>8</v>
      </c>
      <c r="BO2306">
        <v>8</v>
      </c>
      <c r="BP2306">
        <v>0</v>
      </c>
      <c r="BQ2306" t="str">
        <f>"7:30 AM"</f>
        <v>7:30 AM</v>
      </c>
      <c r="BR2306" t="str">
        <f>"5:00 PM"</f>
        <v>5:00 PM</v>
      </c>
      <c r="BS2306" t="s">
        <v>131</v>
      </c>
      <c r="BT2306">
        <v>0</v>
      </c>
      <c r="BU2306">
        <v>0</v>
      </c>
      <c r="BV2306" t="s">
        <v>114</v>
      </c>
      <c r="BX2306" s="2" t="s">
        <v>14790</v>
      </c>
      <c r="BY2306" t="s">
        <v>14791</v>
      </c>
      <c r="CA2306" t="s">
        <v>14792</v>
      </c>
      <c r="CB2306" t="s">
        <v>792</v>
      </c>
      <c r="CC2306" s="8" t="str">
        <f>"98037"</f>
        <v>98037</v>
      </c>
      <c r="CD2306" t="s">
        <v>6912</v>
      </c>
      <c r="CE2306" t="s">
        <v>9297</v>
      </c>
      <c r="CF2306" s="12">
        <v>20</v>
      </c>
      <c r="CG2306" s="12">
        <v>20</v>
      </c>
      <c r="CH2306" s="12">
        <v>30</v>
      </c>
      <c r="CI2306" s="12">
        <v>30</v>
      </c>
      <c r="CJ2306" t="s">
        <v>135</v>
      </c>
      <c r="CK2306" t="s">
        <v>14793</v>
      </c>
      <c r="CL2306" t="s">
        <v>14794</v>
      </c>
      <c r="CO2306" t="s">
        <v>132</v>
      </c>
      <c r="CP2306" t="s">
        <v>136</v>
      </c>
      <c r="CQ2306" t="s">
        <v>136</v>
      </c>
      <c r="CR2306" t="s">
        <v>136</v>
      </c>
      <c r="CS2306" t="s">
        <v>114</v>
      </c>
      <c r="CT2306" t="s">
        <v>136</v>
      </c>
      <c r="CU2306" t="s">
        <v>136</v>
      </c>
      <c r="CV2306" t="s">
        <v>14795</v>
      </c>
      <c r="CW2306" s="10" t="str">
        <f>"N/A"</f>
        <v>N/A</v>
      </c>
      <c r="CX2306" t="s">
        <v>14796</v>
      </c>
      <c r="CY2306" t="s">
        <v>10958</v>
      </c>
      <c r="CZ2306" t="s">
        <v>137</v>
      </c>
      <c r="DA2306" t="s">
        <v>114</v>
      </c>
      <c r="DB2306" t="s">
        <v>136</v>
      </c>
      <c r="DC2306" t="s">
        <v>136</v>
      </c>
      <c r="DD2306" t="s">
        <v>114</v>
      </c>
    </row>
    <row r="2307" spans="1:113" ht="15" customHeight="1" x14ac:dyDescent="0.25">
      <c r="A2307" t="s">
        <v>23957</v>
      </c>
      <c r="B2307" t="s">
        <v>368</v>
      </c>
      <c r="C2307" s="1">
        <v>45262.384465972224</v>
      </c>
      <c r="D2307" s="1">
        <v>45274</v>
      </c>
      <c r="E2307" t="s">
        <v>132</v>
      </c>
      <c r="F2307" t="s">
        <v>23958</v>
      </c>
      <c r="G2307" t="str">
        <f>"53-3033.00"</f>
        <v>53-3033.00</v>
      </c>
      <c r="H2307" t="s">
        <v>2973</v>
      </c>
      <c r="I2307">
        <v>8</v>
      </c>
      <c r="K2307" s="1">
        <v>45352</v>
      </c>
      <c r="L2307" s="1">
        <v>45626</v>
      </c>
      <c r="O2307" t="s">
        <v>116</v>
      </c>
      <c r="P2307" t="s">
        <v>13985</v>
      </c>
      <c r="R2307" t="s">
        <v>13986</v>
      </c>
      <c r="S2307" t="s">
        <v>132</v>
      </c>
      <c r="T2307" t="s">
        <v>7025</v>
      </c>
      <c r="U2307" t="s">
        <v>222</v>
      </c>
      <c r="V2307" s="8" t="str">
        <f>"02149"</f>
        <v>02149</v>
      </c>
      <c r="W2307" t="s">
        <v>118</v>
      </c>
      <c r="Y2307" s="10">
        <v>18579280876</v>
      </c>
      <c r="AA2307">
        <v>484210</v>
      </c>
      <c r="AB2307" t="s">
        <v>13987</v>
      </c>
      <c r="AC2307" t="s">
        <v>13988</v>
      </c>
      <c r="AD2307" t="s">
        <v>631</v>
      </c>
      <c r="AE2307" t="s">
        <v>794</v>
      </c>
      <c r="AF2307" t="s">
        <v>13986</v>
      </c>
      <c r="AG2307" t="s">
        <v>132</v>
      </c>
      <c r="AH2307" t="s">
        <v>7025</v>
      </c>
      <c r="AI2307" t="s">
        <v>222</v>
      </c>
      <c r="AJ2307" s="8" t="str">
        <f>"02149"</f>
        <v>02149</v>
      </c>
      <c r="AK2307" t="s">
        <v>118</v>
      </c>
      <c r="AM2307" s="10">
        <v>18579280876</v>
      </c>
      <c r="AO2307" t="s">
        <v>13989</v>
      </c>
      <c r="AP2307" t="s">
        <v>248</v>
      </c>
      <c r="AQ2307" t="s">
        <v>3428</v>
      </c>
      <c r="AR2307" t="s">
        <v>3429</v>
      </c>
      <c r="AS2307" t="s">
        <v>132</v>
      </c>
      <c r="AT2307" t="s">
        <v>1584</v>
      </c>
      <c r="AU2307" t="s">
        <v>132</v>
      </c>
      <c r="AV2307" t="s">
        <v>1585</v>
      </c>
      <c r="AW2307" t="s">
        <v>127</v>
      </c>
      <c r="AX2307" s="8" t="str">
        <f>"77414"</f>
        <v>77414</v>
      </c>
      <c r="AY2307" t="s">
        <v>118</v>
      </c>
      <c r="BA2307" s="10">
        <v>19793187279</v>
      </c>
      <c r="BC2307" t="s">
        <v>3430</v>
      </c>
      <c r="BD2307" t="s">
        <v>1587</v>
      </c>
      <c r="BG2307" t="s">
        <v>222</v>
      </c>
      <c r="BH2307" s="1">
        <v>45261.791666666664</v>
      </c>
      <c r="BI2307">
        <v>56</v>
      </c>
      <c r="BJ2307">
        <v>8</v>
      </c>
      <c r="BK2307">
        <v>8</v>
      </c>
      <c r="BL2307">
        <v>8</v>
      </c>
      <c r="BM2307">
        <v>8</v>
      </c>
      <c r="BN2307">
        <v>8</v>
      </c>
      <c r="BO2307">
        <v>8</v>
      </c>
      <c r="BP2307">
        <v>8</v>
      </c>
      <c r="BQ2307" t="str">
        <f>"8:00 AM"</f>
        <v>8:00 AM</v>
      </c>
      <c r="BR2307" t="str">
        <f>"4:00 PM"</f>
        <v>4:00 PM</v>
      </c>
      <c r="BS2307" t="s">
        <v>131</v>
      </c>
      <c r="BT2307">
        <v>0</v>
      </c>
      <c r="BU2307">
        <v>0</v>
      </c>
      <c r="BV2307" t="s">
        <v>114</v>
      </c>
      <c r="BX2307" s="2" t="s">
        <v>23959</v>
      </c>
      <c r="BY2307" t="s">
        <v>13986</v>
      </c>
      <c r="BZ2307" t="s">
        <v>132</v>
      </c>
      <c r="CA2307" t="s">
        <v>7025</v>
      </c>
      <c r="CB2307" t="s">
        <v>222</v>
      </c>
      <c r="CC2307" s="8" t="str">
        <f>"02149"</f>
        <v>02149</v>
      </c>
      <c r="CD2307" t="s">
        <v>13990</v>
      </c>
      <c r="CE2307" t="s">
        <v>2399</v>
      </c>
      <c r="CF2307" s="12">
        <v>23.55</v>
      </c>
      <c r="CG2307" s="12">
        <v>32</v>
      </c>
      <c r="CH2307" s="12">
        <v>35.33</v>
      </c>
      <c r="CI2307" s="12">
        <v>48</v>
      </c>
      <c r="CJ2307" t="s">
        <v>135</v>
      </c>
      <c r="CK2307" t="s">
        <v>13991</v>
      </c>
      <c r="CL2307" t="s">
        <v>23960</v>
      </c>
      <c r="CO2307" t="s">
        <v>132</v>
      </c>
      <c r="CP2307" t="s">
        <v>136</v>
      </c>
      <c r="CQ2307" t="s">
        <v>136</v>
      </c>
      <c r="CR2307" t="s">
        <v>136</v>
      </c>
      <c r="CS2307" t="s">
        <v>136</v>
      </c>
      <c r="CT2307" t="s">
        <v>136</v>
      </c>
      <c r="CU2307" t="s">
        <v>114</v>
      </c>
      <c r="CV2307" t="s">
        <v>2225</v>
      </c>
      <c r="CW2307" s="10" t="str">
        <f>"+18579280876"</f>
        <v>+18579280876</v>
      </c>
      <c r="CX2307" t="s">
        <v>13992</v>
      </c>
      <c r="CY2307" t="s">
        <v>132</v>
      </c>
      <c r="CZ2307" t="s">
        <v>137</v>
      </c>
      <c r="DA2307" t="s">
        <v>114</v>
      </c>
      <c r="DB2307" t="s">
        <v>136</v>
      </c>
      <c r="DC2307" t="s">
        <v>136</v>
      </c>
      <c r="DD2307" t="s">
        <v>114</v>
      </c>
    </row>
    <row r="2308" spans="1:113" ht="15" customHeight="1" x14ac:dyDescent="0.25">
      <c r="A2308" t="s">
        <v>23046</v>
      </c>
      <c r="B2308" t="s">
        <v>368</v>
      </c>
      <c r="C2308" s="1">
        <v>45262.035887268517</v>
      </c>
      <c r="D2308" s="1">
        <v>45274</v>
      </c>
      <c r="E2308" t="s">
        <v>132</v>
      </c>
      <c r="F2308" t="s">
        <v>1961</v>
      </c>
      <c r="G2308" t="str">
        <f>"37-3011.00"</f>
        <v>37-3011.00</v>
      </c>
      <c r="H2308" t="s">
        <v>429</v>
      </c>
      <c r="I2308">
        <v>1</v>
      </c>
      <c r="K2308" s="1">
        <v>45352</v>
      </c>
      <c r="L2308" s="1">
        <v>45596</v>
      </c>
      <c r="O2308" t="s">
        <v>238</v>
      </c>
      <c r="P2308" t="s">
        <v>23047</v>
      </c>
      <c r="R2308" t="s">
        <v>23048</v>
      </c>
      <c r="T2308" t="s">
        <v>535</v>
      </c>
      <c r="U2308" t="s">
        <v>358</v>
      </c>
      <c r="V2308" s="8" t="str">
        <f>"13775"</f>
        <v>13775</v>
      </c>
      <c r="W2308" t="s">
        <v>118</v>
      </c>
      <c r="Y2308" s="10">
        <v>16078295665</v>
      </c>
      <c r="AA2308">
        <v>56173</v>
      </c>
      <c r="AB2308" t="s">
        <v>16407</v>
      </c>
      <c r="AC2308" t="s">
        <v>23049</v>
      </c>
      <c r="AE2308" t="s">
        <v>654</v>
      </c>
      <c r="AF2308" t="s">
        <v>23048</v>
      </c>
      <c r="AH2308" t="s">
        <v>535</v>
      </c>
      <c r="AI2308" t="s">
        <v>358</v>
      </c>
      <c r="AJ2308" s="8" t="str">
        <f>"13775"</f>
        <v>13775</v>
      </c>
      <c r="AK2308" t="s">
        <v>118</v>
      </c>
      <c r="AM2308" s="10">
        <v>16078295665</v>
      </c>
      <c r="AO2308" t="s">
        <v>132</v>
      </c>
      <c r="AP2308" t="s">
        <v>248</v>
      </c>
      <c r="AQ2308" t="s">
        <v>354</v>
      </c>
      <c r="AR2308" t="s">
        <v>355</v>
      </c>
      <c r="AT2308" t="s">
        <v>356</v>
      </c>
      <c r="AV2308" t="s">
        <v>357</v>
      </c>
      <c r="AW2308" t="s">
        <v>358</v>
      </c>
      <c r="AX2308" s="8" t="str">
        <f>"11590"</f>
        <v>11590</v>
      </c>
      <c r="AY2308" t="s">
        <v>118</v>
      </c>
      <c r="BA2308" s="10">
        <v>15163307168</v>
      </c>
      <c r="BC2308" t="s">
        <v>359</v>
      </c>
      <c r="BD2308" t="s">
        <v>360</v>
      </c>
      <c r="BG2308" t="s">
        <v>358</v>
      </c>
      <c r="BH2308" s="1">
        <v>45217.833333333336</v>
      </c>
      <c r="BI2308">
        <v>40</v>
      </c>
      <c r="BJ2308">
        <v>0</v>
      </c>
      <c r="BK2308">
        <v>8</v>
      </c>
      <c r="BL2308">
        <v>8</v>
      </c>
      <c r="BM2308">
        <v>8</v>
      </c>
      <c r="BN2308">
        <v>8</v>
      </c>
      <c r="BO2308">
        <v>8</v>
      </c>
      <c r="BP2308">
        <v>0</v>
      </c>
      <c r="BQ2308" t="str">
        <f>"8:00 AM"</f>
        <v>8:00 AM</v>
      </c>
      <c r="BR2308" t="str">
        <f>"5:00 PM"</f>
        <v>5:00 PM</v>
      </c>
      <c r="BS2308" t="s">
        <v>131</v>
      </c>
      <c r="BT2308">
        <v>0</v>
      </c>
      <c r="BU2308">
        <v>0</v>
      </c>
      <c r="BV2308" t="s">
        <v>114</v>
      </c>
      <c r="BX2308" t="s">
        <v>132</v>
      </c>
      <c r="BY2308" t="s">
        <v>23048</v>
      </c>
      <c r="CA2308" t="s">
        <v>535</v>
      </c>
      <c r="CB2308" t="s">
        <v>358</v>
      </c>
      <c r="CC2308" s="8" t="str">
        <f>"13775"</f>
        <v>13775</v>
      </c>
      <c r="CD2308" t="s">
        <v>442</v>
      </c>
      <c r="CE2308" t="s">
        <v>3574</v>
      </c>
      <c r="CF2308" s="12">
        <v>17.93</v>
      </c>
      <c r="CG2308" s="12">
        <v>17.93</v>
      </c>
      <c r="CH2308" s="12">
        <v>26.9</v>
      </c>
      <c r="CI2308" s="12">
        <v>26.9</v>
      </c>
      <c r="CJ2308" t="s">
        <v>135</v>
      </c>
      <c r="CK2308" t="s">
        <v>132</v>
      </c>
      <c r="CL2308" t="s">
        <v>23050</v>
      </c>
      <c r="CO2308" t="s">
        <v>132</v>
      </c>
      <c r="CP2308" t="s">
        <v>136</v>
      </c>
      <c r="CQ2308" t="s">
        <v>136</v>
      </c>
      <c r="CR2308" t="s">
        <v>136</v>
      </c>
      <c r="CS2308" t="s">
        <v>114</v>
      </c>
      <c r="CT2308" t="s">
        <v>136</v>
      </c>
      <c r="CU2308" t="s">
        <v>114</v>
      </c>
      <c r="CV2308" t="s">
        <v>1480</v>
      </c>
      <c r="CW2308" s="10" t="str">
        <f>"+16078295665"</f>
        <v>+16078295665</v>
      </c>
      <c r="CX2308" t="s">
        <v>23051</v>
      </c>
      <c r="CY2308" t="s">
        <v>132</v>
      </c>
      <c r="CZ2308" t="s">
        <v>137</v>
      </c>
      <c r="DA2308" t="s">
        <v>114</v>
      </c>
      <c r="DB2308" t="s">
        <v>114</v>
      </c>
      <c r="DC2308" t="s">
        <v>136</v>
      </c>
      <c r="DD2308" t="s">
        <v>114</v>
      </c>
    </row>
    <row r="2309" spans="1:113" ht="15" customHeight="1" x14ac:dyDescent="0.25">
      <c r="A2309" t="s">
        <v>18756</v>
      </c>
      <c r="B2309" t="s">
        <v>368</v>
      </c>
      <c r="C2309" s="1">
        <v>45273.668790509262</v>
      </c>
      <c r="D2309" s="1">
        <v>45273</v>
      </c>
      <c r="E2309" t="s">
        <v>132</v>
      </c>
      <c r="F2309" t="s">
        <v>18051</v>
      </c>
      <c r="G2309" t="str">
        <f>"47-3013.00"</f>
        <v>47-3013.00</v>
      </c>
      <c r="H2309" t="s">
        <v>15162</v>
      </c>
      <c r="I2309">
        <v>12</v>
      </c>
      <c r="K2309" s="1">
        <v>45362</v>
      </c>
      <c r="L2309" s="1">
        <v>45636</v>
      </c>
      <c r="O2309" t="s">
        <v>184</v>
      </c>
      <c r="P2309" t="s">
        <v>18052</v>
      </c>
      <c r="R2309" t="s">
        <v>18053</v>
      </c>
      <c r="T2309" t="s">
        <v>10924</v>
      </c>
      <c r="U2309" t="s">
        <v>188</v>
      </c>
      <c r="V2309" s="8" t="str">
        <f>"80631"</f>
        <v>80631</v>
      </c>
      <c r="W2309" t="s">
        <v>118</v>
      </c>
      <c r="Y2309" s="10">
        <v>19703040116</v>
      </c>
      <c r="AA2309">
        <v>238210</v>
      </c>
      <c r="AB2309" t="s">
        <v>18054</v>
      </c>
      <c r="AC2309" t="s">
        <v>145</v>
      </c>
      <c r="AE2309" t="s">
        <v>629</v>
      </c>
      <c r="AF2309" t="s">
        <v>18053</v>
      </c>
      <c r="AH2309" t="s">
        <v>10924</v>
      </c>
      <c r="AI2309" t="s">
        <v>188</v>
      </c>
      <c r="AJ2309" s="8" t="str">
        <f>"80631"</f>
        <v>80631</v>
      </c>
      <c r="AK2309" t="s">
        <v>118</v>
      </c>
      <c r="AM2309" s="10">
        <v>19703040116</v>
      </c>
      <c r="AO2309" t="s">
        <v>18055</v>
      </c>
      <c r="AP2309" t="s">
        <v>121</v>
      </c>
      <c r="AQ2309" t="s">
        <v>217</v>
      </c>
      <c r="AR2309" t="s">
        <v>5985</v>
      </c>
      <c r="AS2309" t="s">
        <v>5986</v>
      </c>
      <c r="AT2309" t="s">
        <v>5987</v>
      </c>
      <c r="AU2309" t="s">
        <v>5988</v>
      </c>
      <c r="AV2309" t="s">
        <v>518</v>
      </c>
      <c r="AW2309" t="s">
        <v>402</v>
      </c>
      <c r="AX2309" s="8" t="str">
        <f>"90034"</f>
        <v>90034</v>
      </c>
      <c r="AY2309" t="s">
        <v>118</v>
      </c>
      <c r="BA2309" s="10">
        <v>12133754084</v>
      </c>
      <c r="BC2309" t="s">
        <v>5989</v>
      </c>
      <c r="BD2309" t="s">
        <v>5990</v>
      </c>
      <c r="BE2309" t="s">
        <v>402</v>
      </c>
      <c r="BF2309" t="s">
        <v>172</v>
      </c>
      <c r="BG2309" t="s">
        <v>984</v>
      </c>
      <c r="BH2309" s="1">
        <v>45271.791666666664</v>
      </c>
      <c r="BI2309">
        <v>40</v>
      </c>
      <c r="BJ2309">
        <v>0</v>
      </c>
      <c r="BK2309">
        <v>8</v>
      </c>
      <c r="BL2309">
        <v>8</v>
      </c>
      <c r="BM2309">
        <v>8</v>
      </c>
      <c r="BN2309">
        <v>8</v>
      </c>
      <c r="BO2309">
        <v>8</v>
      </c>
      <c r="BP2309">
        <v>0</v>
      </c>
      <c r="BQ2309" t="str">
        <f>"7:00 AM"</f>
        <v>7:00 AM</v>
      </c>
      <c r="BR2309" t="str">
        <f>"4:00 PM"</f>
        <v>4:00 PM</v>
      </c>
      <c r="BS2309" t="s">
        <v>131</v>
      </c>
      <c r="BT2309">
        <v>0</v>
      </c>
      <c r="BU2309">
        <v>0</v>
      </c>
      <c r="BV2309" t="s">
        <v>114</v>
      </c>
      <c r="BX2309" t="s">
        <v>131</v>
      </c>
      <c r="BY2309" t="s">
        <v>18056</v>
      </c>
      <c r="CA2309" t="s">
        <v>7456</v>
      </c>
      <c r="CB2309" t="s">
        <v>984</v>
      </c>
      <c r="CC2309" s="8" t="str">
        <f>"63390"</f>
        <v>63390</v>
      </c>
      <c r="CD2309" t="s">
        <v>1017</v>
      </c>
      <c r="CE2309" t="s">
        <v>1856</v>
      </c>
      <c r="CF2309" s="12">
        <v>17.079999999999998</v>
      </c>
      <c r="CH2309" s="12">
        <v>25.62</v>
      </c>
      <c r="CJ2309" t="s">
        <v>135</v>
      </c>
      <c r="CK2309" t="s">
        <v>131</v>
      </c>
      <c r="CL2309" t="s">
        <v>18057</v>
      </c>
      <c r="CO2309" t="s">
        <v>132</v>
      </c>
      <c r="CP2309" t="s">
        <v>114</v>
      </c>
      <c r="CQ2309" t="s">
        <v>136</v>
      </c>
      <c r="CR2309" t="s">
        <v>136</v>
      </c>
      <c r="CS2309" t="s">
        <v>114</v>
      </c>
      <c r="CT2309" t="s">
        <v>136</v>
      </c>
      <c r="CU2309" t="s">
        <v>114</v>
      </c>
      <c r="CV2309" t="s">
        <v>18058</v>
      </c>
      <c r="CW2309" s="10" t="str">
        <f>"+19703040116"</f>
        <v>+19703040116</v>
      </c>
      <c r="CX2309" t="s">
        <v>18059</v>
      </c>
      <c r="CY2309" t="s">
        <v>132</v>
      </c>
      <c r="CZ2309" t="s">
        <v>137</v>
      </c>
      <c r="DA2309" t="s">
        <v>114</v>
      </c>
      <c r="DB2309" t="s">
        <v>114</v>
      </c>
      <c r="DC2309" t="s">
        <v>136</v>
      </c>
      <c r="DD2309" t="s">
        <v>114</v>
      </c>
    </row>
    <row r="2310" spans="1:113" ht="15" customHeight="1" x14ac:dyDescent="0.25">
      <c r="A2310" t="s">
        <v>17643</v>
      </c>
      <c r="B2310" t="s">
        <v>368</v>
      </c>
      <c r="C2310" s="1">
        <v>45262.01863460648</v>
      </c>
      <c r="D2310" s="1">
        <v>45273</v>
      </c>
      <c r="E2310" t="s">
        <v>132</v>
      </c>
      <c r="F2310" t="s">
        <v>5842</v>
      </c>
      <c r="G2310" t="str">
        <f>"35-3031.00"</f>
        <v>35-3031.00</v>
      </c>
      <c r="H2310" t="s">
        <v>347</v>
      </c>
      <c r="I2310">
        <v>5</v>
      </c>
      <c r="K2310" s="1">
        <v>45352</v>
      </c>
      <c r="L2310" s="1">
        <v>45597</v>
      </c>
      <c r="O2310" t="s">
        <v>116</v>
      </c>
      <c r="P2310" t="s">
        <v>4854</v>
      </c>
      <c r="R2310" t="s">
        <v>4855</v>
      </c>
      <c r="T2310" t="s">
        <v>4856</v>
      </c>
      <c r="U2310" t="s">
        <v>117</v>
      </c>
      <c r="V2310" s="8" t="str">
        <f>"60045"</f>
        <v>60045</v>
      </c>
      <c r="W2310" t="s">
        <v>118</v>
      </c>
      <c r="Y2310" s="10">
        <v>18472341600</v>
      </c>
      <c r="AA2310">
        <v>713910</v>
      </c>
      <c r="AB2310" t="s">
        <v>4857</v>
      </c>
      <c r="AC2310" t="s">
        <v>4858</v>
      </c>
      <c r="AE2310" t="s">
        <v>1119</v>
      </c>
      <c r="AF2310" t="s">
        <v>4855</v>
      </c>
      <c r="AH2310" t="s">
        <v>4856</v>
      </c>
      <c r="AI2310" t="s">
        <v>117</v>
      </c>
      <c r="AJ2310" s="8" t="str">
        <f>"60045"</f>
        <v>60045</v>
      </c>
      <c r="AK2310" t="s">
        <v>118</v>
      </c>
      <c r="AM2310" s="10">
        <v>18472341600</v>
      </c>
      <c r="AO2310" t="s">
        <v>132</v>
      </c>
      <c r="AP2310" t="s">
        <v>248</v>
      </c>
      <c r="AQ2310" t="s">
        <v>354</v>
      </c>
      <c r="AR2310" t="s">
        <v>355</v>
      </c>
      <c r="AT2310" t="s">
        <v>356</v>
      </c>
      <c r="AV2310" t="s">
        <v>357</v>
      </c>
      <c r="AW2310" t="s">
        <v>358</v>
      </c>
      <c r="AX2310" s="8" t="str">
        <f>"11590"</f>
        <v>11590</v>
      </c>
      <c r="AY2310" t="s">
        <v>118</v>
      </c>
      <c r="BA2310" s="10">
        <v>15163307168</v>
      </c>
      <c r="BC2310" t="s">
        <v>359</v>
      </c>
      <c r="BD2310" t="s">
        <v>360</v>
      </c>
      <c r="BG2310" t="s">
        <v>117</v>
      </c>
      <c r="BH2310" s="1">
        <v>45258.791666666664</v>
      </c>
      <c r="BI2310">
        <v>40</v>
      </c>
      <c r="BJ2310">
        <v>8</v>
      </c>
      <c r="BK2310">
        <v>0</v>
      </c>
      <c r="BL2310">
        <v>8</v>
      </c>
      <c r="BM2310">
        <v>0</v>
      </c>
      <c r="BN2310">
        <v>8</v>
      </c>
      <c r="BO2310">
        <v>8</v>
      </c>
      <c r="BP2310">
        <v>8</v>
      </c>
      <c r="BQ2310" t="str">
        <f>"6:00 AM"</f>
        <v>6:00 AM</v>
      </c>
      <c r="BR2310" t="str">
        <f>"10:00 PM"</f>
        <v>10:00 PM</v>
      </c>
      <c r="BS2310" t="s">
        <v>131</v>
      </c>
      <c r="BT2310">
        <v>0</v>
      </c>
      <c r="BU2310">
        <v>3</v>
      </c>
      <c r="BV2310" t="s">
        <v>114</v>
      </c>
      <c r="BX2310" t="s">
        <v>132</v>
      </c>
      <c r="BY2310" t="s">
        <v>4855</v>
      </c>
      <c r="CA2310" t="s">
        <v>4856</v>
      </c>
      <c r="CB2310" t="s">
        <v>117</v>
      </c>
      <c r="CC2310" s="8" t="str">
        <f>"60045"</f>
        <v>60045</v>
      </c>
      <c r="CD2310" t="s">
        <v>1960</v>
      </c>
      <c r="CE2310" t="s">
        <v>134</v>
      </c>
      <c r="CF2310" s="12">
        <v>16</v>
      </c>
      <c r="CG2310" s="12">
        <v>18</v>
      </c>
      <c r="CH2310" s="12">
        <v>24</v>
      </c>
      <c r="CI2310" s="12">
        <v>27</v>
      </c>
      <c r="CJ2310" t="s">
        <v>135</v>
      </c>
      <c r="CL2310" t="s">
        <v>17644</v>
      </c>
      <c r="CO2310" t="s">
        <v>132</v>
      </c>
      <c r="CP2310" t="s">
        <v>114</v>
      </c>
      <c r="CQ2310" t="s">
        <v>114</v>
      </c>
      <c r="CR2310" t="s">
        <v>136</v>
      </c>
      <c r="CS2310" t="s">
        <v>114</v>
      </c>
      <c r="CT2310" t="s">
        <v>136</v>
      </c>
      <c r="CU2310" t="s">
        <v>136</v>
      </c>
      <c r="CV2310" t="s">
        <v>17645</v>
      </c>
      <c r="CW2310" s="10" t="str">
        <f>"+18472341600"</f>
        <v>+18472341600</v>
      </c>
      <c r="CX2310" t="s">
        <v>4861</v>
      </c>
      <c r="CY2310" t="s">
        <v>132</v>
      </c>
      <c r="CZ2310" t="s">
        <v>137</v>
      </c>
      <c r="DA2310" t="s">
        <v>114</v>
      </c>
      <c r="DB2310" t="s">
        <v>114</v>
      </c>
      <c r="DC2310" t="s">
        <v>136</v>
      </c>
      <c r="DD2310" t="s">
        <v>114</v>
      </c>
    </row>
    <row r="2311" spans="1:113" ht="15" customHeight="1" x14ac:dyDescent="0.25">
      <c r="A2311" t="s">
        <v>4853</v>
      </c>
      <c r="B2311" t="s">
        <v>368</v>
      </c>
      <c r="C2311" s="1">
        <v>45262.01831712963</v>
      </c>
      <c r="D2311" s="1">
        <v>45273</v>
      </c>
      <c r="E2311" t="s">
        <v>132</v>
      </c>
      <c r="F2311" t="s">
        <v>2901</v>
      </c>
      <c r="G2311" t="str">
        <f>"35-3011.00"</f>
        <v>35-3011.00</v>
      </c>
      <c r="H2311" t="s">
        <v>2902</v>
      </c>
      <c r="I2311">
        <v>1</v>
      </c>
      <c r="K2311" s="1">
        <v>45352</v>
      </c>
      <c r="L2311" s="1">
        <v>45597</v>
      </c>
      <c r="O2311" t="s">
        <v>116</v>
      </c>
      <c r="P2311" t="s">
        <v>4854</v>
      </c>
      <c r="R2311" t="s">
        <v>4855</v>
      </c>
      <c r="T2311" t="s">
        <v>4856</v>
      </c>
      <c r="U2311" t="s">
        <v>117</v>
      </c>
      <c r="V2311" s="8" t="str">
        <f>"60045"</f>
        <v>60045</v>
      </c>
      <c r="W2311" t="s">
        <v>118</v>
      </c>
      <c r="Y2311" s="10">
        <v>18472341600</v>
      </c>
      <c r="AA2311">
        <v>713910</v>
      </c>
      <c r="AB2311" t="s">
        <v>4857</v>
      </c>
      <c r="AC2311" t="s">
        <v>4858</v>
      </c>
      <c r="AE2311" t="s">
        <v>1119</v>
      </c>
      <c r="AF2311" t="s">
        <v>4855</v>
      </c>
      <c r="AH2311" t="s">
        <v>4856</v>
      </c>
      <c r="AI2311" t="s">
        <v>117</v>
      </c>
      <c r="AJ2311" s="8" t="str">
        <f>"60045"</f>
        <v>60045</v>
      </c>
      <c r="AK2311" t="s">
        <v>118</v>
      </c>
      <c r="AM2311" s="10">
        <v>18472341600</v>
      </c>
      <c r="AO2311" t="s">
        <v>132</v>
      </c>
      <c r="AP2311" t="s">
        <v>248</v>
      </c>
      <c r="AQ2311" t="s">
        <v>354</v>
      </c>
      <c r="AR2311" t="s">
        <v>355</v>
      </c>
      <c r="AT2311" t="s">
        <v>356</v>
      </c>
      <c r="AV2311" t="s">
        <v>357</v>
      </c>
      <c r="AW2311" t="s">
        <v>358</v>
      </c>
      <c r="AX2311" s="8" t="str">
        <f>"11590"</f>
        <v>11590</v>
      </c>
      <c r="AY2311" t="s">
        <v>118</v>
      </c>
      <c r="BA2311" s="10">
        <v>15163307168</v>
      </c>
      <c r="BC2311" t="s">
        <v>359</v>
      </c>
      <c r="BD2311" t="s">
        <v>360</v>
      </c>
      <c r="BG2311" t="s">
        <v>117</v>
      </c>
      <c r="BH2311" s="1">
        <v>45250.791666666664</v>
      </c>
      <c r="BI2311">
        <v>40</v>
      </c>
      <c r="BJ2311">
        <v>8</v>
      </c>
      <c r="BK2311">
        <v>0</v>
      </c>
      <c r="BL2311">
        <v>8</v>
      </c>
      <c r="BM2311">
        <v>0</v>
      </c>
      <c r="BN2311">
        <v>8</v>
      </c>
      <c r="BO2311">
        <v>8</v>
      </c>
      <c r="BP2311">
        <v>8</v>
      </c>
      <c r="BQ2311" t="str">
        <f>"6:00 AM"</f>
        <v>6:00 AM</v>
      </c>
      <c r="BR2311" t="str">
        <f>"10:00 PM"</f>
        <v>10:00 PM</v>
      </c>
      <c r="BS2311" t="s">
        <v>131</v>
      </c>
      <c r="BT2311">
        <v>0</v>
      </c>
      <c r="BU2311">
        <v>3</v>
      </c>
      <c r="BV2311" t="s">
        <v>114</v>
      </c>
      <c r="BX2311" t="s">
        <v>132</v>
      </c>
      <c r="BY2311" t="s">
        <v>4855</v>
      </c>
      <c r="CA2311" t="s">
        <v>4856</v>
      </c>
      <c r="CB2311" t="s">
        <v>117</v>
      </c>
      <c r="CC2311" s="8" t="str">
        <f>"60045"</f>
        <v>60045</v>
      </c>
      <c r="CD2311" t="s">
        <v>1960</v>
      </c>
      <c r="CE2311" t="s">
        <v>134</v>
      </c>
      <c r="CF2311" s="12">
        <v>18</v>
      </c>
      <c r="CG2311" s="12">
        <v>20</v>
      </c>
      <c r="CH2311" s="12">
        <v>27</v>
      </c>
      <c r="CI2311" s="12">
        <v>30</v>
      </c>
      <c r="CJ2311" t="s">
        <v>135</v>
      </c>
      <c r="CL2311" t="s">
        <v>4859</v>
      </c>
      <c r="CO2311" t="s">
        <v>132</v>
      </c>
      <c r="CP2311" t="s">
        <v>114</v>
      </c>
      <c r="CQ2311" t="s">
        <v>114</v>
      </c>
      <c r="CR2311" t="s">
        <v>136</v>
      </c>
      <c r="CS2311" t="s">
        <v>114</v>
      </c>
      <c r="CT2311" t="s">
        <v>136</v>
      </c>
      <c r="CU2311" t="s">
        <v>136</v>
      </c>
      <c r="CV2311" t="s">
        <v>4860</v>
      </c>
      <c r="CW2311" s="10" t="str">
        <f>"+18472341600"</f>
        <v>+18472341600</v>
      </c>
      <c r="CX2311" t="s">
        <v>4861</v>
      </c>
      <c r="CY2311" t="s">
        <v>132</v>
      </c>
      <c r="CZ2311" t="s">
        <v>137</v>
      </c>
      <c r="DA2311" t="s">
        <v>114</v>
      </c>
      <c r="DB2311" t="s">
        <v>114</v>
      </c>
      <c r="DC2311" t="s">
        <v>136</v>
      </c>
      <c r="DD2311" t="s">
        <v>114</v>
      </c>
    </row>
    <row r="2312" spans="1:113" ht="15" customHeight="1" x14ac:dyDescent="0.25">
      <c r="A2312" t="s">
        <v>22149</v>
      </c>
      <c r="B2312" t="s">
        <v>368</v>
      </c>
      <c r="C2312" s="1">
        <v>45262.004979861114</v>
      </c>
      <c r="D2312" s="1">
        <v>45273</v>
      </c>
      <c r="E2312" t="s">
        <v>132</v>
      </c>
      <c r="F2312" t="s">
        <v>1961</v>
      </c>
      <c r="G2312" t="str">
        <f>"37-3011.00"</f>
        <v>37-3011.00</v>
      </c>
      <c r="H2312" t="s">
        <v>429</v>
      </c>
      <c r="I2312">
        <v>27</v>
      </c>
      <c r="K2312" s="1">
        <v>45352</v>
      </c>
      <c r="L2312" s="1">
        <v>45646</v>
      </c>
      <c r="O2312" t="s">
        <v>238</v>
      </c>
      <c r="P2312" t="s">
        <v>5520</v>
      </c>
      <c r="R2312" t="s">
        <v>5521</v>
      </c>
      <c r="T2312" t="s">
        <v>5522</v>
      </c>
      <c r="U2312" t="s">
        <v>1776</v>
      </c>
      <c r="V2312" s="8" t="str">
        <f>"08535"</f>
        <v>08535</v>
      </c>
      <c r="W2312" t="s">
        <v>118</v>
      </c>
      <c r="Y2312" s="10">
        <v>17324460017</v>
      </c>
      <c r="AA2312">
        <v>56173</v>
      </c>
      <c r="AB2312" t="s">
        <v>5523</v>
      </c>
      <c r="AC2312" t="s">
        <v>2749</v>
      </c>
      <c r="AE2312" t="s">
        <v>654</v>
      </c>
      <c r="AF2312" t="s">
        <v>5521</v>
      </c>
      <c r="AH2312" t="s">
        <v>5522</v>
      </c>
      <c r="AI2312" t="s">
        <v>1776</v>
      </c>
      <c r="AJ2312" s="8" t="str">
        <f>"08535"</f>
        <v>08535</v>
      </c>
      <c r="AK2312" t="s">
        <v>118</v>
      </c>
      <c r="AM2312" s="10">
        <v>17324460017</v>
      </c>
      <c r="AO2312" t="s">
        <v>132</v>
      </c>
      <c r="AP2312" t="s">
        <v>248</v>
      </c>
      <c r="AQ2312" t="s">
        <v>354</v>
      </c>
      <c r="AR2312" t="s">
        <v>355</v>
      </c>
      <c r="AT2312" t="s">
        <v>356</v>
      </c>
      <c r="AV2312" t="s">
        <v>357</v>
      </c>
      <c r="AW2312" t="s">
        <v>358</v>
      </c>
      <c r="AX2312" s="8" t="str">
        <f>"11590"</f>
        <v>11590</v>
      </c>
      <c r="AY2312" t="s">
        <v>118</v>
      </c>
      <c r="BA2312" s="10">
        <v>15163307168</v>
      </c>
      <c r="BC2312" t="s">
        <v>359</v>
      </c>
      <c r="BD2312" t="s">
        <v>360</v>
      </c>
      <c r="BG2312" t="s">
        <v>1776</v>
      </c>
      <c r="BH2312" s="1">
        <v>45238.791666666664</v>
      </c>
      <c r="BI2312">
        <v>40</v>
      </c>
      <c r="BJ2312">
        <v>0</v>
      </c>
      <c r="BK2312">
        <v>8</v>
      </c>
      <c r="BL2312">
        <v>8</v>
      </c>
      <c r="BM2312">
        <v>8</v>
      </c>
      <c r="BN2312">
        <v>8</v>
      </c>
      <c r="BO2312">
        <v>8</v>
      </c>
      <c r="BP2312">
        <v>0</v>
      </c>
      <c r="BQ2312" t="str">
        <f>"8:00 AM"</f>
        <v>8:00 AM</v>
      </c>
      <c r="BR2312" t="str">
        <f>"5:00 PM"</f>
        <v>5:00 PM</v>
      </c>
      <c r="BS2312" t="s">
        <v>131</v>
      </c>
      <c r="BT2312">
        <v>0</v>
      </c>
      <c r="BU2312">
        <v>0</v>
      </c>
      <c r="BV2312" t="s">
        <v>114</v>
      </c>
      <c r="BX2312" t="s">
        <v>1789</v>
      </c>
      <c r="BY2312" t="s">
        <v>5524</v>
      </c>
      <c r="CA2312" t="s">
        <v>5525</v>
      </c>
      <c r="CB2312" t="s">
        <v>1776</v>
      </c>
      <c r="CC2312" s="8" t="str">
        <f>"08535"</f>
        <v>08535</v>
      </c>
      <c r="CD2312" t="s">
        <v>3721</v>
      </c>
      <c r="CE2312" t="s">
        <v>443</v>
      </c>
      <c r="CF2312" s="12">
        <v>18.71</v>
      </c>
      <c r="CG2312" s="12">
        <v>18.71</v>
      </c>
      <c r="CH2312" s="12">
        <v>28.07</v>
      </c>
      <c r="CI2312" s="12">
        <v>28.07</v>
      </c>
      <c r="CJ2312" t="s">
        <v>135</v>
      </c>
      <c r="CL2312" t="s">
        <v>19828</v>
      </c>
      <c r="CO2312" t="s">
        <v>132</v>
      </c>
      <c r="CP2312" t="s">
        <v>136</v>
      </c>
      <c r="CQ2312" t="s">
        <v>136</v>
      </c>
      <c r="CR2312" t="s">
        <v>136</v>
      </c>
      <c r="CS2312" t="s">
        <v>114</v>
      </c>
      <c r="CT2312" t="s">
        <v>136</v>
      </c>
      <c r="CU2312" t="s">
        <v>114</v>
      </c>
      <c r="CV2312" t="s">
        <v>1789</v>
      </c>
      <c r="CW2312" s="10" t="str">
        <f>"+17324460017"</f>
        <v>+17324460017</v>
      </c>
      <c r="CX2312" t="s">
        <v>5526</v>
      </c>
      <c r="CY2312" t="s">
        <v>132</v>
      </c>
      <c r="CZ2312" t="s">
        <v>137</v>
      </c>
      <c r="DA2312" t="s">
        <v>114</v>
      </c>
      <c r="DB2312" t="s">
        <v>114</v>
      </c>
      <c r="DC2312" t="s">
        <v>136</v>
      </c>
      <c r="DD2312" t="s">
        <v>114</v>
      </c>
    </row>
    <row r="2313" spans="1:113" ht="15" customHeight="1" x14ac:dyDescent="0.25">
      <c r="A2313" t="s">
        <v>8191</v>
      </c>
      <c r="B2313" t="s">
        <v>368</v>
      </c>
      <c r="C2313" s="1">
        <v>45262.002483449076</v>
      </c>
      <c r="D2313" s="1">
        <v>45273</v>
      </c>
      <c r="E2313" t="s">
        <v>132</v>
      </c>
      <c r="F2313" t="s">
        <v>2346</v>
      </c>
      <c r="G2313" t="str">
        <f>"53-7062.00"</f>
        <v>53-7062.00</v>
      </c>
      <c r="H2313" t="s">
        <v>2078</v>
      </c>
      <c r="I2313">
        <v>20</v>
      </c>
      <c r="K2313" s="1">
        <v>45352</v>
      </c>
      <c r="L2313" s="1">
        <v>45646</v>
      </c>
      <c r="O2313" t="s">
        <v>238</v>
      </c>
      <c r="P2313" t="s">
        <v>8192</v>
      </c>
      <c r="R2313" t="s">
        <v>8193</v>
      </c>
      <c r="T2313" t="s">
        <v>5522</v>
      </c>
      <c r="U2313" t="s">
        <v>1776</v>
      </c>
      <c r="V2313" s="8" t="str">
        <f>"08535"</f>
        <v>08535</v>
      </c>
      <c r="W2313" t="s">
        <v>118</v>
      </c>
      <c r="Y2313" s="10">
        <v>17326853430</v>
      </c>
      <c r="AA2313">
        <v>56173</v>
      </c>
      <c r="AB2313" t="s">
        <v>5523</v>
      </c>
      <c r="AC2313" t="s">
        <v>2749</v>
      </c>
      <c r="AE2313" t="s">
        <v>654</v>
      </c>
      <c r="AF2313" t="s">
        <v>8193</v>
      </c>
      <c r="AH2313" t="s">
        <v>5522</v>
      </c>
      <c r="AI2313" t="s">
        <v>1776</v>
      </c>
      <c r="AJ2313" s="8" t="str">
        <f>"08535"</f>
        <v>08535</v>
      </c>
      <c r="AK2313" t="s">
        <v>118</v>
      </c>
      <c r="AM2313" s="10">
        <v>17326853430</v>
      </c>
      <c r="AO2313" t="s">
        <v>132</v>
      </c>
      <c r="AP2313" t="s">
        <v>248</v>
      </c>
      <c r="AQ2313" t="s">
        <v>354</v>
      </c>
      <c r="AR2313" t="s">
        <v>355</v>
      </c>
      <c r="AT2313" t="s">
        <v>356</v>
      </c>
      <c r="AV2313" t="s">
        <v>357</v>
      </c>
      <c r="AW2313" t="s">
        <v>358</v>
      </c>
      <c r="AX2313" s="8" t="str">
        <f>"11590"</f>
        <v>11590</v>
      </c>
      <c r="AY2313" t="s">
        <v>118</v>
      </c>
      <c r="BA2313" s="10">
        <v>15163307168</v>
      </c>
      <c r="BC2313" t="s">
        <v>359</v>
      </c>
      <c r="BD2313" t="s">
        <v>360</v>
      </c>
      <c r="BG2313" t="s">
        <v>1776</v>
      </c>
      <c r="BH2313" s="1">
        <v>45238.791666666664</v>
      </c>
      <c r="BI2313">
        <v>40</v>
      </c>
      <c r="BJ2313">
        <v>0</v>
      </c>
      <c r="BK2313">
        <v>8</v>
      </c>
      <c r="BL2313">
        <v>8</v>
      </c>
      <c r="BM2313">
        <v>8</v>
      </c>
      <c r="BN2313">
        <v>8</v>
      </c>
      <c r="BO2313">
        <v>8</v>
      </c>
      <c r="BP2313">
        <v>0</v>
      </c>
      <c r="BQ2313" t="str">
        <f>"8:00 AM"</f>
        <v>8:00 AM</v>
      </c>
      <c r="BR2313" t="str">
        <f>"5:00 PM"</f>
        <v>5:00 PM</v>
      </c>
      <c r="BS2313" t="s">
        <v>131</v>
      </c>
      <c r="BT2313">
        <v>0</v>
      </c>
      <c r="BU2313">
        <v>0</v>
      </c>
      <c r="BV2313" t="s">
        <v>114</v>
      </c>
      <c r="BX2313" t="s">
        <v>1789</v>
      </c>
      <c r="BY2313" t="s">
        <v>8193</v>
      </c>
      <c r="CA2313" t="s">
        <v>5522</v>
      </c>
      <c r="CB2313" t="s">
        <v>1776</v>
      </c>
      <c r="CC2313" s="8" t="str">
        <f>"08535"</f>
        <v>08535</v>
      </c>
      <c r="CD2313" t="s">
        <v>3721</v>
      </c>
      <c r="CE2313" t="s">
        <v>443</v>
      </c>
      <c r="CF2313" s="12">
        <v>19.02</v>
      </c>
      <c r="CG2313" s="12">
        <v>19.02</v>
      </c>
      <c r="CH2313" s="12">
        <v>28.53</v>
      </c>
      <c r="CI2313" s="12">
        <v>28.53</v>
      </c>
      <c r="CJ2313" t="s">
        <v>135</v>
      </c>
      <c r="CL2313" t="s">
        <v>8194</v>
      </c>
      <c r="CO2313" t="s">
        <v>132</v>
      </c>
      <c r="CP2313" t="s">
        <v>136</v>
      </c>
      <c r="CQ2313" t="s">
        <v>136</v>
      </c>
      <c r="CR2313" t="s">
        <v>136</v>
      </c>
      <c r="CS2313" t="s">
        <v>114</v>
      </c>
      <c r="CT2313" t="s">
        <v>136</v>
      </c>
      <c r="CU2313" t="s">
        <v>114</v>
      </c>
      <c r="CV2313" t="s">
        <v>1789</v>
      </c>
      <c r="CW2313" s="10" t="str">
        <f>"+17326853430"</f>
        <v>+17326853430</v>
      </c>
      <c r="CX2313" t="s">
        <v>132</v>
      </c>
      <c r="CY2313" t="s">
        <v>8195</v>
      </c>
      <c r="CZ2313" t="s">
        <v>137</v>
      </c>
      <c r="DA2313" t="s">
        <v>114</v>
      </c>
      <c r="DB2313" t="s">
        <v>114</v>
      </c>
      <c r="DC2313" t="s">
        <v>136</v>
      </c>
      <c r="DD2313" t="s">
        <v>114</v>
      </c>
    </row>
    <row r="2314" spans="1:113" ht="15" customHeight="1" x14ac:dyDescent="0.25">
      <c r="A2314" t="s">
        <v>12339</v>
      </c>
      <c r="B2314" t="s">
        <v>368</v>
      </c>
      <c r="C2314" s="1">
        <v>45272.396365740744</v>
      </c>
      <c r="D2314" s="1">
        <v>45272</v>
      </c>
      <c r="E2314" t="s">
        <v>132</v>
      </c>
      <c r="F2314" t="s">
        <v>4918</v>
      </c>
      <c r="G2314" t="str">
        <f>"37-3011.00"</f>
        <v>37-3011.00</v>
      </c>
      <c r="H2314" t="s">
        <v>429</v>
      </c>
      <c r="I2314">
        <v>11</v>
      </c>
      <c r="K2314" s="1">
        <v>45362</v>
      </c>
      <c r="L2314" s="1">
        <v>45626</v>
      </c>
      <c r="O2314" t="s">
        <v>116</v>
      </c>
      <c r="P2314" t="s">
        <v>12340</v>
      </c>
      <c r="R2314" t="s">
        <v>12341</v>
      </c>
      <c r="S2314" t="s">
        <v>1763</v>
      </c>
      <c r="T2314" t="s">
        <v>7972</v>
      </c>
      <c r="U2314" t="s">
        <v>386</v>
      </c>
      <c r="V2314" s="8" t="str">
        <f>"37087"</f>
        <v>37087</v>
      </c>
      <c r="W2314" t="s">
        <v>118</v>
      </c>
      <c r="Y2314" s="10">
        <v>16154495323</v>
      </c>
      <c r="AA2314">
        <v>561730</v>
      </c>
      <c r="AB2314" t="s">
        <v>12342</v>
      </c>
      <c r="AC2314" t="s">
        <v>12343</v>
      </c>
      <c r="AD2314" t="s">
        <v>132</v>
      </c>
      <c r="AE2314" t="s">
        <v>2872</v>
      </c>
      <c r="AF2314" t="s">
        <v>12341</v>
      </c>
      <c r="AG2314" t="s">
        <v>1763</v>
      </c>
      <c r="AH2314" t="s">
        <v>7972</v>
      </c>
      <c r="AI2314" t="s">
        <v>386</v>
      </c>
      <c r="AJ2314" s="8" t="str">
        <f>"37087"</f>
        <v>37087</v>
      </c>
      <c r="AK2314" t="s">
        <v>118</v>
      </c>
      <c r="AM2314" s="10">
        <v>16154495323</v>
      </c>
      <c r="AO2314" t="s">
        <v>12344</v>
      </c>
      <c r="AP2314" t="s">
        <v>248</v>
      </c>
      <c r="AQ2314" t="s">
        <v>2452</v>
      </c>
      <c r="AR2314" t="s">
        <v>2453</v>
      </c>
      <c r="AS2314" t="s">
        <v>515</v>
      </c>
      <c r="AT2314" t="s">
        <v>2454</v>
      </c>
      <c r="AU2314" t="s">
        <v>132</v>
      </c>
      <c r="AV2314" t="s">
        <v>1585</v>
      </c>
      <c r="AW2314" t="s">
        <v>127</v>
      </c>
      <c r="AX2314" s="8" t="str">
        <f>"77414"</f>
        <v>77414</v>
      </c>
      <c r="AY2314" t="s">
        <v>118</v>
      </c>
      <c r="BA2314" s="10">
        <v>19793187278</v>
      </c>
      <c r="BC2314" t="s">
        <v>2455</v>
      </c>
      <c r="BD2314" t="s">
        <v>1587</v>
      </c>
      <c r="BG2314" t="s">
        <v>386</v>
      </c>
      <c r="BH2314" s="1">
        <v>45271.791666666664</v>
      </c>
      <c r="BI2314">
        <v>40</v>
      </c>
      <c r="BJ2314">
        <v>0</v>
      </c>
      <c r="BK2314">
        <v>8</v>
      </c>
      <c r="BL2314">
        <v>8</v>
      </c>
      <c r="BM2314">
        <v>8</v>
      </c>
      <c r="BN2314">
        <v>8</v>
      </c>
      <c r="BO2314">
        <v>8</v>
      </c>
      <c r="BP2314">
        <v>0</v>
      </c>
      <c r="BQ2314" t="str">
        <f>"7:00 AM"</f>
        <v>7:00 AM</v>
      </c>
      <c r="BR2314" t="str">
        <f>"4:00 PM"</f>
        <v>4:00 PM</v>
      </c>
      <c r="BS2314" t="s">
        <v>131</v>
      </c>
      <c r="BT2314">
        <v>0</v>
      </c>
      <c r="BU2314">
        <v>0</v>
      </c>
      <c r="BV2314" t="s">
        <v>114</v>
      </c>
      <c r="BX2314" s="2" t="s">
        <v>12345</v>
      </c>
      <c r="BY2314" t="s">
        <v>12341</v>
      </c>
      <c r="BZ2314" t="s">
        <v>12346</v>
      </c>
      <c r="CA2314" t="s">
        <v>7972</v>
      </c>
      <c r="CB2314" t="s">
        <v>386</v>
      </c>
      <c r="CC2314" s="8" t="str">
        <f>"37087"</f>
        <v>37087</v>
      </c>
      <c r="CD2314" t="s">
        <v>10926</v>
      </c>
      <c r="CE2314" t="s">
        <v>3752</v>
      </c>
      <c r="CF2314" s="12">
        <v>17.05</v>
      </c>
      <c r="CH2314" s="12">
        <v>25.58</v>
      </c>
      <c r="CJ2314" t="s">
        <v>135</v>
      </c>
      <c r="CK2314" t="s">
        <v>12347</v>
      </c>
      <c r="CL2314" t="s">
        <v>12348</v>
      </c>
      <c r="CO2314" t="s">
        <v>132</v>
      </c>
      <c r="CP2314" t="s">
        <v>136</v>
      </c>
      <c r="CQ2314" t="s">
        <v>136</v>
      </c>
      <c r="CR2314" t="s">
        <v>136</v>
      </c>
      <c r="CS2314" t="s">
        <v>136</v>
      </c>
      <c r="CT2314" t="s">
        <v>136</v>
      </c>
      <c r="CU2314" t="s">
        <v>136</v>
      </c>
      <c r="CV2314" t="s">
        <v>12349</v>
      </c>
      <c r="CW2314" s="10" t="str">
        <f>"+16154495323"</f>
        <v>+16154495323</v>
      </c>
      <c r="CX2314" t="s">
        <v>12344</v>
      </c>
      <c r="CY2314" t="s">
        <v>132</v>
      </c>
      <c r="CZ2314" t="s">
        <v>137</v>
      </c>
      <c r="DA2314" t="s">
        <v>114</v>
      </c>
      <c r="DB2314" t="s">
        <v>114</v>
      </c>
      <c r="DC2314" t="s">
        <v>136</v>
      </c>
      <c r="DD2314" t="s">
        <v>114</v>
      </c>
    </row>
    <row r="2315" spans="1:113" ht="15" customHeight="1" x14ac:dyDescent="0.25">
      <c r="A2315" t="s">
        <v>17799</v>
      </c>
      <c r="B2315" t="s">
        <v>368</v>
      </c>
      <c r="C2315" s="1">
        <v>45271.319144097222</v>
      </c>
      <c r="D2315" s="1">
        <v>45272</v>
      </c>
      <c r="E2315" t="s">
        <v>132</v>
      </c>
      <c r="F2315" t="s">
        <v>2086</v>
      </c>
      <c r="G2315" t="str">
        <f>"37-3011.00"</f>
        <v>37-3011.00</v>
      </c>
      <c r="H2315" t="s">
        <v>429</v>
      </c>
      <c r="I2315">
        <v>2</v>
      </c>
      <c r="K2315" s="1">
        <v>45352</v>
      </c>
      <c r="L2315" s="1">
        <v>45657</v>
      </c>
      <c r="O2315" t="s">
        <v>116</v>
      </c>
      <c r="P2315" t="s">
        <v>6159</v>
      </c>
      <c r="R2315" t="s">
        <v>6160</v>
      </c>
      <c r="T2315" t="s">
        <v>1690</v>
      </c>
      <c r="U2315" t="s">
        <v>1691</v>
      </c>
      <c r="V2315" s="8" t="str">
        <f>"29577"</f>
        <v>29577</v>
      </c>
      <c r="W2315" t="s">
        <v>118</v>
      </c>
      <c r="Y2315" s="10">
        <v>18662289108</v>
      </c>
      <c r="AA2315">
        <v>72111</v>
      </c>
      <c r="AB2315" t="s">
        <v>2044</v>
      </c>
      <c r="AC2315" t="s">
        <v>2045</v>
      </c>
      <c r="AE2315" t="s">
        <v>4835</v>
      </c>
      <c r="AF2315" t="s">
        <v>6160</v>
      </c>
      <c r="AH2315" t="s">
        <v>1690</v>
      </c>
      <c r="AI2315" t="s">
        <v>1691</v>
      </c>
      <c r="AJ2315" s="8" t="str">
        <f>"29577"</f>
        <v>29577</v>
      </c>
      <c r="AK2315" t="s">
        <v>118</v>
      </c>
      <c r="AM2315" s="10">
        <v>18662289108</v>
      </c>
      <c r="AO2315" t="s">
        <v>132</v>
      </c>
      <c r="AP2315" t="s">
        <v>248</v>
      </c>
      <c r="AQ2315" t="s">
        <v>673</v>
      </c>
      <c r="AR2315" t="s">
        <v>674</v>
      </c>
      <c r="AT2315" t="s">
        <v>579</v>
      </c>
      <c r="AV2315" t="s">
        <v>580</v>
      </c>
      <c r="AW2315" t="s">
        <v>581</v>
      </c>
      <c r="AX2315" s="8" t="str">
        <f>"22903"</f>
        <v>22903</v>
      </c>
      <c r="AY2315" t="s">
        <v>118</v>
      </c>
      <c r="BA2315" s="10">
        <v>14342634300</v>
      </c>
      <c r="BC2315" t="s">
        <v>675</v>
      </c>
      <c r="BD2315" t="s">
        <v>583</v>
      </c>
      <c r="BG2315" t="s">
        <v>1691</v>
      </c>
      <c r="BH2315" s="1">
        <v>45270.791666666664</v>
      </c>
      <c r="BI2315">
        <v>40</v>
      </c>
      <c r="BJ2315">
        <v>8</v>
      </c>
      <c r="BK2315">
        <v>0</v>
      </c>
      <c r="BL2315">
        <v>8</v>
      </c>
      <c r="BM2315">
        <v>8</v>
      </c>
      <c r="BN2315">
        <v>0</v>
      </c>
      <c r="BO2315">
        <v>8</v>
      </c>
      <c r="BP2315">
        <v>8</v>
      </c>
      <c r="BQ2315" t="str">
        <f>"9:30 AM"</f>
        <v>9:30 AM</v>
      </c>
      <c r="BR2315" t="str">
        <f>"6:00 PM"</f>
        <v>6:00 PM</v>
      </c>
      <c r="BS2315" t="s">
        <v>131</v>
      </c>
      <c r="BT2315">
        <v>0</v>
      </c>
      <c r="BU2315">
        <v>0</v>
      </c>
      <c r="BV2315" t="s">
        <v>114</v>
      </c>
      <c r="BX2315" s="2" t="s">
        <v>17800</v>
      </c>
      <c r="BY2315" t="s">
        <v>6161</v>
      </c>
      <c r="CA2315" t="s">
        <v>1690</v>
      </c>
      <c r="CB2315" t="s">
        <v>1691</v>
      </c>
      <c r="CC2315" s="8" t="str">
        <f>"29577"</f>
        <v>29577</v>
      </c>
      <c r="CD2315" t="s">
        <v>1692</v>
      </c>
      <c r="CE2315" t="s">
        <v>1693</v>
      </c>
      <c r="CF2315" s="12">
        <v>14.6</v>
      </c>
      <c r="CG2315" s="12">
        <v>14.6</v>
      </c>
      <c r="CH2315" s="12">
        <v>21.9</v>
      </c>
      <c r="CI2315" s="12">
        <v>21.9</v>
      </c>
      <c r="CJ2315" t="s">
        <v>135</v>
      </c>
      <c r="CK2315" t="s">
        <v>590</v>
      </c>
      <c r="CL2315" t="s">
        <v>6162</v>
      </c>
      <c r="CO2315" t="s">
        <v>132</v>
      </c>
      <c r="CP2315" t="s">
        <v>136</v>
      </c>
      <c r="CQ2315" t="s">
        <v>114</v>
      </c>
      <c r="CR2315" t="s">
        <v>136</v>
      </c>
      <c r="CS2315" t="s">
        <v>136</v>
      </c>
      <c r="CT2315" t="s">
        <v>136</v>
      </c>
      <c r="CU2315" t="s">
        <v>136</v>
      </c>
      <c r="CV2315" t="s">
        <v>6107</v>
      </c>
      <c r="CW2315" s="10" t="str">
        <f>"+18439135392"</f>
        <v>+18439135392</v>
      </c>
      <c r="CX2315" t="s">
        <v>132</v>
      </c>
      <c r="CY2315" t="s">
        <v>2004</v>
      </c>
      <c r="CZ2315" t="s">
        <v>137</v>
      </c>
      <c r="DA2315" t="s">
        <v>114</v>
      </c>
      <c r="DB2315" t="s">
        <v>136</v>
      </c>
      <c r="DC2315" t="s">
        <v>136</v>
      </c>
      <c r="DD2315" t="s">
        <v>114</v>
      </c>
      <c r="DE2315" t="s">
        <v>673</v>
      </c>
      <c r="DF2315" t="s">
        <v>674</v>
      </c>
      <c r="DH2315" t="s">
        <v>583</v>
      </c>
      <c r="DI2315" t="s">
        <v>675</v>
      </c>
    </row>
    <row r="2316" spans="1:113" ht="15" customHeight="1" x14ac:dyDescent="0.25">
      <c r="A2316" t="s">
        <v>16305</v>
      </c>
      <c r="B2316" t="s">
        <v>368</v>
      </c>
      <c r="C2316" s="1">
        <v>45262.054279398151</v>
      </c>
      <c r="D2316" s="1">
        <v>45272</v>
      </c>
      <c r="E2316" t="s">
        <v>132</v>
      </c>
      <c r="F2316" t="s">
        <v>1961</v>
      </c>
      <c r="G2316" t="str">
        <f>"37-3011.00"</f>
        <v>37-3011.00</v>
      </c>
      <c r="H2316" t="s">
        <v>429</v>
      </c>
      <c r="I2316">
        <v>5</v>
      </c>
      <c r="K2316" s="1">
        <v>45352</v>
      </c>
      <c r="L2316" s="1">
        <v>45627</v>
      </c>
      <c r="O2316" t="s">
        <v>238</v>
      </c>
      <c r="P2316" t="s">
        <v>16306</v>
      </c>
      <c r="R2316" t="s">
        <v>16307</v>
      </c>
      <c r="T2316" t="s">
        <v>16308</v>
      </c>
      <c r="U2316" t="s">
        <v>984</v>
      </c>
      <c r="V2316" s="8" t="str">
        <f>"63049"</f>
        <v>63049</v>
      </c>
      <c r="W2316" t="s">
        <v>118</v>
      </c>
      <c r="Y2316" s="10">
        <v>13142109988</v>
      </c>
      <c r="AA2316">
        <v>56173</v>
      </c>
      <c r="AB2316" t="s">
        <v>1969</v>
      </c>
      <c r="AC2316" t="s">
        <v>2195</v>
      </c>
      <c r="AE2316" t="s">
        <v>654</v>
      </c>
      <c r="AF2316" t="s">
        <v>16307</v>
      </c>
      <c r="AH2316" t="s">
        <v>16308</v>
      </c>
      <c r="AI2316" t="s">
        <v>984</v>
      </c>
      <c r="AJ2316" s="8" t="str">
        <f>"63049"</f>
        <v>63049</v>
      </c>
      <c r="AK2316" t="s">
        <v>118</v>
      </c>
      <c r="AM2316" s="10">
        <v>13142109988</v>
      </c>
      <c r="AO2316" t="s">
        <v>132</v>
      </c>
      <c r="AP2316" t="s">
        <v>248</v>
      </c>
      <c r="AQ2316" t="s">
        <v>354</v>
      </c>
      <c r="AR2316" t="s">
        <v>355</v>
      </c>
      <c r="AT2316" t="s">
        <v>356</v>
      </c>
      <c r="AV2316" t="s">
        <v>357</v>
      </c>
      <c r="AW2316" t="s">
        <v>358</v>
      </c>
      <c r="AX2316" s="8" t="str">
        <f>"11590"</f>
        <v>11590</v>
      </c>
      <c r="AY2316" t="s">
        <v>118</v>
      </c>
      <c r="BA2316" s="10">
        <v>15163307168</v>
      </c>
      <c r="BC2316" t="s">
        <v>359</v>
      </c>
      <c r="BD2316" t="s">
        <v>360</v>
      </c>
      <c r="BG2316" t="s">
        <v>984</v>
      </c>
      <c r="BH2316" s="1">
        <v>45242.791666666664</v>
      </c>
      <c r="BI2316">
        <v>40</v>
      </c>
      <c r="BJ2316">
        <v>0</v>
      </c>
      <c r="BK2316">
        <v>8</v>
      </c>
      <c r="BL2316">
        <v>8</v>
      </c>
      <c r="BM2316">
        <v>8</v>
      </c>
      <c r="BN2316">
        <v>8</v>
      </c>
      <c r="BO2316">
        <v>8</v>
      </c>
      <c r="BP2316">
        <v>0</v>
      </c>
      <c r="BQ2316" t="str">
        <f>"8:00 AM"</f>
        <v>8:00 AM</v>
      </c>
      <c r="BR2316" t="str">
        <f>"5:00 PM"</f>
        <v>5:00 PM</v>
      </c>
      <c r="BS2316" t="s">
        <v>131</v>
      </c>
      <c r="BT2316">
        <v>0</v>
      </c>
      <c r="BU2316">
        <v>0</v>
      </c>
      <c r="BV2316" t="s">
        <v>114</v>
      </c>
      <c r="BX2316" t="s">
        <v>1789</v>
      </c>
      <c r="BY2316" t="s">
        <v>16307</v>
      </c>
      <c r="CA2316" t="s">
        <v>16308</v>
      </c>
      <c r="CB2316" t="s">
        <v>984</v>
      </c>
      <c r="CC2316" s="8" t="str">
        <f>"63049"</f>
        <v>63049</v>
      </c>
      <c r="CD2316" t="s">
        <v>1767</v>
      </c>
      <c r="CE2316" t="s">
        <v>1856</v>
      </c>
      <c r="CF2316" s="12">
        <v>17.579999999999998</v>
      </c>
      <c r="CG2316" s="12">
        <v>17.579999999999998</v>
      </c>
      <c r="CH2316" s="12">
        <v>26.37</v>
      </c>
      <c r="CI2316" s="12">
        <v>26.37</v>
      </c>
      <c r="CJ2316" t="s">
        <v>135</v>
      </c>
      <c r="CL2316" t="s">
        <v>16309</v>
      </c>
      <c r="CO2316" t="s">
        <v>132</v>
      </c>
      <c r="CP2316" t="s">
        <v>136</v>
      </c>
      <c r="CQ2316" t="s">
        <v>136</v>
      </c>
      <c r="CR2316" t="s">
        <v>136</v>
      </c>
      <c r="CS2316" t="s">
        <v>114</v>
      </c>
      <c r="CT2316" t="s">
        <v>136</v>
      </c>
      <c r="CU2316" t="s">
        <v>114</v>
      </c>
      <c r="CV2316" t="s">
        <v>1789</v>
      </c>
      <c r="CW2316" s="10" t="str">
        <f>"+13142109988"</f>
        <v>+13142109988</v>
      </c>
      <c r="CX2316" t="s">
        <v>16310</v>
      </c>
      <c r="CY2316" t="s">
        <v>132</v>
      </c>
      <c r="CZ2316" t="s">
        <v>137</v>
      </c>
      <c r="DA2316" t="s">
        <v>114</v>
      </c>
      <c r="DB2316" t="s">
        <v>114</v>
      </c>
      <c r="DC2316" t="s">
        <v>136</v>
      </c>
      <c r="DD2316" t="s">
        <v>114</v>
      </c>
    </row>
    <row r="2317" spans="1:113" ht="15" customHeight="1" x14ac:dyDescent="0.25">
      <c r="A2317" t="s">
        <v>19860</v>
      </c>
      <c r="B2317" t="s">
        <v>368</v>
      </c>
      <c r="C2317" s="1">
        <v>45262.051313310185</v>
      </c>
      <c r="D2317" s="1">
        <v>45272</v>
      </c>
      <c r="E2317" t="s">
        <v>132</v>
      </c>
      <c r="F2317" t="s">
        <v>9391</v>
      </c>
      <c r="G2317" t="str">
        <f>"53-7062.00"</f>
        <v>53-7062.00</v>
      </c>
      <c r="H2317" t="s">
        <v>2078</v>
      </c>
      <c r="I2317">
        <v>2</v>
      </c>
      <c r="K2317" s="1">
        <v>45352</v>
      </c>
      <c r="L2317" s="1">
        <v>45641</v>
      </c>
      <c r="O2317" t="s">
        <v>238</v>
      </c>
      <c r="P2317" t="s">
        <v>19861</v>
      </c>
      <c r="R2317" t="s">
        <v>19862</v>
      </c>
      <c r="T2317" t="s">
        <v>2591</v>
      </c>
      <c r="U2317" t="s">
        <v>358</v>
      </c>
      <c r="V2317" s="8" t="str">
        <f>"11968"</f>
        <v>11968</v>
      </c>
      <c r="W2317" t="s">
        <v>118</v>
      </c>
      <c r="Y2317" s="10">
        <v>16318318359</v>
      </c>
      <c r="AA2317">
        <v>238990</v>
      </c>
      <c r="AB2317" t="s">
        <v>19863</v>
      </c>
      <c r="AC2317" t="s">
        <v>19864</v>
      </c>
      <c r="AE2317" t="s">
        <v>654</v>
      </c>
      <c r="AF2317" t="s">
        <v>19862</v>
      </c>
      <c r="AH2317" t="s">
        <v>2591</v>
      </c>
      <c r="AI2317" t="s">
        <v>358</v>
      </c>
      <c r="AJ2317" s="8" t="str">
        <f>"11968"</f>
        <v>11968</v>
      </c>
      <c r="AK2317" t="s">
        <v>118</v>
      </c>
      <c r="AM2317" s="10">
        <v>16318318359</v>
      </c>
      <c r="AO2317" t="s">
        <v>132</v>
      </c>
      <c r="AP2317" t="s">
        <v>248</v>
      </c>
      <c r="AQ2317" t="s">
        <v>354</v>
      </c>
      <c r="AR2317" t="s">
        <v>355</v>
      </c>
      <c r="AT2317" t="s">
        <v>356</v>
      </c>
      <c r="AV2317" t="s">
        <v>357</v>
      </c>
      <c r="AW2317" t="s">
        <v>358</v>
      </c>
      <c r="AX2317" s="8" t="str">
        <f>"11590"</f>
        <v>11590</v>
      </c>
      <c r="AY2317" t="s">
        <v>118</v>
      </c>
      <c r="BA2317" s="10">
        <v>15163307168</v>
      </c>
      <c r="BC2317" t="s">
        <v>359</v>
      </c>
      <c r="BD2317" t="s">
        <v>360</v>
      </c>
      <c r="BG2317" t="s">
        <v>358</v>
      </c>
      <c r="BH2317" s="1">
        <v>45236.791666666664</v>
      </c>
      <c r="BI2317">
        <v>40</v>
      </c>
      <c r="BJ2317">
        <v>0</v>
      </c>
      <c r="BK2317">
        <v>8</v>
      </c>
      <c r="BL2317">
        <v>8</v>
      </c>
      <c r="BM2317">
        <v>8</v>
      </c>
      <c r="BN2317">
        <v>8</v>
      </c>
      <c r="BO2317">
        <v>8</v>
      </c>
      <c r="BP2317">
        <v>0</v>
      </c>
      <c r="BQ2317" t="str">
        <f>"8:00 AM"</f>
        <v>8:00 AM</v>
      </c>
      <c r="BR2317" t="str">
        <f>"5:00 PM"</f>
        <v>5:00 PM</v>
      </c>
      <c r="BS2317" t="s">
        <v>131</v>
      </c>
      <c r="BT2317">
        <v>0</v>
      </c>
      <c r="BU2317">
        <v>1</v>
      </c>
      <c r="BV2317" t="s">
        <v>114</v>
      </c>
      <c r="BX2317" t="s">
        <v>13521</v>
      </c>
      <c r="BY2317" t="s">
        <v>19862</v>
      </c>
      <c r="CA2317" t="s">
        <v>2591</v>
      </c>
      <c r="CB2317" t="s">
        <v>358</v>
      </c>
      <c r="CC2317" s="8" t="str">
        <f>"11968"</f>
        <v>11968</v>
      </c>
      <c r="CD2317" t="s">
        <v>1752</v>
      </c>
      <c r="CE2317" t="s">
        <v>1418</v>
      </c>
      <c r="CF2317" s="12">
        <v>19.399999999999999</v>
      </c>
      <c r="CG2317" s="12">
        <v>19.399999999999999</v>
      </c>
      <c r="CH2317" s="12">
        <v>29.1</v>
      </c>
      <c r="CI2317" s="12">
        <v>29.1</v>
      </c>
      <c r="CJ2317" t="s">
        <v>135</v>
      </c>
      <c r="CK2317" t="s">
        <v>132</v>
      </c>
      <c r="CL2317" t="s">
        <v>19865</v>
      </c>
      <c r="CO2317" t="s">
        <v>132</v>
      </c>
      <c r="CP2317" t="s">
        <v>136</v>
      </c>
      <c r="CQ2317" t="s">
        <v>136</v>
      </c>
      <c r="CR2317" t="s">
        <v>136</v>
      </c>
      <c r="CS2317" t="s">
        <v>114</v>
      </c>
      <c r="CT2317" t="s">
        <v>136</v>
      </c>
      <c r="CU2317" t="s">
        <v>114</v>
      </c>
      <c r="CV2317" t="s">
        <v>1480</v>
      </c>
      <c r="CW2317" s="10" t="str">
        <f>"+16318318359"</f>
        <v>+16318318359</v>
      </c>
      <c r="CX2317" t="s">
        <v>19866</v>
      </c>
      <c r="CY2317" t="s">
        <v>132</v>
      </c>
      <c r="CZ2317" t="s">
        <v>137</v>
      </c>
      <c r="DA2317" t="s">
        <v>114</v>
      </c>
      <c r="DB2317" t="s">
        <v>114</v>
      </c>
      <c r="DC2317" t="s">
        <v>136</v>
      </c>
      <c r="DD2317" t="s">
        <v>114</v>
      </c>
    </row>
    <row r="2318" spans="1:113" ht="15" customHeight="1" x14ac:dyDescent="0.25">
      <c r="A2318" t="s">
        <v>16491</v>
      </c>
      <c r="B2318" t="s">
        <v>368</v>
      </c>
      <c r="C2318" s="1">
        <v>45262.045077083334</v>
      </c>
      <c r="D2318" s="1">
        <v>45272</v>
      </c>
      <c r="E2318" t="s">
        <v>132</v>
      </c>
      <c r="F2318" t="s">
        <v>1961</v>
      </c>
      <c r="G2318" t="str">
        <f>"37-3011.00"</f>
        <v>37-3011.00</v>
      </c>
      <c r="H2318" t="s">
        <v>429</v>
      </c>
      <c r="I2318">
        <v>8</v>
      </c>
      <c r="K2318" s="1">
        <v>45352</v>
      </c>
      <c r="L2318" s="1">
        <v>45633</v>
      </c>
      <c r="O2318" t="s">
        <v>238</v>
      </c>
      <c r="P2318" t="s">
        <v>16492</v>
      </c>
      <c r="R2318" t="s">
        <v>16493</v>
      </c>
      <c r="T2318" t="s">
        <v>7483</v>
      </c>
      <c r="U2318" t="s">
        <v>358</v>
      </c>
      <c r="V2318" s="8" t="str">
        <f>"11965"</f>
        <v>11965</v>
      </c>
      <c r="W2318" t="s">
        <v>118</v>
      </c>
      <c r="Y2318" s="10">
        <v>16317490101</v>
      </c>
      <c r="AA2318">
        <v>541320</v>
      </c>
      <c r="AB2318" t="s">
        <v>16494</v>
      </c>
      <c r="AC2318" t="s">
        <v>7801</v>
      </c>
      <c r="AE2318" t="s">
        <v>654</v>
      </c>
      <c r="AF2318" t="s">
        <v>16495</v>
      </c>
      <c r="AH2318" t="s">
        <v>16496</v>
      </c>
      <c r="AI2318" t="s">
        <v>358</v>
      </c>
      <c r="AJ2318" s="8" t="str">
        <f>"11965"</f>
        <v>11965</v>
      </c>
      <c r="AK2318" t="s">
        <v>118</v>
      </c>
      <c r="AM2318" s="10">
        <v>16317490101</v>
      </c>
      <c r="AO2318" t="s">
        <v>132</v>
      </c>
      <c r="AP2318" t="s">
        <v>248</v>
      </c>
      <c r="AQ2318" t="s">
        <v>354</v>
      </c>
      <c r="AR2318" t="s">
        <v>355</v>
      </c>
      <c r="AT2318" t="s">
        <v>356</v>
      </c>
      <c r="AV2318" t="s">
        <v>357</v>
      </c>
      <c r="AW2318" t="s">
        <v>358</v>
      </c>
      <c r="AX2318" s="8" t="str">
        <f>"11590"</f>
        <v>11590</v>
      </c>
      <c r="AY2318" t="s">
        <v>118</v>
      </c>
      <c r="BA2318" s="10">
        <v>15163307168</v>
      </c>
      <c r="BC2318" t="s">
        <v>359</v>
      </c>
      <c r="BD2318" t="s">
        <v>360</v>
      </c>
      <c r="BG2318" t="s">
        <v>358</v>
      </c>
      <c r="BH2318" s="1">
        <v>45228.833333333336</v>
      </c>
      <c r="BI2318">
        <v>40</v>
      </c>
      <c r="BJ2318">
        <v>0</v>
      </c>
      <c r="BK2318">
        <v>8</v>
      </c>
      <c r="BL2318">
        <v>8</v>
      </c>
      <c r="BM2318">
        <v>8</v>
      </c>
      <c r="BN2318">
        <v>8</v>
      </c>
      <c r="BO2318">
        <v>8</v>
      </c>
      <c r="BP2318">
        <v>0</v>
      </c>
      <c r="BQ2318" t="str">
        <f>"8:00 AM"</f>
        <v>8:00 AM</v>
      </c>
      <c r="BR2318" t="str">
        <f>"5:00 PM"</f>
        <v>5:00 PM</v>
      </c>
      <c r="BS2318" t="s">
        <v>131</v>
      </c>
      <c r="BT2318">
        <v>0</v>
      </c>
      <c r="BU2318">
        <v>0</v>
      </c>
      <c r="BV2318" t="s">
        <v>114</v>
      </c>
      <c r="BX2318" t="s">
        <v>132</v>
      </c>
      <c r="BY2318" t="s">
        <v>16497</v>
      </c>
      <c r="CA2318" t="s">
        <v>7483</v>
      </c>
      <c r="CB2318" t="s">
        <v>358</v>
      </c>
      <c r="CC2318" s="8" t="str">
        <f>"11965"</f>
        <v>11965</v>
      </c>
      <c r="CD2318" t="s">
        <v>1752</v>
      </c>
      <c r="CE2318" t="s">
        <v>1418</v>
      </c>
      <c r="CF2318" s="12">
        <v>20.81</v>
      </c>
      <c r="CG2318" s="12">
        <v>20.81</v>
      </c>
      <c r="CH2318" s="12">
        <v>31.22</v>
      </c>
      <c r="CI2318" s="12">
        <v>31.22</v>
      </c>
      <c r="CJ2318" t="s">
        <v>135</v>
      </c>
      <c r="CK2318" t="s">
        <v>132</v>
      </c>
      <c r="CL2318" t="s">
        <v>16498</v>
      </c>
      <c r="CO2318" t="s">
        <v>132</v>
      </c>
      <c r="CP2318" t="s">
        <v>136</v>
      </c>
      <c r="CQ2318" t="s">
        <v>136</v>
      </c>
      <c r="CR2318" t="s">
        <v>136</v>
      </c>
      <c r="CS2318" t="s">
        <v>114</v>
      </c>
      <c r="CT2318" t="s">
        <v>136</v>
      </c>
      <c r="CU2318" t="s">
        <v>114</v>
      </c>
      <c r="CV2318" t="s">
        <v>1480</v>
      </c>
      <c r="CW2318" s="10" t="str">
        <f>"+16317490101"</f>
        <v>+16317490101</v>
      </c>
      <c r="CX2318" t="s">
        <v>16499</v>
      </c>
      <c r="CY2318" t="s">
        <v>132</v>
      </c>
      <c r="CZ2318" t="s">
        <v>137</v>
      </c>
      <c r="DA2318" t="s">
        <v>114</v>
      </c>
      <c r="DB2318" t="s">
        <v>114</v>
      </c>
      <c r="DC2318" t="s">
        <v>136</v>
      </c>
      <c r="DD2318" t="s">
        <v>114</v>
      </c>
    </row>
    <row r="2319" spans="1:113" ht="15" customHeight="1" x14ac:dyDescent="0.25">
      <c r="A2319" t="s">
        <v>24149</v>
      </c>
      <c r="B2319" t="s">
        <v>368</v>
      </c>
      <c r="C2319" s="1">
        <v>45262.038841666668</v>
      </c>
      <c r="D2319" s="1">
        <v>45272</v>
      </c>
      <c r="E2319" t="s">
        <v>132</v>
      </c>
      <c r="F2319" t="s">
        <v>5039</v>
      </c>
      <c r="G2319" t="str">
        <f>"47-2022.00"</f>
        <v>47-2022.00</v>
      </c>
      <c r="H2319" t="s">
        <v>311</v>
      </c>
      <c r="I2319">
        <v>4</v>
      </c>
      <c r="K2319" s="1">
        <v>45352</v>
      </c>
      <c r="L2319" s="1">
        <v>45641</v>
      </c>
      <c r="O2319" t="s">
        <v>238</v>
      </c>
      <c r="P2319" t="s">
        <v>12288</v>
      </c>
      <c r="Q2319" t="s">
        <v>12289</v>
      </c>
      <c r="R2319" t="s">
        <v>12290</v>
      </c>
      <c r="T2319" t="s">
        <v>12291</v>
      </c>
      <c r="U2319" t="s">
        <v>358</v>
      </c>
      <c r="V2319" s="8" t="str">
        <f>"11507"</f>
        <v>11507</v>
      </c>
      <c r="W2319" t="s">
        <v>118</v>
      </c>
      <c r="Y2319" s="10">
        <v>15163387804</v>
      </c>
      <c r="AA2319">
        <v>56173</v>
      </c>
      <c r="AB2319" t="s">
        <v>12292</v>
      </c>
      <c r="AC2319" t="s">
        <v>1791</v>
      </c>
      <c r="AE2319" t="s">
        <v>438</v>
      </c>
      <c r="AF2319" t="s">
        <v>12290</v>
      </c>
      <c r="AH2319" t="s">
        <v>12291</v>
      </c>
      <c r="AI2319" t="s">
        <v>358</v>
      </c>
      <c r="AJ2319" s="8" t="str">
        <f>"11507"</f>
        <v>11507</v>
      </c>
      <c r="AK2319" t="s">
        <v>118</v>
      </c>
      <c r="AM2319" s="10">
        <v>15163387804</v>
      </c>
      <c r="AO2319" t="s">
        <v>132</v>
      </c>
      <c r="AP2319" t="s">
        <v>248</v>
      </c>
      <c r="AQ2319" t="s">
        <v>354</v>
      </c>
      <c r="AR2319" t="s">
        <v>355</v>
      </c>
      <c r="AT2319" t="s">
        <v>356</v>
      </c>
      <c r="AV2319" t="s">
        <v>357</v>
      </c>
      <c r="AW2319" t="s">
        <v>358</v>
      </c>
      <c r="AX2319" s="8" t="str">
        <f>"11590"</f>
        <v>11590</v>
      </c>
      <c r="AY2319" t="s">
        <v>118</v>
      </c>
      <c r="BA2319" s="10">
        <v>15163307168</v>
      </c>
      <c r="BC2319" t="s">
        <v>359</v>
      </c>
      <c r="BD2319" t="s">
        <v>360</v>
      </c>
      <c r="BG2319" t="s">
        <v>358</v>
      </c>
      <c r="BH2319" s="1">
        <v>45221.833333333336</v>
      </c>
      <c r="BI2319">
        <v>40</v>
      </c>
      <c r="BJ2319">
        <v>0</v>
      </c>
      <c r="BK2319">
        <v>8</v>
      </c>
      <c r="BL2319">
        <v>8</v>
      </c>
      <c r="BM2319">
        <v>8</v>
      </c>
      <c r="BN2319">
        <v>8</v>
      </c>
      <c r="BO2319">
        <v>8</v>
      </c>
      <c r="BP2319">
        <v>0</v>
      </c>
      <c r="BQ2319" t="str">
        <f>"8:00 AM"</f>
        <v>8:00 AM</v>
      </c>
      <c r="BR2319" t="str">
        <f>"5:00 PM"</f>
        <v>5:00 PM</v>
      </c>
      <c r="BS2319" t="s">
        <v>131</v>
      </c>
      <c r="BT2319">
        <v>0</v>
      </c>
      <c r="BU2319">
        <v>0</v>
      </c>
      <c r="BV2319" t="s">
        <v>114</v>
      </c>
      <c r="BX2319" t="s">
        <v>132</v>
      </c>
      <c r="BY2319" t="s">
        <v>12290</v>
      </c>
      <c r="CA2319" t="s">
        <v>12291</v>
      </c>
      <c r="CB2319" t="s">
        <v>358</v>
      </c>
      <c r="CC2319" s="8" t="str">
        <f>"11507"</f>
        <v>11507</v>
      </c>
      <c r="CD2319" t="s">
        <v>2352</v>
      </c>
      <c r="CE2319" t="s">
        <v>1418</v>
      </c>
      <c r="CF2319" s="12">
        <v>38.76</v>
      </c>
      <c r="CG2319" s="12">
        <v>38.76</v>
      </c>
      <c r="CH2319" s="12">
        <v>58.14</v>
      </c>
      <c r="CI2319" s="12">
        <v>58.14</v>
      </c>
      <c r="CJ2319" t="s">
        <v>135</v>
      </c>
      <c r="CK2319" t="s">
        <v>132</v>
      </c>
      <c r="CL2319" t="s">
        <v>24150</v>
      </c>
      <c r="CO2319" t="s">
        <v>132</v>
      </c>
      <c r="CP2319" t="s">
        <v>136</v>
      </c>
      <c r="CQ2319" t="s">
        <v>136</v>
      </c>
      <c r="CR2319" t="s">
        <v>136</v>
      </c>
      <c r="CS2319" t="s">
        <v>114</v>
      </c>
      <c r="CT2319" t="s">
        <v>136</v>
      </c>
      <c r="CU2319" t="s">
        <v>114</v>
      </c>
      <c r="CV2319" t="s">
        <v>1480</v>
      </c>
      <c r="CW2319" s="10" t="str">
        <f>"+15163387804"</f>
        <v>+15163387804</v>
      </c>
      <c r="CX2319" t="s">
        <v>12294</v>
      </c>
      <c r="CY2319" t="s">
        <v>132</v>
      </c>
      <c r="CZ2319" t="s">
        <v>137</v>
      </c>
      <c r="DA2319" t="s">
        <v>114</v>
      </c>
      <c r="DB2319" t="s">
        <v>114</v>
      </c>
      <c r="DC2319" t="s">
        <v>136</v>
      </c>
      <c r="DD2319" t="s">
        <v>114</v>
      </c>
    </row>
    <row r="2320" spans="1:113" ht="15" customHeight="1" x14ac:dyDescent="0.25">
      <c r="A2320" t="s">
        <v>2587</v>
      </c>
      <c r="B2320" t="s">
        <v>368</v>
      </c>
      <c r="C2320" s="1">
        <v>45262.03389259259</v>
      </c>
      <c r="D2320" s="1">
        <v>45272</v>
      </c>
      <c r="E2320" t="s">
        <v>132</v>
      </c>
      <c r="F2320" t="s">
        <v>2588</v>
      </c>
      <c r="G2320" t="str">
        <f>"37-2011.00"</f>
        <v>37-2011.00</v>
      </c>
      <c r="H2320" t="s">
        <v>1089</v>
      </c>
      <c r="I2320">
        <v>7</v>
      </c>
      <c r="K2320" s="1">
        <v>45352</v>
      </c>
      <c r="L2320" s="1">
        <v>45595</v>
      </c>
      <c r="O2320" t="s">
        <v>238</v>
      </c>
      <c r="P2320" t="s">
        <v>2589</v>
      </c>
      <c r="R2320" t="s">
        <v>2590</v>
      </c>
      <c r="T2320" t="s">
        <v>2591</v>
      </c>
      <c r="U2320" t="s">
        <v>358</v>
      </c>
      <c r="V2320" s="8" t="str">
        <f>"11968"</f>
        <v>11968</v>
      </c>
      <c r="W2320" t="s">
        <v>118</v>
      </c>
      <c r="Y2320" s="10">
        <v>16312830820</v>
      </c>
      <c r="AA2320">
        <v>561790</v>
      </c>
      <c r="AB2320" t="s">
        <v>2592</v>
      </c>
      <c r="AC2320" t="s">
        <v>1555</v>
      </c>
      <c r="AE2320" t="s">
        <v>654</v>
      </c>
      <c r="AF2320" t="s">
        <v>2590</v>
      </c>
      <c r="AH2320" t="s">
        <v>2591</v>
      </c>
      <c r="AI2320" t="s">
        <v>358</v>
      </c>
      <c r="AJ2320" s="8" t="str">
        <f>"11968"</f>
        <v>11968</v>
      </c>
      <c r="AK2320" t="s">
        <v>118</v>
      </c>
      <c r="AM2320" s="10">
        <v>16312830820</v>
      </c>
      <c r="AO2320" t="s">
        <v>132</v>
      </c>
      <c r="AP2320" t="s">
        <v>248</v>
      </c>
      <c r="AQ2320" t="s">
        <v>354</v>
      </c>
      <c r="AR2320" t="s">
        <v>355</v>
      </c>
      <c r="AT2320" t="s">
        <v>356</v>
      </c>
      <c r="AV2320" t="s">
        <v>357</v>
      </c>
      <c r="AW2320" t="s">
        <v>358</v>
      </c>
      <c r="AX2320" s="8" t="str">
        <f>"11590"</f>
        <v>11590</v>
      </c>
      <c r="AY2320" t="s">
        <v>118</v>
      </c>
      <c r="BA2320" s="10">
        <v>15163307168</v>
      </c>
      <c r="BC2320" t="s">
        <v>359</v>
      </c>
      <c r="BD2320" t="s">
        <v>360</v>
      </c>
      <c r="BG2320" t="s">
        <v>358</v>
      </c>
      <c r="BH2320" s="1">
        <v>45217.833333333336</v>
      </c>
      <c r="BI2320">
        <v>40</v>
      </c>
      <c r="BJ2320">
        <v>0</v>
      </c>
      <c r="BK2320">
        <v>8</v>
      </c>
      <c r="BL2320">
        <v>8</v>
      </c>
      <c r="BM2320">
        <v>8</v>
      </c>
      <c r="BN2320">
        <v>8</v>
      </c>
      <c r="BO2320">
        <v>8</v>
      </c>
      <c r="BP2320">
        <v>0</v>
      </c>
      <c r="BQ2320" t="str">
        <f>"8:00 AM"</f>
        <v>8:00 AM</v>
      </c>
      <c r="BR2320" t="str">
        <f>"5:00 PM"</f>
        <v>5:00 PM</v>
      </c>
      <c r="BS2320" t="s">
        <v>131</v>
      </c>
      <c r="BT2320">
        <v>0</v>
      </c>
      <c r="BU2320">
        <v>0</v>
      </c>
      <c r="BV2320" t="s">
        <v>114</v>
      </c>
      <c r="BX2320" t="s">
        <v>132</v>
      </c>
      <c r="BY2320" t="s">
        <v>2593</v>
      </c>
      <c r="CA2320" t="s">
        <v>1744</v>
      </c>
      <c r="CB2320" t="s">
        <v>358</v>
      </c>
      <c r="CC2320" s="8" t="str">
        <f>"11968"</f>
        <v>11968</v>
      </c>
      <c r="CD2320" t="s">
        <v>1752</v>
      </c>
      <c r="CE2320" t="s">
        <v>1418</v>
      </c>
      <c r="CF2320" s="12">
        <v>20.14</v>
      </c>
      <c r="CG2320" s="12">
        <v>20.14</v>
      </c>
      <c r="CH2320" s="12">
        <v>30.21</v>
      </c>
      <c r="CI2320" s="12">
        <v>30.21</v>
      </c>
      <c r="CJ2320" t="s">
        <v>135</v>
      </c>
      <c r="CK2320" t="s">
        <v>132</v>
      </c>
      <c r="CL2320" t="s">
        <v>2594</v>
      </c>
      <c r="CO2320" t="s">
        <v>132</v>
      </c>
      <c r="CP2320" t="s">
        <v>136</v>
      </c>
      <c r="CQ2320" t="s">
        <v>136</v>
      </c>
      <c r="CR2320" t="s">
        <v>136</v>
      </c>
      <c r="CS2320" t="s">
        <v>114</v>
      </c>
      <c r="CT2320" t="s">
        <v>136</v>
      </c>
      <c r="CU2320" t="s">
        <v>114</v>
      </c>
      <c r="CV2320" t="s">
        <v>1480</v>
      </c>
      <c r="CW2320" s="10" t="str">
        <f>"+16312830820"</f>
        <v>+16312830820</v>
      </c>
      <c r="CX2320" t="s">
        <v>2595</v>
      </c>
      <c r="CY2320" t="s">
        <v>132</v>
      </c>
      <c r="CZ2320" t="s">
        <v>137</v>
      </c>
      <c r="DA2320" t="s">
        <v>114</v>
      </c>
      <c r="DB2320" t="s">
        <v>114</v>
      </c>
      <c r="DC2320" t="s">
        <v>136</v>
      </c>
      <c r="DD2320" t="s">
        <v>114</v>
      </c>
    </row>
    <row r="2321" spans="1:113" ht="15" customHeight="1" x14ac:dyDescent="0.25">
      <c r="A2321" t="s">
        <v>24181</v>
      </c>
      <c r="B2321" t="s">
        <v>368</v>
      </c>
      <c r="C2321" s="1">
        <v>45262.022038773146</v>
      </c>
      <c r="D2321" s="1">
        <v>45272</v>
      </c>
      <c r="E2321" t="s">
        <v>132</v>
      </c>
      <c r="F2321" t="s">
        <v>2193</v>
      </c>
      <c r="G2321" t="str">
        <f>"37-3011.00"</f>
        <v>37-3011.00</v>
      </c>
      <c r="H2321" t="s">
        <v>429</v>
      </c>
      <c r="I2321">
        <v>4</v>
      </c>
      <c r="K2321" s="1">
        <v>45352</v>
      </c>
      <c r="L2321" s="1">
        <v>45646</v>
      </c>
      <c r="O2321" t="s">
        <v>238</v>
      </c>
      <c r="P2321" t="s">
        <v>9779</v>
      </c>
      <c r="Q2321" t="s">
        <v>9780</v>
      </c>
      <c r="R2321" t="s">
        <v>9781</v>
      </c>
      <c r="T2321" t="s">
        <v>9782</v>
      </c>
      <c r="U2321" t="s">
        <v>358</v>
      </c>
      <c r="V2321" s="8" t="str">
        <f>"11704"</f>
        <v>11704</v>
      </c>
      <c r="W2321" t="s">
        <v>118</v>
      </c>
      <c r="Y2321" s="10">
        <v>15164200240</v>
      </c>
      <c r="AA2321">
        <v>238220</v>
      </c>
      <c r="AB2321" t="s">
        <v>9783</v>
      </c>
      <c r="AC2321" t="s">
        <v>1474</v>
      </c>
      <c r="AE2321" t="s">
        <v>654</v>
      </c>
      <c r="AF2321" t="s">
        <v>9784</v>
      </c>
      <c r="AH2321" t="s">
        <v>9785</v>
      </c>
      <c r="AI2321" t="s">
        <v>358</v>
      </c>
      <c r="AJ2321" s="8" t="str">
        <f>"11704"</f>
        <v>11704</v>
      </c>
      <c r="AK2321" t="s">
        <v>118</v>
      </c>
      <c r="AM2321" s="10">
        <v>15164200240</v>
      </c>
      <c r="AO2321" t="s">
        <v>132</v>
      </c>
      <c r="AP2321" t="s">
        <v>248</v>
      </c>
      <c r="AQ2321" t="s">
        <v>354</v>
      </c>
      <c r="AR2321" t="s">
        <v>355</v>
      </c>
      <c r="AT2321" t="s">
        <v>356</v>
      </c>
      <c r="AV2321" t="s">
        <v>357</v>
      </c>
      <c r="AW2321" t="s">
        <v>358</v>
      </c>
      <c r="AX2321" s="8" t="str">
        <f>"11590"</f>
        <v>11590</v>
      </c>
      <c r="AY2321" t="s">
        <v>118</v>
      </c>
      <c r="BA2321" s="10">
        <v>15163307168</v>
      </c>
      <c r="BC2321" t="s">
        <v>359</v>
      </c>
      <c r="BD2321" t="s">
        <v>360</v>
      </c>
      <c r="BG2321" t="s">
        <v>358</v>
      </c>
      <c r="BH2321" s="1">
        <v>45224.833333333336</v>
      </c>
      <c r="BI2321">
        <v>40</v>
      </c>
      <c r="BJ2321">
        <v>0</v>
      </c>
      <c r="BK2321">
        <v>8</v>
      </c>
      <c r="BL2321">
        <v>8</v>
      </c>
      <c r="BM2321">
        <v>8</v>
      </c>
      <c r="BN2321">
        <v>8</v>
      </c>
      <c r="BO2321">
        <v>8</v>
      </c>
      <c r="BP2321">
        <v>0</v>
      </c>
      <c r="BQ2321" t="str">
        <f>"8:00 AM"</f>
        <v>8:00 AM</v>
      </c>
      <c r="BR2321" t="str">
        <f>"5:00 PM"</f>
        <v>5:00 PM</v>
      </c>
      <c r="BS2321" t="s">
        <v>131</v>
      </c>
      <c r="BT2321">
        <v>0</v>
      </c>
      <c r="BU2321">
        <v>1</v>
      </c>
      <c r="BV2321" t="s">
        <v>114</v>
      </c>
      <c r="BX2321" t="s">
        <v>9786</v>
      </c>
      <c r="BY2321" t="s">
        <v>9784</v>
      </c>
      <c r="CA2321" t="s">
        <v>9785</v>
      </c>
      <c r="CB2321" t="s">
        <v>358</v>
      </c>
      <c r="CC2321" s="8" t="str">
        <f>"11704"</f>
        <v>11704</v>
      </c>
      <c r="CD2321" t="s">
        <v>1752</v>
      </c>
      <c r="CE2321" t="s">
        <v>1418</v>
      </c>
      <c r="CF2321" s="12">
        <v>20.81</v>
      </c>
      <c r="CG2321" s="12">
        <v>20.81</v>
      </c>
      <c r="CH2321" s="12">
        <v>31.22</v>
      </c>
      <c r="CI2321" s="12">
        <v>31.22</v>
      </c>
      <c r="CJ2321" t="s">
        <v>135</v>
      </c>
      <c r="CK2321" t="s">
        <v>132</v>
      </c>
      <c r="CL2321" t="s">
        <v>9787</v>
      </c>
      <c r="CO2321" t="s">
        <v>132</v>
      </c>
      <c r="CP2321" t="s">
        <v>136</v>
      </c>
      <c r="CQ2321" t="s">
        <v>136</v>
      </c>
      <c r="CR2321" t="s">
        <v>136</v>
      </c>
      <c r="CS2321" t="s">
        <v>114</v>
      </c>
      <c r="CT2321" t="s">
        <v>136</v>
      </c>
      <c r="CU2321" t="s">
        <v>114</v>
      </c>
      <c r="CV2321" t="s">
        <v>1480</v>
      </c>
      <c r="CW2321" s="10" t="str">
        <f>"+15164200240"</f>
        <v>+15164200240</v>
      </c>
      <c r="CX2321" t="s">
        <v>9788</v>
      </c>
      <c r="CY2321" t="s">
        <v>132</v>
      </c>
      <c r="CZ2321" t="s">
        <v>137</v>
      </c>
      <c r="DA2321" t="s">
        <v>114</v>
      </c>
      <c r="DB2321" t="s">
        <v>114</v>
      </c>
      <c r="DC2321" t="s">
        <v>136</v>
      </c>
      <c r="DD2321" t="s">
        <v>114</v>
      </c>
    </row>
    <row r="2322" spans="1:113" ht="15" customHeight="1" x14ac:dyDescent="0.25">
      <c r="A2322" t="s">
        <v>5038</v>
      </c>
      <c r="B2322" t="s">
        <v>368</v>
      </c>
      <c r="C2322" s="1">
        <v>45262.020681134258</v>
      </c>
      <c r="D2322" s="1">
        <v>45272</v>
      </c>
      <c r="E2322" t="s">
        <v>132</v>
      </c>
      <c r="F2322" t="s">
        <v>5039</v>
      </c>
      <c r="G2322" t="str">
        <f>"47-2022.00"</f>
        <v>47-2022.00</v>
      </c>
      <c r="H2322" t="s">
        <v>311</v>
      </c>
      <c r="I2322">
        <v>18</v>
      </c>
      <c r="K2322" s="1">
        <v>45352</v>
      </c>
      <c r="L2322" s="1">
        <v>45641</v>
      </c>
      <c r="O2322" t="s">
        <v>238</v>
      </c>
      <c r="P2322" t="s">
        <v>5040</v>
      </c>
      <c r="R2322" t="s">
        <v>5041</v>
      </c>
      <c r="T2322" t="s">
        <v>5042</v>
      </c>
      <c r="U2322" t="s">
        <v>358</v>
      </c>
      <c r="V2322" s="8" t="str">
        <f>"11747"</f>
        <v>11747</v>
      </c>
      <c r="W2322" t="s">
        <v>118</v>
      </c>
      <c r="Y2322" s="10">
        <v>16314238362</v>
      </c>
      <c r="AA2322">
        <v>56173</v>
      </c>
      <c r="AB2322" t="s">
        <v>5043</v>
      </c>
      <c r="AC2322" t="s">
        <v>5044</v>
      </c>
      <c r="AE2322" t="s">
        <v>654</v>
      </c>
      <c r="AF2322" t="s">
        <v>5041</v>
      </c>
      <c r="AH2322" t="s">
        <v>5042</v>
      </c>
      <c r="AI2322" t="s">
        <v>358</v>
      </c>
      <c r="AJ2322" s="8" t="str">
        <f>"11747"</f>
        <v>11747</v>
      </c>
      <c r="AK2322" t="s">
        <v>118</v>
      </c>
      <c r="AM2322" s="10">
        <v>16314238362</v>
      </c>
      <c r="AO2322" t="s">
        <v>132</v>
      </c>
      <c r="AP2322" t="s">
        <v>248</v>
      </c>
      <c r="AQ2322" t="s">
        <v>354</v>
      </c>
      <c r="AR2322" t="s">
        <v>355</v>
      </c>
      <c r="AT2322" t="s">
        <v>356</v>
      </c>
      <c r="AV2322" t="s">
        <v>357</v>
      </c>
      <c r="AW2322" t="s">
        <v>358</v>
      </c>
      <c r="AX2322" s="8" t="str">
        <f>"11590"</f>
        <v>11590</v>
      </c>
      <c r="AY2322" t="s">
        <v>118</v>
      </c>
      <c r="BA2322" s="10">
        <v>15163307168</v>
      </c>
      <c r="BC2322" t="s">
        <v>359</v>
      </c>
      <c r="BD2322" t="s">
        <v>360</v>
      </c>
      <c r="BG2322" t="s">
        <v>358</v>
      </c>
      <c r="BH2322" s="1">
        <v>45204.833333333336</v>
      </c>
      <c r="BI2322">
        <v>40</v>
      </c>
      <c r="BJ2322">
        <v>0</v>
      </c>
      <c r="BK2322">
        <v>8</v>
      </c>
      <c r="BL2322">
        <v>8</v>
      </c>
      <c r="BM2322">
        <v>0</v>
      </c>
      <c r="BN2322">
        <v>8</v>
      </c>
      <c r="BO2322">
        <v>8</v>
      </c>
      <c r="BP2322">
        <v>8</v>
      </c>
      <c r="BQ2322" t="str">
        <f>"8:00 AM"</f>
        <v>8:00 AM</v>
      </c>
      <c r="BR2322" t="str">
        <f>"5:00 PM"</f>
        <v>5:00 PM</v>
      </c>
      <c r="BS2322" t="s">
        <v>131</v>
      </c>
      <c r="BT2322">
        <v>0</v>
      </c>
      <c r="BU2322">
        <v>6</v>
      </c>
      <c r="BV2322" t="s">
        <v>114</v>
      </c>
      <c r="BX2322" t="s">
        <v>5045</v>
      </c>
      <c r="BY2322" t="s">
        <v>5041</v>
      </c>
      <c r="CA2322" t="s">
        <v>5042</v>
      </c>
      <c r="CB2322" t="s">
        <v>358</v>
      </c>
      <c r="CC2322" s="8" t="str">
        <f>"11747"</f>
        <v>11747</v>
      </c>
      <c r="CD2322" t="s">
        <v>1752</v>
      </c>
      <c r="CE2322" t="s">
        <v>1418</v>
      </c>
      <c r="CF2322" s="12">
        <v>38.76</v>
      </c>
      <c r="CG2322" s="12">
        <v>38.76</v>
      </c>
      <c r="CH2322" s="12">
        <v>58.14</v>
      </c>
      <c r="CI2322" s="12">
        <v>58.14</v>
      </c>
      <c r="CJ2322" t="s">
        <v>135</v>
      </c>
      <c r="CK2322" t="s">
        <v>132</v>
      </c>
      <c r="CL2322" t="s">
        <v>5046</v>
      </c>
      <c r="CO2322" t="s">
        <v>132</v>
      </c>
      <c r="CP2322" t="s">
        <v>136</v>
      </c>
      <c r="CQ2322" t="s">
        <v>136</v>
      </c>
      <c r="CR2322" t="s">
        <v>136</v>
      </c>
      <c r="CS2322" t="s">
        <v>114</v>
      </c>
      <c r="CT2322" t="s">
        <v>136</v>
      </c>
      <c r="CU2322" t="s">
        <v>114</v>
      </c>
      <c r="CV2322" t="s">
        <v>1480</v>
      </c>
      <c r="CW2322" s="10" t="str">
        <f>"+16314238362"</f>
        <v>+16314238362</v>
      </c>
      <c r="CX2322" t="s">
        <v>5047</v>
      </c>
      <c r="CY2322" t="s">
        <v>132</v>
      </c>
      <c r="CZ2322" t="s">
        <v>137</v>
      </c>
      <c r="DA2322" t="s">
        <v>114</v>
      </c>
      <c r="DB2322" t="s">
        <v>114</v>
      </c>
      <c r="DC2322" t="s">
        <v>136</v>
      </c>
      <c r="DD2322" t="s">
        <v>114</v>
      </c>
    </row>
    <row r="2323" spans="1:113" ht="15" customHeight="1" x14ac:dyDescent="0.25">
      <c r="A2323" t="s">
        <v>16171</v>
      </c>
      <c r="B2323" t="s">
        <v>368</v>
      </c>
      <c r="C2323" s="1">
        <v>45262.013947685184</v>
      </c>
      <c r="D2323" s="1">
        <v>45272</v>
      </c>
      <c r="E2323" t="s">
        <v>132</v>
      </c>
      <c r="F2323" t="s">
        <v>8395</v>
      </c>
      <c r="G2323" t="str">
        <f>"37-3011.00"</f>
        <v>37-3011.00</v>
      </c>
      <c r="H2323" t="s">
        <v>429</v>
      </c>
      <c r="I2323">
        <v>10</v>
      </c>
      <c r="K2323" s="1">
        <v>45352</v>
      </c>
      <c r="L2323" s="1">
        <v>45627</v>
      </c>
      <c r="O2323" t="s">
        <v>238</v>
      </c>
      <c r="P2323" t="s">
        <v>16172</v>
      </c>
      <c r="R2323" t="s">
        <v>16173</v>
      </c>
      <c r="T2323" t="s">
        <v>16174</v>
      </c>
      <c r="U2323" t="s">
        <v>127</v>
      </c>
      <c r="V2323" s="8" t="str">
        <f>"78657"</f>
        <v>78657</v>
      </c>
      <c r="W2323" t="s">
        <v>118</v>
      </c>
      <c r="Y2323" s="10">
        <v>18305987800</v>
      </c>
      <c r="AA2323">
        <v>713910</v>
      </c>
      <c r="AB2323" t="s">
        <v>16175</v>
      </c>
      <c r="AC2323" t="s">
        <v>16176</v>
      </c>
      <c r="AE2323" t="s">
        <v>1119</v>
      </c>
      <c r="AF2323" t="s">
        <v>16173</v>
      </c>
      <c r="AH2323" t="s">
        <v>16174</v>
      </c>
      <c r="AI2323" t="s">
        <v>127</v>
      </c>
      <c r="AJ2323" s="8" t="str">
        <f>"78657"</f>
        <v>78657</v>
      </c>
      <c r="AK2323" t="s">
        <v>118</v>
      </c>
      <c r="AM2323" s="10">
        <v>18305987800</v>
      </c>
      <c r="AO2323" t="s">
        <v>132</v>
      </c>
      <c r="AP2323" t="s">
        <v>248</v>
      </c>
      <c r="AQ2323" t="s">
        <v>354</v>
      </c>
      <c r="AR2323" t="s">
        <v>355</v>
      </c>
      <c r="AT2323" t="s">
        <v>356</v>
      </c>
      <c r="AV2323" t="s">
        <v>357</v>
      </c>
      <c r="AW2323" t="s">
        <v>358</v>
      </c>
      <c r="AX2323" s="8" t="str">
        <f>"11590"</f>
        <v>11590</v>
      </c>
      <c r="AY2323" t="s">
        <v>118</v>
      </c>
      <c r="BA2323" s="10">
        <v>15163307168</v>
      </c>
      <c r="BC2323" t="s">
        <v>359</v>
      </c>
      <c r="BD2323" t="s">
        <v>360</v>
      </c>
      <c r="BG2323" t="s">
        <v>127</v>
      </c>
      <c r="BH2323" s="1">
        <v>45244.791666666664</v>
      </c>
      <c r="BI2323">
        <v>40</v>
      </c>
      <c r="BJ2323">
        <v>0</v>
      </c>
      <c r="BK2323">
        <v>8</v>
      </c>
      <c r="BL2323">
        <v>0</v>
      </c>
      <c r="BM2323">
        <v>8</v>
      </c>
      <c r="BN2323">
        <v>8</v>
      </c>
      <c r="BO2323">
        <v>8</v>
      </c>
      <c r="BP2323">
        <v>8</v>
      </c>
      <c r="BQ2323" t="str">
        <f>"6:00 AM"</f>
        <v>6:00 AM</v>
      </c>
      <c r="BR2323" t="str">
        <f>"2:00 PM"</f>
        <v>2:00 PM</v>
      </c>
      <c r="BS2323" t="s">
        <v>131</v>
      </c>
      <c r="BT2323">
        <v>0</v>
      </c>
      <c r="BU2323">
        <v>0</v>
      </c>
      <c r="BV2323" t="s">
        <v>114</v>
      </c>
      <c r="BX2323" t="s">
        <v>132</v>
      </c>
      <c r="BY2323" t="s">
        <v>16173</v>
      </c>
      <c r="CA2323" t="s">
        <v>16174</v>
      </c>
      <c r="CB2323" t="s">
        <v>127</v>
      </c>
      <c r="CC2323" s="8" t="str">
        <f>"78657"</f>
        <v>78657</v>
      </c>
      <c r="CD2323" t="s">
        <v>618</v>
      </c>
      <c r="CE2323" t="s">
        <v>619</v>
      </c>
      <c r="CF2323" s="12">
        <v>15</v>
      </c>
      <c r="CG2323" s="12">
        <v>15</v>
      </c>
      <c r="CH2323" s="12">
        <v>22.5</v>
      </c>
      <c r="CI2323" s="12">
        <v>22.5</v>
      </c>
      <c r="CJ2323" t="s">
        <v>135</v>
      </c>
      <c r="CL2323" t="s">
        <v>16177</v>
      </c>
      <c r="CO2323" t="s">
        <v>132</v>
      </c>
      <c r="CP2323" t="s">
        <v>114</v>
      </c>
      <c r="CQ2323" t="s">
        <v>114</v>
      </c>
      <c r="CR2323" t="s">
        <v>136</v>
      </c>
      <c r="CS2323" t="s">
        <v>114</v>
      </c>
      <c r="CT2323" t="s">
        <v>136</v>
      </c>
      <c r="CU2323" t="s">
        <v>136</v>
      </c>
      <c r="CV2323" t="s">
        <v>3417</v>
      </c>
      <c r="CW2323" s="10" t="str">
        <f>"+18305962359"</f>
        <v>+18305962359</v>
      </c>
      <c r="CX2323" t="s">
        <v>3418</v>
      </c>
      <c r="CY2323" t="s">
        <v>132</v>
      </c>
      <c r="CZ2323" t="s">
        <v>137</v>
      </c>
      <c r="DA2323" t="s">
        <v>114</v>
      </c>
      <c r="DB2323" t="s">
        <v>114</v>
      </c>
      <c r="DC2323" t="s">
        <v>136</v>
      </c>
      <c r="DD2323" t="s">
        <v>114</v>
      </c>
    </row>
    <row r="2324" spans="1:113" ht="15" customHeight="1" x14ac:dyDescent="0.25">
      <c r="A2324" t="s">
        <v>12589</v>
      </c>
      <c r="B2324" t="s">
        <v>368</v>
      </c>
      <c r="C2324" s="1">
        <v>45262.012980902779</v>
      </c>
      <c r="D2324" s="1">
        <v>45272</v>
      </c>
      <c r="E2324" t="s">
        <v>132</v>
      </c>
      <c r="F2324" t="s">
        <v>1961</v>
      </c>
      <c r="G2324" t="str">
        <f>"37-3011.00"</f>
        <v>37-3011.00</v>
      </c>
      <c r="H2324" t="s">
        <v>429</v>
      </c>
      <c r="I2324">
        <v>3</v>
      </c>
      <c r="K2324" s="1">
        <v>45352</v>
      </c>
      <c r="L2324" s="1">
        <v>45646</v>
      </c>
      <c r="O2324" t="s">
        <v>238</v>
      </c>
      <c r="P2324" t="s">
        <v>12590</v>
      </c>
      <c r="R2324" t="s">
        <v>12591</v>
      </c>
      <c r="T2324" t="s">
        <v>10887</v>
      </c>
      <c r="U2324" t="s">
        <v>358</v>
      </c>
      <c r="V2324" s="8" t="str">
        <f>"11934"</f>
        <v>11934</v>
      </c>
      <c r="W2324" t="s">
        <v>118</v>
      </c>
      <c r="Y2324" s="10">
        <v>16316396387</v>
      </c>
      <c r="AA2324">
        <v>56173</v>
      </c>
      <c r="AB2324" t="s">
        <v>12592</v>
      </c>
      <c r="AC2324" t="s">
        <v>12593</v>
      </c>
      <c r="AE2324" t="s">
        <v>654</v>
      </c>
      <c r="AF2324" t="s">
        <v>12591</v>
      </c>
      <c r="AH2324" t="s">
        <v>10887</v>
      </c>
      <c r="AI2324" t="s">
        <v>358</v>
      </c>
      <c r="AJ2324" s="8" t="str">
        <f>"11934"</f>
        <v>11934</v>
      </c>
      <c r="AK2324" t="s">
        <v>118</v>
      </c>
      <c r="AM2324" s="10">
        <v>16316396387</v>
      </c>
      <c r="AO2324" t="s">
        <v>132</v>
      </c>
      <c r="AP2324" t="s">
        <v>248</v>
      </c>
      <c r="AQ2324" t="s">
        <v>354</v>
      </c>
      <c r="AR2324" t="s">
        <v>355</v>
      </c>
      <c r="AT2324" t="s">
        <v>356</v>
      </c>
      <c r="AV2324" t="s">
        <v>357</v>
      </c>
      <c r="AW2324" t="s">
        <v>358</v>
      </c>
      <c r="AX2324" s="8" t="str">
        <f>"11590"</f>
        <v>11590</v>
      </c>
      <c r="AY2324" t="s">
        <v>118</v>
      </c>
      <c r="BA2324" s="10">
        <v>15163307168</v>
      </c>
      <c r="BC2324" t="s">
        <v>359</v>
      </c>
      <c r="BD2324" t="s">
        <v>360</v>
      </c>
      <c r="BG2324" t="s">
        <v>358</v>
      </c>
      <c r="BH2324" s="1">
        <v>45224.833333333336</v>
      </c>
      <c r="BI2324">
        <v>40</v>
      </c>
      <c r="BJ2324">
        <v>0</v>
      </c>
      <c r="BK2324">
        <v>8</v>
      </c>
      <c r="BL2324">
        <v>8</v>
      </c>
      <c r="BM2324">
        <v>8</v>
      </c>
      <c r="BN2324">
        <v>8</v>
      </c>
      <c r="BO2324">
        <v>8</v>
      </c>
      <c r="BP2324">
        <v>0</v>
      </c>
      <c r="BQ2324" t="str">
        <f>"8:00 AM"</f>
        <v>8:00 AM</v>
      </c>
      <c r="BR2324" t="str">
        <f>"5:00 PM"</f>
        <v>5:00 PM</v>
      </c>
      <c r="BS2324" t="s">
        <v>131</v>
      </c>
      <c r="BT2324">
        <v>0</v>
      </c>
      <c r="BU2324">
        <v>0</v>
      </c>
      <c r="BV2324" t="s">
        <v>114</v>
      </c>
      <c r="BX2324" t="s">
        <v>132</v>
      </c>
      <c r="BY2324" t="s">
        <v>12591</v>
      </c>
      <c r="CA2324" t="s">
        <v>10887</v>
      </c>
      <c r="CB2324" t="s">
        <v>358</v>
      </c>
      <c r="CC2324" s="8" t="str">
        <f>"11934"</f>
        <v>11934</v>
      </c>
      <c r="CD2324" t="s">
        <v>1752</v>
      </c>
      <c r="CE2324" t="s">
        <v>1418</v>
      </c>
      <c r="CF2324" s="12">
        <v>20.81</v>
      </c>
      <c r="CG2324" s="12">
        <v>20.81</v>
      </c>
      <c r="CH2324" s="12">
        <v>31.22</v>
      </c>
      <c r="CI2324" s="12">
        <v>31.22</v>
      </c>
      <c r="CJ2324" t="s">
        <v>135</v>
      </c>
      <c r="CL2324" t="s">
        <v>12594</v>
      </c>
      <c r="CO2324" t="s">
        <v>132</v>
      </c>
      <c r="CP2324" t="s">
        <v>136</v>
      </c>
      <c r="CQ2324" t="s">
        <v>136</v>
      </c>
      <c r="CR2324" t="s">
        <v>136</v>
      </c>
      <c r="CS2324" t="s">
        <v>114</v>
      </c>
      <c r="CT2324" t="s">
        <v>136</v>
      </c>
      <c r="CU2324" t="s">
        <v>114</v>
      </c>
      <c r="CV2324" t="s">
        <v>1480</v>
      </c>
      <c r="CW2324" s="10" t="str">
        <f>"+16316396387"</f>
        <v>+16316396387</v>
      </c>
      <c r="CX2324" t="s">
        <v>12595</v>
      </c>
      <c r="CY2324" t="s">
        <v>132</v>
      </c>
      <c r="CZ2324" t="s">
        <v>137</v>
      </c>
      <c r="DA2324" t="s">
        <v>114</v>
      </c>
      <c r="DB2324" t="s">
        <v>114</v>
      </c>
      <c r="DC2324" t="s">
        <v>136</v>
      </c>
      <c r="DD2324" t="s">
        <v>114</v>
      </c>
    </row>
    <row r="2325" spans="1:113" ht="15" customHeight="1" x14ac:dyDescent="0.25">
      <c r="A2325" t="s">
        <v>13891</v>
      </c>
      <c r="B2325" t="s">
        <v>368</v>
      </c>
      <c r="C2325" s="1">
        <v>45262.003477662038</v>
      </c>
      <c r="D2325" s="1">
        <v>45272</v>
      </c>
      <c r="E2325" t="s">
        <v>132</v>
      </c>
      <c r="F2325" t="s">
        <v>2346</v>
      </c>
      <c r="G2325" t="str">
        <f>"53-7062.00"</f>
        <v>53-7062.00</v>
      </c>
      <c r="H2325" t="s">
        <v>2078</v>
      </c>
      <c r="I2325">
        <v>13</v>
      </c>
      <c r="K2325" s="1">
        <v>45352</v>
      </c>
      <c r="L2325" s="1">
        <v>45646</v>
      </c>
      <c r="O2325" t="s">
        <v>238</v>
      </c>
      <c r="P2325" t="s">
        <v>2347</v>
      </c>
      <c r="R2325" t="s">
        <v>2348</v>
      </c>
      <c r="T2325" t="s">
        <v>2349</v>
      </c>
      <c r="U2325" t="s">
        <v>358</v>
      </c>
      <c r="V2325" s="8" t="str">
        <f>"11596"</f>
        <v>11596</v>
      </c>
      <c r="W2325" t="s">
        <v>118</v>
      </c>
      <c r="Y2325" s="10">
        <v>15169976943</v>
      </c>
      <c r="AA2325">
        <v>56173</v>
      </c>
      <c r="AB2325" t="s">
        <v>354</v>
      </c>
      <c r="AC2325" t="s">
        <v>2350</v>
      </c>
      <c r="AE2325" t="s">
        <v>654</v>
      </c>
      <c r="AF2325" t="s">
        <v>2351</v>
      </c>
      <c r="AH2325" t="s">
        <v>2349</v>
      </c>
      <c r="AI2325" t="s">
        <v>358</v>
      </c>
      <c r="AJ2325" s="8" t="str">
        <f>"11596"</f>
        <v>11596</v>
      </c>
      <c r="AK2325" t="s">
        <v>118</v>
      </c>
      <c r="AM2325" s="10">
        <v>15169976943</v>
      </c>
      <c r="AO2325" t="s">
        <v>132</v>
      </c>
      <c r="AP2325" t="s">
        <v>248</v>
      </c>
      <c r="AQ2325" t="s">
        <v>354</v>
      </c>
      <c r="AR2325" t="s">
        <v>355</v>
      </c>
      <c r="AT2325" t="s">
        <v>356</v>
      </c>
      <c r="AV2325" t="s">
        <v>357</v>
      </c>
      <c r="AW2325" t="s">
        <v>358</v>
      </c>
      <c r="AX2325" s="8" t="str">
        <f>"11590"</f>
        <v>11590</v>
      </c>
      <c r="AY2325" t="s">
        <v>118</v>
      </c>
      <c r="BA2325" s="10">
        <v>15163307168</v>
      </c>
      <c r="BC2325" t="s">
        <v>359</v>
      </c>
      <c r="BD2325" t="s">
        <v>360</v>
      </c>
      <c r="BG2325" t="s">
        <v>358</v>
      </c>
      <c r="BH2325" s="1">
        <v>45204.833333333336</v>
      </c>
      <c r="BI2325">
        <v>40</v>
      </c>
      <c r="BJ2325">
        <v>0</v>
      </c>
      <c r="BK2325">
        <v>8</v>
      </c>
      <c r="BL2325">
        <v>8</v>
      </c>
      <c r="BM2325">
        <v>8</v>
      </c>
      <c r="BN2325">
        <v>8</v>
      </c>
      <c r="BO2325">
        <v>8</v>
      </c>
      <c r="BP2325">
        <v>0</v>
      </c>
      <c r="BQ2325" t="str">
        <f>"8:00 AM"</f>
        <v>8:00 AM</v>
      </c>
      <c r="BR2325" t="str">
        <f>"5:00 PM"</f>
        <v>5:00 PM</v>
      </c>
      <c r="BS2325" t="s">
        <v>131</v>
      </c>
      <c r="BT2325">
        <v>0</v>
      </c>
      <c r="BU2325">
        <v>0</v>
      </c>
      <c r="BV2325" t="s">
        <v>114</v>
      </c>
      <c r="BX2325" t="s">
        <v>132</v>
      </c>
      <c r="BY2325" t="s">
        <v>2351</v>
      </c>
      <c r="CA2325" t="s">
        <v>2349</v>
      </c>
      <c r="CB2325" t="s">
        <v>358</v>
      </c>
      <c r="CC2325" s="8" t="str">
        <f>"11596"</f>
        <v>11596</v>
      </c>
      <c r="CD2325" t="s">
        <v>2352</v>
      </c>
      <c r="CE2325" t="s">
        <v>1418</v>
      </c>
      <c r="CF2325" s="12">
        <v>19.399999999999999</v>
      </c>
      <c r="CG2325" s="12">
        <v>26.5</v>
      </c>
      <c r="CH2325" s="12">
        <v>29.1</v>
      </c>
      <c r="CI2325" s="12">
        <v>39.75</v>
      </c>
      <c r="CJ2325" t="s">
        <v>135</v>
      </c>
      <c r="CK2325" t="s">
        <v>2353</v>
      </c>
      <c r="CL2325" t="s">
        <v>2354</v>
      </c>
      <c r="CO2325" t="s">
        <v>132</v>
      </c>
      <c r="CP2325" t="s">
        <v>136</v>
      </c>
      <c r="CQ2325" t="s">
        <v>136</v>
      </c>
      <c r="CR2325" t="s">
        <v>136</v>
      </c>
      <c r="CS2325" t="s">
        <v>114</v>
      </c>
      <c r="CT2325" t="s">
        <v>136</v>
      </c>
      <c r="CU2325" t="s">
        <v>114</v>
      </c>
      <c r="CV2325" t="s">
        <v>1480</v>
      </c>
      <c r="CW2325" s="10" t="str">
        <f>"+15169976943"</f>
        <v>+15169976943</v>
      </c>
      <c r="CX2325" t="s">
        <v>2355</v>
      </c>
      <c r="CY2325" t="s">
        <v>132</v>
      </c>
      <c r="CZ2325" t="s">
        <v>137</v>
      </c>
      <c r="DA2325" t="s">
        <v>114</v>
      </c>
      <c r="DB2325" t="s">
        <v>114</v>
      </c>
      <c r="DC2325" t="s">
        <v>136</v>
      </c>
      <c r="DD2325" t="s">
        <v>114</v>
      </c>
    </row>
    <row r="2326" spans="1:113" ht="15" customHeight="1" x14ac:dyDescent="0.25">
      <c r="A2326" t="s">
        <v>8266</v>
      </c>
      <c r="B2326" t="s">
        <v>368</v>
      </c>
      <c r="C2326" s="1">
        <v>45271.552840856479</v>
      </c>
      <c r="D2326" s="1">
        <v>45271</v>
      </c>
      <c r="E2326" t="s">
        <v>132</v>
      </c>
      <c r="F2326" t="s">
        <v>5997</v>
      </c>
      <c r="G2326" t="str">
        <f>"35-2021.00"</f>
        <v>35-2021.00</v>
      </c>
      <c r="H2326" t="s">
        <v>2303</v>
      </c>
      <c r="I2326">
        <v>6</v>
      </c>
      <c r="K2326" s="1">
        <v>45352</v>
      </c>
      <c r="L2326" s="1">
        <v>45597</v>
      </c>
      <c r="O2326" t="s">
        <v>238</v>
      </c>
      <c r="P2326" t="s">
        <v>8267</v>
      </c>
      <c r="Q2326" t="s">
        <v>8268</v>
      </c>
      <c r="R2326" t="s">
        <v>8269</v>
      </c>
      <c r="S2326" t="s">
        <v>8270</v>
      </c>
      <c r="T2326" t="s">
        <v>3660</v>
      </c>
      <c r="U2326" t="s">
        <v>2740</v>
      </c>
      <c r="V2326" s="8" t="str">
        <f>"02807"</f>
        <v>02807</v>
      </c>
      <c r="W2326" t="s">
        <v>118</v>
      </c>
      <c r="Y2326" s="10">
        <v>14014662949</v>
      </c>
      <c r="AA2326">
        <v>445110</v>
      </c>
      <c r="AB2326" t="s">
        <v>8271</v>
      </c>
      <c r="AC2326" t="s">
        <v>8272</v>
      </c>
      <c r="AE2326" t="s">
        <v>3519</v>
      </c>
      <c r="AF2326" t="s">
        <v>8269</v>
      </c>
      <c r="AG2326" t="s">
        <v>8273</v>
      </c>
      <c r="AH2326" t="s">
        <v>3660</v>
      </c>
      <c r="AI2326" t="s">
        <v>2740</v>
      </c>
      <c r="AJ2326" s="8" t="str">
        <f>"02807"</f>
        <v>02807</v>
      </c>
      <c r="AK2326" t="s">
        <v>118</v>
      </c>
      <c r="AM2326" s="10">
        <v>14014662949</v>
      </c>
      <c r="AO2326" t="s">
        <v>132</v>
      </c>
      <c r="AP2326" t="s">
        <v>248</v>
      </c>
      <c r="AQ2326" t="s">
        <v>354</v>
      </c>
      <c r="AR2326" t="s">
        <v>355</v>
      </c>
      <c r="AT2326" t="s">
        <v>356</v>
      </c>
      <c r="AV2326" t="s">
        <v>357</v>
      </c>
      <c r="AW2326" t="s">
        <v>358</v>
      </c>
      <c r="AX2326" s="8" t="str">
        <f>"11590"</f>
        <v>11590</v>
      </c>
      <c r="AY2326" t="s">
        <v>118</v>
      </c>
      <c r="BA2326" s="10">
        <v>15163307168</v>
      </c>
      <c r="BC2326" t="s">
        <v>2774</v>
      </c>
      <c r="BD2326" t="s">
        <v>360</v>
      </c>
      <c r="BG2326" t="s">
        <v>2740</v>
      </c>
      <c r="BH2326" s="1">
        <v>45242.791666666664</v>
      </c>
      <c r="BI2326">
        <v>40</v>
      </c>
      <c r="BJ2326">
        <v>0</v>
      </c>
      <c r="BK2326">
        <v>8</v>
      </c>
      <c r="BL2326">
        <v>8</v>
      </c>
      <c r="BM2326">
        <v>8</v>
      </c>
      <c r="BN2326">
        <v>8</v>
      </c>
      <c r="BO2326">
        <v>8</v>
      </c>
      <c r="BP2326">
        <v>0</v>
      </c>
      <c r="BQ2326" t="str">
        <f>"9:00 AM"</f>
        <v>9:00 AM</v>
      </c>
      <c r="BR2326" t="str">
        <f>"5:00 PM"</f>
        <v>5:00 PM</v>
      </c>
      <c r="BS2326" t="s">
        <v>131</v>
      </c>
      <c r="BT2326">
        <v>0</v>
      </c>
      <c r="BU2326">
        <v>3</v>
      </c>
      <c r="BV2326" t="s">
        <v>114</v>
      </c>
      <c r="BX2326" t="s">
        <v>796</v>
      </c>
      <c r="BY2326" t="s">
        <v>8269</v>
      </c>
      <c r="BZ2326" t="s">
        <v>8274</v>
      </c>
      <c r="CA2326" t="s">
        <v>3660</v>
      </c>
      <c r="CB2326" t="s">
        <v>2740</v>
      </c>
      <c r="CC2326" s="8" t="str">
        <f>"02807"</f>
        <v>02807</v>
      </c>
      <c r="CD2326" t="s">
        <v>1017</v>
      </c>
      <c r="CE2326" t="s">
        <v>5186</v>
      </c>
      <c r="CF2326" s="12">
        <v>17</v>
      </c>
      <c r="CG2326" s="12">
        <v>20</v>
      </c>
      <c r="CH2326" s="12">
        <v>25.5</v>
      </c>
      <c r="CI2326" s="12">
        <v>30</v>
      </c>
      <c r="CJ2326" t="s">
        <v>135</v>
      </c>
      <c r="CL2326" t="s">
        <v>8275</v>
      </c>
      <c r="CO2326" t="s">
        <v>132</v>
      </c>
      <c r="CP2326" t="s">
        <v>114</v>
      </c>
      <c r="CQ2326" t="s">
        <v>114</v>
      </c>
      <c r="CR2326" t="s">
        <v>136</v>
      </c>
      <c r="CS2326" t="s">
        <v>114</v>
      </c>
      <c r="CT2326" t="s">
        <v>136</v>
      </c>
      <c r="CU2326" t="s">
        <v>136</v>
      </c>
      <c r="CV2326" t="s">
        <v>8276</v>
      </c>
      <c r="CW2326" s="10" t="str">
        <f>"+14014662949"</f>
        <v>+14014662949</v>
      </c>
      <c r="CX2326" t="s">
        <v>8277</v>
      </c>
      <c r="CY2326" t="s">
        <v>132</v>
      </c>
      <c r="CZ2326" t="s">
        <v>137</v>
      </c>
      <c r="DA2326" t="s">
        <v>114</v>
      </c>
      <c r="DB2326" t="s">
        <v>114</v>
      </c>
      <c r="DC2326" t="s">
        <v>136</v>
      </c>
      <c r="DD2326" t="s">
        <v>114</v>
      </c>
    </row>
    <row r="2327" spans="1:113" ht="15" customHeight="1" x14ac:dyDescent="0.25">
      <c r="A2327" t="s">
        <v>12650</v>
      </c>
      <c r="B2327" t="s">
        <v>368</v>
      </c>
      <c r="C2327" s="1">
        <v>45264.354835879632</v>
      </c>
      <c r="D2327" s="1">
        <v>45271</v>
      </c>
      <c r="E2327" t="s">
        <v>132</v>
      </c>
      <c r="F2327" t="s">
        <v>1961</v>
      </c>
      <c r="G2327" t="str">
        <f>"37-3011.00"</f>
        <v>37-3011.00</v>
      </c>
      <c r="H2327" t="s">
        <v>429</v>
      </c>
      <c r="I2327">
        <v>13</v>
      </c>
      <c r="K2327" s="1">
        <v>45352</v>
      </c>
      <c r="L2327" s="1">
        <v>45646</v>
      </c>
      <c r="O2327" t="s">
        <v>238</v>
      </c>
      <c r="P2327" t="s">
        <v>9227</v>
      </c>
      <c r="R2327" t="s">
        <v>9228</v>
      </c>
      <c r="T2327" t="s">
        <v>9229</v>
      </c>
      <c r="U2327" t="s">
        <v>358</v>
      </c>
      <c r="V2327" s="8" t="str">
        <f>"10977"</f>
        <v>10977</v>
      </c>
      <c r="W2327" t="s">
        <v>118</v>
      </c>
      <c r="Y2327" s="10">
        <v>18453569393</v>
      </c>
      <c r="AA2327">
        <v>56173</v>
      </c>
      <c r="AB2327" t="s">
        <v>9230</v>
      </c>
      <c r="AC2327" t="s">
        <v>2757</v>
      </c>
      <c r="AE2327" t="s">
        <v>654</v>
      </c>
      <c r="AF2327" t="s">
        <v>9228</v>
      </c>
      <c r="AH2327" t="s">
        <v>9229</v>
      </c>
      <c r="AI2327" t="s">
        <v>358</v>
      </c>
      <c r="AJ2327" s="8" t="str">
        <f>"10977"</f>
        <v>10977</v>
      </c>
      <c r="AK2327" t="s">
        <v>118</v>
      </c>
      <c r="AM2327" s="10">
        <v>18453569393</v>
      </c>
      <c r="AO2327" t="s">
        <v>132</v>
      </c>
      <c r="AP2327" t="s">
        <v>248</v>
      </c>
      <c r="AQ2327" t="s">
        <v>354</v>
      </c>
      <c r="AR2327" t="s">
        <v>355</v>
      </c>
      <c r="AT2327" t="s">
        <v>356</v>
      </c>
      <c r="AV2327" t="s">
        <v>357</v>
      </c>
      <c r="AW2327" t="s">
        <v>358</v>
      </c>
      <c r="AX2327" s="8" t="str">
        <f>"11590"</f>
        <v>11590</v>
      </c>
      <c r="AY2327" t="s">
        <v>118</v>
      </c>
      <c r="BA2327" s="10">
        <v>15163307168</v>
      </c>
      <c r="BC2327" t="s">
        <v>359</v>
      </c>
      <c r="BD2327" t="s">
        <v>360</v>
      </c>
      <c r="BG2327" t="s">
        <v>358</v>
      </c>
      <c r="BH2327" s="1">
        <v>45263.791666666664</v>
      </c>
      <c r="BI2327">
        <v>40</v>
      </c>
      <c r="BJ2327">
        <v>0</v>
      </c>
      <c r="BK2327">
        <v>8</v>
      </c>
      <c r="BL2327">
        <v>8</v>
      </c>
      <c r="BM2327">
        <v>8</v>
      </c>
      <c r="BN2327">
        <v>8</v>
      </c>
      <c r="BO2327">
        <v>8</v>
      </c>
      <c r="BP2327">
        <v>0</v>
      </c>
      <c r="BQ2327" t="str">
        <f>"8:00 AM"</f>
        <v>8:00 AM</v>
      </c>
      <c r="BR2327" t="str">
        <f>"5:00 PM"</f>
        <v>5:00 PM</v>
      </c>
      <c r="BS2327" t="s">
        <v>131</v>
      </c>
      <c r="BT2327">
        <v>0</v>
      </c>
      <c r="BU2327">
        <v>0</v>
      </c>
      <c r="BV2327" t="s">
        <v>114</v>
      </c>
      <c r="BX2327" t="s">
        <v>132</v>
      </c>
      <c r="BY2327" t="s">
        <v>9228</v>
      </c>
      <c r="CA2327" t="s">
        <v>9229</v>
      </c>
      <c r="CB2327" t="s">
        <v>358</v>
      </c>
      <c r="CC2327" s="8" t="str">
        <f>"10977"</f>
        <v>10977</v>
      </c>
      <c r="CD2327" t="s">
        <v>5237</v>
      </c>
      <c r="CE2327" t="s">
        <v>1418</v>
      </c>
      <c r="CF2327" s="12">
        <v>20.81</v>
      </c>
      <c r="CG2327" s="12">
        <v>20.81</v>
      </c>
      <c r="CH2327" s="12">
        <v>31.22</v>
      </c>
      <c r="CI2327" s="12">
        <v>31.22</v>
      </c>
      <c r="CJ2327" t="s">
        <v>135</v>
      </c>
      <c r="CK2327" t="s">
        <v>132</v>
      </c>
      <c r="CL2327" t="s">
        <v>9231</v>
      </c>
      <c r="CO2327" t="s">
        <v>132</v>
      </c>
      <c r="CP2327" t="s">
        <v>136</v>
      </c>
      <c r="CQ2327" t="s">
        <v>136</v>
      </c>
      <c r="CR2327" t="s">
        <v>136</v>
      </c>
      <c r="CS2327" t="s">
        <v>114</v>
      </c>
      <c r="CT2327" t="s">
        <v>136</v>
      </c>
      <c r="CU2327" t="s">
        <v>114</v>
      </c>
      <c r="CV2327" t="s">
        <v>1480</v>
      </c>
      <c r="CW2327" s="10" t="str">
        <f>"+18453569393"</f>
        <v>+18453569393</v>
      </c>
      <c r="CX2327" t="s">
        <v>9232</v>
      </c>
      <c r="CY2327" t="s">
        <v>132</v>
      </c>
      <c r="CZ2327" t="s">
        <v>137</v>
      </c>
      <c r="DA2327" t="s">
        <v>114</v>
      </c>
      <c r="DB2327" t="s">
        <v>114</v>
      </c>
      <c r="DC2327" t="s">
        <v>136</v>
      </c>
      <c r="DD2327" t="s">
        <v>114</v>
      </c>
    </row>
    <row r="2328" spans="1:113" ht="15" customHeight="1" x14ac:dyDescent="0.25">
      <c r="A2328" t="s">
        <v>10983</v>
      </c>
      <c r="B2328" t="s">
        <v>368</v>
      </c>
      <c r="C2328" s="1">
        <v>45262.051006597219</v>
      </c>
      <c r="D2328" s="1">
        <v>45271</v>
      </c>
      <c r="E2328" t="s">
        <v>132</v>
      </c>
      <c r="F2328" t="s">
        <v>1961</v>
      </c>
      <c r="G2328" t="str">
        <f>"37-3011.00"</f>
        <v>37-3011.00</v>
      </c>
      <c r="H2328" t="s">
        <v>429</v>
      </c>
      <c r="I2328">
        <v>3</v>
      </c>
      <c r="K2328" s="1">
        <v>45352</v>
      </c>
      <c r="L2328" s="1">
        <v>45646</v>
      </c>
      <c r="O2328" t="s">
        <v>238</v>
      </c>
      <c r="P2328" t="s">
        <v>10984</v>
      </c>
      <c r="R2328" t="s">
        <v>10985</v>
      </c>
      <c r="S2328" t="s">
        <v>10986</v>
      </c>
      <c r="T2328" t="s">
        <v>10987</v>
      </c>
      <c r="U2328" t="s">
        <v>358</v>
      </c>
      <c r="V2328" s="8" t="str">
        <f>"11801"</f>
        <v>11801</v>
      </c>
      <c r="W2328" t="s">
        <v>118</v>
      </c>
      <c r="Y2328" s="10">
        <v>15165236124</v>
      </c>
      <c r="AA2328">
        <v>56173</v>
      </c>
      <c r="AB2328" t="s">
        <v>10988</v>
      </c>
      <c r="AC2328" t="s">
        <v>10989</v>
      </c>
      <c r="AE2328" t="s">
        <v>654</v>
      </c>
      <c r="AF2328" t="s">
        <v>10990</v>
      </c>
      <c r="AG2328" t="s">
        <v>10991</v>
      </c>
      <c r="AH2328" t="s">
        <v>10992</v>
      </c>
      <c r="AI2328" t="s">
        <v>358</v>
      </c>
      <c r="AJ2328" s="8" t="str">
        <f>"11803"</f>
        <v>11803</v>
      </c>
      <c r="AK2328" t="s">
        <v>118</v>
      </c>
      <c r="AM2328" s="10">
        <v>15165236124</v>
      </c>
      <c r="AO2328" t="s">
        <v>132</v>
      </c>
      <c r="AP2328" t="s">
        <v>248</v>
      </c>
      <c r="AQ2328" t="s">
        <v>354</v>
      </c>
      <c r="AR2328" t="s">
        <v>355</v>
      </c>
      <c r="AT2328" t="s">
        <v>356</v>
      </c>
      <c r="AV2328" t="s">
        <v>357</v>
      </c>
      <c r="AW2328" t="s">
        <v>358</v>
      </c>
      <c r="AX2328" s="8" t="str">
        <f>"11590"</f>
        <v>11590</v>
      </c>
      <c r="AY2328" t="s">
        <v>118</v>
      </c>
      <c r="BA2328" s="10">
        <v>15163307168</v>
      </c>
      <c r="BC2328" t="s">
        <v>359</v>
      </c>
      <c r="BD2328" t="s">
        <v>360</v>
      </c>
      <c r="BG2328" t="s">
        <v>358</v>
      </c>
      <c r="BH2328" s="1">
        <v>45237.791666666664</v>
      </c>
      <c r="BI2328">
        <v>40</v>
      </c>
      <c r="BJ2328">
        <v>0</v>
      </c>
      <c r="BK2328">
        <v>8</v>
      </c>
      <c r="BL2328">
        <v>8</v>
      </c>
      <c r="BM2328">
        <v>8</v>
      </c>
      <c r="BN2328">
        <v>8</v>
      </c>
      <c r="BO2328">
        <v>8</v>
      </c>
      <c r="BP2328">
        <v>0</v>
      </c>
      <c r="BQ2328" t="str">
        <f>"8:00 AM"</f>
        <v>8:00 AM</v>
      </c>
      <c r="BR2328" t="str">
        <f>"5:00 PM"</f>
        <v>5:00 PM</v>
      </c>
      <c r="BS2328" t="s">
        <v>131</v>
      </c>
      <c r="BT2328">
        <v>0</v>
      </c>
      <c r="BU2328">
        <v>0</v>
      </c>
      <c r="BV2328" t="s">
        <v>114</v>
      </c>
      <c r="BX2328" t="s">
        <v>132</v>
      </c>
      <c r="BY2328" t="s">
        <v>10985</v>
      </c>
      <c r="CA2328" t="s">
        <v>10987</v>
      </c>
      <c r="CB2328" t="s">
        <v>358</v>
      </c>
      <c r="CC2328" s="8" t="str">
        <f>"11801"</f>
        <v>11801</v>
      </c>
      <c r="CD2328" t="s">
        <v>2352</v>
      </c>
      <c r="CE2328" t="s">
        <v>1418</v>
      </c>
      <c r="CF2328" s="12">
        <v>20.81</v>
      </c>
      <c r="CG2328" s="12">
        <v>20.81</v>
      </c>
      <c r="CH2328" s="12">
        <v>31.22</v>
      </c>
      <c r="CI2328" s="12">
        <v>31.22</v>
      </c>
      <c r="CJ2328" t="s">
        <v>135</v>
      </c>
      <c r="CK2328" t="s">
        <v>132</v>
      </c>
      <c r="CL2328" t="s">
        <v>10993</v>
      </c>
      <c r="CO2328" t="s">
        <v>132</v>
      </c>
      <c r="CP2328" t="s">
        <v>136</v>
      </c>
      <c r="CQ2328" t="s">
        <v>136</v>
      </c>
      <c r="CR2328" t="s">
        <v>136</v>
      </c>
      <c r="CS2328" t="s">
        <v>114</v>
      </c>
      <c r="CT2328" t="s">
        <v>136</v>
      </c>
      <c r="CU2328" t="s">
        <v>114</v>
      </c>
      <c r="CV2328" t="s">
        <v>1480</v>
      </c>
      <c r="CW2328" s="10" t="str">
        <f>"+15165236124"</f>
        <v>+15165236124</v>
      </c>
      <c r="CX2328" t="s">
        <v>10994</v>
      </c>
      <c r="CY2328" t="s">
        <v>132</v>
      </c>
      <c r="CZ2328" t="s">
        <v>137</v>
      </c>
      <c r="DA2328" t="s">
        <v>114</v>
      </c>
      <c r="DB2328" t="s">
        <v>114</v>
      </c>
      <c r="DC2328" t="s">
        <v>136</v>
      </c>
      <c r="DD2328" t="s">
        <v>114</v>
      </c>
    </row>
    <row r="2329" spans="1:113" ht="15" customHeight="1" x14ac:dyDescent="0.25">
      <c r="A2329" t="s">
        <v>19882</v>
      </c>
      <c r="B2329" t="s">
        <v>368</v>
      </c>
      <c r="C2329" s="1">
        <v>45262.045328935186</v>
      </c>
      <c r="D2329" s="1">
        <v>45271</v>
      </c>
      <c r="E2329" t="s">
        <v>132</v>
      </c>
      <c r="F2329" t="s">
        <v>17792</v>
      </c>
      <c r="G2329" t="str">
        <f>"47-3014.00"</f>
        <v>47-3014.00</v>
      </c>
      <c r="H2329" t="s">
        <v>4850</v>
      </c>
      <c r="I2329">
        <v>4</v>
      </c>
      <c r="K2329" s="1">
        <v>45352</v>
      </c>
      <c r="L2329" s="1">
        <v>45626</v>
      </c>
      <c r="O2329" t="s">
        <v>238</v>
      </c>
      <c r="P2329" t="s">
        <v>17793</v>
      </c>
      <c r="R2329" t="s">
        <v>17794</v>
      </c>
      <c r="T2329" t="s">
        <v>3102</v>
      </c>
      <c r="U2329" t="s">
        <v>358</v>
      </c>
      <c r="V2329" s="8" t="str">
        <f>"11937"</f>
        <v>11937</v>
      </c>
      <c r="W2329" t="s">
        <v>118</v>
      </c>
      <c r="Y2329" s="10">
        <v>16313244399</v>
      </c>
      <c r="AA2329">
        <v>23832</v>
      </c>
      <c r="AB2329" t="s">
        <v>17795</v>
      </c>
      <c r="AC2329" t="s">
        <v>5167</v>
      </c>
      <c r="AE2329" t="s">
        <v>654</v>
      </c>
      <c r="AF2329" t="s">
        <v>17796</v>
      </c>
      <c r="AH2329" t="s">
        <v>3102</v>
      </c>
      <c r="AI2329" t="s">
        <v>358</v>
      </c>
      <c r="AJ2329" s="8" t="str">
        <f>"11937"</f>
        <v>11937</v>
      </c>
      <c r="AK2329" t="s">
        <v>118</v>
      </c>
      <c r="AM2329" s="10">
        <v>16313244399</v>
      </c>
      <c r="AO2329" t="s">
        <v>132</v>
      </c>
      <c r="AP2329" t="s">
        <v>248</v>
      </c>
      <c r="AQ2329" t="s">
        <v>354</v>
      </c>
      <c r="AR2329" t="s">
        <v>355</v>
      </c>
      <c r="AT2329" t="s">
        <v>356</v>
      </c>
      <c r="AV2329" t="s">
        <v>357</v>
      </c>
      <c r="AW2329" t="s">
        <v>358</v>
      </c>
      <c r="AX2329" s="8" t="str">
        <f>"11590"</f>
        <v>11590</v>
      </c>
      <c r="AY2329" t="s">
        <v>118</v>
      </c>
      <c r="BA2329" s="10">
        <v>15163307168</v>
      </c>
      <c r="BC2329" t="s">
        <v>359</v>
      </c>
      <c r="BD2329" t="s">
        <v>360</v>
      </c>
      <c r="BG2329" t="s">
        <v>358</v>
      </c>
      <c r="BH2329" s="1">
        <v>45229.833333333336</v>
      </c>
      <c r="BI2329">
        <v>40</v>
      </c>
      <c r="BJ2329">
        <v>0</v>
      </c>
      <c r="BK2329">
        <v>8</v>
      </c>
      <c r="BL2329">
        <v>8</v>
      </c>
      <c r="BM2329">
        <v>8</v>
      </c>
      <c r="BN2329">
        <v>8</v>
      </c>
      <c r="BO2329">
        <v>8</v>
      </c>
      <c r="BP2329">
        <v>0</v>
      </c>
      <c r="BQ2329" t="str">
        <f>"8:00 AM"</f>
        <v>8:00 AM</v>
      </c>
      <c r="BR2329" t="str">
        <f>"5:00 PM"</f>
        <v>5:00 PM</v>
      </c>
      <c r="BS2329" t="s">
        <v>131</v>
      </c>
      <c r="BT2329">
        <v>0</v>
      </c>
      <c r="BU2329">
        <v>1</v>
      </c>
      <c r="BV2329" t="s">
        <v>114</v>
      </c>
      <c r="BX2329" t="s">
        <v>19883</v>
      </c>
      <c r="BY2329" t="s">
        <v>17794</v>
      </c>
      <c r="CA2329" t="s">
        <v>3102</v>
      </c>
      <c r="CB2329" t="s">
        <v>358</v>
      </c>
      <c r="CC2329" s="8" t="str">
        <f>"11937"</f>
        <v>11937</v>
      </c>
      <c r="CD2329" t="s">
        <v>1752</v>
      </c>
      <c r="CE2329" t="s">
        <v>1418</v>
      </c>
      <c r="CF2329" s="12">
        <v>26.38</v>
      </c>
      <c r="CG2329" s="12">
        <v>26.38</v>
      </c>
      <c r="CH2329" s="12">
        <v>39.57</v>
      </c>
      <c r="CI2329" s="12">
        <v>39.57</v>
      </c>
      <c r="CJ2329" t="s">
        <v>135</v>
      </c>
      <c r="CK2329" t="s">
        <v>132</v>
      </c>
      <c r="CL2329" t="s">
        <v>17797</v>
      </c>
      <c r="CO2329" t="s">
        <v>132</v>
      </c>
      <c r="CP2329" t="s">
        <v>136</v>
      </c>
      <c r="CQ2329" t="s">
        <v>136</v>
      </c>
      <c r="CR2329" t="s">
        <v>136</v>
      </c>
      <c r="CS2329" t="s">
        <v>114</v>
      </c>
      <c r="CT2329" t="s">
        <v>136</v>
      </c>
      <c r="CU2329" t="s">
        <v>114</v>
      </c>
      <c r="CV2329" t="s">
        <v>1480</v>
      </c>
      <c r="CW2329" s="10" t="str">
        <f>"+16313244399"</f>
        <v>+16313244399</v>
      </c>
      <c r="CX2329" t="s">
        <v>17798</v>
      </c>
      <c r="CY2329" t="s">
        <v>132</v>
      </c>
      <c r="CZ2329" t="s">
        <v>137</v>
      </c>
      <c r="DA2329" t="s">
        <v>114</v>
      </c>
      <c r="DB2329" t="s">
        <v>114</v>
      </c>
      <c r="DC2329" t="s">
        <v>136</v>
      </c>
      <c r="DD2329" t="s">
        <v>114</v>
      </c>
    </row>
    <row r="2330" spans="1:113" ht="15" customHeight="1" x14ac:dyDescent="0.25">
      <c r="A2330" t="s">
        <v>21369</v>
      </c>
      <c r="B2330" t="s">
        <v>368</v>
      </c>
      <c r="C2330" s="1">
        <v>45262.020274768518</v>
      </c>
      <c r="D2330" s="1">
        <v>45271</v>
      </c>
      <c r="E2330" t="s">
        <v>132</v>
      </c>
      <c r="F2330" t="s">
        <v>2346</v>
      </c>
      <c r="G2330" t="str">
        <f>"53-7062.00"</f>
        <v>53-7062.00</v>
      </c>
      <c r="H2330" t="s">
        <v>2078</v>
      </c>
      <c r="I2330">
        <v>3</v>
      </c>
      <c r="K2330" s="1">
        <v>45352</v>
      </c>
      <c r="L2330" s="1">
        <v>45646</v>
      </c>
      <c r="O2330" t="s">
        <v>238</v>
      </c>
      <c r="P2330" t="s">
        <v>21370</v>
      </c>
      <c r="R2330" t="s">
        <v>21371</v>
      </c>
      <c r="T2330" t="s">
        <v>10987</v>
      </c>
      <c r="U2330" t="s">
        <v>358</v>
      </c>
      <c r="V2330" s="8" t="str">
        <f>"11801"</f>
        <v>11801</v>
      </c>
      <c r="W2330" t="s">
        <v>118</v>
      </c>
      <c r="Y2330" s="10">
        <v>15163388757</v>
      </c>
      <c r="AA2330">
        <v>56173</v>
      </c>
      <c r="AB2330" t="s">
        <v>21372</v>
      </c>
      <c r="AC2330" t="s">
        <v>6913</v>
      </c>
      <c r="AE2330" t="s">
        <v>654</v>
      </c>
      <c r="AF2330" t="s">
        <v>21371</v>
      </c>
      <c r="AH2330" t="s">
        <v>10987</v>
      </c>
      <c r="AI2330" t="s">
        <v>358</v>
      </c>
      <c r="AJ2330" s="8" t="str">
        <f>"11801"</f>
        <v>11801</v>
      </c>
      <c r="AK2330" t="s">
        <v>118</v>
      </c>
      <c r="AM2330" s="10">
        <v>15163388757</v>
      </c>
      <c r="AO2330" t="s">
        <v>132</v>
      </c>
      <c r="AP2330" t="s">
        <v>248</v>
      </c>
      <c r="AQ2330" t="s">
        <v>354</v>
      </c>
      <c r="AR2330" t="s">
        <v>355</v>
      </c>
      <c r="AT2330" t="s">
        <v>356</v>
      </c>
      <c r="AV2330" t="s">
        <v>357</v>
      </c>
      <c r="AW2330" t="s">
        <v>358</v>
      </c>
      <c r="AX2330" s="8" t="str">
        <f>"11590"</f>
        <v>11590</v>
      </c>
      <c r="AY2330" t="s">
        <v>118</v>
      </c>
      <c r="BA2330" s="10">
        <v>15163307168</v>
      </c>
      <c r="BC2330" t="s">
        <v>359</v>
      </c>
      <c r="BD2330" t="s">
        <v>360</v>
      </c>
      <c r="BG2330" t="s">
        <v>358</v>
      </c>
      <c r="BH2330" s="1">
        <v>45204.833333333336</v>
      </c>
      <c r="BI2330">
        <v>40</v>
      </c>
      <c r="BJ2330">
        <v>0</v>
      </c>
      <c r="BK2330">
        <v>8</v>
      </c>
      <c r="BL2330">
        <v>8</v>
      </c>
      <c r="BM2330">
        <v>8</v>
      </c>
      <c r="BN2330">
        <v>8</v>
      </c>
      <c r="BO2330">
        <v>8</v>
      </c>
      <c r="BP2330">
        <v>0</v>
      </c>
      <c r="BQ2330" t="str">
        <f>"8:00 AM"</f>
        <v>8:00 AM</v>
      </c>
      <c r="BR2330" t="str">
        <f>"5:00 PM"</f>
        <v>5:00 PM</v>
      </c>
      <c r="BS2330" t="s">
        <v>131</v>
      </c>
      <c r="BT2330">
        <v>0</v>
      </c>
      <c r="BU2330">
        <v>0</v>
      </c>
      <c r="BV2330" t="s">
        <v>114</v>
      </c>
      <c r="BX2330" t="s">
        <v>132</v>
      </c>
      <c r="BY2330" t="s">
        <v>21371</v>
      </c>
      <c r="CA2330" t="s">
        <v>10987</v>
      </c>
      <c r="CB2330" t="s">
        <v>358</v>
      </c>
      <c r="CC2330" s="8" t="str">
        <f>"11801"</f>
        <v>11801</v>
      </c>
      <c r="CD2330" t="s">
        <v>2352</v>
      </c>
      <c r="CE2330" t="s">
        <v>1418</v>
      </c>
      <c r="CF2330" s="12">
        <v>19.399999999999999</v>
      </c>
      <c r="CG2330" s="12">
        <v>19.399999999999999</v>
      </c>
      <c r="CH2330" s="12">
        <v>29.1</v>
      </c>
      <c r="CI2330" s="12">
        <v>29.1</v>
      </c>
      <c r="CJ2330" t="s">
        <v>135</v>
      </c>
      <c r="CK2330" t="s">
        <v>132</v>
      </c>
      <c r="CL2330" t="s">
        <v>21373</v>
      </c>
      <c r="CO2330" t="s">
        <v>132</v>
      </c>
      <c r="CP2330" t="s">
        <v>136</v>
      </c>
      <c r="CQ2330" t="s">
        <v>136</v>
      </c>
      <c r="CR2330" t="s">
        <v>136</v>
      </c>
      <c r="CS2330" t="s">
        <v>114</v>
      </c>
      <c r="CT2330" t="s">
        <v>136</v>
      </c>
      <c r="CU2330" t="s">
        <v>114</v>
      </c>
      <c r="CV2330" t="s">
        <v>1480</v>
      </c>
      <c r="CW2330" s="10" t="str">
        <f>"+15163388757"</f>
        <v>+15163388757</v>
      </c>
      <c r="CX2330" t="s">
        <v>21374</v>
      </c>
      <c r="CY2330" t="s">
        <v>132</v>
      </c>
      <c r="CZ2330" t="s">
        <v>137</v>
      </c>
      <c r="DA2330" t="s">
        <v>114</v>
      </c>
      <c r="DB2330" t="s">
        <v>114</v>
      </c>
      <c r="DC2330" t="s">
        <v>136</v>
      </c>
      <c r="DD2330" t="s">
        <v>114</v>
      </c>
    </row>
    <row r="2331" spans="1:113" ht="15" customHeight="1" x14ac:dyDescent="0.25">
      <c r="A2331" t="s">
        <v>15082</v>
      </c>
      <c r="B2331" t="s">
        <v>368</v>
      </c>
      <c r="C2331" s="1">
        <v>45247.459934375001</v>
      </c>
      <c r="D2331" s="1">
        <v>45271</v>
      </c>
      <c r="E2331" t="s">
        <v>132</v>
      </c>
      <c r="F2331" t="s">
        <v>2020</v>
      </c>
      <c r="G2331" t="str">
        <f>"37-3011.00"</f>
        <v>37-3011.00</v>
      </c>
      <c r="H2331" t="s">
        <v>429</v>
      </c>
      <c r="I2331">
        <v>18</v>
      </c>
      <c r="K2331" s="1">
        <v>45336</v>
      </c>
      <c r="L2331" s="1">
        <v>45616</v>
      </c>
      <c r="O2331" t="s">
        <v>116</v>
      </c>
      <c r="P2331" t="s">
        <v>15083</v>
      </c>
      <c r="Q2331" t="s">
        <v>5116</v>
      </c>
      <c r="R2331" t="s">
        <v>5117</v>
      </c>
      <c r="T2331" t="s">
        <v>5118</v>
      </c>
      <c r="U2331" t="s">
        <v>117</v>
      </c>
      <c r="V2331" s="8" t="str">
        <f>"62232"</f>
        <v>62232</v>
      </c>
      <c r="W2331" t="s">
        <v>118</v>
      </c>
      <c r="Y2331" s="10">
        <v>16187810139</v>
      </c>
      <c r="AA2331">
        <v>56173</v>
      </c>
      <c r="AB2331" t="s">
        <v>5119</v>
      </c>
      <c r="AC2331" t="s">
        <v>5120</v>
      </c>
      <c r="AE2331" t="s">
        <v>5121</v>
      </c>
      <c r="AF2331" t="s">
        <v>5117</v>
      </c>
      <c r="AH2331" t="s">
        <v>5118</v>
      </c>
      <c r="AI2331" t="s">
        <v>117</v>
      </c>
      <c r="AJ2331" s="8" t="str">
        <f>"62232"</f>
        <v>62232</v>
      </c>
      <c r="AK2331" t="s">
        <v>118</v>
      </c>
      <c r="AM2331" s="10">
        <v>16187810139</v>
      </c>
      <c r="AO2331" t="s">
        <v>132</v>
      </c>
      <c r="AP2331" t="s">
        <v>248</v>
      </c>
      <c r="AQ2331" t="s">
        <v>2873</v>
      </c>
      <c r="AR2331" t="s">
        <v>2874</v>
      </c>
      <c r="AT2331" t="s">
        <v>1350</v>
      </c>
      <c r="AU2331" t="s">
        <v>1351</v>
      </c>
      <c r="AV2331" t="s">
        <v>1352</v>
      </c>
      <c r="AW2331" t="s">
        <v>581</v>
      </c>
      <c r="AX2331" s="8" t="str">
        <f>"22949"</f>
        <v>22949</v>
      </c>
      <c r="AY2331" t="s">
        <v>118</v>
      </c>
      <c r="BA2331" s="10">
        <v>14342634300</v>
      </c>
      <c r="BC2331" t="s">
        <v>2875</v>
      </c>
      <c r="BD2331" t="s">
        <v>583</v>
      </c>
      <c r="BG2331" t="s">
        <v>333</v>
      </c>
      <c r="BH2331" s="1">
        <v>45246.791666666664</v>
      </c>
      <c r="BI2331">
        <v>40</v>
      </c>
      <c r="BJ2331">
        <v>0</v>
      </c>
      <c r="BK2331">
        <v>8</v>
      </c>
      <c r="BL2331">
        <v>8</v>
      </c>
      <c r="BM2331">
        <v>8</v>
      </c>
      <c r="BN2331">
        <v>8</v>
      </c>
      <c r="BO2331">
        <v>8</v>
      </c>
      <c r="BP2331">
        <v>0</v>
      </c>
      <c r="BQ2331" t="str">
        <f>"7:00 AM"</f>
        <v>7:00 AM</v>
      </c>
      <c r="BR2331" t="str">
        <f>"4:00 PM"</f>
        <v>4:00 PM</v>
      </c>
      <c r="BS2331" t="s">
        <v>131</v>
      </c>
      <c r="BT2331">
        <v>0</v>
      </c>
      <c r="BU2331">
        <v>3</v>
      </c>
      <c r="BV2331" t="s">
        <v>114</v>
      </c>
      <c r="BX2331" s="2" t="s">
        <v>11149</v>
      </c>
      <c r="BY2331" t="s">
        <v>15084</v>
      </c>
      <c r="CA2331" t="s">
        <v>15085</v>
      </c>
      <c r="CB2331" t="s">
        <v>333</v>
      </c>
      <c r="CC2331" s="8" t="str">
        <f>"71459"</f>
        <v>71459</v>
      </c>
      <c r="CD2331" t="s">
        <v>15086</v>
      </c>
      <c r="CE2331" t="s">
        <v>4268</v>
      </c>
      <c r="CF2331" s="12">
        <v>13.36</v>
      </c>
      <c r="CG2331" s="12">
        <v>13.36</v>
      </c>
      <c r="CH2331" s="12">
        <v>20.04</v>
      </c>
      <c r="CI2331" s="12">
        <v>20.04</v>
      </c>
      <c r="CJ2331" t="s">
        <v>135</v>
      </c>
      <c r="CK2331" t="s">
        <v>590</v>
      </c>
      <c r="CL2331" t="s">
        <v>15087</v>
      </c>
      <c r="CO2331" t="s">
        <v>132</v>
      </c>
      <c r="CP2331" t="s">
        <v>136</v>
      </c>
      <c r="CQ2331" t="s">
        <v>136</v>
      </c>
      <c r="CR2331" t="s">
        <v>136</v>
      </c>
      <c r="CS2331" t="s">
        <v>114</v>
      </c>
      <c r="CT2331" t="s">
        <v>136</v>
      </c>
      <c r="CU2331" t="s">
        <v>136</v>
      </c>
      <c r="CV2331" t="s">
        <v>5124</v>
      </c>
      <c r="CW2331" s="10" t="str">
        <f>"N/A"</f>
        <v>N/A</v>
      </c>
      <c r="CX2331" t="s">
        <v>5125</v>
      </c>
      <c r="CY2331" t="s">
        <v>683</v>
      </c>
      <c r="CZ2331" t="s">
        <v>137</v>
      </c>
      <c r="DA2331" t="s">
        <v>114</v>
      </c>
      <c r="DB2331" t="s">
        <v>136</v>
      </c>
      <c r="DC2331" t="s">
        <v>136</v>
      </c>
      <c r="DD2331" t="s">
        <v>114</v>
      </c>
      <c r="DE2331" t="s">
        <v>2873</v>
      </c>
      <c r="DF2331" t="s">
        <v>2874</v>
      </c>
      <c r="DH2331" t="s">
        <v>583</v>
      </c>
      <c r="DI2331" t="s">
        <v>2875</v>
      </c>
    </row>
    <row r="2332" spans="1:113" ht="15" customHeight="1" x14ac:dyDescent="0.25">
      <c r="A2332" t="s">
        <v>9438</v>
      </c>
      <c r="B2332" t="s">
        <v>368</v>
      </c>
      <c r="C2332" s="1">
        <v>45262.024188310184</v>
      </c>
      <c r="D2332" s="1">
        <v>45267</v>
      </c>
      <c r="E2332" t="s">
        <v>132</v>
      </c>
      <c r="F2332" t="s">
        <v>1961</v>
      </c>
      <c r="G2332" t="str">
        <f>"37-3011.00"</f>
        <v>37-3011.00</v>
      </c>
      <c r="H2332" t="s">
        <v>429</v>
      </c>
      <c r="I2332">
        <v>3</v>
      </c>
      <c r="K2332" s="1">
        <v>45352</v>
      </c>
      <c r="L2332" s="1">
        <v>45641</v>
      </c>
      <c r="O2332" t="s">
        <v>238</v>
      </c>
      <c r="P2332" t="s">
        <v>9439</v>
      </c>
      <c r="R2332" t="s">
        <v>9440</v>
      </c>
      <c r="T2332" t="s">
        <v>9441</v>
      </c>
      <c r="U2332" t="s">
        <v>358</v>
      </c>
      <c r="V2332" s="8" t="str">
        <f>"11937"</f>
        <v>11937</v>
      </c>
      <c r="W2332" t="s">
        <v>118</v>
      </c>
      <c r="Y2332" s="10">
        <v>16313778900</v>
      </c>
      <c r="AA2332">
        <v>561790</v>
      </c>
      <c r="AB2332" t="s">
        <v>9442</v>
      </c>
      <c r="AC2332" t="s">
        <v>2187</v>
      </c>
      <c r="AE2332" t="s">
        <v>654</v>
      </c>
      <c r="AF2332" t="s">
        <v>9440</v>
      </c>
      <c r="AH2332" t="s">
        <v>9441</v>
      </c>
      <c r="AI2332" t="s">
        <v>358</v>
      </c>
      <c r="AJ2332" s="8" t="str">
        <f>"11937"</f>
        <v>11937</v>
      </c>
      <c r="AK2332" t="s">
        <v>118</v>
      </c>
      <c r="AM2332" s="10">
        <v>16313778900</v>
      </c>
      <c r="AO2332" t="s">
        <v>132</v>
      </c>
      <c r="AP2332" t="s">
        <v>248</v>
      </c>
      <c r="AQ2332" t="s">
        <v>354</v>
      </c>
      <c r="AR2332" t="s">
        <v>355</v>
      </c>
      <c r="AT2332" t="s">
        <v>356</v>
      </c>
      <c r="AV2332" t="s">
        <v>357</v>
      </c>
      <c r="AW2332" t="s">
        <v>358</v>
      </c>
      <c r="AX2332" s="8" t="str">
        <f>"11590"</f>
        <v>11590</v>
      </c>
      <c r="AY2332" t="s">
        <v>118</v>
      </c>
      <c r="BA2332" s="10">
        <v>15163307168</v>
      </c>
      <c r="BC2332" t="s">
        <v>359</v>
      </c>
      <c r="BD2332" t="s">
        <v>360</v>
      </c>
      <c r="BG2332" t="s">
        <v>358</v>
      </c>
      <c r="BH2332" s="1">
        <v>45235.791666666664</v>
      </c>
      <c r="BI2332">
        <v>40</v>
      </c>
      <c r="BJ2332">
        <v>0</v>
      </c>
      <c r="BK2332">
        <v>8</v>
      </c>
      <c r="BL2332">
        <v>8</v>
      </c>
      <c r="BM2332">
        <v>8</v>
      </c>
      <c r="BN2332">
        <v>8</v>
      </c>
      <c r="BO2332">
        <v>8</v>
      </c>
      <c r="BP2332">
        <v>0</v>
      </c>
      <c r="BQ2332" t="str">
        <f>"8:00 AM"</f>
        <v>8:00 AM</v>
      </c>
      <c r="BR2332" t="str">
        <f>"5:00 PM"</f>
        <v>5:00 PM</v>
      </c>
      <c r="BS2332" t="s">
        <v>131</v>
      </c>
      <c r="BT2332">
        <v>0</v>
      </c>
      <c r="BU2332">
        <v>0</v>
      </c>
      <c r="BV2332" t="s">
        <v>114</v>
      </c>
      <c r="BX2332" t="s">
        <v>132</v>
      </c>
      <c r="BY2332" t="s">
        <v>9443</v>
      </c>
      <c r="CA2332" t="s">
        <v>9441</v>
      </c>
      <c r="CB2332" t="s">
        <v>358</v>
      </c>
      <c r="CC2332" s="8" t="str">
        <f>"11937"</f>
        <v>11937</v>
      </c>
      <c r="CD2332" t="s">
        <v>1752</v>
      </c>
      <c r="CE2332" t="s">
        <v>1418</v>
      </c>
      <c r="CF2332" s="12">
        <v>20.81</v>
      </c>
      <c r="CG2332" s="12">
        <v>20.81</v>
      </c>
      <c r="CH2332" s="12">
        <v>31.22</v>
      </c>
      <c r="CI2332" s="12">
        <v>31.22</v>
      </c>
      <c r="CJ2332" t="s">
        <v>135</v>
      </c>
      <c r="CK2332" t="s">
        <v>132</v>
      </c>
      <c r="CL2332" t="s">
        <v>9444</v>
      </c>
      <c r="CO2332" t="s">
        <v>132</v>
      </c>
      <c r="CP2332" t="s">
        <v>136</v>
      </c>
      <c r="CQ2332" t="s">
        <v>136</v>
      </c>
      <c r="CR2332" t="s">
        <v>136</v>
      </c>
      <c r="CS2332" t="s">
        <v>114</v>
      </c>
      <c r="CT2332" t="s">
        <v>136</v>
      </c>
      <c r="CU2332" t="s">
        <v>114</v>
      </c>
      <c r="CV2332" t="s">
        <v>1480</v>
      </c>
      <c r="CW2332" s="10" t="str">
        <f>"+16313778900"</f>
        <v>+16313778900</v>
      </c>
      <c r="CX2332" t="s">
        <v>9445</v>
      </c>
      <c r="CY2332" t="s">
        <v>132</v>
      </c>
      <c r="CZ2332" t="s">
        <v>137</v>
      </c>
      <c r="DA2332" t="s">
        <v>114</v>
      </c>
      <c r="DB2332" t="s">
        <v>114</v>
      </c>
      <c r="DC2332" t="s">
        <v>136</v>
      </c>
      <c r="DD2332" t="s">
        <v>114</v>
      </c>
    </row>
    <row r="2333" spans="1:113" ht="15" customHeight="1" x14ac:dyDescent="0.25">
      <c r="A2333" t="s">
        <v>14767</v>
      </c>
      <c r="B2333" t="s">
        <v>368</v>
      </c>
      <c r="C2333" s="1">
        <v>45262.023251736115</v>
      </c>
      <c r="D2333" s="1">
        <v>45267</v>
      </c>
      <c r="E2333" t="s">
        <v>132</v>
      </c>
      <c r="F2333" t="s">
        <v>2588</v>
      </c>
      <c r="G2333" t="str">
        <f>"37-2011.00"</f>
        <v>37-2011.00</v>
      </c>
      <c r="H2333" t="s">
        <v>1089</v>
      </c>
      <c r="I2333">
        <v>3</v>
      </c>
      <c r="K2333" s="1">
        <v>45352</v>
      </c>
      <c r="L2333" s="1">
        <v>45611</v>
      </c>
      <c r="O2333" t="s">
        <v>238</v>
      </c>
      <c r="P2333" t="s">
        <v>9439</v>
      </c>
      <c r="R2333" t="s">
        <v>9440</v>
      </c>
      <c r="T2333" t="s">
        <v>9441</v>
      </c>
      <c r="U2333" t="s">
        <v>358</v>
      </c>
      <c r="V2333" s="8" t="str">
        <f>"11937"</f>
        <v>11937</v>
      </c>
      <c r="W2333" t="s">
        <v>118</v>
      </c>
      <c r="Y2333" s="10">
        <v>16313778900</v>
      </c>
      <c r="AA2333">
        <v>561790</v>
      </c>
      <c r="AB2333" t="s">
        <v>9442</v>
      </c>
      <c r="AC2333" t="s">
        <v>2187</v>
      </c>
      <c r="AE2333" t="s">
        <v>654</v>
      </c>
      <c r="AF2333" t="s">
        <v>9440</v>
      </c>
      <c r="AH2333" t="s">
        <v>9441</v>
      </c>
      <c r="AI2333" t="s">
        <v>358</v>
      </c>
      <c r="AJ2333" s="8" t="str">
        <f>"11937"</f>
        <v>11937</v>
      </c>
      <c r="AK2333" t="s">
        <v>118</v>
      </c>
      <c r="AM2333" s="10">
        <v>16313778900</v>
      </c>
      <c r="AO2333" t="s">
        <v>132</v>
      </c>
      <c r="AP2333" t="s">
        <v>248</v>
      </c>
      <c r="AQ2333" t="s">
        <v>354</v>
      </c>
      <c r="AR2333" t="s">
        <v>355</v>
      </c>
      <c r="AT2333" t="s">
        <v>356</v>
      </c>
      <c r="AV2333" t="s">
        <v>357</v>
      </c>
      <c r="AW2333" t="s">
        <v>358</v>
      </c>
      <c r="AX2333" s="8" t="str">
        <f>"11590"</f>
        <v>11590</v>
      </c>
      <c r="AY2333" t="s">
        <v>118</v>
      </c>
      <c r="BA2333" s="10">
        <v>15163307168</v>
      </c>
      <c r="BC2333" t="s">
        <v>359</v>
      </c>
      <c r="BD2333" t="s">
        <v>360</v>
      </c>
      <c r="BG2333" t="s">
        <v>358</v>
      </c>
      <c r="BH2333" s="1">
        <v>45235.791666666664</v>
      </c>
      <c r="BI2333">
        <v>40</v>
      </c>
      <c r="BJ2333">
        <v>0</v>
      </c>
      <c r="BK2333">
        <v>8</v>
      </c>
      <c r="BL2333">
        <v>8</v>
      </c>
      <c r="BM2333">
        <v>8</v>
      </c>
      <c r="BN2333">
        <v>8</v>
      </c>
      <c r="BO2333">
        <v>8</v>
      </c>
      <c r="BP2333">
        <v>0</v>
      </c>
      <c r="BQ2333" t="str">
        <f>"8:00 AM"</f>
        <v>8:00 AM</v>
      </c>
      <c r="BR2333" t="str">
        <f>"5:00 PM"</f>
        <v>5:00 PM</v>
      </c>
      <c r="BS2333" t="s">
        <v>131</v>
      </c>
      <c r="BT2333">
        <v>0</v>
      </c>
      <c r="BU2333">
        <v>3</v>
      </c>
      <c r="BV2333" t="s">
        <v>114</v>
      </c>
      <c r="BX2333" t="s">
        <v>14768</v>
      </c>
      <c r="BY2333" t="s">
        <v>9443</v>
      </c>
      <c r="CA2333" t="s">
        <v>9441</v>
      </c>
      <c r="CB2333" t="s">
        <v>358</v>
      </c>
      <c r="CC2333" s="8" t="str">
        <f>"11937"</f>
        <v>11937</v>
      </c>
      <c r="CD2333" t="s">
        <v>1752</v>
      </c>
      <c r="CE2333" t="s">
        <v>1418</v>
      </c>
      <c r="CF2333" s="12">
        <v>20.14</v>
      </c>
      <c r="CG2333" s="12">
        <v>20.14</v>
      </c>
      <c r="CH2333" s="12">
        <v>30.21</v>
      </c>
      <c r="CI2333" s="12">
        <v>30.21</v>
      </c>
      <c r="CJ2333" t="s">
        <v>135</v>
      </c>
      <c r="CK2333" t="s">
        <v>132</v>
      </c>
      <c r="CL2333" t="s">
        <v>14717</v>
      </c>
      <c r="CO2333" t="s">
        <v>132</v>
      </c>
      <c r="CP2333" t="s">
        <v>136</v>
      </c>
      <c r="CQ2333" t="s">
        <v>136</v>
      </c>
      <c r="CR2333" t="s">
        <v>136</v>
      </c>
      <c r="CS2333" t="s">
        <v>114</v>
      </c>
      <c r="CT2333" t="s">
        <v>136</v>
      </c>
      <c r="CU2333" t="s">
        <v>114</v>
      </c>
      <c r="CV2333" t="s">
        <v>1480</v>
      </c>
      <c r="CW2333" s="10" t="str">
        <f>"+16313778900"</f>
        <v>+16313778900</v>
      </c>
      <c r="CX2333" t="s">
        <v>9445</v>
      </c>
      <c r="CY2333" t="s">
        <v>132</v>
      </c>
      <c r="CZ2333" t="s">
        <v>137</v>
      </c>
      <c r="DA2333" t="s">
        <v>114</v>
      </c>
      <c r="DB2333" t="s">
        <v>114</v>
      </c>
      <c r="DC2333" t="s">
        <v>136</v>
      </c>
      <c r="DD2333" t="s">
        <v>114</v>
      </c>
    </row>
    <row r="2334" spans="1:113" ht="15" customHeight="1" x14ac:dyDescent="0.25">
      <c r="A2334" t="s">
        <v>23932</v>
      </c>
      <c r="B2334" t="s">
        <v>368</v>
      </c>
      <c r="C2334" s="1">
        <v>45241.633362615743</v>
      </c>
      <c r="D2334" s="1">
        <v>45267</v>
      </c>
      <c r="E2334" t="s">
        <v>132</v>
      </c>
      <c r="F2334" t="s">
        <v>2376</v>
      </c>
      <c r="G2334" t="str">
        <f>"51-3023.00"</f>
        <v>51-3023.00</v>
      </c>
      <c r="H2334" t="s">
        <v>2377</v>
      </c>
      <c r="I2334">
        <v>28</v>
      </c>
      <c r="K2334" s="1">
        <v>45323</v>
      </c>
      <c r="L2334" s="1">
        <v>45626</v>
      </c>
      <c r="O2334" t="s">
        <v>116</v>
      </c>
      <c r="P2334" t="s">
        <v>23933</v>
      </c>
      <c r="R2334" t="s">
        <v>23934</v>
      </c>
      <c r="T2334" t="s">
        <v>23935</v>
      </c>
      <c r="U2334" t="s">
        <v>1825</v>
      </c>
      <c r="V2334" s="8" t="str">
        <f>"72764"</f>
        <v>72764</v>
      </c>
      <c r="W2334" t="s">
        <v>118</v>
      </c>
      <c r="Y2334" s="10">
        <v>14797175225</v>
      </c>
      <c r="AA2334">
        <v>311615</v>
      </c>
      <c r="AB2334" t="s">
        <v>23936</v>
      </c>
      <c r="AC2334" t="s">
        <v>23937</v>
      </c>
      <c r="AE2334" t="s">
        <v>23938</v>
      </c>
      <c r="AF2334" t="s">
        <v>23934</v>
      </c>
      <c r="AH2334" t="s">
        <v>23935</v>
      </c>
      <c r="AI2334" t="s">
        <v>1825</v>
      </c>
      <c r="AJ2334" s="8" t="str">
        <f>"72764"</f>
        <v>72764</v>
      </c>
      <c r="AK2334" t="s">
        <v>118</v>
      </c>
      <c r="AM2334" s="10">
        <v>14797175225</v>
      </c>
      <c r="AO2334" t="s">
        <v>23939</v>
      </c>
      <c r="AP2334" t="s">
        <v>121</v>
      </c>
      <c r="AQ2334" t="s">
        <v>2173</v>
      </c>
      <c r="AR2334" t="s">
        <v>2174</v>
      </c>
      <c r="AS2334" t="s">
        <v>1829</v>
      </c>
      <c r="AT2334" t="s">
        <v>2175</v>
      </c>
      <c r="AV2334" t="s">
        <v>2176</v>
      </c>
      <c r="AW2334" t="s">
        <v>386</v>
      </c>
      <c r="AX2334" s="8" t="str">
        <f>"37110"</f>
        <v>37110</v>
      </c>
      <c r="AY2334" t="s">
        <v>118</v>
      </c>
      <c r="BA2334" s="10">
        <v>19312747811</v>
      </c>
      <c r="BC2334" t="s">
        <v>2177</v>
      </c>
      <c r="BD2334" t="s">
        <v>2178</v>
      </c>
      <c r="BE2334" t="s">
        <v>386</v>
      </c>
      <c r="BF2334" t="s">
        <v>2179</v>
      </c>
      <c r="BG2334" t="s">
        <v>1825</v>
      </c>
      <c r="BH2334" s="1">
        <v>45237.791666666664</v>
      </c>
      <c r="BI2334">
        <v>40</v>
      </c>
      <c r="BJ2334">
        <v>0</v>
      </c>
      <c r="BK2334">
        <v>8</v>
      </c>
      <c r="BL2334">
        <v>8</v>
      </c>
      <c r="BM2334">
        <v>8</v>
      </c>
      <c r="BN2334">
        <v>8</v>
      </c>
      <c r="BO2334">
        <v>8</v>
      </c>
      <c r="BP2334">
        <v>0</v>
      </c>
      <c r="BQ2334" t="str">
        <f>"7:00 AM"</f>
        <v>7:00 AM</v>
      </c>
      <c r="BR2334" t="str">
        <f>"4:00 PM"</f>
        <v>4:00 PM</v>
      </c>
      <c r="BS2334" t="s">
        <v>131</v>
      </c>
      <c r="BT2334">
        <v>0</v>
      </c>
      <c r="BU2334">
        <v>0</v>
      </c>
      <c r="BV2334" t="s">
        <v>114</v>
      </c>
      <c r="BX2334" s="2" t="s">
        <v>23940</v>
      </c>
      <c r="BY2334" t="s">
        <v>23934</v>
      </c>
      <c r="CA2334" t="s">
        <v>23935</v>
      </c>
      <c r="CB2334" t="s">
        <v>1825</v>
      </c>
      <c r="CC2334" s="8" t="str">
        <f>"72764"</f>
        <v>72764</v>
      </c>
      <c r="CD2334" t="s">
        <v>806</v>
      </c>
      <c r="CE2334" t="s">
        <v>7765</v>
      </c>
      <c r="CF2334" s="12">
        <v>17.71</v>
      </c>
      <c r="CH2334" s="12">
        <v>26.57</v>
      </c>
      <c r="CJ2334" t="s">
        <v>135</v>
      </c>
      <c r="CK2334" t="s">
        <v>2181</v>
      </c>
      <c r="CL2334" t="s">
        <v>23941</v>
      </c>
      <c r="CO2334" t="s">
        <v>132</v>
      </c>
      <c r="CP2334" t="s">
        <v>114</v>
      </c>
      <c r="CQ2334" t="s">
        <v>136</v>
      </c>
      <c r="CR2334" t="s">
        <v>136</v>
      </c>
      <c r="CS2334" t="s">
        <v>114</v>
      </c>
      <c r="CT2334" t="s">
        <v>136</v>
      </c>
      <c r="CU2334" t="s">
        <v>114</v>
      </c>
      <c r="CV2334" t="s">
        <v>131</v>
      </c>
      <c r="CW2334" s="10" t="str">
        <f>"+14797175225"</f>
        <v>+14797175225</v>
      </c>
      <c r="CX2334" t="s">
        <v>23942</v>
      </c>
      <c r="CY2334" t="s">
        <v>132</v>
      </c>
      <c r="CZ2334" t="s">
        <v>137</v>
      </c>
      <c r="DA2334" t="s">
        <v>114</v>
      </c>
      <c r="DB2334" t="s">
        <v>114</v>
      </c>
      <c r="DC2334" t="s">
        <v>136</v>
      </c>
      <c r="DD2334" t="s">
        <v>114</v>
      </c>
    </row>
    <row r="2335" spans="1:113" ht="15" customHeight="1" x14ac:dyDescent="0.25">
      <c r="A2335" t="s">
        <v>5687</v>
      </c>
      <c r="B2335" t="s">
        <v>368</v>
      </c>
      <c r="C2335" s="1">
        <v>45265.717375462962</v>
      </c>
      <c r="D2335" s="1">
        <v>45265</v>
      </c>
      <c r="E2335" t="s">
        <v>132</v>
      </c>
      <c r="F2335" t="s">
        <v>5688</v>
      </c>
      <c r="G2335" t="str">
        <f>"37-3011.00"</f>
        <v>37-3011.00</v>
      </c>
      <c r="H2335" t="s">
        <v>429</v>
      </c>
      <c r="I2335">
        <v>35</v>
      </c>
      <c r="K2335" s="1">
        <v>45355</v>
      </c>
      <c r="L2335" s="1">
        <v>45610</v>
      </c>
      <c r="O2335" t="s">
        <v>116</v>
      </c>
      <c r="P2335" t="s">
        <v>5689</v>
      </c>
      <c r="R2335" t="s">
        <v>5690</v>
      </c>
      <c r="T2335" t="s">
        <v>2123</v>
      </c>
      <c r="U2335" t="s">
        <v>550</v>
      </c>
      <c r="V2335" s="8" t="str">
        <f>"31557"</f>
        <v>31557</v>
      </c>
      <c r="W2335" t="s">
        <v>118</v>
      </c>
      <c r="Y2335" s="10">
        <v>19126476547</v>
      </c>
      <c r="AA2335">
        <v>56173</v>
      </c>
      <c r="AB2335" t="s">
        <v>2732</v>
      </c>
      <c r="AC2335" t="s">
        <v>5691</v>
      </c>
      <c r="AE2335" t="s">
        <v>561</v>
      </c>
      <c r="AF2335" t="s">
        <v>5690</v>
      </c>
      <c r="AH2335" t="s">
        <v>2123</v>
      </c>
      <c r="AI2335" t="s">
        <v>550</v>
      </c>
      <c r="AJ2335" s="8" t="str">
        <f>"31557"</f>
        <v>31557</v>
      </c>
      <c r="AK2335" t="s">
        <v>118</v>
      </c>
      <c r="AM2335" s="10">
        <v>19126476547</v>
      </c>
      <c r="AO2335" t="s">
        <v>5692</v>
      </c>
      <c r="AP2335" t="s">
        <v>248</v>
      </c>
      <c r="AQ2335" t="s">
        <v>3008</v>
      </c>
      <c r="AR2335" t="s">
        <v>3009</v>
      </c>
      <c r="AS2335" t="s">
        <v>132</v>
      </c>
      <c r="AT2335" t="s">
        <v>1253</v>
      </c>
      <c r="AU2335" t="s">
        <v>852</v>
      </c>
      <c r="AV2335" t="s">
        <v>853</v>
      </c>
      <c r="AW2335" t="s">
        <v>854</v>
      </c>
      <c r="AX2335" s="8" t="str">
        <f>"83814"</f>
        <v>83814</v>
      </c>
      <c r="AY2335" t="s">
        <v>118</v>
      </c>
      <c r="BA2335" s="10">
        <v>12087772654</v>
      </c>
      <c r="BC2335" t="s">
        <v>3010</v>
      </c>
      <c r="BD2335" t="s">
        <v>856</v>
      </c>
      <c r="BG2335" t="s">
        <v>550</v>
      </c>
      <c r="BH2335" s="1">
        <v>45263.791666666664</v>
      </c>
      <c r="BI2335">
        <v>40</v>
      </c>
      <c r="BJ2335">
        <v>0</v>
      </c>
      <c r="BK2335">
        <v>8</v>
      </c>
      <c r="BL2335">
        <v>8</v>
      </c>
      <c r="BM2335">
        <v>8</v>
      </c>
      <c r="BN2335">
        <v>8</v>
      </c>
      <c r="BO2335">
        <v>8</v>
      </c>
      <c r="BP2335">
        <v>0</v>
      </c>
      <c r="BQ2335" t="str">
        <f>"8:00 AM"</f>
        <v>8:00 AM</v>
      </c>
      <c r="BR2335" t="str">
        <f>"5:00 PM"</f>
        <v>5:00 PM</v>
      </c>
      <c r="BS2335" t="s">
        <v>131</v>
      </c>
      <c r="BT2335">
        <v>0</v>
      </c>
      <c r="BU2335">
        <v>3</v>
      </c>
      <c r="BV2335" t="s">
        <v>114</v>
      </c>
      <c r="BX2335" t="s">
        <v>5693</v>
      </c>
      <c r="BY2335" t="s">
        <v>5694</v>
      </c>
      <c r="CA2335" t="s">
        <v>2123</v>
      </c>
      <c r="CB2335" t="s">
        <v>550</v>
      </c>
      <c r="CC2335" s="8" t="str">
        <f>"31557"</f>
        <v>31557</v>
      </c>
      <c r="CD2335" t="s">
        <v>5695</v>
      </c>
      <c r="CE2335" t="s">
        <v>5696</v>
      </c>
      <c r="CF2335" s="12">
        <v>15.08</v>
      </c>
      <c r="CG2335" s="12">
        <v>16.059999999999999</v>
      </c>
      <c r="CH2335" s="12">
        <v>22.62</v>
      </c>
      <c r="CI2335" s="12">
        <v>24.09</v>
      </c>
      <c r="CJ2335" t="s">
        <v>135</v>
      </c>
      <c r="CK2335" t="s">
        <v>1899</v>
      </c>
      <c r="CL2335" t="s">
        <v>5697</v>
      </c>
      <c r="CO2335" t="s">
        <v>132</v>
      </c>
      <c r="CP2335" t="s">
        <v>136</v>
      </c>
      <c r="CQ2335" t="s">
        <v>136</v>
      </c>
      <c r="CR2335" t="s">
        <v>136</v>
      </c>
      <c r="CS2335" t="s">
        <v>114</v>
      </c>
      <c r="CT2335" t="s">
        <v>136</v>
      </c>
      <c r="CU2335" t="s">
        <v>136</v>
      </c>
      <c r="CV2335" t="s">
        <v>1040</v>
      </c>
      <c r="CW2335" s="10" t="str">
        <f>"+19127227834"</f>
        <v>+19127227834</v>
      </c>
      <c r="CX2335" t="s">
        <v>5692</v>
      </c>
      <c r="CY2335" t="s">
        <v>132</v>
      </c>
      <c r="CZ2335" t="s">
        <v>137</v>
      </c>
      <c r="DA2335" t="s">
        <v>114</v>
      </c>
      <c r="DB2335" t="s">
        <v>136</v>
      </c>
      <c r="DC2335" t="s">
        <v>136</v>
      </c>
      <c r="DD2335" t="s">
        <v>114</v>
      </c>
    </row>
    <row r="2336" spans="1:113" ht="15" customHeight="1" x14ac:dyDescent="0.25">
      <c r="A2336" t="s">
        <v>17812</v>
      </c>
      <c r="B2336" t="s">
        <v>368</v>
      </c>
      <c r="C2336" s="1">
        <v>45262.041331944441</v>
      </c>
      <c r="D2336" s="1">
        <v>45264</v>
      </c>
      <c r="E2336" t="s">
        <v>132</v>
      </c>
      <c r="F2336" t="s">
        <v>1595</v>
      </c>
      <c r="G2336" t="str">
        <f>"37-3011.00"</f>
        <v>37-3011.00</v>
      </c>
      <c r="H2336" t="s">
        <v>429</v>
      </c>
      <c r="I2336">
        <v>9</v>
      </c>
      <c r="K2336" s="1">
        <v>45352</v>
      </c>
      <c r="L2336" s="1">
        <v>45626</v>
      </c>
      <c r="O2336" t="s">
        <v>116</v>
      </c>
      <c r="P2336" t="s">
        <v>17813</v>
      </c>
      <c r="R2336" t="s">
        <v>17814</v>
      </c>
      <c r="T2336" t="s">
        <v>187</v>
      </c>
      <c r="U2336" t="s">
        <v>375</v>
      </c>
      <c r="V2336" s="8" t="str">
        <f>"28037"</f>
        <v>28037</v>
      </c>
      <c r="W2336" t="s">
        <v>118</v>
      </c>
      <c r="Y2336" s="10">
        <v>17044585531</v>
      </c>
      <c r="AA2336">
        <v>56173</v>
      </c>
      <c r="AB2336" t="s">
        <v>17815</v>
      </c>
      <c r="AC2336" t="s">
        <v>218</v>
      </c>
      <c r="AE2336" t="s">
        <v>378</v>
      </c>
      <c r="AF2336" t="s">
        <v>17814</v>
      </c>
      <c r="AH2336" t="s">
        <v>187</v>
      </c>
      <c r="AI2336" t="s">
        <v>375</v>
      </c>
      <c r="AJ2336" s="8" t="str">
        <f>"28037"</f>
        <v>28037</v>
      </c>
      <c r="AK2336" t="s">
        <v>118</v>
      </c>
      <c r="AM2336" s="10">
        <v>17044585531</v>
      </c>
      <c r="AO2336" t="s">
        <v>17816</v>
      </c>
      <c r="AP2336" t="s">
        <v>248</v>
      </c>
      <c r="AQ2336" t="s">
        <v>849</v>
      </c>
      <c r="AR2336" t="s">
        <v>850</v>
      </c>
      <c r="AS2336" t="s">
        <v>132</v>
      </c>
      <c r="AT2336" t="s">
        <v>851</v>
      </c>
      <c r="AU2336" t="s">
        <v>852</v>
      </c>
      <c r="AV2336" t="s">
        <v>853</v>
      </c>
      <c r="AW2336" t="s">
        <v>854</v>
      </c>
      <c r="AX2336" s="8" t="str">
        <f>"83814"</f>
        <v>83814</v>
      </c>
      <c r="AY2336" t="s">
        <v>118</v>
      </c>
      <c r="BA2336" s="10">
        <v>12087772654</v>
      </c>
      <c r="BC2336" t="s">
        <v>855</v>
      </c>
      <c r="BD2336" t="s">
        <v>856</v>
      </c>
      <c r="BG2336" t="s">
        <v>375</v>
      </c>
      <c r="BH2336" s="1">
        <v>45244.791666666664</v>
      </c>
      <c r="BI2336">
        <v>40</v>
      </c>
      <c r="BJ2336">
        <v>0</v>
      </c>
      <c r="BK2336">
        <v>8</v>
      </c>
      <c r="BL2336">
        <v>8</v>
      </c>
      <c r="BM2336">
        <v>8</v>
      </c>
      <c r="BN2336">
        <v>8</v>
      </c>
      <c r="BO2336">
        <v>8</v>
      </c>
      <c r="BP2336">
        <v>0</v>
      </c>
      <c r="BQ2336" t="str">
        <f>"7:00 AM"</f>
        <v>7:00 AM</v>
      </c>
      <c r="BR2336" t="str">
        <f>"7:00 PM"</f>
        <v>7:00 PM</v>
      </c>
      <c r="BS2336" t="s">
        <v>131</v>
      </c>
      <c r="BT2336">
        <v>0</v>
      </c>
      <c r="BU2336">
        <v>0</v>
      </c>
      <c r="BV2336" t="s">
        <v>114</v>
      </c>
      <c r="BX2336" s="2" t="s">
        <v>17817</v>
      </c>
      <c r="BY2336" t="s">
        <v>17818</v>
      </c>
      <c r="CA2336" t="s">
        <v>187</v>
      </c>
      <c r="CB2336" t="s">
        <v>375</v>
      </c>
      <c r="CC2336" s="8" t="str">
        <f>"28037"</f>
        <v>28037</v>
      </c>
      <c r="CD2336" t="s">
        <v>2150</v>
      </c>
      <c r="CE2336" t="s">
        <v>2940</v>
      </c>
      <c r="CF2336" s="12">
        <v>17.41</v>
      </c>
      <c r="CG2336" s="12">
        <v>18</v>
      </c>
      <c r="CH2336" s="12">
        <v>26.12</v>
      </c>
      <c r="CI2336" s="12">
        <v>27</v>
      </c>
      <c r="CJ2336" t="s">
        <v>135</v>
      </c>
      <c r="CK2336" t="s">
        <v>1899</v>
      </c>
      <c r="CL2336" t="s">
        <v>14769</v>
      </c>
      <c r="CO2336" t="s">
        <v>132</v>
      </c>
      <c r="CP2336" t="s">
        <v>136</v>
      </c>
      <c r="CQ2336" t="s">
        <v>136</v>
      </c>
      <c r="CR2336" t="s">
        <v>136</v>
      </c>
      <c r="CS2336" t="s">
        <v>136</v>
      </c>
      <c r="CT2336" t="s">
        <v>136</v>
      </c>
      <c r="CU2336" t="s">
        <v>114</v>
      </c>
      <c r="CV2336" t="s">
        <v>1040</v>
      </c>
      <c r="CW2336" s="10" t="str">
        <f>"+17044585531"</f>
        <v>+17044585531</v>
      </c>
      <c r="CX2336" t="s">
        <v>17816</v>
      </c>
      <c r="CY2336" t="s">
        <v>132</v>
      </c>
      <c r="CZ2336" t="s">
        <v>137</v>
      </c>
      <c r="DA2336" t="s">
        <v>114</v>
      </c>
      <c r="DB2336" t="s">
        <v>136</v>
      </c>
      <c r="DC2336" t="s">
        <v>136</v>
      </c>
      <c r="DD2336" t="s">
        <v>114</v>
      </c>
    </row>
    <row r="2337" spans="1:113" ht="15" customHeight="1" x14ac:dyDescent="0.25">
      <c r="A2337" t="s">
        <v>16488</v>
      </c>
      <c r="B2337" t="s">
        <v>368</v>
      </c>
      <c r="C2337" s="1">
        <v>45250.63479340278</v>
      </c>
      <c r="D2337" s="1">
        <v>45259</v>
      </c>
      <c r="E2337" t="s">
        <v>132</v>
      </c>
      <c r="F2337" t="s">
        <v>1595</v>
      </c>
      <c r="G2337" t="str">
        <f>"37-3011.00"</f>
        <v>37-3011.00</v>
      </c>
      <c r="H2337" t="s">
        <v>429</v>
      </c>
      <c r="I2337">
        <v>20</v>
      </c>
      <c r="K2337" s="1">
        <v>45338</v>
      </c>
      <c r="L2337" s="1">
        <v>45641</v>
      </c>
      <c r="O2337" t="s">
        <v>238</v>
      </c>
      <c r="P2337" t="s">
        <v>8127</v>
      </c>
      <c r="R2337" t="s">
        <v>8128</v>
      </c>
      <c r="T2337" t="s">
        <v>5635</v>
      </c>
      <c r="U2337" t="s">
        <v>984</v>
      </c>
      <c r="V2337" s="8" t="str">
        <f>"63038"</f>
        <v>63038</v>
      </c>
      <c r="W2337" t="s">
        <v>118</v>
      </c>
      <c r="Y2337" s="10">
        <v>13145686332</v>
      </c>
      <c r="AA2337">
        <v>561730</v>
      </c>
      <c r="AB2337" t="s">
        <v>8129</v>
      </c>
      <c r="AC2337" t="s">
        <v>2787</v>
      </c>
      <c r="AD2337" t="s">
        <v>1217</v>
      </c>
      <c r="AE2337" t="s">
        <v>629</v>
      </c>
      <c r="AF2337" t="s">
        <v>8128</v>
      </c>
      <c r="AH2337" t="s">
        <v>5635</v>
      </c>
      <c r="AI2337" t="s">
        <v>984</v>
      </c>
      <c r="AJ2337" s="8" t="str">
        <f>"64038"</f>
        <v>64038</v>
      </c>
      <c r="AK2337" t="s">
        <v>118</v>
      </c>
      <c r="AM2337" s="10">
        <v>13145686332</v>
      </c>
      <c r="AO2337" t="s">
        <v>8130</v>
      </c>
      <c r="AP2337" t="s">
        <v>121</v>
      </c>
      <c r="AQ2337" t="s">
        <v>4020</v>
      </c>
      <c r="AR2337" t="s">
        <v>2631</v>
      </c>
      <c r="AS2337" t="s">
        <v>3351</v>
      </c>
      <c r="AT2337" t="s">
        <v>8131</v>
      </c>
      <c r="AU2337" t="s">
        <v>167</v>
      </c>
      <c r="AV2337" t="s">
        <v>2848</v>
      </c>
      <c r="AW2337" t="s">
        <v>984</v>
      </c>
      <c r="AX2337" s="8" t="str">
        <f>"63105"</f>
        <v>63105</v>
      </c>
      <c r="AY2337" t="s">
        <v>118</v>
      </c>
      <c r="BA2337" s="10">
        <v>13144801500</v>
      </c>
      <c r="BC2337" t="s">
        <v>7475</v>
      </c>
      <c r="BD2337" t="s">
        <v>8132</v>
      </c>
      <c r="BE2337" t="s">
        <v>984</v>
      </c>
      <c r="BF2337" t="s">
        <v>7476</v>
      </c>
      <c r="BG2337" t="s">
        <v>984</v>
      </c>
      <c r="BH2337" s="1">
        <v>45249.791666666664</v>
      </c>
      <c r="BI2337">
        <v>35</v>
      </c>
      <c r="BJ2337">
        <v>0</v>
      </c>
      <c r="BK2337">
        <v>7</v>
      </c>
      <c r="BL2337">
        <v>7</v>
      </c>
      <c r="BM2337">
        <v>7</v>
      </c>
      <c r="BN2337">
        <v>7</v>
      </c>
      <c r="BO2337">
        <v>7</v>
      </c>
      <c r="BP2337">
        <v>0</v>
      </c>
      <c r="BQ2337" t="str">
        <f>"7:30 AM"</f>
        <v>7:30 AM</v>
      </c>
      <c r="BR2337" t="str">
        <f>"3:30 PM"</f>
        <v>3:30 PM</v>
      </c>
      <c r="BS2337" t="s">
        <v>131</v>
      </c>
      <c r="BT2337">
        <v>0</v>
      </c>
      <c r="BU2337">
        <v>0</v>
      </c>
      <c r="BV2337" t="s">
        <v>114</v>
      </c>
      <c r="BX2337" t="s">
        <v>796</v>
      </c>
      <c r="BY2337" t="s">
        <v>8133</v>
      </c>
      <c r="CA2337" t="s">
        <v>8134</v>
      </c>
      <c r="CB2337" t="s">
        <v>984</v>
      </c>
      <c r="CC2337" s="8" t="str">
        <f>"63038"</f>
        <v>63038</v>
      </c>
      <c r="CD2337" t="s">
        <v>2851</v>
      </c>
      <c r="CE2337" t="s">
        <v>1856</v>
      </c>
      <c r="CF2337" s="12">
        <v>17.579999999999998</v>
      </c>
      <c r="CG2337" s="12">
        <v>17.579999999999998</v>
      </c>
      <c r="CH2337" s="12">
        <v>26.37</v>
      </c>
      <c r="CI2337" s="12">
        <v>26.37</v>
      </c>
      <c r="CJ2337" t="s">
        <v>135</v>
      </c>
      <c r="CL2337" t="s">
        <v>8135</v>
      </c>
      <c r="CO2337" t="s">
        <v>132</v>
      </c>
      <c r="CP2337" t="s">
        <v>136</v>
      </c>
      <c r="CQ2337" t="s">
        <v>136</v>
      </c>
      <c r="CR2337" t="s">
        <v>136</v>
      </c>
      <c r="CS2337" t="s">
        <v>114</v>
      </c>
      <c r="CT2337" t="s">
        <v>136</v>
      </c>
      <c r="CU2337" t="s">
        <v>114</v>
      </c>
      <c r="CV2337" t="s">
        <v>16489</v>
      </c>
      <c r="CW2337" s="10" t="str">
        <f>"+13145686332"</f>
        <v>+13145686332</v>
      </c>
      <c r="CX2337" t="s">
        <v>8130</v>
      </c>
      <c r="CY2337" t="s">
        <v>132</v>
      </c>
      <c r="CZ2337" t="s">
        <v>137</v>
      </c>
      <c r="DA2337" t="s">
        <v>114</v>
      </c>
      <c r="DB2337" t="s">
        <v>114</v>
      </c>
      <c r="DC2337" t="s">
        <v>136</v>
      </c>
      <c r="DD2337" t="s">
        <v>114</v>
      </c>
    </row>
    <row r="2338" spans="1:113" ht="15" customHeight="1" x14ac:dyDescent="0.25">
      <c r="A2338" t="s">
        <v>6248</v>
      </c>
      <c r="B2338" t="s">
        <v>368</v>
      </c>
      <c r="C2338" s="1">
        <v>45146.504467592589</v>
      </c>
      <c r="D2338" s="1">
        <v>45259</v>
      </c>
      <c r="E2338" t="s">
        <v>114</v>
      </c>
      <c r="F2338" t="s">
        <v>1595</v>
      </c>
      <c r="G2338" t="str">
        <f>"37-3011.00"</f>
        <v>37-3011.00</v>
      </c>
      <c r="H2338" t="s">
        <v>429</v>
      </c>
      <c r="I2338">
        <v>15</v>
      </c>
      <c r="K2338" s="1">
        <v>45221</v>
      </c>
      <c r="L2338" s="1">
        <v>45260</v>
      </c>
      <c r="O2338" t="s">
        <v>238</v>
      </c>
      <c r="P2338" t="s">
        <v>4805</v>
      </c>
      <c r="R2338" t="s">
        <v>4806</v>
      </c>
      <c r="T2338" t="s">
        <v>3628</v>
      </c>
      <c r="U2338" t="s">
        <v>158</v>
      </c>
      <c r="V2338" s="8" t="str">
        <f>"48315"</f>
        <v>48315</v>
      </c>
      <c r="W2338" t="s">
        <v>118</v>
      </c>
      <c r="Y2338" s="10">
        <v>15864530501</v>
      </c>
      <c r="AA2338">
        <v>56173</v>
      </c>
      <c r="AB2338" t="s">
        <v>4807</v>
      </c>
      <c r="AC2338" t="s">
        <v>1826</v>
      </c>
      <c r="AD2338" t="s">
        <v>150</v>
      </c>
      <c r="AE2338" t="s">
        <v>987</v>
      </c>
      <c r="AF2338" t="s">
        <v>4806</v>
      </c>
      <c r="AH2338" t="s">
        <v>3628</v>
      </c>
      <c r="AI2338" t="s">
        <v>158</v>
      </c>
      <c r="AJ2338" s="8" t="str">
        <f>"48315"</f>
        <v>48315</v>
      </c>
      <c r="AK2338" t="s">
        <v>118</v>
      </c>
      <c r="AM2338" s="10">
        <v>15864530501</v>
      </c>
      <c r="AO2338" t="s">
        <v>132</v>
      </c>
      <c r="AP2338" t="s">
        <v>248</v>
      </c>
      <c r="AQ2338" t="s">
        <v>577</v>
      </c>
      <c r="AR2338" t="s">
        <v>578</v>
      </c>
      <c r="AT2338" t="s">
        <v>579</v>
      </c>
      <c r="AV2338" t="s">
        <v>580</v>
      </c>
      <c r="AW2338" t="s">
        <v>581</v>
      </c>
      <c r="AX2338" s="8" t="str">
        <f>"22903"</f>
        <v>22903</v>
      </c>
      <c r="AY2338" t="s">
        <v>118</v>
      </c>
      <c r="BA2338" s="10">
        <v>14342634300</v>
      </c>
      <c r="BC2338" t="s">
        <v>6249</v>
      </c>
      <c r="BD2338" t="s">
        <v>583</v>
      </c>
      <c r="BG2338" t="s">
        <v>158</v>
      </c>
      <c r="BH2338" s="1">
        <v>45145.833333333336</v>
      </c>
      <c r="BI2338">
        <v>40</v>
      </c>
      <c r="BJ2338">
        <v>0</v>
      </c>
      <c r="BK2338">
        <v>8</v>
      </c>
      <c r="BL2338">
        <v>8</v>
      </c>
      <c r="BM2338">
        <v>8</v>
      </c>
      <c r="BN2338">
        <v>8</v>
      </c>
      <c r="BO2338">
        <v>8</v>
      </c>
      <c r="BP2338">
        <v>0</v>
      </c>
      <c r="BQ2338" t="str">
        <f>"7:00 AM"</f>
        <v>7:00 AM</v>
      </c>
      <c r="BR2338" t="str">
        <f>"3:00 PM"</f>
        <v>3:00 PM</v>
      </c>
      <c r="BS2338" t="s">
        <v>131</v>
      </c>
      <c r="BT2338">
        <v>0</v>
      </c>
      <c r="BU2338">
        <v>0</v>
      </c>
      <c r="BV2338" t="s">
        <v>114</v>
      </c>
      <c r="BX2338" s="2" t="s">
        <v>4808</v>
      </c>
      <c r="BY2338" t="s">
        <v>4809</v>
      </c>
      <c r="CA2338" t="s">
        <v>3628</v>
      </c>
      <c r="CB2338" t="s">
        <v>158</v>
      </c>
      <c r="CC2338" s="8" t="str">
        <f>"48315"</f>
        <v>48315</v>
      </c>
      <c r="CD2338" t="s">
        <v>3452</v>
      </c>
      <c r="CE2338" t="s">
        <v>2228</v>
      </c>
      <c r="CF2338" s="12">
        <v>17.55</v>
      </c>
      <c r="CH2338" s="12">
        <v>26.33</v>
      </c>
      <c r="CJ2338" t="s">
        <v>135</v>
      </c>
      <c r="CK2338" t="s">
        <v>590</v>
      </c>
      <c r="CL2338" t="s">
        <v>6250</v>
      </c>
      <c r="CO2338" t="s">
        <v>132</v>
      </c>
      <c r="CP2338" t="s">
        <v>136</v>
      </c>
      <c r="CQ2338" t="s">
        <v>136</v>
      </c>
      <c r="CR2338" t="s">
        <v>136</v>
      </c>
      <c r="CS2338" t="s">
        <v>136</v>
      </c>
      <c r="CT2338" t="s">
        <v>136</v>
      </c>
      <c r="CU2338" t="s">
        <v>136</v>
      </c>
      <c r="CV2338" t="s">
        <v>6251</v>
      </c>
      <c r="CW2338" s="10" t="str">
        <f>"N/A"</f>
        <v>N/A</v>
      </c>
      <c r="CX2338" t="s">
        <v>4810</v>
      </c>
      <c r="CY2338" t="s">
        <v>3546</v>
      </c>
      <c r="CZ2338" t="s">
        <v>137</v>
      </c>
      <c r="DA2338" t="s">
        <v>114</v>
      </c>
      <c r="DB2338" t="s">
        <v>136</v>
      </c>
      <c r="DC2338" t="s">
        <v>136</v>
      </c>
      <c r="DD2338" t="s">
        <v>114</v>
      </c>
      <c r="DE2338" t="s">
        <v>5698</v>
      </c>
      <c r="DF2338" t="s">
        <v>3175</v>
      </c>
      <c r="DH2338" t="s">
        <v>583</v>
      </c>
      <c r="DI2338" t="s">
        <v>6249</v>
      </c>
    </row>
    <row r="2339" spans="1:113" ht="15" customHeight="1" x14ac:dyDescent="0.25">
      <c r="A2339" t="s">
        <v>23180</v>
      </c>
      <c r="B2339" t="s">
        <v>368</v>
      </c>
      <c r="C2339" s="1">
        <v>43772.377737962961</v>
      </c>
      <c r="D2339" s="1">
        <v>45259</v>
      </c>
      <c r="E2339" t="s">
        <v>114</v>
      </c>
      <c r="F2339" t="s">
        <v>7812</v>
      </c>
      <c r="G2339" t="str">
        <f>"37-3011.00"</f>
        <v>37-3011.00</v>
      </c>
      <c r="H2339" t="s">
        <v>429</v>
      </c>
      <c r="I2339">
        <v>30</v>
      </c>
      <c r="K2339" s="1">
        <v>43862</v>
      </c>
      <c r="L2339" s="1">
        <v>44165</v>
      </c>
      <c r="O2339" t="s">
        <v>238</v>
      </c>
      <c r="P2339" t="s">
        <v>7813</v>
      </c>
      <c r="R2339" t="s">
        <v>7814</v>
      </c>
      <c r="T2339" t="s">
        <v>1764</v>
      </c>
      <c r="U2339" t="s">
        <v>1434</v>
      </c>
      <c r="V2339" s="8" t="str">
        <f>"40508"</f>
        <v>40508</v>
      </c>
      <c r="W2339" t="s">
        <v>118</v>
      </c>
      <c r="Y2339" s="10">
        <v>18599638692</v>
      </c>
      <c r="AA2339">
        <v>56173</v>
      </c>
      <c r="AB2339" t="s">
        <v>7815</v>
      </c>
      <c r="AC2339" t="s">
        <v>1826</v>
      </c>
      <c r="AD2339" t="s">
        <v>3451</v>
      </c>
      <c r="AE2339" t="s">
        <v>629</v>
      </c>
      <c r="AF2339" t="s">
        <v>7814</v>
      </c>
      <c r="AH2339" t="s">
        <v>1764</v>
      </c>
      <c r="AI2339" t="s">
        <v>1434</v>
      </c>
      <c r="AJ2339" s="8" t="str">
        <f>"40508"</f>
        <v>40508</v>
      </c>
      <c r="AK2339" t="s">
        <v>118</v>
      </c>
      <c r="AM2339" s="10">
        <v>18599638692</v>
      </c>
      <c r="AO2339" t="s">
        <v>7816</v>
      </c>
      <c r="AX2339" s="8" t="str">
        <f>""</f>
        <v/>
      </c>
      <c r="BG2339" t="s">
        <v>1434</v>
      </c>
      <c r="BH2339" s="1">
        <v>43759.833333333336</v>
      </c>
      <c r="BI2339">
        <v>40</v>
      </c>
      <c r="BJ2339">
        <v>0</v>
      </c>
      <c r="BK2339">
        <v>8</v>
      </c>
      <c r="BL2339">
        <v>8</v>
      </c>
      <c r="BM2339">
        <v>8</v>
      </c>
      <c r="BN2339">
        <v>8</v>
      </c>
      <c r="BO2339">
        <v>8</v>
      </c>
      <c r="BP2339">
        <v>0</v>
      </c>
      <c r="BQ2339" t="str">
        <f>"8:00 AM"</f>
        <v>8:00 AM</v>
      </c>
      <c r="BR2339" t="str">
        <f>"4:00 PM"</f>
        <v>4:00 PM</v>
      </c>
      <c r="BS2339" t="s">
        <v>131</v>
      </c>
      <c r="BT2339">
        <v>0</v>
      </c>
      <c r="BU2339">
        <v>0</v>
      </c>
      <c r="BV2339" t="s">
        <v>114</v>
      </c>
      <c r="BW2339">
        <v>0</v>
      </c>
      <c r="BX2339" t="s">
        <v>1570</v>
      </c>
      <c r="BY2339" t="s">
        <v>7814</v>
      </c>
      <c r="CA2339" t="s">
        <v>1764</v>
      </c>
      <c r="CB2339" t="s">
        <v>1434</v>
      </c>
      <c r="CC2339" s="8" t="str">
        <f>"40508"</f>
        <v>40508</v>
      </c>
      <c r="CD2339" t="s">
        <v>2868</v>
      </c>
      <c r="CE2339" t="s">
        <v>23181</v>
      </c>
      <c r="CF2339" s="12">
        <v>13.75</v>
      </c>
      <c r="CG2339" s="12">
        <v>13.75</v>
      </c>
      <c r="CH2339" s="12">
        <v>20.63</v>
      </c>
      <c r="CI2339" s="12">
        <v>20.63</v>
      </c>
      <c r="CJ2339" t="s">
        <v>135</v>
      </c>
      <c r="CL2339" t="s">
        <v>23182</v>
      </c>
      <c r="CO2339" t="s">
        <v>132</v>
      </c>
      <c r="CP2339" t="s">
        <v>136</v>
      </c>
      <c r="CQ2339" t="s">
        <v>136</v>
      </c>
      <c r="CR2339" t="s">
        <v>136</v>
      </c>
      <c r="CS2339" t="s">
        <v>136</v>
      </c>
      <c r="CT2339" t="s">
        <v>136</v>
      </c>
      <c r="CU2339" t="s">
        <v>114</v>
      </c>
      <c r="CV2339" t="s">
        <v>132</v>
      </c>
      <c r="CW2339" s="10" t="str">
        <f>"+18599638692"</f>
        <v>+18599638692</v>
      </c>
      <c r="CX2339" t="s">
        <v>7816</v>
      </c>
      <c r="CY2339" t="s">
        <v>796</v>
      </c>
      <c r="CZ2339" t="s">
        <v>137</v>
      </c>
      <c r="DA2339" t="s">
        <v>114</v>
      </c>
      <c r="DB2339" t="s">
        <v>114</v>
      </c>
      <c r="DC2339" t="s">
        <v>136</v>
      </c>
      <c r="DD2339" t="s">
        <v>114</v>
      </c>
    </row>
    <row r="2340" spans="1:113" ht="15" customHeight="1" x14ac:dyDescent="0.25">
      <c r="A2340" t="s">
        <v>15144</v>
      </c>
      <c r="B2340" t="s">
        <v>368</v>
      </c>
      <c r="C2340" s="1">
        <v>45239.66559340278</v>
      </c>
      <c r="D2340" s="1">
        <v>45257</v>
      </c>
      <c r="E2340" t="s">
        <v>132</v>
      </c>
      <c r="F2340" t="s">
        <v>2077</v>
      </c>
      <c r="G2340" t="str">
        <f>"47-2061.00"</f>
        <v>47-2061.00</v>
      </c>
      <c r="H2340" t="s">
        <v>570</v>
      </c>
      <c r="I2340">
        <v>2</v>
      </c>
      <c r="K2340" s="1">
        <v>45280</v>
      </c>
      <c r="L2340" s="1">
        <v>45412</v>
      </c>
      <c r="O2340" t="s">
        <v>116</v>
      </c>
      <c r="P2340" t="s">
        <v>15145</v>
      </c>
      <c r="R2340" t="s">
        <v>15146</v>
      </c>
      <c r="S2340" t="s">
        <v>132</v>
      </c>
      <c r="T2340" t="s">
        <v>15147</v>
      </c>
      <c r="U2340" t="s">
        <v>903</v>
      </c>
      <c r="V2340" s="8" t="str">
        <f>"04970"</f>
        <v>04970</v>
      </c>
      <c r="W2340" t="s">
        <v>118</v>
      </c>
      <c r="X2340" t="s">
        <v>132</v>
      </c>
      <c r="Y2340" s="10">
        <v>12078645671</v>
      </c>
      <c r="AA2340">
        <v>721110</v>
      </c>
      <c r="AB2340" t="s">
        <v>15148</v>
      </c>
      <c r="AC2340" t="s">
        <v>2032</v>
      </c>
      <c r="AD2340" t="s">
        <v>132</v>
      </c>
      <c r="AE2340" t="s">
        <v>1349</v>
      </c>
      <c r="AF2340" t="s">
        <v>15146</v>
      </c>
      <c r="AG2340" t="s">
        <v>132</v>
      </c>
      <c r="AH2340" t="s">
        <v>15147</v>
      </c>
      <c r="AI2340" t="s">
        <v>903</v>
      </c>
      <c r="AJ2340" s="8" t="str">
        <f>"04970"</f>
        <v>04970</v>
      </c>
      <c r="AK2340" t="s">
        <v>118</v>
      </c>
      <c r="AM2340" s="10">
        <v>12078645671</v>
      </c>
      <c r="AN2340">
        <v>113</v>
      </c>
      <c r="AO2340" t="s">
        <v>15149</v>
      </c>
      <c r="AP2340" t="s">
        <v>121</v>
      </c>
      <c r="AQ2340" t="s">
        <v>15150</v>
      </c>
      <c r="AR2340" t="s">
        <v>15151</v>
      </c>
      <c r="AT2340" t="s">
        <v>15152</v>
      </c>
      <c r="AU2340" t="s">
        <v>4617</v>
      </c>
      <c r="AV2340" t="s">
        <v>5539</v>
      </c>
      <c r="AW2340" t="s">
        <v>6049</v>
      </c>
      <c r="AX2340" s="8" t="str">
        <f>"20006"</f>
        <v>20006</v>
      </c>
      <c r="AY2340" t="s">
        <v>118</v>
      </c>
      <c r="BA2340" s="10">
        <v>13054007581</v>
      </c>
      <c r="BC2340" t="s">
        <v>15153</v>
      </c>
      <c r="BD2340" t="s">
        <v>15154</v>
      </c>
      <c r="BE2340" t="s">
        <v>158</v>
      </c>
      <c r="BF2340" t="s">
        <v>2364</v>
      </c>
      <c r="BG2340" t="s">
        <v>903</v>
      </c>
      <c r="BH2340" s="1">
        <v>45238.791666666664</v>
      </c>
      <c r="BI2340">
        <v>40</v>
      </c>
      <c r="BJ2340">
        <v>0</v>
      </c>
      <c r="BK2340">
        <v>8</v>
      </c>
      <c r="BL2340">
        <v>8</v>
      </c>
      <c r="BM2340">
        <v>8</v>
      </c>
      <c r="BN2340">
        <v>8</v>
      </c>
      <c r="BO2340">
        <v>8</v>
      </c>
      <c r="BP2340">
        <v>0</v>
      </c>
      <c r="BQ2340" t="str">
        <f>"6:00 AM"</f>
        <v>6:00 AM</v>
      </c>
      <c r="BR2340" t="str">
        <f>"3:00 PM"</f>
        <v>3:00 PM</v>
      </c>
      <c r="BS2340" t="s">
        <v>131</v>
      </c>
      <c r="BT2340">
        <v>0</v>
      </c>
      <c r="BU2340">
        <v>0</v>
      </c>
      <c r="BV2340" t="s">
        <v>114</v>
      </c>
      <c r="BX2340" s="2" t="s">
        <v>15155</v>
      </c>
      <c r="BY2340" t="s">
        <v>15146</v>
      </c>
      <c r="CA2340" t="s">
        <v>15147</v>
      </c>
      <c r="CB2340" t="s">
        <v>903</v>
      </c>
      <c r="CC2340" s="8" t="str">
        <f>"04970"</f>
        <v>04970</v>
      </c>
      <c r="CD2340" t="s">
        <v>15156</v>
      </c>
      <c r="CE2340" t="s">
        <v>2771</v>
      </c>
      <c r="CF2340" s="12">
        <v>18.170000000000002</v>
      </c>
      <c r="CG2340" s="12">
        <v>18.170000000000002</v>
      </c>
      <c r="CH2340" s="12">
        <v>27.26</v>
      </c>
      <c r="CI2340" s="12">
        <v>27.26</v>
      </c>
      <c r="CJ2340" t="s">
        <v>135</v>
      </c>
      <c r="CK2340" t="s">
        <v>15157</v>
      </c>
      <c r="CL2340" t="s">
        <v>15158</v>
      </c>
      <c r="CO2340" t="s">
        <v>136</v>
      </c>
      <c r="CP2340" t="s">
        <v>114</v>
      </c>
      <c r="CQ2340" t="s">
        <v>136</v>
      </c>
      <c r="CR2340" t="s">
        <v>136</v>
      </c>
      <c r="CS2340" t="s">
        <v>136</v>
      </c>
      <c r="CT2340" t="s">
        <v>136</v>
      </c>
      <c r="CU2340" t="s">
        <v>136</v>
      </c>
      <c r="CV2340" t="s">
        <v>15159</v>
      </c>
      <c r="CW2340" s="10" t="str">
        <f>"+12076237981"</f>
        <v>+12076237981</v>
      </c>
      <c r="CX2340" t="s">
        <v>15160</v>
      </c>
      <c r="CY2340" t="s">
        <v>15161</v>
      </c>
      <c r="CZ2340" t="s">
        <v>137</v>
      </c>
      <c r="DA2340" t="s">
        <v>114</v>
      </c>
      <c r="DB2340" t="s">
        <v>114</v>
      </c>
      <c r="DC2340" t="s">
        <v>136</v>
      </c>
      <c r="DD2340" t="s">
        <v>114</v>
      </c>
    </row>
    <row r="2341" spans="1:113" ht="15" customHeight="1" x14ac:dyDescent="0.25">
      <c r="A2341" t="s">
        <v>14424</v>
      </c>
      <c r="B2341" t="s">
        <v>368</v>
      </c>
      <c r="C2341" s="1">
        <v>45218.813160648147</v>
      </c>
      <c r="D2341" s="1">
        <v>45251</v>
      </c>
      <c r="E2341" t="s">
        <v>132</v>
      </c>
      <c r="F2341" t="s">
        <v>14292</v>
      </c>
      <c r="G2341" t="str">
        <f>"53-7061.00"</f>
        <v>53-7061.00</v>
      </c>
      <c r="H2341" t="s">
        <v>4866</v>
      </c>
      <c r="I2341">
        <v>20</v>
      </c>
      <c r="K2341" s="1">
        <v>45293</v>
      </c>
      <c r="L2341" s="1">
        <v>45442</v>
      </c>
      <c r="O2341" t="s">
        <v>116</v>
      </c>
      <c r="P2341" t="s">
        <v>14293</v>
      </c>
      <c r="R2341" t="s">
        <v>14294</v>
      </c>
      <c r="S2341" t="s">
        <v>14298</v>
      </c>
      <c r="T2341" t="s">
        <v>14296</v>
      </c>
      <c r="U2341" t="s">
        <v>140</v>
      </c>
      <c r="V2341" s="8" t="str">
        <f>"34761"</f>
        <v>34761</v>
      </c>
      <c r="W2341" t="s">
        <v>118</v>
      </c>
      <c r="Y2341" s="10">
        <v>16892057446</v>
      </c>
      <c r="AA2341">
        <v>811192</v>
      </c>
      <c r="AB2341" t="s">
        <v>380</v>
      </c>
      <c r="AC2341" t="s">
        <v>9684</v>
      </c>
      <c r="AD2341" t="s">
        <v>14297</v>
      </c>
      <c r="AE2341" t="s">
        <v>161</v>
      </c>
      <c r="AF2341" t="s">
        <v>14294</v>
      </c>
      <c r="AG2341" t="s">
        <v>14298</v>
      </c>
      <c r="AH2341" t="s">
        <v>14296</v>
      </c>
      <c r="AI2341" t="s">
        <v>140</v>
      </c>
      <c r="AJ2341" s="8" t="str">
        <f>"34761"</f>
        <v>34761</v>
      </c>
      <c r="AK2341" t="s">
        <v>118</v>
      </c>
      <c r="AM2341" s="10">
        <v>16892057446</v>
      </c>
      <c r="AO2341" t="s">
        <v>14299</v>
      </c>
      <c r="AP2341" t="s">
        <v>121</v>
      </c>
      <c r="AQ2341" t="s">
        <v>14300</v>
      </c>
      <c r="AR2341" t="s">
        <v>14301</v>
      </c>
      <c r="AS2341" t="s">
        <v>2709</v>
      </c>
      <c r="AT2341" t="s">
        <v>14302</v>
      </c>
      <c r="AV2341" t="s">
        <v>14303</v>
      </c>
      <c r="AW2341" t="s">
        <v>402</v>
      </c>
      <c r="AX2341" s="8" t="str">
        <f>"92106"</f>
        <v>92106</v>
      </c>
      <c r="AY2341" t="s">
        <v>118</v>
      </c>
      <c r="BA2341" s="10">
        <v>16192696164</v>
      </c>
      <c r="BC2341" t="s">
        <v>14304</v>
      </c>
      <c r="BD2341" t="s">
        <v>14305</v>
      </c>
      <c r="BE2341" t="s">
        <v>402</v>
      </c>
      <c r="BF2341" t="s">
        <v>4644</v>
      </c>
      <c r="BG2341" t="s">
        <v>169</v>
      </c>
      <c r="BH2341" s="1">
        <v>45210.833333333336</v>
      </c>
      <c r="BI2341">
        <v>40</v>
      </c>
      <c r="BJ2341">
        <v>0</v>
      </c>
      <c r="BK2341">
        <v>8</v>
      </c>
      <c r="BL2341">
        <v>8</v>
      </c>
      <c r="BM2341">
        <v>8</v>
      </c>
      <c r="BN2341">
        <v>8</v>
      </c>
      <c r="BO2341">
        <v>8</v>
      </c>
      <c r="BP2341">
        <v>0</v>
      </c>
      <c r="BQ2341" t="str">
        <f>"6:00 AM"</f>
        <v>6:00 AM</v>
      </c>
      <c r="BR2341" t="str">
        <f>"3:00 PM"</f>
        <v>3:00 PM</v>
      </c>
      <c r="BS2341" t="s">
        <v>131</v>
      </c>
      <c r="BT2341">
        <v>0</v>
      </c>
      <c r="BU2341">
        <v>0</v>
      </c>
      <c r="BV2341" t="s">
        <v>114</v>
      </c>
      <c r="BX2341" t="s">
        <v>14306</v>
      </c>
      <c r="BY2341" t="s">
        <v>14425</v>
      </c>
      <c r="CA2341" t="s">
        <v>14426</v>
      </c>
      <c r="CB2341" t="s">
        <v>169</v>
      </c>
      <c r="CC2341" s="8" t="str">
        <f>"55369"</f>
        <v>55369</v>
      </c>
      <c r="CD2341" t="s">
        <v>1909</v>
      </c>
      <c r="CE2341" t="s">
        <v>1910</v>
      </c>
      <c r="CF2341" s="12">
        <v>17.87</v>
      </c>
      <c r="CG2341" s="12">
        <v>17.87</v>
      </c>
      <c r="CH2341" s="12">
        <v>26.81</v>
      </c>
      <c r="CI2341" s="12">
        <v>26.81</v>
      </c>
      <c r="CJ2341" t="s">
        <v>135</v>
      </c>
      <c r="CK2341" t="s">
        <v>14427</v>
      </c>
      <c r="CL2341" t="s">
        <v>14428</v>
      </c>
      <c r="CO2341" t="s">
        <v>132</v>
      </c>
      <c r="CP2341" t="s">
        <v>136</v>
      </c>
      <c r="CQ2341" t="s">
        <v>136</v>
      </c>
      <c r="CR2341" t="s">
        <v>136</v>
      </c>
      <c r="CS2341" t="s">
        <v>136</v>
      </c>
      <c r="CT2341" t="s">
        <v>136</v>
      </c>
      <c r="CU2341" t="s">
        <v>136</v>
      </c>
      <c r="CV2341" t="s">
        <v>14310</v>
      </c>
      <c r="CW2341" s="10" t="str">
        <f>"+16892057446"</f>
        <v>+16892057446</v>
      </c>
      <c r="CX2341" t="s">
        <v>14299</v>
      </c>
      <c r="CY2341" t="s">
        <v>132</v>
      </c>
      <c r="CZ2341" t="s">
        <v>137</v>
      </c>
      <c r="DA2341" t="s">
        <v>114</v>
      </c>
      <c r="DB2341" t="s">
        <v>114</v>
      </c>
      <c r="DC2341" t="s">
        <v>136</v>
      </c>
      <c r="DD2341" t="s">
        <v>114</v>
      </c>
    </row>
    <row r="2342" spans="1:113" ht="15" customHeight="1" x14ac:dyDescent="0.25">
      <c r="A2342" t="s">
        <v>14291</v>
      </c>
      <c r="B2342" t="s">
        <v>368</v>
      </c>
      <c r="C2342" s="1">
        <v>45218.807929166665</v>
      </c>
      <c r="D2342" s="1">
        <v>45251</v>
      </c>
      <c r="E2342" t="s">
        <v>132</v>
      </c>
      <c r="F2342" t="s">
        <v>14292</v>
      </c>
      <c r="G2342" t="str">
        <f>"53-7061.00"</f>
        <v>53-7061.00</v>
      </c>
      <c r="H2342" t="s">
        <v>4866</v>
      </c>
      <c r="I2342">
        <v>20</v>
      </c>
      <c r="K2342" s="1">
        <v>45293</v>
      </c>
      <c r="L2342" s="1">
        <v>45442</v>
      </c>
      <c r="O2342" t="s">
        <v>116</v>
      </c>
      <c r="P2342" t="s">
        <v>14293</v>
      </c>
      <c r="R2342" t="s">
        <v>14294</v>
      </c>
      <c r="S2342" t="s">
        <v>14295</v>
      </c>
      <c r="T2342" t="s">
        <v>14296</v>
      </c>
      <c r="U2342" t="s">
        <v>140</v>
      </c>
      <c r="V2342" s="8" t="str">
        <f>"34761"</f>
        <v>34761</v>
      </c>
      <c r="W2342" t="s">
        <v>118</v>
      </c>
      <c r="Y2342" s="10">
        <v>16892057446</v>
      </c>
      <c r="AA2342">
        <v>811192</v>
      </c>
      <c r="AB2342" t="s">
        <v>380</v>
      </c>
      <c r="AC2342" t="s">
        <v>9684</v>
      </c>
      <c r="AD2342" t="s">
        <v>14297</v>
      </c>
      <c r="AE2342" t="s">
        <v>161</v>
      </c>
      <c r="AF2342" t="s">
        <v>14294</v>
      </c>
      <c r="AG2342" t="s">
        <v>14298</v>
      </c>
      <c r="AH2342" t="s">
        <v>14296</v>
      </c>
      <c r="AI2342" t="s">
        <v>140</v>
      </c>
      <c r="AJ2342" s="8" t="str">
        <f>"34761"</f>
        <v>34761</v>
      </c>
      <c r="AK2342" t="s">
        <v>118</v>
      </c>
      <c r="AM2342" s="10">
        <v>16892057446</v>
      </c>
      <c r="AO2342" t="s">
        <v>14299</v>
      </c>
      <c r="AP2342" t="s">
        <v>121</v>
      </c>
      <c r="AQ2342" t="s">
        <v>14300</v>
      </c>
      <c r="AR2342" t="s">
        <v>14301</v>
      </c>
      <c r="AS2342" t="s">
        <v>2709</v>
      </c>
      <c r="AT2342" t="s">
        <v>14302</v>
      </c>
      <c r="AV2342" t="s">
        <v>14303</v>
      </c>
      <c r="AW2342" t="s">
        <v>402</v>
      </c>
      <c r="AX2342" s="8" t="str">
        <f>"92106"</f>
        <v>92106</v>
      </c>
      <c r="AY2342" t="s">
        <v>118</v>
      </c>
      <c r="BA2342" s="10">
        <v>16192696164</v>
      </c>
      <c r="BC2342" t="s">
        <v>14304</v>
      </c>
      <c r="BD2342" t="s">
        <v>14305</v>
      </c>
      <c r="BE2342" t="s">
        <v>402</v>
      </c>
      <c r="BF2342" t="s">
        <v>4644</v>
      </c>
      <c r="BG2342" t="s">
        <v>550</v>
      </c>
      <c r="BH2342" s="1">
        <v>45209.833333333336</v>
      </c>
      <c r="BI2342">
        <v>40</v>
      </c>
      <c r="BJ2342">
        <v>0</v>
      </c>
      <c r="BK2342">
        <v>8</v>
      </c>
      <c r="BL2342">
        <v>8</v>
      </c>
      <c r="BM2342">
        <v>8</v>
      </c>
      <c r="BN2342">
        <v>8</v>
      </c>
      <c r="BO2342">
        <v>8</v>
      </c>
      <c r="BP2342">
        <v>0</v>
      </c>
      <c r="BQ2342" t="str">
        <f>"7:00 AM"</f>
        <v>7:00 AM</v>
      </c>
      <c r="BR2342" t="str">
        <f>"4:00 PM"</f>
        <v>4:00 PM</v>
      </c>
      <c r="BS2342" t="s">
        <v>131</v>
      </c>
      <c r="BT2342">
        <v>0</v>
      </c>
      <c r="BU2342">
        <v>0</v>
      </c>
      <c r="BV2342" t="s">
        <v>114</v>
      </c>
      <c r="BX2342" t="s">
        <v>14306</v>
      </c>
      <c r="BY2342" t="s">
        <v>14307</v>
      </c>
      <c r="CA2342" t="s">
        <v>573</v>
      </c>
      <c r="CB2342" t="s">
        <v>550</v>
      </c>
      <c r="CC2342" s="8" t="str">
        <f>"30336"</f>
        <v>30336</v>
      </c>
      <c r="CD2342" t="s">
        <v>3096</v>
      </c>
      <c r="CE2342" t="s">
        <v>552</v>
      </c>
      <c r="CF2342" s="12">
        <v>14.56</v>
      </c>
      <c r="CG2342" s="12">
        <v>14.56</v>
      </c>
      <c r="CH2342" s="12">
        <v>21.84</v>
      </c>
      <c r="CI2342" s="12">
        <v>21.84</v>
      </c>
      <c r="CJ2342" t="s">
        <v>135</v>
      </c>
      <c r="CK2342" t="s">
        <v>14308</v>
      </c>
      <c r="CL2342" t="s">
        <v>14309</v>
      </c>
      <c r="CO2342" t="s">
        <v>132</v>
      </c>
      <c r="CP2342" t="s">
        <v>136</v>
      </c>
      <c r="CQ2342" t="s">
        <v>136</v>
      </c>
      <c r="CR2342" t="s">
        <v>136</v>
      </c>
      <c r="CS2342" t="s">
        <v>136</v>
      </c>
      <c r="CT2342" t="s">
        <v>136</v>
      </c>
      <c r="CU2342" t="s">
        <v>136</v>
      </c>
      <c r="CV2342" t="s">
        <v>14310</v>
      </c>
      <c r="CW2342" s="10" t="str">
        <f>"+16892057446"</f>
        <v>+16892057446</v>
      </c>
      <c r="CX2342" t="s">
        <v>14299</v>
      </c>
      <c r="CY2342" t="s">
        <v>132</v>
      </c>
      <c r="CZ2342" t="s">
        <v>137</v>
      </c>
      <c r="DA2342" t="s">
        <v>114</v>
      </c>
      <c r="DB2342" t="s">
        <v>114</v>
      </c>
      <c r="DC2342" t="s">
        <v>136</v>
      </c>
      <c r="DD2342" t="s">
        <v>114</v>
      </c>
    </row>
    <row r="2343" spans="1:113" ht="15" customHeight="1" x14ac:dyDescent="0.25">
      <c r="A2343" t="s">
        <v>4136</v>
      </c>
      <c r="B2343" t="s">
        <v>368</v>
      </c>
      <c r="C2343" s="1">
        <v>45233.373222800925</v>
      </c>
      <c r="D2343" s="1">
        <v>45247</v>
      </c>
      <c r="E2343" t="s">
        <v>132</v>
      </c>
      <c r="F2343" t="s">
        <v>1595</v>
      </c>
      <c r="G2343" t="str">
        <f>"37-3011.00"</f>
        <v>37-3011.00</v>
      </c>
      <c r="H2343" t="s">
        <v>429</v>
      </c>
      <c r="I2343">
        <v>15</v>
      </c>
      <c r="K2343" s="1">
        <v>45323</v>
      </c>
      <c r="L2343" s="1">
        <v>45626</v>
      </c>
      <c r="O2343" t="s">
        <v>116</v>
      </c>
      <c r="P2343" t="s">
        <v>4137</v>
      </c>
      <c r="R2343" t="s">
        <v>4138</v>
      </c>
      <c r="T2343" t="s">
        <v>4139</v>
      </c>
      <c r="U2343" t="s">
        <v>543</v>
      </c>
      <c r="V2343" s="8" t="str">
        <f>"56173"</f>
        <v>56173</v>
      </c>
      <c r="W2343" t="s">
        <v>118</v>
      </c>
      <c r="Y2343" s="10">
        <v>15132661165</v>
      </c>
      <c r="AA2343">
        <v>56173</v>
      </c>
      <c r="AB2343" t="s">
        <v>4140</v>
      </c>
      <c r="AC2343" t="s">
        <v>4141</v>
      </c>
      <c r="AE2343" t="s">
        <v>438</v>
      </c>
      <c r="AF2343" t="s">
        <v>4138</v>
      </c>
      <c r="AH2343" t="s">
        <v>4139</v>
      </c>
      <c r="AI2343" t="s">
        <v>543</v>
      </c>
      <c r="AJ2343" s="8" t="str">
        <f>"45211"</f>
        <v>45211</v>
      </c>
      <c r="AK2343" t="s">
        <v>118</v>
      </c>
      <c r="AM2343" s="10">
        <v>15132661165</v>
      </c>
      <c r="AO2343" t="s">
        <v>4142</v>
      </c>
      <c r="AP2343" t="s">
        <v>248</v>
      </c>
      <c r="AQ2343" t="s">
        <v>960</v>
      </c>
      <c r="AR2343" t="s">
        <v>961</v>
      </c>
      <c r="AS2343" t="s">
        <v>962</v>
      </c>
      <c r="AT2343" t="s">
        <v>963</v>
      </c>
      <c r="AU2343" t="s">
        <v>296</v>
      </c>
      <c r="AV2343" t="s">
        <v>964</v>
      </c>
      <c r="AW2343" t="s">
        <v>127</v>
      </c>
      <c r="AX2343" s="8" t="str">
        <f>"75033"</f>
        <v>75033</v>
      </c>
      <c r="AY2343" t="s">
        <v>118</v>
      </c>
      <c r="BA2343" s="10">
        <v>19727789690</v>
      </c>
      <c r="BC2343" t="s">
        <v>1919</v>
      </c>
      <c r="BD2343" t="s">
        <v>966</v>
      </c>
      <c r="BG2343" t="s">
        <v>543</v>
      </c>
      <c r="BH2343" s="1">
        <v>45232.833333333336</v>
      </c>
      <c r="BI2343">
        <v>40</v>
      </c>
      <c r="BJ2343">
        <v>0</v>
      </c>
      <c r="BK2343">
        <v>8</v>
      </c>
      <c r="BL2343">
        <v>8</v>
      </c>
      <c r="BM2343">
        <v>8</v>
      </c>
      <c r="BN2343">
        <v>8</v>
      </c>
      <c r="BO2343">
        <v>8</v>
      </c>
      <c r="BP2343">
        <v>0</v>
      </c>
      <c r="BQ2343" t="str">
        <f>"7:00 AM"</f>
        <v>7:00 AM</v>
      </c>
      <c r="BR2343" t="str">
        <f>"4:00 PM"</f>
        <v>4:00 PM</v>
      </c>
      <c r="BS2343" t="s">
        <v>131</v>
      </c>
      <c r="BT2343">
        <v>0</v>
      </c>
      <c r="BU2343">
        <v>0</v>
      </c>
      <c r="BV2343" t="s">
        <v>114</v>
      </c>
      <c r="BX2343" s="2" t="s">
        <v>4143</v>
      </c>
      <c r="BY2343" t="s">
        <v>4138</v>
      </c>
      <c r="CA2343" t="s">
        <v>4139</v>
      </c>
      <c r="CB2343" t="s">
        <v>543</v>
      </c>
      <c r="CC2343" s="8" t="str">
        <f>"45211"</f>
        <v>45211</v>
      </c>
      <c r="CD2343" t="s">
        <v>4144</v>
      </c>
      <c r="CE2343" t="s">
        <v>3443</v>
      </c>
      <c r="CF2343" s="12">
        <v>16.690000000000001</v>
      </c>
      <c r="CH2343" s="12">
        <v>25.04</v>
      </c>
      <c r="CJ2343" t="s">
        <v>135</v>
      </c>
      <c r="CK2343" t="s">
        <v>4145</v>
      </c>
      <c r="CL2343" t="s">
        <v>4146</v>
      </c>
      <c r="CO2343" t="s">
        <v>132</v>
      </c>
      <c r="CP2343" t="s">
        <v>136</v>
      </c>
      <c r="CQ2343" t="s">
        <v>114</v>
      </c>
      <c r="CR2343" t="s">
        <v>136</v>
      </c>
      <c r="CS2343" t="s">
        <v>136</v>
      </c>
      <c r="CT2343" t="s">
        <v>136</v>
      </c>
      <c r="CU2343" t="s">
        <v>136</v>
      </c>
      <c r="CV2343" s="2" t="s">
        <v>4147</v>
      </c>
      <c r="CW2343" s="10" t="str">
        <f>"+15132661165"</f>
        <v>+15132661165</v>
      </c>
      <c r="CX2343" t="s">
        <v>132</v>
      </c>
      <c r="CY2343" t="s">
        <v>4148</v>
      </c>
      <c r="CZ2343" t="s">
        <v>137</v>
      </c>
      <c r="DA2343" t="s">
        <v>114</v>
      </c>
      <c r="DB2343" t="s">
        <v>136</v>
      </c>
      <c r="DC2343" t="s">
        <v>136</v>
      </c>
      <c r="DD2343" t="s">
        <v>114</v>
      </c>
    </row>
    <row r="2344" spans="1:113" ht="15" customHeight="1" x14ac:dyDescent="0.25">
      <c r="A2344" t="s">
        <v>11632</v>
      </c>
      <c r="B2344" t="s">
        <v>368</v>
      </c>
      <c r="C2344" s="1">
        <v>45222.922186111115</v>
      </c>
      <c r="D2344" s="1">
        <v>45246</v>
      </c>
      <c r="E2344" t="s">
        <v>132</v>
      </c>
      <c r="F2344" t="s">
        <v>11633</v>
      </c>
      <c r="G2344" t="str">
        <f>"47-3012.00"</f>
        <v>47-3012.00</v>
      </c>
      <c r="H2344" t="s">
        <v>979</v>
      </c>
      <c r="I2344">
        <v>20</v>
      </c>
      <c r="K2344" s="1">
        <v>45306</v>
      </c>
      <c r="L2344" s="1">
        <v>45580</v>
      </c>
      <c r="O2344" t="s">
        <v>116</v>
      </c>
      <c r="P2344" t="s">
        <v>11634</v>
      </c>
      <c r="R2344" t="s">
        <v>11635</v>
      </c>
      <c r="T2344" t="s">
        <v>2411</v>
      </c>
      <c r="U2344" t="s">
        <v>1598</v>
      </c>
      <c r="V2344" s="8" t="str">
        <f>"35242"</f>
        <v>35242</v>
      </c>
      <c r="W2344" t="s">
        <v>118</v>
      </c>
      <c r="Y2344" s="10">
        <v>12054822226</v>
      </c>
      <c r="AA2344">
        <v>238130</v>
      </c>
      <c r="AB2344" t="s">
        <v>2472</v>
      </c>
      <c r="AC2344" t="s">
        <v>11636</v>
      </c>
      <c r="AE2344" t="s">
        <v>629</v>
      </c>
      <c r="AF2344" t="s">
        <v>11635</v>
      </c>
      <c r="AH2344" t="s">
        <v>2411</v>
      </c>
      <c r="AI2344" t="s">
        <v>1598</v>
      </c>
      <c r="AJ2344" s="8" t="str">
        <f>"35242"</f>
        <v>35242</v>
      </c>
      <c r="AK2344" t="s">
        <v>118</v>
      </c>
      <c r="AM2344" s="10">
        <v>12054822226</v>
      </c>
      <c r="AO2344" t="s">
        <v>11637</v>
      </c>
      <c r="AX2344" s="8" t="str">
        <f>""</f>
        <v/>
      </c>
      <c r="BG2344" t="s">
        <v>1598</v>
      </c>
      <c r="BH2344" s="1">
        <v>45221.833333333336</v>
      </c>
      <c r="BI2344">
        <v>40</v>
      </c>
      <c r="BJ2344">
        <v>0</v>
      </c>
      <c r="BK2344">
        <v>8</v>
      </c>
      <c r="BL2344">
        <v>8</v>
      </c>
      <c r="BM2344">
        <v>8</v>
      </c>
      <c r="BN2344">
        <v>8</v>
      </c>
      <c r="BO2344">
        <v>8</v>
      </c>
      <c r="BP2344">
        <v>0</v>
      </c>
      <c r="BQ2344" t="str">
        <f>"7:00 AM"</f>
        <v>7:00 AM</v>
      </c>
      <c r="BR2344" t="str">
        <f>"3:00 PM"</f>
        <v>3:00 PM</v>
      </c>
      <c r="BS2344" t="s">
        <v>131</v>
      </c>
      <c r="BT2344">
        <v>0</v>
      </c>
      <c r="BU2344">
        <v>3</v>
      </c>
      <c r="BV2344" t="s">
        <v>114</v>
      </c>
      <c r="BX2344" s="2" t="s">
        <v>11638</v>
      </c>
      <c r="BY2344" t="s">
        <v>11635</v>
      </c>
      <c r="CA2344" t="s">
        <v>2411</v>
      </c>
      <c r="CB2344" t="s">
        <v>1598</v>
      </c>
      <c r="CC2344" s="8" t="str">
        <f>"35242"</f>
        <v>35242</v>
      </c>
      <c r="CD2344" t="s">
        <v>1767</v>
      </c>
      <c r="CE2344" t="s">
        <v>2413</v>
      </c>
      <c r="CF2344" s="12">
        <v>14.96</v>
      </c>
      <c r="CG2344" s="12">
        <v>14.96</v>
      </c>
      <c r="CH2344" s="12">
        <v>22.44</v>
      </c>
      <c r="CI2344" s="12">
        <v>22.44</v>
      </c>
      <c r="CJ2344" t="s">
        <v>135</v>
      </c>
      <c r="CK2344" t="s">
        <v>11639</v>
      </c>
      <c r="CL2344" t="s">
        <v>11640</v>
      </c>
      <c r="CO2344" t="s">
        <v>132</v>
      </c>
      <c r="CP2344" t="s">
        <v>136</v>
      </c>
      <c r="CQ2344" t="s">
        <v>114</v>
      </c>
      <c r="CR2344" t="s">
        <v>136</v>
      </c>
      <c r="CS2344" t="s">
        <v>114</v>
      </c>
      <c r="CT2344" t="s">
        <v>136</v>
      </c>
      <c r="CU2344" t="s">
        <v>136</v>
      </c>
      <c r="CV2344" t="s">
        <v>11641</v>
      </c>
      <c r="CW2344" s="10" t="str">
        <f>"+12054822226"</f>
        <v>+12054822226</v>
      </c>
      <c r="CX2344" t="s">
        <v>11637</v>
      </c>
      <c r="CY2344" t="s">
        <v>132</v>
      </c>
      <c r="CZ2344" t="s">
        <v>137</v>
      </c>
      <c r="DA2344" t="s">
        <v>114</v>
      </c>
      <c r="DB2344" t="s">
        <v>136</v>
      </c>
      <c r="DC2344" t="s">
        <v>136</v>
      </c>
      <c r="DD2344" t="s">
        <v>114</v>
      </c>
    </row>
    <row r="2345" spans="1:113" ht="15" customHeight="1" x14ac:dyDescent="0.25">
      <c r="A2345" t="s">
        <v>20420</v>
      </c>
      <c r="B2345" t="s">
        <v>368</v>
      </c>
      <c r="C2345" s="1">
        <v>45216.630610763888</v>
      </c>
      <c r="D2345" s="1">
        <v>45245</v>
      </c>
      <c r="E2345" t="s">
        <v>132</v>
      </c>
      <c r="F2345" t="s">
        <v>20421</v>
      </c>
      <c r="G2345" t="str">
        <f>"49-3053.00"</f>
        <v>49-3053.00</v>
      </c>
      <c r="H2345" t="s">
        <v>9820</v>
      </c>
      <c r="I2345">
        <v>3</v>
      </c>
      <c r="K2345" s="1">
        <v>45292</v>
      </c>
      <c r="L2345" s="1">
        <v>45351</v>
      </c>
      <c r="O2345" t="s">
        <v>116</v>
      </c>
      <c r="P2345" t="s">
        <v>20422</v>
      </c>
      <c r="R2345" t="s">
        <v>20423</v>
      </c>
      <c r="T2345" t="s">
        <v>20424</v>
      </c>
      <c r="U2345" t="s">
        <v>543</v>
      </c>
      <c r="V2345" s="8" t="str">
        <f>"44022"</f>
        <v>44022</v>
      </c>
      <c r="W2345" t="s">
        <v>118</v>
      </c>
      <c r="Y2345" s="10">
        <v>12166951793</v>
      </c>
      <c r="AA2345">
        <v>56173</v>
      </c>
      <c r="AB2345" t="s">
        <v>20425</v>
      </c>
      <c r="AC2345" t="s">
        <v>2032</v>
      </c>
      <c r="AE2345" t="s">
        <v>629</v>
      </c>
      <c r="AF2345" t="s">
        <v>20423</v>
      </c>
      <c r="AH2345" t="s">
        <v>20426</v>
      </c>
      <c r="AI2345" t="s">
        <v>543</v>
      </c>
      <c r="AJ2345" s="8" t="str">
        <f>"44022"</f>
        <v>44022</v>
      </c>
      <c r="AK2345" t="s">
        <v>118</v>
      </c>
      <c r="AM2345" s="10">
        <v>12166951793</v>
      </c>
      <c r="AO2345" t="s">
        <v>20427</v>
      </c>
      <c r="AP2345" t="s">
        <v>121</v>
      </c>
      <c r="AQ2345" t="s">
        <v>20428</v>
      </c>
      <c r="AR2345" t="s">
        <v>20429</v>
      </c>
      <c r="AS2345" t="s">
        <v>1963</v>
      </c>
      <c r="AT2345" t="s">
        <v>20430</v>
      </c>
      <c r="AU2345" t="s">
        <v>20431</v>
      </c>
      <c r="AV2345" t="s">
        <v>20432</v>
      </c>
      <c r="AW2345" t="s">
        <v>792</v>
      </c>
      <c r="AX2345" s="8" t="str">
        <f>"98027"</f>
        <v>98027</v>
      </c>
      <c r="AY2345" t="s">
        <v>118</v>
      </c>
      <c r="BA2345" s="10">
        <v>12162821110</v>
      </c>
      <c r="BC2345" t="s">
        <v>20433</v>
      </c>
      <c r="BD2345" t="s">
        <v>20434</v>
      </c>
      <c r="BE2345" t="s">
        <v>543</v>
      </c>
      <c r="BF2345" t="s">
        <v>172</v>
      </c>
      <c r="BG2345" t="s">
        <v>543</v>
      </c>
      <c r="BH2345" s="1">
        <v>45215.833333333336</v>
      </c>
      <c r="BI2345">
        <v>40</v>
      </c>
      <c r="BJ2345">
        <v>0</v>
      </c>
      <c r="BK2345">
        <v>8</v>
      </c>
      <c r="BL2345">
        <v>8</v>
      </c>
      <c r="BM2345">
        <v>8</v>
      </c>
      <c r="BN2345">
        <v>8</v>
      </c>
      <c r="BO2345">
        <v>8</v>
      </c>
      <c r="BP2345">
        <v>0</v>
      </c>
      <c r="BQ2345" t="str">
        <f>"8:00 AM"</f>
        <v>8:00 AM</v>
      </c>
      <c r="BR2345" t="str">
        <f>"5:00 PM"</f>
        <v>5:00 PM</v>
      </c>
      <c r="BS2345" t="s">
        <v>131</v>
      </c>
      <c r="BT2345">
        <v>0</v>
      </c>
      <c r="BU2345">
        <v>0</v>
      </c>
      <c r="BV2345" t="s">
        <v>114</v>
      </c>
      <c r="BX2345" s="2" t="s">
        <v>20435</v>
      </c>
      <c r="BY2345" t="s">
        <v>20436</v>
      </c>
      <c r="CA2345" t="s">
        <v>20437</v>
      </c>
      <c r="CB2345" t="s">
        <v>543</v>
      </c>
      <c r="CC2345" s="8" t="str">
        <f>"44106"</f>
        <v>44106</v>
      </c>
      <c r="CD2345" t="s">
        <v>1838</v>
      </c>
      <c r="CE2345" t="s">
        <v>1839</v>
      </c>
      <c r="CF2345" s="12">
        <v>20.86</v>
      </c>
      <c r="CJ2345" t="s">
        <v>135</v>
      </c>
      <c r="CL2345" t="s">
        <v>20438</v>
      </c>
      <c r="CO2345" t="s">
        <v>132</v>
      </c>
      <c r="CP2345" t="s">
        <v>114</v>
      </c>
      <c r="CQ2345" t="s">
        <v>114</v>
      </c>
      <c r="CR2345" t="s">
        <v>114</v>
      </c>
      <c r="CS2345" t="s">
        <v>136</v>
      </c>
      <c r="CT2345" t="s">
        <v>136</v>
      </c>
      <c r="CU2345" t="s">
        <v>114</v>
      </c>
      <c r="CV2345" t="s">
        <v>20439</v>
      </c>
      <c r="CW2345" s="10" t="str">
        <f>"+12166951793"</f>
        <v>+12166951793</v>
      </c>
      <c r="CX2345" t="s">
        <v>20440</v>
      </c>
      <c r="CY2345" t="s">
        <v>132</v>
      </c>
      <c r="CZ2345" t="s">
        <v>137</v>
      </c>
      <c r="DA2345" t="s">
        <v>114</v>
      </c>
      <c r="DB2345" t="s">
        <v>114</v>
      </c>
      <c r="DC2345" t="s">
        <v>136</v>
      </c>
      <c r="DD2345" t="s">
        <v>114</v>
      </c>
    </row>
    <row r="2346" spans="1:113" ht="15" customHeight="1" x14ac:dyDescent="0.25">
      <c r="A2346" t="s">
        <v>21853</v>
      </c>
      <c r="B2346" t="s">
        <v>368</v>
      </c>
      <c r="C2346" s="1">
        <v>45236.582054282408</v>
      </c>
      <c r="D2346" s="1">
        <v>45239</v>
      </c>
      <c r="E2346" t="s">
        <v>136</v>
      </c>
      <c r="F2346" t="s">
        <v>18606</v>
      </c>
      <c r="G2346" t="str">
        <f>"39-3093"</f>
        <v>39-3093</v>
      </c>
      <c r="H2346" t="s">
        <v>6032</v>
      </c>
      <c r="I2346">
        <v>10</v>
      </c>
      <c r="K2346" s="1">
        <v>45301</v>
      </c>
      <c r="L2346" s="1">
        <v>45432</v>
      </c>
      <c r="O2346" t="s">
        <v>116</v>
      </c>
      <c r="P2346" t="s">
        <v>21854</v>
      </c>
      <c r="Q2346" t="s">
        <v>21855</v>
      </c>
      <c r="R2346" t="s">
        <v>1208</v>
      </c>
      <c r="T2346" t="s">
        <v>1209</v>
      </c>
      <c r="U2346" t="s">
        <v>140</v>
      </c>
      <c r="V2346" s="8" t="str">
        <f>"33480"</f>
        <v>33480</v>
      </c>
      <c r="W2346" t="s">
        <v>118</v>
      </c>
      <c r="Y2346" s="10" t="s">
        <v>1210</v>
      </c>
      <c r="AA2346">
        <v>72111</v>
      </c>
      <c r="AB2346" t="s">
        <v>1211</v>
      </c>
      <c r="AC2346" t="s">
        <v>1212</v>
      </c>
      <c r="AE2346" t="s">
        <v>4829</v>
      </c>
      <c r="AF2346" t="s">
        <v>21856</v>
      </c>
      <c r="AH2346" t="s">
        <v>1209</v>
      </c>
      <c r="AI2346" t="s">
        <v>140</v>
      </c>
      <c r="AJ2346" s="8" t="str">
        <f>"33480"</f>
        <v>33480</v>
      </c>
      <c r="AK2346" t="s">
        <v>118</v>
      </c>
      <c r="AM2346" s="10" t="s">
        <v>1210</v>
      </c>
      <c r="AO2346" t="s">
        <v>1214</v>
      </c>
      <c r="AP2346" t="s">
        <v>121</v>
      </c>
      <c r="AQ2346" t="s">
        <v>1215</v>
      </c>
      <c r="AR2346" t="s">
        <v>1216</v>
      </c>
      <c r="AS2346" t="s">
        <v>1217</v>
      </c>
      <c r="AT2346" t="s">
        <v>1433</v>
      </c>
      <c r="AU2346" t="s">
        <v>1219</v>
      </c>
      <c r="AV2346" t="s">
        <v>1220</v>
      </c>
      <c r="AW2346" t="s">
        <v>358</v>
      </c>
      <c r="AX2346" s="8" t="str">
        <f>"10036"</f>
        <v>10036</v>
      </c>
      <c r="AY2346" t="s">
        <v>118</v>
      </c>
      <c r="BA2346" s="10" t="s">
        <v>17179</v>
      </c>
      <c r="BC2346" t="s">
        <v>1221</v>
      </c>
      <c r="BD2346" t="s">
        <v>1222</v>
      </c>
      <c r="BF2346" t="s">
        <v>17180</v>
      </c>
      <c r="BG2346" t="s">
        <v>140</v>
      </c>
      <c r="BH2346" s="1">
        <v>45222.833333333336</v>
      </c>
      <c r="BI2346">
        <v>35</v>
      </c>
      <c r="BJ2346">
        <v>5</v>
      </c>
      <c r="BK2346">
        <v>5</v>
      </c>
      <c r="BL2346">
        <v>5</v>
      </c>
      <c r="BM2346">
        <v>5</v>
      </c>
      <c r="BN2346">
        <v>5</v>
      </c>
      <c r="BO2346">
        <v>5</v>
      </c>
      <c r="BP2346">
        <v>5</v>
      </c>
      <c r="BQ2346" t="str">
        <f>"6:00 AM"</f>
        <v>6:00 AM</v>
      </c>
      <c r="BR2346" t="str">
        <f>"6:00 PM"</f>
        <v>6:00 PM</v>
      </c>
      <c r="BS2346" t="s">
        <v>131</v>
      </c>
      <c r="BT2346">
        <v>0</v>
      </c>
      <c r="BU2346">
        <v>2</v>
      </c>
      <c r="BV2346" t="s">
        <v>114</v>
      </c>
      <c r="BX2346" s="2" t="s">
        <v>21857</v>
      </c>
      <c r="BY2346" t="s">
        <v>1208</v>
      </c>
      <c r="CA2346" t="s">
        <v>1209</v>
      </c>
      <c r="CB2346" t="s">
        <v>140</v>
      </c>
      <c r="CC2346" s="8" t="str">
        <f>"33804"</f>
        <v>33804</v>
      </c>
      <c r="CE2346" t="s">
        <v>149</v>
      </c>
      <c r="CF2346" s="12">
        <v>14.54</v>
      </c>
      <c r="CH2346" s="12">
        <v>21.81</v>
      </c>
      <c r="CK2346" t="s">
        <v>1225</v>
      </c>
      <c r="CL2346" t="s">
        <v>21858</v>
      </c>
      <c r="CO2346" t="s">
        <v>136</v>
      </c>
      <c r="CP2346" t="s">
        <v>114</v>
      </c>
      <c r="CQ2346" t="s">
        <v>136</v>
      </c>
      <c r="CR2346" t="s">
        <v>136</v>
      </c>
      <c r="CS2346" t="s">
        <v>136</v>
      </c>
      <c r="CT2346" t="s">
        <v>114</v>
      </c>
      <c r="CU2346" t="s">
        <v>136</v>
      </c>
      <c r="CV2346" t="s">
        <v>21859</v>
      </c>
      <c r="CW2346" s="10" t="str">
        <f>"561-659-2233 ex"</f>
        <v>561-659-2233 ex</v>
      </c>
      <c r="CX2346" t="s">
        <v>1228</v>
      </c>
      <c r="CZ2346" t="s">
        <v>137</v>
      </c>
      <c r="DA2346" t="s">
        <v>114</v>
      </c>
      <c r="DB2346" t="s">
        <v>136</v>
      </c>
      <c r="DC2346" t="s">
        <v>136</v>
      </c>
      <c r="DD2346" t="s">
        <v>114</v>
      </c>
    </row>
    <row r="2347" spans="1:113" ht="15" customHeight="1" x14ac:dyDescent="0.25">
      <c r="A2347" t="s">
        <v>16000</v>
      </c>
      <c r="B2347" t="s">
        <v>368</v>
      </c>
      <c r="C2347" s="1">
        <v>45180.455333333332</v>
      </c>
      <c r="D2347" s="1">
        <v>45239</v>
      </c>
      <c r="E2347" t="s">
        <v>132</v>
      </c>
      <c r="F2347" t="s">
        <v>922</v>
      </c>
      <c r="G2347" t="str">
        <f>"53-3032.00"</f>
        <v>53-3032.00</v>
      </c>
      <c r="H2347" t="s">
        <v>736</v>
      </c>
      <c r="I2347">
        <v>4</v>
      </c>
      <c r="K2347" s="1">
        <v>45240</v>
      </c>
      <c r="L2347" s="1">
        <v>45291</v>
      </c>
      <c r="O2347" t="s">
        <v>116</v>
      </c>
      <c r="P2347" t="s">
        <v>16001</v>
      </c>
      <c r="Q2347" t="s">
        <v>16002</v>
      </c>
      <c r="R2347" t="s">
        <v>16003</v>
      </c>
      <c r="T2347" t="s">
        <v>16004</v>
      </c>
      <c r="U2347" t="s">
        <v>169</v>
      </c>
      <c r="V2347" s="8" t="str">
        <f>"55416"</f>
        <v>55416</v>
      </c>
      <c r="W2347" t="s">
        <v>118</v>
      </c>
      <c r="Y2347" s="10">
        <v>16124307201</v>
      </c>
      <c r="AA2347">
        <v>23816</v>
      </c>
      <c r="AB2347" t="s">
        <v>16005</v>
      </c>
      <c r="AC2347" t="s">
        <v>2925</v>
      </c>
      <c r="AE2347" t="s">
        <v>9674</v>
      </c>
      <c r="AF2347" t="s">
        <v>16006</v>
      </c>
      <c r="AH2347" t="s">
        <v>16004</v>
      </c>
      <c r="AI2347" t="s">
        <v>169</v>
      </c>
      <c r="AJ2347" s="8" t="str">
        <f>"55416"</f>
        <v>55416</v>
      </c>
      <c r="AK2347" t="s">
        <v>118</v>
      </c>
      <c r="AM2347" s="10">
        <v>16124307201</v>
      </c>
      <c r="AO2347" t="s">
        <v>16007</v>
      </c>
      <c r="AP2347" t="s">
        <v>121</v>
      </c>
      <c r="AQ2347" t="s">
        <v>929</v>
      </c>
      <c r="AR2347" t="s">
        <v>930</v>
      </c>
      <c r="AS2347" t="s">
        <v>931</v>
      </c>
      <c r="AT2347" t="s">
        <v>932</v>
      </c>
      <c r="AU2347" t="s">
        <v>132</v>
      </c>
      <c r="AV2347" t="s">
        <v>933</v>
      </c>
      <c r="AW2347" t="s">
        <v>740</v>
      </c>
      <c r="AX2347" s="8" t="str">
        <f>"50010"</f>
        <v>50010</v>
      </c>
      <c r="AY2347" t="s">
        <v>118</v>
      </c>
      <c r="BA2347" s="10">
        <v>15152324444</v>
      </c>
      <c r="BB2347">
        <v>0</v>
      </c>
      <c r="BC2347" t="s">
        <v>934</v>
      </c>
      <c r="BD2347" t="s">
        <v>935</v>
      </c>
      <c r="BE2347" t="s">
        <v>740</v>
      </c>
      <c r="BF2347" t="s">
        <v>172</v>
      </c>
      <c r="BG2347" t="s">
        <v>169</v>
      </c>
      <c r="BH2347" s="1">
        <v>45176.833333333336</v>
      </c>
      <c r="BI2347">
        <v>40</v>
      </c>
      <c r="BJ2347">
        <v>0</v>
      </c>
      <c r="BK2347">
        <v>8</v>
      </c>
      <c r="BL2347">
        <v>8</v>
      </c>
      <c r="BM2347">
        <v>8</v>
      </c>
      <c r="BN2347">
        <v>8</v>
      </c>
      <c r="BO2347">
        <v>8</v>
      </c>
      <c r="BP2347">
        <v>0</v>
      </c>
      <c r="BQ2347" t="str">
        <f>"6:00 AM"</f>
        <v>6:00 AM</v>
      </c>
      <c r="BR2347" t="str">
        <f>"2:30 PM"</f>
        <v>2:30 PM</v>
      </c>
      <c r="BS2347" t="s">
        <v>131</v>
      </c>
      <c r="BT2347">
        <v>0</v>
      </c>
      <c r="BU2347">
        <v>0</v>
      </c>
      <c r="BV2347" t="s">
        <v>114</v>
      </c>
      <c r="BX2347" s="2" t="s">
        <v>16008</v>
      </c>
      <c r="BY2347" t="s">
        <v>16003</v>
      </c>
      <c r="CA2347" t="s">
        <v>16004</v>
      </c>
      <c r="CB2347" t="s">
        <v>169</v>
      </c>
      <c r="CC2347" s="8" t="str">
        <f>"55416"</f>
        <v>55416</v>
      </c>
      <c r="CD2347" t="s">
        <v>1909</v>
      </c>
      <c r="CE2347" t="s">
        <v>1910</v>
      </c>
      <c r="CF2347" s="12">
        <v>25.5</v>
      </c>
      <c r="CH2347" s="12">
        <v>38.25</v>
      </c>
      <c r="CJ2347" t="s">
        <v>135</v>
      </c>
      <c r="CK2347" t="s">
        <v>2062</v>
      </c>
      <c r="CL2347" t="s">
        <v>16009</v>
      </c>
      <c r="CO2347" t="s">
        <v>136</v>
      </c>
      <c r="CP2347" t="s">
        <v>114</v>
      </c>
      <c r="CQ2347" t="s">
        <v>136</v>
      </c>
      <c r="CR2347" t="s">
        <v>136</v>
      </c>
      <c r="CS2347" t="s">
        <v>136</v>
      </c>
      <c r="CT2347" t="s">
        <v>136</v>
      </c>
      <c r="CU2347" t="s">
        <v>136</v>
      </c>
      <c r="CV2347" t="s">
        <v>16010</v>
      </c>
      <c r="CW2347" s="10" t="str">
        <f>"+16124307201"</f>
        <v>+16124307201</v>
      </c>
      <c r="CX2347" t="s">
        <v>16007</v>
      </c>
      <c r="CY2347" t="s">
        <v>132</v>
      </c>
      <c r="CZ2347" t="s">
        <v>137</v>
      </c>
      <c r="DA2347" t="s">
        <v>114</v>
      </c>
      <c r="DB2347" t="s">
        <v>136</v>
      </c>
      <c r="DC2347" t="s">
        <v>136</v>
      </c>
      <c r="DD2347" t="s">
        <v>114</v>
      </c>
    </row>
    <row r="2348" spans="1:113" ht="15" customHeight="1" x14ac:dyDescent="0.25">
      <c r="A2348" t="s">
        <v>8572</v>
      </c>
      <c r="B2348" t="s">
        <v>368</v>
      </c>
      <c r="C2348" s="1">
        <v>45238.460013425924</v>
      </c>
      <c r="D2348" s="1">
        <v>45238</v>
      </c>
      <c r="E2348" t="s">
        <v>132</v>
      </c>
      <c r="F2348" t="s">
        <v>4510</v>
      </c>
      <c r="G2348" t="str">
        <f>"39-2021.00"</f>
        <v>39-2021.00</v>
      </c>
      <c r="H2348" t="s">
        <v>2895</v>
      </c>
      <c r="I2348">
        <v>5</v>
      </c>
      <c r="K2348" s="1">
        <v>45313</v>
      </c>
      <c r="L2348" s="1">
        <v>45321</v>
      </c>
      <c r="O2348" t="s">
        <v>238</v>
      </c>
      <c r="P2348" t="s">
        <v>7916</v>
      </c>
      <c r="R2348" t="s">
        <v>7917</v>
      </c>
      <c r="T2348" t="s">
        <v>7918</v>
      </c>
      <c r="U2348" t="s">
        <v>358</v>
      </c>
      <c r="V2348" s="8" t="str">
        <f>"11530"</f>
        <v>11530</v>
      </c>
      <c r="W2348" t="s">
        <v>118</v>
      </c>
      <c r="Y2348" s="10">
        <v>15166373063</v>
      </c>
      <c r="AA2348">
        <v>711219</v>
      </c>
      <c r="AB2348" t="s">
        <v>7919</v>
      </c>
      <c r="AC2348" t="s">
        <v>2904</v>
      </c>
      <c r="AE2348" t="s">
        <v>438</v>
      </c>
      <c r="AF2348" t="s">
        <v>7917</v>
      </c>
      <c r="AH2348" t="s">
        <v>7918</v>
      </c>
      <c r="AI2348" t="s">
        <v>358</v>
      </c>
      <c r="AJ2348" s="8" t="str">
        <f>"11530"</f>
        <v>11530</v>
      </c>
      <c r="AK2348" t="s">
        <v>118</v>
      </c>
      <c r="AM2348" s="10">
        <v>15166373063</v>
      </c>
      <c r="AO2348" t="s">
        <v>7920</v>
      </c>
      <c r="AP2348" t="s">
        <v>121</v>
      </c>
      <c r="AQ2348" t="s">
        <v>4516</v>
      </c>
      <c r="AR2348" t="s">
        <v>1235</v>
      </c>
      <c r="AT2348" t="s">
        <v>4517</v>
      </c>
      <c r="AU2348" t="s">
        <v>4518</v>
      </c>
      <c r="AV2348" t="s">
        <v>1220</v>
      </c>
      <c r="AW2348" t="s">
        <v>358</v>
      </c>
      <c r="AX2348" s="8" t="str">
        <f>"10165"</f>
        <v>10165</v>
      </c>
      <c r="AY2348" t="s">
        <v>118</v>
      </c>
      <c r="BA2348" s="10">
        <v>12127604400</v>
      </c>
      <c r="BC2348" t="s">
        <v>4519</v>
      </c>
      <c r="BD2348" t="s">
        <v>4520</v>
      </c>
      <c r="BE2348" t="s">
        <v>358</v>
      </c>
      <c r="BF2348" t="s">
        <v>4521</v>
      </c>
      <c r="BG2348" t="s">
        <v>140</v>
      </c>
      <c r="BH2348" s="1">
        <v>45236.791666666664</v>
      </c>
      <c r="BI2348">
        <v>40</v>
      </c>
      <c r="BJ2348">
        <v>8</v>
      </c>
      <c r="BK2348">
        <v>0</v>
      </c>
      <c r="BL2348">
        <v>0</v>
      </c>
      <c r="BM2348">
        <v>8</v>
      </c>
      <c r="BN2348">
        <v>8</v>
      </c>
      <c r="BO2348">
        <v>8</v>
      </c>
      <c r="BP2348">
        <v>8</v>
      </c>
      <c r="BQ2348" t="str">
        <f>"5:00 AM"</f>
        <v>5:00 AM</v>
      </c>
      <c r="BR2348" t="str">
        <f>"11:00 AM"</f>
        <v>11:00 AM</v>
      </c>
      <c r="BS2348" t="s">
        <v>131</v>
      </c>
      <c r="BT2348">
        <v>0</v>
      </c>
      <c r="BU2348">
        <v>0</v>
      </c>
      <c r="BV2348" t="s">
        <v>114</v>
      </c>
      <c r="BX2348" t="s">
        <v>131</v>
      </c>
      <c r="BY2348" t="s">
        <v>4522</v>
      </c>
      <c r="BZ2348" t="s">
        <v>4523</v>
      </c>
      <c r="CA2348" t="s">
        <v>4524</v>
      </c>
      <c r="CB2348" t="s">
        <v>140</v>
      </c>
      <c r="CC2348" s="8" t="str">
        <f>"33472"</f>
        <v>33472</v>
      </c>
      <c r="CD2348" t="s">
        <v>767</v>
      </c>
      <c r="CE2348" t="s">
        <v>149</v>
      </c>
      <c r="CF2348" s="12">
        <v>16.510000000000002</v>
      </c>
      <c r="CG2348" s="12">
        <v>16.510000000000002</v>
      </c>
      <c r="CH2348" s="12">
        <v>24.77</v>
      </c>
      <c r="CI2348" s="12">
        <v>24.77</v>
      </c>
      <c r="CJ2348" t="s">
        <v>135</v>
      </c>
      <c r="CL2348" t="s">
        <v>7921</v>
      </c>
      <c r="CO2348" t="s">
        <v>132</v>
      </c>
      <c r="CP2348" t="s">
        <v>114</v>
      </c>
      <c r="CQ2348" t="s">
        <v>114</v>
      </c>
      <c r="CR2348" t="s">
        <v>136</v>
      </c>
      <c r="CS2348" t="s">
        <v>114</v>
      </c>
      <c r="CT2348" t="s">
        <v>136</v>
      </c>
      <c r="CU2348" t="s">
        <v>136</v>
      </c>
      <c r="CV2348" s="2" t="s">
        <v>8573</v>
      </c>
      <c r="CW2348" s="10" t="str">
        <f>"+15166373063"</f>
        <v>+15166373063</v>
      </c>
      <c r="CX2348" t="s">
        <v>7923</v>
      </c>
      <c r="CY2348" t="s">
        <v>132</v>
      </c>
      <c r="CZ2348" t="s">
        <v>137</v>
      </c>
      <c r="DA2348" t="s">
        <v>114</v>
      </c>
      <c r="DB2348" t="s">
        <v>114</v>
      </c>
      <c r="DC2348" t="s">
        <v>136</v>
      </c>
      <c r="DD2348" t="s">
        <v>114</v>
      </c>
    </row>
    <row r="2349" spans="1:113" ht="15" customHeight="1" x14ac:dyDescent="0.25">
      <c r="A2349" t="s">
        <v>20904</v>
      </c>
      <c r="B2349" t="s">
        <v>368</v>
      </c>
      <c r="C2349" s="1">
        <v>45197.727824074071</v>
      </c>
      <c r="D2349" s="1">
        <v>45238</v>
      </c>
      <c r="E2349" t="s">
        <v>132</v>
      </c>
      <c r="F2349" t="s">
        <v>20905</v>
      </c>
      <c r="G2349" t="str">
        <f>"53-7062.00"</f>
        <v>53-7062.00</v>
      </c>
      <c r="H2349" t="s">
        <v>2078</v>
      </c>
      <c r="I2349">
        <v>4</v>
      </c>
      <c r="K2349" s="1">
        <v>45274</v>
      </c>
      <c r="L2349" s="1">
        <v>45453</v>
      </c>
      <c r="O2349" t="s">
        <v>184</v>
      </c>
      <c r="P2349" t="s">
        <v>20906</v>
      </c>
      <c r="Q2349" t="s">
        <v>20906</v>
      </c>
      <c r="R2349" t="s">
        <v>20907</v>
      </c>
      <c r="T2349" t="s">
        <v>7597</v>
      </c>
      <c r="U2349" t="s">
        <v>2030</v>
      </c>
      <c r="V2349" s="8" t="str">
        <f>"57702"</f>
        <v>57702</v>
      </c>
      <c r="W2349" t="s">
        <v>118</v>
      </c>
      <c r="Y2349" s="10">
        <v>16058772258</v>
      </c>
      <c r="AA2349">
        <v>484210</v>
      </c>
      <c r="AB2349" t="s">
        <v>3351</v>
      </c>
      <c r="AC2349" t="s">
        <v>20908</v>
      </c>
      <c r="AE2349" t="s">
        <v>1799</v>
      </c>
      <c r="AF2349" t="s">
        <v>20907</v>
      </c>
      <c r="AH2349" t="s">
        <v>7597</v>
      </c>
      <c r="AI2349" t="s">
        <v>2030</v>
      </c>
      <c r="AJ2349" s="8" t="str">
        <f>"57702"</f>
        <v>57702</v>
      </c>
      <c r="AK2349" t="s">
        <v>118</v>
      </c>
      <c r="AM2349" s="10">
        <v>16058772258</v>
      </c>
      <c r="AO2349" t="s">
        <v>20909</v>
      </c>
      <c r="AX2349" s="8" t="str">
        <f>""</f>
        <v/>
      </c>
      <c r="BG2349" t="s">
        <v>2030</v>
      </c>
      <c r="BH2349" s="1">
        <v>45112.833333333336</v>
      </c>
      <c r="BI2349">
        <v>40</v>
      </c>
      <c r="BJ2349">
        <v>0</v>
      </c>
      <c r="BK2349">
        <v>8</v>
      </c>
      <c r="BL2349">
        <v>8</v>
      </c>
      <c r="BM2349">
        <v>8</v>
      </c>
      <c r="BN2349">
        <v>8</v>
      </c>
      <c r="BO2349">
        <v>8</v>
      </c>
      <c r="BP2349">
        <v>0</v>
      </c>
      <c r="BQ2349" t="str">
        <f>"8:00 AM"</f>
        <v>8:00 AM</v>
      </c>
      <c r="BR2349" t="str">
        <f>"5:00 PM"</f>
        <v>5:00 PM</v>
      </c>
      <c r="BS2349" t="s">
        <v>147</v>
      </c>
      <c r="BT2349">
        <v>0</v>
      </c>
      <c r="BU2349">
        <v>0</v>
      </c>
      <c r="BV2349" t="s">
        <v>114</v>
      </c>
      <c r="BX2349" t="s">
        <v>20910</v>
      </c>
      <c r="BY2349" t="s">
        <v>20907</v>
      </c>
      <c r="CA2349" t="s">
        <v>7597</v>
      </c>
      <c r="CB2349" t="s">
        <v>2030</v>
      </c>
      <c r="CC2349" s="8" t="str">
        <f>"57702"</f>
        <v>57702</v>
      </c>
      <c r="CD2349" t="s">
        <v>3613</v>
      </c>
      <c r="CE2349" t="s">
        <v>3614</v>
      </c>
      <c r="CF2349" s="12">
        <v>16.350000000000001</v>
      </c>
      <c r="CG2349" s="12">
        <v>17</v>
      </c>
      <c r="CH2349" s="12">
        <v>24.53</v>
      </c>
      <c r="CI2349" s="12">
        <v>25.5</v>
      </c>
      <c r="CJ2349" t="s">
        <v>135</v>
      </c>
      <c r="CL2349" t="s">
        <v>20911</v>
      </c>
      <c r="CO2349" t="s">
        <v>132</v>
      </c>
      <c r="CP2349" t="s">
        <v>136</v>
      </c>
      <c r="CQ2349" t="s">
        <v>114</v>
      </c>
      <c r="CR2349" t="s">
        <v>136</v>
      </c>
      <c r="CS2349" t="s">
        <v>136</v>
      </c>
      <c r="CT2349" t="s">
        <v>136</v>
      </c>
      <c r="CU2349" t="s">
        <v>114</v>
      </c>
      <c r="CV2349" t="s">
        <v>132</v>
      </c>
      <c r="CW2349" s="10" t="str">
        <f>"+16058772258"</f>
        <v>+16058772258</v>
      </c>
      <c r="CX2349" t="s">
        <v>20909</v>
      </c>
      <c r="CY2349" t="s">
        <v>132</v>
      </c>
      <c r="CZ2349" t="s">
        <v>137</v>
      </c>
      <c r="DA2349" t="s">
        <v>114</v>
      </c>
      <c r="DB2349" t="s">
        <v>114</v>
      </c>
      <c r="DC2349" t="s">
        <v>136</v>
      </c>
      <c r="DD2349" t="s">
        <v>114</v>
      </c>
    </row>
    <row r="2350" spans="1:113" ht="15" customHeight="1" x14ac:dyDescent="0.25">
      <c r="A2350" t="s">
        <v>23725</v>
      </c>
      <c r="B2350" t="s">
        <v>368</v>
      </c>
      <c r="C2350" s="1">
        <v>45230.544095717596</v>
      </c>
      <c r="D2350" s="1">
        <v>45237</v>
      </c>
      <c r="E2350" t="s">
        <v>132</v>
      </c>
      <c r="F2350" t="s">
        <v>18606</v>
      </c>
      <c r="G2350" t="str">
        <f>"39-3093"</f>
        <v>39-3093</v>
      </c>
      <c r="H2350" t="s">
        <v>6032</v>
      </c>
      <c r="I2350">
        <v>10</v>
      </c>
      <c r="K2350" s="1">
        <v>45301</v>
      </c>
      <c r="L2350" s="1">
        <v>45432</v>
      </c>
      <c r="O2350" t="s">
        <v>116</v>
      </c>
      <c r="P2350" t="s">
        <v>21854</v>
      </c>
      <c r="Q2350" t="s">
        <v>22729</v>
      </c>
      <c r="R2350" t="s">
        <v>1208</v>
      </c>
      <c r="T2350" t="s">
        <v>1209</v>
      </c>
      <c r="U2350" t="s">
        <v>140</v>
      </c>
      <c r="V2350" s="8" t="str">
        <f>"33480"</f>
        <v>33480</v>
      </c>
      <c r="W2350" t="s">
        <v>118</v>
      </c>
      <c r="Y2350" s="10" t="s">
        <v>1210</v>
      </c>
      <c r="AA2350">
        <v>72111</v>
      </c>
      <c r="AB2350" t="s">
        <v>1211</v>
      </c>
      <c r="AC2350" t="s">
        <v>5374</v>
      </c>
      <c r="AE2350" t="s">
        <v>4829</v>
      </c>
      <c r="AF2350" t="s">
        <v>1208</v>
      </c>
      <c r="AH2350" t="s">
        <v>1209</v>
      </c>
      <c r="AI2350" t="s">
        <v>140</v>
      </c>
      <c r="AJ2350" s="8" t="str">
        <f>"33480"</f>
        <v>33480</v>
      </c>
      <c r="AK2350" t="s">
        <v>118</v>
      </c>
      <c r="AM2350" s="10" t="s">
        <v>1210</v>
      </c>
      <c r="AO2350" t="s">
        <v>1214</v>
      </c>
      <c r="AP2350" t="s">
        <v>121</v>
      </c>
      <c r="AQ2350" t="s">
        <v>1215</v>
      </c>
      <c r="AR2350" t="s">
        <v>1216</v>
      </c>
      <c r="AS2350" t="s">
        <v>1217</v>
      </c>
      <c r="AT2350" t="s">
        <v>1433</v>
      </c>
      <c r="AU2350" t="s">
        <v>1219</v>
      </c>
      <c r="AV2350" t="s">
        <v>1220</v>
      </c>
      <c r="AW2350" t="s">
        <v>358</v>
      </c>
      <c r="AX2350" s="8" t="str">
        <f>"10036"</f>
        <v>10036</v>
      </c>
      <c r="AY2350" t="s">
        <v>118</v>
      </c>
      <c r="BA2350" s="10" t="s">
        <v>17179</v>
      </c>
      <c r="BC2350" t="s">
        <v>1221</v>
      </c>
      <c r="BD2350" t="s">
        <v>1222</v>
      </c>
      <c r="BF2350" t="s">
        <v>17180</v>
      </c>
      <c r="BG2350" t="s">
        <v>140</v>
      </c>
      <c r="BH2350" s="1">
        <v>45222.833333333336</v>
      </c>
      <c r="BI2350">
        <v>35</v>
      </c>
      <c r="BJ2350">
        <v>5</v>
      </c>
      <c r="BK2350">
        <v>5</v>
      </c>
      <c r="BL2350">
        <v>5</v>
      </c>
      <c r="BM2350">
        <v>5</v>
      </c>
      <c r="BN2350">
        <v>5</v>
      </c>
      <c r="BO2350">
        <v>5</v>
      </c>
      <c r="BP2350">
        <v>5</v>
      </c>
      <c r="BQ2350" t="str">
        <f>"6:00 AM"</f>
        <v>6:00 AM</v>
      </c>
      <c r="BR2350" t="str">
        <f>"10:00 PM"</f>
        <v>10:00 PM</v>
      </c>
      <c r="BS2350" t="s">
        <v>131</v>
      </c>
      <c r="BT2350">
        <v>0</v>
      </c>
      <c r="BU2350">
        <v>2</v>
      </c>
      <c r="BV2350" t="s">
        <v>114</v>
      </c>
      <c r="BX2350" s="2" t="s">
        <v>23726</v>
      </c>
      <c r="BY2350" t="s">
        <v>1208</v>
      </c>
      <c r="CA2350" t="s">
        <v>1209</v>
      </c>
      <c r="CB2350" t="s">
        <v>140</v>
      </c>
      <c r="CC2350" s="8" t="str">
        <f>"33804"</f>
        <v>33804</v>
      </c>
      <c r="CE2350" t="s">
        <v>149</v>
      </c>
      <c r="CF2350" s="12">
        <v>14.54</v>
      </c>
      <c r="CH2350" s="12">
        <v>21.81</v>
      </c>
      <c r="CJ2350" t="s">
        <v>135</v>
      </c>
      <c r="CK2350" t="s">
        <v>1225</v>
      </c>
      <c r="CL2350" t="s">
        <v>21858</v>
      </c>
      <c r="CO2350" t="s">
        <v>136</v>
      </c>
      <c r="CP2350" t="s">
        <v>114</v>
      </c>
      <c r="CQ2350" t="s">
        <v>136</v>
      </c>
      <c r="CR2350" t="s">
        <v>114</v>
      </c>
      <c r="CS2350" t="s">
        <v>136</v>
      </c>
      <c r="CT2350" t="s">
        <v>136</v>
      </c>
      <c r="CU2350" t="s">
        <v>136</v>
      </c>
      <c r="CV2350" t="s">
        <v>23727</v>
      </c>
      <c r="CW2350" s="10" t="str">
        <f>"561-659-2233 ex"</f>
        <v>561-659-2233 ex</v>
      </c>
      <c r="CX2350" t="s">
        <v>1228</v>
      </c>
      <c r="CZ2350" t="s">
        <v>137</v>
      </c>
      <c r="DA2350" t="s">
        <v>114</v>
      </c>
      <c r="DB2350" t="s">
        <v>136</v>
      </c>
      <c r="DC2350" t="s">
        <v>136</v>
      </c>
      <c r="DD2350" t="s">
        <v>114</v>
      </c>
    </row>
    <row r="2351" spans="1:113" ht="15" customHeight="1" x14ac:dyDescent="0.25">
      <c r="A2351" t="s">
        <v>14574</v>
      </c>
      <c r="B2351" t="s">
        <v>368</v>
      </c>
      <c r="C2351" s="1">
        <v>45152.457211111112</v>
      </c>
      <c r="D2351" s="1">
        <v>45237</v>
      </c>
      <c r="E2351" t="s">
        <v>114</v>
      </c>
      <c r="F2351" t="s">
        <v>14575</v>
      </c>
      <c r="G2351" t="str">
        <f>"39-2021.00"</f>
        <v>39-2021.00</v>
      </c>
      <c r="H2351" t="s">
        <v>2895</v>
      </c>
      <c r="I2351">
        <v>4</v>
      </c>
      <c r="K2351" s="1">
        <v>45227</v>
      </c>
      <c r="L2351" s="1">
        <v>45291</v>
      </c>
      <c r="O2351" t="s">
        <v>238</v>
      </c>
      <c r="P2351" t="s">
        <v>14576</v>
      </c>
      <c r="Q2351" t="s">
        <v>12730</v>
      </c>
      <c r="R2351" t="s">
        <v>14577</v>
      </c>
      <c r="T2351" t="s">
        <v>2119</v>
      </c>
      <c r="U2351" t="s">
        <v>386</v>
      </c>
      <c r="V2351" s="8" t="str">
        <f>"37777"</f>
        <v>37777</v>
      </c>
      <c r="W2351" t="s">
        <v>118</v>
      </c>
      <c r="Y2351" s="10">
        <v>18655560412</v>
      </c>
      <c r="AA2351">
        <v>711219</v>
      </c>
      <c r="AB2351" t="s">
        <v>14578</v>
      </c>
      <c r="AC2351" t="s">
        <v>14579</v>
      </c>
      <c r="AD2351" t="s">
        <v>12730</v>
      </c>
      <c r="AE2351" t="s">
        <v>14575</v>
      </c>
      <c r="AF2351" t="s">
        <v>14577</v>
      </c>
      <c r="AH2351" t="s">
        <v>2119</v>
      </c>
      <c r="AI2351" t="s">
        <v>386</v>
      </c>
      <c r="AJ2351" s="8" t="str">
        <f>"37777"</f>
        <v>37777</v>
      </c>
      <c r="AK2351" t="s">
        <v>118</v>
      </c>
      <c r="AL2351" t="s">
        <v>12730</v>
      </c>
      <c r="AM2351" s="10">
        <v>18655560412</v>
      </c>
      <c r="AO2351" t="s">
        <v>14580</v>
      </c>
      <c r="AP2351" t="s">
        <v>121</v>
      </c>
      <c r="AQ2351" t="s">
        <v>14581</v>
      </c>
      <c r="AR2351" t="s">
        <v>3485</v>
      </c>
      <c r="AT2351" t="s">
        <v>14582</v>
      </c>
      <c r="AU2351" t="s">
        <v>14583</v>
      </c>
      <c r="AV2351" t="s">
        <v>7470</v>
      </c>
      <c r="AW2351" t="s">
        <v>386</v>
      </c>
      <c r="AX2351" s="8" t="str">
        <f>"37902"</f>
        <v>37902</v>
      </c>
      <c r="AY2351" t="s">
        <v>118</v>
      </c>
      <c r="BA2351" s="10">
        <v>18655460500</v>
      </c>
      <c r="BC2351" t="s">
        <v>14584</v>
      </c>
      <c r="BD2351" t="s">
        <v>14585</v>
      </c>
      <c r="BE2351" t="s">
        <v>386</v>
      </c>
      <c r="BF2351" t="s">
        <v>14586</v>
      </c>
      <c r="BG2351" t="s">
        <v>386</v>
      </c>
      <c r="BH2351" s="1">
        <v>45151.833333333336</v>
      </c>
      <c r="BI2351">
        <v>66</v>
      </c>
      <c r="BJ2351">
        <v>0</v>
      </c>
      <c r="BK2351">
        <v>11</v>
      </c>
      <c r="BL2351">
        <v>11</v>
      </c>
      <c r="BM2351">
        <v>11</v>
      </c>
      <c r="BN2351">
        <v>11</v>
      </c>
      <c r="BO2351">
        <v>11</v>
      </c>
      <c r="BP2351">
        <v>11</v>
      </c>
      <c r="BQ2351" t="str">
        <f>"7:30 AM"</f>
        <v>7:30 AM</v>
      </c>
      <c r="BR2351" t="str">
        <f>"6:00 PM"</f>
        <v>6:00 PM</v>
      </c>
      <c r="BS2351" t="s">
        <v>131</v>
      </c>
      <c r="BT2351">
        <v>0</v>
      </c>
      <c r="BU2351">
        <v>1</v>
      </c>
      <c r="BV2351" t="s">
        <v>114</v>
      </c>
      <c r="BX2351" s="2" t="s">
        <v>3116</v>
      </c>
      <c r="BY2351" t="s">
        <v>14577</v>
      </c>
      <c r="BZ2351" t="s">
        <v>692</v>
      </c>
      <c r="CA2351" t="s">
        <v>2119</v>
      </c>
      <c r="CB2351" t="s">
        <v>386</v>
      </c>
      <c r="CC2351" s="8" t="str">
        <f>"37777"</f>
        <v>37777</v>
      </c>
      <c r="CD2351" t="s">
        <v>14587</v>
      </c>
      <c r="CE2351" t="s">
        <v>3276</v>
      </c>
      <c r="CF2351" s="12">
        <v>13.33</v>
      </c>
      <c r="CG2351" s="12">
        <v>13.33</v>
      </c>
      <c r="CH2351" s="12">
        <v>20</v>
      </c>
      <c r="CI2351" s="12">
        <v>20</v>
      </c>
      <c r="CJ2351" t="s">
        <v>135</v>
      </c>
      <c r="CL2351" t="s">
        <v>14588</v>
      </c>
      <c r="CO2351" t="s">
        <v>136</v>
      </c>
      <c r="CP2351" t="s">
        <v>114</v>
      </c>
      <c r="CQ2351" t="s">
        <v>136</v>
      </c>
      <c r="CR2351" t="s">
        <v>136</v>
      </c>
      <c r="CS2351" t="s">
        <v>136</v>
      </c>
      <c r="CT2351" t="s">
        <v>136</v>
      </c>
      <c r="CU2351" t="s">
        <v>136</v>
      </c>
      <c r="CV2351" t="s">
        <v>14589</v>
      </c>
      <c r="CW2351" s="10" t="str">
        <f>"+18655560412"</f>
        <v>+18655560412</v>
      </c>
      <c r="CX2351" t="s">
        <v>14590</v>
      </c>
      <c r="CY2351" t="s">
        <v>14591</v>
      </c>
      <c r="CZ2351" t="s">
        <v>137</v>
      </c>
      <c r="DA2351" t="s">
        <v>114</v>
      </c>
      <c r="DB2351" t="s">
        <v>114</v>
      </c>
      <c r="DC2351" t="s">
        <v>136</v>
      </c>
      <c r="DD2351" t="s">
        <v>114</v>
      </c>
    </row>
    <row r="2352" spans="1:113" ht="15" customHeight="1" x14ac:dyDescent="0.25">
      <c r="A2352" t="s">
        <v>17177</v>
      </c>
      <c r="B2352" t="s">
        <v>368</v>
      </c>
      <c r="C2352" s="1">
        <v>45230.743260300929</v>
      </c>
      <c r="D2352" s="1">
        <v>45236</v>
      </c>
      <c r="E2352" t="s">
        <v>132</v>
      </c>
      <c r="F2352" t="s">
        <v>1689</v>
      </c>
      <c r="G2352" t="str">
        <f>"37-2012"</f>
        <v>37-2012</v>
      </c>
      <c r="H2352" t="s">
        <v>205</v>
      </c>
      <c r="I2352">
        <v>10</v>
      </c>
      <c r="K2352" s="1">
        <v>45301</v>
      </c>
      <c r="L2352" s="1">
        <v>45432</v>
      </c>
      <c r="O2352" t="s">
        <v>116</v>
      </c>
      <c r="P2352" t="s">
        <v>3334</v>
      </c>
      <c r="Q2352" t="s">
        <v>17178</v>
      </c>
      <c r="R2352" t="s">
        <v>1208</v>
      </c>
      <c r="T2352" t="s">
        <v>1209</v>
      </c>
      <c r="U2352" t="s">
        <v>140</v>
      </c>
      <c r="V2352" s="8" t="str">
        <f>"33480"</f>
        <v>33480</v>
      </c>
      <c r="W2352" t="s">
        <v>118</v>
      </c>
      <c r="Y2352" s="10" t="s">
        <v>1210</v>
      </c>
      <c r="AA2352">
        <v>72111</v>
      </c>
      <c r="AB2352" t="s">
        <v>1211</v>
      </c>
      <c r="AC2352" t="s">
        <v>1212</v>
      </c>
      <c r="AE2352" t="s">
        <v>4829</v>
      </c>
      <c r="AF2352" t="s">
        <v>1208</v>
      </c>
      <c r="AH2352" t="s">
        <v>1209</v>
      </c>
      <c r="AI2352" t="s">
        <v>140</v>
      </c>
      <c r="AJ2352" s="8" t="str">
        <f>"33480"</f>
        <v>33480</v>
      </c>
      <c r="AK2352" t="s">
        <v>118</v>
      </c>
      <c r="AM2352" s="10" t="s">
        <v>1210</v>
      </c>
      <c r="AO2352" t="s">
        <v>1214</v>
      </c>
      <c r="AP2352" t="s">
        <v>121</v>
      </c>
      <c r="AQ2352" t="s">
        <v>1215</v>
      </c>
      <c r="AR2352" t="s">
        <v>1216</v>
      </c>
      <c r="AS2352" t="s">
        <v>1217</v>
      </c>
      <c r="AT2352" t="s">
        <v>1433</v>
      </c>
      <c r="AU2352" t="s">
        <v>1219</v>
      </c>
      <c r="AV2352" t="s">
        <v>1220</v>
      </c>
      <c r="AW2352" t="s">
        <v>358</v>
      </c>
      <c r="AX2352" s="8" t="str">
        <f>"10036"</f>
        <v>10036</v>
      </c>
      <c r="AY2352" t="s">
        <v>118</v>
      </c>
      <c r="BA2352" s="10" t="s">
        <v>17179</v>
      </c>
      <c r="BC2352" t="s">
        <v>1221</v>
      </c>
      <c r="BD2352" t="s">
        <v>1222</v>
      </c>
      <c r="BF2352" t="s">
        <v>17180</v>
      </c>
      <c r="BG2352" t="s">
        <v>140</v>
      </c>
      <c r="BH2352" s="1">
        <v>45222.833333333336</v>
      </c>
      <c r="BI2352">
        <v>35</v>
      </c>
      <c r="BJ2352">
        <v>5</v>
      </c>
      <c r="BK2352">
        <v>5</v>
      </c>
      <c r="BL2352">
        <v>5</v>
      </c>
      <c r="BM2352">
        <v>5</v>
      </c>
      <c r="BN2352">
        <v>5</v>
      </c>
      <c r="BO2352">
        <v>5</v>
      </c>
      <c r="BP2352">
        <v>5</v>
      </c>
      <c r="BQ2352" t="str">
        <f>"8:00 AM"</f>
        <v>8:00 AM</v>
      </c>
      <c r="BR2352" t="str">
        <f>"5:00 PM"</f>
        <v>5:00 PM</v>
      </c>
      <c r="BS2352" t="s">
        <v>131</v>
      </c>
      <c r="BT2352">
        <v>0</v>
      </c>
      <c r="BU2352">
        <v>3</v>
      </c>
      <c r="BV2352" t="s">
        <v>114</v>
      </c>
      <c r="BX2352" t="s">
        <v>17181</v>
      </c>
      <c r="BY2352" t="s">
        <v>1208</v>
      </c>
      <c r="CA2352" t="s">
        <v>1209</v>
      </c>
      <c r="CB2352" t="s">
        <v>140</v>
      </c>
      <c r="CC2352" s="8" t="str">
        <f>"33480"</f>
        <v>33480</v>
      </c>
      <c r="CE2352" t="s">
        <v>149</v>
      </c>
      <c r="CF2352" s="12">
        <v>14.17</v>
      </c>
      <c r="CH2352" s="12">
        <v>21.26</v>
      </c>
      <c r="CJ2352" t="s">
        <v>135</v>
      </c>
      <c r="CK2352" t="s">
        <v>1225</v>
      </c>
      <c r="CL2352" t="s">
        <v>17182</v>
      </c>
      <c r="CO2352" t="s">
        <v>132</v>
      </c>
      <c r="CP2352" t="s">
        <v>114</v>
      </c>
      <c r="CQ2352" t="s">
        <v>136</v>
      </c>
      <c r="CR2352" t="s">
        <v>114</v>
      </c>
      <c r="CS2352" t="s">
        <v>136</v>
      </c>
      <c r="CT2352" t="s">
        <v>136</v>
      </c>
      <c r="CU2352" t="s">
        <v>136</v>
      </c>
      <c r="CV2352" t="s">
        <v>1227</v>
      </c>
      <c r="CW2352" s="10" t="str">
        <f>"561-659-2233 ex"</f>
        <v>561-659-2233 ex</v>
      </c>
      <c r="CX2352" t="s">
        <v>1228</v>
      </c>
      <c r="CZ2352" t="s">
        <v>137</v>
      </c>
      <c r="DA2352" t="s">
        <v>114</v>
      </c>
      <c r="DB2352" t="s">
        <v>136</v>
      </c>
      <c r="DC2352" t="s">
        <v>136</v>
      </c>
      <c r="DD2352" t="s">
        <v>114</v>
      </c>
    </row>
    <row r="2353" spans="1:113" ht="15" customHeight="1" x14ac:dyDescent="0.25">
      <c r="A2353" t="s">
        <v>22728</v>
      </c>
      <c r="B2353" t="s">
        <v>368</v>
      </c>
      <c r="C2353" s="1">
        <v>45230.564538078703</v>
      </c>
      <c r="D2353" s="1">
        <v>45236</v>
      </c>
      <c r="E2353" t="s">
        <v>132</v>
      </c>
      <c r="F2353" t="s">
        <v>5819</v>
      </c>
      <c r="G2353" t="str">
        <f>"39-6011"</f>
        <v>39-6011</v>
      </c>
      <c r="H2353" t="s">
        <v>3333</v>
      </c>
      <c r="I2353">
        <v>10</v>
      </c>
      <c r="K2353" s="1">
        <v>45301</v>
      </c>
      <c r="L2353" s="1">
        <v>45432</v>
      </c>
      <c r="O2353" t="s">
        <v>116</v>
      </c>
      <c r="P2353" t="s">
        <v>3334</v>
      </c>
      <c r="Q2353" t="s">
        <v>22729</v>
      </c>
      <c r="R2353" t="s">
        <v>1208</v>
      </c>
      <c r="T2353" t="s">
        <v>1209</v>
      </c>
      <c r="U2353" t="s">
        <v>140</v>
      </c>
      <c r="V2353" s="8" t="str">
        <f>"33480"</f>
        <v>33480</v>
      </c>
      <c r="W2353" t="s">
        <v>118</v>
      </c>
      <c r="Y2353" s="10" t="s">
        <v>1210</v>
      </c>
      <c r="AA2353">
        <v>72111</v>
      </c>
      <c r="AB2353" t="s">
        <v>1211</v>
      </c>
      <c r="AC2353" t="s">
        <v>1212</v>
      </c>
      <c r="AE2353" t="s">
        <v>1213</v>
      </c>
      <c r="AF2353" t="s">
        <v>1208</v>
      </c>
      <c r="AH2353" t="s">
        <v>1209</v>
      </c>
      <c r="AI2353" t="s">
        <v>140</v>
      </c>
      <c r="AJ2353" s="8" t="str">
        <f>"33480"</f>
        <v>33480</v>
      </c>
      <c r="AK2353" t="s">
        <v>118</v>
      </c>
      <c r="AM2353" s="10" t="s">
        <v>1210</v>
      </c>
      <c r="AO2353" t="s">
        <v>1214</v>
      </c>
      <c r="AP2353" t="s">
        <v>121</v>
      </c>
      <c r="AQ2353" t="s">
        <v>1215</v>
      </c>
      <c r="AR2353" t="s">
        <v>1216</v>
      </c>
      <c r="AS2353" t="s">
        <v>1217</v>
      </c>
      <c r="AT2353" t="s">
        <v>1433</v>
      </c>
      <c r="AU2353" t="s">
        <v>1219</v>
      </c>
      <c r="AV2353" t="s">
        <v>1220</v>
      </c>
      <c r="AW2353" t="s">
        <v>358</v>
      </c>
      <c r="AX2353" s="8" t="str">
        <f>"10036"</f>
        <v>10036</v>
      </c>
      <c r="AY2353" t="s">
        <v>118</v>
      </c>
      <c r="BA2353" s="10">
        <v>2123247280</v>
      </c>
      <c r="BC2353" t="s">
        <v>1221</v>
      </c>
      <c r="BD2353" t="s">
        <v>22730</v>
      </c>
      <c r="BF2353" t="s">
        <v>1223</v>
      </c>
      <c r="BG2353" t="s">
        <v>140</v>
      </c>
      <c r="BH2353" s="1">
        <v>45222.833333333336</v>
      </c>
      <c r="BI2353">
        <v>35</v>
      </c>
      <c r="BJ2353">
        <v>5</v>
      </c>
      <c r="BK2353">
        <v>5</v>
      </c>
      <c r="BL2353">
        <v>5</v>
      </c>
      <c r="BM2353">
        <v>5</v>
      </c>
      <c r="BN2353">
        <v>5</v>
      </c>
      <c r="BO2353">
        <v>5</v>
      </c>
      <c r="BP2353">
        <v>5</v>
      </c>
      <c r="BQ2353" t="str">
        <f>"6:00 AM"</f>
        <v>6:00 AM</v>
      </c>
      <c r="BR2353" t="str">
        <f>"10:00 PM"</f>
        <v>10:00 PM</v>
      </c>
      <c r="BS2353" t="s">
        <v>131</v>
      </c>
      <c r="BT2353">
        <v>0</v>
      </c>
      <c r="BU2353">
        <v>2</v>
      </c>
      <c r="BV2353" t="s">
        <v>114</v>
      </c>
      <c r="BX2353" t="s">
        <v>22731</v>
      </c>
      <c r="BY2353" t="s">
        <v>1208</v>
      </c>
      <c r="CA2353" t="s">
        <v>1209</v>
      </c>
      <c r="CB2353" t="s">
        <v>140</v>
      </c>
      <c r="CC2353" s="8" t="str">
        <f>"33480"</f>
        <v>33480</v>
      </c>
      <c r="CE2353" t="s">
        <v>149</v>
      </c>
      <c r="CF2353" s="12">
        <v>14.58</v>
      </c>
      <c r="CH2353" s="12">
        <v>21.87</v>
      </c>
      <c r="CJ2353" t="s">
        <v>135</v>
      </c>
      <c r="CK2353" t="s">
        <v>1225</v>
      </c>
      <c r="CL2353" t="s">
        <v>1226</v>
      </c>
      <c r="CO2353" t="s">
        <v>132</v>
      </c>
      <c r="CP2353" t="s">
        <v>114</v>
      </c>
      <c r="CQ2353" t="s">
        <v>136</v>
      </c>
      <c r="CR2353" t="s">
        <v>114</v>
      </c>
      <c r="CS2353" t="s">
        <v>136</v>
      </c>
      <c r="CT2353" t="s">
        <v>136</v>
      </c>
      <c r="CU2353" t="s">
        <v>136</v>
      </c>
      <c r="CV2353" t="s">
        <v>1227</v>
      </c>
      <c r="CW2353" s="10" t="str">
        <f>"561-659-2233 ex"</f>
        <v>561-659-2233 ex</v>
      </c>
      <c r="CX2353" t="s">
        <v>1228</v>
      </c>
      <c r="CZ2353" t="s">
        <v>137</v>
      </c>
      <c r="DA2353" t="s">
        <v>114</v>
      </c>
      <c r="DB2353" t="s">
        <v>136</v>
      </c>
      <c r="DC2353" t="s">
        <v>136</v>
      </c>
      <c r="DD2353" t="s">
        <v>114</v>
      </c>
    </row>
    <row r="2354" spans="1:113" ht="15" customHeight="1" x14ac:dyDescent="0.25">
      <c r="A2354" t="s">
        <v>1205</v>
      </c>
      <c r="B2354" t="s">
        <v>368</v>
      </c>
      <c r="C2354" s="1">
        <v>45230.518883217592</v>
      </c>
      <c r="D2354" s="1">
        <v>45236</v>
      </c>
      <c r="E2354" t="s">
        <v>132</v>
      </c>
      <c r="F2354" t="s">
        <v>1059</v>
      </c>
      <c r="G2354" t="str">
        <f>"35-2014"</f>
        <v>35-2014</v>
      </c>
      <c r="H2354" t="s">
        <v>154</v>
      </c>
      <c r="I2354">
        <v>10</v>
      </c>
      <c r="K2354" s="1">
        <v>45301</v>
      </c>
      <c r="L2354" s="1">
        <v>45432</v>
      </c>
      <c r="O2354" t="s">
        <v>116</v>
      </c>
      <c r="P2354" s="2" t="s">
        <v>1206</v>
      </c>
      <c r="Q2354" s="2" t="s">
        <v>1207</v>
      </c>
      <c r="R2354" t="s">
        <v>1208</v>
      </c>
      <c r="T2354" t="s">
        <v>1209</v>
      </c>
      <c r="U2354" t="s">
        <v>140</v>
      </c>
      <c r="V2354" s="8" t="str">
        <f>"33480"</f>
        <v>33480</v>
      </c>
      <c r="Y2354" s="10" t="s">
        <v>1210</v>
      </c>
      <c r="AA2354">
        <v>72111</v>
      </c>
      <c r="AB2354" t="s">
        <v>1211</v>
      </c>
      <c r="AC2354" t="s">
        <v>1212</v>
      </c>
      <c r="AE2354" t="s">
        <v>1213</v>
      </c>
      <c r="AF2354" t="s">
        <v>1208</v>
      </c>
      <c r="AH2354" t="s">
        <v>1209</v>
      </c>
      <c r="AI2354" t="s">
        <v>140</v>
      </c>
      <c r="AJ2354" s="8" t="str">
        <f>"33480"</f>
        <v>33480</v>
      </c>
      <c r="AK2354" t="s">
        <v>118</v>
      </c>
      <c r="AM2354" s="10" t="s">
        <v>1210</v>
      </c>
      <c r="AO2354" t="s">
        <v>1214</v>
      </c>
      <c r="AP2354" t="s">
        <v>121</v>
      </c>
      <c r="AQ2354" t="s">
        <v>1215</v>
      </c>
      <c r="AR2354" t="s">
        <v>1216</v>
      </c>
      <c r="AS2354" t="s">
        <v>1217</v>
      </c>
      <c r="AT2354" s="2" t="s">
        <v>1218</v>
      </c>
      <c r="AU2354" t="s">
        <v>1219</v>
      </c>
      <c r="AV2354" t="s">
        <v>1220</v>
      </c>
      <c r="AW2354" t="s">
        <v>358</v>
      </c>
      <c r="AX2354" s="8" t="str">
        <f>"10036"</f>
        <v>10036</v>
      </c>
      <c r="AY2354" t="s">
        <v>118</v>
      </c>
      <c r="BA2354" s="10">
        <v>2123247280</v>
      </c>
      <c r="BC2354" t="s">
        <v>1221</v>
      </c>
      <c r="BD2354" t="s">
        <v>1222</v>
      </c>
      <c r="BF2354" t="s">
        <v>1223</v>
      </c>
      <c r="BG2354" t="s">
        <v>140</v>
      </c>
      <c r="BH2354" s="1">
        <v>45222.833333333336</v>
      </c>
      <c r="BI2354">
        <v>35</v>
      </c>
      <c r="BJ2354">
        <v>5</v>
      </c>
      <c r="BK2354">
        <v>5</v>
      </c>
      <c r="BL2354">
        <v>5</v>
      </c>
      <c r="BM2354">
        <v>5</v>
      </c>
      <c r="BN2354">
        <v>5</v>
      </c>
      <c r="BO2354">
        <v>5</v>
      </c>
      <c r="BP2354">
        <v>5</v>
      </c>
      <c r="BQ2354" t="str">
        <f>"6:00 AM"</f>
        <v>6:00 AM</v>
      </c>
      <c r="BR2354" t="str">
        <f>"10:00 PM"</f>
        <v>10:00 PM</v>
      </c>
      <c r="BS2354" t="s">
        <v>131</v>
      </c>
      <c r="BT2354">
        <v>0</v>
      </c>
      <c r="BU2354">
        <v>6</v>
      </c>
      <c r="BV2354" t="s">
        <v>114</v>
      </c>
      <c r="BX2354" t="s">
        <v>1224</v>
      </c>
      <c r="BY2354" t="s">
        <v>1208</v>
      </c>
      <c r="CA2354" t="s">
        <v>1209</v>
      </c>
      <c r="CB2354" t="s">
        <v>140</v>
      </c>
      <c r="CC2354" s="8" t="str">
        <f>"33480"</f>
        <v>33480</v>
      </c>
      <c r="CE2354" t="s">
        <v>149</v>
      </c>
      <c r="CF2354" s="12">
        <v>14.58</v>
      </c>
      <c r="CH2354" s="12">
        <v>21.87</v>
      </c>
      <c r="CJ2354" t="s">
        <v>135</v>
      </c>
      <c r="CK2354" t="s">
        <v>1225</v>
      </c>
      <c r="CL2354" t="s">
        <v>1226</v>
      </c>
      <c r="CO2354" t="s">
        <v>132</v>
      </c>
      <c r="CP2354" t="s">
        <v>114</v>
      </c>
      <c r="CQ2354" t="s">
        <v>136</v>
      </c>
      <c r="CR2354" t="s">
        <v>114</v>
      </c>
      <c r="CS2354" t="s">
        <v>136</v>
      </c>
      <c r="CT2354" t="s">
        <v>136</v>
      </c>
      <c r="CU2354" t="s">
        <v>136</v>
      </c>
      <c r="CV2354" t="s">
        <v>1227</v>
      </c>
      <c r="CW2354" s="10" t="str">
        <f>"561-659-2233 ex"</f>
        <v>561-659-2233 ex</v>
      </c>
      <c r="CX2354" t="s">
        <v>1228</v>
      </c>
      <c r="CZ2354" t="s">
        <v>137</v>
      </c>
      <c r="DA2354" t="s">
        <v>114</v>
      </c>
      <c r="DB2354" t="s">
        <v>136</v>
      </c>
      <c r="DC2354" t="s">
        <v>136</v>
      </c>
      <c r="DD2354" t="s">
        <v>114</v>
      </c>
    </row>
    <row r="2355" spans="1:113" ht="15" customHeight="1" x14ac:dyDescent="0.25">
      <c r="A2355" t="s">
        <v>21911</v>
      </c>
      <c r="B2355" t="s">
        <v>368</v>
      </c>
      <c r="C2355" s="1">
        <v>45194.920517361112</v>
      </c>
      <c r="D2355" s="1">
        <v>45236</v>
      </c>
      <c r="E2355" t="s">
        <v>132</v>
      </c>
      <c r="F2355" t="s">
        <v>21912</v>
      </c>
      <c r="G2355" t="str">
        <f>"39-2011.00"</f>
        <v>39-2011.00</v>
      </c>
      <c r="H2355" t="s">
        <v>3572</v>
      </c>
      <c r="I2355">
        <v>4</v>
      </c>
      <c r="K2355" s="1">
        <v>45270</v>
      </c>
      <c r="L2355" s="1">
        <v>45385</v>
      </c>
      <c r="O2355" t="s">
        <v>116</v>
      </c>
      <c r="P2355" t="s">
        <v>21913</v>
      </c>
      <c r="R2355" t="s">
        <v>21914</v>
      </c>
      <c r="T2355" t="s">
        <v>1764</v>
      </c>
      <c r="U2355" t="s">
        <v>1434</v>
      </c>
      <c r="V2355" s="8" t="str">
        <f>"40511"</f>
        <v>40511</v>
      </c>
      <c r="W2355" t="s">
        <v>118</v>
      </c>
      <c r="Y2355" s="10">
        <v>18592549969</v>
      </c>
      <c r="AA2355">
        <v>71121</v>
      </c>
      <c r="AB2355" t="s">
        <v>21915</v>
      </c>
      <c r="AC2355" t="s">
        <v>21916</v>
      </c>
      <c r="AE2355" t="s">
        <v>1799</v>
      </c>
      <c r="AF2355" t="s">
        <v>21914</v>
      </c>
      <c r="AH2355" t="s">
        <v>1764</v>
      </c>
      <c r="AI2355" t="s">
        <v>1434</v>
      </c>
      <c r="AJ2355" s="8" t="str">
        <f>"40511"</f>
        <v>40511</v>
      </c>
      <c r="AK2355" t="s">
        <v>118</v>
      </c>
      <c r="AM2355" s="10">
        <v>18592549969</v>
      </c>
      <c r="AO2355" t="s">
        <v>21917</v>
      </c>
      <c r="AP2355" t="s">
        <v>121</v>
      </c>
      <c r="AQ2355" t="s">
        <v>8739</v>
      </c>
      <c r="AR2355" t="s">
        <v>3591</v>
      </c>
      <c r="AS2355" t="s">
        <v>3124</v>
      </c>
      <c r="AT2355" t="s">
        <v>18167</v>
      </c>
      <c r="AU2355" t="s">
        <v>18168</v>
      </c>
      <c r="AV2355" t="s">
        <v>1563</v>
      </c>
      <c r="AW2355" t="s">
        <v>211</v>
      </c>
      <c r="AX2355" s="8" t="str">
        <f>"84107"</f>
        <v>84107</v>
      </c>
      <c r="AY2355" t="s">
        <v>118</v>
      </c>
      <c r="BA2355" s="10">
        <v>18012632314</v>
      </c>
      <c r="BC2355" t="s">
        <v>8741</v>
      </c>
      <c r="BD2355" t="s">
        <v>8742</v>
      </c>
      <c r="BE2355" t="s">
        <v>402</v>
      </c>
      <c r="BF2355" t="s">
        <v>172</v>
      </c>
      <c r="BG2355" t="s">
        <v>140</v>
      </c>
      <c r="BH2355" s="1">
        <v>45193.833333333336</v>
      </c>
      <c r="BI2355">
        <v>36</v>
      </c>
      <c r="BJ2355">
        <v>6</v>
      </c>
      <c r="BK2355">
        <v>6</v>
      </c>
      <c r="BL2355">
        <v>6</v>
      </c>
      <c r="BM2355">
        <v>6</v>
      </c>
      <c r="BN2355">
        <v>6</v>
      </c>
      <c r="BO2355">
        <v>6</v>
      </c>
      <c r="BP2355">
        <v>0</v>
      </c>
      <c r="BQ2355" t="str">
        <f>"5:00 AM"</f>
        <v>5:00 AM</v>
      </c>
      <c r="BR2355" t="str">
        <f>"11:00 AM"</f>
        <v>11:00 AM</v>
      </c>
      <c r="BS2355" t="s">
        <v>131</v>
      </c>
      <c r="BT2355">
        <v>0</v>
      </c>
      <c r="BU2355">
        <v>6</v>
      </c>
      <c r="BV2355" t="s">
        <v>114</v>
      </c>
      <c r="BX2355" t="s">
        <v>21918</v>
      </c>
      <c r="BY2355" t="s">
        <v>4025</v>
      </c>
      <c r="BZ2355" t="s">
        <v>21919</v>
      </c>
      <c r="CA2355" t="s">
        <v>8770</v>
      </c>
      <c r="CB2355" t="s">
        <v>140</v>
      </c>
      <c r="CC2355" s="8" t="str">
        <f>"33009"</f>
        <v>33009</v>
      </c>
      <c r="CD2355" t="s">
        <v>287</v>
      </c>
      <c r="CE2355" t="s">
        <v>149</v>
      </c>
      <c r="CF2355" s="12">
        <v>20.48</v>
      </c>
      <c r="CG2355" s="12">
        <v>20.48</v>
      </c>
      <c r="CH2355" s="12">
        <v>30.72</v>
      </c>
      <c r="CI2355" s="12">
        <v>30.72</v>
      </c>
      <c r="CJ2355" t="s">
        <v>135</v>
      </c>
      <c r="CL2355" t="s">
        <v>21920</v>
      </c>
      <c r="CO2355" t="s">
        <v>132</v>
      </c>
      <c r="CP2355" t="s">
        <v>114</v>
      </c>
      <c r="CQ2355" t="s">
        <v>136</v>
      </c>
      <c r="CR2355" t="s">
        <v>136</v>
      </c>
      <c r="CS2355" t="s">
        <v>114</v>
      </c>
      <c r="CT2355" t="s">
        <v>136</v>
      </c>
      <c r="CU2355" t="s">
        <v>136</v>
      </c>
      <c r="CV2355" t="s">
        <v>21921</v>
      </c>
      <c r="CW2355" s="10" t="str">
        <f>"+18592549969"</f>
        <v>+18592549969</v>
      </c>
      <c r="CX2355" t="s">
        <v>21917</v>
      </c>
      <c r="CY2355" t="s">
        <v>132</v>
      </c>
      <c r="CZ2355" t="s">
        <v>137</v>
      </c>
      <c r="DA2355" t="s">
        <v>114</v>
      </c>
      <c r="DB2355" t="s">
        <v>114</v>
      </c>
      <c r="DC2355" t="s">
        <v>136</v>
      </c>
      <c r="DD2355" t="s">
        <v>114</v>
      </c>
    </row>
    <row r="2356" spans="1:113" ht="15" customHeight="1" x14ac:dyDescent="0.25">
      <c r="A2356" t="s">
        <v>23424</v>
      </c>
      <c r="B2356" t="s">
        <v>368</v>
      </c>
      <c r="C2356" s="1">
        <v>45194.894899305553</v>
      </c>
      <c r="D2356" s="1">
        <v>45236</v>
      </c>
      <c r="E2356" t="s">
        <v>132</v>
      </c>
      <c r="F2356" t="s">
        <v>23425</v>
      </c>
      <c r="G2356" t="str">
        <f>"39-2021.00"</f>
        <v>39-2021.00</v>
      </c>
      <c r="H2356" t="s">
        <v>2895</v>
      </c>
      <c r="I2356">
        <v>21</v>
      </c>
      <c r="K2356" s="1">
        <v>45270</v>
      </c>
      <c r="L2356" s="1">
        <v>45383</v>
      </c>
      <c r="O2356" t="s">
        <v>116</v>
      </c>
      <c r="P2356" t="s">
        <v>21913</v>
      </c>
      <c r="R2356" t="s">
        <v>21914</v>
      </c>
      <c r="T2356" t="s">
        <v>1764</v>
      </c>
      <c r="U2356" t="s">
        <v>1434</v>
      </c>
      <c r="V2356" s="8" t="str">
        <f>"40511"</f>
        <v>40511</v>
      </c>
      <c r="W2356" t="s">
        <v>118</v>
      </c>
      <c r="Y2356" s="10">
        <v>18592549969</v>
      </c>
      <c r="AA2356">
        <v>71121</v>
      </c>
      <c r="AB2356" t="s">
        <v>21915</v>
      </c>
      <c r="AC2356" t="s">
        <v>21916</v>
      </c>
      <c r="AE2356" t="s">
        <v>1799</v>
      </c>
      <c r="AF2356" t="s">
        <v>21914</v>
      </c>
      <c r="AH2356" t="s">
        <v>1764</v>
      </c>
      <c r="AI2356" t="s">
        <v>1434</v>
      </c>
      <c r="AJ2356" s="8" t="str">
        <f>"40511"</f>
        <v>40511</v>
      </c>
      <c r="AK2356" t="s">
        <v>118</v>
      </c>
      <c r="AM2356" s="10">
        <v>18592549969</v>
      </c>
      <c r="AO2356" t="s">
        <v>21917</v>
      </c>
      <c r="AP2356" t="s">
        <v>121</v>
      </c>
      <c r="AQ2356" t="s">
        <v>8739</v>
      </c>
      <c r="AR2356" t="s">
        <v>3591</v>
      </c>
      <c r="AS2356" t="s">
        <v>3124</v>
      </c>
      <c r="AT2356" t="s">
        <v>8740</v>
      </c>
      <c r="AU2356" t="s">
        <v>796</v>
      </c>
      <c r="AV2356" t="s">
        <v>1563</v>
      </c>
      <c r="AW2356" t="s">
        <v>211</v>
      </c>
      <c r="AX2356" s="8" t="str">
        <f>"84117"</f>
        <v>84117</v>
      </c>
      <c r="AY2356" t="s">
        <v>118</v>
      </c>
      <c r="BA2356" s="10">
        <v>18012632314</v>
      </c>
      <c r="BC2356" t="s">
        <v>8741</v>
      </c>
      <c r="BD2356" t="s">
        <v>8742</v>
      </c>
      <c r="BE2356" t="s">
        <v>402</v>
      </c>
      <c r="BF2356" t="s">
        <v>172</v>
      </c>
      <c r="BG2356" t="s">
        <v>140</v>
      </c>
      <c r="BH2356" s="1">
        <v>45193.833333333336</v>
      </c>
      <c r="BI2356">
        <v>42</v>
      </c>
      <c r="BJ2356">
        <v>0</v>
      </c>
      <c r="BK2356">
        <v>7</v>
      </c>
      <c r="BL2356">
        <v>7</v>
      </c>
      <c r="BM2356">
        <v>7</v>
      </c>
      <c r="BN2356">
        <v>7</v>
      </c>
      <c r="BO2356">
        <v>7</v>
      </c>
      <c r="BP2356">
        <v>7</v>
      </c>
      <c r="BQ2356" t="str">
        <f>"5:00 AM"</f>
        <v>5:00 AM</v>
      </c>
      <c r="BR2356" t="str">
        <f>"11:00 AM"</f>
        <v>11:00 AM</v>
      </c>
      <c r="BS2356" t="s">
        <v>131</v>
      </c>
      <c r="BT2356">
        <v>0</v>
      </c>
      <c r="BU2356">
        <v>1</v>
      </c>
      <c r="BV2356" t="s">
        <v>114</v>
      </c>
      <c r="BX2356" t="s">
        <v>23426</v>
      </c>
      <c r="BY2356" t="s">
        <v>4025</v>
      </c>
      <c r="BZ2356" t="s">
        <v>21919</v>
      </c>
      <c r="CA2356" t="s">
        <v>8770</v>
      </c>
      <c r="CB2356" t="s">
        <v>140</v>
      </c>
      <c r="CC2356" s="8" t="str">
        <f>"33009"</f>
        <v>33009</v>
      </c>
      <c r="CD2356" t="s">
        <v>287</v>
      </c>
      <c r="CE2356" t="s">
        <v>149</v>
      </c>
      <c r="CF2356" s="12">
        <v>16.510000000000002</v>
      </c>
      <c r="CG2356" s="12">
        <v>16.510000000000002</v>
      </c>
      <c r="CH2356" s="12">
        <v>24.77</v>
      </c>
      <c r="CI2356" s="12">
        <v>24.77</v>
      </c>
      <c r="CJ2356" t="s">
        <v>135</v>
      </c>
      <c r="CL2356" t="s">
        <v>23427</v>
      </c>
      <c r="CO2356" t="s">
        <v>132</v>
      </c>
      <c r="CP2356" t="s">
        <v>114</v>
      </c>
      <c r="CQ2356" t="s">
        <v>136</v>
      </c>
      <c r="CR2356" t="s">
        <v>136</v>
      </c>
      <c r="CS2356" t="s">
        <v>114</v>
      </c>
      <c r="CT2356" t="s">
        <v>136</v>
      </c>
      <c r="CU2356" t="s">
        <v>136</v>
      </c>
      <c r="CV2356" t="s">
        <v>23428</v>
      </c>
      <c r="CW2356" s="10" t="str">
        <f>"+18592549969"</f>
        <v>+18592549969</v>
      </c>
      <c r="CX2356" t="s">
        <v>21917</v>
      </c>
      <c r="CY2356" t="s">
        <v>132</v>
      </c>
      <c r="CZ2356" t="s">
        <v>137</v>
      </c>
      <c r="DA2356" t="s">
        <v>114</v>
      </c>
      <c r="DB2356" t="s">
        <v>114</v>
      </c>
      <c r="DC2356" t="s">
        <v>136</v>
      </c>
      <c r="DD2356" t="s">
        <v>114</v>
      </c>
    </row>
    <row r="2357" spans="1:113" ht="15" customHeight="1" x14ac:dyDescent="0.25">
      <c r="A2357" t="s">
        <v>23683</v>
      </c>
      <c r="B2357" t="s">
        <v>368</v>
      </c>
      <c r="C2357" s="1">
        <v>45233.568865277775</v>
      </c>
      <c r="D2357" s="1">
        <v>45233</v>
      </c>
      <c r="E2357" t="s">
        <v>132</v>
      </c>
      <c r="F2357" t="s">
        <v>13650</v>
      </c>
      <c r="G2357" t="str">
        <f>"35-2021.00"</f>
        <v>35-2021.00</v>
      </c>
      <c r="H2357" t="s">
        <v>2303</v>
      </c>
      <c r="I2357">
        <v>3</v>
      </c>
      <c r="K2357" s="1">
        <v>45323</v>
      </c>
      <c r="L2357" s="1">
        <v>45596</v>
      </c>
      <c r="O2357" t="s">
        <v>238</v>
      </c>
      <c r="P2357" t="s">
        <v>13651</v>
      </c>
      <c r="R2357" t="s">
        <v>13652</v>
      </c>
      <c r="T2357" t="s">
        <v>13653</v>
      </c>
      <c r="U2357" t="s">
        <v>2030</v>
      </c>
      <c r="V2357" s="8" t="str">
        <f>"57745"</f>
        <v>57745</v>
      </c>
      <c r="W2357" t="s">
        <v>118</v>
      </c>
      <c r="Y2357" s="10">
        <v>16055743898</v>
      </c>
      <c r="Z2357">
        <v>2100</v>
      </c>
      <c r="AA2357">
        <v>312130</v>
      </c>
      <c r="AB2357" t="s">
        <v>13654</v>
      </c>
      <c r="AC2357" t="s">
        <v>1861</v>
      </c>
      <c r="AE2357" t="s">
        <v>13655</v>
      </c>
      <c r="AF2357" t="s">
        <v>13656</v>
      </c>
      <c r="AH2357" t="s">
        <v>13653</v>
      </c>
      <c r="AI2357" t="s">
        <v>2030</v>
      </c>
      <c r="AJ2357" s="8" t="str">
        <f>"57745"</f>
        <v>57745</v>
      </c>
      <c r="AK2357" t="s">
        <v>118</v>
      </c>
      <c r="AM2357" s="10">
        <v>16055749623</v>
      </c>
      <c r="AO2357" t="s">
        <v>13657</v>
      </c>
      <c r="AX2357" s="8" t="str">
        <f>""</f>
        <v/>
      </c>
      <c r="BG2357" t="s">
        <v>2030</v>
      </c>
      <c r="BH2357" s="1">
        <v>45169.833333333336</v>
      </c>
      <c r="BI2357">
        <v>40</v>
      </c>
      <c r="BJ2357">
        <v>8</v>
      </c>
      <c r="BK2357">
        <v>0</v>
      </c>
      <c r="BL2357">
        <v>0</v>
      </c>
      <c r="BM2357">
        <v>8</v>
      </c>
      <c r="BN2357">
        <v>8</v>
      </c>
      <c r="BO2357">
        <v>8</v>
      </c>
      <c r="BP2357">
        <v>8</v>
      </c>
      <c r="BQ2357" t="str">
        <f>"11:00 AM"</f>
        <v>11:00 AM</v>
      </c>
      <c r="BR2357" t="str">
        <f>"7:00 PM"</f>
        <v>7:00 PM</v>
      </c>
      <c r="BS2357" t="s">
        <v>131</v>
      </c>
      <c r="BT2357">
        <v>0</v>
      </c>
      <c r="BU2357">
        <v>0</v>
      </c>
      <c r="BV2357" t="s">
        <v>114</v>
      </c>
      <c r="BX2357" t="s">
        <v>131</v>
      </c>
      <c r="BY2357" t="s">
        <v>13656</v>
      </c>
      <c r="CA2357" t="s">
        <v>13653</v>
      </c>
      <c r="CB2357" t="s">
        <v>2030</v>
      </c>
      <c r="CC2357" s="8" t="str">
        <f>"57745"</f>
        <v>57745</v>
      </c>
      <c r="CD2357" t="s">
        <v>3613</v>
      </c>
      <c r="CE2357" t="s">
        <v>3614</v>
      </c>
      <c r="CF2357" s="12">
        <v>15</v>
      </c>
      <c r="CG2357" s="12">
        <v>15</v>
      </c>
      <c r="CH2357" s="12">
        <v>22.5</v>
      </c>
      <c r="CI2357" s="12">
        <v>22.5</v>
      </c>
      <c r="CJ2357" t="s">
        <v>135</v>
      </c>
      <c r="CL2357" t="s">
        <v>13658</v>
      </c>
      <c r="CO2357" t="s">
        <v>132</v>
      </c>
      <c r="CP2357" t="s">
        <v>114</v>
      </c>
      <c r="CQ2357" t="s">
        <v>136</v>
      </c>
      <c r="CR2357" t="s">
        <v>136</v>
      </c>
      <c r="CS2357" t="s">
        <v>136</v>
      </c>
      <c r="CT2357" t="s">
        <v>136</v>
      </c>
      <c r="CU2357" t="s">
        <v>136</v>
      </c>
      <c r="CV2357" t="s">
        <v>23684</v>
      </c>
      <c r="CW2357" s="10" t="str">
        <f>"+16055749623"</f>
        <v>+16055749623</v>
      </c>
      <c r="CX2357" t="s">
        <v>13657</v>
      </c>
      <c r="CY2357" t="s">
        <v>13659</v>
      </c>
      <c r="CZ2357" t="s">
        <v>137</v>
      </c>
      <c r="DA2357" t="s">
        <v>114</v>
      </c>
      <c r="DB2357" t="s">
        <v>114</v>
      </c>
      <c r="DC2357" t="s">
        <v>136</v>
      </c>
      <c r="DD2357" t="s">
        <v>114</v>
      </c>
    </row>
    <row r="2358" spans="1:113" ht="15" customHeight="1" x14ac:dyDescent="0.25">
      <c r="A2358" t="s">
        <v>15727</v>
      </c>
      <c r="B2358" t="s">
        <v>368</v>
      </c>
      <c r="C2358" s="1">
        <v>45219.655755439817</v>
      </c>
      <c r="D2358" s="1">
        <v>45233</v>
      </c>
      <c r="E2358" t="s">
        <v>132</v>
      </c>
      <c r="F2358" t="s">
        <v>3139</v>
      </c>
      <c r="G2358" t="str">
        <f>"37-1012.00"</f>
        <v>37-1012.00</v>
      </c>
      <c r="H2358" t="s">
        <v>3140</v>
      </c>
      <c r="I2358">
        <v>5</v>
      </c>
      <c r="K2358" s="1">
        <v>45261</v>
      </c>
      <c r="L2358" s="1">
        <v>45291</v>
      </c>
      <c r="O2358" t="s">
        <v>116</v>
      </c>
      <c r="P2358" t="s">
        <v>3141</v>
      </c>
      <c r="R2358" t="s">
        <v>3142</v>
      </c>
      <c r="T2358" t="s">
        <v>3143</v>
      </c>
      <c r="U2358" t="s">
        <v>127</v>
      </c>
      <c r="V2358" s="8" t="str">
        <f>"78681"</f>
        <v>78681</v>
      </c>
      <c r="W2358" t="s">
        <v>118</v>
      </c>
      <c r="Y2358" s="10">
        <v>15126279477</v>
      </c>
      <c r="AA2358">
        <v>561730</v>
      </c>
      <c r="AB2358" t="s">
        <v>3144</v>
      </c>
      <c r="AC2358" t="s">
        <v>3145</v>
      </c>
      <c r="AD2358" t="s">
        <v>250</v>
      </c>
      <c r="AE2358" t="s">
        <v>120</v>
      </c>
      <c r="AF2358" t="s">
        <v>3142</v>
      </c>
      <c r="AH2358" t="s">
        <v>3143</v>
      </c>
      <c r="AI2358" t="s">
        <v>127</v>
      </c>
      <c r="AJ2358" s="8" t="str">
        <f>"78681"</f>
        <v>78681</v>
      </c>
      <c r="AK2358" t="s">
        <v>118</v>
      </c>
      <c r="AM2358" s="10">
        <v>15126279477</v>
      </c>
      <c r="AO2358" t="s">
        <v>3146</v>
      </c>
      <c r="AP2358" t="s">
        <v>121</v>
      </c>
      <c r="AQ2358" t="s">
        <v>707</v>
      </c>
      <c r="AR2358" t="s">
        <v>708</v>
      </c>
      <c r="AS2358" t="s">
        <v>709</v>
      </c>
      <c r="AT2358" t="s">
        <v>873</v>
      </c>
      <c r="AU2358" t="s">
        <v>874</v>
      </c>
      <c r="AV2358" t="s">
        <v>603</v>
      </c>
      <c r="AW2358" t="s">
        <v>127</v>
      </c>
      <c r="AX2358" s="8" t="str">
        <f>"78746"</f>
        <v>78746</v>
      </c>
      <c r="AY2358" t="s">
        <v>118</v>
      </c>
      <c r="BA2358" s="10">
        <v>17372040093</v>
      </c>
      <c r="BC2358" t="s">
        <v>711</v>
      </c>
      <c r="BD2358" t="s">
        <v>712</v>
      </c>
      <c r="BE2358" t="s">
        <v>127</v>
      </c>
      <c r="BF2358" t="s">
        <v>713</v>
      </c>
      <c r="BG2358" t="s">
        <v>127</v>
      </c>
      <c r="BH2358" s="1">
        <v>45218.833333333336</v>
      </c>
      <c r="BI2358">
        <v>40</v>
      </c>
      <c r="BJ2358">
        <v>0</v>
      </c>
      <c r="BK2358">
        <v>8</v>
      </c>
      <c r="BL2358">
        <v>8</v>
      </c>
      <c r="BM2358">
        <v>8</v>
      </c>
      <c r="BN2358">
        <v>8</v>
      </c>
      <c r="BO2358">
        <v>8</v>
      </c>
      <c r="BP2358">
        <v>0</v>
      </c>
      <c r="BQ2358" t="str">
        <f>"8:00 AM"</f>
        <v>8:00 AM</v>
      </c>
      <c r="BR2358" t="str">
        <f>"5:00 PM"</f>
        <v>5:00 PM</v>
      </c>
      <c r="BS2358" t="s">
        <v>131</v>
      </c>
      <c r="BT2358">
        <v>0</v>
      </c>
      <c r="BU2358">
        <v>3</v>
      </c>
      <c r="BV2358" t="s">
        <v>136</v>
      </c>
      <c r="BW2358">
        <v>12</v>
      </c>
      <c r="BX2358" t="s">
        <v>132</v>
      </c>
      <c r="BY2358" t="s">
        <v>3142</v>
      </c>
      <c r="CA2358" t="s">
        <v>3143</v>
      </c>
      <c r="CB2358" t="s">
        <v>127</v>
      </c>
      <c r="CC2358" s="8" t="str">
        <f>"78681"</f>
        <v>78681</v>
      </c>
      <c r="CD2358" t="s">
        <v>3147</v>
      </c>
      <c r="CE2358" t="s">
        <v>324</v>
      </c>
      <c r="CF2358" s="12">
        <v>25.05</v>
      </c>
      <c r="CG2358" s="12">
        <v>29</v>
      </c>
      <c r="CJ2358" t="s">
        <v>135</v>
      </c>
      <c r="CK2358" t="s">
        <v>3148</v>
      </c>
      <c r="CL2358" t="s">
        <v>3149</v>
      </c>
      <c r="CO2358" t="s">
        <v>136</v>
      </c>
      <c r="CP2358" t="s">
        <v>136</v>
      </c>
      <c r="CQ2358" t="s">
        <v>136</v>
      </c>
      <c r="CR2358" t="s">
        <v>114</v>
      </c>
      <c r="CS2358" t="s">
        <v>136</v>
      </c>
      <c r="CT2358" t="s">
        <v>136</v>
      </c>
      <c r="CU2358" t="s">
        <v>136</v>
      </c>
      <c r="CV2358" t="s">
        <v>131</v>
      </c>
      <c r="CW2358" s="10" t="str">
        <f>"+15126279477"</f>
        <v>+15126279477</v>
      </c>
      <c r="CX2358" t="s">
        <v>3146</v>
      </c>
      <c r="CY2358" t="s">
        <v>132</v>
      </c>
      <c r="CZ2358" t="s">
        <v>137</v>
      </c>
      <c r="DA2358" t="s">
        <v>114</v>
      </c>
      <c r="DB2358" t="s">
        <v>114</v>
      </c>
      <c r="DC2358" t="s">
        <v>136</v>
      </c>
      <c r="DD2358" t="s">
        <v>114</v>
      </c>
    </row>
    <row r="2359" spans="1:113" ht="15" customHeight="1" x14ac:dyDescent="0.25">
      <c r="A2359" t="s">
        <v>11980</v>
      </c>
      <c r="B2359" t="s">
        <v>368</v>
      </c>
      <c r="C2359" s="1">
        <v>45188.426777893517</v>
      </c>
      <c r="D2359" s="1">
        <v>45233</v>
      </c>
      <c r="E2359" t="s">
        <v>132</v>
      </c>
      <c r="F2359" t="s">
        <v>11981</v>
      </c>
      <c r="G2359" t="str">
        <f>"53-6031.00"</f>
        <v>53-6031.00</v>
      </c>
      <c r="H2359" t="s">
        <v>11982</v>
      </c>
      <c r="I2359">
        <v>1</v>
      </c>
      <c r="K2359" s="1">
        <v>45263</v>
      </c>
      <c r="L2359" s="1">
        <v>45444</v>
      </c>
      <c r="O2359" t="s">
        <v>238</v>
      </c>
      <c r="P2359" t="s">
        <v>11983</v>
      </c>
      <c r="R2359" t="s">
        <v>11984</v>
      </c>
      <c r="T2359" t="s">
        <v>11985</v>
      </c>
      <c r="U2359" t="s">
        <v>127</v>
      </c>
      <c r="V2359" s="8" t="str">
        <f>"79764"</f>
        <v>79764</v>
      </c>
      <c r="W2359" t="s">
        <v>118</v>
      </c>
      <c r="Y2359" s="10">
        <v>12108727031</v>
      </c>
      <c r="AA2359">
        <v>811111</v>
      </c>
      <c r="AB2359" t="s">
        <v>11986</v>
      </c>
      <c r="AC2359" t="s">
        <v>11987</v>
      </c>
      <c r="AD2359" t="s">
        <v>11988</v>
      </c>
      <c r="AE2359" t="s">
        <v>6039</v>
      </c>
      <c r="AF2359" t="s">
        <v>11989</v>
      </c>
      <c r="AH2359" t="s">
        <v>11985</v>
      </c>
      <c r="AI2359" t="s">
        <v>127</v>
      </c>
      <c r="AJ2359" s="8" t="str">
        <f>"79764"</f>
        <v>79764</v>
      </c>
      <c r="AK2359" t="s">
        <v>118</v>
      </c>
      <c r="AM2359" s="10">
        <v>12108727031</v>
      </c>
      <c r="AO2359" t="s">
        <v>11990</v>
      </c>
      <c r="AX2359" s="8" t="str">
        <f>""</f>
        <v/>
      </c>
      <c r="BG2359" t="s">
        <v>127</v>
      </c>
      <c r="BH2359" s="1">
        <v>45187.833333333336</v>
      </c>
      <c r="BI2359">
        <v>35</v>
      </c>
      <c r="BJ2359">
        <v>0</v>
      </c>
      <c r="BK2359">
        <v>7</v>
      </c>
      <c r="BL2359">
        <v>7</v>
      </c>
      <c r="BM2359">
        <v>7</v>
      </c>
      <c r="BN2359">
        <v>7</v>
      </c>
      <c r="BO2359">
        <v>7</v>
      </c>
      <c r="BP2359">
        <v>0</v>
      </c>
      <c r="BQ2359" t="str">
        <f>"9:00 AM"</f>
        <v>9:00 AM</v>
      </c>
      <c r="BR2359" t="str">
        <f>"4:00 AM"</f>
        <v>4:00 AM</v>
      </c>
      <c r="BS2359" t="s">
        <v>131</v>
      </c>
      <c r="BT2359">
        <v>0</v>
      </c>
      <c r="BU2359">
        <v>0</v>
      </c>
      <c r="BV2359" t="s">
        <v>114</v>
      </c>
      <c r="BX2359" t="s">
        <v>132</v>
      </c>
      <c r="BY2359" t="s">
        <v>11984</v>
      </c>
      <c r="CA2359" t="s">
        <v>11985</v>
      </c>
      <c r="CB2359" t="s">
        <v>127</v>
      </c>
      <c r="CC2359" s="8" t="str">
        <f>"79764"</f>
        <v>79764</v>
      </c>
      <c r="CD2359" t="s">
        <v>8234</v>
      </c>
      <c r="CE2359" t="s">
        <v>8235</v>
      </c>
      <c r="CF2359" s="12">
        <v>17.440000000000001</v>
      </c>
      <c r="CG2359" s="12">
        <v>17.440000000000001</v>
      </c>
      <c r="CJ2359" t="s">
        <v>135</v>
      </c>
      <c r="CL2359" t="s">
        <v>11991</v>
      </c>
      <c r="CO2359" t="s">
        <v>132</v>
      </c>
      <c r="CP2359" t="s">
        <v>114</v>
      </c>
      <c r="CQ2359" t="s">
        <v>114</v>
      </c>
      <c r="CR2359" t="s">
        <v>114</v>
      </c>
      <c r="CS2359" t="s">
        <v>136</v>
      </c>
      <c r="CT2359" t="s">
        <v>136</v>
      </c>
      <c r="CU2359" t="s">
        <v>114</v>
      </c>
      <c r="CV2359" t="s">
        <v>1480</v>
      </c>
      <c r="CW2359" s="10" t="str">
        <f>"+12108727031"</f>
        <v>+12108727031</v>
      </c>
      <c r="CX2359" t="s">
        <v>11990</v>
      </c>
      <c r="CY2359" t="s">
        <v>132</v>
      </c>
      <c r="CZ2359" t="s">
        <v>137</v>
      </c>
      <c r="DA2359" t="s">
        <v>114</v>
      </c>
      <c r="DB2359" t="s">
        <v>114</v>
      </c>
      <c r="DC2359" t="s">
        <v>136</v>
      </c>
      <c r="DD2359" t="s">
        <v>114</v>
      </c>
    </row>
    <row r="2360" spans="1:113" ht="15" customHeight="1" x14ac:dyDescent="0.25">
      <c r="A2360" t="s">
        <v>9008</v>
      </c>
      <c r="B2360" t="s">
        <v>368</v>
      </c>
      <c r="C2360" s="1">
        <v>45202.920449189813</v>
      </c>
      <c r="D2360" s="1">
        <v>45232</v>
      </c>
      <c r="E2360" t="s">
        <v>132</v>
      </c>
      <c r="F2360" t="s">
        <v>9009</v>
      </c>
      <c r="G2360" t="str">
        <f>"49-9071.00"</f>
        <v>49-9071.00</v>
      </c>
      <c r="H2360" t="s">
        <v>5714</v>
      </c>
      <c r="I2360">
        <v>6</v>
      </c>
      <c r="K2360" s="1">
        <v>45277</v>
      </c>
      <c r="L2360" s="1">
        <v>45552</v>
      </c>
      <c r="O2360" t="s">
        <v>116</v>
      </c>
      <c r="P2360" t="s">
        <v>9010</v>
      </c>
      <c r="Q2360" t="s">
        <v>9011</v>
      </c>
      <c r="R2360" t="s">
        <v>9012</v>
      </c>
      <c r="T2360" t="s">
        <v>2690</v>
      </c>
      <c r="U2360" t="s">
        <v>140</v>
      </c>
      <c r="V2360" s="8" t="str">
        <f>"33431"</f>
        <v>33431</v>
      </c>
      <c r="W2360" t="s">
        <v>118</v>
      </c>
      <c r="Y2360" s="10">
        <v>15619128155</v>
      </c>
      <c r="AA2360">
        <v>53139</v>
      </c>
      <c r="AB2360" t="s">
        <v>3147</v>
      </c>
      <c r="AC2360" t="s">
        <v>9013</v>
      </c>
      <c r="AE2360" t="s">
        <v>9014</v>
      </c>
      <c r="AF2360" t="s">
        <v>9012</v>
      </c>
      <c r="AH2360" t="s">
        <v>2690</v>
      </c>
      <c r="AI2360" t="s">
        <v>140</v>
      </c>
      <c r="AJ2360" s="8" t="str">
        <f>"33431"</f>
        <v>33431</v>
      </c>
      <c r="AK2360" t="s">
        <v>118</v>
      </c>
      <c r="AM2360" s="10">
        <v>15619128155</v>
      </c>
      <c r="AO2360" t="s">
        <v>9015</v>
      </c>
      <c r="AP2360" t="s">
        <v>121</v>
      </c>
      <c r="AQ2360" t="s">
        <v>1192</v>
      </c>
      <c r="AR2360" t="s">
        <v>1193</v>
      </c>
      <c r="AS2360" t="s">
        <v>1829</v>
      </c>
      <c r="AT2360" t="s">
        <v>1195</v>
      </c>
      <c r="AU2360" t="s">
        <v>9016</v>
      </c>
      <c r="AV2360" t="s">
        <v>2306</v>
      </c>
      <c r="AW2360" t="s">
        <v>140</v>
      </c>
      <c r="AX2360" s="8" t="str">
        <f>"33316"</f>
        <v>33316</v>
      </c>
      <c r="AY2360" t="s">
        <v>118</v>
      </c>
      <c r="BA2360" s="10">
        <v>15613228604</v>
      </c>
      <c r="BC2360" t="s">
        <v>2307</v>
      </c>
      <c r="BD2360" t="s">
        <v>1199</v>
      </c>
      <c r="BE2360" t="s">
        <v>402</v>
      </c>
      <c r="BF2360" t="s">
        <v>9017</v>
      </c>
      <c r="BG2360" t="s">
        <v>993</v>
      </c>
      <c r="BH2360" s="1">
        <v>45200.833333333336</v>
      </c>
      <c r="BI2360">
        <v>35</v>
      </c>
      <c r="BJ2360">
        <v>7</v>
      </c>
      <c r="BK2360">
        <v>7</v>
      </c>
      <c r="BL2360">
        <v>0</v>
      </c>
      <c r="BM2360">
        <v>0</v>
      </c>
      <c r="BN2360">
        <v>7</v>
      </c>
      <c r="BO2360">
        <v>7</v>
      </c>
      <c r="BP2360">
        <v>7</v>
      </c>
      <c r="BQ2360" t="str">
        <f>"7:00 AM"</f>
        <v>7:00 AM</v>
      </c>
      <c r="BR2360" t="str">
        <f>"8:00 PM"</f>
        <v>8:00 PM</v>
      </c>
      <c r="BS2360" t="s">
        <v>131</v>
      </c>
      <c r="BT2360">
        <v>0</v>
      </c>
      <c r="BU2360">
        <v>6</v>
      </c>
      <c r="BV2360" t="s">
        <v>114</v>
      </c>
      <c r="BX2360" t="s">
        <v>9018</v>
      </c>
      <c r="BY2360" t="s">
        <v>9019</v>
      </c>
      <c r="CA2360" t="s">
        <v>3825</v>
      </c>
      <c r="CB2360" t="s">
        <v>993</v>
      </c>
      <c r="CC2360" s="8" t="str">
        <f>"53965"</f>
        <v>53965</v>
      </c>
      <c r="CD2360" t="s">
        <v>3826</v>
      </c>
      <c r="CE2360" t="s">
        <v>3827</v>
      </c>
      <c r="CF2360" s="12">
        <v>21.63</v>
      </c>
      <c r="CG2360" s="12">
        <v>21.63</v>
      </c>
      <c r="CH2360" s="12">
        <v>32.47</v>
      </c>
      <c r="CI2360" s="12">
        <v>32.47</v>
      </c>
      <c r="CJ2360" t="s">
        <v>5501</v>
      </c>
      <c r="CL2360" t="s">
        <v>9020</v>
      </c>
      <c r="CO2360" t="s">
        <v>132</v>
      </c>
      <c r="CP2360" t="s">
        <v>136</v>
      </c>
      <c r="CQ2360" t="s">
        <v>136</v>
      </c>
      <c r="CR2360" t="s">
        <v>136</v>
      </c>
      <c r="CS2360" t="s">
        <v>136</v>
      </c>
      <c r="CT2360" t="s">
        <v>136</v>
      </c>
      <c r="CU2360" t="s">
        <v>136</v>
      </c>
      <c r="CV2360" s="2" t="s">
        <v>9021</v>
      </c>
      <c r="CW2360" s="10" t="str">
        <f>"+15619128000"</f>
        <v>+15619128000</v>
      </c>
      <c r="CX2360" t="s">
        <v>9022</v>
      </c>
      <c r="CY2360" t="s">
        <v>132</v>
      </c>
      <c r="CZ2360" t="s">
        <v>137</v>
      </c>
      <c r="DA2360" t="s">
        <v>114</v>
      </c>
      <c r="DB2360" t="s">
        <v>114</v>
      </c>
      <c r="DC2360" t="s">
        <v>136</v>
      </c>
      <c r="DD2360" t="s">
        <v>114</v>
      </c>
    </row>
    <row r="2361" spans="1:113" ht="15" customHeight="1" x14ac:dyDescent="0.25">
      <c r="A2361" t="s">
        <v>20551</v>
      </c>
      <c r="B2361" t="s">
        <v>368</v>
      </c>
      <c r="C2361" s="1">
        <v>45183.906422916669</v>
      </c>
      <c r="D2361" s="1">
        <v>45232</v>
      </c>
      <c r="E2361" t="s">
        <v>132</v>
      </c>
      <c r="F2361" t="s">
        <v>10911</v>
      </c>
      <c r="G2361" t="str">
        <f>"37-2011.00"</f>
        <v>37-2011.00</v>
      </c>
      <c r="H2361" t="s">
        <v>1089</v>
      </c>
      <c r="I2361">
        <v>8</v>
      </c>
      <c r="K2361" s="1">
        <v>45258</v>
      </c>
      <c r="L2361" s="1">
        <v>45412</v>
      </c>
      <c r="O2361" t="s">
        <v>238</v>
      </c>
      <c r="P2361" t="s">
        <v>20552</v>
      </c>
      <c r="R2361" t="s">
        <v>20553</v>
      </c>
      <c r="T2361" t="s">
        <v>7174</v>
      </c>
      <c r="U2361" t="s">
        <v>211</v>
      </c>
      <c r="V2361" s="8" t="str">
        <f>"84096"</f>
        <v>84096</v>
      </c>
      <c r="W2361" t="s">
        <v>118</v>
      </c>
      <c r="Y2361" s="10">
        <v>18018398009</v>
      </c>
      <c r="AA2361">
        <v>561730</v>
      </c>
      <c r="AB2361" t="s">
        <v>1945</v>
      </c>
      <c r="AC2361" t="s">
        <v>7309</v>
      </c>
      <c r="AE2361" t="s">
        <v>1836</v>
      </c>
      <c r="AF2361" t="s">
        <v>20554</v>
      </c>
      <c r="AH2361" t="s">
        <v>7174</v>
      </c>
      <c r="AI2361" t="s">
        <v>211</v>
      </c>
      <c r="AJ2361" s="8" t="str">
        <f>"84096"</f>
        <v>84096</v>
      </c>
      <c r="AK2361" t="s">
        <v>118</v>
      </c>
      <c r="AM2361" s="10">
        <v>18017089836</v>
      </c>
      <c r="AO2361" t="s">
        <v>20555</v>
      </c>
      <c r="AP2361" t="s">
        <v>121</v>
      </c>
      <c r="AQ2361" t="s">
        <v>929</v>
      </c>
      <c r="AR2361" t="s">
        <v>930</v>
      </c>
      <c r="AS2361" t="s">
        <v>931</v>
      </c>
      <c r="AT2361" t="s">
        <v>932</v>
      </c>
      <c r="AU2361" t="s">
        <v>132</v>
      </c>
      <c r="AV2361" t="s">
        <v>933</v>
      </c>
      <c r="AW2361" t="s">
        <v>740</v>
      </c>
      <c r="AX2361" s="8" t="str">
        <f>"50010"</f>
        <v>50010</v>
      </c>
      <c r="AY2361" t="s">
        <v>118</v>
      </c>
      <c r="BA2361" s="10">
        <v>15152324444</v>
      </c>
      <c r="BB2361">
        <v>0</v>
      </c>
      <c r="BC2361" t="s">
        <v>934</v>
      </c>
      <c r="BD2361" t="s">
        <v>935</v>
      </c>
      <c r="BE2361" t="s">
        <v>740</v>
      </c>
      <c r="BF2361" t="s">
        <v>172</v>
      </c>
      <c r="BG2361" t="s">
        <v>211</v>
      </c>
      <c r="BH2361" s="1">
        <v>45182.833333333336</v>
      </c>
      <c r="BI2361">
        <v>40</v>
      </c>
      <c r="BJ2361">
        <v>0</v>
      </c>
      <c r="BK2361">
        <v>8</v>
      </c>
      <c r="BL2361">
        <v>8</v>
      </c>
      <c r="BM2361">
        <v>8</v>
      </c>
      <c r="BN2361">
        <v>8</v>
      </c>
      <c r="BO2361">
        <v>8</v>
      </c>
      <c r="BP2361">
        <v>0</v>
      </c>
      <c r="BQ2361" t="str">
        <f>"8:00 AM"</f>
        <v>8:00 AM</v>
      </c>
      <c r="BR2361" t="str">
        <f>"5:00 PM"</f>
        <v>5:00 PM</v>
      </c>
      <c r="BS2361" t="s">
        <v>131</v>
      </c>
      <c r="BT2361">
        <v>0</v>
      </c>
      <c r="BU2361">
        <v>0</v>
      </c>
      <c r="BV2361" t="s">
        <v>114</v>
      </c>
      <c r="BX2361" s="2" t="s">
        <v>20556</v>
      </c>
      <c r="BY2361" t="s">
        <v>20557</v>
      </c>
      <c r="CA2361" t="s">
        <v>20558</v>
      </c>
      <c r="CB2361" t="s">
        <v>211</v>
      </c>
      <c r="CC2361" s="8" t="str">
        <f>"84121"</f>
        <v>84121</v>
      </c>
      <c r="CD2361" t="s">
        <v>1567</v>
      </c>
      <c r="CE2361" t="s">
        <v>1568</v>
      </c>
      <c r="CF2361" s="12">
        <v>14.3</v>
      </c>
      <c r="CJ2361" t="s">
        <v>135</v>
      </c>
      <c r="CK2361" t="s">
        <v>20559</v>
      </c>
      <c r="CL2361" t="s">
        <v>20560</v>
      </c>
      <c r="CO2361" t="s">
        <v>132</v>
      </c>
      <c r="CP2361" t="s">
        <v>136</v>
      </c>
      <c r="CQ2361" t="s">
        <v>136</v>
      </c>
      <c r="CR2361" t="s">
        <v>114</v>
      </c>
      <c r="CS2361" t="s">
        <v>136</v>
      </c>
      <c r="CT2361" t="s">
        <v>136</v>
      </c>
      <c r="CU2361" t="s">
        <v>136</v>
      </c>
      <c r="CV2361" t="s">
        <v>20561</v>
      </c>
      <c r="CW2361" s="10" t="str">
        <f>"+18017089836"</f>
        <v>+18017089836</v>
      </c>
      <c r="CX2361" t="s">
        <v>20555</v>
      </c>
      <c r="CY2361" t="s">
        <v>132</v>
      </c>
      <c r="CZ2361" t="s">
        <v>137</v>
      </c>
      <c r="DA2361" t="s">
        <v>114</v>
      </c>
      <c r="DB2361" t="s">
        <v>114</v>
      </c>
      <c r="DC2361" t="s">
        <v>136</v>
      </c>
      <c r="DD2361" t="s">
        <v>114</v>
      </c>
    </row>
    <row r="2362" spans="1:113" ht="15" customHeight="1" x14ac:dyDescent="0.25">
      <c r="A2362" t="s">
        <v>8733</v>
      </c>
      <c r="B2362" t="s">
        <v>368</v>
      </c>
      <c r="C2362" s="1">
        <v>45177.627016782404</v>
      </c>
      <c r="D2362" s="1">
        <v>45232</v>
      </c>
      <c r="E2362" t="s">
        <v>132</v>
      </c>
      <c r="F2362" t="s">
        <v>3847</v>
      </c>
      <c r="G2362" t="str">
        <f>"39-2021.00"</f>
        <v>39-2021.00</v>
      </c>
      <c r="H2362" t="s">
        <v>2895</v>
      </c>
      <c r="I2362">
        <v>4</v>
      </c>
      <c r="K2362" s="1">
        <v>45224</v>
      </c>
      <c r="L2362" s="1">
        <v>45383</v>
      </c>
      <c r="O2362" t="s">
        <v>116</v>
      </c>
      <c r="P2362" t="s">
        <v>8734</v>
      </c>
      <c r="R2362" t="s">
        <v>8735</v>
      </c>
      <c r="T2362" t="s">
        <v>1437</v>
      </c>
      <c r="U2362" t="s">
        <v>558</v>
      </c>
      <c r="V2362" s="8" t="str">
        <f>"85308"</f>
        <v>85308</v>
      </c>
      <c r="W2362" t="s">
        <v>118</v>
      </c>
      <c r="Y2362" s="10">
        <v>18058966514</v>
      </c>
      <c r="AA2362">
        <v>71121</v>
      </c>
      <c r="AB2362" t="s">
        <v>8736</v>
      </c>
      <c r="AC2362" t="s">
        <v>931</v>
      </c>
      <c r="AE2362" t="s">
        <v>8737</v>
      </c>
      <c r="AF2362" t="s">
        <v>8735</v>
      </c>
      <c r="AH2362" t="s">
        <v>1437</v>
      </c>
      <c r="AI2362" t="s">
        <v>558</v>
      </c>
      <c r="AJ2362" s="8" t="str">
        <f>"85308"</f>
        <v>85308</v>
      </c>
      <c r="AK2362" t="s">
        <v>118</v>
      </c>
      <c r="AM2362" s="10">
        <v>18058966514</v>
      </c>
      <c r="AO2362" t="s">
        <v>8738</v>
      </c>
      <c r="AP2362" t="s">
        <v>121</v>
      </c>
      <c r="AQ2362" t="s">
        <v>8739</v>
      </c>
      <c r="AR2362" t="s">
        <v>3591</v>
      </c>
      <c r="AS2362" t="s">
        <v>3124</v>
      </c>
      <c r="AT2362" t="s">
        <v>8740</v>
      </c>
      <c r="AU2362" t="s">
        <v>796</v>
      </c>
      <c r="AV2362" t="s">
        <v>1563</v>
      </c>
      <c r="AW2362" t="s">
        <v>211</v>
      </c>
      <c r="AX2362" s="8" t="str">
        <f>"84117"</f>
        <v>84117</v>
      </c>
      <c r="AY2362" t="s">
        <v>118</v>
      </c>
      <c r="BA2362" s="10">
        <v>18012632314</v>
      </c>
      <c r="BC2362" t="s">
        <v>8741</v>
      </c>
      <c r="BD2362" t="s">
        <v>8742</v>
      </c>
      <c r="BE2362" t="s">
        <v>402</v>
      </c>
      <c r="BF2362" t="s">
        <v>172</v>
      </c>
      <c r="BG2362" t="s">
        <v>543</v>
      </c>
      <c r="BH2362" s="1">
        <v>45176.833333333336</v>
      </c>
      <c r="BI2362">
        <v>42</v>
      </c>
      <c r="BJ2362">
        <v>7</v>
      </c>
      <c r="BK2362">
        <v>0</v>
      </c>
      <c r="BL2362">
        <v>7</v>
      </c>
      <c r="BM2362">
        <v>7</v>
      </c>
      <c r="BN2362">
        <v>7</v>
      </c>
      <c r="BO2362">
        <v>7</v>
      </c>
      <c r="BP2362">
        <v>7</v>
      </c>
      <c r="BQ2362" t="str">
        <f>"5:00 AM"</f>
        <v>5:00 AM</v>
      </c>
      <c r="BR2362" t="str">
        <f>"11:00 AM"</f>
        <v>11:00 AM</v>
      </c>
      <c r="BS2362" t="s">
        <v>131</v>
      </c>
      <c r="BT2362">
        <v>0</v>
      </c>
      <c r="BU2362">
        <v>1</v>
      </c>
      <c r="BV2362" t="s">
        <v>114</v>
      </c>
      <c r="BX2362" t="s">
        <v>8743</v>
      </c>
      <c r="BY2362" t="s">
        <v>8744</v>
      </c>
      <c r="BZ2362" t="s">
        <v>8745</v>
      </c>
      <c r="CA2362" t="s">
        <v>8746</v>
      </c>
      <c r="CB2362" t="s">
        <v>543</v>
      </c>
      <c r="CC2362" s="8" t="str">
        <f>"44128"</f>
        <v>44128</v>
      </c>
      <c r="CD2362" t="s">
        <v>1838</v>
      </c>
      <c r="CE2362" t="s">
        <v>1839</v>
      </c>
      <c r="CF2362" s="12">
        <v>15.23</v>
      </c>
      <c r="CG2362" s="12">
        <v>15.23</v>
      </c>
      <c r="CH2362" s="12">
        <v>22.85</v>
      </c>
      <c r="CI2362" s="12">
        <v>22.85</v>
      </c>
      <c r="CJ2362" t="s">
        <v>135</v>
      </c>
      <c r="CL2362" t="s">
        <v>8747</v>
      </c>
      <c r="CM2362" t="s">
        <v>8748</v>
      </c>
      <c r="CO2362" t="s">
        <v>136</v>
      </c>
      <c r="CP2362" t="s">
        <v>136</v>
      </c>
      <c r="CQ2362" t="s">
        <v>136</v>
      </c>
      <c r="CR2362" t="s">
        <v>136</v>
      </c>
      <c r="CS2362" t="s">
        <v>114</v>
      </c>
      <c r="CT2362" t="s">
        <v>136</v>
      </c>
      <c r="CU2362" t="s">
        <v>114</v>
      </c>
      <c r="CV2362" t="s">
        <v>8749</v>
      </c>
      <c r="CW2362" s="10" t="str">
        <f>"+18058966514"</f>
        <v>+18058966514</v>
      </c>
      <c r="CX2362" t="s">
        <v>8738</v>
      </c>
      <c r="CY2362" t="s">
        <v>132</v>
      </c>
      <c r="CZ2362" t="s">
        <v>137</v>
      </c>
      <c r="DA2362" t="s">
        <v>114</v>
      </c>
      <c r="DB2362" t="s">
        <v>114</v>
      </c>
      <c r="DC2362" t="s">
        <v>136</v>
      </c>
      <c r="DD2362" t="s">
        <v>114</v>
      </c>
    </row>
    <row r="2363" spans="1:113" ht="15" customHeight="1" x14ac:dyDescent="0.25">
      <c r="A2363" t="s">
        <v>24212</v>
      </c>
      <c r="B2363" t="s">
        <v>368</v>
      </c>
      <c r="C2363" s="1">
        <v>45218.790833217594</v>
      </c>
      <c r="D2363" s="1">
        <v>45231</v>
      </c>
      <c r="E2363" t="s">
        <v>132</v>
      </c>
      <c r="F2363" t="s">
        <v>3746</v>
      </c>
      <c r="G2363" t="str">
        <f>"35-2021.00"</f>
        <v>35-2021.00</v>
      </c>
      <c r="H2363" t="s">
        <v>2303</v>
      </c>
      <c r="I2363">
        <v>2</v>
      </c>
      <c r="K2363" s="1">
        <v>45293</v>
      </c>
      <c r="L2363" s="1">
        <v>45550</v>
      </c>
      <c r="O2363" t="s">
        <v>116</v>
      </c>
      <c r="P2363" t="s">
        <v>17820</v>
      </c>
      <c r="R2363" t="s">
        <v>17821</v>
      </c>
      <c r="T2363" t="s">
        <v>4782</v>
      </c>
      <c r="U2363" t="s">
        <v>188</v>
      </c>
      <c r="V2363" s="8" t="str">
        <f>"81611"</f>
        <v>81611</v>
      </c>
      <c r="W2363" t="s">
        <v>118</v>
      </c>
      <c r="Y2363" s="10">
        <v>19705544862</v>
      </c>
      <c r="AA2363">
        <v>722511</v>
      </c>
      <c r="AB2363" t="s">
        <v>17822</v>
      </c>
      <c r="AC2363" t="s">
        <v>17823</v>
      </c>
      <c r="AE2363" t="s">
        <v>561</v>
      </c>
      <c r="AF2363" t="s">
        <v>17821</v>
      </c>
      <c r="AH2363" t="s">
        <v>4782</v>
      </c>
      <c r="AI2363" t="s">
        <v>188</v>
      </c>
      <c r="AJ2363" s="8" t="str">
        <f>"81611"</f>
        <v>81611</v>
      </c>
      <c r="AK2363" t="s">
        <v>118</v>
      </c>
      <c r="AM2363" s="10">
        <v>19705544862</v>
      </c>
      <c r="AO2363" t="s">
        <v>17824</v>
      </c>
      <c r="AP2363" t="s">
        <v>121</v>
      </c>
      <c r="AQ2363" t="s">
        <v>1523</v>
      </c>
      <c r="AR2363" t="s">
        <v>1524</v>
      </c>
      <c r="AS2363" t="s">
        <v>1525</v>
      </c>
      <c r="AT2363" t="s">
        <v>1526</v>
      </c>
      <c r="AU2363" t="s">
        <v>1527</v>
      </c>
      <c r="AV2363" t="s">
        <v>1084</v>
      </c>
      <c r="AW2363" t="s">
        <v>188</v>
      </c>
      <c r="AX2363" s="8" t="str">
        <f>"81657"</f>
        <v>81657</v>
      </c>
      <c r="AY2363" t="s">
        <v>118</v>
      </c>
      <c r="BA2363" s="10">
        <v>19703066476</v>
      </c>
      <c r="BC2363" t="s">
        <v>1528</v>
      </c>
      <c r="BD2363" t="s">
        <v>1529</v>
      </c>
      <c r="BE2363" t="s">
        <v>188</v>
      </c>
      <c r="BF2363" t="s">
        <v>1530</v>
      </c>
      <c r="BG2363" t="s">
        <v>188</v>
      </c>
      <c r="BH2363" s="1">
        <v>45217.833333333336</v>
      </c>
      <c r="BI2363">
        <v>40</v>
      </c>
      <c r="BJ2363">
        <v>0</v>
      </c>
      <c r="BK2363">
        <v>8</v>
      </c>
      <c r="BL2363">
        <v>8</v>
      </c>
      <c r="BM2363">
        <v>8</v>
      </c>
      <c r="BN2363">
        <v>8</v>
      </c>
      <c r="BO2363">
        <v>8</v>
      </c>
      <c r="BP2363">
        <v>0</v>
      </c>
      <c r="BQ2363" t="str">
        <f>"7:30 AM"</f>
        <v>7:30 AM</v>
      </c>
      <c r="BR2363" t="str">
        <f>"3:30 PM"</f>
        <v>3:30 PM</v>
      </c>
      <c r="BS2363" t="s">
        <v>131</v>
      </c>
      <c r="BT2363">
        <v>0</v>
      </c>
      <c r="BU2363">
        <v>0</v>
      </c>
      <c r="BV2363" t="s">
        <v>114</v>
      </c>
      <c r="BX2363" s="2" t="s">
        <v>24213</v>
      </c>
      <c r="BY2363" t="s">
        <v>17821</v>
      </c>
      <c r="CA2363" t="s">
        <v>4782</v>
      </c>
      <c r="CB2363" t="s">
        <v>188</v>
      </c>
      <c r="CC2363" s="8" t="str">
        <f>"81611"</f>
        <v>81611</v>
      </c>
      <c r="CD2363" t="s">
        <v>4789</v>
      </c>
      <c r="CE2363" t="s">
        <v>1038</v>
      </c>
      <c r="CF2363" s="12">
        <v>20.92</v>
      </c>
      <c r="CH2363" s="12">
        <v>31.38</v>
      </c>
      <c r="CJ2363" t="s">
        <v>135</v>
      </c>
      <c r="CL2363" t="s">
        <v>17826</v>
      </c>
      <c r="CO2363" t="s">
        <v>132</v>
      </c>
      <c r="CP2363" t="s">
        <v>136</v>
      </c>
      <c r="CQ2363" t="s">
        <v>136</v>
      </c>
      <c r="CR2363" t="s">
        <v>136</v>
      </c>
      <c r="CS2363" t="s">
        <v>136</v>
      </c>
      <c r="CT2363" t="s">
        <v>136</v>
      </c>
      <c r="CU2363" t="s">
        <v>114</v>
      </c>
      <c r="CV2363" t="s">
        <v>1534</v>
      </c>
      <c r="CW2363" s="10" t="str">
        <f>"+19705544862"</f>
        <v>+19705544862</v>
      </c>
      <c r="CX2363" t="s">
        <v>17824</v>
      </c>
      <c r="CY2363" t="s">
        <v>132</v>
      </c>
      <c r="CZ2363" t="s">
        <v>137</v>
      </c>
      <c r="DA2363" t="s">
        <v>114</v>
      </c>
      <c r="DB2363" t="s">
        <v>114</v>
      </c>
      <c r="DC2363" t="s">
        <v>136</v>
      </c>
      <c r="DD2363" t="s">
        <v>114</v>
      </c>
    </row>
    <row r="2364" spans="1:113" ht="15" customHeight="1" x14ac:dyDescent="0.25">
      <c r="A2364" t="s">
        <v>23728</v>
      </c>
      <c r="B2364" t="s">
        <v>368</v>
      </c>
      <c r="C2364" s="1">
        <v>45183.839160532407</v>
      </c>
      <c r="D2364" s="1">
        <v>45231</v>
      </c>
      <c r="E2364" t="s">
        <v>132</v>
      </c>
      <c r="F2364" t="s">
        <v>23729</v>
      </c>
      <c r="G2364" t="str">
        <f>"45-4011.00"</f>
        <v>45-4011.00</v>
      </c>
      <c r="H2364" t="s">
        <v>842</v>
      </c>
      <c r="I2364">
        <v>12</v>
      </c>
      <c r="K2364" s="1">
        <v>45261</v>
      </c>
      <c r="L2364" s="1">
        <v>45458</v>
      </c>
      <c r="O2364" t="s">
        <v>238</v>
      </c>
      <c r="P2364" t="s">
        <v>23730</v>
      </c>
      <c r="R2364" t="s">
        <v>23731</v>
      </c>
      <c r="T2364" t="s">
        <v>16567</v>
      </c>
      <c r="U2364" t="s">
        <v>792</v>
      </c>
      <c r="V2364" s="8" t="str">
        <f>"98586"</f>
        <v>98586</v>
      </c>
      <c r="W2364" t="s">
        <v>118</v>
      </c>
      <c r="Y2364" s="10">
        <v>13605899264</v>
      </c>
      <c r="AA2364">
        <v>115310</v>
      </c>
      <c r="AB2364" t="s">
        <v>3123</v>
      </c>
      <c r="AC2364" t="s">
        <v>23732</v>
      </c>
      <c r="AE2364" t="s">
        <v>561</v>
      </c>
      <c r="AF2364" t="s">
        <v>23733</v>
      </c>
      <c r="AH2364" t="s">
        <v>16567</v>
      </c>
      <c r="AI2364" t="s">
        <v>792</v>
      </c>
      <c r="AJ2364" s="8" t="str">
        <f>"98586"</f>
        <v>98586</v>
      </c>
      <c r="AK2364" t="s">
        <v>118</v>
      </c>
      <c r="AM2364" s="10">
        <v>13605899264</v>
      </c>
      <c r="AO2364" t="s">
        <v>796</v>
      </c>
      <c r="AP2364" t="s">
        <v>248</v>
      </c>
      <c r="AQ2364" t="s">
        <v>797</v>
      </c>
      <c r="AR2364" t="s">
        <v>486</v>
      </c>
      <c r="AT2364" t="s">
        <v>23734</v>
      </c>
      <c r="AU2364" t="s">
        <v>13148</v>
      </c>
      <c r="AV2364" t="s">
        <v>800</v>
      </c>
      <c r="AW2364" t="s">
        <v>792</v>
      </c>
      <c r="AX2364" s="8" t="str">
        <f>"98516"</f>
        <v>98516</v>
      </c>
      <c r="AY2364" t="s">
        <v>118</v>
      </c>
      <c r="BA2364" s="10">
        <v>13604558064</v>
      </c>
      <c r="BB2364">
        <v>110</v>
      </c>
      <c r="BC2364" t="s">
        <v>801</v>
      </c>
      <c r="BD2364" t="s">
        <v>7040</v>
      </c>
      <c r="BG2364" t="s">
        <v>792</v>
      </c>
      <c r="BH2364" s="1">
        <v>45182.833333333336</v>
      </c>
      <c r="BI2364">
        <v>40</v>
      </c>
      <c r="BJ2364">
        <v>0</v>
      </c>
      <c r="BK2364">
        <v>8</v>
      </c>
      <c r="BL2364">
        <v>8</v>
      </c>
      <c r="BM2364">
        <v>8</v>
      </c>
      <c r="BN2364">
        <v>8</v>
      </c>
      <c r="BO2364">
        <v>8</v>
      </c>
      <c r="BP2364">
        <v>0</v>
      </c>
      <c r="BQ2364" t="str">
        <f>"7:00 AM"</f>
        <v>7:00 AM</v>
      </c>
      <c r="BR2364" t="str">
        <f>"3:30 PM"</f>
        <v>3:30 PM</v>
      </c>
      <c r="BS2364" t="s">
        <v>131</v>
      </c>
      <c r="BT2364">
        <v>0</v>
      </c>
      <c r="BU2364">
        <v>1</v>
      </c>
      <c r="BV2364" t="s">
        <v>114</v>
      </c>
      <c r="BX2364" s="2" t="s">
        <v>23735</v>
      </c>
      <c r="BY2364" t="s">
        <v>23736</v>
      </c>
      <c r="CA2364" t="s">
        <v>16567</v>
      </c>
      <c r="CB2364" t="s">
        <v>792</v>
      </c>
      <c r="CC2364" s="8" t="str">
        <f>"98586"</f>
        <v>98586</v>
      </c>
      <c r="CD2364" t="s">
        <v>23737</v>
      </c>
      <c r="CE2364" t="s">
        <v>5450</v>
      </c>
      <c r="CF2364" s="12">
        <v>22.96</v>
      </c>
      <c r="CG2364" s="12">
        <v>22.96</v>
      </c>
      <c r="CH2364" s="12">
        <v>34.44</v>
      </c>
      <c r="CI2364" s="12">
        <v>34.44</v>
      </c>
      <c r="CJ2364" t="s">
        <v>135</v>
      </c>
      <c r="CK2364" t="s">
        <v>23738</v>
      </c>
      <c r="CL2364" t="s">
        <v>23739</v>
      </c>
      <c r="CO2364" t="s">
        <v>132</v>
      </c>
      <c r="CP2364" t="s">
        <v>136</v>
      </c>
      <c r="CQ2364" t="s">
        <v>136</v>
      </c>
      <c r="CR2364" t="s">
        <v>136</v>
      </c>
      <c r="CS2364" t="s">
        <v>136</v>
      </c>
      <c r="CT2364" t="s">
        <v>136</v>
      </c>
      <c r="CU2364" t="s">
        <v>136</v>
      </c>
      <c r="CV2364" s="2" t="s">
        <v>23740</v>
      </c>
      <c r="CW2364" s="10" t="str">
        <f>"+13605899264"</f>
        <v>+13605899264</v>
      </c>
      <c r="CX2364" t="s">
        <v>132</v>
      </c>
      <c r="CY2364" t="s">
        <v>10958</v>
      </c>
      <c r="CZ2364" t="s">
        <v>137</v>
      </c>
      <c r="DA2364" t="s">
        <v>114</v>
      </c>
      <c r="DB2364" t="s">
        <v>136</v>
      </c>
      <c r="DC2364" t="s">
        <v>136</v>
      </c>
      <c r="DD2364" t="s">
        <v>114</v>
      </c>
    </row>
    <row r="2365" spans="1:113" ht="15" customHeight="1" x14ac:dyDescent="0.25">
      <c r="A2365" t="s">
        <v>6740</v>
      </c>
      <c r="B2365" t="s">
        <v>368</v>
      </c>
      <c r="C2365" s="1">
        <v>45158.837033680553</v>
      </c>
      <c r="D2365" s="1">
        <v>45230</v>
      </c>
      <c r="E2365" t="s">
        <v>114</v>
      </c>
      <c r="F2365" t="s">
        <v>1059</v>
      </c>
      <c r="G2365" t="str">
        <f>"35-2014.00"</f>
        <v>35-2014.00</v>
      </c>
      <c r="H2365" t="s">
        <v>154</v>
      </c>
      <c r="I2365">
        <v>2</v>
      </c>
      <c r="K2365" s="1">
        <v>45275</v>
      </c>
      <c r="L2365" s="1">
        <v>45550</v>
      </c>
      <c r="O2365" t="s">
        <v>238</v>
      </c>
      <c r="P2365" t="s">
        <v>6741</v>
      </c>
      <c r="Q2365" t="s">
        <v>6742</v>
      </c>
      <c r="R2365" t="s">
        <v>6743</v>
      </c>
      <c r="T2365" t="s">
        <v>6744</v>
      </c>
      <c r="U2365" t="s">
        <v>792</v>
      </c>
      <c r="V2365" s="8" t="str">
        <f>"98368"</f>
        <v>98368</v>
      </c>
      <c r="W2365" t="s">
        <v>118</v>
      </c>
      <c r="Y2365" s="10">
        <v>13603442519</v>
      </c>
      <c r="AA2365">
        <v>722511</v>
      </c>
      <c r="AB2365" t="s">
        <v>1599</v>
      </c>
      <c r="AC2365" t="s">
        <v>1945</v>
      </c>
      <c r="AD2365" t="s">
        <v>6745</v>
      </c>
      <c r="AE2365" t="s">
        <v>629</v>
      </c>
      <c r="AF2365" t="s">
        <v>6746</v>
      </c>
      <c r="AH2365" t="s">
        <v>6744</v>
      </c>
      <c r="AI2365" t="s">
        <v>792</v>
      </c>
      <c r="AJ2365" s="8" t="str">
        <f>"98368"</f>
        <v>98368</v>
      </c>
      <c r="AK2365" t="s">
        <v>118</v>
      </c>
      <c r="AM2365" s="10">
        <v>16464962029</v>
      </c>
      <c r="AO2365" t="s">
        <v>6747</v>
      </c>
      <c r="AX2365" s="8" t="str">
        <f>""</f>
        <v/>
      </c>
      <c r="BG2365" t="s">
        <v>792</v>
      </c>
      <c r="BH2365" s="1">
        <v>45157.833333333336</v>
      </c>
      <c r="BI2365">
        <v>40</v>
      </c>
      <c r="BJ2365">
        <v>8</v>
      </c>
      <c r="BK2365">
        <v>6</v>
      </c>
      <c r="BL2365">
        <v>0</v>
      </c>
      <c r="BM2365">
        <v>6</v>
      </c>
      <c r="BN2365">
        <v>6</v>
      </c>
      <c r="BO2365">
        <v>6</v>
      </c>
      <c r="BP2365">
        <v>8</v>
      </c>
      <c r="BQ2365" t="str">
        <f>"9:00 AM"</f>
        <v>9:00 AM</v>
      </c>
      <c r="BR2365" t="str">
        <f>"5:00 PM"</f>
        <v>5:00 PM</v>
      </c>
      <c r="BS2365" t="s">
        <v>131</v>
      </c>
      <c r="BT2365">
        <v>0</v>
      </c>
      <c r="BU2365">
        <v>12</v>
      </c>
      <c r="BV2365" t="s">
        <v>114</v>
      </c>
      <c r="BX2365" t="s">
        <v>6748</v>
      </c>
      <c r="BY2365" t="s">
        <v>6743</v>
      </c>
      <c r="CA2365" t="s">
        <v>6744</v>
      </c>
      <c r="CB2365" t="s">
        <v>792</v>
      </c>
      <c r="CC2365" s="8" t="str">
        <f>"98368"</f>
        <v>98368</v>
      </c>
      <c r="CD2365" t="s">
        <v>1767</v>
      </c>
      <c r="CE2365" t="s">
        <v>5450</v>
      </c>
      <c r="CF2365" s="12">
        <v>18.55</v>
      </c>
      <c r="CG2365" s="12">
        <v>18.55</v>
      </c>
      <c r="CJ2365" t="s">
        <v>135</v>
      </c>
      <c r="CL2365" t="s">
        <v>6749</v>
      </c>
      <c r="CO2365" t="s">
        <v>136</v>
      </c>
      <c r="CP2365" t="s">
        <v>114</v>
      </c>
      <c r="CQ2365" t="s">
        <v>136</v>
      </c>
      <c r="CR2365" t="s">
        <v>136</v>
      </c>
      <c r="CS2365" t="s">
        <v>136</v>
      </c>
      <c r="CT2365" t="s">
        <v>136</v>
      </c>
      <c r="CU2365" t="s">
        <v>136</v>
      </c>
      <c r="CV2365" t="s">
        <v>1789</v>
      </c>
      <c r="CW2365" s="10" t="str">
        <f>"N/A"</f>
        <v>N/A</v>
      </c>
      <c r="CX2365" t="s">
        <v>6747</v>
      </c>
      <c r="CY2365" t="s">
        <v>6750</v>
      </c>
      <c r="CZ2365" t="s">
        <v>137</v>
      </c>
      <c r="DA2365" t="s">
        <v>114</v>
      </c>
      <c r="DB2365" t="s">
        <v>114</v>
      </c>
      <c r="DC2365" t="s">
        <v>136</v>
      </c>
      <c r="DD2365" t="s">
        <v>114</v>
      </c>
    </row>
    <row r="2366" spans="1:113" ht="15" customHeight="1" x14ac:dyDescent="0.25">
      <c r="A2366" t="s">
        <v>14141</v>
      </c>
      <c r="B2366" t="s">
        <v>368</v>
      </c>
      <c r="C2366" s="1">
        <v>45202.410470601855</v>
      </c>
      <c r="D2366" s="1">
        <v>45229</v>
      </c>
      <c r="E2366" t="s">
        <v>132</v>
      </c>
      <c r="F2366" t="s">
        <v>9698</v>
      </c>
      <c r="G2366" t="str">
        <f>"37-2011.00"</f>
        <v>37-2011.00</v>
      </c>
      <c r="H2366" t="s">
        <v>1089</v>
      </c>
      <c r="I2366">
        <v>30</v>
      </c>
      <c r="K2366" s="1">
        <v>45292</v>
      </c>
      <c r="L2366" s="1">
        <v>45382</v>
      </c>
      <c r="O2366" t="s">
        <v>238</v>
      </c>
      <c r="P2366" t="s">
        <v>9699</v>
      </c>
      <c r="Q2366" t="s">
        <v>14142</v>
      </c>
      <c r="R2366" t="s">
        <v>9701</v>
      </c>
      <c r="T2366" t="s">
        <v>6769</v>
      </c>
      <c r="U2366" t="s">
        <v>211</v>
      </c>
      <c r="V2366" s="8" t="str">
        <f>"84047"</f>
        <v>84047</v>
      </c>
      <c r="W2366" t="s">
        <v>118</v>
      </c>
      <c r="Y2366" s="10">
        <v>18012939273</v>
      </c>
      <c r="AA2366">
        <v>56173</v>
      </c>
      <c r="AB2366" t="s">
        <v>9702</v>
      </c>
      <c r="AC2366" t="s">
        <v>9703</v>
      </c>
      <c r="AE2366" t="s">
        <v>629</v>
      </c>
      <c r="AF2366" t="s">
        <v>9701</v>
      </c>
      <c r="AH2366" t="s">
        <v>6769</v>
      </c>
      <c r="AI2366" t="s">
        <v>211</v>
      </c>
      <c r="AJ2366" s="8" t="str">
        <f>"84047"</f>
        <v>84047</v>
      </c>
      <c r="AK2366" t="s">
        <v>118</v>
      </c>
      <c r="AM2366" s="10">
        <v>18012939273</v>
      </c>
      <c r="AO2366" t="s">
        <v>9704</v>
      </c>
      <c r="AX2366" s="8" t="str">
        <f>""</f>
        <v/>
      </c>
      <c r="BG2366" t="s">
        <v>211</v>
      </c>
      <c r="BH2366" s="1">
        <v>45200.833333333336</v>
      </c>
      <c r="BI2366">
        <v>40</v>
      </c>
      <c r="BJ2366">
        <v>0</v>
      </c>
      <c r="BK2366">
        <v>7</v>
      </c>
      <c r="BL2366">
        <v>7</v>
      </c>
      <c r="BM2366">
        <v>7</v>
      </c>
      <c r="BN2366">
        <v>7</v>
      </c>
      <c r="BO2366">
        <v>7</v>
      </c>
      <c r="BP2366">
        <v>5</v>
      </c>
      <c r="BQ2366" t="str">
        <f>"7:00 AM"</f>
        <v>7:00 AM</v>
      </c>
      <c r="BR2366" t="str">
        <f>"2:00 PM"</f>
        <v>2:00 PM</v>
      </c>
      <c r="BS2366" t="s">
        <v>131</v>
      </c>
      <c r="BT2366">
        <v>0</v>
      </c>
      <c r="BU2366">
        <v>0</v>
      </c>
      <c r="BV2366" t="s">
        <v>114</v>
      </c>
      <c r="BX2366" t="s">
        <v>131</v>
      </c>
      <c r="BY2366" t="s">
        <v>9706</v>
      </c>
      <c r="CA2366" t="s">
        <v>6769</v>
      </c>
      <c r="CB2366" t="s">
        <v>211</v>
      </c>
      <c r="CC2366" s="8" t="str">
        <f>"84047"</f>
        <v>84047</v>
      </c>
      <c r="CD2366" t="s">
        <v>1567</v>
      </c>
      <c r="CE2366" t="s">
        <v>1568</v>
      </c>
      <c r="CF2366" s="12">
        <v>14.3</v>
      </c>
      <c r="CG2366" s="12">
        <v>14.3</v>
      </c>
      <c r="CH2366" s="12">
        <v>21.45</v>
      </c>
      <c r="CI2366" s="12">
        <v>21.45</v>
      </c>
      <c r="CJ2366" t="s">
        <v>135</v>
      </c>
      <c r="CK2366" t="s">
        <v>14143</v>
      </c>
      <c r="CL2366" t="s">
        <v>9708</v>
      </c>
      <c r="CO2366" t="s">
        <v>132</v>
      </c>
      <c r="CP2366" t="s">
        <v>114</v>
      </c>
      <c r="CQ2366" t="s">
        <v>136</v>
      </c>
      <c r="CR2366" t="s">
        <v>136</v>
      </c>
      <c r="CS2366" t="s">
        <v>136</v>
      </c>
      <c r="CT2366" t="s">
        <v>136</v>
      </c>
      <c r="CU2366" t="s">
        <v>114</v>
      </c>
      <c r="CV2366" t="s">
        <v>14144</v>
      </c>
      <c r="CW2366" s="10" t="str">
        <f>"+18012939273"</f>
        <v>+18012939273</v>
      </c>
      <c r="CX2366" t="s">
        <v>9704</v>
      </c>
      <c r="CY2366" t="s">
        <v>132</v>
      </c>
      <c r="CZ2366" t="s">
        <v>137</v>
      </c>
      <c r="DA2366" t="s">
        <v>114</v>
      </c>
      <c r="DB2366" t="s">
        <v>114</v>
      </c>
      <c r="DC2366" t="s">
        <v>136</v>
      </c>
      <c r="DD2366" t="s">
        <v>114</v>
      </c>
      <c r="DE2366" t="s">
        <v>14145</v>
      </c>
      <c r="DF2366" t="s">
        <v>14146</v>
      </c>
      <c r="DG2366" t="s">
        <v>425</v>
      </c>
      <c r="DH2366" t="s">
        <v>14147</v>
      </c>
      <c r="DI2366" t="s">
        <v>9712</v>
      </c>
    </row>
    <row r="2367" spans="1:113" ht="15" customHeight="1" x14ac:dyDescent="0.25">
      <c r="A2367" t="s">
        <v>17195</v>
      </c>
      <c r="B2367" t="s">
        <v>368</v>
      </c>
      <c r="C2367" s="1">
        <v>45188.601229629632</v>
      </c>
      <c r="D2367" s="1">
        <v>45229</v>
      </c>
      <c r="E2367" t="s">
        <v>132</v>
      </c>
      <c r="F2367" t="s">
        <v>7677</v>
      </c>
      <c r="G2367" t="str">
        <f>"41-1011.00"</f>
        <v>41-1011.00</v>
      </c>
      <c r="H2367" t="s">
        <v>17196</v>
      </c>
      <c r="I2367">
        <v>1</v>
      </c>
      <c r="K2367" s="1">
        <v>45204</v>
      </c>
      <c r="L2367" s="1">
        <v>45476</v>
      </c>
      <c r="O2367" t="s">
        <v>184</v>
      </c>
      <c r="P2367" t="s">
        <v>17197</v>
      </c>
      <c r="R2367" t="s">
        <v>17198</v>
      </c>
      <c r="T2367" t="s">
        <v>8118</v>
      </c>
      <c r="U2367" t="s">
        <v>967</v>
      </c>
      <c r="V2367" s="8" t="str">
        <f>"89502"</f>
        <v>89502</v>
      </c>
      <c r="W2367" t="s">
        <v>118</v>
      </c>
      <c r="Y2367" s="10">
        <v>17758432549</v>
      </c>
      <c r="AA2367">
        <v>44112</v>
      </c>
      <c r="AB2367" t="s">
        <v>8778</v>
      </c>
      <c r="AC2367" t="s">
        <v>931</v>
      </c>
      <c r="AE2367" t="s">
        <v>629</v>
      </c>
      <c r="AF2367" t="s">
        <v>17198</v>
      </c>
      <c r="AH2367" t="s">
        <v>8118</v>
      </c>
      <c r="AI2367" t="s">
        <v>967</v>
      </c>
      <c r="AJ2367" s="8" t="str">
        <f>"89502"</f>
        <v>89502</v>
      </c>
      <c r="AK2367" t="s">
        <v>118</v>
      </c>
      <c r="AM2367" s="10">
        <v>17758432549</v>
      </c>
      <c r="AO2367" t="s">
        <v>17199</v>
      </c>
      <c r="AP2367" t="s">
        <v>121</v>
      </c>
      <c r="AQ2367" t="s">
        <v>17200</v>
      </c>
      <c r="AR2367" t="s">
        <v>17201</v>
      </c>
      <c r="AS2367" t="s">
        <v>17202</v>
      </c>
      <c r="AT2367" t="s">
        <v>17203</v>
      </c>
      <c r="AU2367" t="s">
        <v>9319</v>
      </c>
      <c r="AV2367" t="s">
        <v>5412</v>
      </c>
      <c r="AW2367" t="s">
        <v>127</v>
      </c>
      <c r="AX2367" s="8" t="str">
        <f>"75074"</f>
        <v>75074</v>
      </c>
      <c r="AY2367" t="s">
        <v>118</v>
      </c>
      <c r="BA2367" s="10">
        <v>19723599274</v>
      </c>
      <c r="BC2367" t="s">
        <v>17204</v>
      </c>
      <c r="BD2367" t="s">
        <v>17205</v>
      </c>
      <c r="BE2367" t="s">
        <v>402</v>
      </c>
      <c r="BF2367" t="s">
        <v>3573</v>
      </c>
      <c r="BG2367" t="s">
        <v>967</v>
      </c>
      <c r="BH2367" s="1">
        <v>45176.833333333336</v>
      </c>
      <c r="BI2367">
        <v>40</v>
      </c>
      <c r="BJ2367">
        <v>0</v>
      </c>
      <c r="BK2367">
        <v>8</v>
      </c>
      <c r="BL2367">
        <v>8</v>
      </c>
      <c r="BM2367">
        <v>8</v>
      </c>
      <c r="BN2367">
        <v>8</v>
      </c>
      <c r="BO2367">
        <v>8</v>
      </c>
      <c r="BP2367">
        <v>0</v>
      </c>
      <c r="BQ2367" t="str">
        <f>"10:01 PM"</f>
        <v>10:01 PM</v>
      </c>
      <c r="BR2367" t="str">
        <f>"5:59 PM"</f>
        <v>5:59 PM</v>
      </c>
      <c r="BS2367" t="s">
        <v>147</v>
      </c>
      <c r="BT2367">
        <v>0</v>
      </c>
      <c r="BU2367">
        <v>0</v>
      </c>
      <c r="BV2367" t="s">
        <v>114</v>
      </c>
      <c r="BX2367" t="s">
        <v>131</v>
      </c>
      <c r="BY2367" t="s">
        <v>17198</v>
      </c>
      <c r="CA2367" t="s">
        <v>8118</v>
      </c>
      <c r="CB2367" t="s">
        <v>967</v>
      </c>
      <c r="CC2367" s="8" t="str">
        <f>"89502"</f>
        <v>89502</v>
      </c>
      <c r="CD2367" t="s">
        <v>8119</v>
      </c>
      <c r="CE2367" t="s">
        <v>8120</v>
      </c>
      <c r="CF2367" s="12">
        <v>26.13</v>
      </c>
      <c r="CG2367" s="12">
        <v>26.13</v>
      </c>
      <c r="CH2367" s="12">
        <v>39.159999999999997</v>
      </c>
      <c r="CI2367" s="12">
        <v>39.159999999999997</v>
      </c>
      <c r="CJ2367" t="s">
        <v>135</v>
      </c>
      <c r="CK2367" t="s">
        <v>1789</v>
      </c>
      <c r="CL2367" t="s">
        <v>17206</v>
      </c>
      <c r="CO2367" t="s">
        <v>136</v>
      </c>
      <c r="CP2367" t="s">
        <v>114</v>
      </c>
      <c r="CQ2367" t="s">
        <v>114</v>
      </c>
      <c r="CR2367" t="s">
        <v>136</v>
      </c>
      <c r="CS2367" t="s">
        <v>136</v>
      </c>
      <c r="CT2367" t="s">
        <v>136</v>
      </c>
      <c r="CU2367" t="s">
        <v>114</v>
      </c>
      <c r="CV2367" t="s">
        <v>17207</v>
      </c>
      <c r="CW2367" s="10" t="str">
        <f>"+17758432549"</f>
        <v>+17758432549</v>
      </c>
      <c r="CX2367" t="s">
        <v>17199</v>
      </c>
      <c r="CY2367" t="s">
        <v>17208</v>
      </c>
      <c r="CZ2367" t="s">
        <v>137</v>
      </c>
      <c r="DA2367" t="s">
        <v>114</v>
      </c>
      <c r="DB2367" t="s">
        <v>114</v>
      </c>
      <c r="DC2367" t="s">
        <v>136</v>
      </c>
      <c r="DD2367" t="s">
        <v>114</v>
      </c>
      <c r="DE2367" t="s">
        <v>17209</v>
      </c>
      <c r="DF2367" t="s">
        <v>17210</v>
      </c>
      <c r="DH2367" t="s">
        <v>17205</v>
      </c>
      <c r="DI2367" t="s">
        <v>17204</v>
      </c>
    </row>
    <row r="2368" spans="1:113" ht="15" customHeight="1" x14ac:dyDescent="0.25">
      <c r="A2368" t="s">
        <v>14439</v>
      </c>
      <c r="B2368" t="s">
        <v>368</v>
      </c>
      <c r="C2368" s="1">
        <v>45183.870334837964</v>
      </c>
      <c r="D2368" s="1">
        <v>45229</v>
      </c>
      <c r="E2368" t="s">
        <v>132</v>
      </c>
      <c r="F2368" t="s">
        <v>14440</v>
      </c>
      <c r="G2368" t="str">
        <f>"51-9198.00"</f>
        <v>51-9198.00</v>
      </c>
      <c r="H2368" t="s">
        <v>1892</v>
      </c>
      <c r="I2368">
        <v>10</v>
      </c>
      <c r="K2368" s="1">
        <v>45258</v>
      </c>
      <c r="L2368" s="1">
        <v>45291</v>
      </c>
      <c r="O2368" t="s">
        <v>116</v>
      </c>
      <c r="P2368" t="s">
        <v>5241</v>
      </c>
      <c r="R2368" t="s">
        <v>5242</v>
      </c>
      <c r="T2368" t="s">
        <v>4874</v>
      </c>
      <c r="U2368" t="s">
        <v>1734</v>
      </c>
      <c r="V2368" s="8" t="str">
        <f>"67204"</f>
        <v>67204</v>
      </c>
      <c r="W2368" t="s">
        <v>118</v>
      </c>
      <c r="Y2368" s="10">
        <v>13168388651</v>
      </c>
      <c r="AA2368">
        <v>238110</v>
      </c>
      <c r="AB2368" t="s">
        <v>5243</v>
      </c>
      <c r="AC2368" t="s">
        <v>5244</v>
      </c>
      <c r="AE2368" t="s">
        <v>5245</v>
      </c>
      <c r="AF2368" t="s">
        <v>5242</v>
      </c>
      <c r="AH2368" t="s">
        <v>4874</v>
      </c>
      <c r="AI2368" t="s">
        <v>1734</v>
      </c>
      <c r="AJ2368" s="8" t="str">
        <f>"67204"</f>
        <v>67204</v>
      </c>
      <c r="AK2368" t="s">
        <v>118</v>
      </c>
      <c r="AM2368" s="10">
        <v>13168388651</v>
      </c>
      <c r="AO2368" t="s">
        <v>5246</v>
      </c>
      <c r="AP2368" t="s">
        <v>121</v>
      </c>
      <c r="AQ2368" t="s">
        <v>929</v>
      </c>
      <c r="AR2368" t="s">
        <v>930</v>
      </c>
      <c r="AS2368" t="s">
        <v>931</v>
      </c>
      <c r="AT2368" t="s">
        <v>932</v>
      </c>
      <c r="AU2368" t="s">
        <v>132</v>
      </c>
      <c r="AV2368" t="s">
        <v>933</v>
      </c>
      <c r="AW2368" t="s">
        <v>740</v>
      </c>
      <c r="AX2368" s="8" t="str">
        <f>"50010"</f>
        <v>50010</v>
      </c>
      <c r="AY2368" t="s">
        <v>118</v>
      </c>
      <c r="BA2368" s="10">
        <v>15152324444</v>
      </c>
      <c r="BB2368">
        <v>0</v>
      </c>
      <c r="BC2368" t="s">
        <v>934</v>
      </c>
      <c r="BD2368" t="s">
        <v>935</v>
      </c>
      <c r="BE2368" t="s">
        <v>740</v>
      </c>
      <c r="BF2368" t="s">
        <v>172</v>
      </c>
      <c r="BG2368" t="s">
        <v>1734</v>
      </c>
      <c r="BH2368" s="1">
        <v>45173.833333333336</v>
      </c>
      <c r="BI2368">
        <v>45</v>
      </c>
      <c r="BJ2368">
        <v>0</v>
      </c>
      <c r="BK2368">
        <v>9</v>
      </c>
      <c r="BL2368">
        <v>9</v>
      </c>
      <c r="BM2368">
        <v>9</v>
      </c>
      <c r="BN2368">
        <v>9</v>
      </c>
      <c r="BO2368">
        <v>9</v>
      </c>
      <c r="BP2368">
        <v>0</v>
      </c>
      <c r="BQ2368" t="str">
        <f>"7:00 AM"</f>
        <v>7:00 AM</v>
      </c>
      <c r="BR2368" t="str">
        <f>"5:00 PM"</f>
        <v>5:00 PM</v>
      </c>
      <c r="BS2368" t="s">
        <v>131</v>
      </c>
      <c r="BT2368">
        <v>0</v>
      </c>
      <c r="BU2368">
        <v>0</v>
      </c>
      <c r="BV2368" t="s">
        <v>114</v>
      </c>
      <c r="BX2368" s="2" t="s">
        <v>14441</v>
      </c>
      <c r="BY2368" t="s">
        <v>14442</v>
      </c>
      <c r="CA2368" t="s">
        <v>7520</v>
      </c>
      <c r="CB2368" t="s">
        <v>1734</v>
      </c>
      <c r="CC2368" s="8" t="str">
        <f>"67460"</f>
        <v>67460</v>
      </c>
      <c r="CD2368" t="s">
        <v>10648</v>
      </c>
      <c r="CE2368" t="s">
        <v>5123</v>
      </c>
      <c r="CF2368" s="12">
        <v>14.57</v>
      </c>
      <c r="CH2368" s="12">
        <v>21.86</v>
      </c>
      <c r="CJ2368" t="s">
        <v>135</v>
      </c>
      <c r="CK2368" t="s">
        <v>14443</v>
      </c>
      <c r="CL2368" t="s">
        <v>14444</v>
      </c>
      <c r="CO2368" t="s">
        <v>132</v>
      </c>
      <c r="CP2368" t="s">
        <v>136</v>
      </c>
      <c r="CQ2368" t="s">
        <v>136</v>
      </c>
      <c r="CR2368" t="s">
        <v>136</v>
      </c>
      <c r="CS2368" t="s">
        <v>136</v>
      </c>
      <c r="CT2368" t="s">
        <v>136</v>
      </c>
      <c r="CU2368" t="s">
        <v>136</v>
      </c>
      <c r="CV2368" t="s">
        <v>14445</v>
      </c>
      <c r="CW2368" s="10" t="str">
        <f>"+13168388651"</f>
        <v>+13168388651</v>
      </c>
      <c r="CX2368" t="s">
        <v>5246</v>
      </c>
      <c r="CY2368" t="s">
        <v>132</v>
      </c>
      <c r="CZ2368" t="s">
        <v>137</v>
      </c>
      <c r="DA2368" t="s">
        <v>114</v>
      </c>
      <c r="DB2368" t="s">
        <v>114</v>
      </c>
      <c r="DC2368" t="s">
        <v>136</v>
      </c>
      <c r="DD2368" t="s">
        <v>114</v>
      </c>
    </row>
    <row r="2369" spans="1:113" ht="15" customHeight="1" x14ac:dyDescent="0.25">
      <c r="A2369" t="s">
        <v>20601</v>
      </c>
      <c r="B2369" t="s">
        <v>368</v>
      </c>
      <c r="C2369" s="1">
        <v>45133.611215740741</v>
      </c>
      <c r="D2369" s="1">
        <v>45229</v>
      </c>
      <c r="E2369" t="s">
        <v>114</v>
      </c>
      <c r="F2369" t="s">
        <v>2230</v>
      </c>
      <c r="G2369" t="str">
        <f>"37-3011.00"</f>
        <v>37-3011.00</v>
      </c>
      <c r="H2369" t="s">
        <v>429</v>
      </c>
      <c r="I2369">
        <v>12</v>
      </c>
      <c r="K2369" s="1">
        <v>45208</v>
      </c>
      <c r="L2369" s="1">
        <v>45275</v>
      </c>
      <c r="O2369" t="s">
        <v>116</v>
      </c>
      <c r="P2369" t="s">
        <v>20602</v>
      </c>
      <c r="R2369" t="s">
        <v>20603</v>
      </c>
      <c r="T2369" t="s">
        <v>5170</v>
      </c>
      <c r="U2369" t="s">
        <v>581</v>
      </c>
      <c r="V2369" s="8" t="str">
        <f>"23504"</f>
        <v>23504</v>
      </c>
      <c r="W2369" t="s">
        <v>118</v>
      </c>
      <c r="Y2369" s="10">
        <v>17578574277</v>
      </c>
      <c r="AA2369">
        <v>56173</v>
      </c>
      <c r="AB2369" t="s">
        <v>20604</v>
      </c>
      <c r="AC2369" t="s">
        <v>1555</v>
      </c>
      <c r="AD2369" t="s">
        <v>1217</v>
      </c>
      <c r="AE2369" t="s">
        <v>629</v>
      </c>
      <c r="AF2369" t="s">
        <v>20603</v>
      </c>
      <c r="AH2369" t="s">
        <v>5170</v>
      </c>
      <c r="AI2369" t="s">
        <v>581</v>
      </c>
      <c r="AJ2369" s="8" t="str">
        <f>"23504"</f>
        <v>23504</v>
      </c>
      <c r="AK2369" t="s">
        <v>118</v>
      </c>
      <c r="AM2369" s="10">
        <v>17578574277</v>
      </c>
      <c r="AO2369" t="s">
        <v>20605</v>
      </c>
      <c r="AP2369" t="s">
        <v>248</v>
      </c>
      <c r="AQ2369" t="s">
        <v>1860</v>
      </c>
      <c r="AR2369" t="s">
        <v>1861</v>
      </c>
      <c r="AS2369" t="s">
        <v>1862</v>
      </c>
      <c r="AT2369" t="s">
        <v>1863</v>
      </c>
      <c r="AU2369" t="s">
        <v>1864</v>
      </c>
      <c r="AV2369" t="s">
        <v>1865</v>
      </c>
      <c r="AW2369" t="s">
        <v>581</v>
      </c>
      <c r="AX2369" s="8" t="str">
        <f>"24521"</f>
        <v>24521</v>
      </c>
      <c r="AY2369" t="s">
        <v>118</v>
      </c>
      <c r="BA2369" s="10">
        <v>14349460035</v>
      </c>
      <c r="BB2369">
        <v>11</v>
      </c>
      <c r="BC2369" t="s">
        <v>1866</v>
      </c>
      <c r="BD2369" t="s">
        <v>1867</v>
      </c>
      <c r="BG2369" t="s">
        <v>581</v>
      </c>
      <c r="BH2369" s="1">
        <v>45132.833333333336</v>
      </c>
      <c r="BI2369">
        <v>40</v>
      </c>
      <c r="BJ2369">
        <v>0</v>
      </c>
      <c r="BK2369">
        <v>8</v>
      </c>
      <c r="BL2369">
        <v>8</v>
      </c>
      <c r="BM2369">
        <v>8</v>
      </c>
      <c r="BN2369">
        <v>8</v>
      </c>
      <c r="BO2369">
        <v>8</v>
      </c>
      <c r="BP2369">
        <v>0</v>
      </c>
      <c r="BQ2369" t="str">
        <f>"7:00 AM"</f>
        <v>7:00 AM</v>
      </c>
      <c r="BR2369" t="str">
        <f>"4:00 PM"</f>
        <v>4:00 PM</v>
      </c>
      <c r="BS2369" t="s">
        <v>131</v>
      </c>
      <c r="BT2369">
        <v>0</v>
      </c>
      <c r="BU2369">
        <v>3</v>
      </c>
      <c r="BV2369" t="s">
        <v>114</v>
      </c>
      <c r="BX2369" s="2" t="s">
        <v>20606</v>
      </c>
      <c r="BY2369" t="s">
        <v>20603</v>
      </c>
      <c r="CA2369" t="s">
        <v>5170</v>
      </c>
      <c r="CB2369" t="s">
        <v>581</v>
      </c>
      <c r="CC2369" s="8" t="str">
        <f>"23504"</f>
        <v>23504</v>
      </c>
      <c r="CD2369" t="s">
        <v>6136</v>
      </c>
      <c r="CE2369" t="s">
        <v>2145</v>
      </c>
      <c r="CF2369" s="12">
        <v>16.350000000000001</v>
      </c>
      <c r="CG2369" s="12">
        <v>16.350000000000001</v>
      </c>
      <c r="CH2369" s="12">
        <v>24.53</v>
      </c>
      <c r="CI2369" s="12">
        <v>24.53</v>
      </c>
      <c r="CJ2369" t="s">
        <v>135</v>
      </c>
      <c r="CK2369" t="s">
        <v>3787</v>
      </c>
      <c r="CL2369" t="s">
        <v>20607</v>
      </c>
      <c r="CO2369" t="s">
        <v>132</v>
      </c>
      <c r="CP2369" t="s">
        <v>136</v>
      </c>
      <c r="CQ2369" t="s">
        <v>136</v>
      </c>
      <c r="CR2369" t="s">
        <v>136</v>
      </c>
      <c r="CS2369" t="s">
        <v>114</v>
      </c>
      <c r="CT2369" t="s">
        <v>136</v>
      </c>
      <c r="CU2369" t="s">
        <v>136</v>
      </c>
      <c r="CV2369" s="2" t="s">
        <v>20608</v>
      </c>
      <c r="CW2369" s="10" t="str">
        <f>"N/A"</f>
        <v>N/A</v>
      </c>
      <c r="CX2369" t="s">
        <v>20609</v>
      </c>
      <c r="CY2369" t="s">
        <v>2762</v>
      </c>
      <c r="CZ2369" t="s">
        <v>137</v>
      </c>
      <c r="DA2369" t="s">
        <v>114</v>
      </c>
      <c r="DB2369" t="s">
        <v>136</v>
      </c>
      <c r="DC2369" t="s">
        <v>136</v>
      </c>
      <c r="DD2369" t="s">
        <v>114</v>
      </c>
    </row>
    <row r="2370" spans="1:113" ht="15" customHeight="1" x14ac:dyDescent="0.25">
      <c r="A2370" t="s">
        <v>8237</v>
      </c>
      <c r="B2370" t="s">
        <v>368</v>
      </c>
      <c r="C2370" s="1">
        <v>45112.928962268517</v>
      </c>
      <c r="D2370" s="1">
        <v>45229</v>
      </c>
      <c r="E2370" t="s">
        <v>114</v>
      </c>
      <c r="F2370" t="s">
        <v>8238</v>
      </c>
      <c r="G2370" t="str">
        <f>"51-7041.00"</f>
        <v>51-7041.00</v>
      </c>
      <c r="H2370" t="s">
        <v>8239</v>
      </c>
      <c r="I2370">
        <v>3</v>
      </c>
      <c r="K2370" s="1">
        <v>45200</v>
      </c>
      <c r="L2370" s="1">
        <v>45291</v>
      </c>
      <c r="O2370" t="s">
        <v>238</v>
      </c>
      <c r="P2370" t="s">
        <v>8240</v>
      </c>
      <c r="Q2370" t="s">
        <v>8241</v>
      </c>
      <c r="R2370" t="s">
        <v>8242</v>
      </c>
      <c r="T2370" t="s">
        <v>933</v>
      </c>
      <c r="U2370" t="s">
        <v>740</v>
      </c>
      <c r="V2370" s="8" t="str">
        <f>"50010"</f>
        <v>50010</v>
      </c>
      <c r="W2370" t="s">
        <v>118</v>
      </c>
      <c r="Y2370" s="10">
        <v>15152030498</v>
      </c>
      <c r="AA2370">
        <v>238130</v>
      </c>
      <c r="AB2370" t="s">
        <v>8243</v>
      </c>
      <c r="AC2370" t="s">
        <v>2892</v>
      </c>
      <c r="AE2370" t="s">
        <v>1799</v>
      </c>
      <c r="AF2370" t="s">
        <v>8244</v>
      </c>
      <c r="AH2370" t="s">
        <v>933</v>
      </c>
      <c r="AI2370" t="s">
        <v>740</v>
      </c>
      <c r="AJ2370" s="8" t="str">
        <f>"50010"</f>
        <v>50010</v>
      </c>
      <c r="AK2370" t="s">
        <v>118</v>
      </c>
      <c r="AM2370" s="10">
        <v>15152030498</v>
      </c>
      <c r="AO2370" t="s">
        <v>8245</v>
      </c>
      <c r="AP2370" t="s">
        <v>121</v>
      </c>
      <c r="AQ2370" t="s">
        <v>929</v>
      </c>
      <c r="AR2370" t="s">
        <v>930</v>
      </c>
      <c r="AS2370" t="s">
        <v>931</v>
      </c>
      <c r="AT2370" t="s">
        <v>932</v>
      </c>
      <c r="AU2370" t="s">
        <v>132</v>
      </c>
      <c r="AV2370" t="s">
        <v>933</v>
      </c>
      <c r="AW2370" t="s">
        <v>740</v>
      </c>
      <c r="AX2370" s="8" t="str">
        <f>"50010"</f>
        <v>50010</v>
      </c>
      <c r="AY2370" t="s">
        <v>118</v>
      </c>
      <c r="BA2370" s="10">
        <v>15152324444</v>
      </c>
      <c r="BB2370">
        <v>0</v>
      </c>
      <c r="BC2370" t="s">
        <v>934</v>
      </c>
      <c r="BD2370" t="s">
        <v>935</v>
      </c>
      <c r="BE2370" t="s">
        <v>740</v>
      </c>
      <c r="BF2370" t="s">
        <v>172</v>
      </c>
      <c r="BG2370" t="s">
        <v>740</v>
      </c>
      <c r="BH2370" s="1">
        <v>45111.833333333336</v>
      </c>
      <c r="BI2370">
        <v>40</v>
      </c>
      <c r="BJ2370">
        <v>0</v>
      </c>
      <c r="BK2370">
        <v>7</v>
      </c>
      <c r="BL2370">
        <v>7</v>
      </c>
      <c r="BM2370">
        <v>7</v>
      </c>
      <c r="BN2370">
        <v>7</v>
      </c>
      <c r="BO2370">
        <v>7</v>
      </c>
      <c r="BP2370">
        <v>5</v>
      </c>
      <c r="BQ2370" t="str">
        <f>"6:00 AM"</f>
        <v>6:00 AM</v>
      </c>
      <c r="BR2370" t="str">
        <f>"5:00 PM"</f>
        <v>5:00 PM</v>
      </c>
      <c r="BS2370" t="s">
        <v>131</v>
      </c>
      <c r="BT2370">
        <v>0</v>
      </c>
      <c r="BU2370">
        <v>0</v>
      </c>
      <c r="BV2370" t="s">
        <v>114</v>
      </c>
      <c r="BX2370" s="2" t="s">
        <v>8246</v>
      </c>
      <c r="BY2370" t="s">
        <v>8247</v>
      </c>
      <c r="CA2370" t="s">
        <v>933</v>
      </c>
      <c r="CB2370" t="s">
        <v>740</v>
      </c>
      <c r="CC2370" s="8" t="str">
        <f>"50010"</f>
        <v>50010</v>
      </c>
      <c r="CD2370" t="s">
        <v>3165</v>
      </c>
      <c r="CE2370" t="s">
        <v>3166</v>
      </c>
      <c r="CF2370" s="12">
        <v>20.190000000000001</v>
      </c>
      <c r="CH2370" s="12">
        <v>30.29</v>
      </c>
      <c r="CJ2370" t="s">
        <v>135</v>
      </c>
      <c r="CK2370" t="s">
        <v>8248</v>
      </c>
      <c r="CL2370" t="s">
        <v>8249</v>
      </c>
      <c r="CO2370" t="s">
        <v>132</v>
      </c>
      <c r="CP2370" t="s">
        <v>114</v>
      </c>
      <c r="CQ2370" t="s">
        <v>136</v>
      </c>
      <c r="CR2370" t="s">
        <v>136</v>
      </c>
      <c r="CS2370" t="s">
        <v>136</v>
      </c>
      <c r="CT2370" t="s">
        <v>136</v>
      </c>
      <c r="CU2370" t="s">
        <v>136</v>
      </c>
      <c r="CV2370" t="s">
        <v>8250</v>
      </c>
      <c r="CW2370" s="10" t="str">
        <f>"+15152030498"</f>
        <v>+15152030498</v>
      </c>
      <c r="CX2370" t="s">
        <v>8245</v>
      </c>
      <c r="CY2370" t="s">
        <v>132</v>
      </c>
      <c r="CZ2370" t="s">
        <v>137</v>
      </c>
      <c r="DA2370" t="s">
        <v>114</v>
      </c>
      <c r="DB2370" t="s">
        <v>114</v>
      </c>
      <c r="DC2370" t="s">
        <v>136</v>
      </c>
      <c r="DD2370" t="s">
        <v>114</v>
      </c>
    </row>
    <row r="2371" spans="1:113" ht="15" customHeight="1" x14ac:dyDescent="0.25">
      <c r="A2371" t="s">
        <v>6408</v>
      </c>
      <c r="B2371" t="s">
        <v>368</v>
      </c>
      <c r="C2371" s="1">
        <v>45189.049529861113</v>
      </c>
      <c r="D2371" s="1">
        <v>45228</v>
      </c>
      <c r="E2371" t="s">
        <v>132</v>
      </c>
      <c r="F2371" t="s">
        <v>6409</v>
      </c>
      <c r="G2371" t="str">
        <f>"39-9011.01"</f>
        <v>39-9011.01</v>
      </c>
      <c r="H2371" t="s">
        <v>1488</v>
      </c>
      <c r="I2371">
        <v>2</v>
      </c>
      <c r="K2371" s="1">
        <v>45270</v>
      </c>
      <c r="L2371" s="1">
        <v>45548</v>
      </c>
      <c r="O2371" t="s">
        <v>184</v>
      </c>
      <c r="P2371" t="s">
        <v>6410</v>
      </c>
      <c r="R2371" t="s">
        <v>6411</v>
      </c>
      <c r="T2371" t="s">
        <v>6412</v>
      </c>
      <c r="U2371" t="s">
        <v>1722</v>
      </c>
      <c r="V2371" s="8" t="str">
        <f>"21061"</f>
        <v>21061</v>
      </c>
      <c r="W2371" t="s">
        <v>118</v>
      </c>
      <c r="Y2371" s="10">
        <v>12028418893</v>
      </c>
      <c r="AA2371">
        <v>624410</v>
      </c>
      <c r="AB2371" t="s">
        <v>6413</v>
      </c>
      <c r="AC2371" t="s">
        <v>3975</v>
      </c>
      <c r="AD2371" t="s">
        <v>3369</v>
      </c>
      <c r="AE2371" t="s">
        <v>5983</v>
      </c>
      <c r="AF2371" t="s">
        <v>6414</v>
      </c>
      <c r="AH2371" t="s">
        <v>6412</v>
      </c>
      <c r="AI2371" t="s">
        <v>1722</v>
      </c>
      <c r="AJ2371" s="8" t="str">
        <f>"21061"</f>
        <v>21061</v>
      </c>
      <c r="AK2371" t="s">
        <v>118</v>
      </c>
      <c r="AM2371" s="10">
        <v>12028418993</v>
      </c>
      <c r="AO2371" t="s">
        <v>6415</v>
      </c>
      <c r="AX2371" s="8" t="str">
        <f>""</f>
        <v/>
      </c>
      <c r="BG2371" t="s">
        <v>1722</v>
      </c>
      <c r="BH2371" s="1">
        <v>45178.833333333336</v>
      </c>
      <c r="BI2371">
        <v>40</v>
      </c>
      <c r="BJ2371">
        <v>0</v>
      </c>
      <c r="BK2371">
        <v>8</v>
      </c>
      <c r="BL2371">
        <v>8</v>
      </c>
      <c r="BM2371">
        <v>8</v>
      </c>
      <c r="BN2371">
        <v>8</v>
      </c>
      <c r="BO2371">
        <v>8</v>
      </c>
      <c r="BP2371">
        <v>0</v>
      </c>
      <c r="BQ2371" t="str">
        <f>"8:00 AM"</f>
        <v>8:00 AM</v>
      </c>
      <c r="BR2371" t="str">
        <f>"4:00 PM"</f>
        <v>4:00 PM</v>
      </c>
      <c r="BS2371" t="s">
        <v>131</v>
      </c>
      <c r="BT2371">
        <v>0</v>
      </c>
      <c r="BU2371">
        <v>36</v>
      </c>
      <c r="BV2371" t="s">
        <v>114</v>
      </c>
      <c r="BX2371" s="2" t="s">
        <v>6416</v>
      </c>
      <c r="BY2371" t="s">
        <v>6411</v>
      </c>
      <c r="CA2371" t="s">
        <v>6412</v>
      </c>
      <c r="CB2371" t="s">
        <v>1722</v>
      </c>
      <c r="CC2371" s="8" t="str">
        <f>"21061"</f>
        <v>21061</v>
      </c>
      <c r="CD2371" t="s">
        <v>1991</v>
      </c>
      <c r="CE2371" t="s">
        <v>1992</v>
      </c>
      <c r="CF2371" s="12">
        <v>600</v>
      </c>
      <c r="CG2371" s="12">
        <v>800</v>
      </c>
      <c r="CJ2371" t="s">
        <v>5181</v>
      </c>
      <c r="CL2371" t="s">
        <v>6417</v>
      </c>
      <c r="CO2371" t="s">
        <v>132</v>
      </c>
      <c r="CP2371" t="s">
        <v>114</v>
      </c>
      <c r="CQ2371" t="s">
        <v>136</v>
      </c>
      <c r="CR2371" t="s">
        <v>114</v>
      </c>
      <c r="CS2371" t="s">
        <v>136</v>
      </c>
      <c r="CT2371" t="s">
        <v>136</v>
      </c>
      <c r="CU2371" t="s">
        <v>136</v>
      </c>
      <c r="CV2371" t="s">
        <v>6418</v>
      </c>
      <c r="CW2371" s="10" t="str">
        <f>"+12028418993"</f>
        <v>+12028418993</v>
      </c>
      <c r="CX2371" t="s">
        <v>6415</v>
      </c>
      <c r="CY2371" t="s">
        <v>132</v>
      </c>
      <c r="CZ2371" t="s">
        <v>137</v>
      </c>
      <c r="DA2371" t="s">
        <v>114</v>
      </c>
      <c r="DB2371" t="s">
        <v>114</v>
      </c>
      <c r="DC2371" t="s">
        <v>136</v>
      </c>
      <c r="DD2371" t="s">
        <v>114</v>
      </c>
    </row>
    <row r="2372" spans="1:113" ht="15" customHeight="1" x14ac:dyDescent="0.25">
      <c r="A2372" t="s">
        <v>15829</v>
      </c>
      <c r="B2372" t="s">
        <v>368</v>
      </c>
      <c r="C2372" s="1">
        <v>45181.476048495373</v>
      </c>
      <c r="D2372" s="1">
        <v>45228</v>
      </c>
      <c r="E2372" t="s">
        <v>132</v>
      </c>
      <c r="F2372" t="s">
        <v>15830</v>
      </c>
      <c r="G2372" t="str">
        <f>"49-3021.00"</f>
        <v>49-3021.00</v>
      </c>
      <c r="H2372" t="s">
        <v>8406</v>
      </c>
      <c r="I2372">
        <v>15</v>
      </c>
      <c r="K2372" s="1">
        <v>45260</v>
      </c>
      <c r="L2372" s="1">
        <v>45484</v>
      </c>
      <c r="O2372" t="s">
        <v>238</v>
      </c>
      <c r="P2372" t="s">
        <v>15831</v>
      </c>
      <c r="R2372" t="s">
        <v>15832</v>
      </c>
      <c r="T2372" t="s">
        <v>15833</v>
      </c>
      <c r="U2372" t="s">
        <v>402</v>
      </c>
      <c r="V2372" s="8" t="str">
        <f>"92234"</f>
        <v>92234</v>
      </c>
      <c r="W2372" t="s">
        <v>118</v>
      </c>
      <c r="Y2372" s="10">
        <v>17609050415</v>
      </c>
      <c r="AA2372">
        <v>811121</v>
      </c>
      <c r="AB2372" t="s">
        <v>15834</v>
      </c>
      <c r="AC2372" t="s">
        <v>15835</v>
      </c>
      <c r="AE2372" t="s">
        <v>15836</v>
      </c>
      <c r="AF2372" t="s">
        <v>15832</v>
      </c>
      <c r="AH2372" t="s">
        <v>15833</v>
      </c>
      <c r="AI2372" t="s">
        <v>402</v>
      </c>
      <c r="AJ2372" s="8" t="str">
        <f>"92234"</f>
        <v>92234</v>
      </c>
      <c r="AK2372" t="s">
        <v>118</v>
      </c>
      <c r="AM2372" s="10">
        <v>17609050415</v>
      </c>
      <c r="AO2372" t="s">
        <v>321</v>
      </c>
      <c r="AX2372" s="8" t="str">
        <f>""</f>
        <v/>
      </c>
      <c r="BG2372" t="s">
        <v>402</v>
      </c>
      <c r="BH2372" s="1">
        <v>45181.833333333336</v>
      </c>
      <c r="BI2372">
        <v>40</v>
      </c>
      <c r="BJ2372">
        <v>0</v>
      </c>
      <c r="BK2372">
        <v>8</v>
      </c>
      <c r="BL2372">
        <v>8</v>
      </c>
      <c r="BM2372">
        <v>8</v>
      </c>
      <c r="BN2372">
        <v>8</v>
      </c>
      <c r="BO2372">
        <v>8</v>
      </c>
      <c r="BP2372">
        <v>0</v>
      </c>
      <c r="BQ2372" t="str">
        <f>"7:00 AM"</f>
        <v>7:00 AM</v>
      </c>
      <c r="BR2372" t="str">
        <f>"5:00 PM"</f>
        <v>5:00 PM</v>
      </c>
      <c r="BS2372" t="s">
        <v>131</v>
      </c>
      <c r="BT2372">
        <v>0</v>
      </c>
      <c r="BU2372">
        <v>0</v>
      </c>
      <c r="BV2372" t="s">
        <v>114</v>
      </c>
      <c r="BX2372" t="s">
        <v>131</v>
      </c>
      <c r="BY2372" t="s">
        <v>15832</v>
      </c>
      <c r="CA2372" t="s">
        <v>15833</v>
      </c>
      <c r="CB2372" t="s">
        <v>402</v>
      </c>
      <c r="CC2372" s="8" t="str">
        <f>"92234"</f>
        <v>92234</v>
      </c>
      <c r="CD2372" t="s">
        <v>5876</v>
      </c>
      <c r="CE2372" t="s">
        <v>4484</v>
      </c>
      <c r="CF2372" s="12">
        <v>28.2</v>
      </c>
      <c r="CG2372" s="12">
        <v>34</v>
      </c>
      <c r="CJ2372" t="s">
        <v>135</v>
      </c>
      <c r="CL2372" t="s">
        <v>15837</v>
      </c>
      <c r="CO2372" t="s">
        <v>132</v>
      </c>
      <c r="CP2372" t="s">
        <v>114</v>
      </c>
      <c r="CQ2372" t="s">
        <v>114</v>
      </c>
      <c r="CR2372" t="s">
        <v>114</v>
      </c>
      <c r="CS2372" t="s">
        <v>136</v>
      </c>
      <c r="CT2372" t="s">
        <v>136</v>
      </c>
      <c r="CU2372" t="s">
        <v>114</v>
      </c>
      <c r="CV2372" t="s">
        <v>131</v>
      </c>
      <c r="CW2372" s="10" t="str">
        <f>"+14692620050"</f>
        <v>+14692620050</v>
      </c>
      <c r="CX2372" t="s">
        <v>321</v>
      </c>
      <c r="CY2372" t="s">
        <v>132</v>
      </c>
      <c r="CZ2372" t="s">
        <v>137</v>
      </c>
      <c r="DA2372" t="s">
        <v>114</v>
      </c>
      <c r="DB2372" t="s">
        <v>114</v>
      </c>
      <c r="DC2372" t="s">
        <v>136</v>
      </c>
      <c r="DD2372" t="s">
        <v>114</v>
      </c>
    </row>
    <row r="2373" spans="1:113" ht="15" customHeight="1" x14ac:dyDescent="0.25">
      <c r="A2373" t="s">
        <v>19436</v>
      </c>
      <c r="B2373" t="s">
        <v>368</v>
      </c>
      <c r="C2373" s="1">
        <v>45183.731334143522</v>
      </c>
      <c r="D2373" s="1">
        <v>45226</v>
      </c>
      <c r="E2373" t="s">
        <v>132</v>
      </c>
      <c r="F2373" t="s">
        <v>1654</v>
      </c>
      <c r="G2373" t="str">
        <f>"37-2012.00"</f>
        <v>37-2012.00</v>
      </c>
      <c r="H2373" t="s">
        <v>205</v>
      </c>
      <c r="I2373">
        <v>3</v>
      </c>
      <c r="K2373" s="1">
        <v>45200</v>
      </c>
      <c r="L2373" s="1">
        <v>45260</v>
      </c>
      <c r="O2373" t="s">
        <v>238</v>
      </c>
      <c r="P2373" t="s">
        <v>19437</v>
      </c>
      <c r="Q2373" t="s">
        <v>19438</v>
      </c>
      <c r="R2373" t="s">
        <v>19439</v>
      </c>
      <c r="T2373" t="s">
        <v>19440</v>
      </c>
      <c r="U2373" t="s">
        <v>1434</v>
      </c>
      <c r="V2373" s="8" t="str">
        <f>"40165"</f>
        <v>40165</v>
      </c>
      <c r="W2373" t="s">
        <v>118</v>
      </c>
      <c r="Y2373" s="10">
        <v>15029554984</v>
      </c>
      <c r="AA2373">
        <v>721110</v>
      </c>
      <c r="AB2373" t="s">
        <v>2924</v>
      </c>
      <c r="AC2373" t="s">
        <v>15170</v>
      </c>
      <c r="AE2373" t="s">
        <v>120</v>
      </c>
      <c r="AF2373" t="s">
        <v>19439</v>
      </c>
      <c r="AH2373" t="s">
        <v>19440</v>
      </c>
      <c r="AI2373" t="s">
        <v>1434</v>
      </c>
      <c r="AJ2373" s="8" t="str">
        <f>"40165"</f>
        <v>40165</v>
      </c>
      <c r="AK2373" t="s">
        <v>118</v>
      </c>
      <c r="AM2373" s="10">
        <v>15029554984</v>
      </c>
      <c r="AO2373" t="s">
        <v>19441</v>
      </c>
      <c r="AP2373" t="s">
        <v>121</v>
      </c>
      <c r="AQ2373" t="s">
        <v>2000</v>
      </c>
      <c r="AR2373" t="s">
        <v>19442</v>
      </c>
      <c r="AT2373" t="s">
        <v>19443</v>
      </c>
      <c r="AU2373" t="s">
        <v>1981</v>
      </c>
      <c r="AV2373" t="s">
        <v>1264</v>
      </c>
      <c r="AW2373" t="s">
        <v>127</v>
      </c>
      <c r="AX2373" s="8" t="str">
        <f>"75287"</f>
        <v>75287</v>
      </c>
      <c r="AY2373" t="s">
        <v>118</v>
      </c>
      <c r="BA2373" s="10">
        <v>19722414698</v>
      </c>
      <c r="BC2373" t="s">
        <v>19444</v>
      </c>
      <c r="BD2373" t="s">
        <v>19445</v>
      </c>
      <c r="BE2373" t="s">
        <v>1722</v>
      </c>
      <c r="BF2373" t="s">
        <v>172</v>
      </c>
      <c r="BG2373" t="s">
        <v>1434</v>
      </c>
      <c r="BH2373" s="1">
        <v>45063.833333333336</v>
      </c>
      <c r="BI2373">
        <v>40</v>
      </c>
      <c r="BJ2373">
        <v>0</v>
      </c>
      <c r="BK2373">
        <v>8</v>
      </c>
      <c r="BL2373">
        <v>8</v>
      </c>
      <c r="BM2373">
        <v>8</v>
      </c>
      <c r="BN2373">
        <v>8</v>
      </c>
      <c r="BO2373">
        <v>8</v>
      </c>
      <c r="BP2373">
        <v>0</v>
      </c>
      <c r="BQ2373" t="str">
        <f>"8:00 AM"</f>
        <v>8:00 AM</v>
      </c>
      <c r="BR2373" t="str">
        <f>"5:00 PM"</f>
        <v>5:00 PM</v>
      </c>
      <c r="BS2373" t="s">
        <v>131</v>
      </c>
      <c r="BT2373">
        <v>0</v>
      </c>
      <c r="BU2373">
        <v>0</v>
      </c>
      <c r="BV2373" t="s">
        <v>114</v>
      </c>
      <c r="BX2373" t="s">
        <v>132</v>
      </c>
      <c r="BY2373" t="s">
        <v>19439</v>
      </c>
      <c r="CA2373" t="s">
        <v>19440</v>
      </c>
      <c r="CB2373" t="s">
        <v>1434</v>
      </c>
      <c r="CC2373" s="8" t="str">
        <f>"40165"</f>
        <v>40165</v>
      </c>
      <c r="CD2373" t="s">
        <v>19446</v>
      </c>
      <c r="CE2373" t="s">
        <v>1768</v>
      </c>
      <c r="CF2373" s="12">
        <v>12.85</v>
      </c>
      <c r="CG2373" s="12">
        <v>13</v>
      </c>
      <c r="CH2373" s="12">
        <v>19.28</v>
      </c>
      <c r="CI2373" s="12">
        <v>19.5</v>
      </c>
      <c r="CJ2373" t="s">
        <v>135</v>
      </c>
      <c r="CL2373" t="s">
        <v>19447</v>
      </c>
      <c r="CO2373" t="s">
        <v>136</v>
      </c>
      <c r="CP2373" t="s">
        <v>114</v>
      </c>
      <c r="CQ2373" t="s">
        <v>114</v>
      </c>
      <c r="CR2373" t="s">
        <v>136</v>
      </c>
      <c r="CS2373" t="s">
        <v>136</v>
      </c>
      <c r="CT2373" t="s">
        <v>136</v>
      </c>
      <c r="CU2373" t="s">
        <v>114</v>
      </c>
      <c r="CV2373" t="s">
        <v>19448</v>
      </c>
      <c r="CW2373" s="10" t="str">
        <f>"+15029554984"</f>
        <v>+15029554984</v>
      </c>
      <c r="CX2373" t="s">
        <v>19441</v>
      </c>
      <c r="CY2373" t="s">
        <v>132</v>
      </c>
      <c r="CZ2373" t="s">
        <v>137</v>
      </c>
      <c r="DA2373" t="s">
        <v>114</v>
      </c>
      <c r="DB2373" t="s">
        <v>114</v>
      </c>
      <c r="DC2373" t="s">
        <v>136</v>
      </c>
      <c r="DD2373" t="s">
        <v>114</v>
      </c>
    </row>
    <row r="2374" spans="1:113" ht="15" customHeight="1" x14ac:dyDescent="0.25">
      <c r="A2374" t="s">
        <v>15625</v>
      </c>
      <c r="B2374" t="s">
        <v>368</v>
      </c>
      <c r="C2374" s="1">
        <v>45215.431627546299</v>
      </c>
      <c r="D2374" s="1">
        <v>45224</v>
      </c>
      <c r="E2374" t="s">
        <v>132</v>
      </c>
      <c r="F2374" t="s">
        <v>700</v>
      </c>
      <c r="G2374" t="str">
        <f>"37-3011.00"</f>
        <v>37-3011.00</v>
      </c>
      <c r="H2374" t="s">
        <v>429</v>
      </c>
      <c r="I2374">
        <v>10</v>
      </c>
      <c r="K2374" s="1">
        <v>45290</v>
      </c>
      <c r="L2374" s="1">
        <v>45366</v>
      </c>
      <c r="O2374" t="s">
        <v>238</v>
      </c>
      <c r="P2374" t="s">
        <v>15302</v>
      </c>
      <c r="R2374" t="s">
        <v>15303</v>
      </c>
      <c r="T2374" t="s">
        <v>13636</v>
      </c>
      <c r="U2374" t="s">
        <v>984</v>
      </c>
      <c r="V2374" s="8" t="str">
        <f>"63069"</f>
        <v>63069</v>
      </c>
      <c r="W2374" t="s">
        <v>118</v>
      </c>
      <c r="Y2374" s="10">
        <v>16364857302</v>
      </c>
      <c r="AA2374">
        <v>56173</v>
      </c>
      <c r="AB2374" t="s">
        <v>15304</v>
      </c>
      <c r="AC2374" t="s">
        <v>3051</v>
      </c>
      <c r="AE2374" t="s">
        <v>561</v>
      </c>
      <c r="AF2374" t="s">
        <v>15303</v>
      </c>
      <c r="AH2374" t="s">
        <v>13636</v>
      </c>
      <c r="AI2374" t="s">
        <v>984</v>
      </c>
      <c r="AJ2374" s="8" t="str">
        <f>"63069"</f>
        <v>63069</v>
      </c>
      <c r="AK2374" t="s">
        <v>118</v>
      </c>
      <c r="AM2374" s="10">
        <v>16364857302</v>
      </c>
      <c r="AO2374" t="s">
        <v>796</v>
      </c>
      <c r="AP2374" t="s">
        <v>121</v>
      </c>
      <c r="AQ2374" t="s">
        <v>1172</v>
      </c>
      <c r="AR2374" t="s">
        <v>1173</v>
      </c>
      <c r="AS2374" t="s">
        <v>708</v>
      </c>
      <c r="AT2374" t="s">
        <v>1174</v>
      </c>
      <c r="AV2374" t="s">
        <v>603</v>
      </c>
      <c r="AW2374" t="s">
        <v>127</v>
      </c>
      <c r="AX2374" s="8" t="str">
        <f>"78705"</f>
        <v>78705</v>
      </c>
      <c r="AY2374" t="s">
        <v>118</v>
      </c>
      <c r="BA2374" s="10">
        <v>15123470007</v>
      </c>
      <c r="BC2374" t="s">
        <v>1175</v>
      </c>
      <c r="BD2374" t="s">
        <v>1176</v>
      </c>
      <c r="BE2374" t="s">
        <v>127</v>
      </c>
      <c r="BF2374" t="s">
        <v>750</v>
      </c>
      <c r="BG2374" t="s">
        <v>984</v>
      </c>
      <c r="BH2374" s="1">
        <v>45214.833333333336</v>
      </c>
      <c r="BI2374">
        <v>40</v>
      </c>
      <c r="BJ2374">
        <v>0</v>
      </c>
      <c r="BK2374">
        <v>8</v>
      </c>
      <c r="BL2374">
        <v>8</v>
      </c>
      <c r="BM2374">
        <v>8</v>
      </c>
      <c r="BN2374">
        <v>8</v>
      </c>
      <c r="BO2374">
        <v>8</v>
      </c>
      <c r="BP2374">
        <v>0</v>
      </c>
      <c r="BQ2374" t="str">
        <f>"7:00 AM"</f>
        <v>7:00 AM</v>
      </c>
      <c r="BR2374" t="str">
        <f>"4:00 PM"</f>
        <v>4:00 PM</v>
      </c>
      <c r="BS2374" t="s">
        <v>131</v>
      </c>
      <c r="BT2374">
        <v>0</v>
      </c>
      <c r="BU2374">
        <v>0</v>
      </c>
      <c r="BV2374" t="s">
        <v>114</v>
      </c>
      <c r="BX2374" t="s">
        <v>131</v>
      </c>
      <c r="BY2374" t="s">
        <v>15303</v>
      </c>
      <c r="CA2374" t="s">
        <v>13636</v>
      </c>
      <c r="CB2374" t="s">
        <v>984</v>
      </c>
      <c r="CC2374" s="8" t="str">
        <f>"63069"</f>
        <v>63069</v>
      </c>
      <c r="CD2374" t="s">
        <v>535</v>
      </c>
      <c r="CE2374" t="s">
        <v>1856</v>
      </c>
      <c r="CF2374" s="12">
        <v>17.579999999999998</v>
      </c>
      <c r="CG2374" s="12">
        <v>17.579999999999998</v>
      </c>
      <c r="CH2374" s="12">
        <v>26.37</v>
      </c>
      <c r="CI2374" s="12">
        <v>26.37</v>
      </c>
      <c r="CJ2374" t="s">
        <v>135</v>
      </c>
      <c r="CL2374" t="s">
        <v>15306</v>
      </c>
      <c r="CO2374" t="s">
        <v>132</v>
      </c>
      <c r="CP2374" t="s">
        <v>136</v>
      </c>
      <c r="CQ2374" t="s">
        <v>136</v>
      </c>
      <c r="CR2374" t="s">
        <v>136</v>
      </c>
      <c r="CS2374" t="s">
        <v>136</v>
      </c>
      <c r="CT2374" t="s">
        <v>136</v>
      </c>
      <c r="CU2374" t="s">
        <v>136</v>
      </c>
      <c r="CV2374" s="2" t="s">
        <v>15307</v>
      </c>
      <c r="CW2374" s="10" t="str">
        <f>"+16364857302"</f>
        <v>+16364857302</v>
      </c>
      <c r="CX2374" t="s">
        <v>15308</v>
      </c>
      <c r="CY2374" t="s">
        <v>132</v>
      </c>
      <c r="CZ2374" t="s">
        <v>137</v>
      </c>
      <c r="DA2374" t="s">
        <v>114</v>
      </c>
      <c r="DB2374" t="s">
        <v>114</v>
      </c>
      <c r="DC2374" t="s">
        <v>136</v>
      </c>
      <c r="DD2374" t="s">
        <v>114</v>
      </c>
    </row>
    <row r="2375" spans="1:113" ht="15" customHeight="1" x14ac:dyDescent="0.25">
      <c r="A2375" t="s">
        <v>18562</v>
      </c>
      <c r="B2375" t="s">
        <v>368</v>
      </c>
      <c r="C2375" s="1">
        <v>45133.783579861112</v>
      </c>
      <c r="D2375" s="1">
        <v>45222</v>
      </c>
      <c r="E2375" t="s">
        <v>114</v>
      </c>
      <c r="F2375" t="s">
        <v>12385</v>
      </c>
      <c r="G2375" t="str">
        <f>"47-3015.00"</f>
        <v>47-3015.00</v>
      </c>
      <c r="H2375" t="s">
        <v>12385</v>
      </c>
      <c r="I2375">
        <v>4</v>
      </c>
      <c r="K2375" s="1">
        <v>45208</v>
      </c>
      <c r="L2375" s="1">
        <v>45291</v>
      </c>
      <c r="O2375" t="s">
        <v>116</v>
      </c>
      <c r="P2375" t="s">
        <v>18563</v>
      </c>
      <c r="R2375" t="s">
        <v>18564</v>
      </c>
      <c r="T2375" t="s">
        <v>2604</v>
      </c>
      <c r="U2375" t="s">
        <v>188</v>
      </c>
      <c r="V2375" s="8" t="str">
        <f>"81625"</f>
        <v>81625</v>
      </c>
      <c r="W2375" t="s">
        <v>118</v>
      </c>
      <c r="Y2375" s="10">
        <v>19707012179</v>
      </c>
      <c r="AA2375">
        <v>23822</v>
      </c>
      <c r="AB2375" t="s">
        <v>13744</v>
      </c>
      <c r="AC2375" t="s">
        <v>9270</v>
      </c>
      <c r="AE2375" t="s">
        <v>561</v>
      </c>
      <c r="AF2375" t="s">
        <v>18564</v>
      </c>
      <c r="AH2375" t="s">
        <v>2604</v>
      </c>
      <c r="AI2375" t="s">
        <v>188</v>
      </c>
      <c r="AJ2375" s="8" t="str">
        <f>"81625"</f>
        <v>81625</v>
      </c>
      <c r="AK2375" t="s">
        <v>118</v>
      </c>
      <c r="AM2375" s="10">
        <v>19707012179</v>
      </c>
      <c r="AO2375" t="s">
        <v>18565</v>
      </c>
      <c r="AP2375" t="s">
        <v>121</v>
      </c>
      <c r="AQ2375" t="s">
        <v>929</v>
      </c>
      <c r="AR2375" t="s">
        <v>930</v>
      </c>
      <c r="AS2375" t="s">
        <v>931</v>
      </c>
      <c r="AT2375" t="s">
        <v>932</v>
      </c>
      <c r="AU2375" t="s">
        <v>132</v>
      </c>
      <c r="AV2375" t="s">
        <v>933</v>
      </c>
      <c r="AW2375" t="s">
        <v>740</v>
      </c>
      <c r="AX2375" s="8" t="str">
        <f>"50010"</f>
        <v>50010</v>
      </c>
      <c r="AY2375" t="s">
        <v>118</v>
      </c>
      <c r="BA2375" s="10">
        <v>15152324444</v>
      </c>
      <c r="BB2375">
        <v>0</v>
      </c>
      <c r="BC2375" t="s">
        <v>934</v>
      </c>
      <c r="BD2375" t="s">
        <v>935</v>
      </c>
      <c r="BE2375" t="s">
        <v>740</v>
      </c>
      <c r="BF2375" t="s">
        <v>172</v>
      </c>
      <c r="BG2375" t="s">
        <v>188</v>
      </c>
      <c r="BH2375" s="1">
        <v>45132.833333333336</v>
      </c>
      <c r="BI2375">
        <v>40</v>
      </c>
      <c r="BJ2375">
        <v>0</v>
      </c>
      <c r="BK2375">
        <v>8</v>
      </c>
      <c r="BL2375">
        <v>8</v>
      </c>
      <c r="BM2375">
        <v>8</v>
      </c>
      <c r="BN2375">
        <v>8</v>
      </c>
      <c r="BO2375">
        <v>8</v>
      </c>
      <c r="BP2375">
        <v>0</v>
      </c>
      <c r="BQ2375" t="str">
        <f>"7:00 AM"</f>
        <v>7:00 AM</v>
      </c>
      <c r="BR2375" t="str">
        <f>"5:30 PM"</f>
        <v>5:30 PM</v>
      </c>
      <c r="BS2375" t="s">
        <v>131</v>
      </c>
      <c r="BT2375">
        <v>0</v>
      </c>
      <c r="BU2375">
        <v>0</v>
      </c>
      <c r="BV2375" t="s">
        <v>114</v>
      </c>
      <c r="BX2375" s="2" t="s">
        <v>18566</v>
      </c>
      <c r="BY2375" t="s">
        <v>18564</v>
      </c>
      <c r="CA2375" t="s">
        <v>2604</v>
      </c>
      <c r="CB2375" t="s">
        <v>188</v>
      </c>
      <c r="CC2375" s="8" t="str">
        <f>"81625"</f>
        <v>81625</v>
      </c>
      <c r="CD2375" t="s">
        <v>18567</v>
      </c>
      <c r="CE2375" t="s">
        <v>1038</v>
      </c>
      <c r="CF2375" s="12">
        <v>20.29</v>
      </c>
      <c r="CH2375" s="12">
        <v>30.44</v>
      </c>
      <c r="CJ2375" t="s">
        <v>135</v>
      </c>
      <c r="CK2375" t="s">
        <v>18568</v>
      </c>
      <c r="CL2375" t="s">
        <v>18569</v>
      </c>
      <c r="CO2375" t="s">
        <v>132</v>
      </c>
      <c r="CP2375" t="s">
        <v>136</v>
      </c>
      <c r="CQ2375" t="s">
        <v>136</v>
      </c>
      <c r="CR2375" t="s">
        <v>136</v>
      </c>
      <c r="CS2375" t="s">
        <v>136</v>
      </c>
      <c r="CT2375" t="s">
        <v>136</v>
      </c>
      <c r="CU2375" t="s">
        <v>136</v>
      </c>
      <c r="CV2375" t="s">
        <v>18570</v>
      </c>
      <c r="CW2375" s="10" t="str">
        <f>"+19707012179"</f>
        <v>+19707012179</v>
      </c>
      <c r="CX2375" t="s">
        <v>18565</v>
      </c>
      <c r="CY2375" t="s">
        <v>132</v>
      </c>
      <c r="CZ2375" t="s">
        <v>137</v>
      </c>
      <c r="DA2375" t="s">
        <v>114</v>
      </c>
      <c r="DB2375" t="s">
        <v>114</v>
      </c>
      <c r="DC2375" t="s">
        <v>136</v>
      </c>
      <c r="DD2375" t="s">
        <v>114</v>
      </c>
    </row>
    <row r="2376" spans="1:113" ht="15" customHeight="1" x14ac:dyDescent="0.25">
      <c r="A2376" t="s">
        <v>6077</v>
      </c>
      <c r="B2376" t="s">
        <v>368</v>
      </c>
      <c r="C2376" s="1">
        <v>45112.709218750002</v>
      </c>
      <c r="D2376" s="1">
        <v>45222</v>
      </c>
      <c r="E2376" t="s">
        <v>114</v>
      </c>
      <c r="F2376" t="s">
        <v>1397</v>
      </c>
      <c r="G2376" t="str">
        <f>"39-9011.01"</f>
        <v>39-9011.01</v>
      </c>
      <c r="H2376" t="s">
        <v>183</v>
      </c>
      <c r="I2376">
        <v>1</v>
      </c>
      <c r="K2376" s="1">
        <v>45200</v>
      </c>
      <c r="L2376" s="1">
        <v>46266</v>
      </c>
      <c r="O2376" t="s">
        <v>184</v>
      </c>
      <c r="P2376" t="s">
        <v>6078</v>
      </c>
      <c r="R2376" t="s">
        <v>6079</v>
      </c>
      <c r="T2376" t="s">
        <v>6080</v>
      </c>
      <c r="U2376" t="s">
        <v>1734</v>
      </c>
      <c r="V2376" s="8" t="str">
        <f>"66547"</f>
        <v>66547</v>
      </c>
      <c r="W2376" t="s">
        <v>118</v>
      </c>
      <c r="Y2376" s="10">
        <v>17853701450</v>
      </c>
      <c r="AA2376">
        <v>8141</v>
      </c>
      <c r="AB2376" t="s">
        <v>6081</v>
      </c>
      <c r="AC2376" t="s">
        <v>6082</v>
      </c>
      <c r="AE2376" t="s">
        <v>561</v>
      </c>
      <c r="AF2376" t="s">
        <v>6079</v>
      </c>
      <c r="AH2376" t="s">
        <v>6080</v>
      </c>
      <c r="AI2376" t="s">
        <v>1734</v>
      </c>
      <c r="AJ2376" s="8" t="str">
        <f>"66547"</f>
        <v>66547</v>
      </c>
      <c r="AK2376" t="s">
        <v>118</v>
      </c>
      <c r="AM2376" s="10">
        <v>17853701450</v>
      </c>
      <c r="AO2376" t="s">
        <v>6083</v>
      </c>
      <c r="AP2376" t="s">
        <v>121</v>
      </c>
      <c r="AQ2376" t="s">
        <v>3935</v>
      </c>
      <c r="AR2376" t="s">
        <v>3936</v>
      </c>
      <c r="AS2376" t="s">
        <v>3937</v>
      </c>
      <c r="AT2376" t="s">
        <v>3938</v>
      </c>
      <c r="AU2376" t="s">
        <v>3939</v>
      </c>
      <c r="AV2376" t="s">
        <v>3940</v>
      </c>
      <c r="AW2376" t="s">
        <v>2262</v>
      </c>
      <c r="AX2376" s="8" t="str">
        <f>"06510"</f>
        <v>06510</v>
      </c>
      <c r="AY2376" t="s">
        <v>118</v>
      </c>
      <c r="BA2376" s="10">
        <v>19198270660</v>
      </c>
      <c r="BC2376" t="s">
        <v>3941</v>
      </c>
      <c r="BD2376" t="s">
        <v>3942</v>
      </c>
      <c r="BE2376" t="s">
        <v>375</v>
      </c>
      <c r="BF2376" t="s">
        <v>3943</v>
      </c>
      <c r="BG2376" t="s">
        <v>1734</v>
      </c>
      <c r="BH2376" s="1">
        <v>45111.833333333336</v>
      </c>
      <c r="BI2376">
        <v>45</v>
      </c>
      <c r="BJ2376">
        <v>0</v>
      </c>
      <c r="BK2376">
        <v>9</v>
      </c>
      <c r="BL2376">
        <v>9</v>
      </c>
      <c r="BM2376">
        <v>9</v>
      </c>
      <c r="BN2376">
        <v>9</v>
      </c>
      <c r="BO2376">
        <v>9</v>
      </c>
      <c r="BP2376">
        <v>0</v>
      </c>
      <c r="BQ2376" t="str">
        <f>"8:00 AM"</f>
        <v>8:00 AM</v>
      </c>
      <c r="BR2376" t="str">
        <f>"4:00 PM"</f>
        <v>4:00 PM</v>
      </c>
      <c r="BS2376" t="s">
        <v>147</v>
      </c>
      <c r="BT2376">
        <v>0</v>
      </c>
      <c r="BU2376">
        <v>12</v>
      </c>
      <c r="BV2376" t="s">
        <v>114</v>
      </c>
      <c r="BX2376" t="s">
        <v>6084</v>
      </c>
      <c r="BY2376" t="s">
        <v>6079</v>
      </c>
      <c r="CA2376" t="s">
        <v>6080</v>
      </c>
      <c r="CB2376" t="s">
        <v>1734</v>
      </c>
      <c r="CC2376" s="8" t="str">
        <f>"66547"</f>
        <v>66547</v>
      </c>
      <c r="CD2376" t="s">
        <v>6085</v>
      </c>
      <c r="CE2376" t="s">
        <v>6086</v>
      </c>
      <c r="CF2376" s="12">
        <v>18</v>
      </c>
      <c r="CG2376" s="12">
        <v>18</v>
      </c>
      <c r="CH2376" s="12">
        <v>27</v>
      </c>
      <c r="CI2376" s="12">
        <v>27</v>
      </c>
      <c r="CJ2376" t="s">
        <v>135</v>
      </c>
      <c r="CL2376" t="s">
        <v>6087</v>
      </c>
      <c r="CO2376" t="s">
        <v>132</v>
      </c>
      <c r="CP2376" t="s">
        <v>114</v>
      </c>
      <c r="CQ2376" t="s">
        <v>114</v>
      </c>
      <c r="CR2376" t="s">
        <v>136</v>
      </c>
      <c r="CS2376" t="s">
        <v>114</v>
      </c>
      <c r="CT2376" t="s">
        <v>136</v>
      </c>
      <c r="CU2376" t="s">
        <v>136</v>
      </c>
      <c r="CV2376" t="s">
        <v>6088</v>
      </c>
      <c r="CW2376" s="10" t="str">
        <f>"+17853701450"</f>
        <v>+17853701450</v>
      </c>
      <c r="CX2376" t="s">
        <v>6083</v>
      </c>
      <c r="CY2376" t="s">
        <v>132</v>
      </c>
      <c r="CZ2376" t="s">
        <v>137</v>
      </c>
      <c r="DA2376" t="s">
        <v>114</v>
      </c>
      <c r="DB2376" t="s">
        <v>114</v>
      </c>
      <c r="DC2376" t="s">
        <v>136</v>
      </c>
      <c r="DD2376" t="s">
        <v>114</v>
      </c>
    </row>
    <row r="2377" spans="1:113" ht="15" customHeight="1" x14ac:dyDescent="0.25">
      <c r="A2377" t="s">
        <v>14194</v>
      </c>
      <c r="B2377" t="s">
        <v>368</v>
      </c>
      <c r="C2377" s="1">
        <v>45174.539818171295</v>
      </c>
      <c r="D2377" s="1">
        <v>45217</v>
      </c>
      <c r="E2377" t="s">
        <v>132</v>
      </c>
      <c r="F2377" t="s">
        <v>5977</v>
      </c>
      <c r="G2377" t="str">
        <f>"39-9011.01"</f>
        <v>39-9011.01</v>
      </c>
      <c r="H2377" t="s">
        <v>1488</v>
      </c>
      <c r="I2377">
        <v>1</v>
      </c>
      <c r="K2377" s="1">
        <v>45258</v>
      </c>
      <c r="L2377" s="1">
        <v>46243</v>
      </c>
      <c r="O2377" t="s">
        <v>184</v>
      </c>
      <c r="P2377" t="s">
        <v>5978</v>
      </c>
      <c r="R2377" t="s">
        <v>5979</v>
      </c>
      <c r="T2377" t="s">
        <v>5980</v>
      </c>
      <c r="U2377" t="s">
        <v>402</v>
      </c>
      <c r="V2377" s="8" t="str">
        <f>"95117"</f>
        <v>95117</v>
      </c>
      <c r="W2377" t="s">
        <v>118</v>
      </c>
      <c r="Y2377" s="10">
        <v>16467892333</v>
      </c>
      <c r="AA2377">
        <v>814110</v>
      </c>
      <c r="AB2377" t="s">
        <v>5981</v>
      </c>
      <c r="AC2377" t="s">
        <v>5982</v>
      </c>
      <c r="AE2377" t="s">
        <v>5983</v>
      </c>
      <c r="AF2377" t="s">
        <v>5979</v>
      </c>
      <c r="AH2377" t="s">
        <v>5980</v>
      </c>
      <c r="AI2377" t="s">
        <v>402</v>
      </c>
      <c r="AJ2377" s="8" t="str">
        <f>"95117"</f>
        <v>95117</v>
      </c>
      <c r="AK2377" t="s">
        <v>118</v>
      </c>
      <c r="AM2377" s="10">
        <v>16467892333</v>
      </c>
      <c r="AO2377" t="s">
        <v>5984</v>
      </c>
      <c r="AP2377" t="s">
        <v>121</v>
      </c>
      <c r="AQ2377" t="s">
        <v>217</v>
      </c>
      <c r="AR2377" t="s">
        <v>5985</v>
      </c>
      <c r="AS2377" t="s">
        <v>5986</v>
      </c>
      <c r="AT2377" t="s">
        <v>5987</v>
      </c>
      <c r="AU2377" t="s">
        <v>5988</v>
      </c>
      <c r="AV2377" t="s">
        <v>518</v>
      </c>
      <c r="AW2377" t="s">
        <v>402</v>
      </c>
      <c r="AX2377" s="8" t="str">
        <f>"90034"</f>
        <v>90034</v>
      </c>
      <c r="AY2377" t="s">
        <v>118</v>
      </c>
      <c r="BA2377" s="10">
        <v>12133754084</v>
      </c>
      <c r="BC2377" t="s">
        <v>5989</v>
      </c>
      <c r="BD2377" t="s">
        <v>5990</v>
      </c>
      <c r="BE2377" t="s">
        <v>402</v>
      </c>
      <c r="BF2377" t="s">
        <v>4644</v>
      </c>
      <c r="BG2377" t="s">
        <v>402</v>
      </c>
      <c r="BH2377" s="1">
        <v>45173.833333333336</v>
      </c>
      <c r="BI2377">
        <v>35</v>
      </c>
      <c r="BJ2377">
        <v>0</v>
      </c>
      <c r="BK2377">
        <v>7</v>
      </c>
      <c r="BL2377">
        <v>7</v>
      </c>
      <c r="BM2377">
        <v>7</v>
      </c>
      <c r="BN2377">
        <v>7</v>
      </c>
      <c r="BO2377">
        <v>7</v>
      </c>
      <c r="BP2377">
        <v>0</v>
      </c>
      <c r="BQ2377" t="str">
        <f>"9:00 AM"</f>
        <v>9:00 AM</v>
      </c>
      <c r="BR2377" t="str">
        <f>"4:00 PM"</f>
        <v>4:00 PM</v>
      </c>
      <c r="BS2377" t="s">
        <v>131</v>
      </c>
      <c r="BT2377">
        <v>0</v>
      </c>
      <c r="BU2377">
        <v>12</v>
      </c>
      <c r="BV2377" t="s">
        <v>114</v>
      </c>
      <c r="BX2377" t="s">
        <v>131</v>
      </c>
      <c r="BY2377" t="s">
        <v>5979</v>
      </c>
      <c r="CA2377" t="s">
        <v>5980</v>
      </c>
      <c r="CB2377" t="s">
        <v>402</v>
      </c>
      <c r="CC2377" s="8" t="str">
        <f>"95117"</f>
        <v>95117</v>
      </c>
      <c r="CD2377" t="s">
        <v>5991</v>
      </c>
      <c r="CE2377" t="s">
        <v>5992</v>
      </c>
      <c r="CF2377" s="12">
        <v>20.05</v>
      </c>
      <c r="CH2377" s="12">
        <v>30.08</v>
      </c>
      <c r="CJ2377" t="s">
        <v>135</v>
      </c>
      <c r="CK2377" t="s">
        <v>131</v>
      </c>
      <c r="CL2377" t="s">
        <v>5993</v>
      </c>
      <c r="CO2377" t="s">
        <v>132</v>
      </c>
      <c r="CP2377" t="s">
        <v>114</v>
      </c>
      <c r="CQ2377" t="s">
        <v>136</v>
      </c>
      <c r="CR2377" t="s">
        <v>136</v>
      </c>
      <c r="CS2377" t="s">
        <v>114</v>
      </c>
      <c r="CT2377" t="s">
        <v>136</v>
      </c>
      <c r="CU2377" t="s">
        <v>114</v>
      </c>
      <c r="CV2377" t="s">
        <v>131</v>
      </c>
      <c r="CW2377" s="10" t="str">
        <f>"+16467892333"</f>
        <v>+16467892333</v>
      </c>
      <c r="CX2377" t="s">
        <v>5994</v>
      </c>
      <c r="CY2377" t="s">
        <v>132</v>
      </c>
      <c r="CZ2377" t="s">
        <v>137</v>
      </c>
      <c r="DA2377" t="s">
        <v>114</v>
      </c>
      <c r="DB2377" t="s">
        <v>114</v>
      </c>
      <c r="DC2377" t="s">
        <v>136</v>
      </c>
      <c r="DD2377" t="s">
        <v>114</v>
      </c>
    </row>
    <row r="2378" spans="1:113" ht="15" customHeight="1" x14ac:dyDescent="0.25">
      <c r="A2378" t="s">
        <v>19172</v>
      </c>
      <c r="B2378" t="s">
        <v>368</v>
      </c>
      <c r="C2378" s="1">
        <v>45182.753168171294</v>
      </c>
      <c r="D2378" s="1">
        <v>45216</v>
      </c>
      <c r="E2378" t="s">
        <v>132</v>
      </c>
      <c r="F2378" t="s">
        <v>1973</v>
      </c>
      <c r="G2378" t="str">
        <f>"35-2011.00"</f>
        <v>35-2011.00</v>
      </c>
      <c r="H2378" t="s">
        <v>138</v>
      </c>
      <c r="I2378">
        <v>20</v>
      </c>
      <c r="K2378" s="1">
        <v>45231</v>
      </c>
      <c r="L2378" s="1">
        <v>45504</v>
      </c>
      <c r="O2378" t="s">
        <v>238</v>
      </c>
      <c r="P2378" t="s">
        <v>3805</v>
      </c>
      <c r="R2378" t="s">
        <v>3806</v>
      </c>
      <c r="T2378" t="s">
        <v>3807</v>
      </c>
      <c r="U2378" t="s">
        <v>222</v>
      </c>
      <c r="V2378" s="8" t="str">
        <f>"02645"</f>
        <v>02645</v>
      </c>
      <c r="W2378" t="s">
        <v>118</v>
      </c>
      <c r="Y2378" s="10">
        <v>17747221810</v>
      </c>
      <c r="AA2378">
        <v>722513</v>
      </c>
      <c r="AB2378" t="s">
        <v>3808</v>
      </c>
      <c r="AC2378" t="s">
        <v>3809</v>
      </c>
      <c r="AE2378" t="s">
        <v>3519</v>
      </c>
      <c r="AF2378" t="s">
        <v>3810</v>
      </c>
      <c r="AH2378" t="s">
        <v>3807</v>
      </c>
      <c r="AI2378" t="s">
        <v>222</v>
      </c>
      <c r="AJ2378" s="8" t="str">
        <f>"02645"</f>
        <v>02645</v>
      </c>
      <c r="AK2378" t="s">
        <v>118</v>
      </c>
      <c r="AM2378" s="10">
        <v>17747221810</v>
      </c>
      <c r="AO2378" t="s">
        <v>3811</v>
      </c>
      <c r="AX2378" s="8" t="str">
        <f>""</f>
        <v/>
      </c>
      <c r="BG2378" t="s">
        <v>222</v>
      </c>
      <c r="BH2378" s="1">
        <v>45178.833333333336</v>
      </c>
      <c r="BI2378">
        <v>40</v>
      </c>
      <c r="BJ2378">
        <v>4</v>
      </c>
      <c r="BK2378">
        <v>4</v>
      </c>
      <c r="BL2378">
        <v>4</v>
      </c>
      <c r="BM2378">
        <v>8</v>
      </c>
      <c r="BN2378">
        <v>8</v>
      </c>
      <c r="BO2378">
        <v>8</v>
      </c>
      <c r="BP2378">
        <v>4</v>
      </c>
      <c r="BQ2378" t="str">
        <f>"7:00 AM"</f>
        <v>7:00 AM</v>
      </c>
      <c r="BR2378" t="str">
        <f>"3:00 PM"</f>
        <v>3:00 PM</v>
      </c>
      <c r="BS2378" t="s">
        <v>131</v>
      </c>
      <c r="BT2378">
        <v>0</v>
      </c>
      <c r="BU2378">
        <v>0</v>
      </c>
      <c r="BV2378" t="s">
        <v>114</v>
      </c>
      <c r="BX2378" t="s">
        <v>1480</v>
      </c>
      <c r="BY2378" t="s">
        <v>3812</v>
      </c>
      <c r="CA2378" t="s">
        <v>3813</v>
      </c>
      <c r="CB2378" t="s">
        <v>222</v>
      </c>
      <c r="CC2378" s="8" t="str">
        <f>"02660"</f>
        <v>02660</v>
      </c>
      <c r="CD2378" t="s">
        <v>3119</v>
      </c>
      <c r="CE2378" t="s">
        <v>2322</v>
      </c>
      <c r="CF2378" s="12">
        <v>15.5</v>
      </c>
      <c r="CG2378" s="12">
        <v>16</v>
      </c>
      <c r="CJ2378" t="s">
        <v>135</v>
      </c>
      <c r="CL2378" t="s">
        <v>3815</v>
      </c>
      <c r="CO2378" t="s">
        <v>136</v>
      </c>
      <c r="CP2378" t="s">
        <v>114</v>
      </c>
      <c r="CQ2378" t="s">
        <v>114</v>
      </c>
      <c r="CR2378" t="s">
        <v>114</v>
      </c>
      <c r="CS2378" t="s">
        <v>114</v>
      </c>
      <c r="CT2378" t="s">
        <v>114</v>
      </c>
      <c r="CU2378" t="s">
        <v>114</v>
      </c>
      <c r="CV2378" t="s">
        <v>19173</v>
      </c>
      <c r="CW2378" s="10" t="str">
        <f>"+17747221810"</f>
        <v>+17747221810</v>
      </c>
      <c r="CX2378" t="s">
        <v>3817</v>
      </c>
      <c r="CY2378" t="s">
        <v>132</v>
      </c>
      <c r="CZ2378" t="s">
        <v>137</v>
      </c>
      <c r="DA2378" t="s">
        <v>114</v>
      </c>
      <c r="DB2378" t="s">
        <v>114</v>
      </c>
      <c r="DC2378" t="s">
        <v>136</v>
      </c>
      <c r="DD2378" t="s">
        <v>114</v>
      </c>
      <c r="DE2378" t="s">
        <v>3818</v>
      </c>
      <c r="DF2378" t="s">
        <v>3819</v>
      </c>
      <c r="DH2378" t="s">
        <v>3820</v>
      </c>
      <c r="DI2378" t="s">
        <v>3821</v>
      </c>
    </row>
    <row r="2379" spans="1:113" ht="15" customHeight="1" x14ac:dyDescent="0.25">
      <c r="A2379" t="s">
        <v>3804</v>
      </c>
      <c r="B2379" t="s">
        <v>368</v>
      </c>
      <c r="C2379" s="1">
        <v>45180.658252430556</v>
      </c>
      <c r="D2379" s="1">
        <v>45216</v>
      </c>
      <c r="E2379" t="s">
        <v>132</v>
      </c>
      <c r="F2379" t="s">
        <v>1973</v>
      </c>
      <c r="G2379" t="str">
        <f>"35-2011.00"</f>
        <v>35-2011.00</v>
      </c>
      <c r="H2379" t="s">
        <v>138</v>
      </c>
      <c r="I2379">
        <v>20</v>
      </c>
      <c r="K2379" s="1">
        <v>45231</v>
      </c>
      <c r="L2379" s="1">
        <v>45504</v>
      </c>
      <c r="O2379" t="s">
        <v>238</v>
      </c>
      <c r="P2379" t="s">
        <v>3805</v>
      </c>
      <c r="R2379" t="s">
        <v>3806</v>
      </c>
      <c r="T2379" t="s">
        <v>3807</v>
      </c>
      <c r="U2379" t="s">
        <v>222</v>
      </c>
      <c r="V2379" s="8" t="str">
        <f>"02645"</f>
        <v>02645</v>
      </c>
      <c r="W2379" t="s">
        <v>118</v>
      </c>
      <c r="Y2379" s="10">
        <v>17747221810</v>
      </c>
      <c r="AA2379">
        <v>722513</v>
      </c>
      <c r="AB2379" t="s">
        <v>3808</v>
      </c>
      <c r="AC2379" t="s">
        <v>3809</v>
      </c>
      <c r="AE2379" t="s">
        <v>3519</v>
      </c>
      <c r="AF2379" t="s">
        <v>3810</v>
      </c>
      <c r="AH2379" t="s">
        <v>3807</v>
      </c>
      <c r="AI2379" t="s">
        <v>222</v>
      </c>
      <c r="AJ2379" s="8" t="str">
        <f>"02645"</f>
        <v>02645</v>
      </c>
      <c r="AK2379" t="s">
        <v>118</v>
      </c>
      <c r="AM2379" s="10">
        <v>17747221810</v>
      </c>
      <c r="AO2379" t="s">
        <v>3811</v>
      </c>
      <c r="AX2379" s="8" t="str">
        <f>""</f>
        <v/>
      </c>
      <c r="BG2379" t="s">
        <v>222</v>
      </c>
      <c r="BH2379" s="1">
        <v>45178.833333333336</v>
      </c>
      <c r="BI2379">
        <v>40</v>
      </c>
      <c r="BJ2379">
        <v>4</v>
      </c>
      <c r="BK2379">
        <v>4</v>
      </c>
      <c r="BL2379">
        <v>4</v>
      </c>
      <c r="BM2379">
        <v>8</v>
      </c>
      <c r="BN2379">
        <v>8</v>
      </c>
      <c r="BO2379">
        <v>8</v>
      </c>
      <c r="BP2379">
        <v>4</v>
      </c>
      <c r="BQ2379" t="str">
        <f>"7:00 AM"</f>
        <v>7:00 AM</v>
      </c>
      <c r="BR2379" t="str">
        <f>"3:00 PM"</f>
        <v>3:00 PM</v>
      </c>
      <c r="BS2379" t="s">
        <v>131</v>
      </c>
      <c r="BT2379">
        <v>0</v>
      </c>
      <c r="BU2379">
        <v>0</v>
      </c>
      <c r="BV2379" t="s">
        <v>114</v>
      </c>
      <c r="BX2379" t="s">
        <v>1480</v>
      </c>
      <c r="BY2379" t="s">
        <v>3812</v>
      </c>
      <c r="CA2379" t="s">
        <v>3813</v>
      </c>
      <c r="CB2379" t="s">
        <v>222</v>
      </c>
      <c r="CC2379" s="8" t="str">
        <f>"02660"</f>
        <v>02660</v>
      </c>
      <c r="CD2379" t="s">
        <v>3119</v>
      </c>
      <c r="CE2379" t="s">
        <v>2322</v>
      </c>
      <c r="CF2379" s="12">
        <v>15.5</v>
      </c>
      <c r="CG2379" s="12">
        <v>16</v>
      </c>
      <c r="CJ2379" t="s">
        <v>135</v>
      </c>
      <c r="CL2379" t="s">
        <v>3814</v>
      </c>
      <c r="CM2379" t="s">
        <v>3815</v>
      </c>
      <c r="CO2379" t="s">
        <v>136</v>
      </c>
      <c r="CP2379" t="s">
        <v>114</v>
      </c>
      <c r="CQ2379" t="s">
        <v>114</v>
      </c>
      <c r="CR2379" t="s">
        <v>114</v>
      </c>
      <c r="CS2379" t="s">
        <v>114</v>
      </c>
      <c r="CT2379" t="s">
        <v>114</v>
      </c>
      <c r="CU2379" t="s">
        <v>114</v>
      </c>
      <c r="CV2379" t="s">
        <v>3816</v>
      </c>
      <c r="CW2379" s="10" t="str">
        <f>"+17747221810"</f>
        <v>+17747221810</v>
      </c>
      <c r="CX2379" t="s">
        <v>3817</v>
      </c>
      <c r="CY2379" t="s">
        <v>132</v>
      </c>
      <c r="CZ2379" t="s">
        <v>137</v>
      </c>
      <c r="DA2379" t="s">
        <v>114</v>
      </c>
      <c r="DB2379" t="s">
        <v>114</v>
      </c>
      <c r="DC2379" t="s">
        <v>136</v>
      </c>
      <c r="DD2379" t="s">
        <v>114</v>
      </c>
      <c r="DE2379" t="s">
        <v>3818</v>
      </c>
      <c r="DF2379" t="s">
        <v>3819</v>
      </c>
      <c r="DH2379" t="s">
        <v>3820</v>
      </c>
      <c r="DI2379" t="s">
        <v>3821</v>
      </c>
    </row>
    <row r="2380" spans="1:113" ht="15" customHeight="1" x14ac:dyDescent="0.25">
      <c r="A2380" t="s">
        <v>20226</v>
      </c>
      <c r="B2380" t="s">
        <v>368</v>
      </c>
      <c r="C2380" s="1">
        <v>45175.561906134259</v>
      </c>
      <c r="D2380" s="1">
        <v>45216</v>
      </c>
      <c r="E2380" t="s">
        <v>132</v>
      </c>
      <c r="F2380" t="s">
        <v>1397</v>
      </c>
      <c r="G2380" t="str">
        <f>"39-9011.01"</f>
        <v>39-9011.01</v>
      </c>
      <c r="H2380" t="s">
        <v>1488</v>
      </c>
      <c r="I2380">
        <v>1</v>
      </c>
      <c r="K2380" s="1">
        <v>45257</v>
      </c>
      <c r="L2380" s="1">
        <v>45548</v>
      </c>
      <c r="O2380" t="s">
        <v>184</v>
      </c>
      <c r="P2380" t="s">
        <v>20227</v>
      </c>
      <c r="R2380" t="s">
        <v>20228</v>
      </c>
      <c r="T2380" t="s">
        <v>20229</v>
      </c>
      <c r="U2380" t="s">
        <v>792</v>
      </c>
      <c r="V2380" s="8" t="str">
        <f>"98292"</f>
        <v>98292</v>
      </c>
      <c r="W2380" t="s">
        <v>118</v>
      </c>
      <c r="Y2380" s="10">
        <v>12067476002</v>
      </c>
      <c r="AA2380">
        <v>814110</v>
      </c>
      <c r="AB2380" t="s">
        <v>20230</v>
      </c>
      <c r="AC2380" t="s">
        <v>20231</v>
      </c>
      <c r="AE2380" t="s">
        <v>20232</v>
      </c>
      <c r="AF2380" t="s">
        <v>20228</v>
      </c>
      <c r="AH2380" t="s">
        <v>20229</v>
      </c>
      <c r="AI2380" t="s">
        <v>792</v>
      </c>
      <c r="AJ2380" s="8" t="str">
        <f>"98292"</f>
        <v>98292</v>
      </c>
      <c r="AK2380" t="s">
        <v>118</v>
      </c>
      <c r="AM2380" s="10">
        <v>12067476002</v>
      </c>
      <c r="AO2380" t="s">
        <v>20233</v>
      </c>
      <c r="AX2380" s="8" t="str">
        <f>""</f>
        <v/>
      </c>
      <c r="BG2380" t="s">
        <v>792</v>
      </c>
      <c r="BH2380" s="1">
        <v>45174.833333333336</v>
      </c>
      <c r="BI2380">
        <v>40</v>
      </c>
      <c r="BJ2380">
        <v>0</v>
      </c>
      <c r="BK2380">
        <v>8</v>
      </c>
      <c r="BL2380">
        <v>8</v>
      </c>
      <c r="BM2380">
        <v>8</v>
      </c>
      <c r="BN2380">
        <v>8</v>
      </c>
      <c r="BO2380">
        <v>8</v>
      </c>
      <c r="BP2380">
        <v>0</v>
      </c>
      <c r="BQ2380" t="str">
        <f>"7:00 AM"</f>
        <v>7:00 AM</v>
      </c>
      <c r="BR2380" t="str">
        <f>"3:00 PM"</f>
        <v>3:00 PM</v>
      </c>
      <c r="BS2380" t="s">
        <v>147</v>
      </c>
      <c r="BT2380">
        <v>0</v>
      </c>
      <c r="BU2380">
        <v>24</v>
      </c>
      <c r="BV2380" t="s">
        <v>114</v>
      </c>
      <c r="BX2380" s="2" t="s">
        <v>20234</v>
      </c>
      <c r="BY2380" t="s">
        <v>20228</v>
      </c>
      <c r="CA2380" t="s">
        <v>20229</v>
      </c>
      <c r="CB2380" t="s">
        <v>792</v>
      </c>
      <c r="CC2380" s="8" t="str">
        <f>"98292"</f>
        <v>98292</v>
      </c>
      <c r="CD2380" t="s">
        <v>9296</v>
      </c>
      <c r="CE2380" t="s">
        <v>9297</v>
      </c>
      <c r="CF2380" s="12">
        <v>19</v>
      </c>
      <c r="CH2380" s="12">
        <v>28.5</v>
      </c>
      <c r="CJ2380" t="s">
        <v>135</v>
      </c>
      <c r="CL2380" t="s">
        <v>20235</v>
      </c>
      <c r="CO2380" t="s">
        <v>132</v>
      </c>
      <c r="CP2380" t="s">
        <v>114</v>
      </c>
      <c r="CQ2380" t="s">
        <v>114</v>
      </c>
      <c r="CR2380" t="s">
        <v>136</v>
      </c>
      <c r="CS2380" t="s">
        <v>114</v>
      </c>
      <c r="CT2380" t="s">
        <v>136</v>
      </c>
      <c r="CU2380" t="s">
        <v>136</v>
      </c>
      <c r="CV2380" s="2" t="s">
        <v>20236</v>
      </c>
      <c r="CW2380" s="10" t="str">
        <f>"+12067476002"</f>
        <v>+12067476002</v>
      </c>
      <c r="CX2380" t="s">
        <v>20233</v>
      </c>
      <c r="CY2380" t="s">
        <v>132</v>
      </c>
      <c r="CZ2380" t="s">
        <v>137</v>
      </c>
      <c r="DA2380" t="s">
        <v>114</v>
      </c>
      <c r="DB2380" t="s">
        <v>114</v>
      </c>
      <c r="DC2380" t="s">
        <v>136</v>
      </c>
      <c r="DD2380" t="s">
        <v>114</v>
      </c>
    </row>
    <row r="2381" spans="1:113" ht="15" customHeight="1" x14ac:dyDescent="0.25">
      <c r="A2381" t="s">
        <v>18541</v>
      </c>
      <c r="B2381" t="s">
        <v>368</v>
      </c>
      <c r="C2381" s="1">
        <v>45125.594895833332</v>
      </c>
      <c r="D2381" s="1">
        <v>45216</v>
      </c>
      <c r="E2381" t="s">
        <v>114</v>
      </c>
      <c r="F2381" t="s">
        <v>14011</v>
      </c>
      <c r="G2381" t="str">
        <f>"51-9198.00"</f>
        <v>51-9198.00</v>
      </c>
      <c r="H2381" t="s">
        <v>1892</v>
      </c>
      <c r="I2381">
        <v>10</v>
      </c>
      <c r="K2381" s="1">
        <v>45200</v>
      </c>
      <c r="L2381" s="1">
        <v>45383</v>
      </c>
      <c r="O2381" t="s">
        <v>116</v>
      </c>
      <c r="P2381" t="s">
        <v>18542</v>
      </c>
      <c r="R2381" t="s">
        <v>18543</v>
      </c>
      <c r="T2381" t="s">
        <v>2226</v>
      </c>
      <c r="U2381" t="s">
        <v>358</v>
      </c>
      <c r="V2381" s="8" t="str">
        <f>"14606"</f>
        <v>14606</v>
      </c>
      <c r="W2381" t="s">
        <v>118</v>
      </c>
      <c r="Y2381" s="10">
        <v>17164300626</v>
      </c>
      <c r="AA2381">
        <v>311991</v>
      </c>
      <c r="AB2381" t="s">
        <v>9749</v>
      </c>
      <c r="AC2381" t="s">
        <v>18544</v>
      </c>
      <c r="AE2381" t="s">
        <v>2707</v>
      </c>
      <c r="AF2381" t="s">
        <v>18543</v>
      </c>
      <c r="AH2381" t="s">
        <v>2226</v>
      </c>
      <c r="AI2381" t="s">
        <v>358</v>
      </c>
      <c r="AJ2381" s="8" t="str">
        <f>"14606"</f>
        <v>14606</v>
      </c>
      <c r="AK2381" t="s">
        <v>118</v>
      </c>
      <c r="AM2381" s="10">
        <v>17164300626</v>
      </c>
      <c r="AO2381" t="s">
        <v>18545</v>
      </c>
      <c r="AP2381" t="s">
        <v>121</v>
      </c>
      <c r="AQ2381" t="s">
        <v>1902</v>
      </c>
      <c r="AR2381" t="s">
        <v>1903</v>
      </c>
      <c r="AS2381" t="s">
        <v>1555</v>
      </c>
      <c r="AT2381" t="s">
        <v>1904</v>
      </c>
      <c r="AU2381" t="s">
        <v>1905</v>
      </c>
      <c r="AV2381" t="s">
        <v>1906</v>
      </c>
      <c r="AW2381" t="s">
        <v>358</v>
      </c>
      <c r="AX2381" s="8" t="str">
        <f>"12207"</f>
        <v>12207</v>
      </c>
      <c r="AY2381" t="s">
        <v>118</v>
      </c>
      <c r="BA2381" s="10">
        <v>15187012770</v>
      </c>
      <c r="BC2381" t="s">
        <v>3062</v>
      </c>
      <c r="BD2381" t="s">
        <v>1907</v>
      </c>
      <c r="BE2381" t="s">
        <v>358</v>
      </c>
      <c r="BF2381" t="s">
        <v>2118</v>
      </c>
      <c r="BG2381" t="s">
        <v>358</v>
      </c>
      <c r="BH2381" s="1">
        <v>45120.833333333336</v>
      </c>
      <c r="BI2381">
        <v>40</v>
      </c>
      <c r="BJ2381">
        <v>0</v>
      </c>
      <c r="BK2381">
        <v>8</v>
      </c>
      <c r="BL2381">
        <v>8</v>
      </c>
      <c r="BM2381">
        <v>8</v>
      </c>
      <c r="BN2381">
        <v>8</v>
      </c>
      <c r="BO2381">
        <v>8</v>
      </c>
      <c r="BP2381">
        <v>0</v>
      </c>
      <c r="BQ2381" t="str">
        <f>"6:00 AM"</f>
        <v>6:00 AM</v>
      </c>
      <c r="BR2381" t="str">
        <f>"2:30 PM"</f>
        <v>2:30 PM</v>
      </c>
      <c r="BS2381" t="s">
        <v>131</v>
      </c>
      <c r="BT2381">
        <v>0</v>
      </c>
      <c r="BU2381">
        <v>0</v>
      </c>
      <c r="BV2381" t="s">
        <v>114</v>
      </c>
      <c r="BX2381" s="2" t="s">
        <v>18546</v>
      </c>
      <c r="BY2381" t="s">
        <v>18543</v>
      </c>
      <c r="CA2381" t="s">
        <v>2226</v>
      </c>
      <c r="CB2381" t="s">
        <v>358</v>
      </c>
      <c r="CC2381" s="8" t="str">
        <f>"14606"</f>
        <v>14606</v>
      </c>
      <c r="CD2381" t="s">
        <v>303</v>
      </c>
      <c r="CE2381" t="s">
        <v>3589</v>
      </c>
      <c r="CF2381" s="12">
        <v>15.35</v>
      </c>
      <c r="CG2381" s="12">
        <v>16.5</v>
      </c>
      <c r="CH2381" s="12">
        <v>23.03</v>
      </c>
      <c r="CI2381" s="12">
        <v>24.75</v>
      </c>
      <c r="CJ2381" t="s">
        <v>135</v>
      </c>
      <c r="CK2381" t="s">
        <v>3061</v>
      </c>
      <c r="CL2381" t="s">
        <v>18547</v>
      </c>
      <c r="CO2381" t="s">
        <v>132</v>
      </c>
      <c r="CP2381" t="s">
        <v>114</v>
      </c>
      <c r="CQ2381" t="s">
        <v>136</v>
      </c>
      <c r="CR2381" t="s">
        <v>136</v>
      </c>
      <c r="CS2381" t="s">
        <v>136</v>
      </c>
      <c r="CT2381" t="s">
        <v>136</v>
      </c>
      <c r="CU2381" t="s">
        <v>136</v>
      </c>
      <c r="CV2381" t="s">
        <v>18548</v>
      </c>
      <c r="CW2381" s="10" t="str">
        <f>"+17164300626"</f>
        <v>+17164300626</v>
      </c>
      <c r="CX2381" t="s">
        <v>18545</v>
      </c>
      <c r="CY2381" t="s">
        <v>132</v>
      </c>
      <c r="CZ2381" t="s">
        <v>137</v>
      </c>
      <c r="DA2381" t="s">
        <v>114</v>
      </c>
      <c r="DB2381" t="s">
        <v>136</v>
      </c>
      <c r="DC2381" t="s">
        <v>136</v>
      </c>
      <c r="DD2381" t="s">
        <v>114</v>
      </c>
      <c r="DE2381" t="s">
        <v>2120</v>
      </c>
      <c r="DF2381" t="s">
        <v>119</v>
      </c>
      <c r="DG2381" t="s">
        <v>1714</v>
      </c>
      <c r="DH2381" t="s">
        <v>2897</v>
      </c>
      <c r="DI2381" t="s">
        <v>2121</v>
      </c>
    </row>
    <row r="2382" spans="1:113" ht="15" customHeight="1" x14ac:dyDescent="0.25">
      <c r="A2382" t="s">
        <v>23602</v>
      </c>
      <c r="B2382" t="s">
        <v>368</v>
      </c>
      <c r="C2382" s="1">
        <v>45110.418467476855</v>
      </c>
      <c r="D2382" s="1">
        <v>45216</v>
      </c>
      <c r="E2382" t="s">
        <v>114</v>
      </c>
      <c r="F2382" t="s">
        <v>23603</v>
      </c>
      <c r="G2382" t="str">
        <f>"49-9099.00"</f>
        <v>49-9099.00</v>
      </c>
      <c r="H2382" t="s">
        <v>3863</v>
      </c>
      <c r="I2382">
        <v>12</v>
      </c>
      <c r="K2382" s="1">
        <v>45200</v>
      </c>
      <c r="L2382" s="1">
        <v>45352</v>
      </c>
      <c r="O2382" t="s">
        <v>116</v>
      </c>
      <c r="P2382" t="s">
        <v>23604</v>
      </c>
      <c r="R2382" t="s">
        <v>23605</v>
      </c>
      <c r="T2382" t="s">
        <v>22866</v>
      </c>
      <c r="U2382" t="s">
        <v>1776</v>
      </c>
      <c r="V2382" s="8" t="str">
        <f>"08036"</f>
        <v>08036</v>
      </c>
      <c r="W2382" t="s">
        <v>118</v>
      </c>
      <c r="Y2382" s="10">
        <v>16092673237</v>
      </c>
      <c r="AA2382">
        <v>561720</v>
      </c>
      <c r="AB2382" t="s">
        <v>23606</v>
      </c>
      <c r="AC2382" t="s">
        <v>1212</v>
      </c>
      <c r="AE2382" t="s">
        <v>120</v>
      </c>
      <c r="AF2382" t="s">
        <v>23605</v>
      </c>
      <c r="AH2382" t="s">
        <v>22866</v>
      </c>
      <c r="AI2382" t="s">
        <v>1776</v>
      </c>
      <c r="AJ2382" s="8" t="str">
        <f>"08036"</f>
        <v>08036</v>
      </c>
      <c r="AK2382" t="s">
        <v>118</v>
      </c>
      <c r="AM2382" s="10">
        <v>16092673237</v>
      </c>
      <c r="AO2382" t="s">
        <v>23607</v>
      </c>
      <c r="AP2382" t="s">
        <v>121</v>
      </c>
      <c r="AQ2382" t="s">
        <v>23608</v>
      </c>
      <c r="AR2382" t="s">
        <v>3088</v>
      </c>
      <c r="AS2382" t="s">
        <v>23609</v>
      </c>
      <c r="AT2382" t="s">
        <v>23610</v>
      </c>
      <c r="AU2382" t="s">
        <v>612</v>
      </c>
      <c r="AV2382" t="s">
        <v>5539</v>
      </c>
      <c r="AW2382" t="s">
        <v>6049</v>
      </c>
      <c r="AX2382" s="8" t="str">
        <f>"20036"</f>
        <v>20036</v>
      </c>
      <c r="AY2382" t="s">
        <v>118</v>
      </c>
      <c r="BA2382" s="10">
        <v>13012760020</v>
      </c>
      <c r="BC2382" t="s">
        <v>23611</v>
      </c>
      <c r="BD2382" t="s">
        <v>23612</v>
      </c>
      <c r="BE2382" t="s">
        <v>6049</v>
      </c>
      <c r="BF2382" t="s">
        <v>23613</v>
      </c>
      <c r="BG2382" t="s">
        <v>1776</v>
      </c>
      <c r="BH2382" s="1">
        <v>45109.833333333336</v>
      </c>
      <c r="BI2382">
        <v>40</v>
      </c>
      <c r="BJ2382">
        <v>0</v>
      </c>
      <c r="BK2382">
        <v>8</v>
      </c>
      <c r="BL2382">
        <v>8</v>
      </c>
      <c r="BM2382">
        <v>8</v>
      </c>
      <c r="BN2382">
        <v>8</v>
      </c>
      <c r="BO2382">
        <v>8</v>
      </c>
      <c r="BP2382">
        <v>0</v>
      </c>
      <c r="BQ2382" t="str">
        <f>"8:00 AM"</f>
        <v>8:00 AM</v>
      </c>
      <c r="BR2382" t="str">
        <f>"4:00 PM"</f>
        <v>4:00 PM</v>
      </c>
      <c r="BS2382" t="s">
        <v>131</v>
      </c>
      <c r="BT2382">
        <v>0</v>
      </c>
      <c r="BU2382">
        <v>0</v>
      </c>
      <c r="BV2382" t="s">
        <v>114</v>
      </c>
      <c r="BX2382" s="2" t="s">
        <v>23614</v>
      </c>
      <c r="BY2382" t="s">
        <v>23605</v>
      </c>
      <c r="CA2382" t="s">
        <v>22866</v>
      </c>
      <c r="CB2382" t="s">
        <v>1776</v>
      </c>
      <c r="CC2382" s="8" t="str">
        <f>"08036"</f>
        <v>08036</v>
      </c>
      <c r="CD2382" t="s">
        <v>3721</v>
      </c>
      <c r="CE2382" t="s">
        <v>443</v>
      </c>
      <c r="CF2382" s="12">
        <v>23.93</v>
      </c>
      <c r="CH2382" s="12">
        <v>35.9</v>
      </c>
      <c r="CJ2382" t="s">
        <v>135</v>
      </c>
      <c r="CL2382" t="s">
        <v>23615</v>
      </c>
      <c r="CO2382" t="s">
        <v>132</v>
      </c>
      <c r="CP2382" t="s">
        <v>136</v>
      </c>
      <c r="CQ2382" t="s">
        <v>136</v>
      </c>
      <c r="CR2382" t="s">
        <v>136</v>
      </c>
      <c r="CS2382" t="s">
        <v>136</v>
      </c>
      <c r="CT2382" t="s">
        <v>136</v>
      </c>
      <c r="CU2382" t="s">
        <v>136</v>
      </c>
      <c r="CV2382" t="s">
        <v>132</v>
      </c>
      <c r="CW2382" s="10" t="str">
        <f>"+16092673237"</f>
        <v>+16092673237</v>
      </c>
      <c r="CX2382" t="s">
        <v>23607</v>
      </c>
      <c r="CY2382" t="s">
        <v>132</v>
      </c>
      <c r="CZ2382" t="s">
        <v>137</v>
      </c>
      <c r="DA2382" t="s">
        <v>114</v>
      </c>
      <c r="DB2382" t="s">
        <v>114</v>
      </c>
      <c r="DC2382" t="s">
        <v>136</v>
      </c>
      <c r="DD2382" t="s">
        <v>114</v>
      </c>
    </row>
    <row r="2383" spans="1:113" ht="15" customHeight="1" x14ac:dyDescent="0.25">
      <c r="A2383" t="s">
        <v>19343</v>
      </c>
      <c r="B2383" t="s">
        <v>368</v>
      </c>
      <c r="C2383" s="1">
        <v>45160.465729629628</v>
      </c>
      <c r="D2383" s="1">
        <v>45215</v>
      </c>
      <c r="E2383" t="s">
        <v>114</v>
      </c>
      <c r="F2383" t="s">
        <v>5845</v>
      </c>
      <c r="G2383" t="str">
        <f>"49-9099.00"</f>
        <v>49-9099.00</v>
      </c>
      <c r="H2383" t="s">
        <v>3863</v>
      </c>
      <c r="I2383">
        <v>8</v>
      </c>
      <c r="K2383" s="1">
        <v>45235</v>
      </c>
      <c r="L2383" s="1">
        <v>45306</v>
      </c>
      <c r="O2383" t="s">
        <v>116</v>
      </c>
      <c r="P2383" t="s">
        <v>19344</v>
      </c>
      <c r="R2383" t="s">
        <v>19345</v>
      </c>
      <c r="T2383" t="s">
        <v>7267</v>
      </c>
      <c r="U2383" t="s">
        <v>1776</v>
      </c>
      <c r="V2383" s="8" t="str">
        <f>"08723"</f>
        <v>08723</v>
      </c>
      <c r="W2383" t="s">
        <v>118</v>
      </c>
      <c r="Y2383" s="10">
        <v>17322625200</v>
      </c>
      <c r="AA2383">
        <v>56173</v>
      </c>
      <c r="AB2383" t="s">
        <v>12520</v>
      </c>
      <c r="AC2383" t="s">
        <v>12521</v>
      </c>
      <c r="AE2383" t="s">
        <v>629</v>
      </c>
      <c r="AF2383" t="s">
        <v>19345</v>
      </c>
      <c r="AH2383" t="s">
        <v>7267</v>
      </c>
      <c r="AI2383" t="s">
        <v>1776</v>
      </c>
      <c r="AJ2383" s="8" t="str">
        <f>"08723"</f>
        <v>08723</v>
      </c>
      <c r="AK2383" t="s">
        <v>118</v>
      </c>
      <c r="AM2383" s="10">
        <v>17322625200</v>
      </c>
      <c r="AO2383" t="s">
        <v>12522</v>
      </c>
      <c r="AP2383" t="s">
        <v>121</v>
      </c>
      <c r="AQ2383" t="s">
        <v>1771</v>
      </c>
      <c r="AR2383" t="s">
        <v>1772</v>
      </c>
      <c r="AS2383" t="s">
        <v>1410</v>
      </c>
      <c r="AT2383" t="s">
        <v>1773</v>
      </c>
      <c r="AU2383" t="s">
        <v>1774</v>
      </c>
      <c r="AV2383" t="s">
        <v>1775</v>
      </c>
      <c r="AW2383" t="s">
        <v>1776</v>
      </c>
      <c r="AX2383" s="8" t="str">
        <f>"08034"</f>
        <v>08034</v>
      </c>
      <c r="AY2383" t="s">
        <v>118</v>
      </c>
      <c r="AZ2383" t="s">
        <v>1777</v>
      </c>
      <c r="BA2383" s="10">
        <v>18562819750</v>
      </c>
      <c r="BC2383" t="s">
        <v>1778</v>
      </c>
      <c r="BD2383" t="s">
        <v>1779</v>
      </c>
      <c r="BE2383" t="s">
        <v>1776</v>
      </c>
      <c r="BF2383" t="s">
        <v>1780</v>
      </c>
      <c r="BG2383" t="s">
        <v>1776</v>
      </c>
      <c r="BH2383" s="1">
        <v>45158.833333333336</v>
      </c>
      <c r="BI2383">
        <v>35</v>
      </c>
      <c r="BJ2383">
        <v>0</v>
      </c>
      <c r="BK2383">
        <v>7</v>
      </c>
      <c r="BL2383">
        <v>7</v>
      </c>
      <c r="BM2383">
        <v>7</v>
      </c>
      <c r="BN2383">
        <v>7</v>
      </c>
      <c r="BO2383">
        <v>7</v>
      </c>
      <c r="BP2383">
        <v>0</v>
      </c>
      <c r="BQ2383" t="str">
        <f>"8:00 AM"</f>
        <v>8:00 AM</v>
      </c>
      <c r="BR2383" t="str">
        <f>"4:00 PM"</f>
        <v>4:00 PM</v>
      </c>
      <c r="BS2383" t="s">
        <v>131</v>
      </c>
      <c r="BT2383">
        <v>0</v>
      </c>
      <c r="BU2383">
        <v>0</v>
      </c>
      <c r="BV2383" t="s">
        <v>114</v>
      </c>
      <c r="BX2383" s="2" t="s">
        <v>19346</v>
      </c>
      <c r="BY2383" t="s">
        <v>19345</v>
      </c>
      <c r="CA2383" t="s">
        <v>7267</v>
      </c>
      <c r="CB2383" t="s">
        <v>1776</v>
      </c>
      <c r="CC2383" s="8" t="str">
        <f>"08723"</f>
        <v>08723</v>
      </c>
      <c r="CD2383" t="s">
        <v>4965</v>
      </c>
      <c r="CE2383" t="s">
        <v>1418</v>
      </c>
      <c r="CF2383" s="12">
        <v>24.01</v>
      </c>
      <c r="CG2383" s="12">
        <v>24.01</v>
      </c>
      <c r="CH2383" s="12">
        <v>36.020000000000003</v>
      </c>
      <c r="CI2383" s="12">
        <v>36.020000000000003</v>
      </c>
      <c r="CJ2383" t="s">
        <v>135</v>
      </c>
      <c r="CK2383" t="s">
        <v>6978</v>
      </c>
      <c r="CL2383" t="s">
        <v>19347</v>
      </c>
      <c r="CO2383" t="s">
        <v>132</v>
      </c>
      <c r="CP2383" t="s">
        <v>136</v>
      </c>
      <c r="CQ2383" t="s">
        <v>136</v>
      </c>
      <c r="CR2383" t="s">
        <v>136</v>
      </c>
      <c r="CS2383" t="s">
        <v>136</v>
      </c>
      <c r="CT2383" t="s">
        <v>136</v>
      </c>
      <c r="CU2383" t="s">
        <v>114</v>
      </c>
      <c r="CV2383" t="s">
        <v>131</v>
      </c>
      <c r="CW2383" s="10" t="str">
        <f>"+17322625200"</f>
        <v>+17322625200</v>
      </c>
      <c r="CX2383" t="s">
        <v>12522</v>
      </c>
      <c r="CY2383" t="s">
        <v>132</v>
      </c>
      <c r="CZ2383" t="s">
        <v>137</v>
      </c>
      <c r="DA2383" t="s">
        <v>114</v>
      </c>
      <c r="DB2383" t="s">
        <v>136</v>
      </c>
      <c r="DC2383" t="s">
        <v>136</v>
      </c>
      <c r="DD2383" t="s">
        <v>114</v>
      </c>
    </row>
    <row r="2384" spans="1:113" ht="15" customHeight="1" x14ac:dyDescent="0.25">
      <c r="A2384" t="s">
        <v>11431</v>
      </c>
      <c r="B2384" t="s">
        <v>368</v>
      </c>
      <c r="C2384" s="1">
        <v>45125.405300578706</v>
      </c>
      <c r="D2384" s="1">
        <v>45215</v>
      </c>
      <c r="E2384" t="s">
        <v>114</v>
      </c>
      <c r="F2384" t="s">
        <v>1595</v>
      </c>
      <c r="G2384" t="str">
        <f>"37-3011.00"</f>
        <v>37-3011.00</v>
      </c>
      <c r="H2384" t="s">
        <v>429</v>
      </c>
      <c r="I2384">
        <v>10</v>
      </c>
      <c r="K2384" s="1">
        <v>45200</v>
      </c>
      <c r="L2384" s="1">
        <v>45291</v>
      </c>
      <c r="O2384" t="s">
        <v>116</v>
      </c>
      <c r="P2384" t="s">
        <v>11432</v>
      </c>
      <c r="R2384" t="s">
        <v>11433</v>
      </c>
      <c r="T2384" t="s">
        <v>11434</v>
      </c>
      <c r="U2384" t="s">
        <v>127</v>
      </c>
      <c r="V2384" s="8" t="str">
        <f>"75474"</f>
        <v>75474</v>
      </c>
      <c r="W2384" t="s">
        <v>118</v>
      </c>
      <c r="Y2384" s="10">
        <v>12148862182</v>
      </c>
      <c r="AA2384">
        <v>5617</v>
      </c>
      <c r="AB2384" t="s">
        <v>11435</v>
      </c>
      <c r="AC2384" t="s">
        <v>11436</v>
      </c>
      <c r="AE2384" t="s">
        <v>561</v>
      </c>
      <c r="AF2384" t="s">
        <v>11437</v>
      </c>
      <c r="AH2384" t="s">
        <v>11434</v>
      </c>
      <c r="AI2384" t="s">
        <v>127</v>
      </c>
      <c r="AJ2384" s="8" t="str">
        <f>"75474"</f>
        <v>75474</v>
      </c>
      <c r="AK2384" t="s">
        <v>118</v>
      </c>
      <c r="AM2384" s="10">
        <v>12148862182</v>
      </c>
      <c r="AO2384" t="s">
        <v>132</v>
      </c>
      <c r="AP2384" t="s">
        <v>248</v>
      </c>
      <c r="AQ2384" t="s">
        <v>2101</v>
      </c>
      <c r="AR2384" t="s">
        <v>2309</v>
      </c>
      <c r="AT2384" t="s">
        <v>2883</v>
      </c>
      <c r="AV2384" t="s">
        <v>2884</v>
      </c>
      <c r="AW2384" t="s">
        <v>127</v>
      </c>
      <c r="AX2384" s="8" t="str">
        <f>"75442"</f>
        <v>75442</v>
      </c>
      <c r="AY2384" t="s">
        <v>118</v>
      </c>
      <c r="BA2384" s="10">
        <v>14692388392</v>
      </c>
      <c r="BC2384" t="s">
        <v>3257</v>
      </c>
      <c r="BD2384" t="s">
        <v>2886</v>
      </c>
      <c r="BG2384" t="s">
        <v>127</v>
      </c>
      <c r="BH2384" s="1">
        <v>45124.833333333336</v>
      </c>
      <c r="BI2384">
        <v>40</v>
      </c>
      <c r="BJ2384">
        <v>0</v>
      </c>
      <c r="BK2384">
        <v>8</v>
      </c>
      <c r="BL2384">
        <v>8</v>
      </c>
      <c r="BM2384">
        <v>8</v>
      </c>
      <c r="BN2384">
        <v>8</v>
      </c>
      <c r="BO2384">
        <v>8</v>
      </c>
      <c r="BP2384">
        <v>0</v>
      </c>
      <c r="BQ2384" t="str">
        <f>"8:00 AM"</f>
        <v>8:00 AM</v>
      </c>
      <c r="BR2384" t="str">
        <f>"5:00 PM"</f>
        <v>5:00 PM</v>
      </c>
      <c r="BS2384" t="s">
        <v>131</v>
      </c>
      <c r="BT2384">
        <v>0</v>
      </c>
      <c r="BU2384">
        <v>0</v>
      </c>
      <c r="BV2384" t="s">
        <v>114</v>
      </c>
      <c r="BX2384" t="s">
        <v>131</v>
      </c>
      <c r="BY2384" t="s">
        <v>11433</v>
      </c>
      <c r="CA2384" t="s">
        <v>11434</v>
      </c>
      <c r="CB2384" t="s">
        <v>127</v>
      </c>
      <c r="CC2384" s="8" t="str">
        <f>"75474"</f>
        <v>75474</v>
      </c>
      <c r="CD2384" t="s">
        <v>11438</v>
      </c>
      <c r="CE2384" t="s">
        <v>263</v>
      </c>
      <c r="CF2384" s="12">
        <v>16.3</v>
      </c>
      <c r="CH2384" s="12">
        <v>24.46</v>
      </c>
      <c r="CJ2384" t="s">
        <v>135</v>
      </c>
      <c r="CK2384" t="s">
        <v>2888</v>
      </c>
      <c r="CL2384" t="s">
        <v>11439</v>
      </c>
      <c r="CO2384" t="s">
        <v>132</v>
      </c>
      <c r="CP2384" t="s">
        <v>136</v>
      </c>
      <c r="CQ2384" t="s">
        <v>136</v>
      </c>
      <c r="CR2384" t="s">
        <v>136</v>
      </c>
      <c r="CS2384" t="s">
        <v>136</v>
      </c>
      <c r="CT2384" t="s">
        <v>136</v>
      </c>
      <c r="CU2384" t="s">
        <v>114</v>
      </c>
      <c r="CV2384" t="s">
        <v>11440</v>
      </c>
      <c r="CW2384" s="10" t="str">
        <f>"+12148862182"</f>
        <v>+12148862182</v>
      </c>
      <c r="CX2384" t="s">
        <v>11441</v>
      </c>
      <c r="CY2384" t="s">
        <v>132</v>
      </c>
      <c r="CZ2384" t="s">
        <v>137</v>
      </c>
      <c r="DA2384" t="s">
        <v>114</v>
      </c>
      <c r="DB2384" t="s">
        <v>114</v>
      </c>
      <c r="DC2384" t="s">
        <v>136</v>
      </c>
      <c r="DD2384" t="s">
        <v>114</v>
      </c>
    </row>
    <row r="2385" spans="1:113" ht="15" customHeight="1" x14ac:dyDescent="0.25">
      <c r="A2385" t="s">
        <v>6163</v>
      </c>
      <c r="B2385" t="s">
        <v>368</v>
      </c>
      <c r="C2385" s="1">
        <v>45141.368953703706</v>
      </c>
      <c r="D2385" s="1">
        <v>45212</v>
      </c>
      <c r="E2385" t="s">
        <v>114</v>
      </c>
      <c r="F2385" t="s">
        <v>6164</v>
      </c>
      <c r="G2385" t="str">
        <f>"53-7064.00"</f>
        <v>53-7064.00</v>
      </c>
      <c r="H2385" t="s">
        <v>3138</v>
      </c>
      <c r="I2385">
        <v>45</v>
      </c>
      <c r="K2385" s="1">
        <v>45231</v>
      </c>
      <c r="L2385" s="1">
        <v>45473</v>
      </c>
      <c r="O2385" t="s">
        <v>116</v>
      </c>
      <c r="P2385" t="s">
        <v>6165</v>
      </c>
      <c r="R2385" t="s">
        <v>6166</v>
      </c>
      <c r="S2385" t="s">
        <v>6167</v>
      </c>
      <c r="T2385" t="s">
        <v>1810</v>
      </c>
      <c r="U2385" t="s">
        <v>140</v>
      </c>
      <c r="V2385" s="8" t="str">
        <f>"32011"</f>
        <v>32011</v>
      </c>
      <c r="W2385" t="s">
        <v>118</v>
      </c>
      <c r="Y2385" s="10">
        <v>19048792180</v>
      </c>
      <c r="AA2385">
        <v>32199</v>
      </c>
      <c r="AB2385" t="s">
        <v>6168</v>
      </c>
      <c r="AC2385" t="s">
        <v>508</v>
      </c>
      <c r="AD2385" t="s">
        <v>3749</v>
      </c>
      <c r="AE2385" t="s">
        <v>120</v>
      </c>
      <c r="AF2385" t="s">
        <v>6169</v>
      </c>
      <c r="AG2385" t="s">
        <v>6170</v>
      </c>
      <c r="AH2385" t="s">
        <v>1810</v>
      </c>
      <c r="AI2385" t="s">
        <v>140</v>
      </c>
      <c r="AJ2385" s="8" t="str">
        <f>"32011"</f>
        <v>32011</v>
      </c>
      <c r="AK2385" t="s">
        <v>118</v>
      </c>
      <c r="AM2385" s="10">
        <v>19048792180</v>
      </c>
      <c r="AO2385" t="s">
        <v>6171</v>
      </c>
      <c r="AP2385" t="s">
        <v>248</v>
      </c>
      <c r="AQ2385" t="s">
        <v>1860</v>
      </c>
      <c r="AR2385" t="s">
        <v>1861</v>
      </c>
      <c r="AS2385" t="s">
        <v>1862</v>
      </c>
      <c r="AT2385" t="s">
        <v>1863</v>
      </c>
      <c r="AU2385" t="s">
        <v>1864</v>
      </c>
      <c r="AV2385" t="s">
        <v>1865</v>
      </c>
      <c r="AW2385" t="s">
        <v>581</v>
      </c>
      <c r="AX2385" s="8" t="str">
        <f>"24521"</f>
        <v>24521</v>
      </c>
      <c r="AY2385" t="s">
        <v>118</v>
      </c>
      <c r="BA2385" s="10">
        <v>14349460035</v>
      </c>
      <c r="BB2385">
        <v>11</v>
      </c>
      <c r="BC2385" t="s">
        <v>1866</v>
      </c>
      <c r="BD2385" t="s">
        <v>1867</v>
      </c>
      <c r="BG2385" t="s">
        <v>140</v>
      </c>
      <c r="BH2385" s="1">
        <v>45140.833333333336</v>
      </c>
      <c r="BI2385">
        <v>56</v>
      </c>
      <c r="BJ2385">
        <v>8</v>
      </c>
      <c r="BK2385">
        <v>8</v>
      </c>
      <c r="BL2385">
        <v>8</v>
      </c>
      <c r="BM2385">
        <v>8</v>
      </c>
      <c r="BN2385">
        <v>8</v>
      </c>
      <c r="BO2385">
        <v>8</v>
      </c>
      <c r="BP2385">
        <v>8</v>
      </c>
      <c r="BQ2385" t="str">
        <f>"7:00 AM"</f>
        <v>7:00 AM</v>
      </c>
      <c r="BR2385" t="str">
        <f>"7:00 AM"</f>
        <v>7:00 AM</v>
      </c>
      <c r="BS2385" t="s">
        <v>131</v>
      </c>
      <c r="BT2385">
        <v>0</v>
      </c>
      <c r="BU2385">
        <v>0</v>
      </c>
      <c r="BV2385" t="s">
        <v>114</v>
      </c>
      <c r="BX2385" s="2" t="s">
        <v>6172</v>
      </c>
      <c r="BY2385" t="s">
        <v>6169</v>
      </c>
      <c r="CA2385" t="s">
        <v>1810</v>
      </c>
      <c r="CB2385" t="s">
        <v>140</v>
      </c>
      <c r="CC2385" s="8" t="str">
        <f>"32011"</f>
        <v>32011</v>
      </c>
      <c r="CD2385" t="s">
        <v>2352</v>
      </c>
      <c r="CE2385" t="s">
        <v>3596</v>
      </c>
      <c r="CF2385" s="12">
        <v>12.62</v>
      </c>
      <c r="CG2385" s="12">
        <v>12.62</v>
      </c>
      <c r="CH2385" s="12">
        <v>18.93</v>
      </c>
      <c r="CI2385" s="12">
        <v>18.93</v>
      </c>
      <c r="CJ2385" t="s">
        <v>135</v>
      </c>
      <c r="CK2385" t="s">
        <v>1870</v>
      </c>
      <c r="CL2385" t="s">
        <v>6173</v>
      </c>
      <c r="CO2385" t="s">
        <v>132</v>
      </c>
      <c r="CP2385" t="s">
        <v>136</v>
      </c>
      <c r="CQ2385" t="s">
        <v>136</v>
      </c>
      <c r="CR2385" t="s">
        <v>136</v>
      </c>
      <c r="CS2385" t="s">
        <v>114</v>
      </c>
      <c r="CT2385" t="s">
        <v>136</v>
      </c>
      <c r="CU2385" t="s">
        <v>136</v>
      </c>
      <c r="CV2385" t="s">
        <v>6174</v>
      </c>
      <c r="CW2385" s="10" t="str">
        <f>"+19048792180"</f>
        <v>+19048792180</v>
      </c>
      <c r="CX2385" t="s">
        <v>132</v>
      </c>
      <c r="CY2385" t="s">
        <v>6175</v>
      </c>
      <c r="CZ2385" t="s">
        <v>137</v>
      </c>
      <c r="DA2385" t="s">
        <v>114</v>
      </c>
      <c r="DB2385" t="s">
        <v>136</v>
      </c>
      <c r="DC2385" t="s">
        <v>136</v>
      </c>
      <c r="DD2385" t="s">
        <v>114</v>
      </c>
    </row>
    <row r="2386" spans="1:113" ht="15" customHeight="1" x14ac:dyDescent="0.25">
      <c r="A2386" t="s">
        <v>21702</v>
      </c>
      <c r="B2386" t="s">
        <v>368</v>
      </c>
      <c r="C2386" s="1">
        <v>45211.568648263892</v>
      </c>
      <c r="D2386" s="1">
        <v>45211</v>
      </c>
      <c r="E2386" t="s">
        <v>132</v>
      </c>
      <c r="F2386" t="s">
        <v>2491</v>
      </c>
      <c r="G2386" t="str">
        <f>"35-2021.00"</f>
        <v>35-2021.00</v>
      </c>
      <c r="H2386" t="s">
        <v>2303</v>
      </c>
      <c r="I2386">
        <v>4</v>
      </c>
      <c r="K2386" s="1">
        <v>45286</v>
      </c>
      <c r="L2386" s="1">
        <v>45535</v>
      </c>
      <c r="O2386" t="s">
        <v>116</v>
      </c>
      <c r="P2386" t="s">
        <v>2492</v>
      </c>
      <c r="Q2386" t="s">
        <v>2493</v>
      </c>
      <c r="R2386" t="s">
        <v>2494</v>
      </c>
      <c r="T2386" t="s">
        <v>2495</v>
      </c>
      <c r="U2386" t="s">
        <v>140</v>
      </c>
      <c r="V2386" s="8" t="str">
        <f>"34952"</f>
        <v>34952</v>
      </c>
      <c r="W2386" t="s">
        <v>118</v>
      </c>
      <c r="Y2386" s="10">
        <v>17723985100</v>
      </c>
      <c r="AA2386">
        <v>721110</v>
      </c>
      <c r="AB2386" t="s">
        <v>2496</v>
      </c>
      <c r="AC2386" t="s">
        <v>2497</v>
      </c>
      <c r="AE2386" t="s">
        <v>2498</v>
      </c>
      <c r="AF2386" t="s">
        <v>2494</v>
      </c>
      <c r="AH2386" t="s">
        <v>2495</v>
      </c>
      <c r="AI2386" t="s">
        <v>140</v>
      </c>
      <c r="AJ2386" s="8" t="str">
        <f>"34952"</f>
        <v>34952</v>
      </c>
      <c r="AK2386" t="s">
        <v>118</v>
      </c>
      <c r="AM2386" s="10">
        <v>19545543992</v>
      </c>
      <c r="AO2386" t="s">
        <v>2499</v>
      </c>
      <c r="AP2386" t="s">
        <v>121</v>
      </c>
      <c r="AQ2386" t="s">
        <v>1736</v>
      </c>
      <c r="AR2386" t="s">
        <v>1737</v>
      </c>
      <c r="AS2386" t="s">
        <v>1738</v>
      </c>
      <c r="AT2386" t="s">
        <v>1739</v>
      </c>
      <c r="AV2386" t="s">
        <v>1740</v>
      </c>
      <c r="AW2386" t="s">
        <v>543</v>
      </c>
      <c r="AX2386" s="8" t="str">
        <f>"44087"</f>
        <v>44087</v>
      </c>
      <c r="AY2386" t="s">
        <v>118</v>
      </c>
      <c r="BA2386" s="10">
        <v>13307154491</v>
      </c>
      <c r="BC2386" t="s">
        <v>1741</v>
      </c>
      <c r="BD2386" t="s">
        <v>1742</v>
      </c>
      <c r="BE2386" t="s">
        <v>543</v>
      </c>
      <c r="BF2386" t="s">
        <v>2506</v>
      </c>
      <c r="BG2386" t="s">
        <v>140</v>
      </c>
      <c r="BH2386" s="1">
        <v>45210.833333333336</v>
      </c>
      <c r="BI2386">
        <v>40</v>
      </c>
      <c r="BJ2386">
        <v>0</v>
      </c>
      <c r="BK2386">
        <v>0</v>
      </c>
      <c r="BL2386">
        <v>8</v>
      </c>
      <c r="BM2386">
        <v>8</v>
      </c>
      <c r="BN2386">
        <v>8</v>
      </c>
      <c r="BO2386">
        <v>8</v>
      </c>
      <c r="BP2386">
        <v>8</v>
      </c>
      <c r="BQ2386" t="str">
        <f>"7:30 AM"</f>
        <v>7:30 AM</v>
      </c>
      <c r="BR2386" t="str">
        <f>"3:30 PM"</f>
        <v>3:30 PM</v>
      </c>
      <c r="BS2386" t="s">
        <v>131</v>
      </c>
      <c r="BT2386">
        <v>0</v>
      </c>
      <c r="BU2386">
        <v>0</v>
      </c>
      <c r="BV2386" t="s">
        <v>114</v>
      </c>
      <c r="BX2386" s="2" t="s">
        <v>21703</v>
      </c>
      <c r="BY2386" t="s">
        <v>2494</v>
      </c>
      <c r="CA2386" t="s">
        <v>2495</v>
      </c>
      <c r="CB2386" t="s">
        <v>140</v>
      </c>
      <c r="CC2386" s="8" t="str">
        <f>"34952"</f>
        <v>34952</v>
      </c>
      <c r="CD2386" t="s">
        <v>2508</v>
      </c>
      <c r="CE2386" t="s">
        <v>696</v>
      </c>
      <c r="CF2386" s="12">
        <v>14.68</v>
      </c>
      <c r="CG2386" s="12">
        <v>14.68</v>
      </c>
      <c r="CH2386" s="12">
        <v>22.02</v>
      </c>
      <c r="CI2386" s="12">
        <v>22.02</v>
      </c>
      <c r="CJ2386" t="s">
        <v>135</v>
      </c>
      <c r="CK2386" t="s">
        <v>19296</v>
      </c>
      <c r="CL2386" t="s">
        <v>2510</v>
      </c>
      <c r="CO2386" t="s">
        <v>132</v>
      </c>
      <c r="CP2386" t="s">
        <v>114</v>
      </c>
      <c r="CQ2386" t="s">
        <v>136</v>
      </c>
      <c r="CR2386" t="s">
        <v>136</v>
      </c>
      <c r="CS2386" t="s">
        <v>136</v>
      </c>
      <c r="CT2386" t="s">
        <v>136</v>
      </c>
      <c r="CU2386" t="s">
        <v>136</v>
      </c>
      <c r="CV2386" t="s">
        <v>21704</v>
      </c>
      <c r="CW2386" s="10" t="str">
        <f>"+19545543992"</f>
        <v>+19545543992</v>
      </c>
      <c r="CX2386" t="s">
        <v>2499</v>
      </c>
      <c r="CY2386" t="s">
        <v>796</v>
      </c>
      <c r="CZ2386" t="s">
        <v>137</v>
      </c>
      <c r="DA2386" t="s">
        <v>114</v>
      </c>
      <c r="DB2386" t="s">
        <v>136</v>
      </c>
      <c r="DC2386" t="s">
        <v>136</v>
      </c>
      <c r="DD2386" t="s">
        <v>114</v>
      </c>
    </row>
    <row r="2387" spans="1:113" ht="15" customHeight="1" x14ac:dyDescent="0.25">
      <c r="A2387" t="s">
        <v>19531</v>
      </c>
      <c r="B2387" t="s">
        <v>368</v>
      </c>
      <c r="C2387" s="1">
        <v>45205.265372569447</v>
      </c>
      <c r="D2387" s="1">
        <v>45210</v>
      </c>
      <c r="E2387" t="s">
        <v>132</v>
      </c>
      <c r="F2387" t="s">
        <v>665</v>
      </c>
      <c r="G2387" t="str">
        <f>"37-3013.00"</f>
        <v>37-3013.00</v>
      </c>
      <c r="H2387" t="s">
        <v>666</v>
      </c>
      <c r="I2387">
        <v>50</v>
      </c>
      <c r="K2387" s="1">
        <v>45295</v>
      </c>
      <c r="L2387" s="1">
        <v>45600</v>
      </c>
      <c r="O2387" t="s">
        <v>116</v>
      </c>
      <c r="P2387" t="s">
        <v>16094</v>
      </c>
      <c r="R2387" t="s">
        <v>668</v>
      </c>
      <c r="T2387" t="s">
        <v>669</v>
      </c>
      <c r="U2387" t="s">
        <v>127</v>
      </c>
      <c r="V2387" s="8" t="str">
        <f>"77598"</f>
        <v>77598</v>
      </c>
      <c r="W2387" t="s">
        <v>118</v>
      </c>
      <c r="Y2387" s="10">
        <v>12812801100</v>
      </c>
      <c r="AA2387">
        <v>56173</v>
      </c>
      <c r="AB2387" t="s">
        <v>670</v>
      </c>
      <c r="AC2387" t="s">
        <v>671</v>
      </c>
      <c r="AE2387" t="s">
        <v>405</v>
      </c>
      <c r="AF2387" t="s">
        <v>668</v>
      </c>
      <c r="AH2387" t="s">
        <v>669</v>
      </c>
      <c r="AI2387" t="s">
        <v>127</v>
      </c>
      <c r="AJ2387" s="8" t="str">
        <f>"77598"</f>
        <v>77598</v>
      </c>
      <c r="AK2387" t="s">
        <v>118</v>
      </c>
      <c r="AM2387" s="10">
        <v>12812801100</v>
      </c>
      <c r="AO2387" t="s">
        <v>672</v>
      </c>
      <c r="AP2387" t="s">
        <v>248</v>
      </c>
      <c r="AQ2387" t="s">
        <v>673</v>
      </c>
      <c r="AR2387" t="s">
        <v>674</v>
      </c>
      <c r="AT2387" t="s">
        <v>579</v>
      </c>
      <c r="AV2387" t="s">
        <v>580</v>
      </c>
      <c r="AW2387" t="s">
        <v>581</v>
      </c>
      <c r="AX2387" s="8" t="str">
        <f>"22903"</f>
        <v>22903</v>
      </c>
      <c r="AY2387" t="s">
        <v>118</v>
      </c>
      <c r="BA2387" s="10">
        <v>14342634300</v>
      </c>
      <c r="BC2387" t="s">
        <v>675</v>
      </c>
      <c r="BD2387" t="s">
        <v>583</v>
      </c>
      <c r="BG2387" t="s">
        <v>543</v>
      </c>
      <c r="BH2387" s="1">
        <v>45204.833333333336</v>
      </c>
      <c r="BI2387">
        <v>40</v>
      </c>
      <c r="BJ2387">
        <v>0</v>
      </c>
      <c r="BK2387">
        <v>8</v>
      </c>
      <c r="BL2387">
        <v>8</v>
      </c>
      <c r="BM2387">
        <v>8</v>
      </c>
      <c r="BN2387">
        <v>8</v>
      </c>
      <c r="BO2387">
        <v>8</v>
      </c>
      <c r="BP2387">
        <v>0</v>
      </c>
      <c r="BQ2387" t="str">
        <f>"7:00 AM"</f>
        <v>7:00 AM</v>
      </c>
      <c r="BR2387" t="str">
        <f>"4:00 PM"</f>
        <v>4:00 PM</v>
      </c>
      <c r="BS2387" t="s">
        <v>131</v>
      </c>
      <c r="BT2387">
        <v>0</v>
      </c>
      <c r="BU2387">
        <v>0</v>
      </c>
      <c r="BV2387" t="s">
        <v>114</v>
      </c>
      <c r="BX2387" s="2" t="s">
        <v>676</v>
      </c>
      <c r="BY2387" t="s">
        <v>16095</v>
      </c>
      <c r="CA2387" t="s">
        <v>11209</v>
      </c>
      <c r="CB2387" t="s">
        <v>543</v>
      </c>
      <c r="CC2387" s="8" t="str">
        <f>"45102"</f>
        <v>45102</v>
      </c>
      <c r="CD2387" t="s">
        <v>8162</v>
      </c>
      <c r="CE2387" t="s">
        <v>3443</v>
      </c>
      <c r="CF2387" s="12">
        <v>21.65</v>
      </c>
      <c r="CH2387" s="12">
        <v>32.479999999999997</v>
      </c>
      <c r="CJ2387" t="s">
        <v>135</v>
      </c>
      <c r="CK2387" t="s">
        <v>590</v>
      </c>
      <c r="CL2387" t="s">
        <v>16565</v>
      </c>
      <c r="CO2387" t="s">
        <v>132</v>
      </c>
      <c r="CP2387" t="s">
        <v>136</v>
      </c>
      <c r="CQ2387" t="s">
        <v>114</v>
      </c>
      <c r="CR2387" t="s">
        <v>136</v>
      </c>
      <c r="CS2387" t="s">
        <v>136</v>
      </c>
      <c r="CT2387" t="s">
        <v>136</v>
      </c>
      <c r="CU2387" t="s">
        <v>136</v>
      </c>
      <c r="CV2387" t="s">
        <v>19532</v>
      </c>
      <c r="CW2387" s="10" t="str">
        <f>"N/A"</f>
        <v>N/A</v>
      </c>
      <c r="CX2387" t="s">
        <v>682</v>
      </c>
      <c r="CY2387" t="s">
        <v>2025</v>
      </c>
      <c r="CZ2387" t="s">
        <v>137</v>
      </c>
      <c r="DA2387" t="s">
        <v>114</v>
      </c>
      <c r="DB2387" t="s">
        <v>136</v>
      </c>
      <c r="DC2387" t="s">
        <v>136</v>
      </c>
      <c r="DD2387" t="s">
        <v>114</v>
      </c>
      <c r="DE2387" t="s">
        <v>673</v>
      </c>
      <c r="DF2387" t="s">
        <v>674</v>
      </c>
      <c r="DH2387" t="s">
        <v>583</v>
      </c>
      <c r="DI2387" t="s">
        <v>675</v>
      </c>
    </row>
    <row r="2388" spans="1:113" ht="15" customHeight="1" x14ac:dyDescent="0.25">
      <c r="A2388" t="s">
        <v>11442</v>
      </c>
      <c r="B2388" t="s">
        <v>368</v>
      </c>
      <c r="C2388" s="1">
        <v>45189.620034490741</v>
      </c>
      <c r="D2388" s="1">
        <v>45209</v>
      </c>
      <c r="E2388" t="s">
        <v>132</v>
      </c>
      <c r="F2388" t="s">
        <v>3992</v>
      </c>
      <c r="G2388" t="str">
        <f>"47-4051.00"</f>
        <v>47-4051.00</v>
      </c>
      <c r="H2388" t="s">
        <v>5632</v>
      </c>
      <c r="I2388">
        <v>3</v>
      </c>
      <c r="K2388" s="1">
        <v>45264</v>
      </c>
      <c r="L2388" s="1">
        <v>45382</v>
      </c>
      <c r="O2388" t="s">
        <v>238</v>
      </c>
      <c r="P2388" t="s">
        <v>11443</v>
      </c>
      <c r="R2388" t="s">
        <v>11444</v>
      </c>
      <c r="T2388" t="s">
        <v>2464</v>
      </c>
      <c r="U2388" t="s">
        <v>211</v>
      </c>
      <c r="V2388" s="8" t="str">
        <f>"84057"</f>
        <v>84057</v>
      </c>
      <c r="W2388" t="s">
        <v>118</v>
      </c>
      <c r="Y2388" s="10">
        <v>18012253456</v>
      </c>
      <c r="AA2388">
        <v>56173</v>
      </c>
      <c r="AB2388" t="s">
        <v>11445</v>
      </c>
      <c r="AC2388" t="s">
        <v>5545</v>
      </c>
      <c r="AE2388" t="s">
        <v>120</v>
      </c>
      <c r="AF2388" t="s">
        <v>11444</v>
      </c>
      <c r="AH2388" t="s">
        <v>2464</v>
      </c>
      <c r="AI2388" t="s">
        <v>211</v>
      </c>
      <c r="AJ2388" s="8" t="str">
        <f>"84057"</f>
        <v>84057</v>
      </c>
      <c r="AK2388" t="s">
        <v>118</v>
      </c>
      <c r="AM2388" s="10">
        <v>18012253456</v>
      </c>
      <c r="AO2388" t="s">
        <v>11446</v>
      </c>
      <c r="AP2388" t="s">
        <v>248</v>
      </c>
      <c r="AQ2388" t="s">
        <v>1700</v>
      </c>
      <c r="AR2388" t="s">
        <v>1701</v>
      </c>
      <c r="AT2388" t="s">
        <v>1702</v>
      </c>
      <c r="AV2388" t="s">
        <v>2467</v>
      </c>
      <c r="AW2388" t="s">
        <v>211</v>
      </c>
      <c r="AX2388" s="8" t="str">
        <f>"84059"</f>
        <v>84059</v>
      </c>
      <c r="AY2388" t="s">
        <v>118</v>
      </c>
      <c r="BA2388" s="10">
        <v>18013677097</v>
      </c>
      <c r="BC2388" t="s">
        <v>4601</v>
      </c>
      <c r="BD2388" t="s">
        <v>4602</v>
      </c>
      <c r="BG2388" t="s">
        <v>211</v>
      </c>
      <c r="BH2388" s="1">
        <v>45188.833333333336</v>
      </c>
      <c r="BI2388">
        <v>35</v>
      </c>
      <c r="BJ2388">
        <v>0</v>
      </c>
      <c r="BK2388">
        <v>7</v>
      </c>
      <c r="BL2388">
        <v>7</v>
      </c>
      <c r="BM2388">
        <v>7</v>
      </c>
      <c r="BN2388">
        <v>7</v>
      </c>
      <c r="BO2388">
        <v>7</v>
      </c>
      <c r="BP2388">
        <v>0</v>
      </c>
      <c r="BQ2388" t="str">
        <f>"8:00 AM"</f>
        <v>8:00 AM</v>
      </c>
      <c r="BR2388" t="str">
        <f>"3:30 PM"</f>
        <v>3:30 PM</v>
      </c>
      <c r="BS2388" t="s">
        <v>131</v>
      </c>
      <c r="BT2388">
        <v>0</v>
      </c>
      <c r="BU2388">
        <v>0</v>
      </c>
      <c r="BV2388" t="s">
        <v>114</v>
      </c>
      <c r="BX2388" s="2" t="s">
        <v>5221</v>
      </c>
      <c r="BY2388" t="s">
        <v>11447</v>
      </c>
      <c r="CA2388" t="s">
        <v>2464</v>
      </c>
      <c r="CB2388" t="s">
        <v>211</v>
      </c>
      <c r="CC2388" s="8" t="str">
        <f>"84058"</f>
        <v>84058</v>
      </c>
      <c r="CD2388" t="s">
        <v>2468</v>
      </c>
      <c r="CE2388" t="s">
        <v>2469</v>
      </c>
      <c r="CF2388" s="12">
        <v>23.15</v>
      </c>
      <c r="CH2388" s="12">
        <v>34.729999999999997</v>
      </c>
      <c r="CJ2388" t="s">
        <v>135</v>
      </c>
      <c r="CK2388" t="s">
        <v>4604</v>
      </c>
      <c r="CL2388" t="s">
        <v>11448</v>
      </c>
      <c r="CO2388" t="s">
        <v>132</v>
      </c>
      <c r="CP2388" t="s">
        <v>136</v>
      </c>
      <c r="CQ2388" t="s">
        <v>136</v>
      </c>
      <c r="CR2388" t="s">
        <v>136</v>
      </c>
      <c r="CS2388" t="s">
        <v>114</v>
      </c>
      <c r="CT2388" t="s">
        <v>136</v>
      </c>
      <c r="CU2388" t="s">
        <v>114</v>
      </c>
      <c r="CV2388" t="s">
        <v>2470</v>
      </c>
      <c r="CW2388" s="10" t="str">
        <f>"+18012253456"</f>
        <v>+18012253456</v>
      </c>
      <c r="CX2388" t="s">
        <v>11449</v>
      </c>
      <c r="CY2388" t="s">
        <v>132</v>
      </c>
      <c r="CZ2388" t="s">
        <v>137</v>
      </c>
      <c r="DA2388" t="s">
        <v>114</v>
      </c>
      <c r="DB2388" t="s">
        <v>114</v>
      </c>
      <c r="DC2388" t="s">
        <v>136</v>
      </c>
      <c r="DD2388" t="s">
        <v>114</v>
      </c>
    </row>
    <row r="2389" spans="1:113" ht="15" customHeight="1" x14ac:dyDescent="0.25">
      <c r="A2389" t="s">
        <v>14661</v>
      </c>
      <c r="B2389" t="s">
        <v>368</v>
      </c>
      <c r="C2389" s="1">
        <v>45157.646963310188</v>
      </c>
      <c r="D2389" s="1">
        <v>45209</v>
      </c>
      <c r="E2389" t="s">
        <v>114</v>
      </c>
      <c r="F2389" t="s">
        <v>14662</v>
      </c>
      <c r="G2389" t="str">
        <f>"25-3021.00"</f>
        <v>25-3021.00</v>
      </c>
      <c r="H2389" t="s">
        <v>720</v>
      </c>
      <c r="I2389">
        <v>3</v>
      </c>
      <c r="K2389" s="1">
        <v>45232</v>
      </c>
      <c r="L2389" s="1">
        <v>45403</v>
      </c>
      <c r="O2389" t="s">
        <v>238</v>
      </c>
      <c r="P2389" t="s">
        <v>14663</v>
      </c>
      <c r="R2389" t="s">
        <v>14664</v>
      </c>
      <c r="T2389" t="s">
        <v>14665</v>
      </c>
      <c r="U2389" t="s">
        <v>402</v>
      </c>
      <c r="V2389" s="8" t="str">
        <f>"95735"</f>
        <v>95735</v>
      </c>
      <c r="W2389" t="s">
        <v>118</v>
      </c>
      <c r="Y2389" s="10">
        <v>15305433188</v>
      </c>
      <c r="AA2389">
        <v>7139</v>
      </c>
      <c r="AB2389" t="s">
        <v>14666</v>
      </c>
      <c r="AC2389" t="s">
        <v>7845</v>
      </c>
      <c r="AD2389" t="s">
        <v>7795</v>
      </c>
      <c r="AE2389" t="s">
        <v>161</v>
      </c>
      <c r="AF2389" t="s">
        <v>14664</v>
      </c>
      <c r="AH2389" t="s">
        <v>14665</v>
      </c>
      <c r="AI2389" t="s">
        <v>402</v>
      </c>
      <c r="AJ2389" s="8" t="str">
        <f>"95735"</f>
        <v>95735</v>
      </c>
      <c r="AK2389" t="s">
        <v>118</v>
      </c>
      <c r="AM2389" s="10">
        <v>15305433188</v>
      </c>
      <c r="AO2389" t="s">
        <v>14667</v>
      </c>
      <c r="AX2389" s="8" t="str">
        <f>""</f>
        <v/>
      </c>
      <c r="BG2389" t="s">
        <v>402</v>
      </c>
      <c r="BH2389" s="1">
        <v>45122.833333333336</v>
      </c>
      <c r="BI2389">
        <v>35</v>
      </c>
      <c r="BJ2389">
        <v>7</v>
      </c>
      <c r="BK2389">
        <v>7</v>
      </c>
      <c r="BL2389">
        <v>7</v>
      </c>
      <c r="BM2389">
        <v>0</v>
      </c>
      <c r="BN2389">
        <v>0</v>
      </c>
      <c r="BO2389">
        <v>7</v>
      </c>
      <c r="BP2389">
        <v>7</v>
      </c>
      <c r="BQ2389" t="str">
        <f>"8:00 AM"</f>
        <v>8:00 AM</v>
      </c>
      <c r="BR2389" t="str">
        <f>"4:00 PM"</f>
        <v>4:00 PM</v>
      </c>
      <c r="BS2389" t="s">
        <v>147</v>
      </c>
      <c r="BT2389">
        <v>0</v>
      </c>
      <c r="BU2389">
        <v>16</v>
      </c>
      <c r="BV2389" t="s">
        <v>114</v>
      </c>
      <c r="BX2389" s="2" t="s">
        <v>14668</v>
      </c>
      <c r="BY2389" t="s">
        <v>14664</v>
      </c>
      <c r="CA2389" t="s">
        <v>14665</v>
      </c>
      <c r="CB2389" t="s">
        <v>402</v>
      </c>
      <c r="CC2389" s="8" t="str">
        <f>"95735"</f>
        <v>95735</v>
      </c>
      <c r="CD2389" t="s">
        <v>727</v>
      </c>
      <c r="CE2389" t="s">
        <v>728</v>
      </c>
      <c r="CF2389" s="12">
        <v>26.06</v>
      </c>
      <c r="CG2389" s="12">
        <v>26.06</v>
      </c>
      <c r="CH2389" s="12">
        <v>39.090000000000003</v>
      </c>
      <c r="CI2389" s="12">
        <v>39.090000000000003</v>
      </c>
      <c r="CJ2389" t="s">
        <v>135</v>
      </c>
      <c r="CL2389" t="s">
        <v>14669</v>
      </c>
      <c r="CO2389" t="s">
        <v>132</v>
      </c>
      <c r="CP2389" t="s">
        <v>114</v>
      </c>
      <c r="CQ2389" t="s">
        <v>114</v>
      </c>
      <c r="CR2389" t="s">
        <v>136</v>
      </c>
      <c r="CS2389" t="s">
        <v>114</v>
      </c>
      <c r="CT2389" t="s">
        <v>136</v>
      </c>
      <c r="CU2389" t="s">
        <v>114</v>
      </c>
      <c r="CV2389" t="s">
        <v>1789</v>
      </c>
      <c r="CW2389" s="10" t="str">
        <f>"+15305433188"</f>
        <v>+15305433188</v>
      </c>
      <c r="CX2389" t="s">
        <v>14667</v>
      </c>
      <c r="CY2389" t="s">
        <v>14670</v>
      </c>
      <c r="CZ2389" t="s">
        <v>137</v>
      </c>
      <c r="DA2389" t="s">
        <v>114</v>
      </c>
      <c r="DB2389" t="s">
        <v>114</v>
      </c>
      <c r="DC2389" t="s">
        <v>136</v>
      </c>
      <c r="DD2389" t="s">
        <v>114</v>
      </c>
    </row>
    <row r="2390" spans="1:113" ht="15" customHeight="1" x14ac:dyDescent="0.25">
      <c r="A2390" t="s">
        <v>21605</v>
      </c>
      <c r="B2390" t="s">
        <v>368</v>
      </c>
      <c r="C2390" s="1">
        <v>45208.575152662037</v>
      </c>
      <c r="D2390" s="1">
        <v>45208</v>
      </c>
      <c r="E2390" t="s">
        <v>132</v>
      </c>
      <c r="F2390" t="s">
        <v>3544</v>
      </c>
      <c r="G2390" t="str">
        <f>"51-3022.00"</f>
        <v>51-3022.00</v>
      </c>
      <c r="H2390" t="s">
        <v>1004</v>
      </c>
      <c r="I2390">
        <v>375</v>
      </c>
      <c r="K2390" s="1">
        <v>45292</v>
      </c>
      <c r="L2390" s="1">
        <v>45412</v>
      </c>
      <c r="O2390" t="s">
        <v>238</v>
      </c>
      <c r="P2390" t="s">
        <v>21606</v>
      </c>
      <c r="R2390" t="s">
        <v>21607</v>
      </c>
      <c r="S2390" t="s">
        <v>296</v>
      </c>
      <c r="T2390" t="s">
        <v>16191</v>
      </c>
      <c r="U2390" t="s">
        <v>792</v>
      </c>
      <c r="V2390" s="8" t="str">
        <f>"98052"</f>
        <v>98052</v>
      </c>
      <c r="W2390" t="s">
        <v>118</v>
      </c>
      <c r="Y2390" s="10">
        <v>14258818181</v>
      </c>
      <c r="AA2390">
        <v>31171</v>
      </c>
      <c r="AB2390" t="s">
        <v>21608</v>
      </c>
      <c r="AC2390" t="s">
        <v>21609</v>
      </c>
      <c r="AE2390" t="s">
        <v>405</v>
      </c>
      <c r="AF2390" t="s">
        <v>21607</v>
      </c>
      <c r="AG2390" t="s">
        <v>296</v>
      </c>
      <c r="AH2390" t="s">
        <v>16191</v>
      </c>
      <c r="AI2390" t="s">
        <v>792</v>
      </c>
      <c r="AJ2390" s="8" t="str">
        <f>"98052"</f>
        <v>98052</v>
      </c>
      <c r="AK2390" t="s">
        <v>118</v>
      </c>
      <c r="AM2390" s="10">
        <v>14258615245</v>
      </c>
      <c r="AO2390" t="s">
        <v>21610</v>
      </c>
      <c r="AP2390" t="s">
        <v>121</v>
      </c>
      <c r="AQ2390" t="s">
        <v>1978</v>
      </c>
      <c r="AR2390" t="s">
        <v>705</v>
      </c>
      <c r="AS2390" t="s">
        <v>1979</v>
      </c>
      <c r="AT2390" t="s">
        <v>3109</v>
      </c>
      <c r="AU2390" t="s">
        <v>1981</v>
      </c>
      <c r="AV2390" t="s">
        <v>2916</v>
      </c>
      <c r="AW2390" t="s">
        <v>1722</v>
      </c>
      <c r="AX2390" s="8" t="str">
        <f>"21117"</f>
        <v>21117</v>
      </c>
      <c r="AY2390" t="s">
        <v>118</v>
      </c>
      <c r="BA2390" s="10">
        <v>14435014240</v>
      </c>
      <c r="BC2390" t="s">
        <v>1982</v>
      </c>
      <c r="BD2390" t="s">
        <v>9671</v>
      </c>
      <c r="BE2390" t="s">
        <v>358</v>
      </c>
      <c r="BF2390" t="s">
        <v>1984</v>
      </c>
      <c r="BG2390" t="s">
        <v>2706</v>
      </c>
      <c r="BH2390" s="1">
        <v>45204.833333333336</v>
      </c>
      <c r="BI2390">
        <v>35</v>
      </c>
      <c r="BJ2390">
        <v>5</v>
      </c>
      <c r="BK2390">
        <v>5</v>
      </c>
      <c r="BL2390">
        <v>5</v>
      </c>
      <c r="BM2390">
        <v>5</v>
      </c>
      <c r="BN2390">
        <v>5</v>
      </c>
      <c r="BO2390">
        <v>5</v>
      </c>
      <c r="BP2390">
        <v>5</v>
      </c>
      <c r="BQ2390" t="str">
        <f>"6:00 AM"</f>
        <v>6:00 AM</v>
      </c>
      <c r="BR2390" t="str">
        <f>"6:00 PM"</f>
        <v>6:00 PM</v>
      </c>
      <c r="BS2390" t="s">
        <v>131</v>
      </c>
      <c r="BT2390">
        <v>0</v>
      </c>
      <c r="BU2390">
        <v>0</v>
      </c>
      <c r="BV2390" t="s">
        <v>114</v>
      </c>
      <c r="BX2390" s="2" t="s">
        <v>21611</v>
      </c>
      <c r="BY2390" t="s">
        <v>16198</v>
      </c>
      <c r="CA2390" t="s">
        <v>16199</v>
      </c>
      <c r="CB2390" t="s">
        <v>2706</v>
      </c>
      <c r="CC2390" s="8" t="str">
        <f>"99692"</f>
        <v>99692</v>
      </c>
      <c r="CD2390" t="s">
        <v>16200</v>
      </c>
      <c r="CE2390" t="s">
        <v>2714</v>
      </c>
      <c r="CF2390" s="12">
        <v>17.149999999999999</v>
      </c>
      <c r="CH2390" s="12">
        <v>25.73</v>
      </c>
      <c r="CJ2390" t="s">
        <v>135</v>
      </c>
      <c r="CK2390" t="s">
        <v>21612</v>
      </c>
      <c r="CL2390" t="s">
        <v>21613</v>
      </c>
      <c r="CO2390" t="s">
        <v>132</v>
      </c>
      <c r="CP2390" t="s">
        <v>114</v>
      </c>
      <c r="CQ2390" t="s">
        <v>136</v>
      </c>
      <c r="CR2390" t="s">
        <v>136</v>
      </c>
      <c r="CS2390" t="s">
        <v>136</v>
      </c>
      <c r="CT2390" t="s">
        <v>136</v>
      </c>
      <c r="CU2390" t="s">
        <v>136</v>
      </c>
      <c r="CV2390" t="s">
        <v>21614</v>
      </c>
      <c r="CW2390" s="10" t="str">
        <f>"+14258818181"</f>
        <v>+14258818181</v>
      </c>
      <c r="CX2390" t="s">
        <v>21615</v>
      </c>
      <c r="CY2390" t="s">
        <v>21616</v>
      </c>
      <c r="CZ2390" t="s">
        <v>137</v>
      </c>
      <c r="DA2390" t="s">
        <v>114</v>
      </c>
      <c r="DB2390" t="s">
        <v>136</v>
      </c>
      <c r="DC2390" t="s">
        <v>136</v>
      </c>
      <c r="DD2390" t="s">
        <v>114</v>
      </c>
    </row>
    <row r="2391" spans="1:113" ht="15" customHeight="1" x14ac:dyDescent="0.25">
      <c r="A2391" t="s">
        <v>17115</v>
      </c>
      <c r="B2391" t="s">
        <v>368</v>
      </c>
      <c r="C2391" s="1">
        <v>45150.604663078702</v>
      </c>
      <c r="D2391" s="1">
        <v>45208</v>
      </c>
      <c r="E2391" t="s">
        <v>114</v>
      </c>
      <c r="F2391" t="s">
        <v>17116</v>
      </c>
      <c r="G2391" t="str">
        <f>"53-3032.00"</f>
        <v>53-3032.00</v>
      </c>
      <c r="H2391" t="s">
        <v>736</v>
      </c>
      <c r="I2391">
        <v>4</v>
      </c>
      <c r="K2391" s="1">
        <v>45225</v>
      </c>
      <c r="L2391" s="1">
        <v>45367</v>
      </c>
      <c r="O2391" t="s">
        <v>238</v>
      </c>
      <c r="P2391" t="s">
        <v>17117</v>
      </c>
      <c r="R2391" t="s">
        <v>17118</v>
      </c>
      <c r="T2391" t="s">
        <v>17119</v>
      </c>
      <c r="U2391" t="s">
        <v>402</v>
      </c>
      <c r="V2391" s="8" t="str">
        <f>"93015"</f>
        <v>93015</v>
      </c>
      <c r="W2391" t="s">
        <v>118</v>
      </c>
      <c r="Y2391" s="10">
        <v>18055240446</v>
      </c>
      <c r="AA2391">
        <v>115115</v>
      </c>
      <c r="AB2391" t="s">
        <v>2731</v>
      </c>
      <c r="AC2391" t="s">
        <v>3730</v>
      </c>
      <c r="AE2391" t="s">
        <v>161</v>
      </c>
      <c r="AF2391" t="s">
        <v>17118</v>
      </c>
      <c r="AH2391" t="s">
        <v>17119</v>
      </c>
      <c r="AI2391" t="s">
        <v>402</v>
      </c>
      <c r="AJ2391" s="8" t="str">
        <f>"93015"</f>
        <v>93015</v>
      </c>
      <c r="AK2391" t="s">
        <v>118</v>
      </c>
      <c r="AM2391" s="10">
        <v>18055240446</v>
      </c>
      <c r="AO2391" t="s">
        <v>17120</v>
      </c>
      <c r="AP2391" t="s">
        <v>248</v>
      </c>
      <c r="AQ2391" t="s">
        <v>9812</v>
      </c>
      <c r="AR2391" t="s">
        <v>2237</v>
      </c>
      <c r="AT2391" t="s">
        <v>17121</v>
      </c>
      <c r="AV2391" t="s">
        <v>14080</v>
      </c>
      <c r="AW2391" t="s">
        <v>479</v>
      </c>
      <c r="AX2391" s="8" t="str">
        <f>"97008"</f>
        <v>97008</v>
      </c>
      <c r="AY2391" t="s">
        <v>118</v>
      </c>
      <c r="BA2391" s="10">
        <v>19034946163</v>
      </c>
      <c r="BC2391" t="s">
        <v>17122</v>
      </c>
      <c r="BD2391" t="s">
        <v>17123</v>
      </c>
      <c r="BG2391" t="s">
        <v>402</v>
      </c>
      <c r="BH2391" s="1">
        <v>45149.833333333336</v>
      </c>
      <c r="BI2391">
        <v>45</v>
      </c>
      <c r="BJ2391">
        <v>0</v>
      </c>
      <c r="BK2391">
        <v>8</v>
      </c>
      <c r="BL2391">
        <v>8</v>
      </c>
      <c r="BM2391">
        <v>8</v>
      </c>
      <c r="BN2391">
        <v>8</v>
      </c>
      <c r="BO2391">
        <v>8</v>
      </c>
      <c r="BP2391">
        <v>5</v>
      </c>
      <c r="BQ2391" t="str">
        <f>"5:00 AM"</f>
        <v>5:00 AM</v>
      </c>
      <c r="BR2391" t="str">
        <f>"1:30 PM"</f>
        <v>1:30 PM</v>
      </c>
      <c r="BS2391" t="s">
        <v>131</v>
      </c>
      <c r="BT2391">
        <v>0</v>
      </c>
      <c r="BU2391">
        <v>6</v>
      </c>
      <c r="BV2391" t="s">
        <v>114</v>
      </c>
      <c r="BX2391" s="2" t="s">
        <v>17124</v>
      </c>
      <c r="BY2391" t="s">
        <v>17125</v>
      </c>
      <c r="CA2391" t="s">
        <v>17119</v>
      </c>
      <c r="CB2391" t="s">
        <v>402</v>
      </c>
      <c r="CC2391" s="8" t="str">
        <f>"93015"</f>
        <v>93015</v>
      </c>
      <c r="CD2391" t="s">
        <v>4868</v>
      </c>
      <c r="CE2391" t="s">
        <v>4869</v>
      </c>
      <c r="CF2391" s="12">
        <v>24.78</v>
      </c>
      <c r="CG2391" s="12">
        <v>24.78</v>
      </c>
      <c r="CH2391" s="12">
        <v>37.17</v>
      </c>
      <c r="CI2391" s="12">
        <v>37.17</v>
      </c>
      <c r="CJ2391" t="s">
        <v>135</v>
      </c>
      <c r="CL2391" t="s">
        <v>17126</v>
      </c>
      <c r="CO2391" t="s">
        <v>132</v>
      </c>
      <c r="CP2391" t="s">
        <v>136</v>
      </c>
      <c r="CQ2391" t="s">
        <v>136</v>
      </c>
      <c r="CR2391" t="s">
        <v>136</v>
      </c>
      <c r="CS2391" t="s">
        <v>136</v>
      </c>
      <c r="CT2391" t="s">
        <v>136</v>
      </c>
      <c r="CU2391" t="s">
        <v>136</v>
      </c>
      <c r="CV2391" t="s">
        <v>17127</v>
      </c>
      <c r="CW2391" s="10" t="str">
        <f>"+18055240446"</f>
        <v>+18055240446</v>
      </c>
      <c r="CX2391" t="s">
        <v>17120</v>
      </c>
      <c r="CY2391" t="s">
        <v>132</v>
      </c>
      <c r="CZ2391" t="s">
        <v>137</v>
      </c>
      <c r="DA2391" t="s">
        <v>114</v>
      </c>
      <c r="DB2391" t="s">
        <v>114</v>
      </c>
      <c r="DC2391" t="s">
        <v>136</v>
      </c>
      <c r="DD2391" t="s">
        <v>114</v>
      </c>
    </row>
    <row r="2392" spans="1:113" ht="15" customHeight="1" x14ac:dyDescent="0.25">
      <c r="A2392" t="s">
        <v>19533</v>
      </c>
      <c r="B2392" t="s">
        <v>368</v>
      </c>
      <c r="C2392" s="1">
        <v>45155.491245949073</v>
      </c>
      <c r="D2392" s="1">
        <v>45206</v>
      </c>
      <c r="E2392" t="s">
        <v>114</v>
      </c>
      <c r="F2392" t="s">
        <v>1790</v>
      </c>
      <c r="G2392" t="str">
        <f>"35-2014.00"</f>
        <v>35-2014.00</v>
      </c>
      <c r="H2392" t="s">
        <v>154</v>
      </c>
      <c r="I2392">
        <v>3</v>
      </c>
      <c r="K2392" s="1">
        <v>45245</v>
      </c>
      <c r="L2392" s="1">
        <v>45392</v>
      </c>
      <c r="O2392" t="s">
        <v>116</v>
      </c>
      <c r="P2392" t="s">
        <v>18622</v>
      </c>
      <c r="Q2392" t="s">
        <v>18623</v>
      </c>
      <c r="R2392" t="s">
        <v>18624</v>
      </c>
      <c r="T2392" t="s">
        <v>18625</v>
      </c>
      <c r="U2392" t="s">
        <v>506</v>
      </c>
      <c r="V2392" s="8" t="str">
        <f>"05152"</f>
        <v>05152</v>
      </c>
      <c r="W2392" t="s">
        <v>118</v>
      </c>
      <c r="Y2392" s="10">
        <v>18028567560</v>
      </c>
      <c r="AA2392">
        <v>721110</v>
      </c>
      <c r="AB2392" t="s">
        <v>18626</v>
      </c>
      <c r="AC2392" t="s">
        <v>3104</v>
      </c>
      <c r="AE2392" t="s">
        <v>1119</v>
      </c>
      <c r="AF2392" t="s">
        <v>18624</v>
      </c>
      <c r="AH2392" t="s">
        <v>18625</v>
      </c>
      <c r="AI2392" t="s">
        <v>506</v>
      </c>
      <c r="AJ2392" s="8" t="str">
        <f>"05152"</f>
        <v>05152</v>
      </c>
      <c r="AK2392" t="s">
        <v>118</v>
      </c>
      <c r="AM2392" s="10">
        <v>18028567560</v>
      </c>
      <c r="AO2392" t="s">
        <v>796</v>
      </c>
      <c r="AP2392" t="s">
        <v>248</v>
      </c>
      <c r="AQ2392" t="s">
        <v>354</v>
      </c>
      <c r="AR2392" t="s">
        <v>355</v>
      </c>
      <c r="AT2392" t="s">
        <v>356</v>
      </c>
      <c r="AV2392" t="s">
        <v>357</v>
      </c>
      <c r="AW2392" t="s">
        <v>358</v>
      </c>
      <c r="AX2392" s="8" t="str">
        <f>"11590"</f>
        <v>11590</v>
      </c>
      <c r="AY2392" t="s">
        <v>118</v>
      </c>
      <c r="BA2392" s="10">
        <v>15163307168</v>
      </c>
      <c r="BC2392" t="s">
        <v>359</v>
      </c>
      <c r="BD2392" t="s">
        <v>360</v>
      </c>
      <c r="BG2392" t="s">
        <v>506</v>
      </c>
      <c r="BH2392" s="1">
        <v>45150.833333333336</v>
      </c>
      <c r="BI2392">
        <v>35</v>
      </c>
      <c r="BJ2392">
        <v>7</v>
      </c>
      <c r="BK2392">
        <v>0</v>
      </c>
      <c r="BL2392">
        <v>7</v>
      </c>
      <c r="BM2392">
        <v>7</v>
      </c>
      <c r="BN2392">
        <v>0</v>
      </c>
      <c r="BO2392">
        <v>7</v>
      </c>
      <c r="BP2392">
        <v>7</v>
      </c>
      <c r="BQ2392" t="str">
        <f>"8:00 AM"</f>
        <v>8:00 AM</v>
      </c>
      <c r="BR2392" t="str">
        <f>"11:00 PM"</f>
        <v>11:00 PM</v>
      </c>
      <c r="BS2392" t="s">
        <v>131</v>
      </c>
      <c r="BT2392">
        <v>0</v>
      </c>
      <c r="BU2392">
        <v>3</v>
      </c>
      <c r="BV2392" t="s">
        <v>114</v>
      </c>
      <c r="BX2392" t="s">
        <v>19534</v>
      </c>
      <c r="BY2392" t="s">
        <v>18624</v>
      </c>
      <c r="CA2392" t="s">
        <v>18625</v>
      </c>
      <c r="CB2392" t="s">
        <v>506</v>
      </c>
      <c r="CC2392" s="8" t="str">
        <f>"05152"</f>
        <v>05152</v>
      </c>
      <c r="CD2392" t="s">
        <v>18628</v>
      </c>
      <c r="CE2392" t="s">
        <v>523</v>
      </c>
      <c r="CF2392" s="12">
        <v>18.37</v>
      </c>
      <c r="CG2392" s="12">
        <v>20</v>
      </c>
      <c r="CH2392" s="12">
        <v>27.56</v>
      </c>
      <c r="CI2392" s="12">
        <v>30</v>
      </c>
      <c r="CJ2392" t="s">
        <v>135</v>
      </c>
      <c r="CK2392" t="s">
        <v>19535</v>
      </c>
      <c r="CL2392" t="s">
        <v>19536</v>
      </c>
      <c r="CO2392" t="s">
        <v>132</v>
      </c>
      <c r="CP2392" t="s">
        <v>114</v>
      </c>
      <c r="CQ2392" t="s">
        <v>114</v>
      </c>
      <c r="CR2392" t="s">
        <v>136</v>
      </c>
      <c r="CS2392" t="s">
        <v>114</v>
      </c>
      <c r="CT2392" t="s">
        <v>136</v>
      </c>
      <c r="CU2392" t="s">
        <v>136</v>
      </c>
      <c r="CV2392" t="s">
        <v>19537</v>
      </c>
      <c r="CW2392" s="10" t="str">
        <f>"+18028567560"</f>
        <v>+18028567560</v>
      </c>
      <c r="CX2392" t="s">
        <v>19538</v>
      </c>
      <c r="CY2392" t="s">
        <v>132</v>
      </c>
      <c r="CZ2392" t="s">
        <v>137</v>
      </c>
      <c r="DA2392" t="s">
        <v>114</v>
      </c>
      <c r="DB2392" t="s">
        <v>114</v>
      </c>
      <c r="DC2392" t="s">
        <v>136</v>
      </c>
      <c r="DD2392" t="s">
        <v>114</v>
      </c>
    </row>
    <row r="2393" spans="1:113" ht="15" customHeight="1" x14ac:dyDescent="0.25">
      <c r="A2393" t="s">
        <v>367</v>
      </c>
      <c r="B2393" t="s">
        <v>368</v>
      </c>
      <c r="C2393" s="1">
        <v>45168.416046759259</v>
      </c>
      <c r="D2393" s="1">
        <v>45205</v>
      </c>
      <c r="E2393" t="s">
        <v>114</v>
      </c>
      <c r="F2393" t="s">
        <v>369</v>
      </c>
      <c r="G2393" t="str">
        <f>"47-3016.00"</f>
        <v>47-3016.00</v>
      </c>
      <c r="H2393" t="s">
        <v>370</v>
      </c>
      <c r="I2393">
        <v>20</v>
      </c>
      <c r="K2393" s="1">
        <v>45243</v>
      </c>
      <c r="L2393" s="1">
        <v>45504</v>
      </c>
      <c r="O2393" t="s">
        <v>116</v>
      </c>
      <c r="P2393" t="s">
        <v>371</v>
      </c>
      <c r="Q2393" t="s">
        <v>372</v>
      </c>
      <c r="R2393" t="s">
        <v>373</v>
      </c>
      <c r="T2393" t="s">
        <v>374</v>
      </c>
      <c r="U2393" t="s">
        <v>375</v>
      </c>
      <c r="V2393" s="8" t="str">
        <f>"27529"</f>
        <v>27529</v>
      </c>
      <c r="W2393" t="s">
        <v>118</v>
      </c>
      <c r="Y2393" s="10">
        <v>19197728780</v>
      </c>
      <c r="AA2393">
        <v>238160</v>
      </c>
      <c r="AB2393" t="s">
        <v>376</v>
      </c>
      <c r="AC2393" t="s">
        <v>377</v>
      </c>
      <c r="AE2393" t="s">
        <v>378</v>
      </c>
      <c r="AF2393" t="s">
        <v>373</v>
      </c>
      <c r="AH2393" t="s">
        <v>374</v>
      </c>
      <c r="AI2393" t="s">
        <v>375</v>
      </c>
      <c r="AJ2393" s="8" t="str">
        <f>"27529"</f>
        <v>27529</v>
      </c>
      <c r="AK2393" t="s">
        <v>118</v>
      </c>
      <c r="AM2393" s="10">
        <v>19197728780</v>
      </c>
      <c r="AO2393" t="s">
        <v>379</v>
      </c>
      <c r="AP2393" t="s">
        <v>121</v>
      </c>
      <c r="AQ2393" t="s">
        <v>380</v>
      </c>
      <c r="AR2393" t="s">
        <v>381</v>
      </c>
      <c r="AS2393" t="s">
        <v>382</v>
      </c>
      <c r="AT2393" t="s">
        <v>383</v>
      </c>
      <c r="AU2393" t="s">
        <v>384</v>
      </c>
      <c r="AV2393" t="s">
        <v>385</v>
      </c>
      <c r="AW2393" t="s">
        <v>386</v>
      </c>
      <c r="AX2393" s="8" t="str">
        <f>"37122"</f>
        <v>37122</v>
      </c>
      <c r="AY2393" t="s">
        <v>118</v>
      </c>
      <c r="BA2393" s="10">
        <v>16154227130</v>
      </c>
      <c r="BC2393" t="s">
        <v>387</v>
      </c>
      <c r="BD2393" t="s">
        <v>388</v>
      </c>
      <c r="BE2393" t="s">
        <v>386</v>
      </c>
      <c r="BF2393" t="s">
        <v>389</v>
      </c>
      <c r="BG2393" t="s">
        <v>375</v>
      </c>
      <c r="BH2393" s="1">
        <v>45167.833333333336</v>
      </c>
      <c r="BI2393">
        <v>40</v>
      </c>
      <c r="BJ2393">
        <v>0</v>
      </c>
      <c r="BK2393">
        <v>8</v>
      </c>
      <c r="BL2393">
        <v>8</v>
      </c>
      <c r="BM2393">
        <v>8</v>
      </c>
      <c r="BN2393">
        <v>8</v>
      </c>
      <c r="BO2393">
        <v>8</v>
      </c>
      <c r="BP2393">
        <v>0</v>
      </c>
      <c r="BQ2393" t="str">
        <f>"9:00 AM"</f>
        <v>9:00 AM</v>
      </c>
      <c r="BR2393" t="str">
        <f>"5:00 PM"</f>
        <v>5:00 PM</v>
      </c>
      <c r="BS2393" t="s">
        <v>131</v>
      </c>
      <c r="BT2393">
        <v>1</v>
      </c>
      <c r="BU2393">
        <v>0</v>
      </c>
      <c r="BV2393" t="s">
        <v>114</v>
      </c>
      <c r="BX2393" s="2" t="s">
        <v>390</v>
      </c>
      <c r="BY2393" t="s">
        <v>373</v>
      </c>
      <c r="CA2393" t="s">
        <v>374</v>
      </c>
      <c r="CB2393" t="s">
        <v>375</v>
      </c>
      <c r="CC2393" s="8" t="str">
        <f>"27529"</f>
        <v>27529</v>
      </c>
      <c r="CD2393" t="s">
        <v>391</v>
      </c>
      <c r="CE2393" t="s">
        <v>392</v>
      </c>
      <c r="CF2393" s="12">
        <v>17.7</v>
      </c>
      <c r="CG2393" s="12">
        <v>17.7</v>
      </c>
      <c r="CH2393" s="12">
        <v>26.55</v>
      </c>
      <c r="CI2393" s="12">
        <v>26.55</v>
      </c>
      <c r="CJ2393" t="s">
        <v>135</v>
      </c>
      <c r="CL2393" t="s">
        <v>393</v>
      </c>
      <c r="CO2393" t="s">
        <v>132</v>
      </c>
      <c r="CP2393" t="s">
        <v>136</v>
      </c>
      <c r="CQ2393" t="s">
        <v>114</v>
      </c>
      <c r="CR2393" t="s">
        <v>136</v>
      </c>
      <c r="CS2393" t="s">
        <v>136</v>
      </c>
      <c r="CT2393" t="s">
        <v>136</v>
      </c>
      <c r="CU2393" t="s">
        <v>114</v>
      </c>
      <c r="CV2393" t="s">
        <v>394</v>
      </c>
      <c r="CW2393" s="10" t="str">
        <f>"+19197728780"</f>
        <v>+19197728780</v>
      </c>
      <c r="CX2393" t="s">
        <v>132</v>
      </c>
      <c r="CY2393" t="s">
        <v>395</v>
      </c>
      <c r="CZ2393" t="s">
        <v>137</v>
      </c>
      <c r="DA2393" t="s">
        <v>114</v>
      </c>
      <c r="DB2393" t="s">
        <v>136</v>
      </c>
      <c r="DC2393" t="s">
        <v>136</v>
      </c>
      <c r="DD2393" t="s">
        <v>114</v>
      </c>
    </row>
    <row r="2394" spans="1:113" ht="15" customHeight="1" x14ac:dyDescent="0.25">
      <c r="A2394" t="s">
        <v>21603</v>
      </c>
      <c r="B2394" t="s">
        <v>368</v>
      </c>
      <c r="C2394" s="1">
        <v>45203.372964351853</v>
      </c>
      <c r="D2394" s="1">
        <v>45203</v>
      </c>
      <c r="E2394" t="s">
        <v>132</v>
      </c>
      <c r="F2394" t="s">
        <v>2020</v>
      </c>
      <c r="G2394" t="str">
        <f>"37-3011.00"</f>
        <v>37-3011.00</v>
      </c>
      <c r="H2394" t="s">
        <v>429</v>
      </c>
      <c r="I2394">
        <v>70</v>
      </c>
      <c r="K2394" s="1">
        <v>45293</v>
      </c>
      <c r="L2394" s="1">
        <v>45598</v>
      </c>
      <c r="O2394" t="s">
        <v>116</v>
      </c>
      <c r="P2394" t="s">
        <v>4502</v>
      </c>
      <c r="R2394" t="s">
        <v>4503</v>
      </c>
      <c r="S2394" t="s">
        <v>4383</v>
      </c>
      <c r="T2394" t="s">
        <v>4504</v>
      </c>
      <c r="U2394" t="s">
        <v>386</v>
      </c>
      <c r="V2394" s="8" t="str">
        <f>"37013"</f>
        <v>37013</v>
      </c>
      <c r="W2394" t="s">
        <v>118</v>
      </c>
      <c r="Y2394" s="10">
        <v>16157812077</v>
      </c>
      <c r="AA2394">
        <v>56173</v>
      </c>
      <c r="AB2394" t="s">
        <v>3274</v>
      </c>
      <c r="AC2394" t="s">
        <v>3462</v>
      </c>
      <c r="AE2394" t="s">
        <v>4384</v>
      </c>
      <c r="AF2394" t="s">
        <v>4503</v>
      </c>
      <c r="AG2394" t="s">
        <v>4385</v>
      </c>
      <c r="AH2394" t="s">
        <v>4504</v>
      </c>
      <c r="AI2394" t="s">
        <v>386</v>
      </c>
      <c r="AJ2394" s="8" t="str">
        <f>"37013"</f>
        <v>37013</v>
      </c>
      <c r="AK2394" t="s">
        <v>118</v>
      </c>
      <c r="AM2394" s="10">
        <v>16157812077</v>
      </c>
      <c r="AO2394" t="s">
        <v>132</v>
      </c>
      <c r="AP2394" t="s">
        <v>248</v>
      </c>
      <c r="AQ2394" t="s">
        <v>673</v>
      </c>
      <c r="AR2394" t="s">
        <v>674</v>
      </c>
      <c r="AT2394" t="s">
        <v>579</v>
      </c>
      <c r="AV2394" t="s">
        <v>580</v>
      </c>
      <c r="AW2394" t="s">
        <v>581</v>
      </c>
      <c r="AX2394" s="8" t="str">
        <f>"22903"</f>
        <v>22903</v>
      </c>
      <c r="AY2394" t="s">
        <v>118</v>
      </c>
      <c r="BA2394" s="10">
        <v>14342634300</v>
      </c>
      <c r="BC2394" t="s">
        <v>675</v>
      </c>
      <c r="BD2394" t="s">
        <v>583</v>
      </c>
      <c r="BG2394" t="s">
        <v>386</v>
      </c>
      <c r="BH2394" s="1">
        <v>45202.833333333336</v>
      </c>
      <c r="BI2394">
        <v>40</v>
      </c>
      <c r="BJ2394">
        <v>0</v>
      </c>
      <c r="BK2394">
        <v>8</v>
      </c>
      <c r="BL2394">
        <v>8</v>
      </c>
      <c r="BM2394">
        <v>8</v>
      </c>
      <c r="BN2394">
        <v>8</v>
      </c>
      <c r="BO2394">
        <v>8</v>
      </c>
      <c r="BP2394">
        <v>0</v>
      </c>
      <c r="BQ2394" t="str">
        <f>"7:00 AM"</f>
        <v>7:00 AM</v>
      </c>
      <c r="BR2394" t="str">
        <f>"4:00 PM"</f>
        <v>4:00 PM</v>
      </c>
      <c r="BS2394" t="s">
        <v>131</v>
      </c>
      <c r="BT2394">
        <v>0</v>
      </c>
      <c r="BU2394">
        <v>0</v>
      </c>
      <c r="BV2394" t="s">
        <v>114</v>
      </c>
      <c r="BX2394" s="2" t="s">
        <v>21604</v>
      </c>
      <c r="BY2394" t="s">
        <v>4506</v>
      </c>
      <c r="CA2394" t="s">
        <v>4504</v>
      </c>
      <c r="CB2394" t="s">
        <v>386</v>
      </c>
      <c r="CC2394" s="8" t="str">
        <f>"37013"</f>
        <v>37013</v>
      </c>
      <c r="CD2394" t="s">
        <v>4507</v>
      </c>
      <c r="CE2394" t="s">
        <v>3752</v>
      </c>
      <c r="CF2394" s="12">
        <v>17.05</v>
      </c>
      <c r="CH2394" s="12">
        <v>25.58</v>
      </c>
      <c r="CJ2394" t="s">
        <v>135</v>
      </c>
      <c r="CK2394" t="s">
        <v>590</v>
      </c>
      <c r="CL2394" t="s">
        <v>4508</v>
      </c>
      <c r="CO2394" t="s">
        <v>132</v>
      </c>
      <c r="CP2394" t="s">
        <v>136</v>
      </c>
      <c r="CQ2394" t="s">
        <v>114</v>
      </c>
      <c r="CR2394" t="s">
        <v>136</v>
      </c>
      <c r="CS2394" t="s">
        <v>136</v>
      </c>
      <c r="CT2394" t="s">
        <v>136</v>
      </c>
      <c r="CU2394" t="s">
        <v>136</v>
      </c>
      <c r="CV2394" t="s">
        <v>4388</v>
      </c>
      <c r="CW2394" s="10" t="str">
        <f>"+16157812077"</f>
        <v>+16157812077</v>
      </c>
      <c r="CX2394" t="s">
        <v>132</v>
      </c>
      <c r="CY2394" t="s">
        <v>2911</v>
      </c>
      <c r="CZ2394" t="s">
        <v>137</v>
      </c>
      <c r="DA2394" t="s">
        <v>114</v>
      </c>
      <c r="DB2394" t="s">
        <v>136</v>
      </c>
      <c r="DC2394" t="s">
        <v>136</v>
      </c>
      <c r="DD2394" t="s">
        <v>114</v>
      </c>
      <c r="DE2394" t="s">
        <v>673</v>
      </c>
      <c r="DF2394" t="s">
        <v>674</v>
      </c>
      <c r="DH2394" t="s">
        <v>583</v>
      </c>
      <c r="DI2394" t="s">
        <v>675</v>
      </c>
    </row>
    <row r="2395" spans="1:113" ht="15" customHeight="1" x14ac:dyDescent="0.25">
      <c r="A2395" t="s">
        <v>12879</v>
      </c>
      <c r="B2395" t="s">
        <v>368</v>
      </c>
      <c r="C2395" s="1">
        <v>45156.51669837963</v>
      </c>
      <c r="D2395" s="1">
        <v>45203</v>
      </c>
      <c r="E2395" t="s">
        <v>114</v>
      </c>
      <c r="F2395" t="s">
        <v>12880</v>
      </c>
      <c r="G2395" t="str">
        <f>"53-3032.00"</f>
        <v>53-3032.00</v>
      </c>
      <c r="H2395" t="s">
        <v>736</v>
      </c>
      <c r="I2395">
        <v>4</v>
      </c>
      <c r="K2395" s="1">
        <v>45231</v>
      </c>
      <c r="L2395" s="1">
        <v>45260</v>
      </c>
      <c r="O2395" t="s">
        <v>238</v>
      </c>
      <c r="P2395" t="s">
        <v>12881</v>
      </c>
      <c r="Q2395" t="s">
        <v>12882</v>
      </c>
      <c r="R2395" t="s">
        <v>12883</v>
      </c>
      <c r="T2395" t="s">
        <v>12884</v>
      </c>
      <c r="U2395" t="s">
        <v>2903</v>
      </c>
      <c r="V2395" s="8" t="str">
        <f>"88310"</f>
        <v>88310</v>
      </c>
      <c r="W2395" t="s">
        <v>118</v>
      </c>
      <c r="Y2395" s="10">
        <v>15755789494</v>
      </c>
      <c r="AA2395">
        <v>48411</v>
      </c>
      <c r="AB2395" t="s">
        <v>7010</v>
      </c>
      <c r="AC2395" t="s">
        <v>2263</v>
      </c>
      <c r="AE2395" t="s">
        <v>561</v>
      </c>
      <c r="AF2395" t="s">
        <v>12883</v>
      </c>
      <c r="AH2395" t="s">
        <v>12884</v>
      </c>
      <c r="AI2395" t="s">
        <v>2903</v>
      </c>
      <c r="AJ2395" s="8" t="str">
        <f>"88310"</f>
        <v>88310</v>
      </c>
      <c r="AK2395" t="s">
        <v>118</v>
      </c>
      <c r="AM2395" s="10">
        <v>15755789494</v>
      </c>
      <c r="AO2395" t="s">
        <v>12885</v>
      </c>
      <c r="AP2395" t="s">
        <v>248</v>
      </c>
      <c r="AQ2395" t="s">
        <v>2741</v>
      </c>
      <c r="AR2395" t="s">
        <v>2742</v>
      </c>
      <c r="AS2395" t="s">
        <v>132</v>
      </c>
      <c r="AT2395" t="s">
        <v>6132</v>
      </c>
      <c r="AU2395" t="s">
        <v>852</v>
      </c>
      <c r="AV2395" t="s">
        <v>853</v>
      </c>
      <c r="AW2395" t="s">
        <v>854</v>
      </c>
      <c r="AX2395" s="8" t="str">
        <f>"83814"</f>
        <v>83814</v>
      </c>
      <c r="AY2395" t="s">
        <v>118</v>
      </c>
      <c r="BA2395" s="10">
        <v>12087772654</v>
      </c>
      <c r="BC2395" t="s">
        <v>6133</v>
      </c>
      <c r="BD2395" t="s">
        <v>856</v>
      </c>
      <c r="BG2395" t="s">
        <v>2903</v>
      </c>
      <c r="BH2395" s="1">
        <v>45155.833333333336</v>
      </c>
      <c r="BI2395">
        <v>40</v>
      </c>
      <c r="BJ2395">
        <v>0</v>
      </c>
      <c r="BK2395">
        <v>8</v>
      </c>
      <c r="BL2395">
        <v>8</v>
      </c>
      <c r="BM2395">
        <v>8</v>
      </c>
      <c r="BN2395">
        <v>8</v>
      </c>
      <c r="BO2395">
        <v>8</v>
      </c>
      <c r="BP2395">
        <v>0</v>
      </c>
      <c r="BQ2395" t="str">
        <f>"7:00 AM"</f>
        <v>7:00 AM</v>
      </c>
      <c r="BR2395" t="str">
        <f>"3:30 PM"</f>
        <v>3:30 PM</v>
      </c>
      <c r="BS2395" t="s">
        <v>131</v>
      </c>
      <c r="BT2395">
        <v>0</v>
      </c>
      <c r="BU2395">
        <v>6</v>
      </c>
      <c r="BV2395" t="s">
        <v>114</v>
      </c>
      <c r="BX2395" t="s">
        <v>5060</v>
      </c>
      <c r="BY2395" t="s">
        <v>12886</v>
      </c>
      <c r="CA2395" t="s">
        <v>12884</v>
      </c>
      <c r="CB2395" t="s">
        <v>2903</v>
      </c>
      <c r="CC2395" s="8" t="str">
        <f>"88310"</f>
        <v>88310</v>
      </c>
      <c r="CD2395" t="s">
        <v>12887</v>
      </c>
      <c r="CE2395" t="s">
        <v>2905</v>
      </c>
      <c r="CF2395" s="12">
        <v>23.12</v>
      </c>
      <c r="CH2395" s="12">
        <v>34.68</v>
      </c>
      <c r="CJ2395" t="s">
        <v>135</v>
      </c>
      <c r="CK2395" t="s">
        <v>132</v>
      </c>
      <c r="CL2395" t="s">
        <v>12888</v>
      </c>
      <c r="CO2395" t="s">
        <v>132</v>
      </c>
      <c r="CP2395" t="s">
        <v>136</v>
      </c>
      <c r="CQ2395" t="s">
        <v>136</v>
      </c>
      <c r="CR2395" t="s">
        <v>136</v>
      </c>
      <c r="CS2395" t="s">
        <v>114</v>
      </c>
      <c r="CT2395" t="s">
        <v>136</v>
      </c>
      <c r="CU2395" t="s">
        <v>114</v>
      </c>
      <c r="CV2395" t="s">
        <v>1040</v>
      </c>
      <c r="CW2395" s="10" t="str">
        <f>"+15755789494"</f>
        <v>+15755789494</v>
      </c>
      <c r="CX2395" t="s">
        <v>12885</v>
      </c>
      <c r="CY2395" t="s">
        <v>132</v>
      </c>
      <c r="CZ2395" t="s">
        <v>137</v>
      </c>
      <c r="DA2395" t="s">
        <v>114</v>
      </c>
      <c r="DB2395" t="s">
        <v>114</v>
      </c>
      <c r="DC2395" t="s">
        <v>136</v>
      </c>
      <c r="DD2395" t="s">
        <v>114</v>
      </c>
    </row>
    <row r="2396" spans="1:113" ht="15" customHeight="1" x14ac:dyDescent="0.25">
      <c r="A2396" t="s">
        <v>18078</v>
      </c>
      <c r="B2396" t="s">
        <v>368</v>
      </c>
      <c r="C2396" s="1">
        <v>45195.610814583335</v>
      </c>
      <c r="D2396" s="1">
        <v>45202</v>
      </c>
      <c r="E2396" t="s">
        <v>132</v>
      </c>
      <c r="F2396" t="s">
        <v>4734</v>
      </c>
      <c r="G2396" t="str">
        <f>"35-2014.00"</f>
        <v>35-2014.00</v>
      </c>
      <c r="H2396" t="s">
        <v>154</v>
      </c>
      <c r="I2396">
        <v>4</v>
      </c>
      <c r="K2396" s="1">
        <v>45270</v>
      </c>
      <c r="L2396" s="1">
        <v>45412</v>
      </c>
      <c r="O2396" t="s">
        <v>116</v>
      </c>
      <c r="P2396" t="s">
        <v>4608</v>
      </c>
      <c r="Q2396" t="s">
        <v>18079</v>
      </c>
      <c r="R2396" t="s">
        <v>18080</v>
      </c>
      <c r="T2396" t="s">
        <v>902</v>
      </c>
      <c r="U2396" t="s">
        <v>479</v>
      </c>
      <c r="V2396" s="8" t="str">
        <f>"97232"</f>
        <v>97232</v>
      </c>
      <c r="W2396" t="s">
        <v>118</v>
      </c>
      <c r="Y2396" s="10">
        <v>19712221234</v>
      </c>
      <c r="AA2396">
        <v>721110</v>
      </c>
      <c r="AB2396" t="s">
        <v>18081</v>
      </c>
      <c r="AC2396" t="s">
        <v>18082</v>
      </c>
      <c r="AE2396" t="s">
        <v>18083</v>
      </c>
      <c r="AF2396" t="s">
        <v>18080</v>
      </c>
      <c r="AH2396" t="s">
        <v>902</v>
      </c>
      <c r="AI2396" t="s">
        <v>479</v>
      </c>
      <c r="AJ2396" s="8" t="str">
        <f>"97232"</f>
        <v>97232</v>
      </c>
      <c r="AK2396" t="s">
        <v>118</v>
      </c>
      <c r="AM2396" s="10">
        <v>19717546174</v>
      </c>
      <c r="AO2396" t="s">
        <v>18084</v>
      </c>
      <c r="AP2396" t="s">
        <v>121</v>
      </c>
      <c r="AQ2396" t="s">
        <v>4615</v>
      </c>
      <c r="AR2396" t="s">
        <v>1069</v>
      </c>
      <c r="AT2396" t="s">
        <v>4616</v>
      </c>
      <c r="AU2396" t="s">
        <v>4617</v>
      </c>
      <c r="AV2396" t="s">
        <v>2096</v>
      </c>
      <c r="AW2396" t="s">
        <v>2090</v>
      </c>
      <c r="AX2396" s="8" t="str">
        <f>"68114"</f>
        <v>68114</v>
      </c>
      <c r="AY2396" t="s">
        <v>118</v>
      </c>
      <c r="BA2396" s="10">
        <v>14023911991</v>
      </c>
      <c r="BC2396" t="s">
        <v>4618</v>
      </c>
      <c r="BD2396" t="s">
        <v>4619</v>
      </c>
      <c r="BE2396" t="s">
        <v>2090</v>
      </c>
      <c r="BF2396" t="s">
        <v>2099</v>
      </c>
      <c r="BG2396" t="s">
        <v>479</v>
      </c>
      <c r="BH2396" s="1">
        <v>45194.833333333336</v>
      </c>
      <c r="BI2396">
        <v>40</v>
      </c>
      <c r="BJ2396">
        <v>8</v>
      </c>
      <c r="BK2396">
        <v>8</v>
      </c>
      <c r="BL2396">
        <v>0</v>
      </c>
      <c r="BM2396">
        <v>8</v>
      </c>
      <c r="BN2396">
        <v>8</v>
      </c>
      <c r="BO2396">
        <v>0</v>
      </c>
      <c r="BP2396">
        <v>8</v>
      </c>
      <c r="BQ2396" t="str">
        <f>"7:00 AM"</f>
        <v>7:00 AM</v>
      </c>
      <c r="BR2396" t="str">
        <f>"3:30 PM"</f>
        <v>3:30 PM</v>
      </c>
      <c r="BS2396" t="s">
        <v>131</v>
      </c>
      <c r="BT2396">
        <v>0</v>
      </c>
      <c r="BU2396">
        <v>24</v>
      </c>
      <c r="BV2396" t="s">
        <v>114</v>
      </c>
      <c r="BX2396" s="2" t="s">
        <v>18085</v>
      </c>
      <c r="BY2396" t="s">
        <v>18080</v>
      </c>
      <c r="CA2396" t="s">
        <v>902</v>
      </c>
      <c r="CB2396" t="s">
        <v>479</v>
      </c>
      <c r="CC2396" s="8" t="str">
        <f>"97232"</f>
        <v>97232</v>
      </c>
      <c r="CD2396" t="s">
        <v>2717</v>
      </c>
      <c r="CE2396" t="s">
        <v>807</v>
      </c>
      <c r="CF2396" s="12">
        <v>20.46</v>
      </c>
      <c r="CG2396" s="12">
        <v>22.54</v>
      </c>
      <c r="CH2396" s="12">
        <v>30.69</v>
      </c>
      <c r="CI2396" s="12">
        <v>33.81</v>
      </c>
      <c r="CJ2396" t="s">
        <v>135</v>
      </c>
      <c r="CL2396" t="s">
        <v>18086</v>
      </c>
      <c r="CO2396" t="s">
        <v>132</v>
      </c>
      <c r="CP2396" t="s">
        <v>114</v>
      </c>
      <c r="CQ2396" t="s">
        <v>136</v>
      </c>
      <c r="CR2396" t="s">
        <v>136</v>
      </c>
      <c r="CS2396" t="s">
        <v>136</v>
      </c>
      <c r="CT2396" t="s">
        <v>136</v>
      </c>
      <c r="CU2396" t="s">
        <v>136</v>
      </c>
      <c r="CV2396" t="s">
        <v>18087</v>
      </c>
      <c r="CW2396" s="10" t="str">
        <f>"N/A"</f>
        <v>N/A</v>
      </c>
      <c r="CX2396" t="s">
        <v>18084</v>
      </c>
      <c r="CY2396" t="s">
        <v>18088</v>
      </c>
      <c r="CZ2396" t="s">
        <v>137</v>
      </c>
      <c r="DA2396" t="s">
        <v>114</v>
      </c>
      <c r="DB2396" t="s">
        <v>114</v>
      </c>
      <c r="DC2396" t="s">
        <v>136</v>
      </c>
      <c r="DD2396" t="s">
        <v>114</v>
      </c>
      <c r="DE2396" t="s">
        <v>4624</v>
      </c>
      <c r="DF2396" t="s">
        <v>931</v>
      </c>
      <c r="DG2396" t="s">
        <v>1738</v>
      </c>
      <c r="DH2396" t="s">
        <v>4625</v>
      </c>
      <c r="DI2396" t="s">
        <v>4626</v>
      </c>
    </row>
    <row r="2397" spans="1:113" ht="15" customHeight="1" x14ac:dyDescent="0.25">
      <c r="A2397" t="s">
        <v>18712</v>
      </c>
      <c r="B2397" t="s">
        <v>368</v>
      </c>
      <c r="C2397" s="1">
        <v>45141.025033333332</v>
      </c>
      <c r="D2397" s="1">
        <v>45202</v>
      </c>
      <c r="E2397" t="s">
        <v>114</v>
      </c>
      <c r="F2397" t="s">
        <v>18713</v>
      </c>
      <c r="G2397" t="str">
        <f>"25-3021.00"</f>
        <v>25-3021.00</v>
      </c>
      <c r="H2397" t="s">
        <v>720</v>
      </c>
      <c r="I2397">
        <v>6</v>
      </c>
      <c r="K2397" s="1">
        <v>45231</v>
      </c>
      <c r="L2397" s="1">
        <v>45413</v>
      </c>
      <c r="O2397" t="s">
        <v>238</v>
      </c>
      <c r="P2397" t="s">
        <v>14462</v>
      </c>
      <c r="Q2397" t="s">
        <v>14463</v>
      </c>
      <c r="R2397" t="s">
        <v>14464</v>
      </c>
      <c r="T2397" t="s">
        <v>14465</v>
      </c>
      <c r="U2397" t="s">
        <v>211</v>
      </c>
      <c r="V2397" s="8" t="str">
        <f>"84121"</f>
        <v>84121</v>
      </c>
      <c r="W2397" t="s">
        <v>118</v>
      </c>
      <c r="Y2397" s="10">
        <v>18015365755</v>
      </c>
      <c r="AA2397">
        <v>72111</v>
      </c>
      <c r="AB2397" t="s">
        <v>14466</v>
      </c>
      <c r="AC2397" t="s">
        <v>14467</v>
      </c>
      <c r="AE2397" t="s">
        <v>14468</v>
      </c>
      <c r="AF2397" t="s">
        <v>14464</v>
      </c>
      <c r="AH2397" t="s">
        <v>14465</v>
      </c>
      <c r="AI2397" t="s">
        <v>211</v>
      </c>
      <c r="AJ2397" s="8" t="str">
        <f>"84121"</f>
        <v>84121</v>
      </c>
      <c r="AK2397" t="s">
        <v>118</v>
      </c>
      <c r="AM2397" s="10">
        <v>18015365760</v>
      </c>
      <c r="AO2397" t="s">
        <v>14469</v>
      </c>
      <c r="AP2397" t="s">
        <v>121</v>
      </c>
      <c r="AQ2397" t="s">
        <v>1675</v>
      </c>
      <c r="AR2397" t="s">
        <v>1676</v>
      </c>
      <c r="AS2397" t="s">
        <v>1677</v>
      </c>
      <c r="AT2397" t="s">
        <v>1678</v>
      </c>
      <c r="AU2397" t="s">
        <v>296</v>
      </c>
      <c r="AV2397" t="s">
        <v>1679</v>
      </c>
      <c r="AW2397" t="s">
        <v>402</v>
      </c>
      <c r="AX2397" s="8" t="str">
        <f>"91361"</f>
        <v>91361</v>
      </c>
      <c r="AY2397" t="s">
        <v>118</v>
      </c>
      <c r="BA2397" s="10">
        <v>18052611393</v>
      </c>
      <c r="BC2397" t="s">
        <v>1680</v>
      </c>
      <c r="BD2397" t="s">
        <v>1681</v>
      </c>
      <c r="BE2397" t="s">
        <v>140</v>
      </c>
      <c r="BF2397" t="s">
        <v>146</v>
      </c>
      <c r="BG2397" t="s">
        <v>211</v>
      </c>
      <c r="BH2397" s="1">
        <v>45131.833333333336</v>
      </c>
      <c r="BI2397">
        <v>35</v>
      </c>
      <c r="BJ2397">
        <v>5</v>
      </c>
      <c r="BK2397">
        <v>5</v>
      </c>
      <c r="BL2397">
        <v>5</v>
      </c>
      <c r="BM2397">
        <v>5</v>
      </c>
      <c r="BN2397">
        <v>5</v>
      </c>
      <c r="BO2397">
        <v>5</v>
      </c>
      <c r="BP2397">
        <v>5</v>
      </c>
      <c r="BQ2397" t="str">
        <f>"8:00 AM"</f>
        <v>8:00 AM</v>
      </c>
      <c r="BR2397" t="str">
        <f>"5:00 PM"</f>
        <v>5:00 PM</v>
      </c>
      <c r="BS2397" t="s">
        <v>147</v>
      </c>
      <c r="BT2397">
        <v>0</v>
      </c>
      <c r="BU2397">
        <v>6</v>
      </c>
      <c r="BV2397" t="s">
        <v>114</v>
      </c>
      <c r="BX2397" s="2" t="s">
        <v>18714</v>
      </c>
      <c r="BY2397" t="s">
        <v>14464</v>
      </c>
      <c r="CA2397" t="s">
        <v>14465</v>
      </c>
      <c r="CB2397" t="s">
        <v>211</v>
      </c>
      <c r="CC2397" s="8" t="str">
        <f>"84121"</f>
        <v>84121</v>
      </c>
      <c r="CD2397" t="s">
        <v>1567</v>
      </c>
      <c r="CE2397" t="s">
        <v>1568</v>
      </c>
      <c r="CF2397" s="12">
        <v>22.74</v>
      </c>
      <c r="CG2397" s="12">
        <v>23.33</v>
      </c>
      <c r="CH2397" s="12">
        <v>34.11</v>
      </c>
      <c r="CI2397" s="12">
        <v>35</v>
      </c>
      <c r="CJ2397" t="s">
        <v>135</v>
      </c>
      <c r="CK2397" t="s">
        <v>11376</v>
      </c>
      <c r="CL2397" t="s">
        <v>18715</v>
      </c>
      <c r="CO2397" t="s">
        <v>132</v>
      </c>
      <c r="CP2397" t="s">
        <v>114</v>
      </c>
      <c r="CQ2397" t="s">
        <v>136</v>
      </c>
      <c r="CR2397" t="s">
        <v>136</v>
      </c>
      <c r="CS2397" t="s">
        <v>136</v>
      </c>
      <c r="CT2397" t="s">
        <v>136</v>
      </c>
      <c r="CU2397" t="s">
        <v>114</v>
      </c>
      <c r="CV2397" s="2" t="s">
        <v>18716</v>
      </c>
      <c r="CW2397" s="10" t="str">
        <f>"+18015365760"</f>
        <v>+18015365760</v>
      </c>
      <c r="CX2397" t="s">
        <v>14469</v>
      </c>
      <c r="CY2397" t="s">
        <v>132</v>
      </c>
      <c r="CZ2397" t="s">
        <v>137</v>
      </c>
      <c r="DA2397" t="s">
        <v>114</v>
      </c>
      <c r="DB2397" t="s">
        <v>114</v>
      </c>
      <c r="DC2397" t="s">
        <v>136</v>
      </c>
      <c r="DD2397" t="s">
        <v>114</v>
      </c>
    </row>
    <row r="2398" spans="1:113" ht="15" customHeight="1" x14ac:dyDescent="0.25">
      <c r="A2398" t="s">
        <v>11450</v>
      </c>
      <c r="B2398" t="s">
        <v>368</v>
      </c>
      <c r="C2398" s="1">
        <v>45140.436961111111</v>
      </c>
      <c r="D2398" s="1">
        <v>45202</v>
      </c>
      <c r="E2398" t="s">
        <v>114</v>
      </c>
      <c r="F2398" t="s">
        <v>8031</v>
      </c>
      <c r="G2398" t="str">
        <f>"51-2092.00"</f>
        <v>51-2092.00</v>
      </c>
      <c r="H2398" t="s">
        <v>4544</v>
      </c>
      <c r="I2398">
        <v>50</v>
      </c>
      <c r="K2398" s="1">
        <v>45215</v>
      </c>
      <c r="L2398" s="1">
        <v>45413</v>
      </c>
      <c r="O2398" t="s">
        <v>116</v>
      </c>
      <c r="P2398" t="s">
        <v>11451</v>
      </c>
      <c r="R2398" t="s">
        <v>11452</v>
      </c>
      <c r="T2398" t="s">
        <v>3380</v>
      </c>
      <c r="U2398" t="s">
        <v>169</v>
      </c>
      <c r="V2398" s="8" t="str">
        <f>"55340"</f>
        <v>55340</v>
      </c>
      <c r="W2398" t="s">
        <v>118</v>
      </c>
      <c r="Y2398" s="10">
        <v>17635191851</v>
      </c>
      <c r="AA2398">
        <v>4412</v>
      </c>
      <c r="AB2398" t="s">
        <v>11453</v>
      </c>
      <c r="AC2398" t="s">
        <v>11454</v>
      </c>
      <c r="AE2398" t="s">
        <v>11455</v>
      </c>
      <c r="AF2398" t="s">
        <v>11452</v>
      </c>
      <c r="AH2398" t="s">
        <v>3380</v>
      </c>
      <c r="AI2398" t="s">
        <v>169</v>
      </c>
      <c r="AJ2398" s="8" t="str">
        <f>"55340"</f>
        <v>55340</v>
      </c>
      <c r="AK2398" t="s">
        <v>118</v>
      </c>
      <c r="AM2398" s="10">
        <v>17152945343</v>
      </c>
      <c r="AO2398" t="s">
        <v>11456</v>
      </c>
      <c r="AP2398" t="s">
        <v>121</v>
      </c>
      <c r="AQ2398" t="s">
        <v>11457</v>
      </c>
      <c r="AR2398" t="s">
        <v>11458</v>
      </c>
      <c r="AT2398" t="s">
        <v>11459</v>
      </c>
      <c r="AU2398" t="s">
        <v>11460</v>
      </c>
      <c r="AV2398" t="s">
        <v>8327</v>
      </c>
      <c r="AW2398" t="s">
        <v>117</v>
      </c>
      <c r="AX2398" s="8" t="str">
        <f>"60606"</f>
        <v>60606</v>
      </c>
      <c r="AY2398" t="s">
        <v>118</v>
      </c>
      <c r="BA2398" s="10">
        <v>13122636101</v>
      </c>
      <c r="BC2398" t="s">
        <v>11461</v>
      </c>
      <c r="BD2398" t="s">
        <v>1333</v>
      </c>
      <c r="BE2398" t="s">
        <v>402</v>
      </c>
      <c r="BF2398" t="s">
        <v>172</v>
      </c>
      <c r="BG2398" t="s">
        <v>169</v>
      </c>
      <c r="BH2398" s="1">
        <v>45134.833333333336</v>
      </c>
      <c r="BI2398">
        <v>40</v>
      </c>
      <c r="BJ2398">
        <v>0</v>
      </c>
      <c r="BK2398">
        <v>8</v>
      </c>
      <c r="BL2398">
        <v>8</v>
      </c>
      <c r="BM2398">
        <v>8</v>
      </c>
      <c r="BN2398">
        <v>8</v>
      </c>
      <c r="BO2398">
        <v>8</v>
      </c>
      <c r="BP2398">
        <v>0</v>
      </c>
      <c r="BQ2398" t="str">
        <f>"6:30 AM"</f>
        <v>6:30 AM</v>
      </c>
      <c r="BR2398" t="str">
        <f>"3:00 PM"</f>
        <v>3:00 PM</v>
      </c>
      <c r="BS2398" t="s">
        <v>147</v>
      </c>
      <c r="BT2398">
        <v>0</v>
      </c>
      <c r="BU2398">
        <v>0</v>
      </c>
      <c r="BV2398" t="s">
        <v>114</v>
      </c>
      <c r="BX2398" s="2" t="s">
        <v>11462</v>
      </c>
      <c r="BY2398" t="s">
        <v>11463</v>
      </c>
      <c r="CA2398" t="s">
        <v>11464</v>
      </c>
      <c r="CB2398" t="s">
        <v>169</v>
      </c>
      <c r="CC2398" s="8" t="str">
        <f>"56751"</f>
        <v>56751</v>
      </c>
      <c r="CD2398" t="s">
        <v>11465</v>
      </c>
      <c r="CE2398" t="s">
        <v>2945</v>
      </c>
      <c r="CF2398" s="12">
        <v>19.239999999999998</v>
      </c>
      <c r="CG2398" s="12">
        <v>20.54</v>
      </c>
      <c r="CJ2398" t="s">
        <v>135</v>
      </c>
      <c r="CK2398" t="s">
        <v>11466</v>
      </c>
      <c r="CL2398" t="s">
        <v>11467</v>
      </c>
      <c r="CO2398" t="s">
        <v>132</v>
      </c>
      <c r="CP2398" t="s">
        <v>114</v>
      </c>
      <c r="CQ2398" t="s">
        <v>114</v>
      </c>
      <c r="CR2398" t="s">
        <v>136</v>
      </c>
      <c r="CS2398" t="s">
        <v>136</v>
      </c>
      <c r="CT2398" t="s">
        <v>136</v>
      </c>
      <c r="CU2398" t="s">
        <v>114</v>
      </c>
      <c r="CV2398" t="s">
        <v>2270</v>
      </c>
      <c r="CW2398" s="10" t="str">
        <f>"+12184637878"</f>
        <v>+12184637878</v>
      </c>
      <c r="CX2398" t="s">
        <v>11468</v>
      </c>
      <c r="CY2398" t="s">
        <v>10847</v>
      </c>
      <c r="CZ2398" t="s">
        <v>137</v>
      </c>
      <c r="DA2398" t="s">
        <v>114</v>
      </c>
      <c r="DB2398" t="s">
        <v>114</v>
      </c>
      <c r="DC2398" t="s">
        <v>136</v>
      </c>
      <c r="DD2398" t="s">
        <v>114</v>
      </c>
      <c r="DE2398" t="s">
        <v>11469</v>
      </c>
      <c r="DF2398" t="s">
        <v>1858</v>
      </c>
      <c r="DG2398" t="s">
        <v>631</v>
      </c>
      <c r="DH2398" t="s">
        <v>11470</v>
      </c>
      <c r="DI2398" t="s">
        <v>11471</v>
      </c>
    </row>
    <row r="2399" spans="1:113" ht="15" customHeight="1" x14ac:dyDescent="0.25">
      <c r="A2399" t="s">
        <v>3832</v>
      </c>
      <c r="B2399" t="s">
        <v>368</v>
      </c>
      <c r="C2399" s="1">
        <v>45141.043436342596</v>
      </c>
      <c r="D2399" s="1">
        <v>45201</v>
      </c>
      <c r="E2399" t="s">
        <v>136</v>
      </c>
      <c r="F2399" t="s">
        <v>449</v>
      </c>
      <c r="G2399" t="str">
        <f>"37-2012.00"</f>
        <v>37-2012.00</v>
      </c>
      <c r="H2399" t="s">
        <v>205</v>
      </c>
      <c r="I2399">
        <v>13</v>
      </c>
      <c r="K2399" s="1">
        <v>45231</v>
      </c>
      <c r="L2399" s="1">
        <v>45505</v>
      </c>
      <c r="O2399" t="s">
        <v>116</v>
      </c>
      <c r="P2399" t="s">
        <v>3833</v>
      </c>
      <c r="Q2399" t="s">
        <v>3834</v>
      </c>
      <c r="R2399" t="s">
        <v>3835</v>
      </c>
      <c r="T2399" t="s">
        <v>3836</v>
      </c>
      <c r="U2399" t="s">
        <v>140</v>
      </c>
      <c r="V2399" s="8" t="str">
        <f>"33040"</f>
        <v>33040</v>
      </c>
      <c r="W2399" t="s">
        <v>118</v>
      </c>
      <c r="Y2399" s="10">
        <v>13052966925</v>
      </c>
      <c r="AA2399">
        <v>72111</v>
      </c>
      <c r="AB2399" t="s">
        <v>3837</v>
      </c>
      <c r="AC2399" t="s">
        <v>2629</v>
      </c>
      <c r="AE2399" t="s">
        <v>1119</v>
      </c>
      <c r="AF2399" t="s">
        <v>3835</v>
      </c>
      <c r="AH2399" t="s">
        <v>3836</v>
      </c>
      <c r="AI2399" t="s">
        <v>140</v>
      </c>
      <c r="AJ2399" s="8" t="str">
        <f>"33040"</f>
        <v>33040</v>
      </c>
      <c r="AK2399" t="s">
        <v>118</v>
      </c>
      <c r="AM2399" s="10">
        <v>13052966925</v>
      </c>
      <c r="AO2399" t="s">
        <v>3838</v>
      </c>
      <c r="AP2399" t="s">
        <v>248</v>
      </c>
      <c r="AQ2399" t="s">
        <v>458</v>
      </c>
      <c r="AR2399" t="s">
        <v>459</v>
      </c>
      <c r="AT2399" t="s">
        <v>460</v>
      </c>
      <c r="AU2399" t="s">
        <v>1374</v>
      </c>
      <c r="AV2399" t="s">
        <v>1375</v>
      </c>
      <c r="AW2399" t="s">
        <v>140</v>
      </c>
      <c r="AX2399" s="8" t="str">
        <f>"33141"</f>
        <v>33141</v>
      </c>
      <c r="AY2399" t="s">
        <v>118</v>
      </c>
      <c r="BA2399" s="10">
        <v>17863480376</v>
      </c>
      <c r="BC2399" t="s">
        <v>463</v>
      </c>
      <c r="BD2399" t="s">
        <v>464</v>
      </c>
      <c r="BG2399" t="s">
        <v>140</v>
      </c>
      <c r="BH2399" s="1">
        <v>45140.833333333336</v>
      </c>
      <c r="BI2399">
        <v>35</v>
      </c>
      <c r="BJ2399">
        <v>7</v>
      </c>
      <c r="BK2399">
        <v>7</v>
      </c>
      <c r="BL2399">
        <v>0</v>
      </c>
      <c r="BM2399">
        <v>0</v>
      </c>
      <c r="BN2399">
        <v>7</v>
      </c>
      <c r="BO2399">
        <v>7</v>
      </c>
      <c r="BP2399">
        <v>7</v>
      </c>
      <c r="BQ2399" t="str">
        <f>"8:00 AM"</f>
        <v>8:00 AM</v>
      </c>
      <c r="BR2399" t="str">
        <f>"3:00 PM"</f>
        <v>3:00 PM</v>
      </c>
      <c r="BS2399" t="s">
        <v>131</v>
      </c>
      <c r="BT2399">
        <v>0</v>
      </c>
      <c r="BU2399">
        <v>1</v>
      </c>
      <c r="BV2399" t="s">
        <v>114</v>
      </c>
      <c r="BX2399" t="s">
        <v>465</v>
      </c>
      <c r="BY2399" t="s">
        <v>3835</v>
      </c>
      <c r="CA2399" t="s">
        <v>3836</v>
      </c>
      <c r="CB2399" t="s">
        <v>140</v>
      </c>
      <c r="CC2399" s="8" t="str">
        <f>"33040"</f>
        <v>33040</v>
      </c>
      <c r="CD2399" t="s">
        <v>303</v>
      </c>
      <c r="CE2399" t="s">
        <v>304</v>
      </c>
      <c r="CF2399" s="12">
        <v>20</v>
      </c>
      <c r="CG2399" s="12">
        <v>20</v>
      </c>
      <c r="CH2399" s="12">
        <v>30</v>
      </c>
      <c r="CI2399" s="12">
        <v>30</v>
      </c>
      <c r="CJ2399" t="s">
        <v>135</v>
      </c>
      <c r="CL2399" t="s">
        <v>3839</v>
      </c>
      <c r="CO2399" t="s">
        <v>132</v>
      </c>
      <c r="CP2399" t="s">
        <v>114</v>
      </c>
      <c r="CQ2399" t="s">
        <v>114</v>
      </c>
      <c r="CR2399" t="s">
        <v>136</v>
      </c>
      <c r="CS2399" t="s">
        <v>114</v>
      </c>
      <c r="CT2399" t="s">
        <v>136</v>
      </c>
      <c r="CU2399" t="s">
        <v>114</v>
      </c>
      <c r="CV2399" t="s">
        <v>3840</v>
      </c>
      <c r="CW2399" s="10" t="str">
        <f>"N/A"</f>
        <v>N/A</v>
      </c>
      <c r="CX2399" t="s">
        <v>3841</v>
      </c>
      <c r="CY2399" t="s">
        <v>470</v>
      </c>
      <c r="CZ2399" t="s">
        <v>137</v>
      </c>
      <c r="DA2399" t="s">
        <v>114</v>
      </c>
      <c r="DB2399" t="s">
        <v>114</v>
      </c>
      <c r="DC2399" t="s">
        <v>136</v>
      </c>
      <c r="DD2399" t="s">
        <v>114</v>
      </c>
    </row>
    <row r="2400" spans="1:113" ht="15" customHeight="1" x14ac:dyDescent="0.25">
      <c r="A2400" t="s">
        <v>22432</v>
      </c>
      <c r="B2400" t="s">
        <v>368</v>
      </c>
      <c r="C2400" s="1">
        <v>45141.04327141204</v>
      </c>
      <c r="D2400" s="1">
        <v>45201</v>
      </c>
      <c r="E2400" t="s">
        <v>136</v>
      </c>
      <c r="F2400" t="s">
        <v>5756</v>
      </c>
      <c r="G2400" t="str">
        <f>"35-2014.00"</f>
        <v>35-2014.00</v>
      </c>
      <c r="H2400" t="s">
        <v>154</v>
      </c>
      <c r="I2400">
        <v>5</v>
      </c>
      <c r="K2400" s="1">
        <v>45231</v>
      </c>
      <c r="L2400" s="1">
        <v>45505</v>
      </c>
      <c r="O2400" t="s">
        <v>116</v>
      </c>
      <c r="P2400" t="s">
        <v>3833</v>
      </c>
      <c r="Q2400" t="s">
        <v>3834</v>
      </c>
      <c r="R2400" t="s">
        <v>3844</v>
      </c>
      <c r="T2400" t="s">
        <v>3836</v>
      </c>
      <c r="U2400" t="s">
        <v>140</v>
      </c>
      <c r="V2400" s="8" t="str">
        <f>"33040"</f>
        <v>33040</v>
      </c>
      <c r="W2400" t="s">
        <v>118</v>
      </c>
      <c r="Y2400" s="10">
        <v>13052966925</v>
      </c>
      <c r="AA2400">
        <v>72111</v>
      </c>
      <c r="AB2400" t="s">
        <v>3837</v>
      </c>
      <c r="AC2400" t="s">
        <v>2629</v>
      </c>
      <c r="AE2400" t="s">
        <v>1119</v>
      </c>
      <c r="AF2400" t="s">
        <v>3844</v>
      </c>
      <c r="AH2400" t="s">
        <v>3836</v>
      </c>
      <c r="AI2400" t="s">
        <v>140</v>
      </c>
      <c r="AJ2400" s="8" t="str">
        <f>"33040"</f>
        <v>33040</v>
      </c>
      <c r="AK2400" t="s">
        <v>118</v>
      </c>
      <c r="AM2400" s="10">
        <v>13052966925</v>
      </c>
      <c r="AO2400" t="s">
        <v>3838</v>
      </c>
      <c r="AP2400" t="s">
        <v>248</v>
      </c>
      <c r="AQ2400" t="s">
        <v>458</v>
      </c>
      <c r="AR2400" t="s">
        <v>459</v>
      </c>
      <c r="AT2400" t="s">
        <v>460</v>
      </c>
      <c r="AU2400" t="s">
        <v>1374</v>
      </c>
      <c r="AV2400" t="s">
        <v>1375</v>
      </c>
      <c r="AW2400" t="s">
        <v>140</v>
      </c>
      <c r="AX2400" s="8" t="str">
        <f>"33141"</f>
        <v>33141</v>
      </c>
      <c r="AY2400" t="s">
        <v>118</v>
      </c>
      <c r="BA2400" s="10">
        <v>17863480376</v>
      </c>
      <c r="BC2400" t="s">
        <v>463</v>
      </c>
      <c r="BD2400" t="s">
        <v>464</v>
      </c>
      <c r="BG2400" t="s">
        <v>140</v>
      </c>
      <c r="BH2400" s="1">
        <v>45140.833333333336</v>
      </c>
      <c r="BI2400">
        <v>35</v>
      </c>
      <c r="BJ2400">
        <v>7</v>
      </c>
      <c r="BK2400">
        <v>7</v>
      </c>
      <c r="BL2400">
        <v>0</v>
      </c>
      <c r="BM2400">
        <v>0</v>
      </c>
      <c r="BN2400">
        <v>7</v>
      </c>
      <c r="BO2400">
        <v>7</v>
      </c>
      <c r="BP2400">
        <v>7</v>
      </c>
      <c r="BQ2400" t="str">
        <f>"7:00 AM"</f>
        <v>7:00 AM</v>
      </c>
      <c r="BR2400" t="str">
        <f>"2:00 PM"</f>
        <v>2:00 PM</v>
      </c>
      <c r="BS2400" t="s">
        <v>131</v>
      </c>
      <c r="BT2400">
        <v>0</v>
      </c>
      <c r="BU2400">
        <v>1</v>
      </c>
      <c r="BV2400" t="s">
        <v>114</v>
      </c>
      <c r="BX2400" t="s">
        <v>465</v>
      </c>
      <c r="BY2400" t="s">
        <v>3844</v>
      </c>
      <c r="CA2400" t="s">
        <v>3836</v>
      </c>
      <c r="CB2400" t="s">
        <v>140</v>
      </c>
      <c r="CC2400" s="8" t="str">
        <f>"33040"</f>
        <v>33040</v>
      </c>
      <c r="CD2400" t="s">
        <v>303</v>
      </c>
      <c r="CE2400" t="s">
        <v>304</v>
      </c>
      <c r="CF2400" s="12">
        <v>20</v>
      </c>
      <c r="CG2400" s="12">
        <v>20</v>
      </c>
      <c r="CH2400" s="12">
        <v>30</v>
      </c>
      <c r="CI2400" s="12">
        <v>30</v>
      </c>
      <c r="CJ2400" t="s">
        <v>135</v>
      </c>
      <c r="CL2400" t="s">
        <v>22433</v>
      </c>
      <c r="CO2400" t="s">
        <v>132</v>
      </c>
      <c r="CP2400" t="s">
        <v>114</v>
      </c>
      <c r="CQ2400" t="s">
        <v>114</v>
      </c>
      <c r="CR2400" t="s">
        <v>136</v>
      </c>
      <c r="CS2400" t="s">
        <v>114</v>
      </c>
      <c r="CT2400" t="s">
        <v>136</v>
      </c>
      <c r="CU2400" t="s">
        <v>114</v>
      </c>
      <c r="CV2400" t="s">
        <v>22434</v>
      </c>
      <c r="CW2400" s="10" t="str">
        <f>"N/A"</f>
        <v>N/A</v>
      </c>
      <c r="CX2400" t="s">
        <v>3841</v>
      </c>
      <c r="CY2400" t="s">
        <v>470</v>
      </c>
      <c r="CZ2400" t="s">
        <v>137</v>
      </c>
      <c r="DA2400" t="s">
        <v>114</v>
      </c>
      <c r="DB2400" t="s">
        <v>114</v>
      </c>
      <c r="DC2400" t="s">
        <v>136</v>
      </c>
      <c r="DD2400" t="s">
        <v>114</v>
      </c>
    </row>
    <row r="2401" spans="1:108" ht="15" customHeight="1" x14ac:dyDescent="0.25">
      <c r="A2401" t="s">
        <v>3842</v>
      </c>
      <c r="B2401" t="s">
        <v>368</v>
      </c>
      <c r="C2401" s="1">
        <v>45141.043091087966</v>
      </c>
      <c r="D2401" s="1">
        <v>45201</v>
      </c>
      <c r="E2401" t="s">
        <v>136</v>
      </c>
      <c r="F2401" t="s">
        <v>3843</v>
      </c>
      <c r="G2401" t="str">
        <f>"43-4081.00"</f>
        <v>43-4081.00</v>
      </c>
      <c r="H2401" t="s">
        <v>952</v>
      </c>
      <c r="I2401">
        <v>5</v>
      </c>
      <c r="K2401" s="1">
        <v>45231</v>
      </c>
      <c r="L2401" s="1">
        <v>45505</v>
      </c>
      <c r="O2401" t="s">
        <v>116</v>
      </c>
      <c r="P2401" t="s">
        <v>3833</v>
      </c>
      <c r="Q2401" t="s">
        <v>3834</v>
      </c>
      <c r="R2401" t="s">
        <v>3844</v>
      </c>
      <c r="T2401" t="s">
        <v>3836</v>
      </c>
      <c r="U2401" t="s">
        <v>140</v>
      </c>
      <c r="V2401" s="8" t="str">
        <f>"33040"</f>
        <v>33040</v>
      </c>
      <c r="W2401" t="s">
        <v>118</v>
      </c>
      <c r="Y2401" s="10">
        <v>13052966925</v>
      </c>
      <c r="AA2401">
        <v>72111</v>
      </c>
      <c r="AB2401" t="s">
        <v>3837</v>
      </c>
      <c r="AC2401" t="s">
        <v>2629</v>
      </c>
      <c r="AE2401" t="s">
        <v>1119</v>
      </c>
      <c r="AF2401" t="s">
        <v>3844</v>
      </c>
      <c r="AH2401" t="s">
        <v>3836</v>
      </c>
      <c r="AI2401" t="s">
        <v>140</v>
      </c>
      <c r="AJ2401" s="8" t="str">
        <f>"33040"</f>
        <v>33040</v>
      </c>
      <c r="AK2401" t="s">
        <v>118</v>
      </c>
      <c r="AM2401" s="10">
        <v>13052966925</v>
      </c>
      <c r="AO2401" t="s">
        <v>3838</v>
      </c>
      <c r="AP2401" t="s">
        <v>248</v>
      </c>
      <c r="AQ2401" t="s">
        <v>458</v>
      </c>
      <c r="AR2401" t="s">
        <v>459</v>
      </c>
      <c r="AT2401" t="s">
        <v>460</v>
      </c>
      <c r="AU2401" t="s">
        <v>1374</v>
      </c>
      <c r="AV2401" t="s">
        <v>1375</v>
      </c>
      <c r="AW2401" t="s">
        <v>140</v>
      </c>
      <c r="AX2401" s="8" t="str">
        <f>"33141"</f>
        <v>33141</v>
      </c>
      <c r="AY2401" t="s">
        <v>118</v>
      </c>
      <c r="BA2401" s="10">
        <v>17863480376</v>
      </c>
      <c r="BC2401" t="s">
        <v>463</v>
      </c>
      <c r="BD2401" t="s">
        <v>464</v>
      </c>
      <c r="BG2401" t="s">
        <v>140</v>
      </c>
      <c r="BH2401" s="1">
        <v>45140.833333333336</v>
      </c>
      <c r="BI2401">
        <v>35</v>
      </c>
      <c r="BJ2401">
        <v>7</v>
      </c>
      <c r="BK2401">
        <v>7</v>
      </c>
      <c r="BL2401">
        <v>0</v>
      </c>
      <c r="BM2401">
        <v>0</v>
      </c>
      <c r="BN2401">
        <v>7</v>
      </c>
      <c r="BO2401">
        <v>7</v>
      </c>
      <c r="BP2401">
        <v>7</v>
      </c>
      <c r="BQ2401" t="str">
        <f>"8:00 AM"</f>
        <v>8:00 AM</v>
      </c>
      <c r="BR2401" t="str">
        <f>"4:00 PM"</f>
        <v>4:00 PM</v>
      </c>
      <c r="BS2401" t="s">
        <v>131</v>
      </c>
      <c r="BT2401">
        <v>0</v>
      </c>
      <c r="BU2401">
        <v>1</v>
      </c>
      <c r="BV2401" t="s">
        <v>114</v>
      </c>
      <c r="BX2401" t="s">
        <v>465</v>
      </c>
      <c r="BY2401" t="s">
        <v>3835</v>
      </c>
      <c r="CA2401" t="s">
        <v>3836</v>
      </c>
      <c r="CB2401" t="s">
        <v>140</v>
      </c>
      <c r="CC2401" s="8" t="str">
        <f>"33040"</f>
        <v>33040</v>
      </c>
      <c r="CD2401" t="s">
        <v>303</v>
      </c>
      <c r="CE2401" t="s">
        <v>304</v>
      </c>
      <c r="CF2401" s="12">
        <v>20</v>
      </c>
      <c r="CG2401" s="12">
        <v>20</v>
      </c>
      <c r="CH2401" s="12">
        <v>30</v>
      </c>
      <c r="CI2401" s="12">
        <v>30</v>
      </c>
      <c r="CJ2401" t="s">
        <v>135</v>
      </c>
      <c r="CL2401" t="s">
        <v>3845</v>
      </c>
      <c r="CO2401" t="s">
        <v>132</v>
      </c>
      <c r="CP2401" t="s">
        <v>114</v>
      </c>
      <c r="CQ2401" t="s">
        <v>114</v>
      </c>
      <c r="CR2401" t="s">
        <v>136</v>
      </c>
      <c r="CS2401" t="s">
        <v>114</v>
      </c>
      <c r="CT2401" t="s">
        <v>136</v>
      </c>
      <c r="CU2401" t="s">
        <v>114</v>
      </c>
      <c r="CV2401" t="s">
        <v>3840</v>
      </c>
      <c r="CW2401" s="10" t="str">
        <f>"N/A"</f>
        <v>N/A</v>
      </c>
      <c r="CX2401" t="s">
        <v>3841</v>
      </c>
      <c r="CY2401" t="s">
        <v>470</v>
      </c>
      <c r="CZ2401" t="s">
        <v>137</v>
      </c>
      <c r="DA2401" t="s">
        <v>114</v>
      </c>
      <c r="DB2401" t="s">
        <v>114</v>
      </c>
      <c r="DC2401" t="s">
        <v>136</v>
      </c>
      <c r="DD2401" t="s">
        <v>114</v>
      </c>
    </row>
  </sheetData>
  <autoFilter ref="A1:DI2401" xr:uid="{00000000-0001-0000-0000-000000000000}"/>
  <sortState xmlns:xlrd2="http://schemas.microsoft.com/office/spreadsheetml/2017/richdata2" ref="A2:DI2401">
    <sortCondition ref="B1:B240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H-2B_Disclosure_Data_FY2024_Q1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Jordan, Rob - ETA</dc:creator>
  <cp:lastModifiedBy>Jordan, Rob - ETA</cp:lastModifiedBy>
  <dcterms:created xsi:type="dcterms:W3CDTF">2024-01-03T12:39:18Z</dcterms:created>
  <dcterms:modified xsi:type="dcterms:W3CDTF">2024-01-08T13:02:33Z</dcterms:modified>
</cp:coreProperties>
</file>